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05" windowWidth="17445" windowHeight="6660" firstSheet="1" activeTab="1"/>
  </bookViews>
  <sheets>
    <sheet name="Hoja1" sheetId="15" state="hidden" r:id="rId1"/>
    <sheet name="Datos Generales" sheetId="10" r:id="rId2"/>
    <sheet name="Captura" sheetId="16" r:id="rId3"/>
    <sheet name="Alumno" sheetId="22" r:id="rId4"/>
    <sheet name="Grupo" sheetId="23" r:id="rId5"/>
    <sheet name="Español" sheetId="17" state="hidden" r:id="rId6"/>
    <sheet name="Inglés" sheetId="21" state="hidden" r:id="rId7"/>
    <sheet name="Matemáticas" sheetId="18" state="hidden" r:id="rId8"/>
    <sheet name="Ciencias" sheetId="19" state="hidden" r:id="rId9"/>
    <sheet name="GeoHis" sheetId="20" state="hidden" r:id="rId10"/>
    <sheet name="teles_fed" sheetId="14" state="hidden" r:id="rId11"/>
  </sheets>
  <externalReferences>
    <externalReference r:id="rId12"/>
  </externalReferences>
  <definedNames>
    <definedName name="_xlnm.Print_Area" localSheetId="2">Captura!$B$1:$CR$118</definedName>
    <definedName name="_xlnm.Print_Area" localSheetId="4">Grupo!$A$1:$AC$121</definedName>
    <definedName name="_xlnm.Print_Titles" localSheetId="3">Alumno!$12:$16</definedName>
    <definedName name="_xlnm.Print_Titles" localSheetId="2">Captura!$B:$K,Captura!$1:$2</definedName>
    <definedName name="_xlnm.Print_Titles" localSheetId="8">Ciencias!$1:$1</definedName>
    <definedName name="_xlnm.Print_Titles" localSheetId="5">Español!$1:$1</definedName>
    <definedName name="_xlnm.Print_Titles" localSheetId="9">GeoHis!$1:$1</definedName>
    <definedName name="_xlnm.Print_Titles" localSheetId="4">Grupo!$9:$11</definedName>
    <definedName name="_xlnm.Print_Titles" localSheetId="6">Inglés!$1:$1</definedName>
    <definedName name="_xlnm.Print_Titles" localSheetId="7">Matemáticas!$1:$1</definedName>
  </definedNames>
  <calcPr calcId="145621"/>
</workbook>
</file>

<file path=xl/calcChain.xml><?xml version="1.0" encoding="utf-8"?>
<calcChain xmlns="http://schemas.openxmlformats.org/spreadsheetml/2006/main">
  <c r="A13" i="10" l="1"/>
  <c r="A10" i="10"/>
  <c r="F4" i="16" l="1"/>
  <c r="D7" i="10"/>
  <c r="CR2" i="16" l="1"/>
  <c r="CQ2" i="16"/>
  <c r="CP2" i="16"/>
  <c r="CO2" i="16"/>
  <c r="CN2" i="16"/>
  <c r="F7" i="16" l="1"/>
  <c r="F5" i="16"/>
  <c r="F6" i="16" s="1"/>
  <c r="CS8" i="16"/>
  <c r="CT8" i="16"/>
  <c r="CU8" i="16"/>
  <c r="CV8" i="16"/>
  <c r="CW8" i="16"/>
  <c r="CS9" i="16"/>
  <c r="CT9" i="16"/>
  <c r="CU9" i="16"/>
  <c r="CV9" i="16"/>
  <c r="CW9" i="16"/>
  <c r="CS10" i="16"/>
  <c r="CT10" i="16"/>
  <c r="CU10" i="16"/>
  <c r="CV10" i="16"/>
  <c r="CW10" i="16"/>
  <c r="CS11" i="16"/>
  <c r="CT11" i="16"/>
  <c r="CU11" i="16"/>
  <c r="CV11" i="16"/>
  <c r="CW11" i="16"/>
  <c r="CS12" i="16"/>
  <c r="CT12" i="16"/>
  <c r="CU12" i="16"/>
  <c r="CV12" i="16"/>
  <c r="CW12" i="16"/>
  <c r="CS13" i="16"/>
  <c r="CT13" i="16"/>
  <c r="CU13" i="16"/>
  <c r="CV13" i="16"/>
  <c r="CW13" i="16"/>
  <c r="CS14" i="16"/>
  <c r="CT14" i="16"/>
  <c r="CU14" i="16"/>
  <c r="CV14" i="16"/>
  <c r="CW14" i="16"/>
  <c r="CS15" i="16"/>
  <c r="CT15" i="16"/>
  <c r="CU15" i="16"/>
  <c r="CV15" i="16"/>
  <c r="CW15" i="16"/>
  <c r="CS16" i="16"/>
  <c r="CT16" i="16"/>
  <c r="CU16" i="16"/>
  <c r="CV16" i="16"/>
  <c r="CW16" i="16"/>
  <c r="CS17" i="16"/>
  <c r="CT17" i="16"/>
  <c r="CU17" i="16"/>
  <c r="CV17" i="16"/>
  <c r="CW17" i="16"/>
  <c r="CS18" i="16"/>
  <c r="CT18" i="16"/>
  <c r="CU18" i="16"/>
  <c r="CV18" i="16"/>
  <c r="CW18" i="16"/>
  <c r="CS19" i="16"/>
  <c r="CT19" i="16"/>
  <c r="CU19" i="16"/>
  <c r="CV19" i="16"/>
  <c r="CW19" i="16"/>
  <c r="CS20" i="16"/>
  <c r="CT20" i="16"/>
  <c r="CU20" i="16"/>
  <c r="CV20" i="16"/>
  <c r="CW20" i="16"/>
  <c r="CS21" i="16"/>
  <c r="CT21" i="16"/>
  <c r="CU21" i="16"/>
  <c r="CV21" i="16"/>
  <c r="CW21" i="16"/>
  <c r="CS22" i="16"/>
  <c r="CT22" i="16"/>
  <c r="CU22" i="16"/>
  <c r="CV22" i="16"/>
  <c r="CW22" i="16"/>
  <c r="CS23" i="16"/>
  <c r="CT23" i="16"/>
  <c r="CU23" i="16"/>
  <c r="CV23" i="16"/>
  <c r="CW23" i="16"/>
  <c r="CS24" i="16"/>
  <c r="CT24" i="16"/>
  <c r="CU24" i="16"/>
  <c r="CV24" i="16"/>
  <c r="CW24" i="16"/>
  <c r="CS25" i="16"/>
  <c r="CT25" i="16"/>
  <c r="CU25" i="16"/>
  <c r="CV25" i="16"/>
  <c r="CW25" i="16"/>
  <c r="CS26" i="16"/>
  <c r="CT26" i="16"/>
  <c r="CU26" i="16"/>
  <c r="CV26" i="16"/>
  <c r="CW26" i="16"/>
  <c r="CS27" i="16"/>
  <c r="CT27" i="16"/>
  <c r="CU27" i="16"/>
  <c r="CV27" i="16"/>
  <c r="CW27" i="16"/>
  <c r="CS28" i="16"/>
  <c r="CT28" i="16"/>
  <c r="CU28" i="16"/>
  <c r="CV28" i="16"/>
  <c r="CW28" i="16"/>
  <c r="CS29" i="16"/>
  <c r="CT29" i="16"/>
  <c r="CU29" i="16"/>
  <c r="CV29" i="16"/>
  <c r="CW29" i="16"/>
  <c r="CS30" i="16"/>
  <c r="CT30" i="16"/>
  <c r="CU30" i="16"/>
  <c r="CV30" i="16"/>
  <c r="CW30" i="16"/>
  <c r="CS31" i="16"/>
  <c r="CT31" i="16"/>
  <c r="CU31" i="16"/>
  <c r="CV31" i="16"/>
  <c r="CW31" i="16"/>
  <c r="CS32" i="16"/>
  <c r="CT32" i="16"/>
  <c r="CU32" i="16"/>
  <c r="CV32" i="16"/>
  <c r="CW32" i="16"/>
  <c r="CS33" i="16"/>
  <c r="CT33" i="16"/>
  <c r="CU33" i="16"/>
  <c r="CV33" i="16"/>
  <c r="CW33" i="16"/>
  <c r="CS34" i="16"/>
  <c r="CT34" i="16"/>
  <c r="CU34" i="16"/>
  <c r="CV34" i="16"/>
  <c r="CW34" i="16"/>
  <c r="CS35" i="16"/>
  <c r="CT35" i="16"/>
  <c r="CU35" i="16"/>
  <c r="CV35" i="16"/>
  <c r="CW35" i="16"/>
  <c r="CS36" i="16"/>
  <c r="CT36" i="16"/>
  <c r="CU36" i="16"/>
  <c r="CV36" i="16"/>
  <c r="CW36" i="16"/>
  <c r="CS37" i="16"/>
  <c r="CT37" i="16"/>
  <c r="CU37" i="16"/>
  <c r="CV37" i="16"/>
  <c r="CW37" i="16"/>
  <c r="CS38" i="16"/>
  <c r="CT38" i="16"/>
  <c r="CU38" i="16"/>
  <c r="CV38" i="16"/>
  <c r="CW38" i="16"/>
  <c r="CS39" i="16"/>
  <c r="CT39" i="16"/>
  <c r="CU39" i="16"/>
  <c r="CV39" i="16"/>
  <c r="CW39" i="16"/>
  <c r="CS40" i="16"/>
  <c r="CT40" i="16"/>
  <c r="CU40" i="16"/>
  <c r="CV40" i="16"/>
  <c r="CW40" i="16"/>
  <c r="CS41" i="16"/>
  <c r="CT41" i="16"/>
  <c r="CU41" i="16"/>
  <c r="CV41" i="16"/>
  <c r="CW41" i="16"/>
  <c r="CS42" i="16"/>
  <c r="CT42" i="16"/>
  <c r="CU42" i="16"/>
  <c r="CV42" i="16"/>
  <c r="CW42" i="16"/>
  <c r="CS43" i="16"/>
  <c r="CT43" i="16"/>
  <c r="CU43" i="16"/>
  <c r="CV43" i="16"/>
  <c r="CW43" i="16"/>
  <c r="CS44" i="16"/>
  <c r="CT44" i="16"/>
  <c r="CU44" i="16"/>
  <c r="CV44" i="16"/>
  <c r="CW44" i="16"/>
  <c r="CS45" i="16"/>
  <c r="CT45" i="16"/>
  <c r="CU45" i="16"/>
  <c r="CV45" i="16"/>
  <c r="CW45" i="16"/>
  <c r="CS46" i="16"/>
  <c r="CT46" i="16"/>
  <c r="CU46" i="16"/>
  <c r="CV46" i="16"/>
  <c r="CW46" i="16"/>
  <c r="CS47" i="16"/>
  <c r="CT47" i="16"/>
  <c r="CU47" i="16"/>
  <c r="CV47" i="16"/>
  <c r="CW47" i="16"/>
  <c r="CS48" i="16"/>
  <c r="CT48" i="16"/>
  <c r="CU48" i="16"/>
  <c r="CV48" i="16"/>
  <c r="CW48" i="16"/>
  <c r="CS49" i="16"/>
  <c r="CT49" i="16"/>
  <c r="CU49" i="16"/>
  <c r="CV49" i="16"/>
  <c r="CW49" i="16"/>
  <c r="CS50" i="16"/>
  <c r="CT50" i="16"/>
  <c r="CU50" i="16"/>
  <c r="CV50" i="16"/>
  <c r="CW50" i="16"/>
  <c r="CS51" i="16"/>
  <c r="CT51" i="16"/>
  <c r="CU51" i="16"/>
  <c r="CV51" i="16"/>
  <c r="CW51" i="16"/>
  <c r="CS52" i="16"/>
  <c r="CT52" i="16"/>
  <c r="CU52" i="16"/>
  <c r="CV52" i="16"/>
  <c r="CW52" i="16"/>
  <c r="CS53" i="16"/>
  <c r="CT53" i="16"/>
  <c r="CU53" i="16"/>
  <c r="CV53" i="16"/>
  <c r="CW53" i="16"/>
  <c r="CS54" i="16"/>
  <c r="CT54" i="16"/>
  <c r="CU54" i="16"/>
  <c r="CV54" i="16"/>
  <c r="CW54" i="16"/>
  <c r="CS55" i="16"/>
  <c r="CT55" i="16"/>
  <c r="CU55" i="16"/>
  <c r="CV55" i="16"/>
  <c r="CW55" i="16"/>
  <c r="CS56" i="16"/>
  <c r="CT56" i="16"/>
  <c r="CU56" i="16"/>
  <c r="CV56" i="16"/>
  <c r="CW56" i="16"/>
  <c r="CS57" i="16"/>
  <c r="CT57" i="16"/>
  <c r="CU57" i="16"/>
  <c r="CV57" i="16"/>
  <c r="CW57" i="16"/>
  <c r="CS58" i="16"/>
  <c r="CT58" i="16"/>
  <c r="CU58" i="16"/>
  <c r="CV58" i="16"/>
  <c r="CW58" i="16"/>
  <c r="CS59" i="16"/>
  <c r="CT59" i="16"/>
  <c r="CU59" i="16"/>
  <c r="CV59" i="16"/>
  <c r="CW59" i="16"/>
  <c r="CS60" i="16"/>
  <c r="CT60" i="16"/>
  <c r="CU60" i="16"/>
  <c r="CV60" i="16"/>
  <c r="CW60" i="16"/>
  <c r="CS61" i="16"/>
  <c r="CT61" i="16"/>
  <c r="CU61" i="16"/>
  <c r="CV61" i="16"/>
  <c r="CW61" i="16"/>
  <c r="CS62" i="16"/>
  <c r="CT62" i="16"/>
  <c r="CU62" i="16"/>
  <c r="CV62" i="16"/>
  <c r="CW62" i="16"/>
  <c r="CS63" i="16"/>
  <c r="CT63" i="16"/>
  <c r="CU63" i="16"/>
  <c r="CV63" i="16"/>
  <c r="CW63" i="16"/>
  <c r="CS64" i="16"/>
  <c r="CT64" i="16"/>
  <c r="CU64" i="16"/>
  <c r="CV64" i="16"/>
  <c r="CW64" i="16"/>
  <c r="CS65" i="16"/>
  <c r="CT65" i="16"/>
  <c r="CU65" i="16"/>
  <c r="CV65" i="16"/>
  <c r="CW65" i="16"/>
  <c r="CS66" i="16"/>
  <c r="CT66" i="16"/>
  <c r="CU66" i="16"/>
  <c r="CV66" i="16"/>
  <c r="CW66" i="16"/>
  <c r="CS67" i="16"/>
  <c r="CT67" i="16"/>
  <c r="CU67" i="16"/>
  <c r="CV67" i="16"/>
  <c r="CW67" i="16"/>
  <c r="CS68" i="16"/>
  <c r="CT68" i="16"/>
  <c r="CU68" i="16"/>
  <c r="CV68" i="16"/>
  <c r="CW68" i="16"/>
  <c r="CS69" i="16"/>
  <c r="CT69" i="16"/>
  <c r="CU69" i="16"/>
  <c r="CV69" i="16"/>
  <c r="CW69" i="16"/>
  <c r="CS70" i="16"/>
  <c r="CT70" i="16"/>
  <c r="CU70" i="16"/>
  <c r="CV70" i="16"/>
  <c r="CW70" i="16"/>
  <c r="CS71" i="16"/>
  <c r="CT71" i="16"/>
  <c r="CU71" i="16"/>
  <c r="CV71" i="16"/>
  <c r="CW71" i="16"/>
  <c r="CS72" i="16"/>
  <c r="CT72" i="16"/>
  <c r="CU72" i="16"/>
  <c r="CV72" i="16"/>
  <c r="CW72" i="16"/>
  <c r="CS73" i="16"/>
  <c r="CT73" i="16"/>
  <c r="CU73" i="16"/>
  <c r="CV73" i="16"/>
  <c r="CW73" i="16"/>
  <c r="CS74" i="16"/>
  <c r="CT74" i="16"/>
  <c r="CU74" i="16"/>
  <c r="CV74" i="16"/>
  <c r="CW74" i="16"/>
  <c r="CS75" i="16"/>
  <c r="CT75" i="16"/>
  <c r="CU75" i="16"/>
  <c r="CV75" i="16"/>
  <c r="CW75" i="16"/>
  <c r="CS76" i="16"/>
  <c r="CT76" i="16"/>
  <c r="CU76" i="16"/>
  <c r="CV76" i="16"/>
  <c r="CW76" i="16"/>
  <c r="CS77" i="16"/>
  <c r="CT77" i="16"/>
  <c r="CU77" i="16"/>
  <c r="CV77" i="16"/>
  <c r="CW77" i="16"/>
  <c r="CS78" i="16"/>
  <c r="CT78" i="16"/>
  <c r="CU78" i="16"/>
  <c r="CV78" i="16"/>
  <c r="CW78" i="16"/>
  <c r="CS79" i="16"/>
  <c r="CT79" i="16"/>
  <c r="CU79" i="16"/>
  <c r="CV79" i="16"/>
  <c r="CW79" i="16"/>
  <c r="CS80" i="16"/>
  <c r="CT80" i="16"/>
  <c r="CU80" i="16"/>
  <c r="CV80" i="16"/>
  <c r="CW80" i="16"/>
  <c r="CS81" i="16"/>
  <c r="CT81" i="16"/>
  <c r="CU81" i="16"/>
  <c r="CV81" i="16"/>
  <c r="CW81" i="16"/>
  <c r="CS82" i="16"/>
  <c r="CT82" i="16"/>
  <c r="CU82" i="16"/>
  <c r="CV82" i="16"/>
  <c r="CW82" i="16"/>
  <c r="CS83" i="16"/>
  <c r="CT83" i="16"/>
  <c r="CU83" i="16"/>
  <c r="CV83" i="16"/>
  <c r="CW83" i="16"/>
  <c r="CS84" i="16"/>
  <c r="CT84" i="16"/>
  <c r="CU84" i="16"/>
  <c r="CV84" i="16"/>
  <c r="CW84" i="16"/>
  <c r="CS85" i="16"/>
  <c r="CT85" i="16"/>
  <c r="CU85" i="16"/>
  <c r="CV85" i="16"/>
  <c r="CW85" i="16"/>
  <c r="CS86" i="16"/>
  <c r="CT86" i="16"/>
  <c r="CU86" i="16"/>
  <c r="CV86" i="16"/>
  <c r="CW86" i="16"/>
  <c r="CS87" i="16"/>
  <c r="CT87" i="16"/>
  <c r="CU87" i="16"/>
  <c r="CV87" i="16"/>
  <c r="CW87" i="16"/>
  <c r="CS88" i="16"/>
  <c r="CT88" i="16"/>
  <c r="CU88" i="16"/>
  <c r="CV88" i="16"/>
  <c r="CW88" i="16"/>
  <c r="CS89" i="16"/>
  <c r="CT89" i="16"/>
  <c r="CU89" i="16"/>
  <c r="CV89" i="16"/>
  <c r="CW89" i="16"/>
  <c r="CS90" i="16"/>
  <c r="CT90" i="16"/>
  <c r="CU90" i="16"/>
  <c r="CV90" i="16"/>
  <c r="CW90" i="16"/>
  <c r="CS91" i="16"/>
  <c r="CT91" i="16"/>
  <c r="CU91" i="16"/>
  <c r="CV91" i="16"/>
  <c r="CW91" i="16"/>
  <c r="CS92" i="16"/>
  <c r="CT92" i="16"/>
  <c r="CU92" i="16"/>
  <c r="CV92" i="16"/>
  <c r="CW92" i="16"/>
  <c r="CS93" i="16"/>
  <c r="CT93" i="16"/>
  <c r="CU93" i="16"/>
  <c r="CV93" i="16"/>
  <c r="CW93" i="16"/>
  <c r="CS94" i="16"/>
  <c r="CT94" i="16"/>
  <c r="CU94" i="16"/>
  <c r="CV94" i="16"/>
  <c r="CW94" i="16"/>
  <c r="CS95" i="16"/>
  <c r="CT95" i="16"/>
  <c r="CU95" i="16"/>
  <c r="CV95" i="16"/>
  <c r="CW95" i="16"/>
  <c r="CS96" i="16"/>
  <c r="CT96" i="16"/>
  <c r="CU96" i="16"/>
  <c r="CV96" i="16"/>
  <c r="CW96" i="16"/>
  <c r="CS97" i="16"/>
  <c r="CT97" i="16"/>
  <c r="CU97" i="16"/>
  <c r="CV97" i="16"/>
  <c r="CW97" i="16"/>
  <c r="CS98" i="16"/>
  <c r="CT98" i="16"/>
  <c r="CU98" i="16"/>
  <c r="CV98" i="16"/>
  <c r="CW98" i="16"/>
  <c r="CS99" i="16"/>
  <c r="CT99" i="16"/>
  <c r="CU99" i="16"/>
  <c r="CV99" i="16"/>
  <c r="CW99" i="16"/>
  <c r="CS100" i="16"/>
  <c r="CT100" i="16"/>
  <c r="CU100" i="16"/>
  <c r="CV100" i="16"/>
  <c r="CW100" i="16"/>
  <c r="CS101" i="16"/>
  <c r="CT101" i="16"/>
  <c r="CU101" i="16"/>
  <c r="CV101" i="16"/>
  <c r="CW101" i="16"/>
  <c r="CS102" i="16"/>
  <c r="CT102" i="16"/>
  <c r="CU102" i="16"/>
  <c r="CV102" i="16"/>
  <c r="CW102" i="16"/>
  <c r="CS103" i="16"/>
  <c r="CT103" i="16"/>
  <c r="CU103" i="16"/>
  <c r="CV103" i="16"/>
  <c r="CW103" i="16"/>
  <c r="CS104" i="16"/>
  <c r="CT104" i="16"/>
  <c r="CU104" i="16"/>
  <c r="CV104" i="16"/>
  <c r="CW104" i="16"/>
  <c r="CS105" i="16"/>
  <c r="CT105" i="16"/>
  <c r="CU105" i="16"/>
  <c r="CV105" i="16"/>
  <c r="CW105" i="16"/>
  <c r="CS106" i="16"/>
  <c r="CT106" i="16"/>
  <c r="CU106" i="16"/>
  <c r="CV106" i="16"/>
  <c r="CW106" i="16"/>
  <c r="CS107" i="16"/>
  <c r="CT107" i="16"/>
  <c r="CU107" i="16"/>
  <c r="CV107" i="16"/>
  <c r="CW107" i="16"/>
  <c r="CS108" i="16"/>
  <c r="CT108" i="16"/>
  <c r="CU108" i="16"/>
  <c r="CV108" i="16"/>
  <c r="CW108" i="16"/>
  <c r="CS109" i="16"/>
  <c r="CT109" i="16"/>
  <c r="CU109" i="16"/>
  <c r="CV109" i="16"/>
  <c r="CW109" i="16"/>
  <c r="CS110" i="16"/>
  <c r="CT110" i="16"/>
  <c r="CU110" i="16"/>
  <c r="CV110" i="16"/>
  <c r="CW110" i="16"/>
  <c r="CS111" i="16"/>
  <c r="CT111" i="16"/>
  <c r="CU111" i="16"/>
  <c r="CV111" i="16"/>
  <c r="CW111" i="16"/>
  <c r="CS112" i="16"/>
  <c r="CT112" i="16"/>
  <c r="CU112" i="16"/>
  <c r="CV112" i="16"/>
  <c r="CW112" i="16"/>
  <c r="CS113" i="16"/>
  <c r="CT113" i="16"/>
  <c r="CU113" i="16"/>
  <c r="CV113" i="16"/>
  <c r="CW113" i="16"/>
  <c r="CS114" i="16"/>
  <c r="CT114" i="16"/>
  <c r="CU114" i="16"/>
  <c r="CV114" i="16"/>
  <c r="CW114" i="16"/>
  <c r="CS115" i="16"/>
  <c r="CT115" i="16"/>
  <c r="CU115" i="16"/>
  <c r="CV115" i="16"/>
  <c r="CW115" i="16"/>
  <c r="CS116" i="16"/>
  <c r="CT116" i="16"/>
  <c r="CU116" i="16"/>
  <c r="CV116" i="16"/>
  <c r="CW116" i="16"/>
  <c r="CS117" i="16"/>
  <c r="CT117" i="16"/>
  <c r="CU117" i="16"/>
  <c r="CV117" i="16"/>
  <c r="CW117" i="16"/>
  <c r="CS118" i="16"/>
  <c r="CT118" i="16"/>
  <c r="CU118" i="16"/>
  <c r="CV118" i="16"/>
  <c r="CW118" i="16"/>
  <c r="CS119" i="16"/>
  <c r="CT119" i="16"/>
  <c r="CU119" i="16"/>
  <c r="CV119" i="16"/>
  <c r="CW119" i="16"/>
  <c r="CS120" i="16"/>
  <c r="CT120" i="16"/>
  <c r="CU120" i="16"/>
  <c r="CV120" i="16"/>
  <c r="CW120" i="16"/>
  <c r="CS121" i="16"/>
  <c r="CT121" i="16"/>
  <c r="CU121" i="16"/>
  <c r="CV121" i="16"/>
  <c r="CW121" i="16"/>
  <c r="CS122" i="16"/>
  <c r="CT122" i="16"/>
  <c r="CU122" i="16"/>
  <c r="CV122" i="16"/>
  <c r="CW122" i="16"/>
  <c r="CS123" i="16"/>
  <c r="CT123" i="16"/>
  <c r="CU123" i="16"/>
  <c r="CV123" i="16"/>
  <c r="CW123" i="16"/>
  <c r="CS124" i="16"/>
  <c r="CT124" i="16"/>
  <c r="CU124" i="16"/>
  <c r="CV124" i="16"/>
  <c r="CW124" i="16"/>
  <c r="CS125" i="16"/>
  <c r="CT125" i="16"/>
  <c r="CU125" i="16"/>
  <c r="CV125" i="16"/>
  <c r="CW125" i="16"/>
  <c r="CS126" i="16"/>
  <c r="CT126" i="16"/>
  <c r="CU126" i="16"/>
  <c r="CV126" i="16"/>
  <c r="CW126" i="16"/>
  <c r="CS127" i="16"/>
  <c r="CT127" i="16"/>
  <c r="CU127" i="16"/>
  <c r="CV127" i="16"/>
  <c r="CW127" i="16"/>
  <c r="CS128" i="16"/>
  <c r="CT128" i="16"/>
  <c r="CU128" i="16"/>
  <c r="CV128" i="16"/>
  <c r="CW128" i="16"/>
  <c r="CS129" i="16"/>
  <c r="CT129" i="16"/>
  <c r="CU129" i="16"/>
  <c r="CV129" i="16"/>
  <c r="CW129" i="16"/>
  <c r="CS130" i="16"/>
  <c r="CT130" i="16"/>
  <c r="CU130" i="16"/>
  <c r="CV130" i="16"/>
  <c r="CW130" i="16"/>
  <c r="CS131" i="16"/>
  <c r="CT131" i="16"/>
  <c r="CU131" i="16"/>
  <c r="CV131" i="16"/>
  <c r="CW131" i="16"/>
  <c r="CS132" i="16"/>
  <c r="CT132" i="16"/>
  <c r="CU132" i="16"/>
  <c r="CV132" i="16"/>
  <c r="CW132" i="16"/>
  <c r="CS133" i="16"/>
  <c r="CT133" i="16"/>
  <c r="CU133" i="16"/>
  <c r="CV133" i="16"/>
  <c r="CW133" i="16"/>
  <c r="CS134" i="16"/>
  <c r="CT134" i="16"/>
  <c r="CU134" i="16"/>
  <c r="CV134" i="16"/>
  <c r="CW134" i="16"/>
  <c r="CS135" i="16"/>
  <c r="CT135" i="16"/>
  <c r="CU135" i="16"/>
  <c r="CV135" i="16"/>
  <c r="CW135" i="16"/>
  <c r="CS136" i="16"/>
  <c r="CT136" i="16"/>
  <c r="CU136" i="16"/>
  <c r="CV136" i="16"/>
  <c r="CW136" i="16"/>
  <c r="CS137" i="16"/>
  <c r="CT137" i="16"/>
  <c r="CU137" i="16"/>
  <c r="CV137" i="16"/>
  <c r="CW137" i="16"/>
  <c r="CS138" i="16"/>
  <c r="CT138" i="16"/>
  <c r="CU138" i="16"/>
  <c r="CV138" i="16"/>
  <c r="CW138" i="16"/>
  <c r="CS139" i="16"/>
  <c r="CT139" i="16"/>
  <c r="CU139" i="16"/>
  <c r="CV139" i="16"/>
  <c r="CW139" i="16"/>
  <c r="CS140" i="16"/>
  <c r="CT140" i="16"/>
  <c r="CU140" i="16"/>
  <c r="CV140" i="16"/>
  <c r="CW140" i="16"/>
  <c r="CS141" i="16"/>
  <c r="CT141" i="16"/>
  <c r="CU141" i="16"/>
  <c r="CV141" i="16"/>
  <c r="CW141" i="16"/>
  <c r="CS142" i="16"/>
  <c r="CT142" i="16"/>
  <c r="CU142" i="16"/>
  <c r="CV142" i="16"/>
  <c r="CW142" i="16"/>
  <c r="CS143" i="16"/>
  <c r="CT143" i="16"/>
  <c r="CU143" i="16"/>
  <c r="CV143" i="16"/>
  <c r="CW143" i="16"/>
  <c r="CS144" i="16"/>
  <c r="CT144" i="16"/>
  <c r="CU144" i="16"/>
  <c r="CV144" i="16"/>
  <c r="CW144" i="16"/>
  <c r="CS145" i="16"/>
  <c r="CT145" i="16"/>
  <c r="CU145" i="16"/>
  <c r="CV145" i="16"/>
  <c r="CW145" i="16"/>
  <c r="CS146" i="16"/>
  <c r="CT146" i="16"/>
  <c r="CU146" i="16"/>
  <c r="CV146" i="16"/>
  <c r="CW146" i="16"/>
  <c r="CS147" i="16"/>
  <c r="CT147" i="16"/>
  <c r="CU147" i="16"/>
  <c r="CV147" i="16"/>
  <c r="CW147" i="16"/>
  <c r="CS148" i="16"/>
  <c r="CT148" i="16"/>
  <c r="CU148" i="16"/>
  <c r="CV148" i="16"/>
  <c r="CW148" i="16"/>
  <c r="CS149" i="16"/>
  <c r="CT149" i="16"/>
  <c r="CU149" i="16"/>
  <c r="CV149" i="16"/>
  <c r="CW149" i="16"/>
  <c r="CS150" i="16"/>
  <c r="CT150" i="16"/>
  <c r="CU150" i="16"/>
  <c r="CV150" i="16"/>
  <c r="CW150" i="16"/>
  <c r="CS151" i="16"/>
  <c r="CT151" i="16"/>
  <c r="CU151" i="16"/>
  <c r="CV151" i="16"/>
  <c r="CW151" i="16"/>
  <c r="CS152" i="16"/>
  <c r="CT152" i="16"/>
  <c r="CU152" i="16"/>
  <c r="CV152" i="16"/>
  <c r="CW152" i="16"/>
  <c r="CS153" i="16"/>
  <c r="CT153" i="16"/>
  <c r="CU153" i="16"/>
  <c r="CV153" i="16"/>
  <c r="CW153" i="16"/>
  <c r="CS154" i="16"/>
  <c r="CT154" i="16"/>
  <c r="CU154" i="16"/>
  <c r="CV154" i="16"/>
  <c r="CW154" i="16"/>
  <c r="CS155" i="16"/>
  <c r="CT155" i="16"/>
  <c r="CU155" i="16"/>
  <c r="CV155" i="16"/>
  <c r="CW155" i="16"/>
  <c r="CS156" i="16"/>
  <c r="CT156" i="16"/>
  <c r="CU156" i="16"/>
  <c r="CV156" i="16"/>
  <c r="CW156" i="16"/>
  <c r="CS157" i="16"/>
  <c r="CT157" i="16"/>
  <c r="CU157" i="16"/>
  <c r="CV157" i="16"/>
  <c r="CW157" i="16"/>
  <c r="CS158" i="16"/>
  <c r="CT158" i="16"/>
  <c r="CU158" i="16"/>
  <c r="CV158" i="16"/>
  <c r="CW158" i="16"/>
  <c r="CS159" i="16"/>
  <c r="CT159" i="16"/>
  <c r="CU159" i="16"/>
  <c r="CV159" i="16"/>
  <c r="CW159" i="16"/>
  <c r="CS160" i="16"/>
  <c r="CT160" i="16"/>
  <c r="CU160" i="16"/>
  <c r="CV160" i="16"/>
  <c r="CW160" i="16"/>
  <c r="CS161" i="16"/>
  <c r="CT161" i="16"/>
  <c r="CU161" i="16"/>
  <c r="CV161" i="16"/>
  <c r="CW161" i="16"/>
  <c r="CS162" i="16"/>
  <c r="CT162" i="16"/>
  <c r="CU162" i="16"/>
  <c r="CV162" i="16"/>
  <c r="CW162" i="16"/>
  <c r="CS163" i="16"/>
  <c r="CT163" i="16"/>
  <c r="CU163" i="16"/>
  <c r="CV163" i="16"/>
  <c r="CW163" i="16"/>
  <c r="CS164" i="16"/>
  <c r="CT164" i="16"/>
  <c r="CU164" i="16"/>
  <c r="CV164" i="16"/>
  <c r="CW164" i="16"/>
  <c r="CS165" i="16"/>
  <c r="CT165" i="16"/>
  <c r="CU165" i="16"/>
  <c r="CV165" i="16"/>
  <c r="CW165" i="16"/>
  <c r="CS166" i="16"/>
  <c r="CT166" i="16"/>
  <c r="CU166" i="16"/>
  <c r="CV166" i="16"/>
  <c r="CW166" i="16"/>
  <c r="CS167" i="16"/>
  <c r="CT167" i="16"/>
  <c r="CU167" i="16"/>
  <c r="CV167" i="16"/>
  <c r="CW167" i="16"/>
  <c r="CS168" i="16"/>
  <c r="CT168" i="16"/>
  <c r="CU168" i="16"/>
  <c r="CV168" i="16"/>
  <c r="CW168" i="16"/>
  <c r="CS169" i="16"/>
  <c r="CT169" i="16"/>
  <c r="CU169" i="16"/>
  <c r="CV169" i="16"/>
  <c r="CW169" i="16"/>
  <c r="CS170" i="16"/>
  <c r="CT170" i="16"/>
  <c r="CU170" i="16"/>
  <c r="CV170" i="16"/>
  <c r="CW170" i="16"/>
  <c r="CS171" i="16"/>
  <c r="CT171" i="16"/>
  <c r="CU171" i="16"/>
  <c r="CV171" i="16"/>
  <c r="CW171" i="16"/>
  <c r="CS172" i="16"/>
  <c r="CT172" i="16"/>
  <c r="CU172" i="16"/>
  <c r="CV172" i="16"/>
  <c r="CW172" i="16"/>
  <c r="CS173" i="16"/>
  <c r="CT173" i="16"/>
  <c r="CU173" i="16"/>
  <c r="CV173" i="16"/>
  <c r="CW173" i="16"/>
  <c r="CS174" i="16"/>
  <c r="CT174" i="16"/>
  <c r="CU174" i="16"/>
  <c r="CV174" i="16"/>
  <c r="CW174" i="16"/>
  <c r="CS175" i="16"/>
  <c r="CT175" i="16"/>
  <c r="CU175" i="16"/>
  <c r="CV175" i="16"/>
  <c r="CW175" i="16"/>
  <c r="CS176" i="16"/>
  <c r="CT176" i="16"/>
  <c r="CU176" i="16"/>
  <c r="CV176" i="16"/>
  <c r="CW176" i="16"/>
  <c r="CS177" i="16"/>
  <c r="CT177" i="16"/>
  <c r="CU177" i="16"/>
  <c r="CV177" i="16"/>
  <c r="CW177" i="16"/>
  <c r="CS178" i="16"/>
  <c r="CT178" i="16"/>
  <c r="CU178" i="16"/>
  <c r="CV178" i="16"/>
  <c r="CW178" i="16"/>
  <c r="CS179" i="16"/>
  <c r="CT179" i="16"/>
  <c r="CU179" i="16"/>
  <c r="CV179" i="16"/>
  <c r="CW179" i="16"/>
  <c r="CS180" i="16"/>
  <c r="CT180" i="16"/>
  <c r="CU180" i="16"/>
  <c r="CV180" i="16"/>
  <c r="CW180" i="16"/>
  <c r="CS181" i="16"/>
  <c r="CT181" i="16"/>
  <c r="CU181" i="16"/>
  <c r="CV181" i="16"/>
  <c r="CW181" i="16"/>
  <c r="CS182" i="16"/>
  <c r="CT182" i="16"/>
  <c r="CU182" i="16"/>
  <c r="CV182" i="16"/>
  <c r="CW182" i="16"/>
  <c r="CS183" i="16"/>
  <c r="CT183" i="16"/>
  <c r="CU183" i="16"/>
  <c r="CV183" i="16"/>
  <c r="CW183" i="16"/>
  <c r="CS184" i="16"/>
  <c r="CT184" i="16"/>
  <c r="CU184" i="16"/>
  <c r="CV184" i="16"/>
  <c r="CW184" i="16"/>
  <c r="CS185" i="16"/>
  <c r="CT185" i="16"/>
  <c r="CU185" i="16"/>
  <c r="CV185" i="16"/>
  <c r="CW185" i="16"/>
  <c r="CS186" i="16"/>
  <c r="CT186" i="16"/>
  <c r="CU186" i="16"/>
  <c r="CV186" i="16"/>
  <c r="CW186" i="16"/>
  <c r="CS187" i="16"/>
  <c r="CT187" i="16"/>
  <c r="CU187" i="16"/>
  <c r="CV187" i="16"/>
  <c r="CW187" i="16"/>
  <c r="CS188" i="16"/>
  <c r="CT188" i="16"/>
  <c r="CU188" i="16"/>
  <c r="CV188" i="16"/>
  <c r="CW188" i="16"/>
  <c r="CS189" i="16"/>
  <c r="CT189" i="16"/>
  <c r="CU189" i="16"/>
  <c r="CV189" i="16"/>
  <c r="CW189" i="16"/>
  <c r="CS190" i="16"/>
  <c r="CT190" i="16"/>
  <c r="CU190" i="16"/>
  <c r="CV190" i="16"/>
  <c r="CW190" i="16"/>
  <c r="CS191" i="16"/>
  <c r="CT191" i="16"/>
  <c r="CU191" i="16"/>
  <c r="CV191" i="16"/>
  <c r="CW191" i="16"/>
  <c r="CS192" i="16"/>
  <c r="CT192" i="16"/>
  <c r="CU192" i="16"/>
  <c r="CV192" i="16"/>
  <c r="CW192" i="16"/>
  <c r="CS193" i="16"/>
  <c r="CT193" i="16"/>
  <c r="CU193" i="16"/>
  <c r="CV193" i="16"/>
  <c r="CW193" i="16"/>
  <c r="CS194" i="16"/>
  <c r="CT194" i="16"/>
  <c r="CU194" i="16"/>
  <c r="CV194" i="16"/>
  <c r="CW194" i="16"/>
  <c r="CS195" i="16"/>
  <c r="CT195" i="16"/>
  <c r="CU195" i="16"/>
  <c r="CV195" i="16"/>
  <c r="CW195" i="16"/>
  <c r="CS196" i="16"/>
  <c r="CT196" i="16"/>
  <c r="CU196" i="16"/>
  <c r="CV196" i="16"/>
  <c r="CW196" i="16"/>
  <c r="CS197" i="16"/>
  <c r="CT197" i="16"/>
  <c r="CU197" i="16"/>
  <c r="CV197" i="16"/>
  <c r="CW197" i="16"/>
  <c r="CS198" i="16"/>
  <c r="CT198" i="16"/>
  <c r="CU198" i="16"/>
  <c r="CV198" i="16"/>
  <c r="CW198" i="16"/>
  <c r="CS199" i="16"/>
  <c r="CT199" i="16"/>
  <c r="CU199" i="16"/>
  <c r="CV199" i="16"/>
  <c r="CW199" i="16"/>
  <c r="CS200" i="16"/>
  <c r="CT200" i="16"/>
  <c r="CU200" i="16"/>
  <c r="CV200" i="16"/>
  <c r="CW200" i="16"/>
  <c r="CS201" i="16"/>
  <c r="CT201" i="16"/>
  <c r="CU201" i="16"/>
  <c r="CV201" i="16"/>
  <c r="CW201" i="16"/>
  <c r="CS202" i="16"/>
  <c r="CT202" i="16"/>
  <c r="CU202" i="16"/>
  <c r="CV202" i="16"/>
  <c r="CW202" i="16"/>
  <c r="CS203" i="16"/>
  <c r="CT203" i="16"/>
  <c r="CU203" i="16"/>
  <c r="CV203" i="16"/>
  <c r="CW203" i="16"/>
  <c r="CS204" i="16"/>
  <c r="CT204" i="16"/>
  <c r="CU204" i="16"/>
  <c r="CV204" i="16"/>
  <c r="CW204" i="16"/>
  <c r="CS205" i="16"/>
  <c r="CT205" i="16"/>
  <c r="CU205" i="16"/>
  <c r="CV205" i="16"/>
  <c r="CW205" i="16"/>
  <c r="CS206" i="16"/>
  <c r="CT206" i="16"/>
  <c r="CU206" i="16"/>
  <c r="CV206" i="16"/>
  <c r="CW206" i="16"/>
  <c r="CS207" i="16"/>
  <c r="CT207" i="16"/>
  <c r="CU207" i="16"/>
  <c r="CV207" i="16"/>
  <c r="CW207" i="16"/>
  <c r="CS208" i="16"/>
  <c r="CT208" i="16"/>
  <c r="CU208" i="16"/>
  <c r="CV208" i="16"/>
  <c r="CW208" i="16"/>
  <c r="CS209" i="16"/>
  <c r="CT209" i="16"/>
  <c r="CU209" i="16"/>
  <c r="CV209" i="16"/>
  <c r="CW209" i="16"/>
  <c r="CS210" i="16"/>
  <c r="CT210" i="16"/>
  <c r="CU210" i="16"/>
  <c r="CV210" i="16"/>
  <c r="CW210" i="16"/>
  <c r="CS211" i="16"/>
  <c r="CT211" i="16"/>
  <c r="CU211" i="16"/>
  <c r="CV211" i="16"/>
  <c r="CW211" i="16"/>
  <c r="CS212" i="16"/>
  <c r="CT212" i="16"/>
  <c r="CU212" i="16"/>
  <c r="CV212" i="16"/>
  <c r="CW212" i="16"/>
  <c r="CS213" i="16"/>
  <c r="CT213" i="16"/>
  <c r="CU213" i="16"/>
  <c r="CV213" i="16"/>
  <c r="CW213" i="16"/>
  <c r="CS214" i="16"/>
  <c r="CT214" i="16"/>
  <c r="CU214" i="16"/>
  <c r="CV214" i="16"/>
  <c r="CW214" i="16"/>
  <c r="CS215" i="16"/>
  <c r="CT215" i="16"/>
  <c r="CU215" i="16"/>
  <c r="CV215" i="16"/>
  <c r="CW215" i="16"/>
  <c r="CS216" i="16"/>
  <c r="CT216" i="16"/>
  <c r="CU216" i="16"/>
  <c r="CV216" i="16"/>
  <c r="CW216" i="16"/>
  <c r="CS217" i="16"/>
  <c r="CT217" i="16"/>
  <c r="CU217" i="16"/>
  <c r="CV217" i="16"/>
  <c r="CW217" i="16"/>
  <c r="CS218" i="16"/>
  <c r="CT218" i="16"/>
  <c r="CU218" i="16"/>
  <c r="CV218" i="16"/>
  <c r="CW218" i="16"/>
  <c r="CS219" i="16"/>
  <c r="CT219" i="16"/>
  <c r="CU219" i="16"/>
  <c r="CV219" i="16"/>
  <c r="CW219" i="16"/>
  <c r="CS220" i="16"/>
  <c r="CT220" i="16"/>
  <c r="CU220" i="16"/>
  <c r="CV220" i="16"/>
  <c r="CW220" i="16"/>
  <c r="CS221" i="16"/>
  <c r="CT221" i="16"/>
  <c r="CU221" i="16"/>
  <c r="CV221" i="16"/>
  <c r="CW221" i="16"/>
  <c r="CS222" i="16"/>
  <c r="CT222" i="16"/>
  <c r="CU222" i="16"/>
  <c r="CV222" i="16"/>
  <c r="CW222" i="16"/>
  <c r="CS223" i="16"/>
  <c r="CT223" i="16"/>
  <c r="CU223" i="16"/>
  <c r="CV223" i="16"/>
  <c r="CW223" i="16"/>
  <c r="CS224" i="16"/>
  <c r="CT224" i="16"/>
  <c r="CU224" i="16"/>
  <c r="CV224" i="16"/>
  <c r="CW224" i="16"/>
  <c r="CS225" i="16"/>
  <c r="CT225" i="16"/>
  <c r="CU225" i="16"/>
  <c r="CV225" i="16"/>
  <c r="CW225" i="16"/>
  <c r="CS226" i="16"/>
  <c r="CT226" i="16"/>
  <c r="CU226" i="16"/>
  <c r="CV226" i="16"/>
  <c r="CW226" i="16"/>
  <c r="CS227" i="16"/>
  <c r="CT227" i="16"/>
  <c r="CU227" i="16"/>
  <c r="CV227" i="16"/>
  <c r="CW227" i="16"/>
  <c r="CS228" i="16"/>
  <c r="CT228" i="16"/>
  <c r="CU228" i="16"/>
  <c r="CV228" i="16"/>
  <c r="CW228" i="16"/>
  <c r="CS229" i="16"/>
  <c r="CT229" i="16"/>
  <c r="CU229" i="16"/>
  <c r="CV229" i="16"/>
  <c r="CW229" i="16"/>
  <c r="CS230" i="16"/>
  <c r="CT230" i="16"/>
  <c r="CU230" i="16"/>
  <c r="CV230" i="16"/>
  <c r="CW230" i="16"/>
  <c r="CS231" i="16"/>
  <c r="CT231" i="16"/>
  <c r="CU231" i="16"/>
  <c r="CV231" i="16"/>
  <c r="CW231" i="16"/>
  <c r="CS232" i="16"/>
  <c r="CT232" i="16"/>
  <c r="CU232" i="16"/>
  <c r="CV232" i="16"/>
  <c r="CW232" i="16"/>
  <c r="CS233" i="16"/>
  <c r="CT233" i="16"/>
  <c r="CU233" i="16"/>
  <c r="CV233" i="16"/>
  <c r="CW233" i="16"/>
  <c r="CS234" i="16"/>
  <c r="CT234" i="16"/>
  <c r="CU234" i="16"/>
  <c r="CV234" i="16"/>
  <c r="CW234" i="16"/>
  <c r="CS235" i="16"/>
  <c r="CT235" i="16"/>
  <c r="CU235" i="16"/>
  <c r="CV235" i="16"/>
  <c r="CW235" i="16"/>
  <c r="CS236" i="16"/>
  <c r="CT236" i="16"/>
  <c r="CU236" i="16"/>
  <c r="CV236" i="16"/>
  <c r="CW236" i="16"/>
  <c r="CS237" i="16"/>
  <c r="CT237" i="16"/>
  <c r="CU237" i="16"/>
  <c r="CV237" i="16"/>
  <c r="CW237" i="16"/>
  <c r="CS238" i="16"/>
  <c r="CT238" i="16"/>
  <c r="CU238" i="16"/>
  <c r="CV238" i="16"/>
  <c r="CW238" i="16"/>
  <c r="CS239" i="16"/>
  <c r="CT239" i="16"/>
  <c r="CU239" i="16"/>
  <c r="CV239" i="16"/>
  <c r="CW239" i="16"/>
  <c r="CS240" i="16"/>
  <c r="CT240" i="16"/>
  <c r="CU240" i="16"/>
  <c r="CV240" i="16"/>
  <c r="CW240" i="16"/>
  <c r="CS241" i="16"/>
  <c r="CT241" i="16"/>
  <c r="CU241" i="16"/>
  <c r="CV241" i="16"/>
  <c r="CW241" i="16"/>
  <c r="CS242" i="16"/>
  <c r="CT242" i="16"/>
  <c r="CU242" i="16"/>
  <c r="CV242" i="16"/>
  <c r="CW242" i="16"/>
  <c r="CS243" i="16"/>
  <c r="CT243" i="16"/>
  <c r="CU243" i="16"/>
  <c r="CV243" i="16"/>
  <c r="CW243" i="16"/>
  <c r="CS244" i="16"/>
  <c r="CT244" i="16"/>
  <c r="CU244" i="16"/>
  <c r="CV244" i="16"/>
  <c r="CW244" i="16"/>
  <c r="CS245" i="16"/>
  <c r="CT245" i="16"/>
  <c r="CU245" i="16"/>
  <c r="CV245" i="16"/>
  <c r="CW245" i="16"/>
  <c r="CS246" i="16"/>
  <c r="CT246" i="16"/>
  <c r="CU246" i="16"/>
  <c r="CV246" i="16"/>
  <c r="CW246" i="16"/>
  <c r="CS247" i="16"/>
  <c r="CT247" i="16"/>
  <c r="CU247" i="16"/>
  <c r="CV247" i="16"/>
  <c r="CW247" i="16"/>
  <c r="CS248" i="16"/>
  <c r="CT248" i="16"/>
  <c r="CU248" i="16"/>
  <c r="CV248" i="16"/>
  <c r="CW248" i="16"/>
  <c r="CS249" i="16"/>
  <c r="CT249" i="16"/>
  <c r="CU249" i="16"/>
  <c r="CV249" i="16"/>
  <c r="CW249" i="16"/>
  <c r="CS250" i="16"/>
  <c r="CT250" i="16"/>
  <c r="CU250" i="16"/>
  <c r="CV250" i="16"/>
  <c r="CW250" i="16"/>
  <c r="CS251" i="16"/>
  <c r="CT251" i="16"/>
  <c r="CU251" i="16"/>
  <c r="CV251" i="16"/>
  <c r="CW251" i="16"/>
  <c r="CS252" i="16"/>
  <c r="CT252" i="16"/>
  <c r="CU252" i="16"/>
  <c r="CV252" i="16"/>
  <c r="CW252" i="16"/>
  <c r="CS253" i="16"/>
  <c r="CT253" i="16"/>
  <c r="CU253" i="16"/>
  <c r="CV253" i="16"/>
  <c r="CW253" i="16"/>
  <c r="CS254" i="16"/>
  <c r="CT254" i="16"/>
  <c r="CU254" i="16"/>
  <c r="CV254" i="16"/>
  <c r="CW254" i="16"/>
  <c r="CS255" i="16"/>
  <c r="CT255" i="16"/>
  <c r="CU255" i="16"/>
  <c r="CV255" i="16"/>
  <c r="CW255" i="16"/>
  <c r="CS256" i="16"/>
  <c r="CT256" i="16"/>
  <c r="CU256" i="16"/>
  <c r="CV256" i="16"/>
  <c r="CW256" i="16"/>
  <c r="CS257" i="16"/>
  <c r="CT257" i="16"/>
  <c r="CU257" i="16"/>
  <c r="CV257" i="16"/>
  <c r="CW257" i="16"/>
  <c r="CS258" i="16"/>
  <c r="CT258" i="16"/>
  <c r="CU258" i="16"/>
  <c r="CV258" i="16"/>
  <c r="CW258" i="16"/>
  <c r="CS259" i="16"/>
  <c r="CT259" i="16"/>
  <c r="CU259" i="16"/>
  <c r="CV259" i="16"/>
  <c r="CW259" i="16"/>
  <c r="CS260" i="16"/>
  <c r="CT260" i="16"/>
  <c r="CU260" i="16"/>
  <c r="CV260" i="16"/>
  <c r="CW260" i="16"/>
  <c r="CS261" i="16"/>
  <c r="CT261" i="16"/>
  <c r="CU261" i="16"/>
  <c r="CV261" i="16"/>
  <c r="CW261" i="16"/>
  <c r="CS262" i="16"/>
  <c r="CT262" i="16"/>
  <c r="CU262" i="16"/>
  <c r="CV262" i="16"/>
  <c r="CW262" i="16"/>
  <c r="CS263" i="16"/>
  <c r="CT263" i="16"/>
  <c r="CU263" i="16"/>
  <c r="CV263" i="16"/>
  <c r="CW263" i="16"/>
  <c r="CS264" i="16"/>
  <c r="CT264" i="16"/>
  <c r="CU264" i="16"/>
  <c r="CV264" i="16"/>
  <c r="CW264" i="16"/>
  <c r="CS265" i="16"/>
  <c r="CT265" i="16"/>
  <c r="CU265" i="16"/>
  <c r="CV265" i="16"/>
  <c r="CW265" i="16"/>
  <c r="CS266" i="16"/>
  <c r="CT266" i="16"/>
  <c r="CU266" i="16"/>
  <c r="CV266" i="16"/>
  <c r="CW266" i="16"/>
  <c r="CS267" i="16"/>
  <c r="CT267" i="16"/>
  <c r="CU267" i="16"/>
  <c r="CV267" i="16"/>
  <c r="CW267" i="16"/>
  <c r="CS268" i="16"/>
  <c r="CT268" i="16"/>
  <c r="CU268" i="16"/>
  <c r="CV268" i="16"/>
  <c r="CW268" i="16"/>
  <c r="CS269" i="16"/>
  <c r="CT269" i="16"/>
  <c r="CU269" i="16"/>
  <c r="CV269" i="16"/>
  <c r="CW269" i="16"/>
  <c r="CS270" i="16"/>
  <c r="CT270" i="16"/>
  <c r="CU270" i="16"/>
  <c r="CV270" i="16"/>
  <c r="CW270" i="16"/>
  <c r="CS271" i="16"/>
  <c r="CT271" i="16"/>
  <c r="CU271" i="16"/>
  <c r="CV271" i="16"/>
  <c r="CW271" i="16"/>
  <c r="CS272" i="16"/>
  <c r="CT272" i="16"/>
  <c r="CU272" i="16"/>
  <c r="CV272" i="16"/>
  <c r="CW272" i="16"/>
  <c r="CS273" i="16"/>
  <c r="CT273" i="16"/>
  <c r="CU273" i="16"/>
  <c r="CV273" i="16"/>
  <c r="CW273" i="16"/>
  <c r="CS274" i="16"/>
  <c r="CT274" i="16"/>
  <c r="CU274" i="16"/>
  <c r="CV274" i="16"/>
  <c r="CW274" i="16"/>
  <c r="CS275" i="16"/>
  <c r="CT275" i="16"/>
  <c r="CU275" i="16"/>
  <c r="CV275" i="16"/>
  <c r="CW275" i="16"/>
  <c r="CS276" i="16"/>
  <c r="CT276" i="16"/>
  <c r="CU276" i="16"/>
  <c r="CV276" i="16"/>
  <c r="CW276" i="16"/>
  <c r="CS277" i="16"/>
  <c r="CT277" i="16"/>
  <c r="CU277" i="16"/>
  <c r="CV277" i="16"/>
  <c r="CW277" i="16"/>
  <c r="CS278" i="16"/>
  <c r="CT278" i="16"/>
  <c r="CU278" i="16"/>
  <c r="CV278" i="16"/>
  <c r="CW278" i="16"/>
  <c r="CS279" i="16"/>
  <c r="CT279" i="16"/>
  <c r="CU279" i="16"/>
  <c r="CV279" i="16"/>
  <c r="CW279" i="16"/>
  <c r="CS280" i="16"/>
  <c r="CT280" i="16"/>
  <c r="CU280" i="16"/>
  <c r="CV280" i="16"/>
  <c r="CW280" i="16"/>
  <c r="CS281" i="16"/>
  <c r="CT281" i="16"/>
  <c r="CU281" i="16"/>
  <c r="CV281" i="16"/>
  <c r="CW281" i="16"/>
  <c r="CS282" i="16"/>
  <c r="CT282" i="16"/>
  <c r="CU282" i="16"/>
  <c r="CV282" i="16"/>
  <c r="CW282" i="16"/>
  <c r="CS283" i="16"/>
  <c r="CT283" i="16"/>
  <c r="CU283" i="16"/>
  <c r="CV283" i="16"/>
  <c r="CW283" i="16"/>
  <c r="CS284" i="16"/>
  <c r="CT284" i="16"/>
  <c r="CU284" i="16"/>
  <c r="CV284" i="16"/>
  <c r="CW284" i="16"/>
  <c r="CS285" i="16"/>
  <c r="CT285" i="16"/>
  <c r="CU285" i="16"/>
  <c r="CV285" i="16"/>
  <c r="CW285" i="16"/>
  <c r="CS286" i="16"/>
  <c r="CT286" i="16"/>
  <c r="CU286" i="16"/>
  <c r="CV286" i="16"/>
  <c r="CW286" i="16"/>
  <c r="CS287" i="16"/>
  <c r="CT287" i="16"/>
  <c r="CU287" i="16"/>
  <c r="CV287" i="16"/>
  <c r="CW287" i="16"/>
  <c r="CS288" i="16"/>
  <c r="CT288" i="16"/>
  <c r="CU288" i="16"/>
  <c r="CV288" i="16"/>
  <c r="CW288" i="16"/>
  <c r="CS289" i="16"/>
  <c r="CT289" i="16"/>
  <c r="CU289" i="16"/>
  <c r="CV289" i="16"/>
  <c r="CW289" i="16"/>
  <c r="CS290" i="16"/>
  <c r="CT290" i="16"/>
  <c r="CU290" i="16"/>
  <c r="CV290" i="16"/>
  <c r="CW290" i="16"/>
  <c r="CS291" i="16"/>
  <c r="CT291" i="16"/>
  <c r="CU291" i="16"/>
  <c r="CV291" i="16"/>
  <c r="CW291" i="16"/>
  <c r="CS292" i="16"/>
  <c r="CT292" i="16"/>
  <c r="CU292" i="16"/>
  <c r="CV292" i="16"/>
  <c r="CW292" i="16"/>
  <c r="CS293" i="16"/>
  <c r="CT293" i="16"/>
  <c r="CU293" i="16"/>
  <c r="CV293" i="16"/>
  <c r="CW293" i="16"/>
  <c r="CS294" i="16"/>
  <c r="CT294" i="16"/>
  <c r="CU294" i="16"/>
  <c r="CV294" i="16"/>
  <c r="CW294" i="16"/>
  <c r="CS295" i="16"/>
  <c r="CT295" i="16"/>
  <c r="CU295" i="16"/>
  <c r="CV295" i="16"/>
  <c r="CW295" i="16"/>
  <c r="CS296" i="16"/>
  <c r="CT296" i="16"/>
  <c r="CU296" i="16"/>
  <c r="CV296" i="16"/>
  <c r="CW296" i="16"/>
  <c r="CS297" i="16"/>
  <c r="CT297" i="16"/>
  <c r="CU297" i="16"/>
  <c r="CV297" i="16"/>
  <c r="CW297" i="16"/>
  <c r="CS298" i="16"/>
  <c r="CT298" i="16"/>
  <c r="CU298" i="16"/>
  <c r="CV298" i="16"/>
  <c r="CW298" i="16"/>
  <c r="CS299" i="16"/>
  <c r="CT299" i="16"/>
  <c r="CU299" i="16"/>
  <c r="CV299" i="16"/>
  <c r="CW299" i="16"/>
  <c r="CS300" i="16"/>
  <c r="CT300" i="16"/>
  <c r="CU300" i="16"/>
  <c r="CV300" i="16"/>
  <c r="CW300" i="16"/>
  <c r="CS301" i="16"/>
  <c r="CT301" i="16"/>
  <c r="CU301" i="16"/>
  <c r="CV301" i="16"/>
  <c r="CW301" i="16"/>
  <c r="CS302" i="16"/>
  <c r="CT302" i="16"/>
  <c r="CU302" i="16"/>
  <c r="CV302" i="16"/>
  <c r="CW302" i="16"/>
  <c r="CS303" i="16"/>
  <c r="CT303" i="16"/>
  <c r="CU303" i="16"/>
  <c r="CV303" i="16"/>
  <c r="CW303" i="16"/>
  <c r="CS304" i="16"/>
  <c r="CT304" i="16"/>
  <c r="CU304" i="16"/>
  <c r="CV304" i="16"/>
  <c r="CW304" i="16"/>
  <c r="CS305" i="16"/>
  <c r="CT305" i="16"/>
  <c r="CU305" i="16"/>
  <c r="CV305" i="16"/>
  <c r="CW305" i="16"/>
  <c r="CS306" i="16"/>
  <c r="CT306" i="16"/>
  <c r="CU306" i="16"/>
  <c r="CV306" i="16"/>
  <c r="CW306" i="16"/>
  <c r="CS307" i="16"/>
  <c r="CT307" i="16"/>
  <c r="CU307" i="16"/>
  <c r="CV307" i="16"/>
  <c r="CW307" i="16"/>
  <c r="CS308" i="16"/>
  <c r="CT308" i="16"/>
  <c r="CU308" i="16"/>
  <c r="CV308" i="16"/>
  <c r="CW308" i="16"/>
  <c r="CS309" i="16"/>
  <c r="CT309" i="16"/>
  <c r="CU309" i="16"/>
  <c r="CV309" i="16"/>
  <c r="CW309" i="16"/>
  <c r="CS310" i="16"/>
  <c r="CT310" i="16"/>
  <c r="CU310" i="16"/>
  <c r="CV310" i="16"/>
  <c r="CW310" i="16"/>
  <c r="CS311" i="16"/>
  <c r="CT311" i="16"/>
  <c r="CU311" i="16"/>
  <c r="CV311" i="16"/>
  <c r="CW311" i="16"/>
  <c r="CS312" i="16"/>
  <c r="CT312" i="16"/>
  <c r="CU312" i="16"/>
  <c r="CV312" i="16"/>
  <c r="CW312" i="16"/>
  <c r="CS313" i="16"/>
  <c r="CT313" i="16"/>
  <c r="CU313" i="16"/>
  <c r="CV313" i="16"/>
  <c r="CW313" i="16"/>
  <c r="CS314" i="16"/>
  <c r="CT314" i="16"/>
  <c r="CU314" i="16"/>
  <c r="CV314" i="16"/>
  <c r="CW314" i="16"/>
  <c r="CS315" i="16"/>
  <c r="CT315" i="16"/>
  <c r="CU315" i="16"/>
  <c r="CV315" i="16"/>
  <c r="CW315" i="16"/>
  <c r="CS316" i="16"/>
  <c r="CT316" i="16"/>
  <c r="CU316" i="16"/>
  <c r="CV316" i="16"/>
  <c r="CW316" i="16"/>
  <c r="CS317" i="16"/>
  <c r="CT317" i="16"/>
  <c r="CU317" i="16"/>
  <c r="CV317" i="16"/>
  <c r="CW317" i="16"/>
  <c r="CS318" i="16"/>
  <c r="CT318" i="16"/>
  <c r="CU318" i="16"/>
  <c r="CV318" i="16"/>
  <c r="CW318" i="16"/>
  <c r="CS319" i="16"/>
  <c r="CT319" i="16"/>
  <c r="CU319" i="16"/>
  <c r="CV319" i="16"/>
  <c r="CW319" i="16"/>
  <c r="CS320" i="16"/>
  <c r="CT320" i="16"/>
  <c r="CU320" i="16"/>
  <c r="CV320" i="16"/>
  <c r="CW320" i="16"/>
  <c r="CS321" i="16"/>
  <c r="CT321" i="16"/>
  <c r="CU321" i="16"/>
  <c r="CV321" i="16"/>
  <c r="CW321" i="16"/>
  <c r="CS322" i="16"/>
  <c r="CT322" i="16"/>
  <c r="CU322" i="16"/>
  <c r="CV322" i="16"/>
  <c r="CW322" i="16"/>
  <c r="CS323" i="16"/>
  <c r="CT323" i="16"/>
  <c r="CU323" i="16"/>
  <c r="CV323" i="16"/>
  <c r="CW323" i="16"/>
  <c r="CS324" i="16"/>
  <c r="CT324" i="16"/>
  <c r="CU324" i="16"/>
  <c r="CV324" i="16"/>
  <c r="CW324" i="16"/>
  <c r="CS325" i="16"/>
  <c r="CT325" i="16"/>
  <c r="CU325" i="16"/>
  <c r="CV325" i="16"/>
  <c r="CW325" i="16"/>
  <c r="CS326" i="16"/>
  <c r="CT326" i="16"/>
  <c r="CU326" i="16"/>
  <c r="CV326" i="16"/>
  <c r="CW326" i="16"/>
  <c r="CS327" i="16"/>
  <c r="CT327" i="16"/>
  <c r="CU327" i="16"/>
  <c r="CV327" i="16"/>
  <c r="CW327" i="16"/>
  <c r="CS328" i="16"/>
  <c r="CT328" i="16"/>
  <c r="CU328" i="16"/>
  <c r="CV328" i="16"/>
  <c r="CW328" i="16"/>
  <c r="CS329" i="16"/>
  <c r="CT329" i="16"/>
  <c r="CU329" i="16"/>
  <c r="CV329" i="16"/>
  <c r="CW329" i="16"/>
  <c r="CS330" i="16"/>
  <c r="CT330" i="16"/>
  <c r="CU330" i="16"/>
  <c r="CV330" i="16"/>
  <c r="CW330" i="16"/>
  <c r="CS331" i="16"/>
  <c r="CT331" i="16"/>
  <c r="CU331" i="16"/>
  <c r="CV331" i="16"/>
  <c r="CW331" i="16"/>
  <c r="CS332" i="16"/>
  <c r="CT332" i="16"/>
  <c r="CU332" i="16"/>
  <c r="CV332" i="16"/>
  <c r="CW332" i="16"/>
  <c r="CS333" i="16"/>
  <c r="CT333" i="16"/>
  <c r="CU333" i="16"/>
  <c r="CV333" i="16"/>
  <c r="CW333" i="16"/>
  <c r="CS334" i="16"/>
  <c r="CT334" i="16"/>
  <c r="CU334" i="16"/>
  <c r="CV334" i="16"/>
  <c r="CW334" i="16"/>
  <c r="CS335" i="16"/>
  <c r="CT335" i="16"/>
  <c r="CU335" i="16"/>
  <c r="CV335" i="16"/>
  <c r="CW335" i="16"/>
  <c r="CS336" i="16"/>
  <c r="CT336" i="16"/>
  <c r="CU336" i="16"/>
  <c r="CV336" i="16"/>
  <c r="CW336" i="16"/>
  <c r="CS337" i="16"/>
  <c r="CT337" i="16"/>
  <c r="CU337" i="16"/>
  <c r="CV337" i="16"/>
  <c r="CW337" i="16"/>
  <c r="CS338" i="16"/>
  <c r="CT338" i="16"/>
  <c r="CU338" i="16"/>
  <c r="CV338" i="16"/>
  <c r="CW338" i="16"/>
  <c r="CS339" i="16"/>
  <c r="CT339" i="16"/>
  <c r="CU339" i="16"/>
  <c r="CV339" i="16"/>
  <c r="CW339" i="16"/>
  <c r="CS340" i="16"/>
  <c r="CT340" i="16"/>
  <c r="CU340" i="16"/>
  <c r="CV340" i="16"/>
  <c r="CW340" i="16"/>
  <c r="CS341" i="16"/>
  <c r="CT341" i="16"/>
  <c r="CU341" i="16"/>
  <c r="CV341" i="16"/>
  <c r="CW341" i="16"/>
  <c r="CS342" i="16"/>
  <c r="CT342" i="16"/>
  <c r="CU342" i="16"/>
  <c r="CV342" i="16"/>
  <c r="CW342" i="16"/>
  <c r="CS343" i="16"/>
  <c r="CT343" i="16"/>
  <c r="CU343" i="16"/>
  <c r="CV343" i="16"/>
  <c r="CW343" i="16"/>
  <c r="CS344" i="16"/>
  <c r="CT344" i="16"/>
  <c r="CU344" i="16"/>
  <c r="CV344" i="16"/>
  <c r="CW344" i="16"/>
  <c r="CS345" i="16"/>
  <c r="CT345" i="16"/>
  <c r="CU345" i="16"/>
  <c r="CV345" i="16"/>
  <c r="CW345" i="16"/>
  <c r="CS346" i="16"/>
  <c r="CT346" i="16"/>
  <c r="CU346" i="16"/>
  <c r="CV346" i="16"/>
  <c r="CW346" i="16"/>
  <c r="CS347" i="16"/>
  <c r="CT347" i="16"/>
  <c r="CU347" i="16"/>
  <c r="CV347" i="16"/>
  <c r="CW347" i="16"/>
  <c r="CS348" i="16"/>
  <c r="CT348" i="16"/>
  <c r="CU348" i="16"/>
  <c r="CV348" i="16"/>
  <c r="CW348" i="16"/>
  <c r="CS349" i="16"/>
  <c r="CT349" i="16"/>
  <c r="CU349" i="16"/>
  <c r="CV349" i="16"/>
  <c r="CW349" i="16"/>
  <c r="CS350" i="16"/>
  <c r="CT350" i="16"/>
  <c r="CU350" i="16"/>
  <c r="CV350" i="16"/>
  <c r="CW350" i="16"/>
  <c r="CS351" i="16"/>
  <c r="CT351" i="16"/>
  <c r="CU351" i="16"/>
  <c r="CV351" i="16"/>
  <c r="CW351" i="16"/>
  <c r="CS352" i="16"/>
  <c r="CT352" i="16"/>
  <c r="CU352" i="16"/>
  <c r="CV352" i="16"/>
  <c r="CW352" i="16"/>
  <c r="CS353" i="16"/>
  <c r="CT353" i="16"/>
  <c r="CU353" i="16"/>
  <c r="CV353" i="16"/>
  <c r="CW353" i="16"/>
  <c r="CS354" i="16"/>
  <c r="CT354" i="16"/>
  <c r="CU354" i="16"/>
  <c r="CV354" i="16"/>
  <c r="CW354" i="16"/>
  <c r="CS355" i="16"/>
  <c r="CT355" i="16"/>
  <c r="CU355" i="16"/>
  <c r="CV355" i="16"/>
  <c r="CW355" i="16"/>
  <c r="CS356" i="16"/>
  <c r="CT356" i="16"/>
  <c r="CU356" i="16"/>
  <c r="CV356" i="16"/>
  <c r="CW356" i="16"/>
  <c r="CS357" i="16"/>
  <c r="CT357" i="16"/>
  <c r="CU357" i="16"/>
  <c r="CV357" i="16"/>
  <c r="CW357" i="16"/>
  <c r="CS358" i="16"/>
  <c r="CT358" i="16"/>
  <c r="CU358" i="16"/>
  <c r="CV358" i="16"/>
  <c r="CW358" i="16"/>
  <c r="CS359" i="16"/>
  <c r="CT359" i="16"/>
  <c r="CU359" i="16"/>
  <c r="CV359" i="16"/>
  <c r="CW359" i="16"/>
  <c r="CS360" i="16"/>
  <c r="CT360" i="16"/>
  <c r="CU360" i="16"/>
  <c r="CV360" i="16"/>
  <c r="CW360" i="16"/>
  <c r="CS361" i="16"/>
  <c r="CT361" i="16"/>
  <c r="CU361" i="16"/>
  <c r="CV361" i="16"/>
  <c r="CW361" i="16"/>
  <c r="CS362" i="16"/>
  <c r="CT362" i="16"/>
  <c r="CU362" i="16"/>
  <c r="CV362" i="16"/>
  <c r="CW362" i="16"/>
  <c r="CS363" i="16"/>
  <c r="CT363" i="16"/>
  <c r="CU363" i="16"/>
  <c r="CV363" i="16"/>
  <c r="CW363" i="16"/>
  <c r="CS364" i="16"/>
  <c r="CT364" i="16"/>
  <c r="CU364" i="16"/>
  <c r="CV364" i="16"/>
  <c r="CW364" i="16"/>
  <c r="CS365" i="16"/>
  <c r="CT365" i="16"/>
  <c r="CU365" i="16"/>
  <c r="CV365" i="16"/>
  <c r="CW365" i="16"/>
  <c r="CS366" i="16"/>
  <c r="CT366" i="16"/>
  <c r="CU366" i="16"/>
  <c r="CV366" i="16"/>
  <c r="CW366" i="16"/>
  <c r="CS367" i="16"/>
  <c r="CT367" i="16"/>
  <c r="CU367" i="16"/>
  <c r="CV367" i="16"/>
  <c r="CW367" i="16"/>
  <c r="CS368" i="16"/>
  <c r="CT368" i="16"/>
  <c r="CU368" i="16"/>
  <c r="CV368" i="16"/>
  <c r="CW368" i="16"/>
  <c r="CS369" i="16"/>
  <c r="CT369" i="16"/>
  <c r="CU369" i="16"/>
  <c r="CV369" i="16"/>
  <c r="CW369" i="16"/>
  <c r="CS370" i="16"/>
  <c r="CT370" i="16"/>
  <c r="CU370" i="16"/>
  <c r="CV370" i="16"/>
  <c r="CW370" i="16"/>
  <c r="CS371" i="16"/>
  <c r="CT371" i="16"/>
  <c r="CU371" i="16"/>
  <c r="CV371" i="16"/>
  <c r="CW371" i="16"/>
  <c r="CS372" i="16"/>
  <c r="CT372" i="16"/>
  <c r="CU372" i="16"/>
  <c r="CV372" i="16"/>
  <c r="CW372" i="16"/>
  <c r="CS373" i="16"/>
  <c r="CT373" i="16"/>
  <c r="CU373" i="16"/>
  <c r="CV373" i="16"/>
  <c r="CW373" i="16"/>
  <c r="CS374" i="16"/>
  <c r="CT374" i="16"/>
  <c r="CU374" i="16"/>
  <c r="CV374" i="16"/>
  <c r="CW374" i="16"/>
  <c r="CS375" i="16"/>
  <c r="CT375" i="16"/>
  <c r="CU375" i="16"/>
  <c r="CV375" i="16"/>
  <c r="CW375" i="16"/>
  <c r="CS376" i="16"/>
  <c r="CT376" i="16"/>
  <c r="CU376" i="16"/>
  <c r="CV376" i="16"/>
  <c r="CW376" i="16"/>
  <c r="CS377" i="16"/>
  <c r="CT377" i="16"/>
  <c r="CU377" i="16"/>
  <c r="CV377" i="16"/>
  <c r="CW377" i="16"/>
  <c r="CS378" i="16"/>
  <c r="CT378" i="16"/>
  <c r="CU378" i="16"/>
  <c r="CV378" i="16"/>
  <c r="CW378" i="16"/>
  <c r="CS379" i="16"/>
  <c r="CT379" i="16"/>
  <c r="CU379" i="16"/>
  <c r="CV379" i="16"/>
  <c r="CW379" i="16"/>
  <c r="CS380" i="16"/>
  <c r="CT380" i="16"/>
  <c r="CU380" i="16"/>
  <c r="CV380" i="16"/>
  <c r="CW380" i="16"/>
  <c r="CS381" i="16"/>
  <c r="CT381" i="16"/>
  <c r="CU381" i="16"/>
  <c r="CV381" i="16"/>
  <c r="CW381" i="16"/>
  <c r="CS382" i="16"/>
  <c r="CT382" i="16"/>
  <c r="CU382" i="16"/>
  <c r="CV382" i="16"/>
  <c r="CW382" i="16"/>
  <c r="CS383" i="16"/>
  <c r="CT383" i="16"/>
  <c r="CU383" i="16"/>
  <c r="CV383" i="16"/>
  <c r="CW383" i="16"/>
  <c r="CS384" i="16"/>
  <c r="CT384" i="16"/>
  <c r="CU384" i="16"/>
  <c r="CV384" i="16"/>
  <c r="CW384" i="16"/>
  <c r="CS385" i="16"/>
  <c r="CT385" i="16"/>
  <c r="CU385" i="16"/>
  <c r="CV385" i="16"/>
  <c r="CW385" i="16"/>
  <c r="CS386" i="16"/>
  <c r="CT386" i="16"/>
  <c r="CU386" i="16"/>
  <c r="CV386" i="16"/>
  <c r="CW386" i="16"/>
  <c r="CS387" i="16"/>
  <c r="CT387" i="16"/>
  <c r="CU387" i="16"/>
  <c r="CV387" i="16"/>
  <c r="CW387" i="16"/>
  <c r="CS388" i="16"/>
  <c r="CT388" i="16"/>
  <c r="CU388" i="16"/>
  <c r="CV388" i="16"/>
  <c r="CW388" i="16"/>
  <c r="CS389" i="16"/>
  <c r="CT389" i="16"/>
  <c r="CU389" i="16"/>
  <c r="CV389" i="16"/>
  <c r="CW389" i="16"/>
  <c r="CS390" i="16"/>
  <c r="CT390" i="16"/>
  <c r="CU390" i="16"/>
  <c r="CV390" i="16"/>
  <c r="CW390" i="16"/>
  <c r="CS391" i="16"/>
  <c r="CT391" i="16"/>
  <c r="CU391" i="16"/>
  <c r="CV391" i="16"/>
  <c r="CW391" i="16"/>
  <c r="CS392" i="16"/>
  <c r="CT392" i="16"/>
  <c r="CU392" i="16"/>
  <c r="CV392" i="16"/>
  <c r="CW392" i="16"/>
  <c r="CS393" i="16"/>
  <c r="CT393" i="16"/>
  <c r="CU393" i="16"/>
  <c r="CV393" i="16"/>
  <c r="CW393" i="16"/>
  <c r="CS394" i="16"/>
  <c r="CT394" i="16"/>
  <c r="CU394" i="16"/>
  <c r="CV394" i="16"/>
  <c r="CW394" i="16"/>
  <c r="CS395" i="16"/>
  <c r="CT395" i="16"/>
  <c r="CU395" i="16"/>
  <c r="CV395" i="16"/>
  <c r="CW395" i="16"/>
  <c r="CS396" i="16"/>
  <c r="CT396" i="16"/>
  <c r="CU396" i="16"/>
  <c r="CV396" i="16"/>
  <c r="CW396" i="16"/>
  <c r="CS397" i="16"/>
  <c r="CT397" i="16"/>
  <c r="CU397" i="16"/>
  <c r="CV397" i="16"/>
  <c r="CW397" i="16"/>
  <c r="CS398" i="16"/>
  <c r="CT398" i="16"/>
  <c r="CU398" i="16"/>
  <c r="CV398" i="16"/>
  <c r="CW398" i="16"/>
  <c r="CS399" i="16"/>
  <c r="CT399" i="16"/>
  <c r="CU399" i="16"/>
  <c r="CV399" i="16"/>
  <c r="CW399" i="16"/>
  <c r="CS400" i="16"/>
  <c r="CT400" i="16"/>
  <c r="CU400" i="16"/>
  <c r="CV400" i="16"/>
  <c r="CW400" i="16"/>
  <c r="CS401" i="16"/>
  <c r="CT401" i="16"/>
  <c r="CU401" i="16"/>
  <c r="CV401" i="16"/>
  <c r="CW401" i="16"/>
  <c r="CS402" i="16"/>
  <c r="CT402" i="16"/>
  <c r="CU402" i="16"/>
  <c r="CV402" i="16"/>
  <c r="CW402" i="16"/>
  <c r="CS403" i="16"/>
  <c r="CT403" i="16"/>
  <c r="CU403" i="16"/>
  <c r="CV403" i="16"/>
  <c r="CW403" i="16"/>
  <c r="CS404" i="16"/>
  <c r="CT404" i="16"/>
  <c r="CU404" i="16"/>
  <c r="CV404" i="16"/>
  <c r="CW404" i="16"/>
  <c r="CS405" i="16"/>
  <c r="CT405" i="16"/>
  <c r="CU405" i="16"/>
  <c r="CV405" i="16"/>
  <c r="CW405" i="16"/>
  <c r="CS406" i="16"/>
  <c r="CT406" i="16"/>
  <c r="CU406" i="16"/>
  <c r="CV406" i="16"/>
  <c r="CW406" i="16"/>
  <c r="CS407" i="16"/>
  <c r="CT407" i="16"/>
  <c r="CU407" i="16"/>
  <c r="CV407" i="16"/>
  <c r="CW407" i="16"/>
  <c r="CS408" i="16"/>
  <c r="CT408" i="16"/>
  <c r="CU408" i="16"/>
  <c r="CV408" i="16"/>
  <c r="CW408" i="16"/>
  <c r="CS409" i="16"/>
  <c r="CT409" i="16"/>
  <c r="CU409" i="16"/>
  <c r="CV409" i="16"/>
  <c r="CW409" i="16"/>
  <c r="CS410" i="16"/>
  <c r="CT410" i="16"/>
  <c r="CU410" i="16"/>
  <c r="CV410" i="16"/>
  <c r="CW410" i="16"/>
  <c r="CS411" i="16"/>
  <c r="CT411" i="16"/>
  <c r="CU411" i="16"/>
  <c r="CV411" i="16"/>
  <c r="CW411" i="16"/>
  <c r="CS412" i="16"/>
  <c r="CT412" i="16"/>
  <c r="CU412" i="16"/>
  <c r="CV412" i="16"/>
  <c r="CW412" i="16"/>
  <c r="CS413" i="16"/>
  <c r="CT413" i="16"/>
  <c r="CU413" i="16"/>
  <c r="CV413" i="16"/>
  <c r="CW413" i="16"/>
  <c r="CS414" i="16"/>
  <c r="CT414" i="16"/>
  <c r="CU414" i="16"/>
  <c r="CV414" i="16"/>
  <c r="CW414" i="16"/>
  <c r="CS415" i="16"/>
  <c r="CT415" i="16"/>
  <c r="CU415" i="16"/>
  <c r="CV415" i="16"/>
  <c r="CW415" i="16"/>
  <c r="CS416" i="16"/>
  <c r="CT416" i="16"/>
  <c r="CU416" i="16"/>
  <c r="CV416" i="16"/>
  <c r="CW416" i="16"/>
  <c r="CS417" i="16"/>
  <c r="CT417" i="16"/>
  <c r="CU417" i="16"/>
  <c r="CV417" i="16"/>
  <c r="CW417" i="16"/>
  <c r="CS418" i="16"/>
  <c r="CT418" i="16"/>
  <c r="CU418" i="16"/>
  <c r="CV418" i="16"/>
  <c r="CW418" i="16"/>
  <c r="CS419" i="16"/>
  <c r="CT419" i="16"/>
  <c r="CU419" i="16"/>
  <c r="CV419" i="16"/>
  <c r="CW419" i="16"/>
  <c r="CS420" i="16"/>
  <c r="CT420" i="16"/>
  <c r="CU420" i="16"/>
  <c r="CV420" i="16"/>
  <c r="CW420" i="16"/>
  <c r="CS421" i="16"/>
  <c r="CT421" i="16"/>
  <c r="CU421" i="16"/>
  <c r="CV421" i="16"/>
  <c r="CW421" i="16"/>
  <c r="CS422" i="16"/>
  <c r="CT422" i="16"/>
  <c r="CU422" i="16"/>
  <c r="CV422" i="16"/>
  <c r="CW422" i="16"/>
  <c r="CS423" i="16"/>
  <c r="CT423" i="16"/>
  <c r="CU423" i="16"/>
  <c r="CV423" i="16"/>
  <c r="CW423" i="16"/>
  <c r="CS424" i="16"/>
  <c r="CT424" i="16"/>
  <c r="CU424" i="16"/>
  <c r="CV424" i="16"/>
  <c r="CW424" i="16"/>
  <c r="CS425" i="16"/>
  <c r="CT425" i="16"/>
  <c r="CU425" i="16"/>
  <c r="CV425" i="16"/>
  <c r="CW425" i="16"/>
  <c r="CS426" i="16"/>
  <c r="CT426" i="16"/>
  <c r="CU426" i="16"/>
  <c r="CV426" i="16"/>
  <c r="CW426" i="16"/>
  <c r="CS427" i="16"/>
  <c r="CT427" i="16"/>
  <c r="CU427" i="16"/>
  <c r="CV427" i="16"/>
  <c r="CW427" i="16"/>
  <c r="CS428" i="16"/>
  <c r="CT428" i="16"/>
  <c r="CU428" i="16"/>
  <c r="CV428" i="16"/>
  <c r="CW428" i="16"/>
  <c r="CS429" i="16"/>
  <c r="CT429" i="16"/>
  <c r="CU429" i="16"/>
  <c r="CV429" i="16"/>
  <c r="CW429" i="16"/>
  <c r="CS430" i="16"/>
  <c r="CT430" i="16"/>
  <c r="CU430" i="16"/>
  <c r="CV430" i="16"/>
  <c r="CW430" i="16"/>
  <c r="CS431" i="16"/>
  <c r="CT431" i="16"/>
  <c r="CU431" i="16"/>
  <c r="CV431" i="16"/>
  <c r="CW431" i="16"/>
  <c r="CS432" i="16"/>
  <c r="CT432" i="16"/>
  <c r="CU432" i="16"/>
  <c r="CV432" i="16"/>
  <c r="CW432" i="16"/>
  <c r="CS433" i="16"/>
  <c r="CT433" i="16"/>
  <c r="CU433" i="16"/>
  <c r="CV433" i="16"/>
  <c r="CW433" i="16"/>
  <c r="CS434" i="16"/>
  <c r="CT434" i="16"/>
  <c r="CU434" i="16"/>
  <c r="CV434" i="16"/>
  <c r="CW434" i="16"/>
  <c r="CS435" i="16"/>
  <c r="CT435" i="16"/>
  <c r="CU435" i="16"/>
  <c r="CV435" i="16"/>
  <c r="CW435" i="16"/>
  <c r="CS436" i="16"/>
  <c r="CT436" i="16"/>
  <c r="CU436" i="16"/>
  <c r="CV436" i="16"/>
  <c r="CW436" i="16"/>
  <c r="CS437" i="16"/>
  <c r="CT437" i="16"/>
  <c r="CU437" i="16"/>
  <c r="CV437" i="16"/>
  <c r="CW437" i="16"/>
  <c r="CS438" i="16"/>
  <c r="CT438" i="16"/>
  <c r="CU438" i="16"/>
  <c r="CV438" i="16"/>
  <c r="CW438" i="16"/>
  <c r="CS439" i="16"/>
  <c r="CT439" i="16"/>
  <c r="CU439" i="16"/>
  <c r="CV439" i="16"/>
  <c r="CW439" i="16"/>
  <c r="CS440" i="16"/>
  <c r="CT440" i="16"/>
  <c r="CU440" i="16"/>
  <c r="CV440" i="16"/>
  <c r="CW440" i="16"/>
  <c r="CS441" i="16"/>
  <c r="CT441" i="16"/>
  <c r="CU441" i="16"/>
  <c r="CV441" i="16"/>
  <c r="CW441" i="16"/>
  <c r="CS442" i="16"/>
  <c r="CT442" i="16"/>
  <c r="CU442" i="16"/>
  <c r="CV442" i="16"/>
  <c r="CW442" i="16"/>
  <c r="CS443" i="16"/>
  <c r="CT443" i="16"/>
  <c r="CU443" i="16"/>
  <c r="CV443" i="16"/>
  <c r="CW443" i="16"/>
  <c r="CS444" i="16"/>
  <c r="CT444" i="16"/>
  <c r="CU444" i="16"/>
  <c r="CV444" i="16"/>
  <c r="CW444" i="16"/>
  <c r="CS445" i="16"/>
  <c r="CT445" i="16"/>
  <c r="CU445" i="16"/>
  <c r="CV445" i="16"/>
  <c r="CW445" i="16"/>
  <c r="CS446" i="16"/>
  <c r="CT446" i="16"/>
  <c r="CU446" i="16"/>
  <c r="CV446" i="16"/>
  <c r="CW446" i="16"/>
  <c r="CS447" i="16"/>
  <c r="CT447" i="16"/>
  <c r="CU447" i="16"/>
  <c r="CV447" i="16"/>
  <c r="CW447" i="16"/>
  <c r="CS448" i="16"/>
  <c r="CT448" i="16"/>
  <c r="CU448" i="16"/>
  <c r="CV448" i="16"/>
  <c r="CW448" i="16"/>
  <c r="CS449" i="16"/>
  <c r="CT449" i="16"/>
  <c r="CU449" i="16"/>
  <c r="CV449" i="16"/>
  <c r="CW449" i="16"/>
  <c r="CS450" i="16"/>
  <c r="CT450" i="16"/>
  <c r="CU450" i="16"/>
  <c r="CV450" i="16"/>
  <c r="CW450" i="16"/>
  <c r="CS451" i="16"/>
  <c r="CT451" i="16"/>
  <c r="CU451" i="16"/>
  <c r="CV451" i="16"/>
  <c r="CW451" i="16"/>
  <c r="CS452" i="16"/>
  <c r="CT452" i="16"/>
  <c r="CU452" i="16"/>
  <c r="CV452" i="16"/>
  <c r="CW452" i="16"/>
  <c r="CS453" i="16"/>
  <c r="CT453" i="16"/>
  <c r="CU453" i="16"/>
  <c r="CV453" i="16"/>
  <c r="CW453" i="16"/>
  <c r="CS454" i="16"/>
  <c r="CT454" i="16"/>
  <c r="CU454" i="16"/>
  <c r="CV454" i="16"/>
  <c r="CW454" i="16"/>
  <c r="CS455" i="16"/>
  <c r="CT455" i="16"/>
  <c r="CU455" i="16"/>
  <c r="CV455" i="16"/>
  <c r="CW455" i="16"/>
  <c r="CS456" i="16"/>
  <c r="CT456" i="16"/>
  <c r="CU456" i="16"/>
  <c r="CV456" i="16"/>
  <c r="CW456" i="16"/>
  <c r="CS457" i="16"/>
  <c r="CT457" i="16"/>
  <c r="CU457" i="16"/>
  <c r="CV457" i="16"/>
  <c r="CW457" i="16"/>
  <c r="CS458" i="16"/>
  <c r="CT458" i="16"/>
  <c r="CU458" i="16"/>
  <c r="CV458" i="16"/>
  <c r="CW458" i="16"/>
  <c r="CS459" i="16"/>
  <c r="CT459" i="16"/>
  <c r="CU459" i="16"/>
  <c r="CV459" i="16"/>
  <c r="CW459" i="16"/>
  <c r="CS460" i="16"/>
  <c r="CT460" i="16"/>
  <c r="CU460" i="16"/>
  <c r="CV460" i="16"/>
  <c r="CW460" i="16"/>
  <c r="CS461" i="16"/>
  <c r="CT461" i="16"/>
  <c r="CU461" i="16"/>
  <c r="CV461" i="16"/>
  <c r="CW461" i="16"/>
  <c r="CS462" i="16"/>
  <c r="CT462" i="16"/>
  <c r="CU462" i="16"/>
  <c r="CV462" i="16"/>
  <c r="CW462" i="16"/>
  <c r="CS463" i="16"/>
  <c r="CT463" i="16"/>
  <c r="CU463" i="16"/>
  <c r="CV463" i="16"/>
  <c r="CW463" i="16"/>
  <c r="CS464" i="16"/>
  <c r="CT464" i="16"/>
  <c r="CU464" i="16"/>
  <c r="CV464" i="16"/>
  <c r="CW464" i="16"/>
  <c r="CS465" i="16"/>
  <c r="CT465" i="16"/>
  <c r="CU465" i="16"/>
  <c r="CV465" i="16"/>
  <c r="CW465" i="16"/>
  <c r="CS466" i="16"/>
  <c r="CT466" i="16"/>
  <c r="CU466" i="16"/>
  <c r="CV466" i="16"/>
  <c r="CW466" i="16"/>
  <c r="CS467" i="16"/>
  <c r="CT467" i="16"/>
  <c r="CU467" i="16"/>
  <c r="CV467" i="16"/>
  <c r="CW467" i="16"/>
  <c r="CS468" i="16"/>
  <c r="CT468" i="16"/>
  <c r="CU468" i="16"/>
  <c r="CV468" i="16"/>
  <c r="CW468" i="16"/>
  <c r="CS469" i="16"/>
  <c r="CT469" i="16"/>
  <c r="CU469" i="16"/>
  <c r="CV469" i="16"/>
  <c r="CW469" i="16"/>
  <c r="CS470" i="16"/>
  <c r="CT470" i="16"/>
  <c r="CU470" i="16"/>
  <c r="CV470" i="16"/>
  <c r="CW470" i="16"/>
  <c r="CS471" i="16"/>
  <c r="CT471" i="16"/>
  <c r="CU471" i="16"/>
  <c r="CV471" i="16"/>
  <c r="CW471" i="16"/>
  <c r="CS472" i="16"/>
  <c r="CT472" i="16"/>
  <c r="CU472" i="16"/>
  <c r="CV472" i="16"/>
  <c r="CW472" i="16"/>
  <c r="CS473" i="16"/>
  <c r="CT473" i="16"/>
  <c r="CU473" i="16"/>
  <c r="CV473" i="16"/>
  <c r="CW473" i="16"/>
  <c r="CS474" i="16"/>
  <c r="CT474" i="16"/>
  <c r="CU474" i="16"/>
  <c r="CV474" i="16"/>
  <c r="CW474" i="16"/>
  <c r="CS475" i="16"/>
  <c r="CT475" i="16"/>
  <c r="CU475" i="16"/>
  <c r="CV475" i="16"/>
  <c r="CW475" i="16"/>
  <c r="CS476" i="16"/>
  <c r="CT476" i="16"/>
  <c r="CU476" i="16"/>
  <c r="CV476" i="16"/>
  <c r="CW476" i="16"/>
  <c r="CS477" i="16"/>
  <c r="CT477" i="16"/>
  <c r="CU477" i="16"/>
  <c r="CV477" i="16"/>
  <c r="CW477" i="16"/>
  <c r="CS478" i="16"/>
  <c r="CT478" i="16"/>
  <c r="CU478" i="16"/>
  <c r="CV478" i="16"/>
  <c r="CW478" i="16"/>
  <c r="CS479" i="16"/>
  <c r="CT479" i="16"/>
  <c r="CU479" i="16"/>
  <c r="CV479" i="16"/>
  <c r="CW479" i="16"/>
  <c r="CS480" i="16"/>
  <c r="CT480" i="16"/>
  <c r="CU480" i="16"/>
  <c r="CV480" i="16"/>
  <c r="CW480" i="16"/>
  <c r="CS481" i="16"/>
  <c r="CT481" i="16"/>
  <c r="CU481" i="16"/>
  <c r="CV481" i="16"/>
  <c r="CW481" i="16"/>
  <c r="CS482" i="16"/>
  <c r="CT482" i="16"/>
  <c r="CU482" i="16"/>
  <c r="CV482" i="16"/>
  <c r="CW482" i="16"/>
  <c r="CS483" i="16"/>
  <c r="CT483" i="16"/>
  <c r="CU483" i="16"/>
  <c r="CV483" i="16"/>
  <c r="CW483" i="16"/>
  <c r="CS484" i="16"/>
  <c r="CT484" i="16"/>
  <c r="CU484" i="16"/>
  <c r="CV484" i="16"/>
  <c r="CW484" i="16"/>
  <c r="CS485" i="16"/>
  <c r="CT485" i="16"/>
  <c r="CU485" i="16"/>
  <c r="CV485" i="16"/>
  <c r="CW485" i="16"/>
  <c r="CS486" i="16"/>
  <c r="CT486" i="16"/>
  <c r="CU486" i="16"/>
  <c r="CV486" i="16"/>
  <c r="CW486" i="16"/>
  <c r="CS487" i="16"/>
  <c r="CT487" i="16"/>
  <c r="CU487" i="16"/>
  <c r="CV487" i="16"/>
  <c r="CW487" i="16"/>
  <c r="CS488" i="16"/>
  <c r="CT488" i="16"/>
  <c r="CU488" i="16"/>
  <c r="CV488" i="16"/>
  <c r="CW488" i="16"/>
  <c r="CS489" i="16"/>
  <c r="CT489" i="16"/>
  <c r="CU489" i="16"/>
  <c r="CV489" i="16"/>
  <c r="CW489" i="16"/>
  <c r="CS490" i="16"/>
  <c r="CT490" i="16"/>
  <c r="CU490" i="16"/>
  <c r="CV490" i="16"/>
  <c r="CW490" i="16"/>
  <c r="CS491" i="16"/>
  <c r="CT491" i="16"/>
  <c r="CU491" i="16"/>
  <c r="CV491" i="16"/>
  <c r="CW491" i="16"/>
  <c r="CS492" i="16"/>
  <c r="CT492" i="16"/>
  <c r="CU492" i="16"/>
  <c r="CV492" i="16"/>
  <c r="CW492" i="16"/>
  <c r="CS493" i="16"/>
  <c r="CT493" i="16"/>
  <c r="CU493" i="16"/>
  <c r="CV493" i="16"/>
  <c r="CW493" i="16"/>
  <c r="CS494" i="16"/>
  <c r="CT494" i="16"/>
  <c r="CU494" i="16"/>
  <c r="CV494" i="16"/>
  <c r="CW494" i="16"/>
  <c r="CS495" i="16"/>
  <c r="CT495" i="16"/>
  <c r="CU495" i="16"/>
  <c r="CV495" i="16"/>
  <c r="CW495" i="16"/>
  <c r="CS496" i="16"/>
  <c r="CT496" i="16"/>
  <c r="CU496" i="16"/>
  <c r="CV496" i="16"/>
  <c r="CW496" i="16"/>
  <c r="CS497" i="16"/>
  <c r="CT497" i="16"/>
  <c r="CU497" i="16"/>
  <c r="CV497" i="16"/>
  <c r="CW497" i="16"/>
  <c r="CS498" i="16"/>
  <c r="CT498" i="16"/>
  <c r="CU498" i="16"/>
  <c r="CV498" i="16"/>
  <c r="CW498" i="16"/>
  <c r="CS499" i="16"/>
  <c r="CT499" i="16"/>
  <c r="CU499" i="16"/>
  <c r="CV499" i="16"/>
  <c r="CW499" i="16"/>
  <c r="CS500" i="16"/>
  <c r="CT500" i="16"/>
  <c r="CU500" i="16"/>
  <c r="CV500" i="16"/>
  <c r="CW500" i="16"/>
  <c r="CG1" i="16"/>
  <c r="C1" i="23" l="1"/>
  <c r="P4" i="23"/>
  <c r="C10" i="23"/>
  <c r="P10" i="23"/>
  <c r="A16" i="23" s="1"/>
  <c r="U10" i="23"/>
  <c r="A15" i="23"/>
  <c r="A19" i="23"/>
  <c r="A46" i="23"/>
  <c r="A82" i="23"/>
  <c r="A105" i="23"/>
  <c r="A117" i="23"/>
  <c r="A118" i="23"/>
  <c r="A119" i="23"/>
  <c r="A120" i="23"/>
  <c r="A121" i="23"/>
  <c r="H10" i="22"/>
  <c r="A3" i="20"/>
  <c r="A4" i="20"/>
  <c r="A5" i="20"/>
  <c r="A6" i="20"/>
  <c r="A7" i="20"/>
  <c r="A8" i="20"/>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132" i="20"/>
  <c r="A133" i="20"/>
  <c r="A134" i="20"/>
  <c r="A135" i="20"/>
  <c r="A136" i="20"/>
  <c r="A137" i="20"/>
  <c r="A138" i="20"/>
  <c r="A139" i="20"/>
  <c r="A140" i="20"/>
  <c r="A141" i="20"/>
  <c r="A142" i="20"/>
  <c r="A143" i="20"/>
  <c r="A144" i="20"/>
  <c r="A145" i="20"/>
  <c r="A146" i="20"/>
  <c r="A147" i="20"/>
  <c r="A148" i="20"/>
  <c r="A149" i="20"/>
  <c r="A150" i="20"/>
  <c r="A151" i="20"/>
  <c r="A152" i="20"/>
  <c r="A153" i="20"/>
  <c r="A154" i="20"/>
  <c r="A155" i="20"/>
  <c r="A156" i="20"/>
  <c r="A157" i="20"/>
  <c r="A158" i="20"/>
  <c r="A159" i="20"/>
  <c r="A160" i="20"/>
  <c r="A161" i="20"/>
  <c r="A162" i="20"/>
  <c r="A163" i="20"/>
  <c r="A164" i="20"/>
  <c r="A165" i="20"/>
  <c r="A166" i="20"/>
  <c r="A167" i="20"/>
  <c r="A168" i="20"/>
  <c r="A169" i="20"/>
  <c r="A170" i="20"/>
  <c r="A171" i="20"/>
  <c r="A172" i="20"/>
  <c r="A173" i="20"/>
  <c r="A174" i="20"/>
  <c r="A175" i="20"/>
  <c r="A176" i="20"/>
  <c r="A177" i="20"/>
  <c r="A178" i="20"/>
  <c r="A179" i="20"/>
  <c r="A180" i="20"/>
  <c r="A181" i="20"/>
  <c r="A182" i="20"/>
  <c r="A183" i="20"/>
  <c r="A184" i="20"/>
  <c r="A185" i="20"/>
  <c r="A186" i="20"/>
  <c r="A187" i="20"/>
  <c r="A188" i="20"/>
  <c r="A189" i="20"/>
  <c r="A190" i="20"/>
  <c r="A191" i="20"/>
  <c r="A192" i="20"/>
  <c r="A193" i="20"/>
  <c r="A194" i="20"/>
  <c r="A195" i="20"/>
  <c r="A196" i="20"/>
  <c r="A197" i="20"/>
  <c r="A198" i="20"/>
  <c r="A199" i="20"/>
  <c r="A200" i="20"/>
  <c r="A201" i="20"/>
  <c r="A202" i="20"/>
  <c r="A203" i="20"/>
  <c r="A204" i="20"/>
  <c r="A205" i="20"/>
  <c r="A206" i="20"/>
  <c r="A207" i="20"/>
  <c r="A208" i="20"/>
  <c r="A209" i="20"/>
  <c r="A210" i="20"/>
  <c r="A211" i="20"/>
  <c r="A212" i="20"/>
  <c r="A213" i="20"/>
  <c r="A214" i="20"/>
  <c r="A215" i="20"/>
  <c r="A216" i="20"/>
  <c r="A217" i="20"/>
  <c r="A218" i="20"/>
  <c r="A219" i="20"/>
  <c r="A220" i="20"/>
  <c r="A221" i="20"/>
  <c r="A222" i="20"/>
  <c r="A223" i="20"/>
  <c r="A224" i="20"/>
  <c r="A225" i="20"/>
  <c r="A226" i="20"/>
  <c r="A227" i="20"/>
  <c r="A228" i="20"/>
  <c r="A229" i="20"/>
  <c r="A230" i="20"/>
  <c r="A231" i="20"/>
  <c r="A232" i="20"/>
  <c r="A233" i="20"/>
  <c r="A234" i="20"/>
  <c r="A235" i="20"/>
  <c r="A236" i="20"/>
  <c r="A237" i="20"/>
  <c r="A238" i="20"/>
  <c r="A239" i="20"/>
  <c r="A240" i="20"/>
  <c r="A241" i="20"/>
  <c r="A242" i="20"/>
  <c r="A243" i="20"/>
  <c r="A244" i="20"/>
  <c r="A245" i="20"/>
  <c r="A246" i="20"/>
  <c r="A247" i="20"/>
  <c r="A248" i="20"/>
  <c r="A249" i="20"/>
  <c r="A250" i="20"/>
  <c r="A251" i="20"/>
  <c r="A252" i="20"/>
  <c r="A253" i="20"/>
  <c r="A254" i="20"/>
  <c r="A255" i="20"/>
  <c r="A256" i="20"/>
  <c r="A257" i="20"/>
  <c r="A258" i="20"/>
  <c r="A259" i="20"/>
  <c r="A260" i="20"/>
  <c r="A261" i="20"/>
  <c r="A262" i="20"/>
  <c r="A263" i="20"/>
  <c r="A264" i="20"/>
  <c r="A265" i="20"/>
  <c r="A266" i="20"/>
  <c r="A267" i="20"/>
  <c r="A268" i="20"/>
  <c r="A269" i="20"/>
  <c r="A270" i="20"/>
  <c r="A271" i="20"/>
  <c r="A272" i="20"/>
  <c r="A273" i="20"/>
  <c r="A274" i="20"/>
  <c r="A275" i="20"/>
  <c r="A276" i="20"/>
  <c r="A277" i="20"/>
  <c r="A278" i="20"/>
  <c r="A279" i="20"/>
  <c r="A280" i="20"/>
  <c r="A281" i="20"/>
  <c r="A282" i="20"/>
  <c r="A283" i="20"/>
  <c r="A284" i="20"/>
  <c r="A285" i="20"/>
  <c r="A286" i="20"/>
  <c r="A287" i="20"/>
  <c r="A288" i="20"/>
  <c r="A289" i="20"/>
  <c r="A290" i="20"/>
  <c r="A291" i="20"/>
  <c r="A292" i="20"/>
  <c r="A293" i="20"/>
  <c r="A294" i="20"/>
  <c r="A295" i="20"/>
  <c r="A296" i="20"/>
  <c r="A297" i="20"/>
  <c r="A298" i="20"/>
  <c r="A299" i="20"/>
  <c r="A300" i="20"/>
  <c r="A301" i="20"/>
  <c r="A302" i="20"/>
  <c r="A303" i="20"/>
  <c r="A304" i="20"/>
  <c r="A305" i="20"/>
  <c r="A306" i="20"/>
  <c r="A307" i="20"/>
  <c r="A308" i="20"/>
  <c r="A309" i="20"/>
  <c r="A310" i="20"/>
  <c r="A311" i="20"/>
  <c r="A312" i="20"/>
  <c r="A313" i="20"/>
  <c r="A314" i="20"/>
  <c r="A315" i="20"/>
  <c r="A316" i="20"/>
  <c r="A317" i="20"/>
  <c r="A318" i="20"/>
  <c r="A319" i="20"/>
  <c r="A320" i="20"/>
  <c r="A321" i="20"/>
  <c r="A322" i="20"/>
  <c r="A323" i="20"/>
  <c r="A324" i="20"/>
  <c r="A325" i="20"/>
  <c r="A326" i="20"/>
  <c r="A327" i="20"/>
  <c r="A328" i="20"/>
  <c r="A329" i="20"/>
  <c r="A330" i="20"/>
  <c r="A331" i="20"/>
  <c r="A332" i="20"/>
  <c r="A333" i="20"/>
  <c r="A334" i="20"/>
  <c r="A335" i="20"/>
  <c r="A336" i="20"/>
  <c r="A337" i="20"/>
  <c r="A338" i="20"/>
  <c r="A339" i="20"/>
  <c r="A340" i="20"/>
  <c r="A341" i="20"/>
  <c r="A342" i="20"/>
  <c r="A343" i="20"/>
  <c r="A344" i="20"/>
  <c r="A345" i="20"/>
  <c r="A346" i="20"/>
  <c r="A347" i="20"/>
  <c r="A348" i="20"/>
  <c r="A349" i="20"/>
  <c r="A350" i="20"/>
  <c r="A351" i="20"/>
  <c r="A352" i="20"/>
  <c r="A353" i="20"/>
  <c r="A354" i="20"/>
  <c r="A355" i="20"/>
  <c r="A356" i="20"/>
  <c r="A357" i="20"/>
  <c r="A358" i="20"/>
  <c r="A359" i="20"/>
  <c r="A360" i="20"/>
  <c r="A361" i="20"/>
  <c r="A362" i="20"/>
  <c r="A363" i="20"/>
  <c r="A364" i="20"/>
  <c r="A365" i="20"/>
  <c r="A366" i="20"/>
  <c r="A367" i="20"/>
  <c r="A368" i="20"/>
  <c r="A369" i="20"/>
  <c r="A370" i="20"/>
  <c r="A371" i="20"/>
  <c r="A372" i="20"/>
  <c r="A373" i="20"/>
  <c r="A374" i="20"/>
  <c r="A375" i="20"/>
  <c r="A376" i="20"/>
  <c r="A377" i="20"/>
  <c r="A378" i="20"/>
  <c r="A379" i="20"/>
  <c r="A380" i="20"/>
  <c r="A381" i="20"/>
  <c r="A382" i="20"/>
  <c r="A383" i="20"/>
  <c r="A384" i="20"/>
  <c r="A385" i="20"/>
  <c r="A386" i="20"/>
  <c r="A387" i="20"/>
  <c r="A388" i="20"/>
  <c r="A389" i="20"/>
  <c r="A390" i="20"/>
  <c r="A391" i="20"/>
  <c r="A392" i="20"/>
  <c r="A393" i="20"/>
  <c r="A394" i="20"/>
  <c r="A395" i="20"/>
  <c r="A396" i="20"/>
  <c r="A397" i="20"/>
  <c r="A398" i="20"/>
  <c r="A399" i="20"/>
  <c r="A400" i="20"/>
  <c r="A401" i="20"/>
  <c r="A402" i="20"/>
  <c r="A403" i="20"/>
  <c r="A404" i="20"/>
  <c r="A405" i="20"/>
  <c r="A406" i="20"/>
  <c r="A407" i="20"/>
  <c r="A408" i="20"/>
  <c r="A409" i="20"/>
  <c r="A410" i="20"/>
  <c r="A411" i="20"/>
  <c r="A412" i="20"/>
  <c r="A413" i="20"/>
  <c r="A414" i="20"/>
  <c r="A415" i="20"/>
  <c r="A416" i="20"/>
  <c r="A417" i="20"/>
  <c r="A418" i="20"/>
  <c r="A419" i="20"/>
  <c r="A420" i="20"/>
  <c r="A421" i="20"/>
  <c r="A422" i="20"/>
  <c r="A423" i="20"/>
  <c r="A424" i="20"/>
  <c r="A425" i="20"/>
  <c r="A426" i="20"/>
  <c r="A427" i="20"/>
  <c r="A428" i="20"/>
  <c r="A429" i="20"/>
  <c r="A430" i="20"/>
  <c r="A431" i="20"/>
  <c r="A432" i="20"/>
  <c r="A433" i="20"/>
  <c r="A434" i="20"/>
  <c r="A435" i="20"/>
  <c r="A436" i="20"/>
  <c r="A437" i="20"/>
  <c r="A438" i="20"/>
  <c r="A439" i="20"/>
  <c r="A440" i="20"/>
  <c r="A441" i="20"/>
  <c r="A442" i="20"/>
  <c r="A443" i="20"/>
  <c r="A444" i="20"/>
  <c r="A445" i="20"/>
  <c r="A446" i="20"/>
  <c r="A447" i="20"/>
  <c r="A448" i="20"/>
  <c r="A449" i="20"/>
  <c r="A450" i="20"/>
  <c r="A451" i="20"/>
  <c r="A452" i="20"/>
  <c r="A453" i="20"/>
  <c r="A454" i="20"/>
  <c r="A455" i="20"/>
  <c r="A456" i="20"/>
  <c r="A457" i="20"/>
  <c r="A458" i="20"/>
  <c r="A459" i="20"/>
  <c r="A460" i="20"/>
  <c r="A461" i="20"/>
  <c r="A462" i="20"/>
  <c r="A463" i="20"/>
  <c r="A464" i="20"/>
  <c r="A465" i="20"/>
  <c r="A466" i="20"/>
  <c r="A467" i="20"/>
  <c r="A468" i="20"/>
  <c r="A469" i="20"/>
  <c r="A470" i="20"/>
  <c r="A471" i="20"/>
  <c r="A472" i="20"/>
  <c r="A473" i="20"/>
  <c r="A474" i="20"/>
  <c r="A475" i="20"/>
  <c r="A476" i="20"/>
  <c r="A477" i="20"/>
  <c r="A478" i="20"/>
  <c r="A479" i="20"/>
  <c r="A480" i="20"/>
  <c r="A481" i="20"/>
  <c r="A482" i="20"/>
  <c r="A483" i="20"/>
  <c r="A484" i="20"/>
  <c r="A485" i="20"/>
  <c r="A486" i="20"/>
  <c r="A487" i="20"/>
  <c r="A488" i="20"/>
  <c r="A489" i="20"/>
  <c r="A490" i="20"/>
  <c r="A491" i="20"/>
  <c r="A492" i="20"/>
  <c r="A493" i="20"/>
  <c r="A494" i="20"/>
  <c r="A495" i="20"/>
  <c r="A496" i="20"/>
  <c r="A497" i="20"/>
  <c r="A498" i="20"/>
  <c r="A499" i="20"/>
  <c r="A500" i="20"/>
  <c r="A501" i="20"/>
  <c r="A502" i="20"/>
  <c r="A503" i="20"/>
  <c r="A504" i="20"/>
  <c r="A505" i="20"/>
  <c r="A506" i="20"/>
  <c r="A507" i="20"/>
  <c r="A508" i="20"/>
  <c r="A509" i="20"/>
  <c r="A510" i="20"/>
  <c r="A511" i="20"/>
  <c r="A512" i="20"/>
  <c r="A513" i="20"/>
  <c r="A514" i="20"/>
  <c r="A515" i="20"/>
  <c r="A516" i="20"/>
  <c r="A517" i="20"/>
  <c r="A518" i="20"/>
  <c r="A519" i="20"/>
  <c r="A520" i="20"/>
  <c r="A521" i="20"/>
  <c r="A522" i="20"/>
  <c r="A523" i="20"/>
  <c r="A524" i="20"/>
  <c r="A525" i="20"/>
  <c r="A526" i="20"/>
  <c r="A527" i="20"/>
  <c r="A528" i="20"/>
  <c r="A529" i="20"/>
  <c r="A530" i="20"/>
  <c r="A531" i="20"/>
  <c r="A532" i="20"/>
  <c r="A533" i="20"/>
  <c r="A534" i="20"/>
  <c r="A535" i="20"/>
  <c r="A536" i="20"/>
  <c r="A537" i="20"/>
  <c r="A538" i="20"/>
  <c r="A539" i="20"/>
  <c r="A540" i="20"/>
  <c r="A541" i="20"/>
  <c r="A542" i="20"/>
  <c r="A543" i="20"/>
  <c r="A544" i="20"/>
  <c r="A545" i="20"/>
  <c r="A546" i="20"/>
  <c r="A547" i="20"/>
  <c r="A548" i="20"/>
  <c r="A549" i="20"/>
  <c r="A550" i="20"/>
  <c r="A551" i="20"/>
  <c r="A552" i="20"/>
  <c r="A553" i="20"/>
  <c r="A554" i="20"/>
  <c r="A555" i="20"/>
  <c r="A556" i="20"/>
  <c r="A557" i="20"/>
  <c r="A558" i="20"/>
  <c r="A559" i="20"/>
  <c r="A560" i="20"/>
  <c r="A561" i="20"/>
  <c r="A562" i="20"/>
  <c r="A563" i="20"/>
  <c r="A564" i="20"/>
  <c r="A565" i="20"/>
  <c r="A566" i="20"/>
  <c r="A567" i="20"/>
  <c r="A568" i="20"/>
  <c r="A569" i="20"/>
  <c r="A570" i="20"/>
  <c r="A571" i="20"/>
  <c r="A572" i="20"/>
  <c r="A573" i="20"/>
  <c r="A574" i="20"/>
  <c r="A575" i="20"/>
  <c r="A576" i="20"/>
  <c r="A577" i="20"/>
  <c r="A578" i="20"/>
  <c r="A579" i="20"/>
  <c r="A580" i="20"/>
  <c r="A581" i="20"/>
  <c r="A582" i="20"/>
  <c r="A583" i="20"/>
  <c r="A584" i="20"/>
  <c r="A585" i="20"/>
  <c r="A586" i="20"/>
  <c r="A587" i="20"/>
  <c r="A588" i="20"/>
  <c r="A589" i="20"/>
  <c r="A590" i="20"/>
  <c r="A591" i="20"/>
  <c r="A592" i="20"/>
  <c r="A593" i="20"/>
  <c r="A594" i="20"/>
  <c r="A595" i="20"/>
  <c r="A596" i="20"/>
  <c r="A597" i="20"/>
  <c r="A598" i="20"/>
  <c r="A599" i="20"/>
  <c r="A600" i="20"/>
  <c r="A601" i="20"/>
  <c r="A602" i="20"/>
  <c r="A603" i="20"/>
  <c r="A604" i="20"/>
  <c r="A605" i="20"/>
  <c r="A606" i="20"/>
  <c r="A607" i="20"/>
  <c r="A608" i="20"/>
  <c r="A609" i="20"/>
  <c r="A610" i="20"/>
  <c r="A611" i="20"/>
  <c r="A612" i="20"/>
  <c r="A613" i="20"/>
  <c r="A614" i="20"/>
  <c r="A615" i="20"/>
  <c r="A616" i="20"/>
  <c r="A617" i="20"/>
  <c r="A618" i="20"/>
  <c r="A619" i="20"/>
  <c r="A620" i="20"/>
  <c r="A621" i="20"/>
  <c r="A622" i="20"/>
  <c r="A623" i="20"/>
  <c r="A624" i="20"/>
  <c r="A625" i="20"/>
  <c r="A626" i="20"/>
  <c r="A627" i="20"/>
  <c r="A628" i="20"/>
  <c r="A629" i="20"/>
  <c r="A630" i="20"/>
  <c r="A631" i="20"/>
  <c r="A632" i="20"/>
  <c r="A633" i="20"/>
  <c r="A634" i="20"/>
  <c r="A635" i="20"/>
  <c r="A636" i="20"/>
  <c r="A637" i="20"/>
  <c r="A638" i="20"/>
  <c r="A639" i="20"/>
  <c r="A640" i="20"/>
  <c r="A641" i="20"/>
  <c r="A642" i="20"/>
  <c r="A643" i="20"/>
  <c r="A644" i="20"/>
  <c r="A645" i="20"/>
  <c r="A646" i="20"/>
  <c r="A647" i="20"/>
  <c r="A648" i="20"/>
  <c r="A649" i="20"/>
  <c r="A650" i="20"/>
  <c r="A651" i="20"/>
  <c r="A652" i="20"/>
  <c r="A653" i="20"/>
  <c r="A654" i="20"/>
  <c r="A655" i="20"/>
  <c r="A656" i="20"/>
  <c r="A657" i="20"/>
  <c r="A658" i="20"/>
  <c r="A659" i="20"/>
  <c r="A660" i="20"/>
  <c r="A661" i="20"/>
  <c r="A662" i="20"/>
  <c r="A663" i="20"/>
  <c r="A664" i="20"/>
  <c r="A665" i="20"/>
  <c r="A666" i="20"/>
  <c r="A667" i="20"/>
  <c r="A668" i="20"/>
  <c r="A669" i="20"/>
  <c r="A670" i="20"/>
  <c r="A671" i="20"/>
  <c r="A672" i="20"/>
  <c r="A673" i="20"/>
  <c r="A674" i="20"/>
  <c r="A675" i="20"/>
  <c r="A676" i="20"/>
  <c r="A677" i="20"/>
  <c r="A678" i="20"/>
  <c r="A679" i="20"/>
  <c r="A680" i="20"/>
  <c r="A681" i="20"/>
  <c r="A682" i="20"/>
  <c r="A683" i="20"/>
  <c r="A684" i="20"/>
  <c r="A685" i="20"/>
  <c r="A686" i="20"/>
  <c r="A687" i="20"/>
  <c r="A688" i="20"/>
  <c r="A689" i="20"/>
  <c r="A690" i="20"/>
  <c r="A691" i="20"/>
  <c r="A692" i="20"/>
  <c r="A693" i="20"/>
  <c r="A694" i="20"/>
  <c r="A695" i="20"/>
  <c r="A696" i="20"/>
  <c r="A697" i="20"/>
  <c r="A698" i="20"/>
  <c r="A699" i="20"/>
  <c r="A700" i="20"/>
  <c r="A701" i="20"/>
  <c r="A702" i="20"/>
  <c r="A703" i="20"/>
  <c r="A704" i="20"/>
  <c r="A705" i="20"/>
  <c r="A706" i="20"/>
  <c r="A707" i="20"/>
  <c r="A708" i="20"/>
  <c r="A709" i="20"/>
  <c r="A710" i="20"/>
  <c r="A711" i="20"/>
  <c r="A712" i="20"/>
  <c r="A713" i="20"/>
  <c r="A714" i="20"/>
  <c r="A715" i="20"/>
  <c r="A716" i="20"/>
  <c r="A717" i="20"/>
  <c r="A718" i="20"/>
  <c r="A719" i="20"/>
  <c r="A720" i="20"/>
  <c r="A721" i="20"/>
  <c r="A722" i="20"/>
  <c r="A723" i="20"/>
  <c r="A724" i="20"/>
  <c r="A725" i="20"/>
  <c r="A726" i="20"/>
  <c r="A727" i="20"/>
  <c r="A728" i="20"/>
  <c r="A729" i="20"/>
  <c r="A730" i="20"/>
  <c r="A731" i="20"/>
  <c r="A732" i="20"/>
  <c r="A733" i="20"/>
  <c r="A734" i="20"/>
  <c r="A735" i="20"/>
  <c r="A736" i="20"/>
  <c r="A737" i="20"/>
  <c r="A738" i="20"/>
  <c r="A739" i="20"/>
  <c r="A740" i="20"/>
  <c r="A741" i="20"/>
  <c r="A742" i="20"/>
  <c r="A743" i="20"/>
  <c r="A744" i="20"/>
  <c r="A745" i="20"/>
  <c r="A746" i="20"/>
  <c r="A747" i="20"/>
  <c r="A748" i="20"/>
  <c r="A749" i="20"/>
  <c r="A750" i="20"/>
  <c r="A751" i="20"/>
  <c r="A752" i="20"/>
  <c r="A753" i="20"/>
  <c r="A754" i="20"/>
  <c r="A755" i="20"/>
  <c r="A756" i="20"/>
  <c r="A757" i="20"/>
  <c r="A758" i="20"/>
  <c r="A759" i="20"/>
  <c r="A760" i="20"/>
  <c r="A761" i="20"/>
  <c r="A762" i="20"/>
  <c r="A763" i="20"/>
  <c r="A764" i="20"/>
  <c r="A765" i="20"/>
  <c r="A766" i="20"/>
  <c r="A767" i="20"/>
  <c r="A768" i="20"/>
  <c r="A769" i="20"/>
  <c r="A770" i="20"/>
  <c r="A771" i="20"/>
  <c r="A772" i="20"/>
  <c r="A773" i="20"/>
  <c r="A774" i="20"/>
  <c r="A775" i="20"/>
  <c r="A776" i="20"/>
  <c r="A777" i="20"/>
  <c r="A778" i="20"/>
  <c r="A779" i="20"/>
  <c r="A780" i="20"/>
  <c r="A781" i="20"/>
  <c r="A782" i="20"/>
  <c r="A783" i="20"/>
  <c r="A784" i="20"/>
  <c r="A785" i="20"/>
  <c r="A786" i="20"/>
  <c r="A787" i="20"/>
  <c r="A788" i="20"/>
  <c r="A789" i="20"/>
  <c r="A790" i="20"/>
  <c r="A791" i="20"/>
  <c r="A792" i="20"/>
  <c r="A793" i="20"/>
  <c r="A794" i="20"/>
  <c r="A795" i="20"/>
  <c r="A796" i="20"/>
  <c r="A797" i="20"/>
  <c r="A798" i="20"/>
  <c r="A799" i="20"/>
  <c r="A800" i="20"/>
  <c r="A801" i="20"/>
  <c r="A802" i="20"/>
  <c r="A803" i="20"/>
  <c r="A804" i="20"/>
  <c r="A805" i="20"/>
  <c r="A806" i="20"/>
  <c r="A807" i="20"/>
  <c r="A808" i="20"/>
  <c r="A809" i="20"/>
  <c r="A810" i="20"/>
  <c r="A811" i="20"/>
  <c r="A812" i="20"/>
  <c r="A813" i="20"/>
  <c r="A814" i="20"/>
  <c r="A815" i="20"/>
  <c r="A816" i="20"/>
  <c r="A817" i="20"/>
  <c r="A818" i="20"/>
  <c r="A819" i="20"/>
  <c r="A820" i="20"/>
  <c r="A821" i="20"/>
  <c r="A822" i="20"/>
  <c r="A823" i="20"/>
  <c r="A824" i="20"/>
  <c r="A825" i="20"/>
  <c r="A826" i="20"/>
  <c r="A827" i="20"/>
  <c r="A828" i="20"/>
  <c r="A829" i="20"/>
  <c r="A830" i="20"/>
  <c r="A831" i="20"/>
  <c r="A832" i="20"/>
  <c r="A833" i="20"/>
  <c r="A834" i="20"/>
  <c r="A835" i="20"/>
  <c r="A836" i="20"/>
  <c r="A837" i="20"/>
  <c r="A838" i="20"/>
  <c r="A839" i="20"/>
  <c r="A840" i="20"/>
  <c r="A841" i="20"/>
  <c r="A842" i="20"/>
  <c r="A843" i="20"/>
  <c r="A844" i="20"/>
  <c r="A845" i="20"/>
  <c r="A846" i="20"/>
  <c r="A847" i="20"/>
  <c r="A848" i="20"/>
  <c r="A849" i="20"/>
  <c r="A850" i="20"/>
  <c r="A851" i="20"/>
  <c r="A852" i="20"/>
  <c r="A853" i="20"/>
  <c r="A854" i="20"/>
  <c r="A855" i="20"/>
  <c r="A856" i="20"/>
  <c r="A857" i="20"/>
  <c r="A858" i="20"/>
  <c r="A859" i="20"/>
  <c r="A860" i="20"/>
  <c r="A861" i="20"/>
  <c r="A862" i="20"/>
  <c r="A863" i="20"/>
  <c r="A864" i="20"/>
  <c r="A865" i="20"/>
  <c r="A866" i="20"/>
  <c r="A867" i="20"/>
  <c r="A868" i="20"/>
  <c r="A869" i="20"/>
  <c r="A870" i="20"/>
  <c r="A871" i="20"/>
  <c r="A872" i="20"/>
  <c r="A873" i="20"/>
  <c r="A874" i="20"/>
  <c r="A875" i="20"/>
  <c r="A876" i="20"/>
  <c r="A877" i="20"/>
  <c r="A878" i="20"/>
  <c r="A879" i="20"/>
  <c r="A880" i="20"/>
  <c r="A881" i="20"/>
  <c r="A882" i="20"/>
  <c r="A883" i="20"/>
  <c r="A884" i="20"/>
  <c r="A885" i="20"/>
  <c r="A886" i="20"/>
  <c r="A887" i="20"/>
  <c r="A888" i="20"/>
  <c r="A889" i="20"/>
  <c r="A890" i="20"/>
  <c r="A891" i="20"/>
  <c r="A892" i="20"/>
  <c r="A893" i="20"/>
  <c r="A894" i="20"/>
  <c r="A895" i="20"/>
  <c r="A896" i="20"/>
  <c r="A897" i="20"/>
  <c r="A898" i="20"/>
  <c r="A899" i="20"/>
  <c r="A900" i="20"/>
  <c r="A901" i="20"/>
  <c r="A902" i="20"/>
  <c r="A903" i="20"/>
  <c r="A904" i="20"/>
  <c r="A905" i="20"/>
  <c r="A906" i="20"/>
  <c r="A907" i="20"/>
  <c r="A908" i="20"/>
  <c r="A909" i="20"/>
  <c r="A910" i="20"/>
  <c r="A911" i="20"/>
  <c r="A912" i="20"/>
  <c r="A913" i="20"/>
  <c r="A914" i="20"/>
  <c r="A915" i="20"/>
  <c r="A916" i="20"/>
  <c r="A917" i="20"/>
  <c r="A918" i="20"/>
  <c r="A919" i="20"/>
  <c r="A920" i="20"/>
  <c r="A921" i="20"/>
  <c r="A922" i="20"/>
  <c r="A923" i="20"/>
  <c r="A924" i="20"/>
  <c r="A925" i="20"/>
  <c r="A926" i="20"/>
  <c r="A927" i="20"/>
  <c r="A928" i="20"/>
  <c r="A929" i="20"/>
  <c r="A930" i="20"/>
  <c r="A931" i="20"/>
  <c r="A932" i="20"/>
  <c r="A933" i="20"/>
  <c r="A934" i="20"/>
  <c r="A935" i="20"/>
  <c r="A936" i="20"/>
  <c r="A937" i="20"/>
  <c r="A938" i="20"/>
  <c r="A939" i="20"/>
  <c r="A940" i="20"/>
  <c r="A941" i="20"/>
  <c r="A942" i="20"/>
  <c r="A943" i="20"/>
  <c r="A944" i="20"/>
  <c r="A945" i="20"/>
  <c r="A946" i="20"/>
  <c r="A947" i="20"/>
  <c r="A948" i="20"/>
  <c r="A949" i="20"/>
  <c r="A950" i="20"/>
  <c r="A951" i="20"/>
  <c r="A952" i="20"/>
  <c r="A953" i="20"/>
  <c r="A954" i="20"/>
  <c r="A955" i="20"/>
  <c r="A956" i="20"/>
  <c r="A957" i="20"/>
  <c r="A958" i="20"/>
  <c r="A959" i="20"/>
  <c r="A960" i="20"/>
  <c r="A961" i="20"/>
  <c r="A962" i="20"/>
  <c r="A963" i="20"/>
  <c r="A964" i="20"/>
  <c r="A965" i="20"/>
  <c r="A966" i="20"/>
  <c r="A967" i="20"/>
  <c r="A968" i="20"/>
  <c r="A969" i="20"/>
  <c r="A970" i="20"/>
  <c r="A971" i="20"/>
  <c r="A972" i="20"/>
  <c r="A973" i="20"/>
  <c r="A974" i="20"/>
  <c r="A975" i="20"/>
  <c r="A976" i="20"/>
  <c r="A977" i="20"/>
  <c r="A978" i="20"/>
  <c r="A979" i="20"/>
  <c r="A980" i="20"/>
  <c r="A981" i="20"/>
  <c r="A982" i="20"/>
  <c r="A983" i="20"/>
  <c r="A984" i="20"/>
  <c r="A985" i="20"/>
  <c r="A986" i="20"/>
  <c r="A987" i="20"/>
  <c r="A988" i="20"/>
  <c r="A989" i="20"/>
  <c r="A990" i="20"/>
  <c r="A991" i="20"/>
  <c r="A992" i="20"/>
  <c r="A993" i="20"/>
  <c r="A994" i="20"/>
  <c r="A995" i="20"/>
  <c r="A996" i="20"/>
  <c r="A997" i="20"/>
  <c r="A998" i="20"/>
  <c r="A999" i="20"/>
  <c r="A1000" i="20"/>
  <c r="A1001" i="20"/>
  <c r="A1002" i="20"/>
  <c r="A1003" i="20"/>
  <c r="A1004" i="20"/>
  <c r="A1005" i="20"/>
  <c r="A1006" i="20"/>
  <c r="A1007" i="20"/>
  <c r="A1008" i="20"/>
  <c r="A1009" i="20"/>
  <c r="A1010" i="20"/>
  <c r="A1011" i="20"/>
  <c r="A1012" i="20"/>
  <c r="A1013" i="20"/>
  <c r="A1014" i="20"/>
  <c r="A1015" i="20"/>
  <c r="A1016" i="20"/>
  <c r="A1017" i="20"/>
  <c r="A1018" i="20"/>
  <c r="A1019" i="20"/>
  <c r="A1020" i="20"/>
  <c r="A1021" i="20"/>
  <c r="A1022" i="20"/>
  <c r="A1023" i="20"/>
  <c r="A1024" i="20"/>
  <c r="A1025" i="20"/>
  <c r="A1026" i="20"/>
  <c r="A1027" i="20"/>
  <c r="A1028" i="20"/>
  <c r="A1029" i="20"/>
  <c r="A1030" i="20"/>
  <c r="A1031" i="20"/>
  <c r="A1032" i="20"/>
  <c r="A1033" i="20"/>
  <c r="A1034" i="20"/>
  <c r="A1035" i="20"/>
  <c r="A1036" i="20"/>
  <c r="A1037" i="20"/>
  <c r="A1038" i="20"/>
  <c r="A1039" i="20"/>
  <c r="A1040" i="20"/>
  <c r="A1041" i="20"/>
  <c r="A1042" i="20"/>
  <c r="A1043" i="20"/>
  <c r="A1044" i="20"/>
  <c r="A1045" i="20"/>
  <c r="A1046" i="20"/>
  <c r="A1047" i="20"/>
  <c r="A1048" i="20"/>
  <c r="A1049" i="20"/>
  <c r="A1050" i="20"/>
  <c r="A1051" i="20"/>
  <c r="A1052" i="20"/>
  <c r="A1053" i="20"/>
  <c r="A1054" i="20"/>
  <c r="A1055" i="20"/>
  <c r="A1056" i="20"/>
  <c r="A1057" i="20"/>
  <c r="A1058" i="20"/>
  <c r="A1059" i="20"/>
  <c r="A1060" i="20"/>
  <c r="A1061" i="20"/>
  <c r="A1062" i="20"/>
  <c r="A1063" i="20"/>
  <c r="A1064" i="20"/>
  <c r="A1065" i="20"/>
  <c r="A1066" i="20"/>
  <c r="A1067" i="20"/>
  <c r="A1068" i="20"/>
  <c r="A1069" i="20"/>
  <c r="A1070" i="20"/>
  <c r="A1071" i="20"/>
  <c r="A1072" i="20"/>
  <c r="A1073" i="20"/>
  <c r="A1074" i="20"/>
  <c r="A1075" i="20"/>
  <c r="A1076" i="20"/>
  <c r="A1077" i="20"/>
  <c r="A1078" i="20"/>
  <c r="A1079" i="20"/>
  <c r="A1080" i="20"/>
  <c r="A1081" i="20"/>
  <c r="A1082" i="20"/>
  <c r="A1083" i="20"/>
  <c r="A1084" i="20"/>
  <c r="A1085" i="20"/>
  <c r="A1086" i="20"/>
  <c r="A1087" i="20"/>
  <c r="A1088" i="20"/>
  <c r="A1089" i="20"/>
  <c r="A1090" i="20"/>
  <c r="A1091" i="20"/>
  <c r="A1092" i="20"/>
  <c r="A1093" i="20"/>
  <c r="A1094" i="20"/>
  <c r="A1095" i="20"/>
  <c r="A1096" i="20"/>
  <c r="A1097" i="20"/>
  <c r="A1098" i="20"/>
  <c r="A1099" i="20"/>
  <c r="A1100" i="20"/>
  <c r="A1101" i="20"/>
  <c r="A1102" i="20"/>
  <c r="A1103" i="20"/>
  <c r="A1104" i="20"/>
  <c r="A1105" i="20"/>
  <c r="A1106" i="20"/>
  <c r="A1107" i="20"/>
  <c r="A1108" i="20"/>
  <c r="A1109" i="20"/>
  <c r="A1110" i="20"/>
  <c r="A1111" i="20"/>
  <c r="A1112" i="20"/>
  <c r="A1113" i="20"/>
  <c r="A1114" i="20"/>
  <c r="A1115" i="20"/>
  <c r="A1116" i="20"/>
  <c r="A1117" i="20"/>
  <c r="A1118" i="20"/>
  <c r="A1119" i="20"/>
  <c r="A1120" i="20"/>
  <c r="A1121" i="20"/>
  <c r="A1122" i="20"/>
  <c r="A1123" i="20"/>
  <c r="A1124" i="20"/>
  <c r="A1125" i="20"/>
  <c r="A1126" i="20"/>
  <c r="A1127" i="20"/>
  <c r="A1128" i="20"/>
  <c r="A1129" i="20"/>
  <c r="A1130" i="20"/>
  <c r="A1131" i="20"/>
  <c r="A1132" i="20"/>
  <c r="A1133" i="20"/>
  <c r="A1134" i="20"/>
  <c r="A1135" i="20"/>
  <c r="A1136" i="20"/>
  <c r="A1137" i="20"/>
  <c r="A1138" i="20"/>
  <c r="A1139" i="20"/>
  <c r="A1140" i="20"/>
  <c r="A1141" i="20"/>
  <c r="A1142" i="20"/>
  <c r="A1143" i="20"/>
  <c r="A1144" i="20"/>
  <c r="A1145" i="20"/>
  <c r="A1146" i="20"/>
  <c r="A1147" i="20"/>
  <c r="A1148" i="20"/>
  <c r="A1149" i="20"/>
  <c r="A1150" i="20"/>
  <c r="A1151" i="20"/>
  <c r="A1152" i="20"/>
  <c r="A1153" i="20"/>
  <c r="A1154" i="20"/>
  <c r="A1155" i="20"/>
  <c r="A1156" i="20"/>
  <c r="A1157" i="20"/>
  <c r="A1158" i="20"/>
  <c r="A1159" i="20"/>
  <c r="A1160" i="20"/>
  <c r="A1161" i="20"/>
  <c r="A1162" i="20"/>
  <c r="A1163" i="20"/>
  <c r="A1164" i="20"/>
  <c r="A1165" i="20"/>
  <c r="A1166" i="20"/>
  <c r="A1167" i="20"/>
  <c r="A1168" i="20"/>
  <c r="A1169" i="20"/>
  <c r="A1170" i="20"/>
  <c r="A1171" i="20"/>
  <c r="A1172" i="20"/>
  <c r="A1173" i="20"/>
  <c r="A1174" i="20"/>
  <c r="A1175" i="20"/>
  <c r="A1176" i="20"/>
  <c r="A1177" i="20"/>
  <c r="A1178" i="20"/>
  <c r="A1179" i="20"/>
  <c r="A1180" i="20"/>
  <c r="A1181" i="20"/>
  <c r="A1182" i="20"/>
  <c r="A1183" i="20"/>
  <c r="A1184" i="20"/>
  <c r="A1185" i="20"/>
  <c r="A1186" i="20"/>
  <c r="A1187" i="20"/>
  <c r="A1188" i="20"/>
  <c r="A1189" i="20"/>
  <c r="A1190" i="20"/>
  <c r="A1191" i="20"/>
  <c r="A1192" i="20"/>
  <c r="A1193" i="20"/>
  <c r="A1194" i="20"/>
  <c r="A1195" i="20"/>
  <c r="A1196" i="20"/>
  <c r="A1197" i="20"/>
  <c r="A1198" i="20"/>
  <c r="A1199" i="20"/>
  <c r="A1200" i="20"/>
  <c r="A1201" i="20"/>
  <c r="A1202" i="20"/>
  <c r="A1203" i="20"/>
  <c r="A1204" i="20"/>
  <c r="A1205" i="20"/>
  <c r="A1206" i="20"/>
  <c r="A1207" i="20"/>
  <c r="A1208" i="20"/>
  <c r="A1209" i="20"/>
  <c r="A1210" i="20"/>
  <c r="A1211" i="20"/>
  <c r="A1212" i="20"/>
  <c r="A1213" i="20"/>
  <c r="A1214" i="20"/>
  <c r="A1215" i="20"/>
  <c r="A1216" i="20"/>
  <c r="A1217" i="20"/>
  <c r="A1218" i="20"/>
  <c r="A1219" i="20"/>
  <c r="A1220" i="20"/>
  <c r="A1221" i="20"/>
  <c r="A1222" i="20"/>
  <c r="A1223" i="20"/>
  <c r="A1224" i="20"/>
  <c r="A1225" i="20"/>
  <c r="A1226" i="20"/>
  <c r="A1227" i="20"/>
  <c r="A1228" i="20"/>
  <c r="A1229" i="20"/>
  <c r="A1230" i="20"/>
  <c r="A1231" i="20"/>
  <c r="A1232" i="20"/>
  <c r="A1233" i="20"/>
  <c r="A1234" i="20"/>
  <c r="A1235" i="20"/>
  <c r="A1236" i="20"/>
  <c r="A1237" i="20"/>
  <c r="A1238" i="20"/>
  <c r="A1239" i="20"/>
  <c r="A1240" i="20"/>
  <c r="A1241" i="20"/>
  <c r="A1242" i="20"/>
  <c r="A1243" i="20"/>
  <c r="A1244" i="20"/>
  <c r="A1245" i="20"/>
  <c r="A1246" i="20"/>
  <c r="A1247" i="20"/>
  <c r="A1248" i="20"/>
  <c r="A1249" i="20"/>
  <c r="A1250" i="20"/>
  <c r="A1251" i="20"/>
  <c r="A1252" i="20"/>
  <c r="A1253" i="20"/>
  <c r="A1254" i="20"/>
  <c r="A1255" i="20"/>
  <c r="A1256" i="20"/>
  <c r="A1257" i="20"/>
  <c r="A1258" i="20"/>
  <c r="A1259" i="20"/>
  <c r="A1260" i="20"/>
  <c r="A1261" i="20"/>
  <c r="A1262" i="20"/>
  <c r="A1263" i="20"/>
  <c r="A1264" i="20"/>
  <c r="A1265" i="20"/>
  <c r="A1266" i="20"/>
  <c r="A1267" i="20"/>
  <c r="A1268" i="20"/>
  <c r="A1269" i="20"/>
  <c r="A1270" i="20"/>
  <c r="A1271" i="20"/>
  <c r="A1272" i="20"/>
  <c r="A1273" i="20"/>
  <c r="A1274" i="20"/>
  <c r="A1275" i="20"/>
  <c r="A1276" i="20"/>
  <c r="A1277" i="20"/>
  <c r="A1278" i="20"/>
  <c r="A1279" i="20"/>
  <c r="A1280" i="20"/>
  <c r="A1281" i="20"/>
  <c r="A1282" i="20"/>
  <c r="A1283" i="20"/>
  <c r="A1284" i="20"/>
  <c r="A1285" i="20"/>
  <c r="A1286" i="20"/>
  <c r="A1287" i="20"/>
  <c r="A1288" i="20"/>
  <c r="A1289" i="20"/>
  <c r="A1290" i="20"/>
  <c r="A1291" i="20"/>
  <c r="A1292" i="20"/>
  <c r="A1293" i="20"/>
  <c r="A1294" i="20"/>
  <c r="A1295" i="20"/>
  <c r="A1296" i="20"/>
  <c r="A1297" i="20"/>
  <c r="A1298" i="20"/>
  <c r="A1299" i="20"/>
  <c r="A1300" i="20"/>
  <c r="A1301" i="20"/>
  <c r="A1302" i="20"/>
  <c r="A1303" i="20"/>
  <c r="A1304" i="20"/>
  <c r="A1305" i="20"/>
  <c r="A1306" i="20"/>
  <c r="A1307" i="20"/>
  <c r="A1308" i="20"/>
  <c r="A1309" i="20"/>
  <c r="A1310" i="20"/>
  <c r="A1311" i="20"/>
  <c r="A1312" i="20"/>
  <c r="A1313" i="20"/>
  <c r="A1314" i="20"/>
  <c r="A2" i="20"/>
  <c r="A3" i="19"/>
  <c r="A4" i="19"/>
  <c r="A5" i="19"/>
  <c r="A6" i="19"/>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0" i="19"/>
  <c r="A121" i="19"/>
  <c r="A122" i="19"/>
  <c r="A123" i="19"/>
  <c r="A124" i="19"/>
  <c r="A125" i="19"/>
  <c r="A126" i="19"/>
  <c r="A127" i="19"/>
  <c r="A128" i="19"/>
  <c r="A129"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53" i="19"/>
  <c r="A154" i="19"/>
  <c r="A155" i="19"/>
  <c r="A156" i="19"/>
  <c r="A157" i="19"/>
  <c r="A158" i="19"/>
  <c r="A159" i="19"/>
  <c r="A160" i="19"/>
  <c r="A161" i="19"/>
  <c r="A162" i="19"/>
  <c r="A163" i="19"/>
  <c r="A164" i="19"/>
  <c r="A165" i="19"/>
  <c r="A166" i="19"/>
  <c r="A167" i="19"/>
  <c r="A168" i="19"/>
  <c r="A169" i="19"/>
  <c r="A170" i="19"/>
  <c r="A171" i="19"/>
  <c r="A172" i="19"/>
  <c r="A173" i="19"/>
  <c r="A174" i="19"/>
  <c r="A175" i="19"/>
  <c r="A176" i="19"/>
  <c r="A177" i="19"/>
  <c r="A178" i="19"/>
  <c r="A179" i="19"/>
  <c r="A180" i="19"/>
  <c r="A181" i="19"/>
  <c r="A182" i="19"/>
  <c r="A183" i="19"/>
  <c r="A184" i="19"/>
  <c r="A185" i="19"/>
  <c r="A186" i="19"/>
  <c r="A187" i="19"/>
  <c r="A188" i="19"/>
  <c r="A189" i="19"/>
  <c r="A190" i="19"/>
  <c r="A191" i="19"/>
  <c r="A192" i="19"/>
  <c r="A193" i="19"/>
  <c r="A194" i="19"/>
  <c r="A195" i="19"/>
  <c r="A196" i="19"/>
  <c r="A197" i="19"/>
  <c r="A198" i="19"/>
  <c r="A199" i="19"/>
  <c r="A200" i="19"/>
  <c r="A201" i="19"/>
  <c r="A202" i="19"/>
  <c r="A203" i="19"/>
  <c r="A204" i="19"/>
  <c r="A205" i="19"/>
  <c r="A206" i="19"/>
  <c r="A207" i="19"/>
  <c r="A208" i="19"/>
  <c r="A209" i="19"/>
  <c r="A210" i="19"/>
  <c r="A211" i="19"/>
  <c r="A212" i="19"/>
  <c r="A213" i="19"/>
  <c r="A214" i="19"/>
  <c r="A215" i="19"/>
  <c r="A216" i="19"/>
  <c r="A217" i="19"/>
  <c r="A218" i="19"/>
  <c r="A219" i="19"/>
  <c r="A220" i="19"/>
  <c r="A221" i="19"/>
  <c r="A222" i="19"/>
  <c r="A223" i="19"/>
  <c r="A224" i="19"/>
  <c r="A225" i="19"/>
  <c r="A226" i="19"/>
  <c r="A227" i="19"/>
  <c r="A228" i="19"/>
  <c r="A229" i="19"/>
  <c r="A230" i="19"/>
  <c r="A231" i="19"/>
  <c r="A232" i="19"/>
  <c r="A233" i="19"/>
  <c r="A234" i="19"/>
  <c r="A235" i="19"/>
  <c r="A236" i="19"/>
  <c r="A237" i="19"/>
  <c r="A238" i="19"/>
  <c r="A239" i="19"/>
  <c r="A240" i="19"/>
  <c r="A241" i="19"/>
  <c r="A242" i="19"/>
  <c r="A243" i="19"/>
  <c r="A244" i="19"/>
  <c r="A245" i="19"/>
  <c r="A246" i="19"/>
  <c r="A247" i="19"/>
  <c r="A248" i="19"/>
  <c r="A249" i="19"/>
  <c r="A250" i="19"/>
  <c r="A251" i="19"/>
  <c r="A252" i="19"/>
  <c r="A253" i="19"/>
  <c r="A254" i="19"/>
  <c r="A255" i="19"/>
  <c r="A256" i="19"/>
  <c r="A257" i="19"/>
  <c r="A258" i="19"/>
  <c r="A259" i="19"/>
  <c r="A260" i="19"/>
  <c r="A261" i="19"/>
  <c r="A262" i="19"/>
  <c r="A263" i="19"/>
  <c r="A264" i="19"/>
  <c r="A265" i="19"/>
  <c r="A266" i="19"/>
  <c r="A267" i="19"/>
  <c r="A268" i="19"/>
  <c r="A269" i="19"/>
  <c r="A270" i="19"/>
  <c r="A271" i="19"/>
  <c r="A272" i="19"/>
  <c r="A273" i="19"/>
  <c r="A274" i="19"/>
  <c r="A275" i="19"/>
  <c r="A276" i="19"/>
  <c r="A277" i="19"/>
  <c r="A278" i="19"/>
  <c r="A279" i="19"/>
  <c r="A280" i="19"/>
  <c r="A281" i="19"/>
  <c r="A282" i="19"/>
  <c r="A283" i="19"/>
  <c r="A284" i="19"/>
  <c r="A285" i="19"/>
  <c r="A286" i="19"/>
  <c r="A287" i="19"/>
  <c r="A288" i="19"/>
  <c r="A289" i="19"/>
  <c r="A290" i="19"/>
  <c r="A291" i="19"/>
  <c r="A292" i="19"/>
  <c r="A293" i="19"/>
  <c r="A294" i="19"/>
  <c r="A295" i="19"/>
  <c r="A296" i="19"/>
  <c r="A297" i="19"/>
  <c r="A298" i="19"/>
  <c r="A299" i="19"/>
  <c r="A300" i="19"/>
  <c r="A301" i="19"/>
  <c r="A302" i="19"/>
  <c r="A303" i="19"/>
  <c r="A304" i="19"/>
  <c r="A305" i="19"/>
  <c r="A306" i="19"/>
  <c r="A307" i="19"/>
  <c r="A308" i="19"/>
  <c r="A309" i="19"/>
  <c r="A310" i="19"/>
  <c r="A311" i="19"/>
  <c r="A312" i="19"/>
  <c r="A313" i="19"/>
  <c r="A314" i="19"/>
  <c r="A315" i="19"/>
  <c r="A316" i="19"/>
  <c r="A317" i="19"/>
  <c r="A318" i="19"/>
  <c r="A319" i="19"/>
  <c r="A320" i="19"/>
  <c r="A321" i="19"/>
  <c r="A322" i="19"/>
  <c r="A323" i="19"/>
  <c r="A324" i="19"/>
  <c r="A325" i="19"/>
  <c r="A326" i="19"/>
  <c r="A327" i="19"/>
  <c r="A32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491" i="19"/>
  <c r="A492" i="19"/>
  <c r="A493" i="19"/>
  <c r="A494" i="19"/>
  <c r="A495" i="19"/>
  <c r="A496" i="19"/>
  <c r="A497" i="19"/>
  <c r="A498" i="19"/>
  <c r="A499" i="19"/>
  <c r="A500" i="19"/>
  <c r="A501" i="19"/>
  <c r="A502" i="19"/>
  <c r="A503" i="19"/>
  <c r="A504" i="19"/>
  <c r="A505" i="19"/>
  <c r="A506" i="19"/>
  <c r="A507" i="19"/>
  <c r="A508" i="19"/>
  <c r="A509" i="19"/>
  <c r="A510" i="19"/>
  <c r="A511" i="19"/>
  <c r="A512" i="19"/>
  <c r="A513" i="19"/>
  <c r="A514" i="19"/>
  <c r="A515" i="19"/>
  <c r="A516" i="19"/>
  <c r="A517" i="19"/>
  <c r="A518" i="19"/>
  <c r="A519" i="19"/>
  <c r="A520" i="19"/>
  <c r="A521" i="19"/>
  <c r="A522" i="19"/>
  <c r="A523" i="19"/>
  <c r="A524" i="19"/>
  <c r="A525" i="19"/>
  <c r="A526" i="19"/>
  <c r="A527" i="19"/>
  <c r="A528" i="19"/>
  <c r="A529" i="19"/>
  <c r="A530" i="19"/>
  <c r="A531" i="19"/>
  <c r="A532" i="19"/>
  <c r="A533" i="19"/>
  <c r="A534" i="19"/>
  <c r="A535" i="19"/>
  <c r="A536" i="19"/>
  <c r="A537" i="19"/>
  <c r="A538" i="19"/>
  <c r="A539" i="19"/>
  <c r="A540" i="19"/>
  <c r="A541" i="19"/>
  <c r="A542" i="19"/>
  <c r="A543" i="19"/>
  <c r="A544" i="19"/>
  <c r="A545" i="19"/>
  <c r="A546" i="19"/>
  <c r="A547" i="19"/>
  <c r="A548" i="19"/>
  <c r="A549" i="19"/>
  <c r="A550" i="19"/>
  <c r="A551" i="19"/>
  <c r="A552" i="19"/>
  <c r="A553" i="19"/>
  <c r="A554" i="19"/>
  <c r="A555" i="19"/>
  <c r="A556" i="19"/>
  <c r="A557" i="19"/>
  <c r="A558" i="19"/>
  <c r="A559" i="19"/>
  <c r="A560" i="19"/>
  <c r="A561" i="19"/>
  <c r="A562" i="19"/>
  <c r="A563" i="19"/>
  <c r="A564" i="19"/>
  <c r="A565" i="19"/>
  <c r="A566" i="19"/>
  <c r="A567" i="19"/>
  <c r="A568" i="19"/>
  <c r="A569" i="19"/>
  <c r="A570" i="19"/>
  <c r="A571" i="19"/>
  <c r="A572" i="19"/>
  <c r="A573" i="19"/>
  <c r="A574" i="19"/>
  <c r="A575" i="19"/>
  <c r="A576" i="19"/>
  <c r="A577" i="19"/>
  <c r="A578" i="19"/>
  <c r="A579" i="19"/>
  <c r="A580" i="19"/>
  <c r="A581" i="19"/>
  <c r="A582" i="19"/>
  <c r="A583" i="19"/>
  <c r="A584" i="19"/>
  <c r="A585" i="19"/>
  <c r="A586" i="19"/>
  <c r="A587" i="19"/>
  <c r="A588" i="19"/>
  <c r="A589" i="19"/>
  <c r="A590" i="19"/>
  <c r="A591" i="19"/>
  <c r="A592" i="19"/>
  <c r="A593" i="19"/>
  <c r="A594" i="19"/>
  <c r="A595" i="19"/>
  <c r="A596" i="19"/>
  <c r="A597" i="19"/>
  <c r="A598" i="19"/>
  <c r="A599" i="19"/>
  <c r="A600" i="19"/>
  <c r="A601" i="19"/>
  <c r="A602" i="19"/>
  <c r="A603" i="19"/>
  <c r="A604" i="19"/>
  <c r="A605" i="19"/>
  <c r="A606" i="19"/>
  <c r="A607" i="19"/>
  <c r="A608" i="19"/>
  <c r="A609" i="19"/>
  <c r="A610" i="19"/>
  <c r="A611" i="19"/>
  <c r="A612" i="19"/>
  <c r="A613" i="19"/>
  <c r="A614" i="19"/>
  <c r="A615" i="19"/>
  <c r="A616" i="19"/>
  <c r="A617" i="19"/>
  <c r="A618" i="19"/>
  <c r="A619" i="19"/>
  <c r="A620" i="19"/>
  <c r="A621" i="19"/>
  <c r="A622" i="19"/>
  <c r="A623" i="19"/>
  <c r="A624" i="19"/>
  <c r="A625" i="19"/>
  <c r="A626" i="19"/>
  <c r="A627" i="19"/>
  <c r="A628" i="19"/>
  <c r="A629" i="19"/>
  <c r="A630" i="19"/>
  <c r="A631" i="19"/>
  <c r="A632" i="19"/>
  <c r="A633" i="19"/>
  <c r="A634" i="19"/>
  <c r="A635" i="19"/>
  <c r="A636" i="19"/>
  <c r="A637" i="19"/>
  <c r="A638" i="19"/>
  <c r="A639" i="19"/>
  <c r="A640" i="19"/>
  <c r="A641" i="19"/>
  <c r="A642" i="19"/>
  <c r="A643" i="19"/>
  <c r="A644" i="19"/>
  <c r="A645" i="19"/>
  <c r="A646" i="19"/>
  <c r="A647" i="19"/>
  <c r="A648" i="19"/>
  <c r="A649" i="19"/>
  <c r="A650" i="19"/>
  <c r="A651" i="19"/>
  <c r="A652" i="19"/>
  <c r="A653" i="19"/>
  <c r="A654" i="19"/>
  <c r="A655" i="19"/>
  <c r="A656" i="19"/>
  <c r="A657" i="19"/>
  <c r="A658" i="19"/>
  <c r="A659" i="19"/>
  <c r="A660" i="19"/>
  <c r="A661" i="19"/>
  <c r="A662" i="19"/>
  <c r="A663" i="19"/>
  <c r="A664" i="19"/>
  <c r="A665" i="19"/>
  <c r="A666" i="19"/>
  <c r="A667" i="19"/>
  <c r="A668" i="19"/>
  <c r="A669" i="19"/>
  <c r="A670" i="19"/>
  <c r="A671" i="19"/>
  <c r="A672" i="19"/>
  <c r="A673" i="19"/>
  <c r="A674" i="19"/>
  <c r="A675" i="19"/>
  <c r="A676" i="19"/>
  <c r="A677" i="19"/>
  <c r="A678" i="19"/>
  <c r="A679" i="19"/>
  <c r="A680" i="19"/>
  <c r="A681" i="19"/>
  <c r="A682" i="19"/>
  <c r="A683" i="19"/>
  <c r="A684" i="19"/>
  <c r="A685" i="19"/>
  <c r="A686" i="19"/>
  <c r="A687" i="19"/>
  <c r="A688" i="19"/>
  <c r="A689" i="19"/>
  <c r="A690" i="19"/>
  <c r="A691" i="19"/>
  <c r="A692" i="19"/>
  <c r="A693" i="19"/>
  <c r="A694" i="19"/>
  <c r="A695" i="19"/>
  <c r="A696" i="19"/>
  <c r="A697" i="19"/>
  <c r="A698" i="19"/>
  <c r="A699" i="19"/>
  <c r="A700" i="19"/>
  <c r="A701" i="19"/>
  <c r="A702" i="19"/>
  <c r="A703" i="19"/>
  <c r="A704" i="19"/>
  <c r="A705" i="19"/>
  <c r="A706" i="19"/>
  <c r="A707" i="19"/>
  <c r="A708" i="19"/>
  <c r="A709" i="19"/>
  <c r="A710" i="19"/>
  <c r="A711" i="19"/>
  <c r="A712" i="19"/>
  <c r="A713" i="19"/>
  <c r="A714" i="19"/>
  <c r="A715" i="19"/>
  <c r="A716" i="19"/>
  <c r="A717" i="19"/>
  <c r="A718" i="19"/>
  <c r="A719" i="19"/>
  <c r="A720" i="19"/>
  <c r="A721" i="19"/>
  <c r="A722" i="19"/>
  <c r="A723" i="19"/>
  <c r="A724" i="19"/>
  <c r="A725" i="19"/>
  <c r="A726" i="19"/>
  <c r="A727" i="19"/>
  <c r="A728" i="19"/>
  <c r="A729" i="19"/>
  <c r="A730" i="19"/>
  <c r="A731" i="19"/>
  <c r="A732" i="19"/>
  <c r="A733" i="19"/>
  <c r="A734" i="19"/>
  <c r="A735" i="19"/>
  <c r="A736" i="19"/>
  <c r="A737" i="19"/>
  <c r="A738" i="19"/>
  <c r="A739" i="19"/>
  <c r="A740" i="19"/>
  <c r="A741" i="19"/>
  <c r="A742" i="19"/>
  <c r="A743" i="19"/>
  <c r="A744" i="19"/>
  <c r="A745" i="19"/>
  <c r="A746" i="19"/>
  <c r="A747" i="19"/>
  <c r="A748" i="19"/>
  <c r="A749" i="19"/>
  <c r="A750" i="19"/>
  <c r="A751" i="19"/>
  <c r="A752" i="19"/>
  <c r="A753" i="19"/>
  <c r="A754" i="19"/>
  <c r="A755" i="19"/>
  <c r="A756" i="19"/>
  <c r="A757" i="19"/>
  <c r="A758" i="19"/>
  <c r="A759" i="19"/>
  <c r="A760" i="19"/>
  <c r="A761" i="19"/>
  <c r="A762" i="19"/>
  <c r="A763" i="19"/>
  <c r="A764" i="19"/>
  <c r="A765" i="19"/>
  <c r="A766" i="19"/>
  <c r="A767" i="19"/>
  <c r="A768" i="19"/>
  <c r="A769" i="19"/>
  <c r="A770" i="19"/>
  <c r="A771" i="19"/>
  <c r="A772" i="19"/>
  <c r="A773" i="19"/>
  <c r="A774" i="19"/>
  <c r="A775" i="19"/>
  <c r="A776" i="19"/>
  <c r="A777" i="19"/>
  <c r="A778" i="19"/>
  <c r="A779" i="19"/>
  <c r="A780" i="19"/>
  <c r="A781" i="19"/>
  <c r="A782" i="19"/>
  <c r="A783" i="19"/>
  <c r="A784" i="19"/>
  <c r="A785" i="19"/>
  <c r="A786" i="19"/>
  <c r="A787" i="19"/>
  <c r="A788" i="19"/>
  <c r="A789" i="19"/>
  <c r="A790" i="19"/>
  <c r="A791" i="19"/>
  <c r="A792" i="19"/>
  <c r="A793" i="19"/>
  <c r="A794" i="19"/>
  <c r="A795" i="19"/>
  <c r="A796" i="19"/>
  <c r="A797" i="19"/>
  <c r="A798" i="19"/>
  <c r="A799" i="19"/>
  <c r="A800" i="19"/>
  <c r="A801" i="19"/>
  <c r="A802" i="19"/>
  <c r="A803" i="19"/>
  <c r="A804" i="19"/>
  <c r="A805" i="19"/>
  <c r="A806" i="19"/>
  <c r="A807" i="19"/>
  <c r="A808" i="19"/>
  <c r="A809" i="19"/>
  <c r="A810" i="19"/>
  <c r="A811" i="19"/>
  <c r="A812" i="19"/>
  <c r="A813" i="19"/>
  <c r="A814" i="19"/>
  <c r="A815" i="19"/>
  <c r="A816" i="19"/>
  <c r="A817" i="19"/>
  <c r="A818" i="19"/>
  <c r="A819" i="19"/>
  <c r="A820" i="19"/>
  <c r="A821" i="19"/>
  <c r="A822" i="19"/>
  <c r="A823" i="19"/>
  <c r="A824" i="19"/>
  <c r="A825" i="19"/>
  <c r="A826" i="19"/>
  <c r="A827" i="19"/>
  <c r="A828" i="19"/>
  <c r="A829" i="19"/>
  <c r="A830" i="19"/>
  <c r="A831" i="19"/>
  <c r="A832" i="19"/>
  <c r="A833" i="19"/>
  <c r="A834" i="19"/>
  <c r="A835" i="19"/>
  <c r="A836" i="19"/>
  <c r="A837" i="19"/>
  <c r="A838" i="19"/>
  <c r="A839" i="19"/>
  <c r="A840" i="19"/>
  <c r="A841" i="19"/>
  <c r="A842" i="19"/>
  <c r="A843" i="19"/>
  <c r="A844" i="19"/>
  <c r="A845" i="19"/>
  <c r="A846" i="19"/>
  <c r="A847" i="19"/>
  <c r="A848" i="19"/>
  <c r="A849" i="19"/>
  <c r="A850" i="19"/>
  <c r="A851" i="19"/>
  <c r="A852" i="19"/>
  <c r="A853" i="19"/>
  <c r="A854" i="19"/>
  <c r="A855" i="19"/>
  <c r="A856" i="19"/>
  <c r="A857" i="19"/>
  <c r="A858" i="19"/>
  <c r="A859" i="19"/>
  <c r="A860" i="19"/>
  <c r="A861" i="19"/>
  <c r="A862" i="19"/>
  <c r="A863" i="19"/>
  <c r="A864" i="19"/>
  <c r="A865" i="19"/>
  <c r="A866" i="19"/>
  <c r="A867" i="19"/>
  <c r="A868" i="19"/>
  <c r="A869" i="19"/>
  <c r="A870" i="19"/>
  <c r="A871" i="19"/>
  <c r="A872" i="19"/>
  <c r="A873" i="19"/>
  <c r="A874" i="19"/>
  <c r="A875" i="19"/>
  <c r="A876" i="19"/>
  <c r="A877" i="19"/>
  <c r="A878" i="19"/>
  <c r="A879" i="19"/>
  <c r="A880" i="19"/>
  <c r="A881" i="19"/>
  <c r="A882" i="19"/>
  <c r="A883" i="19"/>
  <c r="A884" i="19"/>
  <c r="A885" i="19"/>
  <c r="A886" i="19"/>
  <c r="A887" i="19"/>
  <c r="A888" i="19"/>
  <c r="A889" i="19"/>
  <c r="A890" i="19"/>
  <c r="A891" i="19"/>
  <c r="A892" i="19"/>
  <c r="A893" i="19"/>
  <c r="A894" i="19"/>
  <c r="A895" i="19"/>
  <c r="A896" i="19"/>
  <c r="A897" i="19"/>
  <c r="A898" i="19"/>
  <c r="A899" i="19"/>
  <c r="A900" i="19"/>
  <c r="A901" i="19"/>
  <c r="A902" i="19"/>
  <c r="A903" i="19"/>
  <c r="A904" i="19"/>
  <c r="A905" i="19"/>
  <c r="A906" i="19"/>
  <c r="A907" i="19"/>
  <c r="A908" i="19"/>
  <c r="A909" i="19"/>
  <c r="A910" i="19"/>
  <c r="A911" i="19"/>
  <c r="A912" i="19"/>
  <c r="A913" i="19"/>
  <c r="A914" i="19"/>
  <c r="A915" i="19"/>
  <c r="A916" i="19"/>
  <c r="A917" i="19"/>
  <c r="A918" i="19"/>
  <c r="A919" i="19"/>
  <c r="A920" i="19"/>
  <c r="A921" i="19"/>
  <c r="A922" i="19"/>
  <c r="A923" i="19"/>
  <c r="A924" i="19"/>
  <c r="A925" i="19"/>
  <c r="A926" i="19"/>
  <c r="A927" i="19"/>
  <c r="A928" i="19"/>
  <c r="A929" i="19"/>
  <c r="A930" i="19"/>
  <c r="A931" i="19"/>
  <c r="A932" i="19"/>
  <c r="A933" i="19"/>
  <c r="A934" i="19"/>
  <c r="A935" i="19"/>
  <c r="A936" i="19"/>
  <c r="A937" i="19"/>
  <c r="A938" i="19"/>
  <c r="A939" i="19"/>
  <c r="A940" i="19"/>
  <c r="A941" i="19"/>
  <c r="A942" i="19"/>
  <c r="A943" i="19"/>
  <c r="A944" i="19"/>
  <c r="A945" i="19"/>
  <c r="A946" i="19"/>
  <c r="A947" i="19"/>
  <c r="A948" i="19"/>
  <c r="A949" i="19"/>
  <c r="A950" i="19"/>
  <c r="A951" i="19"/>
  <c r="A952" i="19"/>
  <c r="A953" i="19"/>
  <c r="A954" i="19"/>
  <c r="A955" i="19"/>
  <c r="A956" i="19"/>
  <c r="A957" i="19"/>
  <c r="A958" i="19"/>
  <c r="A959" i="19"/>
  <c r="A960" i="19"/>
  <c r="A961" i="19"/>
  <c r="A962" i="19"/>
  <c r="A963" i="19"/>
  <c r="A964" i="19"/>
  <c r="A965" i="19"/>
  <c r="A966" i="19"/>
  <c r="A967" i="19"/>
  <c r="A968" i="19"/>
  <c r="A969" i="19"/>
  <c r="A970" i="19"/>
  <c r="A971" i="19"/>
  <c r="A972" i="19"/>
  <c r="A973" i="19"/>
  <c r="A974" i="19"/>
  <c r="A2" i="19"/>
  <c r="A3" i="21"/>
  <c r="A4" i="21"/>
  <c r="A5" i="21"/>
  <c r="A6" i="21"/>
  <c r="A7" i="21"/>
  <c r="A8" i="2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A83" i="21"/>
  <c r="A84" i="21"/>
  <c r="A85" i="21"/>
  <c r="A86" i="21"/>
  <c r="A87" i="21"/>
  <c r="A88" i="21"/>
  <c r="A89" i="21"/>
  <c r="A90" i="21"/>
  <c r="A91" i="21"/>
  <c r="A92" i="21"/>
  <c r="A93" i="21"/>
  <c r="A94" i="21"/>
  <c r="A95" i="21"/>
  <c r="A96" i="21"/>
  <c r="A97" i="21"/>
  <c r="A98" i="21"/>
  <c r="A99" i="21"/>
  <c r="A100" i="21"/>
  <c r="A101" i="21"/>
  <c r="A102" i="21"/>
  <c r="A103" i="21"/>
  <c r="A104" i="21"/>
  <c r="A105" i="21"/>
  <c r="A106" i="21"/>
  <c r="A107" i="21"/>
  <c r="A108" i="21"/>
  <c r="A109" i="21"/>
  <c r="A110" i="21"/>
  <c r="A111" i="21"/>
  <c r="A112" i="21"/>
  <c r="A113" i="21"/>
  <c r="A114" i="21"/>
  <c r="A115" i="21"/>
  <c r="A116" i="21"/>
  <c r="A117" i="21"/>
  <c r="A118" i="21"/>
  <c r="A119" i="21"/>
  <c r="A120" i="21"/>
  <c r="A121" i="21"/>
  <c r="A122" i="21"/>
  <c r="A123" i="21"/>
  <c r="A124" i="21"/>
  <c r="A125" i="21"/>
  <c r="A126" i="21"/>
  <c r="A127" i="21"/>
  <c r="A128" i="21"/>
  <c r="A129" i="21"/>
  <c r="A130" i="21"/>
  <c r="A131" i="21"/>
  <c r="A132" i="21"/>
  <c r="A133" i="21"/>
  <c r="A134" i="21"/>
  <c r="A135" i="21"/>
  <c r="A136" i="21"/>
  <c r="A137" i="21"/>
  <c r="A138" i="21"/>
  <c r="A139" i="21"/>
  <c r="A140" i="21"/>
  <c r="A141" i="21"/>
  <c r="A142" i="21"/>
  <c r="A143" i="21"/>
  <c r="A144" i="21"/>
  <c r="A145" i="21"/>
  <c r="A146" i="21"/>
  <c r="A147" i="21"/>
  <c r="A148" i="21"/>
  <c r="A149" i="21"/>
  <c r="A150" i="21"/>
  <c r="A151" i="21"/>
  <c r="A152" i="21"/>
  <c r="A153" i="21"/>
  <c r="A154" i="21"/>
  <c r="A155" i="21"/>
  <c r="A156" i="21"/>
  <c r="A157" i="21"/>
  <c r="A158" i="21"/>
  <c r="A159" i="21"/>
  <c r="A160" i="21"/>
  <c r="A161" i="21"/>
  <c r="A162" i="21"/>
  <c r="A163" i="21"/>
  <c r="A164" i="21"/>
  <c r="A165" i="21"/>
  <c r="A166" i="21"/>
  <c r="A167" i="21"/>
  <c r="A168" i="21"/>
  <c r="A169" i="21"/>
  <c r="A170" i="21"/>
  <c r="A171" i="21"/>
  <c r="A172" i="21"/>
  <c r="A173" i="21"/>
  <c r="A174" i="21"/>
  <c r="A175" i="21"/>
  <c r="A176" i="21"/>
  <c r="A177" i="21"/>
  <c r="A178" i="21"/>
  <c r="A179" i="21"/>
  <c r="A180" i="21"/>
  <c r="A181" i="21"/>
  <c r="A182" i="21"/>
  <c r="A183" i="21"/>
  <c r="A184" i="21"/>
  <c r="A185" i="21"/>
  <c r="A186" i="21"/>
  <c r="A187" i="21"/>
  <c r="A188" i="21"/>
  <c r="A189" i="21"/>
  <c r="A190" i="21"/>
  <c r="A191" i="21"/>
  <c r="A192" i="21"/>
  <c r="A193" i="21"/>
  <c r="A194" i="21"/>
  <c r="A195" i="21"/>
  <c r="A196" i="21"/>
  <c r="A197" i="21"/>
  <c r="A198" i="21"/>
  <c r="A199" i="21"/>
  <c r="A200" i="21"/>
  <c r="A201" i="21"/>
  <c r="A202" i="21"/>
  <c r="A203" i="21"/>
  <c r="A204" i="21"/>
  <c r="A205" i="21"/>
  <c r="A206" i="21"/>
  <c r="A207" i="21"/>
  <c r="A208" i="21"/>
  <c r="A209" i="21"/>
  <c r="A210" i="21"/>
  <c r="A211" i="21"/>
  <c r="A212" i="21"/>
  <c r="A213" i="21"/>
  <c r="A214" i="21"/>
  <c r="A215" i="21"/>
  <c r="A216" i="21"/>
  <c r="A217" i="21"/>
  <c r="A218" i="21"/>
  <c r="A219" i="21"/>
  <c r="A220" i="21"/>
  <c r="A221" i="21"/>
  <c r="A222" i="21"/>
  <c r="A223" i="21"/>
  <c r="A224" i="21"/>
  <c r="A225" i="21"/>
  <c r="A226" i="21"/>
  <c r="A227" i="21"/>
  <c r="A228" i="21"/>
  <c r="A229" i="21"/>
  <c r="A230" i="21"/>
  <c r="A231" i="21"/>
  <c r="A232" i="21"/>
  <c r="A233" i="21"/>
  <c r="A234" i="21"/>
  <c r="A235" i="21"/>
  <c r="A236" i="21"/>
  <c r="A237" i="21"/>
  <c r="A238" i="21"/>
  <c r="A239" i="21"/>
  <c r="A240" i="21"/>
  <c r="A241" i="21"/>
  <c r="A242" i="21"/>
  <c r="A243" i="21"/>
  <c r="A244" i="21"/>
  <c r="A245" i="21"/>
  <c r="A246" i="21"/>
  <c r="A247" i="21"/>
  <c r="A248" i="21"/>
  <c r="A249" i="21"/>
  <c r="A250" i="21"/>
  <c r="A251" i="21"/>
  <c r="A252" i="21"/>
  <c r="A253" i="21"/>
  <c r="A254" i="21"/>
  <c r="A255" i="21"/>
  <c r="A256" i="21"/>
  <c r="A257" i="21"/>
  <c r="A258" i="21"/>
  <c r="A259" i="21"/>
  <c r="A260" i="21"/>
  <c r="A261" i="21"/>
  <c r="A262" i="21"/>
  <c r="A263" i="21"/>
  <c r="A264" i="21"/>
  <c r="A265" i="21"/>
  <c r="A266" i="21"/>
  <c r="A267" i="21"/>
  <c r="A268" i="21"/>
  <c r="A269" i="21"/>
  <c r="A270" i="21"/>
  <c r="A271" i="21"/>
  <c r="A272" i="21"/>
  <c r="A273" i="21"/>
  <c r="A274" i="21"/>
  <c r="A275" i="21"/>
  <c r="A276" i="21"/>
  <c r="A277" i="21"/>
  <c r="A278" i="21"/>
  <c r="A279" i="21"/>
  <c r="A280" i="21"/>
  <c r="A281" i="21"/>
  <c r="A282" i="21"/>
  <c r="A283" i="21"/>
  <c r="A284" i="21"/>
  <c r="A285" i="21"/>
  <c r="A286" i="21"/>
  <c r="A287" i="21"/>
  <c r="A288" i="21"/>
  <c r="A289" i="21"/>
  <c r="A290" i="21"/>
  <c r="A291" i="21"/>
  <c r="A292" i="21"/>
  <c r="A293" i="21"/>
  <c r="A294" i="21"/>
  <c r="A295" i="21"/>
  <c r="A296" i="21"/>
  <c r="A297" i="21"/>
  <c r="A298" i="21"/>
  <c r="A299" i="21"/>
  <c r="A300" i="21"/>
  <c r="A301" i="21"/>
  <c r="A302" i="21"/>
  <c r="A303" i="21"/>
  <c r="A304" i="21"/>
  <c r="A305" i="21"/>
  <c r="A306" i="21"/>
  <c r="A307" i="21"/>
  <c r="A308" i="21"/>
  <c r="A309" i="21"/>
  <c r="A310" i="21"/>
  <c r="A311" i="21"/>
  <c r="A312" i="21"/>
  <c r="A313" i="21"/>
  <c r="A314" i="21"/>
  <c r="A315" i="21"/>
  <c r="A316" i="21"/>
  <c r="A317" i="21"/>
  <c r="A318" i="21"/>
  <c r="A319" i="21"/>
  <c r="A320" i="21"/>
  <c r="A321" i="21"/>
  <c r="A322" i="21"/>
  <c r="A323" i="21"/>
  <c r="A324" i="21"/>
  <c r="A325" i="21"/>
  <c r="A326" i="21"/>
  <c r="A327" i="21"/>
  <c r="A328" i="21"/>
  <c r="A329" i="21"/>
  <c r="A330" i="21"/>
  <c r="A331" i="21"/>
  <c r="A332" i="21"/>
  <c r="A333" i="21"/>
  <c r="A334" i="21"/>
  <c r="A335" i="21"/>
  <c r="A336" i="21"/>
  <c r="A337" i="21"/>
  <c r="A338" i="21"/>
  <c r="A339" i="21"/>
  <c r="A340" i="21"/>
  <c r="A341" i="21"/>
  <c r="A342" i="21"/>
  <c r="A343" i="21"/>
  <c r="A344" i="21"/>
  <c r="A345" i="21"/>
  <c r="A346" i="21"/>
  <c r="A347" i="21"/>
  <c r="A348" i="21"/>
  <c r="A349" i="21"/>
  <c r="A350" i="21"/>
  <c r="A351" i="21"/>
  <c r="A352" i="21"/>
  <c r="A353" i="21"/>
  <c r="A354" i="21"/>
  <c r="A355" i="21"/>
  <c r="A356" i="21"/>
  <c r="A357" i="21"/>
  <c r="A358" i="21"/>
  <c r="A359" i="21"/>
  <c r="A360" i="21"/>
  <c r="A361" i="21"/>
  <c r="A362" i="21"/>
  <c r="A363" i="21"/>
  <c r="A364" i="21"/>
  <c r="A365" i="21"/>
  <c r="A366" i="21"/>
  <c r="A367" i="21"/>
  <c r="A368" i="21"/>
  <c r="A369" i="21"/>
  <c r="A370" i="21"/>
  <c r="A371" i="21"/>
  <c r="A372" i="21"/>
  <c r="A373" i="21"/>
  <c r="A374" i="21"/>
  <c r="A375" i="21"/>
  <c r="A376" i="21"/>
  <c r="A377" i="21"/>
  <c r="A378" i="21"/>
  <c r="A379" i="21"/>
  <c r="A380" i="21"/>
  <c r="A381" i="21"/>
  <c r="A382" i="21"/>
  <c r="A383" i="21"/>
  <c r="A384" i="21"/>
  <c r="A385" i="21"/>
  <c r="A386" i="21"/>
  <c r="A387" i="21"/>
  <c r="A388" i="21"/>
  <c r="A389" i="21"/>
  <c r="A390" i="21"/>
  <c r="A391" i="21"/>
  <c r="A392" i="21"/>
  <c r="A393" i="21"/>
  <c r="A394" i="21"/>
  <c r="A395" i="21"/>
  <c r="A396" i="21"/>
  <c r="A397" i="21"/>
  <c r="A398" i="21"/>
  <c r="A399" i="21"/>
  <c r="A400" i="21"/>
  <c r="A401" i="21"/>
  <c r="A402" i="21"/>
  <c r="A403" i="21"/>
  <c r="A404" i="21"/>
  <c r="A405" i="21"/>
  <c r="A406" i="21"/>
  <c r="A407" i="21"/>
  <c r="A408" i="21"/>
  <c r="A409" i="21"/>
  <c r="A410" i="21"/>
  <c r="A411" i="21"/>
  <c r="A412" i="21"/>
  <c r="A413" i="21"/>
  <c r="A414" i="21"/>
  <c r="A415" i="21"/>
  <c r="A416" i="21"/>
  <c r="A417" i="21"/>
  <c r="A418" i="21"/>
  <c r="A419" i="21"/>
  <c r="A420" i="21"/>
  <c r="A421" i="21"/>
  <c r="A422" i="21"/>
  <c r="A423" i="21"/>
  <c r="A424" i="21"/>
  <c r="A425" i="21"/>
  <c r="A426" i="21"/>
  <c r="A427" i="21"/>
  <c r="A428" i="21"/>
  <c r="A429" i="21"/>
  <c r="A430" i="21"/>
  <c r="A431" i="21"/>
  <c r="A432" i="21"/>
  <c r="A433" i="21"/>
  <c r="A434" i="21"/>
  <c r="A435" i="21"/>
  <c r="A436" i="21"/>
  <c r="A437" i="21"/>
  <c r="A438" i="21"/>
  <c r="A439" i="21"/>
  <c r="A440" i="21"/>
  <c r="A441" i="21"/>
  <c r="A442" i="21"/>
  <c r="A443" i="21"/>
  <c r="A444" i="21"/>
  <c r="A445" i="21"/>
  <c r="A446" i="21"/>
  <c r="A447" i="21"/>
  <c r="A448" i="21"/>
  <c r="A449" i="21"/>
  <c r="A450" i="21"/>
  <c r="A451" i="21"/>
  <c r="A452" i="21"/>
  <c r="A453" i="21"/>
  <c r="A454" i="21"/>
  <c r="A455" i="21"/>
  <c r="A456" i="21"/>
  <c r="A457" i="21"/>
  <c r="A458" i="21"/>
  <c r="A459" i="21"/>
  <c r="A460" i="21"/>
  <c r="A461" i="21"/>
  <c r="A462" i="21"/>
  <c r="A463" i="21"/>
  <c r="A464" i="21"/>
  <c r="A465" i="21"/>
  <c r="A466" i="21"/>
  <c r="A467" i="21"/>
  <c r="A468" i="21"/>
  <c r="A469" i="21"/>
  <c r="A470" i="21"/>
  <c r="A471" i="21"/>
  <c r="A472" i="21"/>
  <c r="A473" i="21"/>
  <c r="A474" i="21"/>
  <c r="A475" i="21"/>
  <c r="A476" i="21"/>
  <c r="A477" i="21"/>
  <c r="A478" i="21"/>
  <c r="A479" i="21"/>
  <c r="A480" i="21"/>
  <c r="A481" i="21"/>
  <c r="A482" i="21"/>
  <c r="A483" i="21"/>
  <c r="A484" i="21"/>
  <c r="A485" i="21"/>
  <c r="A486" i="21"/>
  <c r="A487" i="21"/>
  <c r="A488" i="21"/>
  <c r="A489" i="21"/>
  <c r="A490" i="21"/>
  <c r="A491" i="21"/>
  <c r="A492" i="21"/>
  <c r="A493" i="21"/>
  <c r="A494" i="21"/>
  <c r="A495" i="21"/>
  <c r="A496" i="21"/>
  <c r="A497" i="21"/>
  <c r="A498" i="21"/>
  <c r="A499" i="21"/>
  <c r="A500" i="21"/>
  <c r="A501" i="21"/>
  <c r="A502" i="21"/>
  <c r="A503" i="21"/>
  <c r="A504" i="21"/>
  <c r="A505" i="21"/>
  <c r="A506" i="21"/>
  <c r="A507" i="21"/>
  <c r="A508" i="21"/>
  <c r="A509" i="21"/>
  <c r="A510" i="21"/>
  <c r="A511" i="21"/>
  <c r="A512" i="21"/>
  <c r="A513" i="21"/>
  <c r="A514" i="21"/>
  <c r="A515" i="21"/>
  <c r="A516" i="21"/>
  <c r="A517" i="21"/>
  <c r="A518" i="21"/>
  <c r="A519" i="21"/>
  <c r="A520" i="21"/>
  <c r="A521" i="21"/>
  <c r="A522" i="21"/>
  <c r="A523" i="21"/>
  <c r="A524" i="21"/>
  <c r="A525" i="21"/>
  <c r="A526" i="21"/>
  <c r="A527" i="21"/>
  <c r="A528" i="21"/>
  <c r="A529" i="21"/>
  <c r="A530" i="21"/>
  <c r="A531" i="21"/>
  <c r="A532" i="21"/>
  <c r="A533" i="21"/>
  <c r="A534" i="21"/>
  <c r="A535" i="21"/>
  <c r="A536" i="21"/>
  <c r="A537" i="21"/>
  <c r="A538" i="21"/>
  <c r="A539" i="21"/>
  <c r="A540" i="21"/>
  <c r="A541" i="21"/>
  <c r="A542" i="21"/>
  <c r="A543" i="21"/>
  <c r="A544" i="21"/>
  <c r="A545" i="21"/>
  <c r="A546" i="21"/>
  <c r="A547" i="21"/>
  <c r="A548" i="21"/>
  <c r="A549" i="21"/>
  <c r="A550" i="21"/>
  <c r="A551" i="21"/>
  <c r="A552" i="21"/>
  <c r="A553" i="21"/>
  <c r="A554" i="21"/>
  <c r="A555" i="21"/>
  <c r="A556" i="21"/>
  <c r="A557" i="21"/>
  <c r="A558" i="21"/>
  <c r="A559" i="21"/>
  <c r="A560" i="21"/>
  <c r="A561" i="21"/>
  <c r="A562" i="21"/>
  <c r="A563" i="21"/>
  <c r="A564" i="21"/>
  <c r="A565" i="21"/>
  <c r="A566" i="21"/>
  <c r="A567" i="21"/>
  <c r="A568" i="21"/>
  <c r="A569" i="21"/>
  <c r="A570" i="21"/>
  <c r="A571" i="21"/>
  <c r="A572" i="21"/>
  <c r="A573" i="21"/>
  <c r="A574" i="21"/>
  <c r="A575" i="21"/>
  <c r="A576" i="21"/>
  <c r="A577" i="21"/>
  <c r="A578" i="21"/>
  <c r="A579" i="21"/>
  <c r="A580" i="21"/>
  <c r="A581" i="21"/>
  <c r="A582" i="21"/>
  <c r="A583" i="21"/>
  <c r="A584" i="21"/>
  <c r="A585" i="21"/>
  <c r="A586" i="21"/>
  <c r="A587" i="21"/>
  <c r="A588" i="21"/>
  <c r="A589" i="21"/>
  <c r="A590" i="21"/>
  <c r="A591" i="21"/>
  <c r="A592" i="21"/>
  <c r="A593" i="21"/>
  <c r="A594" i="21"/>
  <c r="A595" i="21"/>
  <c r="A596" i="21"/>
  <c r="A597" i="21"/>
  <c r="A598" i="21"/>
  <c r="A599" i="21"/>
  <c r="A600" i="21"/>
  <c r="A601" i="21"/>
  <c r="A602" i="21"/>
  <c r="A603" i="21"/>
  <c r="A604" i="21"/>
  <c r="A605" i="21"/>
  <c r="A606" i="21"/>
  <c r="A607" i="21"/>
  <c r="A608" i="21"/>
  <c r="A609" i="21"/>
  <c r="A610" i="21"/>
  <c r="A611" i="21"/>
  <c r="A612" i="21"/>
  <c r="A613" i="21"/>
  <c r="A614" i="21"/>
  <c r="A615" i="21"/>
  <c r="A616" i="21"/>
  <c r="A617" i="21"/>
  <c r="A618" i="21"/>
  <c r="A619" i="21"/>
  <c r="A620" i="21"/>
  <c r="A621" i="21"/>
  <c r="A622" i="21"/>
  <c r="A623" i="21"/>
  <c r="A624" i="21"/>
  <c r="A625" i="21"/>
  <c r="A626" i="21"/>
  <c r="A627" i="21"/>
  <c r="A628" i="21"/>
  <c r="A629" i="21"/>
  <c r="A630" i="21"/>
  <c r="A631" i="21"/>
  <c r="A632" i="21"/>
  <c r="A633" i="21"/>
  <c r="A634" i="21"/>
  <c r="A635" i="21"/>
  <c r="A636" i="21"/>
  <c r="A637" i="21"/>
  <c r="A638" i="21"/>
  <c r="A639" i="21"/>
  <c r="A640" i="21"/>
  <c r="A641" i="21"/>
  <c r="A642" i="21"/>
  <c r="A643" i="21"/>
  <c r="A644" i="21"/>
  <c r="A645" i="21"/>
  <c r="A646" i="21"/>
  <c r="A647" i="21"/>
  <c r="A648" i="21"/>
  <c r="A649" i="21"/>
  <c r="A650" i="21"/>
  <c r="A651" i="21"/>
  <c r="A652" i="21"/>
  <c r="A653" i="21"/>
  <c r="A654" i="21"/>
  <c r="A655" i="21"/>
  <c r="A656" i="21"/>
  <c r="A657" i="21"/>
  <c r="A658" i="21"/>
  <c r="A659" i="21"/>
  <c r="A660" i="21"/>
  <c r="A661" i="21"/>
  <c r="A662" i="21"/>
  <c r="A663" i="21"/>
  <c r="A664" i="21"/>
  <c r="A665" i="21"/>
  <c r="A666" i="21"/>
  <c r="A667" i="21"/>
  <c r="A668" i="21"/>
  <c r="A669" i="21"/>
  <c r="A670" i="21"/>
  <c r="A671" i="21"/>
  <c r="A672" i="21"/>
  <c r="A673" i="21"/>
  <c r="A674" i="21"/>
  <c r="A675" i="21"/>
  <c r="A676" i="21"/>
  <c r="A677" i="21"/>
  <c r="A678" i="21"/>
  <c r="A679" i="21"/>
  <c r="A680" i="21"/>
  <c r="A681" i="21"/>
  <c r="A682" i="21"/>
  <c r="A683" i="21"/>
  <c r="A684" i="21"/>
  <c r="A685" i="21"/>
  <c r="A686" i="21"/>
  <c r="A687" i="21"/>
  <c r="A688" i="21"/>
  <c r="A689" i="21"/>
  <c r="A690" i="21"/>
  <c r="A691" i="21"/>
  <c r="A692" i="21"/>
  <c r="A693" i="21"/>
  <c r="A694" i="21"/>
  <c r="A695" i="21"/>
  <c r="A696" i="21"/>
  <c r="A697" i="21"/>
  <c r="A698" i="21"/>
  <c r="A699" i="21"/>
  <c r="A700" i="21"/>
  <c r="A701" i="21"/>
  <c r="A702" i="21"/>
  <c r="A703" i="21"/>
  <c r="A704" i="21"/>
  <c r="A705" i="21"/>
  <c r="A706" i="21"/>
  <c r="A707" i="21"/>
  <c r="A708" i="21"/>
  <c r="A709" i="21"/>
  <c r="A710" i="21"/>
  <c r="A711" i="21"/>
  <c r="A712" i="21"/>
  <c r="A713" i="21"/>
  <c r="A714" i="21"/>
  <c r="A715" i="21"/>
  <c r="A716" i="21"/>
  <c r="A717" i="21"/>
  <c r="A718" i="21"/>
  <c r="A719" i="21"/>
  <c r="A720" i="21"/>
  <c r="A721" i="21"/>
  <c r="A722" i="21"/>
  <c r="A723" i="21"/>
  <c r="A724" i="21"/>
  <c r="A725" i="21"/>
  <c r="A726" i="21"/>
  <c r="A727" i="21"/>
  <c r="A728" i="21"/>
  <c r="A729" i="21"/>
  <c r="A730" i="21"/>
  <c r="A731" i="21"/>
  <c r="A732" i="21"/>
  <c r="A733" i="21"/>
  <c r="A734" i="21"/>
  <c r="A735" i="21"/>
  <c r="A736" i="21"/>
  <c r="A737" i="21"/>
  <c r="A738" i="21"/>
  <c r="A739" i="21"/>
  <c r="A740" i="21"/>
  <c r="A741" i="21"/>
  <c r="A742" i="21"/>
  <c r="A743" i="21"/>
  <c r="A744" i="21"/>
  <c r="A745" i="21"/>
  <c r="A746" i="21"/>
  <c r="A747" i="21"/>
  <c r="A748" i="21"/>
  <c r="A749" i="21"/>
  <c r="A750" i="21"/>
  <c r="A751" i="21"/>
  <c r="A752" i="21"/>
  <c r="A753" i="21"/>
  <c r="A754" i="21"/>
  <c r="A755" i="21"/>
  <c r="A756" i="21"/>
  <c r="A757" i="21"/>
  <c r="A758" i="21"/>
  <c r="A759" i="21"/>
  <c r="A760" i="21"/>
  <c r="A761" i="21"/>
  <c r="A762" i="21"/>
  <c r="A763" i="21"/>
  <c r="A764" i="21"/>
  <c r="A765" i="21"/>
  <c r="A766" i="21"/>
  <c r="A767" i="21"/>
  <c r="A768" i="21"/>
  <c r="A769" i="21"/>
  <c r="A770" i="21"/>
  <c r="A771" i="21"/>
  <c r="A772" i="21"/>
  <c r="A773" i="21"/>
  <c r="A774" i="21"/>
  <c r="A775" i="21"/>
  <c r="A776" i="21"/>
  <c r="A777" i="21"/>
  <c r="A778" i="21"/>
  <c r="A779" i="21"/>
  <c r="A780" i="21"/>
  <c r="A781" i="21"/>
  <c r="A782" i="21"/>
  <c r="A783" i="21"/>
  <c r="A784" i="21"/>
  <c r="A785" i="21"/>
  <c r="A786" i="21"/>
  <c r="A787" i="21"/>
  <c r="A788" i="21"/>
  <c r="A789" i="21"/>
  <c r="A790" i="21"/>
  <c r="A791" i="21"/>
  <c r="A792" i="21"/>
  <c r="A793" i="21"/>
  <c r="A794" i="21"/>
  <c r="A795" i="21"/>
  <c r="A796" i="21"/>
  <c r="A797" i="21"/>
  <c r="A798" i="21"/>
  <c r="A799" i="21"/>
  <c r="A800" i="21"/>
  <c r="A801" i="21"/>
  <c r="A802" i="21"/>
  <c r="A803" i="21"/>
  <c r="A804" i="21"/>
  <c r="A805" i="21"/>
  <c r="A806" i="21"/>
  <c r="A807" i="21"/>
  <c r="A808" i="21"/>
  <c r="A809" i="21"/>
  <c r="A810" i="21"/>
  <c r="A811" i="21"/>
  <c r="A812" i="21"/>
  <c r="A813" i="21"/>
  <c r="A814" i="21"/>
  <c r="A815" i="21"/>
  <c r="A816" i="21"/>
  <c r="A817" i="21"/>
  <c r="A818" i="21"/>
  <c r="A819" i="21"/>
  <c r="A820" i="21"/>
  <c r="A821" i="21"/>
  <c r="A822" i="21"/>
  <c r="A823" i="21"/>
  <c r="A824" i="21"/>
  <c r="A825" i="21"/>
  <c r="A826" i="21"/>
  <c r="A827" i="21"/>
  <c r="A828" i="21"/>
  <c r="A829" i="21"/>
  <c r="A830" i="21"/>
  <c r="A831" i="21"/>
  <c r="A832" i="21"/>
  <c r="A833" i="21"/>
  <c r="A834" i="21"/>
  <c r="A835" i="21"/>
  <c r="A836" i="21"/>
  <c r="A837" i="21"/>
  <c r="A838" i="21"/>
  <c r="A839" i="21"/>
  <c r="A840" i="21"/>
  <c r="A841" i="21"/>
  <c r="A842" i="21"/>
  <c r="A843" i="21"/>
  <c r="A844" i="21"/>
  <c r="A845" i="21"/>
  <c r="A846" i="21"/>
  <c r="A847" i="21"/>
  <c r="A848" i="21"/>
  <c r="A849" i="21"/>
  <c r="A850" i="21"/>
  <c r="A851" i="21"/>
  <c r="A852" i="21"/>
  <c r="A853" i="21"/>
  <c r="A854" i="21"/>
  <c r="A855" i="21"/>
  <c r="A856" i="21"/>
  <c r="A857" i="21"/>
  <c r="A858" i="21"/>
  <c r="A859" i="21"/>
  <c r="A860" i="21"/>
  <c r="A861" i="21"/>
  <c r="A862" i="21"/>
  <c r="A863" i="21"/>
  <c r="A864" i="21"/>
  <c r="A865" i="21"/>
  <c r="A866" i="21"/>
  <c r="A867" i="21"/>
  <c r="A868" i="21"/>
  <c r="A869" i="21"/>
  <c r="A870" i="21"/>
  <c r="A871" i="21"/>
  <c r="A872" i="21"/>
  <c r="A873" i="21"/>
  <c r="A874" i="21"/>
  <c r="A875" i="21"/>
  <c r="A876" i="21"/>
  <c r="A877" i="21"/>
  <c r="A878" i="21"/>
  <c r="A879" i="21"/>
  <c r="A880" i="21"/>
  <c r="A881" i="21"/>
  <c r="A882" i="21"/>
  <c r="A883" i="21"/>
  <c r="A884" i="21"/>
  <c r="A885" i="21"/>
  <c r="A886" i="21"/>
  <c r="A887" i="21"/>
  <c r="A888" i="21"/>
  <c r="A889" i="21"/>
  <c r="A890" i="21"/>
  <c r="A891" i="21"/>
  <c r="A892" i="21"/>
  <c r="A893" i="21"/>
  <c r="A894" i="21"/>
  <c r="A895" i="21"/>
  <c r="A896" i="21"/>
  <c r="A897" i="21"/>
  <c r="A898" i="21"/>
  <c r="A899" i="21"/>
  <c r="A900" i="21"/>
  <c r="A901" i="21"/>
  <c r="A902" i="21"/>
  <c r="A903" i="21"/>
  <c r="A904" i="21"/>
  <c r="A905" i="21"/>
  <c r="A906" i="21"/>
  <c r="A907" i="21"/>
  <c r="A908" i="21"/>
  <c r="A909" i="21"/>
  <c r="A910" i="21"/>
  <c r="A911" i="21"/>
  <c r="A912" i="21"/>
  <c r="A913" i="21"/>
  <c r="A914" i="21"/>
  <c r="A915" i="21"/>
  <c r="A916" i="21"/>
  <c r="A917" i="21"/>
  <c r="A918" i="21"/>
  <c r="A919" i="21"/>
  <c r="A920" i="21"/>
  <c r="A921" i="21"/>
  <c r="A922" i="21"/>
  <c r="A923" i="21"/>
  <c r="A924" i="21"/>
  <c r="A925" i="21"/>
  <c r="A926" i="21"/>
  <c r="A927" i="21"/>
  <c r="A928" i="21"/>
  <c r="A929" i="21"/>
  <c r="A930" i="21"/>
  <c r="A931" i="21"/>
  <c r="A932" i="21"/>
  <c r="A933" i="21"/>
  <c r="A934" i="21"/>
  <c r="A935" i="21"/>
  <c r="A936" i="21"/>
  <c r="A937" i="21"/>
  <c r="A938" i="21"/>
  <c r="A939" i="21"/>
  <c r="A940" i="21"/>
  <c r="A941" i="21"/>
  <c r="A942" i="21"/>
  <c r="A943" i="21"/>
  <c r="A944" i="21"/>
  <c r="A945" i="21"/>
  <c r="A946" i="21"/>
  <c r="A947" i="21"/>
  <c r="A948" i="21"/>
  <c r="A949" i="21"/>
  <c r="A950" i="21"/>
  <c r="A951" i="21"/>
  <c r="A952" i="21"/>
  <c r="A953" i="21"/>
  <c r="A954" i="21"/>
  <c r="A955" i="21"/>
  <c r="A956" i="21"/>
  <c r="A957" i="21"/>
  <c r="A958" i="21"/>
  <c r="A959" i="21"/>
  <c r="A960" i="21"/>
  <c r="A961" i="21"/>
  <c r="A962" i="21"/>
  <c r="A963" i="21"/>
  <c r="A964" i="21"/>
  <c r="A965" i="21"/>
  <c r="A966" i="21"/>
  <c r="A967" i="21"/>
  <c r="A968" i="21"/>
  <c r="A969" i="21"/>
  <c r="A970" i="21"/>
  <c r="A971" i="21"/>
  <c r="A972" i="21"/>
  <c r="A973" i="21"/>
  <c r="A974" i="21"/>
  <c r="A975" i="21"/>
  <c r="A976" i="21"/>
  <c r="A977" i="21"/>
  <c r="A978" i="21"/>
  <c r="A979" i="21"/>
  <c r="A980" i="21"/>
  <c r="A981" i="21"/>
  <c r="A982" i="21"/>
  <c r="A983" i="21"/>
  <c r="A984" i="21"/>
  <c r="A985" i="21"/>
  <c r="A986" i="21"/>
  <c r="A987" i="21"/>
  <c r="A988" i="21"/>
  <c r="A989" i="21"/>
  <c r="A990" i="21"/>
  <c r="A991" i="21"/>
  <c r="A992" i="21"/>
  <c r="A993" i="21"/>
  <c r="A994" i="21"/>
  <c r="A995" i="21"/>
  <c r="A996" i="21"/>
  <c r="A997" i="21"/>
  <c r="A998" i="21"/>
  <c r="A999" i="21"/>
  <c r="A1000" i="21"/>
  <c r="A1001" i="21"/>
  <c r="A1002" i="21"/>
  <c r="A1003" i="21"/>
  <c r="A1004" i="21"/>
  <c r="A1005" i="21"/>
  <c r="A1006" i="21"/>
  <c r="A1007" i="21"/>
  <c r="A1008" i="21"/>
  <c r="A1009" i="21"/>
  <c r="A1010" i="21"/>
  <c r="A1011" i="21"/>
  <c r="A1012" i="21"/>
  <c r="A1013" i="21"/>
  <c r="A1014" i="21"/>
  <c r="A1015" i="21"/>
  <c r="A1016" i="21"/>
  <c r="A1017" i="21"/>
  <c r="A1018" i="21"/>
  <c r="A1019" i="21"/>
  <c r="A1020" i="21"/>
  <c r="A1021" i="21"/>
  <c r="A1022" i="21"/>
  <c r="A1023" i="21"/>
  <c r="A1024" i="21"/>
  <c r="A1025" i="21"/>
  <c r="A1026" i="21"/>
  <c r="A1027" i="21"/>
  <c r="A1028" i="21"/>
  <c r="A1029" i="21"/>
  <c r="A1030" i="21"/>
  <c r="A1031" i="21"/>
  <c r="A1032" i="21"/>
  <c r="A1033" i="21"/>
  <c r="A1034" i="21"/>
  <c r="A1035" i="21"/>
  <c r="A1036" i="21"/>
  <c r="A1037" i="21"/>
  <c r="A1038" i="21"/>
  <c r="A1039" i="21"/>
  <c r="A1040" i="21"/>
  <c r="A1041" i="21"/>
  <c r="A1042" i="21"/>
  <c r="A1043" i="21"/>
  <c r="A1044" i="21"/>
  <c r="A1045" i="21"/>
  <c r="A1046" i="21"/>
  <c r="A1047" i="21"/>
  <c r="A1048" i="21"/>
  <c r="A1049" i="21"/>
  <c r="A1050" i="21"/>
  <c r="A1051" i="21"/>
  <c r="A1052" i="21"/>
  <c r="A1053" i="21"/>
  <c r="A1054" i="21"/>
  <c r="A1055" i="21"/>
  <c r="A1056" i="21"/>
  <c r="A1057" i="21"/>
  <c r="A1058" i="21"/>
  <c r="A1059" i="21"/>
  <c r="A1060" i="21"/>
  <c r="A1061" i="21"/>
  <c r="A1062" i="21"/>
  <c r="A1063" i="21"/>
  <c r="A1064" i="21"/>
  <c r="A1065" i="21"/>
  <c r="A1066" i="21"/>
  <c r="A1067" i="21"/>
  <c r="A1068" i="21"/>
  <c r="A1069" i="21"/>
  <c r="A1070" i="21"/>
  <c r="A1071" i="21"/>
  <c r="A1072" i="21"/>
  <c r="A1073" i="21"/>
  <c r="A1074" i="21"/>
  <c r="A1075" i="21"/>
  <c r="A1076" i="21"/>
  <c r="A1077" i="21"/>
  <c r="A1078" i="21"/>
  <c r="A1079" i="21"/>
  <c r="A1080" i="21"/>
  <c r="A1081" i="21"/>
  <c r="A1082" i="21"/>
  <c r="A1083" i="21"/>
  <c r="A1084" i="21"/>
  <c r="A1085" i="21"/>
  <c r="A1086" i="21"/>
  <c r="A1087" i="21"/>
  <c r="A1088" i="21"/>
  <c r="A1089" i="21"/>
  <c r="A1090" i="21"/>
  <c r="A1091" i="21"/>
  <c r="A1092" i="21"/>
  <c r="A1093" i="21"/>
  <c r="A1094" i="21"/>
  <c r="A1095" i="21"/>
  <c r="A1096" i="21"/>
  <c r="A1097" i="21"/>
  <c r="A1098" i="21"/>
  <c r="A1099" i="21"/>
  <c r="A1100" i="21"/>
  <c r="A1101" i="21"/>
  <c r="A1102" i="21"/>
  <c r="A1103" i="21"/>
  <c r="A1104" i="21"/>
  <c r="A1105" i="21"/>
  <c r="A1106" i="21"/>
  <c r="A1107" i="21"/>
  <c r="A1108" i="21"/>
  <c r="A1109" i="21"/>
  <c r="A1110" i="21"/>
  <c r="A1111" i="21"/>
  <c r="A1112" i="21"/>
  <c r="A1113" i="21"/>
  <c r="A1114" i="21"/>
  <c r="A1115" i="21"/>
  <c r="A1116" i="21"/>
  <c r="A1117" i="21"/>
  <c r="A1118" i="21"/>
  <c r="A1119" i="21"/>
  <c r="A1120" i="21"/>
  <c r="A1121" i="21"/>
  <c r="A1122" i="21"/>
  <c r="A1123" i="21"/>
  <c r="A1124" i="21"/>
  <c r="A1125" i="21"/>
  <c r="A1126" i="21"/>
  <c r="A1127" i="21"/>
  <c r="A1128" i="21"/>
  <c r="A1129" i="21"/>
  <c r="A1130" i="21"/>
  <c r="A1131" i="21"/>
  <c r="A1132" i="21"/>
  <c r="A1133" i="21"/>
  <c r="A1134" i="21"/>
  <c r="A1135" i="21"/>
  <c r="A1136" i="21"/>
  <c r="A1137" i="21"/>
  <c r="A1138" i="21"/>
  <c r="A1139" i="21"/>
  <c r="A1140" i="21"/>
  <c r="A1141" i="21"/>
  <c r="A1142" i="21"/>
  <c r="A1143" i="21"/>
  <c r="A1144" i="21"/>
  <c r="A1145" i="21"/>
  <c r="A1146" i="21"/>
  <c r="A1147" i="21"/>
  <c r="A1148" i="21"/>
  <c r="A1149" i="21"/>
  <c r="A1150" i="21"/>
  <c r="A1151" i="21"/>
  <c r="A1152" i="21"/>
  <c r="A1153" i="21"/>
  <c r="A1154" i="21"/>
  <c r="A1155" i="21"/>
  <c r="A1156" i="21"/>
  <c r="A1157" i="21"/>
  <c r="A1158" i="21"/>
  <c r="A1159" i="21"/>
  <c r="A1160" i="21"/>
  <c r="A1161" i="21"/>
  <c r="A1162" i="21"/>
  <c r="A1163" i="21"/>
  <c r="A1164" i="21"/>
  <c r="A1165" i="21"/>
  <c r="A1166" i="21"/>
  <c r="A1167" i="21"/>
  <c r="A1168" i="21"/>
  <c r="A1169" i="21"/>
  <c r="A1170" i="21"/>
  <c r="A1171" i="21"/>
  <c r="A1172" i="21"/>
  <c r="A1173" i="21"/>
  <c r="A1174" i="21"/>
  <c r="A1175" i="21"/>
  <c r="A1176" i="21"/>
  <c r="A1177" i="21"/>
  <c r="A1178" i="21"/>
  <c r="A1179" i="21"/>
  <c r="A1180" i="21"/>
  <c r="A1181" i="21"/>
  <c r="A1182" i="21"/>
  <c r="A1183" i="21"/>
  <c r="A1184" i="21"/>
  <c r="A1185" i="21"/>
  <c r="A1186" i="21"/>
  <c r="A1187" i="21"/>
  <c r="A1188" i="21"/>
  <c r="A1189" i="21"/>
  <c r="A1190" i="21"/>
  <c r="A1191" i="21"/>
  <c r="A1192" i="21"/>
  <c r="A1193" i="21"/>
  <c r="A1194" i="21"/>
  <c r="A1195" i="21"/>
  <c r="A1196" i="21"/>
  <c r="A1197" i="21"/>
  <c r="A1198" i="21"/>
  <c r="A1199" i="21"/>
  <c r="A1200" i="21"/>
  <c r="A1201" i="21"/>
  <c r="A1202" i="21"/>
  <c r="A1203" i="21"/>
  <c r="A1204" i="21"/>
  <c r="A1205" i="21"/>
  <c r="A1206" i="21"/>
  <c r="A1207" i="21"/>
  <c r="A1208" i="21"/>
  <c r="A1209" i="21"/>
  <c r="A1210" i="21"/>
  <c r="A1211" i="21"/>
  <c r="A1212" i="21"/>
  <c r="A1213" i="21"/>
  <c r="A1214" i="21"/>
  <c r="A1215" i="21"/>
  <c r="A1216" i="21"/>
  <c r="A1217" i="21"/>
  <c r="A1218" i="21"/>
  <c r="A1219" i="21"/>
  <c r="A1220" i="21"/>
  <c r="A1221" i="21"/>
  <c r="A1222" i="21"/>
  <c r="A1223" i="21"/>
  <c r="A1224" i="21"/>
  <c r="A1225" i="21"/>
  <c r="A1226" i="21"/>
  <c r="A1227" i="21"/>
  <c r="A1228" i="21"/>
  <c r="A1229" i="21"/>
  <c r="A1230" i="21"/>
  <c r="A1231" i="21"/>
  <c r="A1232" i="21"/>
  <c r="A1233" i="21"/>
  <c r="A1234" i="21"/>
  <c r="A1235" i="21"/>
  <c r="A1236" i="21"/>
  <c r="A1237" i="21"/>
  <c r="A1238" i="21"/>
  <c r="A1239" i="21"/>
  <c r="A1240" i="21"/>
  <c r="A1241" i="21"/>
  <c r="A1242" i="21"/>
  <c r="A1243" i="21"/>
  <c r="A1244" i="21"/>
  <c r="A1245" i="21"/>
  <c r="A1246" i="21"/>
  <c r="A1247" i="21"/>
  <c r="A1248" i="21"/>
  <c r="A1249" i="21"/>
  <c r="A1250" i="21"/>
  <c r="A1251" i="21"/>
  <c r="A1252" i="21"/>
  <c r="A1253" i="21"/>
  <c r="A1254" i="21"/>
  <c r="A1255" i="21"/>
  <c r="A1256" i="21"/>
  <c r="A1257" i="21"/>
  <c r="A1258" i="21"/>
  <c r="A1259" i="21"/>
  <c r="A1260" i="21"/>
  <c r="A1261" i="21"/>
  <c r="A1262" i="21"/>
  <c r="A1263" i="21"/>
  <c r="A1264" i="21"/>
  <c r="A1265" i="21"/>
  <c r="A1266" i="21"/>
  <c r="A1267" i="21"/>
  <c r="A1268" i="21"/>
  <c r="A1269" i="21"/>
  <c r="A1270" i="21"/>
  <c r="A1271" i="21"/>
  <c r="A1272" i="21"/>
  <c r="A1273" i="21"/>
  <c r="A1274" i="21"/>
  <c r="A1275" i="21"/>
  <c r="A1276" i="21"/>
  <c r="A1277" i="21"/>
  <c r="A1278" i="21"/>
  <c r="A1279" i="21"/>
  <c r="A1280" i="21"/>
  <c r="A1281" i="21"/>
  <c r="A1282" i="21"/>
  <c r="A1283" i="21"/>
  <c r="A1284" i="21"/>
  <c r="A1285" i="21"/>
  <c r="A1286" i="21"/>
  <c r="A1287" i="21"/>
  <c r="A1288" i="21"/>
  <c r="A1289" i="21"/>
  <c r="A1290" i="21"/>
  <c r="A1291" i="21"/>
  <c r="A1292" i="21"/>
  <c r="A1293" i="21"/>
  <c r="A1294" i="21"/>
  <c r="A1295" i="21"/>
  <c r="A1296" i="21"/>
  <c r="A1297" i="21"/>
  <c r="A1298" i="21"/>
  <c r="A1299" i="21"/>
  <c r="A1300" i="21"/>
  <c r="A1301" i="21"/>
  <c r="A1302" i="21"/>
  <c r="A1303" i="21"/>
  <c r="A1304" i="21"/>
  <c r="A1305" i="21"/>
  <c r="A1306" i="21"/>
  <c r="A1307" i="21"/>
  <c r="A1308" i="21"/>
  <c r="A1309" i="21"/>
  <c r="A1310" i="21"/>
  <c r="A1311" i="21"/>
  <c r="A1312" i="21"/>
  <c r="A1313" i="21"/>
  <c r="A1314" i="21"/>
  <c r="A1315" i="21"/>
  <c r="A1316" i="21"/>
  <c r="A1317" i="21"/>
  <c r="A1318" i="21"/>
  <c r="A1319" i="21"/>
  <c r="A1320" i="21"/>
  <c r="A1321" i="21"/>
  <c r="A1322" i="21"/>
  <c r="A1323" i="21"/>
  <c r="A1324" i="21"/>
  <c r="A1325" i="21"/>
  <c r="A1326" i="21"/>
  <c r="A1327" i="21"/>
  <c r="A1328" i="21"/>
  <c r="A1329" i="21"/>
  <c r="A1330" i="21"/>
  <c r="A1331" i="21"/>
  <c r="A1332" i="21"/>
  <c r="A1333" i="21"/>
  <c r="A1334" i="21"/>
  <c r="A1335" i="21"/>
  <c r="A1336" i="21"/>
  <c r="A1337" i="21"/>
  <c r="A1338" i="21"/>
  <c r="A1339" i="21"/>
  <c r="A1340" i="21"/>
  <c r="A1341" i="21"/>
  <c r="A1342" i="21"/>
  <c r="A1343" i="21"/>
  <c r="A1344" i="21"/>
  <c r="A1345" i="21"/>
  <c r="A1346" i="21"/>
  <c r="A1347" i="21"/>
  <c r="A1348" i="21"/>
  <c r="A1349" i="21"/>
  <c r="A1350" i="21"/>
  <c r="A1351" i="21"/>
  <c r="A1352" i="21"/>
  <c r="A1353" i="21"/>
  <c r="A1354" i="21"/>
  <c r="A1355" i="21"/>
  <c r="A1356" i="21"/>
  <c r="A1357" i="21"/>
  <c r="A1358" i="21"/>
  <c r="A1359" i="21"/>
  <c r="A1360" i="21"/>
  <c r="A1361" i="21"/>
  <c r="A1362" i="21"/>
  <c r="A1363" i="21"/>
  <c r="A1364" i="21"/>
  <c r="A1365" i="21"/>
  <c r="A1366" i="21"/>
  <c r="A1367" i="21"/>
  <c r="A1368" i="21"/>
  <c r="A1369" i="21"/>
  <c r="A1370" i="21"/>
  <c r="A1371" i="21"/>
  <c r="A1372" i="21"/>
  <c r="A1373" i="21"/>
  <c r="A1374" i="21"/>
  <c r="A1375" i="21"/>
  <c r="A1376" i="21"/>
  <c r="A1377" i="21"/>
  <c r="A1378" i="21"/>
  <c r="A1379" i="21"/>
  <c r="A1380" i="21"/>
  <c r="A1381" i="21"/>
  <c r="A1382" i="21"/>
  <c r="A1383" i="21"/>
  <c r="A1384" i="21"/>
  <c r="A1385" i="21"/>
  <c r="A1386" i="21"/>
  <c r="A1387" i="21"/>
  <c r="A1388" i="21"/>
  <c r="A1389" i="21"/>
  <c r="A1390" i="21"/>
  <c r="A1391" i="21"/>
  <c r="A1392" i="21"/>
  <c r="A1393" i="21"/>
  <c r="A1394" i="21"/>
  <c r="A1395" i="21"/>
  <c r="A1396" i="21"/>
  <c r="A1397" i="21"/>
  <c r="A1398" i="21"/>
  <c r="A1399" i="21"/>
  <c r="A1400" i="21"/>
  <c r="A1401" i="21"/>
  <c r="A1402" i="21"/>
  <c r="A1403" i="21"/>
  <c r="A1404" i="21"/>
  <c r="A1405" i="21"/>
  <c r="A1406" i="21"/>
  <c r="A1407" i="21"/>
  <c r="A1408" i="21"/>
  <c r="A1409" i="21"/>
  <c r="A1410" i="21"/>
  <c r="A1411" i="21"/>
  <c r="A1412" i="21"/>
  <c r="A1413" i="21"/>
  <c r="A1414" i="21"/>
  <c r="A1415" i="21"/>
  <c r="A1416" i="21"/>
  <c r="A1417" i="21"/>
  <c r="A1418" i="21"/>
  <c r="A1419" i="21"/>
  <c r="A1420" i="21"/>
  <c r="A1421" i="21"/>
  <c r="A1422" i="21"/>
  <c r="A1423" i="21"/>
  <c r="A1424" i="21"/>
  <c r="A1425" i="21"/>
  <c r="A1426" i="21"/>
  <c r="A1427" i="21"/>
  <c r="A1428" i="21"/>
  <c r="A1429" i="21"/>
  <c r="A1430" i="21"/>
  <c r="A1431" i="21"/>
  <c r="A1432" i="21"/>
  <c r="A1433" i="21"/>
  <c r="A1434" i="21"/>
  <c r="A1435" i="21"/>
  <c r="A1436" i="21"/>
  <c r="A1437" i="21"/>
  <c r="A1438" i="21"/>
  <c r="A1439" i="21"/>
  <c r="A1440" i="21"/>
  <c r="A1441" i="21"/>
  <c r="A1442" i="21"/>
  <c r="A1443" i="21"/>
  <c r="A1444" i="21"/>
  <c r="A1445" i="21"/>
  <c r="A1446" i="21"/>
  <c r="A1447" i="21"/>
  <c r="A1448" i="21"/>
  <c r="A1449" i="21"/>
  <c r="A1450" i="21"/>
  <c r="A1451" i="21"/>
  <c r="A1452" i="21"/>
  <c r="A1453" i="21"/>
  <c r="A1454" i="21"/>
  <c r="A1455" i="21"/>
  <c r="A1456" i="21"/>
  <c r="A1457" i="21"/>
  <c r="A1458" i="21"/>
  <c r="A1459" i="21"/>
  <c r="A1460" i="21"/>
  <c r="A1461" i="21"/>
  <c r="A1462" i="21"/>
  <c r="A1463" i="21"/>
  <c r="A1464" i="21"/>
  <c r="A1465" i="21"/>
  <c r="A1466" i="21"/>
  <c r="A1467" i="21"/>
  <c r="A1468" i="21"/>
  <c r="A1469" i="21"/>
  <c r="A1470" i="21"/>
  <c r="A1471" i="21"/>
  <c r="A1472" i="21"/>
  <c r="A1473" i="21"/>
  <c r="A1474" i="21"/>
  <c r="A1475" i="21"/>
  <c r="A1476" i="21"/>
  <c r="A1477" i="21"/>
  <c r="A1478" i="21"/>
  <c r="A1479" i="21"/>
  <c r="A1480" i="21"/>
  <c r="A1481" i="21"/>
  <c r="A1482" i="21"/>
  <c r="A1483" i="21"/>
  <c r="A1484" i="21"/>
  <c r="A1485" i="21"/>
  <c r="A1486" i="21"/>
  <c r="A1487" i="21"/>
  <c r="A1488" i="21"/>
  <c r="A1489" i="21"/>
  <c r="A1490" i="21"/>
  <c r="A1491" i="21"/>
  <c r="A1492" i="21"/>
  <c r="A1493" i="21"/>
  <c r="A1494" i="21"/>
  <c r="A1495" i="21"/>
  <c r="A1496" i="21"/>
  <c r="A1497" i="21"/>
  <c r="A1498" i="21"/>
  <c r="A1499" i="21"/>
  <c r="A1500" i="21"/>
  <c r="A1501" i="21"/>
  <c r="A1502" i="21"/>
  <c r="A1503" i="21"/>
  <c r="A1504" i="21"/>
  <c r="A1505" i="21"/>
  <c r="A1506" i="21"/>
  <c r="A1507" i="21"/>
  <c r="A1508" i="21"/>
  <c r="A1509" i="21"/>
  <c r="A1510" i="21"/>
  <c r="A1511" i="21"/>
  <c r="A1512" i="21"/>
  <c r="A1513" i="21"/>
  <c r="A1514" i="21"/>
  <c r="A1515" i="21"/>
  <c r="A1516" i="21"/>
  <c r="A1517" i="21"/>
  <c r="A1518" i="21"/>
  <c r="A1519" i="21"/>
  <c r="A1520" i="21"/>
  <c r="A1521" i="21"/>
  <c r="A1522" i="21"/>
  <c r="A1523" i="21"/>
  <c r="A1524" i="21"/>
  <c r="A1525" i="21"/>
  <c r="A1526" i="21"/>
  <c r="A1527" i="21"/>
  <c r="A1528" i="21"/>
  <c r="A1529" i="21"/>
  <c r="A1530" i="21"/>
  <c r="A1531" i="21"/>
  <c r="A1532" i="21"/>
  <c r="A1533" i="21"/>
  <c r="A1534" i="21"/>
  <c r="A1535" i="21"/>
  <c r="A1536" i="21"/>
  <c r="A1537" i="21"/>
  <c r="A1538" i="21"/>
  <c r="A1539" i="21"/>
  <c r="A1540" i="21"/>
  <c r="A1541" i="21"/>
  <c r="A1542" i="21"/>
  <c r="A1543" i="21"/>
  <c r="A1544" i="21"/>
  <c r="A1545" i="21"/>
  <c r="A1546" i="21"/>
  <c r="A1547" i="21"/>
  <c r="A1548" i="21"/>
  <c r="A1549" i="21"/>
  <c r="A1550" i="21"/>
  <c r="A1551" i="21"/>
  <c r="A1552" i="21"/>
  <c r="A1553" i="21"/>
  <c r="A1554" i="21"/>
  <c r="A1555" i="21"/>
  <c r="A1556" i="21"/>
  <c r="A1557" i="21"/>
  <c r="A1558" i="21"/>
  <c r="A1559" i="21"/>
  <c r="A1560" i="21"/>
  <c r="A1561" i="21"/>
  <c r="A1562" i="21"/>
  <c r="A1563" i="21"/>
  <c r="A1564" i="21"/>
  <c r="A1565" i="21"/>
  <c r="A1566" i="21"/>
  <c r="A1567" i="21"/>
  <c r="A1568" i="21"/>
  <c r="A1569" i="21"/>
  <c r="A1570" i="21"/>
  <c r="A1571" i="21"/>
  <c r="A1572" i="21"/>
  <c r="A1573" i="21"/>
  <c r="A1574" i="21"/>
  <c r="A1575" i="21"/>
  <c r="A1576" i="21"/>
  <c r="A1577" i="21"/>
  <c r="A1578" i="21"/>
  <c r="A1579" i="21"/>
  <c r="A1580" i="21"/>
  <c r="A1581" i="21"/>
  <c r="A1582" i="21"/>
  <c r="A1583" i="21"/>
  <c r="A1584" i="21"/>
  <c r="A1585" i="21"/>
  <c r="A1586" i="21"/>
  <c r="A1587" i="21"/>
  <c r="A1588" i="21"/>
  <c r="A1589" i="21"/>
  <c r="A1590" i="21"/>
  <c r="A1591" i="21"/>
  <c r="A1592" i="21"/>
  <c r="A1593" i="21"/>
  <c r="A1594" i="21"/>
  <c r="A1595" i="21"/>
  <c r="A1596" i="21"/>
  <c r="A1597" i="21"/>
  <c r="A1598" i="21"/>
  <c r="A1599" i="21"/>
  <c r="A1600" i="21"/>
  <c r="A1601" i="21"/>
  <c r="A1602" i="21"/>
  <c r="A1603" i="21"/>
  <c r="A1604" i="21"/>
  <c r="A1605" i="21"/>
  <c r="A1606" i="21"/>
  <c r="A1607" i="21"/>
  <c r="A1608" i="21"/>
  <c r="A1609" i="21"/>
  <c r="A1610" i="21"/>
  <c r="A1611" i="21"/>
  <c r="A1612" i="21"/>
  <c r="A1613" i="21"/>
  <c r="A1614" i="21"/>
  <c r="A1615" i="21"/>
  <c r="A1616" i="21"/>
  <c r="A1617" i="21"/>
  <c r="A1618" i="21"/>
  <c r="A1619" i="21"/>
  <c r="A1620" i="21"/>
  <c r="A1621" i="21"/>
  <c r="A1622" i="21"/>
  <c r="A1623" i="21"/>
  <c r="A1624" i="21"/>
  <c r="A1625" i="21"/>
  <c r="A1626" i="21"/>
  <c r="A1627" i="21"/>
  <c r="A1628" i="21"/>
  <c r="A1629" i="21"/>
  <c r="A1630" i="21"/>
  <c r="A1631" i="21"/>
  <c r="A1632" i="21"/>
  <c r="A1633" i="21"/>
  <c r="A1634" i="21"/>
  <c r="A1635" i="21"/>
  <c r="A1636" i="21"/>
  <c r="A1637" i="21"/>
  <c r="A1638" i="21"/>
  <c r="A1639" i="21"/>
  <c r="A1640" i="21"/>
  <c r="A1641" i="21"/>
  <c r="A1642" i="21"/>
  <c r="A1643" i="21"/>
  <c r="A1644" i="21"/>
  <c r="A1645" i="21"/>
  <c r="A1646" i="21"/>
  <c r="A1647" i="21"/>
  <c r="A1648" i="21"/>
  <c r="A1649" i="21"/>
  <c r="A1650" i="21"/>
  <c r="A1651" i="21"/>
  <c r="A1652" i="21"/>
  <c r="A1653" i="21"/>
  <c r="A1654" i="21"/>
  <c r="A1655" i="21"/>
  <c r="A1656" i="21"/>
  <c r="A1657" i="21"/>
  <c r="A1658" i="21"/>
  <c r="A1659" i="21"/>
  <c r="A1660" i="21"/>
  <c r="A1661" i="21"/>
  <c r="A1662" i="21"/>
  <c r="A1663" i="21"/>
  <c r="A1664" i="21"/>
  <c r="A1665" i="21"/>
  <c r="A1666" i="21"/>
  <c r="A1667" i="21"/>
  <c r="A1668" i="21"/>
  <c r="A1669" i="21"/>
  <c r="A1670" i="21"/>
  <c r="A1671" i="21"/>
  <c r="A1672" i="21"/>
  <c r="A1673" i="21"/>
  <c r="A1674" i="21"/>
  <c r="A1675" i="21"/>
  <c r="A1676" i="21"/>
  <c r="A1677" i="21"/>
  <c r="A1678" i="21"/>
  <c r="A1679" i="21"/>
  <c r="A1680" i="21"/>
  <c r="A1681" i="21"/>
  <c r="A1682" i="21"/>
  <c r="A1683" i="21"/>
  <c r="A1684" i="21"/>
  <c r="A1685" i="21"/>
  <c r="A1686" i="21"/>
  <c r="A1687" i="21"/>
  <c r="A1688" i="21"/>
  <c r="A1689" i="21"/>
  <c r="A1690" i="21"/>
  <c r="A1691" i="21"/>
  <c r="A1692" i="21"/>
  <c r="A1693" i="21"/>
  <c r="A1694" i="21"/>
  <c r="A1695" i="21"/>
  <c r="A1696" i="21"/>
  <c r="A1697" i="21"/>
  <c r="A1698" i="21"/>
  <c r="A1699" i="21"/>
  <c r="A1700" i="21"/>
  <c r="A1701" i="21"/>
  <c r="A1702" i="21"/>
  <c r="A1703" i="21"/>
  <c r="A1704" i="21"/>
  <c r="A1705" i="21"/>
  <c r="A1706" i="21"/>
  <c r="A1707" i="21"/>
  <c r="A1708" i="21"/>
  <c r="A1709" i="21"/>
  <c r="A1710" i="21"/>
  <c r="A1711" i="21"/>
  <c r="A1712" i="21"/>
  <c r="A1713" i="21"/>
  <c r="A1714" i="21"/>
  <c r="A1715" i="21"/>
  <c r="A1716" i="21"/>
  <c r="A1717" i="21"/>
  <c r="A1718" i="21"/>
  <c r="A1719" i="21"/>
  <c r="A1720" i="21"/>
  <c r="A1721" i="21"/>
  <c r="A1722" i="21"/>
  <c r="A1723" i="21"/>
  <c r="A1724" i="21"/>
  <c r="A1725" i="21"/>
  <c r="A1726" i="21"/>
  <c r="A1727" i="21"/>
  <c r="A1728" i="21"/>
  <c r="A1729" i="21"/>
  <c r="A1730" i="21"/>
  <c r="A1731" i="21"/>
  <c r="A1732" i="21"/>
  <c r="A1733" i="21"/>
  <c r="A1734" i="21"/>
  <c r="A1735" i="21"/>
  <c r="A1736" i="21"/>
  <c r="A1737" i="21"/>
  <c r="A1738" i="21"/>
  <c r="A1739" i="21"/>
  <c r="A1740" i="21"/>
  <c r="A1741" i="21"/>
  <c r="A1742" i="21"/>
  <c r="A1743" i="21"/>
  <c r="A1744" i="21"/>
  <c r="A1745" i="21"/>
  <c r="A1746" i="21"/>
  <c r="A1747" i="21"/>
  <c r="A1748" i="21"/>
  <c r="A1749" i="21"/>
  <c r="A1750" i="21"/>
  <c r="A1751" i="21"/>
  <c r="A1752" i="21"/>
  <c r="A1753" i="21"/>
  <c r="A1754" i="21"/>
  <c r="A1755" i="21"/>
  <c r="A1756" i="21"/>
  <c r="A1757" i="21"/>
  <c r="A1758" i="21"/>
  <c r="A1759" i="21"/>
  <c r="A1760" i="21"/>
  <c r="A1761" i="21"/>
  <c r="A1762" i="21"/>
  <c r="A1763" i="21"/>
  <c r="A1764" i="21"/>
  <c r="A1765" i="21"/>
  <c r="A1766" i="21"/>
  <c r="A1767" i="21"/>
  <c r="A1768" i="21"/>
  <c r="A1769" i="21"/>
  <c r="A1770" i="21"/>
  <c r="A1771" i="21"/>
  <c r="A1772" i="21"/>
  <c r="A1773" i="21"/>
  <c r="A1774" i="21"/>
  <c r="A1775" i="21"/>
  <c r="A1776" i="21"/>
  <c r="A1777" i="21"/>
  <c r="A1778" i="21"/>
  <c r="A1779" i="21"/>
  <c r="A1780" i="21"/>
  <c r="A1781" i="21"/>
  <c r="A1782" i="21"/>
  <c r="A1783" i="21"/>
  <c r="A1784" i="21"/>
  <c r="A1785" i="21"/>
  <c r="A1786" i="21"/>
  <c r="A1787" i="21"/>
  <c r="A1788" i="21"/>
  <c r="A1789" i="21"/>
  <c r="A1790" i="21"/>
  <c r="A1791" i="21"/>
  <c r="A1792" i="21"/>
  <c r="A1793" i="21"/>
  <c r="A1794" i="21"/>
  <c r="A1795" i="21"/>
  <c r="A1796" i="21"/>
  <c r="A1797" i="21"/>
  <c r="A1798" i="21"/>
  <c r="A1799" i="21"/>
  <c r="A1800" i="21"/>
  <c r="A1801" i="21"/>
  <c r="A1802" i="21"/>
  <c r="A1803" i="21"/>
  <c r="A1804" i="21"/>
  <c r="A1805" i="21"/>
  <c r="A1806" i="21"/>
  <c r="A1807" i="21"/>
  <c r="A1808" i="21"/>
  <c r="A1809" i="21"/>
  <c r="A1810" i="21"/>
  <c r="A1811" i="21"/>
  <c r="A1812" i="21"/>
  <c r="A1813" i="21"/>
  <c r="A1814" i="21"/>
  <c r="A1815" i="21"/>
  <c r="A1816" i="21"/>
  <c r="A1817" i="21"/>
  <c r="A1818" i="21"/>
  <c r="A1819" i="21"/>
  <c r="A1820" i="21"/>
  <c r="A1821" i="21"/>
  <c r="A1822" i="21"/>
  <c r="A1823" i="21"/>
  <c r="A1824" i="21"/>
  <c r="A1825" i="21"/>
  <c r="A1826" i="21"/>
  <c r="A1827" i="21"/>
  <c r="A1828" i="21"/>
  <c r="A1829" i="21"/>
  <c r="A1830" i="21"/>
  <c r="A1831" i="21"/>
  <c r="A1832" i="21"/>
  <c r="A1833" i="21"/>
  <c r="A1834" i="21"/>
  <c r="A1835" i="21"/>
  <c r="A1836" i="21"/>
  <c r="A1837" i="21"/>
  <c r="A1838" i="21"/>
  <c r="A1839" i="21"/>
  <c r="A1840" i="21"/>
  <c r="A1841" i="21"/>
  <c r="A1842" i="21"/>
  <c r="A1843" i="21"/>
  <c r="A1844" i="21"/>
  <c r="A1845" i="21"/>
  <c r="A1846" i="21"/>
  <c r="A1847" i="21"/>
  <c r="A1848" i="21"/>
  <c r="A1849" i="21"/>
  <c r="A1850" i="21"/>
  <c r="A1851" i="21"/>
  <c r="A1852" i="21"/>
  <c r="A1853" i="21"/>
  <c r="A1854" i="21"/>
  <c r="A1855" i="21"/>
  <c r="A1856" i="21"/>
  <c r="A1857" i="21"/>
  <c r="A1858" i="21"/>
  <c r="A1859" i="21"/>
  <c r="A1860" i="21"/>
  <c r="A1861" i="21"/>
  <c r="A1862" i="21"/>
  <c r="A1863" i="21"/>
  <c r="A1864" i="21"/>
  <c r="A1865" i="21"/>
  <c r="A1866" i="21"/>
  <c r="A1867" i="21"/>
  <c r="A1868" i="21"/>
  <c r="A1869" i="21"/>
  <c r="A1870" i="21"/>
  <c r="A1871" i="21"/>
  <c r="A1872" i="21"/>
  <c r="A1873" i="21"/>
  <c r="A1874" i="21"/>
  <c r="A1875" i="21"/>
  <c r="A1876" i="21"/>
  <c r="A1877" i="21"/>
  <c r="A1878" i="21"/>
  <c r="A1879" i="21"/>
  <c r="A1880" i="21"/>
  <c r="A1881" i="21"/>
  <c r="A1882" i="21"/>
  <c r="A1883" i="21"/>
  <c r="A1884" i="21"/>
  <c r="A1885" i="21"/>
  <c r="A1886" i="21"/>
  <c r="A1887" i="21"/>
  <c r="A1888" i="21"/>
  <c r="A1889" i="21"/>
  <c r="A1890" i="21"/>
  <c r="A1891" i="21"/>
  <c r="A1892" i="21"/>
  <c r="A1893" i="21"/>
  <c r="A1894" i="21"/>
  <c r="A1895" i="21"/>
  <c r="A1896" i="21"/>
  <c r="A1897" i="21"/>
  <c r="A1898" i="21"/>
  <c r="A1899" i="21"/>
  <c r="A1900" i="21"/>
  <c r="A1901" i="21"/>
  <c r="A1902" i="21"/>
  <c r="A1903" i="21"/>
  <c r="A1904" i="21"/>
  <c r="A1905" i="21"/>
  <c r="A1906" i="21"/>
  <c r="A1907" i="21"/>
  <c r="A1908" i="21"/>
  <c r="A1909" i="21"/>
  <c r="A1910" i="21"/>
  <c r="A1911" i="21"/>
  <c r="A1912" i="21"/>
  <c r="A1913" i="21"/>
  <c r="A1914" i="21"/>
  <c r="A1915" i="21"/>
  <c r="A1916" i="21"/>
  <c r="A1917" i="21"/>
  <c r="A1918" i="21"/>
  <c r="A1919" i="21"/>
  <c r="A1920" i="21"/>
  <c r="A1921" i="21"/>
  <c r="A1922" i="21"/>
  <c r="A1923" i="21"/>
  <c r="A1924" i="21"/>
  <c r="A1925" i="21"/>
  <c r="A1926" i="21"/>
  <c r="A1927" i="21"/>
  <c r="A1928" i="21"/>
  <c r="A1929" i="21"/>
  <c r="A1930" i="21"/>
  <c r="A1931" i="21"/>
  <c r="A1932" i="21"/>
  <c r="A1933" i="21"/>
  <c r="A1934" i="21"/>
  <c r="A1935" i="21"/>
  <c r="A1936" i="21"/>
  <c r="A1937" i="21"/>
  <c r="A1938" i="21"/>
  <c r="A1939" i="21"/>
  <c r="A1940" i="21"/>
  <c r="A1941" i="21"/>
  <c r="A1942" i="21"/>
  <c r="A1943" i="21"/>
  <c r="A1944" i="21"/>
  <c r="A1945" i="21"/>
  <c r="A1946" i="21"/>
  <c r="A1947" i="21"/>
  <c r="A1948" i="21"/>
  <c r="A1949" i="21"/>
  <c r="A1950" i="21"/>
  <c r="A1951" i="21"/>
  <c r="A1952" i="21"/>
  <c r="A1953" i="21"/>
  <c r="A1954" i="21"/>
  <c r="A1955" i="21"/>
  <c r="A1956" i="21"/>
  <c r="A1957" i="21"/>
  <c r="A1958" i="21"/>
  <c r="A1959" i="21"/>
  <c r="A1960" i="21"/>
  <c r="A1961" i="21"/>
  <c r="A1962" i="21"/>
  <c r="A1963" i="21"/>
  <c r="A1964" i="21"/>
  <c r="A1965" i="21"/>
  <c r="A1966" i="21"/>
  <c r="A1967" i="21"/>
  <c r="A1968" i="21"/>
  <c r="A1969" i="21"/>
  <c r="A1970" i="21"/>
  <c r="A1971" i="21"/>
  <c r="A1972" i="21"/>
  <c r="A1973" i="21"/>
  <c r="A1974" i="21"/>
  <c r="A1975" i="21"/>
  <c r="A1976" i="21"/>
  <c r="A1977" i="21"/>
  <c r="A1978" i="21"/>
  <c r="A1979" i="21"/>
  <c r="A1980" i="21"/>
  <c r="A1981" i="21"/>
  <c r="A1982" i="21"/>
  <c r="A1983" i="21"/>
  <c r="A1984" i="21"/>
  <c r="A1985" i="21"/>
  <c r="A1986" i="21"/>
  <c r="A1987" i="21"/>
  <c r="A1988" i="21"/>
  <c r="A1989" i="21"/>
  <c r="A1990" i="21"/>
  <c r="A1991" i="21"/>
  <c r="A1992" i="21"/>
  <c r="A1993" i="21"/>
  <c r="A1994" i="21"/>
  <c r="A1995" i="21"/>
  <c r="A1996" i="21"/>
  <c r="A1997" i="21"/>
  <c r="A1998" i="21"/>
  <c r="A1999" i="21"/>
  <c r="A2000" i="21"/>
  <c r="A2001" i="21"/>
  <c r="A2002" i="21"/>
  <c r="A2" i="21"/>
  <c r="A2" i="17"/>
  <c r="K45" i="22" s="1"/>
  <c r="A3" i="17"/>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318" i="17"/>
  <c r="A319" i="17"/>
  <c r="A320" i="17"/>
  <c r="A321" i="17"/>
  <c r="A322" i="17"/>
  <c r="A323" i="17"/>
  <c r="A324" i="17"/>
  <c r="A325" i="17"/>
  <c r="A326" i="17"/>
  <c r="A327" i="17"/>
  <c r="A328" i="17"/>
  <c r="A329" i="17"/>
  <c r="A330" i="17"/>
  <c r="A331" i="17"/>
  <c r="A332" i="17"/>
  <c r="A333" i="17"/>
  <c r="A334" i="17"/>
  <c r="A335" i="17"/>
  <c r="A336" i="17"/>
  <c r="A337" i="17"/>
  <c r="A338" i="17"/>
  <c r="A339" i="17"/>
  <c r="A340" i="17"/>
  <c r="A341" i="17"/>
  <c r="A342" i="17"/>
  <c r="A343" i="17"/>
  <c r="A344" i="17"/>
  <c r="A345" i="17"/>
  <c r="A346" i="17"/>
  <c r="A347" i="17"/>
  <c r="A348" i="17"/>
  <c r="A349" i="17"/>
  <c r="A350" i="17"/>
  <c r="A351" i="17"/>
  <c r="A352" i="17"/>
  <c r="A353" i="17"/>
  <c r="A354" i="17"/>
  <c r="A355" i="17"/>
  <c r="A356" i="17"/>
  <c r="A357" i="17"/>
  <c r="A358" i="17"/>
  <c r="A359" i="17"/>
  <c r="A360" i="17"/>
  <c r="A361" i="17"/>
  <c r="A362" i="17"/>
  <c r="A363" i="17"/>
  <c r="A364" i="17"/>
  <c r="A365" i="17"/>
  <c r="A366" i="17"/>
  <c r="A367" i="17"/>
  <c r="A368" i="17"/>
  <c r="A369" i="17"/>
  <c r="A370" i="17"/>
  <c r="A371" i="17"/>
  <c r="A372" i="17"/>
  <c r="A373" i="17"/>
  <c r="A374" i="17"/>
  <c r="A375" i="17"/>
  <c r="A376" i="17"/>
  <c r="A377" i="17"/>
  <c r="A378" i="17"/>
  <c r="A379" i="17"/>
  <c r="A380" i="17"/>
  <c r="A381" i="17"/>
  <c r="A382" i="17"/>
  <c r="A383" i="17"/>
  <c r="A384" i="17"/>
  <c r="A385" i="17"/>
  <c r="A386" i="17"/>
  <c r="A387" i="17"/>
  <c r="A388" i="17"/>
  <c r="A389" i="17"/>
  <c r="A390" i="17"/>
  <c r="A391" i="17"/>
  <c r="A392" i="17"/>
  <c r="A393" i="17"/>
  <c r="A394" i="17"/>
  <c r="A395" i="17"/>
  <c r="A396" i="17"/>
  <c r="A397" i="17"/>
  <c r="A398" i="17"/>
  <c r="A399" i="17"/>
  <c r="A400" i="17"/>
  <c r="A401" i="17"/>
  <c r="A402" i="17"/>
  <c r="A403" i="17"/>
  <c r="A404" i="17"/>
  <c r="A405" i="17"/>
  <c r="A406" i="17"/>
  <c r="A407" i="17"/>
  <c r="A408" i="17"/>
  <c r="A409" i="17"/>
  <c r="A410" i="17"/>
  <c r="A411" i="17"/>
  <c r="A412" i="17"/>
  <c r="A413" i="17"/>
  <c r="A414" i="17"/>
  <c r="A415" i="17"/>
  <c r="A416" i="17"/>
  <c r="A417" i="17"/>
  <c r="A418" i="17"/>
  <c r="A419" i="17"/>
  <c r="A420" i="17"/>
  <c r="A421" i="17"/>
  <c r="A422" i="17"/>
  <c r="A423" i="17"/>
  <c r="A424" i="17"/>
  <c r="A425" i="17"/>
  <c r="A426" i="17"/>
  <c r="A427" i="17"/>
  <c r="A428" i="17"/>
  <c r="A429" i="17"/>
  <c r="A430" i="17"/>
  <c r="A431" i="17"/>
  <c r="A432" i="17"/>
  <c r="A433" i="17"/>
  <c r="A434" i="17"/>
  <c r="A435" i="17"/>
  <c r="A436" i="17"/>
  <c r="A437" i="17"/>
  <c r="A438" i="17"/>
  <c r="A439" i="17"/>
  <c r="A440" i="17"/>
  <c r="A441" i="17"/>
  <c r="A442" i="17"/>
  <c r="A443" i="17"/>
  <c r="A444" i="17"/>
  <c r="A445" i="17"/>
  <c r="A446" i="17"/>
  <c r="A447" i="17"/>
  <c r="A448" i="17"/>
  <c r="A449" i="17"/>
  <c r="A450" i="17"/>
  <c r="A451" i="17"/>
  <c r="A452" i="17"/>
  <c r="A453" i="17"/>
  <c r="A454" i="17"/>
  <c r="A455" i="17"/>
  <c r="A456" i="17"/>
  <c r="A457" i="17"/>
  <c r="A458" i="17"/>
  <c r="A459" i="17"/>
  <c r="A460" i="17"/>
  <c r="A461" i="17"/>
  <c r="A462" i="17"/>
  <c r="A463" i="17"/>
  <c r="A464" i="17"/>
  <c r="A465" i="17"/>
  <c r="A466" i="17"/>
  <c r="A467" i="17"/>
  <c r="A468" i="17"/>
  <c r="A469" i="17"/>
  <c r="A470" i="17"/>
  <c r="A471" i="17"/>
  <c r="A472" i="17"/>
  <c r="A473" i="17"/>
  <c r="A474" i="17"/>
  <c r="A475" i="17"/>
  <c r="A476" i="17"/>
  <c r="A477" i="17"/>
  <c r="A478" i="17"/>
  <c r="A479" i="17"/>
  <c r="A480" i="17"/>
  <c r="A481" i="17"/>
  <c r="A482" i="17"/>
  <c r="A483" i="17"/>
  <c r="A484" i="17"/>
  <c r="A485" i="17"/>
  <c r="A486" i="17"/>
  <c r="A487" i="17"/>
  <c r="A488" i="17"/>
  <c r="A489" i="17"/>
  <c r="A490" i="17"/>
  <c r="A491" i="17"/>
  <c r="A492" i="17"/>
  <c r="A493" i="17"/>
  <c r="A494" i="17"/>
  <c r="A495" i="17"/>
  <c r="A496" i="17"/>
  <c r="A497" i="17"/>
  <c r="A498" i="17"/>
  <c r="A499" i="17"/>
  <c r="A500" i="17"/>
  <c r="A501" i="17"/>
  <c r="A502" i="17"/>
  <c r="A503" i="17"/>
  <c r="A504" i="17"/>
  <c r="A505" i="17"/>
  <c r="A506" i="17"/>
  <c r="A507" i="17"/>
  <c r="A508" i="17"/>
  <c r="A509" i="17"/>
  <c r="A510" i="17"/>
  <c r="A511" i="17"/>
  <c r="A512" i="17"/>
  <c r="A513" i="17"/>
  <c r="A514" i="17"/>
  <c r="A515" i="17"/>
  <c r="A516" i="17"/>
  <c r="A517" i="17"/>
  <c r="A518" i="17"/>
  <c r="A519" i="17"/>
  <c r="A520" i="17"/>
  <c r="A521" i="17"/>
  <c r="A522" i="17"/>
  <c r="A523" i="17"/>
  <c r="A524" i="17"/>
  <c r="A525" i="17"/>
  <c r="A526" i="17"/>
  <c r="A527" i="17"/>
  <c r="A528" i="17"/>
  <c r="A529" i="17"/>
  <c r="A530" i="17"/>
  <c r="A531" i="17"/>
  <c r="A532" i="17"/>
  <c r="A533" i="17"/>
  <c r="A534" i="17"/>
  <c r="A535" i="17"/>
  <c r="A536" i="17"/>
  <c r="A537" i="17"/>
  <c r="A538" i="17"/>
  <c r="A539" i="17"/>
  <c r="A540" i="17"/>
  <c r="A541" i="17"/>
  <c r="A542" i="17"/>
  <c r="A543" i="17"/>
  <c r="A544" i="17"/>
  <c r="A545" i="17"/>
  <c r="A546" i="17"/>
  <c r="A547" i="17"/>
  <c r="A548" i="17"/>
  <c r="A549" i="17"/>
  <c r="A550" i="17"/>
  <c r="A551" i="17"/>
  <c r="A552" i="17"/>
  <c r="A553" i="17"/>
  <c r="A554" i="17"/>
  <c r="A555" i="17"/>
  <c r="A556" i="17"/>
  <c r="A557" i="17"/>
  <c r="A558" i="17"/>
  <c r="A559" i="17"/>
  <c r="A560" i="17"/>
  <c r="A561" i="17"/>
  <c r="A562" i="17"/>
  <c r="A563" i="17"/>
  <c r="A564" i="17"/>
  <c r="A565" i="17"/>
  <c r="A566" i="17"/>
  <c r="A567" i="17"/>
  <c r="A568" i="17"/>
  <c r="A569" i="17"/>
  <c r="A570" i="17"/>
  <c r="A571" i="17"/>
  <c r="A572" i="17"/>
  <c r="A573" i="17"/>
  <c r="A574" i="17"/>
  <c r="A575" i="17"/>
  <c r="A576" i="17"/>
  <c r="A577" i="17"/>
  <c r="A578" i="17"/>
  <c r="A579" i="17"/>
  <c r="A580" i="17"/>
  <c r="A581" i="17"/>
  <c r="A582" i="17"/>
  <c r="A583" i="17"/>
  <c r="A584" i="17"/>
  <c r="A585" i="17"/>
  <c r="A586" i="17"/>
  <c r="A587" i="17"/>
  <c r="A588" i="17"/>
  <c r="A589" i="17"/>
  <c r="A590" i="17"/>
  <c r="A591" i="17"/>
  <c r="A592" i="17"/>
  <c r="A593" i="17"/>
  <c r="A594" i="17"/>
  <c r="A595" i="17"/>
  <c r="A596" i="17"/>
  <c r="A597" i="17"/>
  <c r="A598" i="17"/>
  <c r="A599" i="17"/>
  <c r="A600" i="17"/>
  <c r="A601" i="17"/>
  <c r="A602" i="17"/>
  <c r="A603" i="17"/>
  <c r="A604" i="17"/>
  <c r="A605" i="17"/>
  <c r="A606" i="17"/>
  <c r="A607" i="17"/>
  <c r="A608" i="17"/>
  <c r="A609" i="17"/>
  <c r="A610" i="17"/>
  <c r="A611" i="17"/>
  <c r="A612" i="17"/>
  <c r="A613" i="17"/>
  <c r="A614" i="17"/>
  <c r="A615" i="17"/>
  <c r="A616" i="17"/>
  <c r="A617" i="17"/>
  <c r="A618" i="17"/>
  <c r="A619" i="17"/>
  <c r="A620" i="17"/>
  <c r="A621" i="17"/>
  <c r="A622" i="17"/>
  <c r="A623" i="17"/>
  <c r="A624" i="17"/>
  <c r="A625" i="17"/>
  <c r="A626" i="17"/>
  <c r="A627" i="17"/>
  <c r="A628" i="17"/>
  <c r="A629" i="17"/>
  <c r="A630" i="17"/>
  <c r="A631" i="17"/>
  <c r="A632" i="17"/>
  <c r="A633" i="17"/>
  <c r="A634" i="17"/>
  <c r="A635" i="17"/>
  <c r="A636" i="17"/>
  <c r="A637" i="17"/>
  <c r="A638" i="17"/>
  <c r="A639" i="17"/>
  <c r="A640" i="17"/>
  <c r="A641" i="17"/>
  <c r="A642" i="17"/>
  <c r="A643" i="17"/>
  <c r="A644" i="17"/>
  <c r="A645" i="17"/>
  <c r="A646" i="17"/>
  <c r="A647" i="17"/>
  <c r="A648" i="17"/>
  <c r="A649" i="17"/>
  <c r="A650" i="17"/>
  <c r="A651" i="17"/>
  <c r="A652" i="17"/>
  <c r="A653" i="17"/>
  <c r="A654" i="17"/>
  <c r="A655" i="17"/>
  <c r="A656" i="17"/>
  <c r="A657" i="17"/>
  <c r="A658" i="17"/>
  <c r="A659" i="17"/>
  <c r="A660" i="17"/>
  <c r="A661" i="17"/>
  <c r="A662" i="17"/>
  <c r="A663" i="17"/>
  <c r="A664" i="17"/>
  <c r="A665" i="17"/>
  <c r="A666" i="17"/>
  <c r="A667" i="17"/>
  <c r="A668" i="17"/>
  <c r="A669" i="17"/>
  <c r="A670" i="17"/>
  <c r="A671" i="17"/>
  <c r="A672" i="17"/>
  <c r="A673" i="17"/>
  <c r="A674" i="17"/>
  <c r="A675" i="17"/>
  <c r="A676" i="17"/>
  <c r="A677" i="17"/>
  <c r="A678" i="17"/>
  <c r="A679" i="17"/>
  <c r="A680" i="17"/>
  <c r="A681" i="17"/>
  <c r="A682" i="17"/>
  <c r="A683" i="17"/>
  <c r="A684" i="17"/>
  <c r="A685" i="17"/>
  <c r="A686" i="17"/>
  <c r="A687" i="17"/>
  <c r="A688" i="17"/>
  <c r="A689" i="17"/>
  <c r="A690" i="17"/>
  <c r="A691" i="17"/>
  <c r="A692" i="17"/>
  <c r="A693" i="17"/>
  <c r="A694" i="17"/>
  <c r="A695" i="17"/>
  <c r="A696" i="17"/>
  <c r="A697" i="17"/>
  <c r="A698" i="17"/>
  <c r="A699" i="17"/>
  <c r="A700" i="17"/>
  <c r="A701" i="17"/>
  <c r="A702" i="17"/>
  <c r="A703" i="17"/>
  <c r="A704" i="17"/>
  <c r="A705" i="17"/>
  <c r="A706" i="17"/>
  <c r="A707" i="17"/>
  <c r="A708" i="17"/>
  <c r="A709" i="17"/>
  <c r="A710" i="17"/>
  <c r="A711" i="17"/>
  <c r="A712" i="17"/>
  <c r="A713" i="17"/>
  <c r="A714" i="17"/>
  <c r="A715" i="17"/>
  <c r="A716" i="17"/>
  <c r="A717" i="17"/>
  <c r="A718" i="17"/>
  <c r="A719" i="17"/>
  <c r="A720" i="17"/>
  <c r="A721" i="17"/>
  <c r="A722" i="17"/>
  <c r="A723" i="17"/>
  <c r="A724" i="17"/>
  <c r="A725" i="17"/>
  <c r="A726" i="17"/>
  <c r="A727" i="17"/>
  <c r="A728" i="17"/>
  <c r="A729" i="17"/>
  <c r="A730" i="17"/>
  <c r="A731" i="17"/>
  <c r="A732" i="17"/>
  <c r="A733" i="17"/>
  <c r="A734" i="17"/>
  <c r="A735" i="17"/>
  <c r="A736" i="17"/>
  <c r="A737" i="17"/>
  <c r="A738" i="17"/>
  <c r="A739" i="17"/>
  <c r="A740" i="17"/>
  <c r="A741" i="17"/>
  <c r="A742" i="17"/>
  <c r="A743" i="17"/>
  <c r="A744" i="17"/>
  <c r="A745" i="17"/>
  <c r="A746" i="17"/>
  <c r="A747" i="17"/>
  <c r="A748" i="17"/>
  <c r="A749" i="17"/>
  <c r="A750" i="17"/>
  <c r="A751" i="17"/>
  <c r="A752" i="17"/>
  <c r="A753" i="17"/>
  <c r="A754" i="17"/>
  <c r="A755" i="17"/>
  <c r="A756" i="17"/>
  <c r="A757" i="17"/>
  <c r="A758" i="17"/>
  <c r="A759" i="17"/>
  <c r="A760" i="17"/>
  <c r="A761" i="17"/>
  <c r="A762" i="17"/>
  <c r="A763" i="17"/>
  <c r="A764" i="17"/>
  <c r="A765" i="17"/>
  <c r="A766" i="17"/>
  <c r="A767" i="17"/>
  <c r="A768" i="17"/>
  <c r="A769" i="17"/>
  <c r="A770" i="17"/>
  <c r="A771" i="17"/>
  <c r="A772" i="17"/>
  <c r="A773" i="17"/>
  <c r="A774" i="17"/>
  <c r="A775" i="17"/>
  <c r="A776" i="17"/>
  <c r="A777" i="17"/>
  <c r="A778" i="17"/>
  <c r="A779" i="17"/>
  <c r="A780" i="17"/>
  <c r="A781" i="17"/>
  <c r="A782" i="17"/>
  <c r="A783" i="17"/>
  <c r="A784" i="17"/>
  <c r="A785" i="17"/>
  <c r="A786" i="17"/>
  <c r="A787" i="17"/>
  <c r="A788" i="17"/>
  <c r="A789" i="17"/>
  <c r="A790" i="17"/>
  <c r="A791" i="17"/>
  <c r="A792" i="17"/>
  <c r="A793" i="17"/>
  <c r="A794" i="17"/>
  <c r="A795" i="17"/>
  <c r="A796" i="17"/>
  <c r="A797" i="17"/>
  <c r="A798" i="17"/>
  <c r="A799" i="17"/>
  <c r="A800" i="17"/>
  <c r="A801" i="17"/>
  <c r="A802" i="17"/>
  <c r="A803" i="17"/>
  <c r="A804" i="17"/>
  <c r="A805" i="17"/>
  <c r="A806" i="17"/>
  <c r="A807" i="17"/>
  <c r="A808" i="17"/>
  <c r="A809" i="17"/>
  <c r="A810" i="17"/>
  <c r="A811" i="17"/>
  <c r="A812" i="17"/>
  <c r="A813" i="17"/>
  <c r="A814" i="17"/>
  <c r="A815" i="17"/>
  <c r="A816" i="17"/>
  <c r="A817" i="17"/>
  <c r="A818" i="17"/>
  <c r="A819" i="17"/>
  <c r="A820" i="17"/>
  <c r="A821" i="17"/>
  <c r="A822" i="17"/>
  <c r="A823" i="17"/>
  <c r="A824" i="17"/>
  <c r="A825" i="17"/>
  <c r="A826" i="17"/>
  <c r="A827" i="17"/>
  <c r="A828" i="17"/>
  <c r="A829" i="17"/>
  <c r="A830" i="17"/>
  <c r="A831" i="17"/>
  <c r="A832" i="17"/>
  <c r="A833" i="17"/>
  <c r="A834" i="17"/>
  <c r="A835" i="17"/>
  <c r="A836" i="17"/>
  <c r="A837" i="17"/>
  <c r="A838" i="17"/>
  <c r="A839" i="17"/>
  <c r="A840" i="17"/>
  <c r="A841" i="17"/>
  <c r="A842" i="17"/>
  <c r="A843" i="17"/>
  <c r="A844" i="17"/>
  <c r="A845" i="17"/>
  <c r="A846" i="17"/>
  <c r="A847" i="17"/>
  <c r="A848" i="17"/>
  <c r="A849" i="17"/>
  <c r="A850" i="17"/>
  <c r="A851" i="17"/>
  <c r="A852" i="17"/>
  <c r="A853" i="17"/>
  <c r="A854" i="17"/>
  <c r="A855" i="17"/>
  <c r="A856" i="17"/>
  <c r="A857" i="17"/>
  <c r="A858" i="17"/>
  <c r="A859" i="17"/>
  <c r="A860" i="17"/>
  <c r="A861" i="17"/>
  <c r="A862" i="17"/>
  <c r="A863" i="17"/>
  <c r="A864" i="17"/>
  <c r="A865" i="17"/>
  <c r="A866" i="17"/>
  <c r="A867" i="17"/>
  <c r="A868" i="17"/>
  <c r="A869" i="17"/>
  <c r="A870" i="17"/>
  <c r="A871" i="17"/>
  <c r="A872" i="17"/>
  <c r="A873" i="17"/>
  <c r="A874" i="17"/>
  <c r="A875" i="17"/>
  <c r="A876" i="17"/>
  <c r="A877" i="17"/>
  <c r="A878" i="17"/>
  <c r="A879" i="17"/>
  <c r="A880" i="17"/>
  <c r="A881" i="17"/>
  <c r="A882" i="17"/>
  <c r="A883" i="17"/>
  <c r="A884" i="17"/>
  <c r="A885" i="17"/>
  <c r="A886" i="17"/>
  <c r="A887" i="17"/>
  <c r="A888" i="17"/>
  <c r="A889" i="17"/>
  <c r="A890" i="17"/>
  <c r="A891" i="17"/>
  <c r="A892" i="17"/>
  <c r="A893" i="17"/>
  <c r="A894" i="17"/>
  <c r="A895" i="17"/>
  <c r="A896" i="17"/>
  <c r="A897" i="17"/>
  <c r="A898" i="17"/>
  <c r="A899" i="17"/>
  <c r="A900" i="17"/>
  <c r="A901" i="17"/>
  <c r="A902" i="17"/>
  <c r="A903" i="17"/>
  <c r="A904" i="17"/>
  <c r="A905" i="17"/>
  <c r="A906" i="17"/>
  <c r="A907" i="17"/>
  <c r="A908" i="17"/>
  <c r="A909" i="17"/>
  <c r="A910" i="17"/>
  <c r="A911" i="17"/>
  <c r="A912" i="17"/>
  <c r="A913" i="17"/>
  <c r="A914" i="17"/>
  <c r="A915" i="17"/>
  <c r="A916" i="17"/>
  <c r="A917" i="17"/>
  <c r="A918" i="17"/>
  <c r="A919" i="17"/>
  <c r="A920" i="17"/>
  <c r="A921" i="17"/>
  <c r="A922" i="17"/>
  <c r="A923" i="17"/>
  <c r="A924" i="17"/>
  <c r="A925" i="17"/>
  <c r="A926" i="17"/>
  <c r="A927" i="17"/>
  <c r="A928" i="17"/>
  <c r="A929" i="17"/>
  <c r="A930" i="17"/>
  <c r="A931" i="17"/>
  <c r="A932" i="17"/>
  <c r="A933" i="17"/>
  <c r="A934" i="17"/>
  <c r="A935" i="17"/>
  <c r="A936" i="17"/>
  <c r="A937" i="17"/>
  <c r="A938" i="17"/>
  <c r="A939" i="17"/>
  <c r="A940" i="17"/>
  <c r="A941" i="17"/>
  <c r="A942" i="17"/>
  <c r="A943" i="17"/>
  <c r="A944" i="17"/>
  <c r="A945" i="17"/>
  <c r="A946" i="17"/>
  <c r="A947" i="17"/>
  <c r="A948" i="17"/>
  <c r="A949" i="17"/>
  <c r="A950" i="17"/>
  <c r="A951" i="17"/>
  <c r="A952" i="17"/>
  <c r="A953" i="17"/>
  <c r="A954" i="17"/>
  <c r="A955" i="17"/>
  <c r="A956" i="17"/>
  <c r="A957" i="17"/>
  <c r="A958" i="17"/>
  <c r="A959" i="17"/>
  <c r="A960" i="17"/>
  <c r="A961" i="17"/>
  <c r="A962" i="17"/>
  <c r="A963" i="17"/>
  <c r="A964" i="17"/>
  <c r="A965" i="17"/>
  <c r="A966" i="17"/>
  <c r="A967" i="17"/>
  <c r="A968" i="17"/>
  <c r="A969" i="17"/>
  <c r="A970" i="17"/>
  <c r="A971" i="17"/>
  <c r="A972" i="17"/>
  <c r="A973" i="17"/>
  <c r="A974" i="17"/>
  <c r="A975" i="17"/>
  <c r="A976" i="17"/>
  <c r="A977" i="17"/>
  <c r="A978" i="17"/>
  <c r="A979" i="17"/>
  <c r="A980" i="17"/>
  <c r="A981" i="17"/>
  <c r="A982" i="17"/>
  <c r="A983" i="17"/>
  <c r="A984" i="17"/>
  <c r="A985" i="17"/>
  <c r="A986" i="17"/>
  <c r="A987" i="17"/>
  <c r="A988" i="17"/>
  <c r="A989" i="17"/>
  <c r="A990" i="17"/>
  <c r="A991" i="17"/>
  <c r="A992" i="17"/>
  <c r="A993" i="17"/>
  <c r="A994" i="17"/>
  <c r="A995" i="17"/>
  <c r="A996" i="17"/>
  <c r="A997" i="17"/>
  <c r="A998" i="17"/>
  <c r="A999" i="17"/>
  <c r="A1000" i="17"/>
  <c r="A1001" i="17"/>
  <c r="A1002" i="17"/>
  <c r="A1003" i="17"/>
  <c r="A1004" i="17"/>
  <c r="A1005" i="17"/>
  <c r="A1006" i="17"/>
  <c r="A1007" i="17"/>
  <c r="A1008" i="17"/>
  <c r="A1009" i="17"/>
  <c r="A1010" i="17"/>
  <c r="A1011" i="17"/>
  <c r="A1012" i="17"/>
  <c r="A1013" i="17"/>
  <c r="A1014" i="17"/>
  <c r="A1015" i="17"/>
  <c r="A1016" i="17"/>
  <c r="A1017" i="17"/>
  <c r="A1018" i="17"/>
  <c r="A1019" i="17"/>
  <c r="A1020" i="17"/>
  <c r="A1021" i="17"/>
  <c r="A1022" i="17"/>
  <c r="A1023" i="17"/>
  <c r="A1024" i="17"/>
  <c r="A1025" i="17"/>
  <c r="A1026" i="17"/>
  <c r="A1027" i="17"/>
  <c r="A1028" i="17"/>
  <c r="A1029" i="17"/>
  <c r="A1030" i="17"/>
  <c r="A1031" i="17"/>
  <c r="A1032" i="17"/>
  <c r="A1033" i="17"/>
  <c r="A1034" i="17"/>
  <c r="A1035" i="17"/>
  <c r="A1036" i="17"/>
  <c r="A1037" i="17"/>
  <c r="A1038" i="17"/>
  <c r="A1039" i="17"/>
  <c r="A1040" i="17"/>
  <c r="A1041" i="17"/>
  <c r="A1042" i="17"/>
  <c r="A1043" i="17"/>
  <c r="A1044" i="17"/>
  <c r="A1045" i="17"/>
  <c r="A1046" i="17"/>
  <c r="A1047" i="17"/>
  <c r="A1048" i="17"/>
  <c r="A1049" i="17"/>
  <c r="A1050" i="17"/>
  <c r="A1051" i="17"/>
  <c r="A1052" i="17"/>
  <c r="A1053" i="17"/>
  <c r="A1054" i="17"/>
  <c r="A1055" i="17"/>
  <c r="A1056" i="17"/>
  <c r="A1057" i="17"/>
  <c r="A1058" i="17"/>
  <c r="A1059" i="17"/>
  <c r="A1060" i="17"/>
  <c r="A1061" i="17"/>
  <c r="A1062" i="17"/>
  <c r="A1063" i="17"/>
  <c r="A1064" i="17"/>
  <c r="A1065" i="17"/>
  <c r="A1066" i="17"/>
  <c r="A1067" i="17"/>
  <c r="A1068" i="17"/>
  <c r="A1069" i="17"/>
  <c r="A1070" i="17"/>
  <c r="A1071" i="17"/>
  <c r="A1072" i="17"/>
  <c r="A1073" i="17"/>
  <c r="A1074" i="17"/>
  <c r="A1075" i="17"/>
  <c r="A1076" i="17"/>
  <c r="A1077" i="17"/>
  <c r="A1078" i="17"/>
  <c r="A1079" i="17"/>
  <c r="A1080" i="17"/>
  <c r="A1081" i="17"/>
  <c r="A1082" i="17"/>
  <c r="A1083" i="17"/>
  <c r="A1084" i="17"/>
  <c r="A1085" i="17"/>
  <c r="A1086" i="17"/>
  <c r="A1087" i="17"/>
  <c r="A1088" i="17"/>
  <c r="A1089" i="17"/>
  <c r="A1090" i="17"/>
  <c r="A1091" i="17"/>
  <c r="A1092" i="17"/>
  <c r="A1093" i="17"/>
  <c r="A1094" i="17"/>
  <c r="A1095" i="17"/>
  <c r="A1096" i="17"/>
  <c r="A1097" i="17"/>
  <c r="A1098" i="17"/>
  <c r="A1099" i="17"/>
  <c r="A1100" i="17"/>
  <c r="A1101" i="17"/>
  <c r="A1102" i="17"/>
  <c r="A1103" i="17"/>
  <c r="A1104" i="17"/>
  <c r="A1105" i="17"/>
  <c r="A1106" i="17"/>
  <c r="A1107" i="17"/>
  <c r="A1108" i="17"/>
  <c r="A1109" i="17"/>
  <c r="A1110" i="17"/>
  <c r="A1111" i="17"/>
  <c r="A1112" i="17"/>
  <c r="A1113" i="17"/>
  <c r="A1114" i="17"/>
  <c r="A1115" i="17"/>
  <c r="A1116" i="17"/>
  <c r="A1117" i="17"/>
  <c r="A1118" i="17"/>
  <c r="A1119" i="17"/>
  <c r="A1120" i="17"/>
  <c r="A1121" i="17"/>
  <c r="A1122" i="17"/>
  <c r="A1123" i="17"/>
  <c r="A1124" i="17"/>
  <c r="A1125" i="17"/>
  <c r="A1126" i="17"/>
  <c r="A1127" i="17"/>
  <c r="A1128" i="17"/>
  <c r="A1129" i="17"/>
  <c r="A1130" i="17"/>
  <c r="A1131" i="17"/>
  <c r="A1132" i="17"/>
  <c r="A1133" i="17"/>
  <c r="A1134" i="17"/>
  <c r="A1135" i="17"/>
  <c r="A1136" i="17"/>
  <c r="A1137" i="17"/>
  <c r="A1138" i="17"/>
  <c r="A1139" i="17"/>
  <c r="A1140" i="17"/>
  <c r="A1141" i="17"/>
  <c r="A1142" i="17"/>
  <c r="A1143" i="17"/>
  <c r="A1144" i="17"/>
  <c r="A1145" i="17"/>
  <c r="A1146" i="17"/>
  <c r="A1147" i="17"/>
  <c r="A1148" i="17"/>
  <c r="A1149" i="17"/>
  <c r="A1150" i="17"/>
  <c r="A1151" i="17"/>
  <c r="A1152" i="17"/>
  <c r="A1153" i="17"/>
  <c r="A1154" i="17"/>
  <c r="A1155" i="17"/>
  <c r="A1156" i="17"/>
  <c r="A1157" i="17"/>
  <c r="A1158" i="17"/>
  <c r="A1159" i="17"/>
  <c r="A1160" i="17"/>
  <c r="A1161" i="17"/>
  <c r="A1162" i="17"/>
  <c r="A1163" i="17"/>
  <c r="A1164" i="17"/>
  <c r="A1165" i="17"/>
  <c r="A1166" i="17"/>
  <c r="A1167" i="17"/>
  <c r="A1168" i="17"/>
  <c r="A1169" i="17"/>
  <c r="A1170" i="17"/>
  <c r="A1171" i="17"/>
  <c r="A1172" i="17"/>
  <c r="A1173" i="17"/>
  <c r="A1174" i="17"/>
  <c r="A1175" i="17"/>
  <c r="A1176" i="17"/>
  <c r="A1177" i="17"/>
  <c r="A1178" i="17"/>
  <c r="A1179" i="17"/>
  <c r="A1180" i="17"/>
  <c r="A1181" i="17"/>
  <c r="A1182" i="17"/>
  <c r="A1183" i="17"/>
  <c r="A1184" i="17"/>
  <c r="A1185" i="17"/>
  <c r="A1186" i="17"/>
  <c r="A1187" i="17"/>
  <c r="A1188" i="17"/>
  <c r="A1189" i="17"/>
  <c r="A1190" i="17"/>
  <c r="A1191" i="17"/>
  <c r="A1192" i="17"/>
  <c r="A1193" i="17"/>
  <c r="A1194" i="17"/>
  <c r="A1195" i="17"/>
  <c r="A1196" i="17"/>
  <c r="A1197" i="17"/>
  <c r="A1198" i="17"/>
  <c r="A1199" i="17"/>
  <c r="A1200" i="17"/>
  <c r="A1201" i="17"/>
  <c r="A1202" i="17"/>
  <c r="A1203" i="17"/>
  <c r="A1204" i="17"/>
  <c r="A1205" i="17"/>
  <c r="A1206" i="17"/>
  <c r="A1207" i="17"/>
  <c r="A1208" i="17"/>
  <c r="A1209" i="17"/>
  <c r="A1210" i="17"/>
  <c r="A1211" i="17"/>
  <c r="A1212" i="17"/>
  <c r="A1213" i="17"/>
  <c r="A1214" i="17"/>
  <c r="A1215" i="17"/>
  <c r="A1216" i="17"/>
  <c r="A1217" i="17"/>
  <c r="A1218" i="17"/>
  <c r="A1219" i="17"/>
  <c r="A1220" i="17"/>
  <c r="A1221" i="17"/>
  <c r="A1222" i="17"/>
  <c r="A1223" i="17"/>
  <c r="A1224" i="17"/>
  <c r="A1225" i="17"/>
  <c r="A1226" i="17"/>
  <c r="A1227" i="17"/>
  <c r="A1228" i="17"/>
  <c r="A1229" i="17"/>
  <c r="A1230" i="17"/>
  <c r="A1231" i="17"/>
  <c r="A1232" i="17"/>
  <c r="A1233" i="17"/>
  <c r="A1234" i="17"/>
  <c r="A1235" i="17"/>
  <c r="A1236" i="17"/>
  <c r="A1237" i="17"/>
  <c r="A1238" i="17"/>
  <c r="A1239" i="17"/>
  <c r="A1240" i="17"/>
  <c r="A1241" i="17"/>
  <c r="A1242" i="17"/>
  <c r="A1243" i="17"/>
  <c r="A1244" i="17"/>
  <c r="A1245" i="17"/>
  <c r="A1246" i="17"/>
  <c r="A1247" i="17"/>
  <c r="A1248" i="17"/>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19" i="18"/>
  <c r="A120" i="18"/>
  <c r="A121" i="18"/>
  <c r="A122" i="18"/>
  <c r="A123" i="18"/>
  <c r="A124" i="18"/>
  <c r="A125" i="18"/>
  <c r="A126" i="18"/>
  <c r="A127" i="18"/>
  <c r="A128" i="18"/>
  <c r="A129" i="18"/>
  <c r="A130" i="18"/>
  <c r="A131" i="18"/>
  <c r="A132" i="18"/>
  <c r="A133" i="18"/>
  <c r="A134" i="18"/>
  <c r="A135" i="18"/>
  <c r="A136" i="18"/>
  <c r="A137" i="18"/>
  <c r="A138" i="18"/>
  <c r="A139" i="18"/>
  <c r="A140" i="18"/>
  <c r="A141" i="18"/>
  <c r="A142" i="18"/>
  <c r="A143" i="18"/>
  <c r="A144" i="18"/>
  <c r="A145" i="18"/>
  <c r="A146" i="18"/>
  <c r="A147" i="18"/>
  <c r="A148" i="18"/>
  <c r="A149" i="18"/>
  <c r="A150" i="18"/>
  <c r="A151" i="18"/>
  <c r="A152" i="18"/>
  <c r="A153" i="18"/>
  <c r="A154" i="18"/>
  <c r="A155" i="18"/>
  <c r="A156" i="18"/>
  <c r="A157" i="18"/>
  <c r="A158" i="18"/>
  <c r="A159" i="18"/>
  <c r="A160" i="18"/>
  <c r="A161" i="18"/>
  <c r="A162" i="18"/>
  <c r="A163" i="18"/>
  <c r="A164" i="18"/>
  <c r="A165" i="18"/>
  <c r="A166" i="18"/>
  <c r="A167" i="18"/>
  <c r="A168" i="18"/>
  <c r="A169" i="18"/>
  <c r="A170" i="18"/>
  <c r="A171" i="18"/>
  <c r="A172" i="18"/>
  <c r="A173" i="18"/>
  <c r="A174" i="18"/>
  <c r="A175" i="18"/>
  <c r="A176" i="18"/>
  <c r="A177" i="18"/>
  <c r="A178" i="18"/>
  <c r="A179" i="18"/>
  <c r="A180" i="18"/>
  <c r="A181" i="18"/>
  <c r="A182" i="18"/>
  <c r="A183" i="18"/>
  <c r="A184" i="18"/>
  <c r="A185" i="18"/>
  <c r="A186" i="18"/>
  <c r="A187" i="18"/>
  <c r="A188" i="18"/>
  <c r="A189" i="18"/>
  <c r="A190" i="18"/>
  <c r="A191" i="18"/>
  <c r="A192" i="18"/>
  <c r="A193" i="18"/>
  <c r="A194" i="18"/>
  <c r="A195" i="18"/>
  <c r="A196" i="18"/>
  <c r="A197" i="18"/>
  <c r="A198" i="18"/>
  <c r="A199" i="18"/>
  <c r="A200" i="18"/>
  <c r="A201" i="18"/>
  <c r="A202" i="18"/>
  <c r="A203" i="18"/>
  <c r="A204" i="18"/>
  <c r="A205" i="18"/>
  <c r="A206" i="18"/>
  <c r="A207" i="18"/>
  <c r="A208" i="18"/>
  <c r="A209" i="18"/>
  <c r="A210" i="18"/>
  <c r="A211" i="18"/>
  <c r="A212" i="18"/>
  <c r="A213" i="18"/>
  <c r="A214" i="18"/>
  <c r="A215" i="18"/>
  <c r="A216" i="18"/>
  <c r="A217" i="18"/>
  <c r="A218" i="18"/>
  <c r="A219" i="18"/>
  <c r="A220" i="18"/>
  <c r="A221" i="18"/>
  <c r="A222" i="18"/>
  <c r="A223" i="18"/>
  <c r="A224" i="18"/>
  <c r="A225" i="18"/>
  <c r="A226" i="18"/>
  <c r="A227" i="18"/>
  <c r="A228" i="18"/>
  <c r="A229" i="18"/>
  <c r="A230" i="18"/>
  <c r="A231" i="18"/>
  <c r="A232" i="18"/>
  <c r="A233" i="18"/>
  <c r="A234" i="18"/>
  <c r="A235" i="18"/>
  <c r="A236" i="18"/>
  <c r="A237" i="18"/>
  <c r="A238" i="18"/>
  <c r="A239" i="18"/>
  <c r="A240" i="18"/>
  <c r="A241" i="18"/>
  <c r="A242" i="18"/>
  <c r="A243" i="18"/>
  <c r="A244" i="18"/>
  <c r="A245" i="18"/>
  <c r="A246" i="18"/>
  <c r="A247" i="18"/>
  <c r="A248" i="18"/>
  <c r="A249" i="18"/>
  <c r="A250" i="18"/>
  <c r="A251" i="18"/>
  <c r="A252" i="18"/>
  <c r="A253" i="18"/>
  <c r="A254" i="18"/>
  <c r="A255" i="18"/>
  <c r="A256" i="18"/>
  <c r="A257" i="18"/>
  <c r="A258" i="18"/>
  <c r="A259" i="18"/>
  <c r="A260" i="18"/>
  <c r="A261" i="18"/>
  <c r="A262" i="18"/>
  <c r="A263" i="18"/>
  <c r="A264" i="18"/>
  <c r="A265" i="18"/>
  <c r="A266" i="18"/>
  <c r="A267" i="18"/>
  <c r="A268" i="18"/>
  <c r="A269" i="18"/>
  <c r="A270" i="18"/>
  <c r="A271" i="18"/>
  <c r="A272" i="18"/>
  <c r="A273" i="18"/>
  <c r="A274" i="18"/>
  <c r="A275" i="18"/>
  <c r="A276" i="18"/>
  <c r="A277" i="18"/>
  <c r="A278" i="18"/>
  <c r="A279" i="18"/>
  <c r="A280" i="18"/>
  <c r="A281" i="18"/>
  <c r="A282" i="18"/>
  <c r="A283" i="18"/>
  <c r="A284" i="18"/>
  <c r="A285" i="18"/>
  <c r="A286" i="18"/>
  <c r="A287" i="18"/>
  <c r="A288" i="18"/>
  <c r="A289" i="18"/>
  <c r="A290" i="18"/>
  <c r="A291" i="18"/>
  <c r="A292" i="18"/>
  <c r="A293" i="18"/>
  <c r="A294" i="18"/>
  <c r="A295" i="18"/>
  <c r="A296" i="18"/>
  <c r="A297" i="18"/>
  <c r="A298" i="18"/>
  <c r="A299" i="18"/>
  <c r="A300" i="18"/>
  <c r="A301" i="18"/>
  <c r="A302" i="18"/>
  <c r="A303" i="18"/>
  <c r="A304" i="18"/>
  <c r="A305" i="18"/>
  <c r="A306" i="18"/>
  <c r="A307" i="18"/>
  <c r="A308" i="18"/>
  <c r="A309" i="18"/>
  <c r="A310" i="18"/>
  <c r="A311" i="18"/>
  <c r="A312" i="18"/>
  <c r="A313" i="18"/>
  <c r="A314" i="18"/>
  <c r="A315" i="18"/>
  <c r="A316" i="18"/>
  <c r="A317" i="18"/>
  <c r="A318" i="18"/>
  <c r="A319" i="18"/>
  <c r="A320" i="18"/>
  <c r="A321" i="18"/>
  <c r="A322" i="18"/>
  <c r="A323" i="18"/>
  <c r="A324" i="18"/>
  <c r="A325" i="18"/>
  <c r="A326" i="18"/>
  <c r="A327" i="18"/>
  <c r="A328" i="18"/>
  <c r="A329" i="18"/>
  <c r="A330" i="18"/>
  <c r="A331" i="18"/>
  <c r="A332" i="18"/>
  <c r="A333" i="18"/>
  <c r="A334" i="18"/>
  <c r="A335" i="18"/>
  <c r="A336" i="18"/>
  <c r="A337" i="18"/>
  <c r="A338" i="18"/>
  <c r="A339" i="18"/>
  <c r="A340" i="18"/>
  <c r="A341" i="18"/>
  <c r="A342" i="18"/>
  <c r="A343" i="18"/>
  <c r="A344" i="18"/>
  <c r="A345" i="18"/>
  <c r="A346" i="18"/>
  <c r="A347" i="18"/>
  <c r="A348" i="18"/>
  <c r="A349" i="18"/>
  <c r="A350" i="18"/>
  <c r="A351" i="18"/>
  <c r="A352" i="18"/>
  <c r="A353" i="18"/>
  <c r="A354" i="18"/>
  <c r="A355" i="18"/>
  <c r="A356" i="18"/>
  <c r="A357" i="18"/>
  <c r="A358" i="18"/>
  <c r="A359" i="18"/>
  <c r="A360" i="18"/>
  <c r="A361" i="18"/>
  <c r="A362" i="18"/>
  <c r="A363" i="18"/>
  <c r="A364" i="18"/>
  <c r="A365" i="18"/>
  <c r="A366" i="18"/>
  <c r="A367" i="18"/>
  <c r="A368" i="18"/>
  <c r="A369" i="18"/>
  <c r="A370" i="18"/>
  <c r="A371" i="18"/>
  <c r="A372" i="18"/>
  <c r="A373" i="18"/>
  <c r="A374" i="18"/>
  <c r="A375" i="18"/>
  <c r="A376" i="18"/>
  <c r="A377" i="18"/>
  <c r="A378" i="18"/>
  <c r="A379" i="18"/>
  <c r="A380" i="18"/>
  <c r="A381" i="18"/>
  <c r="A382" i="18"/>
  <c r="A383" i="18"/>
  <c r="A384" i="18"/>
  <c r="A385" i="18"/>
  <c r="A386" i="18"/>
  <c r="A387" i="18"/>
  <c r="A388" i="18"/>
  <c r="A389" i="18"/>
  <c r="A390" i="18"/>
  <c r="A391" i="18"/>
  <c r="A392" i="18"/>
  <c r="A393" i="18"/>
  <c r="A394" i="18"/>
  <c r="A395" i="18"/>
  <c r="A396" i="18"/>
  <c r="A397" i="18"/>
  <c r="A398" i="18"/>
  <c r="A399" i="18"/>
  <c r="A400" i="18"/>
  <c r="A401" i="18"/>
  <c r="A402" i="18"/>
  <c r="A403" i="18"/>
  <c r="A404" i="18"/>
  <c r="A405" i="18"/>
  <c r="A406" i="18"/>
  <c r="A407" i="18"/>
  <c r="A408" i="18"/>
  <c r="A409" i="18"/>
  <c r="A410" i="18"/>
  <c r="A411" i="18"/>
  <c r="A412" i="18"/>
  <c r="A413" i="18"/>
  <c r="A414" i="18"/>
  <c r="A415" i="18"/>
  <c r="A416" i="18"/>
  <c r="A417" i="18"/>
  <c r="A418" i="18"/>
  <c r="A419" i="18"/>
  <c r="A420" i="18"/>
  <c r="A421" i="18"/>
  <c r="A422" i="18"/>
  <c r="A423" i="18"/>
  <c r="A424" i="18"/>
  <c r="A425" i="18"/>
  <c r="A426" i="18"/>
  <c r="A427" i="18"/>
  <c r="A428" i="18"/>
  <c r="A429" i="18"/>
  <c r="A430" i="18"/>
  <c r="A431" i="18"/>
  <c r="A432" i="18"/>
  <c r="A433" i="18"/>
  <c r="A434" i="18"/>
  <c r="A435" i="18"/>
  <c r="A436" i="18"/>
  <c r="A437" i="18"/>
  <c r="A438" i="18"/>
  <c r="A439" i="18"/>
  <c r="A440" i="18"/>
  <c r="A441" i="18"/>
  <c r="A442" i="18"/>
  <c r="A443" i="18"/>
  <c r="A444" i="18"/>
  <c r="A445" i="18"/>
  <c r="A446" i="18"/>
  <c r="A447" i="18"/>
  <c r="A448" i="18"/>
  <c r="A449" i="18"/>
  <c r="A450" i="18"/>
  <c r="A451" i="18"/>
  <c r="A452" i="18"/>
  <c r="A453" i="18"/>
  <c r="A454" i="18"/>
  <c r="A455" i="18"/>
  <c r="A456" i="18"/>
  <c r="A457" i="18"/>
  <c r="A458" i="18"/>
  <c r="A459" i="18"/>
  <c r="A460" i="18"/>
  <c r="A461" i="18"/>
  <c r="A462" i="18"/>
  <c r="A463" i="18"/>
  <c r="A464" i="18"/>
  <c r="A465" i="18"/>
  <c r="A466" i="18"/>
  <c r="A467" i="18"/>
  <c r="A468" i="18"/>
  <c r="A469" i="18"/>
  <c r="A470" i="18"/>
  <c r="A471" i="18"/>
  <c r="A472" i="18"/>
  <c r="A473" i="18"/>
  <c r="A474" i="18"/>
  <c r="A475" i="18"/>
  <c r="A476" i="18"/>
  <c r="A477" i="18"/>
  <c r="A478" i="18"/>
  <c r="A479" i="18"/>
  <c r="A480" i="18"/>
  <c r="A481" i="18"/>
  <c r="A482" i="18"/>
  <c r="A483" i="18"/>
  <c r="A484" i="18"/>
  <c r="A485" i="18"/>
  <c r="A486" i="18"/>
  <c r="A487" i="18"/>
  <c r="A488" i="18"/>
  <c r="A489" i="18"/>
  <c r="A490" i="18"/>
  <c r="A491" i="18"/>
  <c r="A492" i="18"/>
  <c r="A493" i="18"/>
  <c r="A494" i="18"/>
  <c r="A495" i="18"/>
  <c r="A496" i="18"/>
  <c r="A497" i="18"/>
  <c r="A498" i="18"/>
  <c r="A499" i="18"/>
  <c r="A500" i="18"/>
  <c r="A501" i="18"/>
  <c r="A502" i="18"/>
  <c r="A503" i="18"/>
  <c r="A504" i="18"/>
  <c r="A505" i="18"/>
  <c r="A506" i="18"/>
  <c r="A507" i="18"/>
  <c r="A508" i="18"/>
  <c r="A509" i="18"/>
  <c r="A510" i="18"/>
  <c r="A511" i="18"/>
  <c r="A512" i="18"/>
  <c r="A513" i="18"/>
  <c r="A514" i="18"/>
  <c r="A515" i="18"/>
  <c r="A516" i="18"/>
  <c r="A517" i="18"/>
  <c r="A518" i="18"/>
  <c r="A519" i="18"/>
  <c r="A520" i="18"/>
  <c r="A521" i="18"/>
  <c r="A522" i="18"/>
  <c r="A523" i="18"/>
  <c r="A524" i="18"/>
  <c r="A525" i="18"/>
  <c r="A526" i="18"/>
  <c r="A527" i="18"/>
  <c r="A528" i="18"/>
  <c r="A529" i="18"/>
  <c r="A530" i="18"/>
  <c r="A531" i="18"/>
  <c r="A532" i="18"/>
  <c r="A533" i="18"/>
  <c r="A534" i="18"/>
  <c r="A535" i="18"/>
  <c r="A536" i="18"/>
  <c r="A537" i="18"/>
  <c r="A538" i="18"/>
  <c r="A539" i="18"/>
  <c r="A540" i="18"/>
  <c r="A541" i="18"/>
  <c r="A542" i="18"/>
  <c r="A543" i="18"/>
  <c r="A544" i="18"/>
  <c r="A545" i="18"/>
  <c r="A546" i="18"/>
  <c r="A547" i="18"/>
  <c r="A548" i="18"/>
  <c r="A549" i="18"/>
  <c r="A550" i="18"/>
  <c r="A551" i="18"/>
  <c r="A552" i="18"/>
  <c r="A553" i="18"/>
  <c r="A554" i="18"/>
  <c r="A555" i="18"/>
  <c r="A556" i="18"/>
  <c r="A557" i="18"/>
  <c r="A558" i="18"/>
  <c r="A559" i="18"/>
  <c r="A560" i="18"/>
  <c r="A561" i="18"/>
  <c r="A562" i="18"/>
  <c r="A563" i="18"/>
  <c r="A564" i="18"/>
  <c r="A565" i="18"/>
  <c r="A566" i="18"/>
  <c r="A567" i="18"/>
  <c r="A568" i="18"/>
  <c r="A569" i="18"/>
  <c r="A570" i="18"/>
  <c r="A571" i="18"/>
  <c r="A572" i="18"/>
  <c r="A573" i="18"/>
  <c r="A574" i="18"/>
  <c r="A575" i="18"/>
  <c r="A576" i="18"/>
  <c r="A577" i="18"/>
  <c r="A578" i="18"/>
  <c r="A579" i="18"/>
  <c r="A580" i="18"/>
  <c r="A581" i="18"/>
  <c r="A582" i="18"/>
  <c r="A583" i="18"/>
  <c r="A584" i="18"/>
  <c r="A585" i="18"/>
  <c r="A586" i="18"/>
  <c r="A587" i="18"/>
  <c r="A588" i="18"/>
  <c r="A589" i="18"/>
  <c r="A590" i="18"/>
  <c r="A591" i="18"/>
  <c r="A592" i="18"/>
  <c r="A593" i="18"/>
  <c r="A594" i="18"/>
  <c r="A595" i="18"/>
  <c r="A596" i="18"/>
  <c r="A597" i="18"/>
  <c r="A598" i="18"/>
  <c r="A599" i="18"/>
  <c r="A600" i="18"/>
  <c r="A601" i="18"/>
  <c r="A602" i="18"/>
  <c r="A603" i="18"/>
  <c r="A604" i="18"/>
  <c r="A605" i="18"/>
  <c r="A606" i="18"/>
  <c r="A607" i="18"/>
  <c r="A608" i="18"/>
  <c r="A609" i="18"/>
  <c r="A610" i="18"/>
  <c r="A611" i="18"/>
  <c r="A612" i="18"/>
  <c r="A613" i="18"/>
  <c r="A614" i="18"/>
  <c r="A615" i="18"/>
  <c r="A616" i="18"/>
  <c r="A617" i="18"/>
  <c r="A618" i="18"/>
  <c r="A619" i="18"/>
  <c r="A620" i="18"/>
  <c r="A621" i="18"/>
  <c r="A622" i="18"/>
  <c r="A623" i="18"/>
  <c r="A624" i="18"/>
  <c r="A625" i="18"/>
  <c r="A626" i="18"/>
  <c r="A627" i="18"/>
  <c r="A628" i="18"/>
  <c r="A629" i="18"/>
  <c r="A630" i="18"/>
  <c r="A631" i="18"/>
  <c r="A632" i="18"/>
  <c r="A633" i="18"/>
  <c r="A634" i="18"/>
  <c r="A635" i="18"/>
  <c r="A636" i="18"/>
  <c r="A637" i="18"/>
  <c r="A638" i="18"/>
  <c r="A639" i="18"/>
  <c r="A640" i="18"/>
  <c r="A641" i="18"/>
  <c r="A642" i="18"/>
  <c r="A643" i="18"/>
  <c r="A644" i="18"/>
  <c r="A645" i="18"/>
  <c r="A646" i="18"/>
  <c r="A647" i="18"/>
  <c r="A648" i="18"/>
  <c r="A649" i="18"/>
  <c r="A650" i="18"/>
  <c r="A651" i="18"/>
  <c r="A652" i="18"/>
  <c r="A653" i="18"/>
  <c r="A654" i="18"/>
  <c r="A655" i="18"/>
  <c r="A656" i="18"/>
  <c r="A657" i="18"/>
  <c r="A658" i="18"/>
  <c r="A659" i="18"/>
  <c r="A660" i="18"/>
  <c r="A661" i="18"/>
  <c r="A662" i="18"/>
  <c r="A663" i="18"/>
  <c r="A664" i="18"/>
  <c r="A665" i="18"/>
  <c r="A666" i="18"/>
  <c r="A667" i="18"/>
  <c r="A668" i="18"/>
  <c r="A669" i="18"/>
  <c r="A670" i="18"/>
  <c r="A671" i="18"/>
  <c r="A672" i="18"/>
  <c r="A673" i="18"/>
  <c r="A674" i="18"/>
  <c r="A675" i="18"/>
  <c r="A676" i="18"/>
  <c r="A677" i="18"/>
  <c r="A678" i="18"/>
  <c r="A679" i="18"/>
  <c r="A680" i="18"/>
  <c r="A681" i="18"/>
  <c r="A682" i="18"/>
  <c r="A683" i="18"/>
  <c r="A684" i="18"/>
  <c r="A685" i="18"/>
  <c r="A686" i="18"/>
  <c r="A687" i="18"/>
  <c r="A688" i="18"/>
  <c r="A689" i="18"/>
  <c r="A690" i="18"/>
  <c r="A691" i="18"/>
  <c r="A692" i="18"/>
  <c r="A693" i="18"/>
  <c r="A694" i="18"/>
  <c r="A695" i="18"/>
  <c r="A696" i="18"/>
  <c r="A697" i="18"/>
  <c r="A698" i="18"/>
  <c r="A699" i="18"/>
  <c r="A700" i="18"/>
  <c r="A701" i="18"/>
  <c r="A702" i="18"/>
  <c r="A703" i="18"/>
  <c r="A704" i="18"/>
  <c r="A705" i="18"/>
  <c r="A706" i="18"/>
  <c r="A707" i="18"/>
  <c r="A708" i="18"/>
  <c r="A709" i="18"/>
  <c r="A710" i="18"/>
  <c r="A711" i="18"/>
  <c r="A712" i="18"/>
  <c r="A713" i="18"/>
  <c r="A714" i="18"/>
  <c r="A715" i="18"/>
  <c r="A716" i="18"/>
  <c r="A717" i="18"/>
  <c r="A718" i="18"/>
  <c r="A719" i="18"/>
  <c r="A720" i="18"/>
  <c r="A721" i="18"/>
  <c r="A722" i="18"/>
  <c r="A723" i="18"/>
  <c r="A724" i="18"/>
  <c r="A725" i="18"/>
  <c r="A726" i="18"/>
  <c r="A727" i="18"/>
  <c r="A728" i="18"/>
  <c r="A729" i="18"/>
  <c r="A730" i="18"/>
  <c r="A731" i="18"/>
  <c r="A732" i="18"/>
  <c r="A733" i="18"/>
  <c r="A734" i="18"/>
  <c r="A735" i="18"/>
  <c r="A736" i="18"/>
  <c r="A737" i="18"/>
  <c r="A738" i="18"/>
  <c r="A739" i="18"/>
  <c r="A740" i="18"/>
  <c r="A741" i="18"/>
  <c r="A742" i="18"/>
  <c r="A743" i="18"/>
  <c r="A744" i="18"/>
  <c r="A745" i="18"/>
  <c r="A746" i="18"/>
  <c r="A747" i="18"/>
  <c r="A748" i="18"/>
  <c r="A749" i="18"/>
  <c r="A750" i="18"/>
  <c r="A751" i="18"/>
  <c r="A752" i="18"/>
  <c r="A753" i="18"/>
  <c r="A754" i="18"/>
  <c r="A755" i="18"/>
  <c r="A756" i="18"/>
  <c r="A757" i="18"/>
  <c r="A758" i="18"/>
  <c r="A759" i="18"/>
  <c r="A760" i="18"/>
  <c r="A761" i="18"/>
  <c r="A762" i="18"/>
  <c r="A763" i="18"/>
  <c r="A764" i="18"/>
  <c r="A765" i="18"/>
  <c r="A766" i="18"/>
  <c r="A767" i="18"/>
  <c r="A768" i="18"/>
  <c r="A769" i="18"/>
  <c r="A770" i="18"/>
  <c r="A771" i="18"/>
  <c r="A772" i="18"/>
  <c r="A773" i="18"/>
  <c r="A774" i="18"/>
  <c r="A775" i="18"/>
  <c r="A776" i="18"/>
  <c r="A777" i="18"/>
  <c r="A778" i="18"/>
  <c r="A779" i="18"/>
  <c r="A780" i="18"/>
  <c r="A781" i="18"/>
  <c r="A782" i="18"/>
  <c r="A783" i="18"/>
  <c r="A784" i="18"/>
  <c r="A785" i="18"/>
  <c r="A786" i="18"/>
  <c r="A787" i="18"/>
  <c r="A788" i="18"/>
  <c r="A789" i="18"/>
  <c r="A790" i="18"/>
  <c r="A791" i="18"/>
  <c r="A792" i="18"/>
  <c r="A793" i="18"/>
  <c r="A794" i="18"/>
  <c r="A795" i="18"/>
  <c r="A796" i="18"/>
  <c r="A797" i="18"/>
  <c r="A798" i="18"/>
  <c r="A799" i="18"/>
  <c r="A800" i="18"/>
  <c r="A801" i="18"/>
  <c r="A802" i="18"/>
  <c r="A803" i="18"/>
  <c r="A804" i="18"/>
  <c r="A805" i="18"/>
  <c r="A806" i="18"/>
  <c r="A807" i="18"/>
  <c r="A808" i="18"/>
  <c r="A809" i="18"/>
  <c r="A810" i="18"/>
  <c r="A811" i="18"/>
  <c r="A812" i="18"/>
  <c r="A813" i="18"/>
  <c r="A814" i="18"/>
  <c r="A815" i="18"/>
  <c r="A816" i="18"/>
  <c r="A817" i="18"/>
  <c r="A818" i="18"/>
  <c r="A819" i="18"/>
  <c r="A820" i="18"/>
  <c r="A821" i="18"/>
  <c r="A822" i="18"/>
  <c r="A823" i="18"/>
  <c r="A824" i="18"/>
  <c r="A825" i="18"/>
  <c r="A826" i="18"/>
  <c r="A827" i="18"/>
  <c r="A828" i="18"/>
  <c r="A829" i="18"/>
  <c r="A830" i="18"/>
  <c r="A831" i="18"/>
  <c r="A832" i="18"/>
  <c r="A833" i="18"/>
  <c r="A834" i="18"/>
  <c r="A835" i="18"/>
  <c r="A836" i="18"/>
  <c r="A837" i="18"/>
  <c r="A838" i="18"/>
  <c r="A839" i="18"/>
  <c r="A840" i="18"/>
  <c r="A841" i="18"/>
  <c r="A842" i="18"/>
  <c r="A843" i="18"/>
  <c r="A844" i="18"/>
  <c r="A845" i="18"/>
  <c r="A846" i="18"/>
  <c r="A847" i="18"/>
  <c r="A848" i="18"/>
  <c r="A849" i="18"/>
  <c r="A850" i="18"/>
  <c r="A851" i="18"/>
  <c r="A852" i="18"/>
  <c r="A853" i="18"/>
  <c r="A854" i="18"/>
  <c r="A855" i="18"/>
  <c r="A856" i="18"/>
  <c r="A857" i="18"/>
  <c r="A858" i="18"/>
  <c r="A859" i="18"/>
  <c r="A860" i="18"/>
  <c r="A861" i="18"/>
  <c r="A862" i="18"/>
  <c r="A863" i="18"/>
  <c r="A864" i="18"/>
  <c r="A865" i="18"/>
  <c r="A866" i="18"/>
  <c r="A867" i="18"/>
  <c r="A868" i="18"/>
  <c r="A869" i="18"/>
  <c r="A870" i="18"/>
  <c r="A871" i="18"/>
  <c r="A872" i="18"/>
  <c r="A873" i="18"/>
  <c r="A874" i="18"/>
  <c r="A875" i="18"/>
  <c r="A876" i="18"/>
  <c r="A877" i="18"/>
  <c r="A878" i="18"/>
  <c r="A879" i="18"/>
  <c r="A880" i="18"/>
  <c r="A881" i="18"/>
  <c r="A882" i="18"/>
  <c r="A883" i="18"/>
  <c r="A884" i="18"/>
  <c r="A885" i="18"/>
  <c r="A886" i="18"/>
  <c r="A887" i="18"/>
  <c r="A888" i="18"/>
  <c r="A889" i="18"/>
  <c r="A890" i="18"/>
  <c r="A891" i="18"/>
  <c r="A892" i="18"/>
  <c r="A893" i="18"/>
  <c r="A894" i="18"/>
  <c r="A895" i="18"/>
  <c r="A896" i="18"/>
  <c r="A897" i="18"/>
  <c r="A898" i="18"/>
  <c r="A899" i="18"/>
  <c r="A900" i="18"/>
  <c r="A901" i="18"/>
  <c r="A902" i="18"/>
  <c r="A903" i="18"/>
  <c r="A904" i="18"/>
  <c r="A905" i="18"/>
  <c r="A906" i="18"/>
  <c r="A907" i="18"/>
  <c r="A908" i="18"/>
  <c r="A909" i="18"/>
  <c r="A910" i="18"/>
  <c r="A911" i="18"/>
  <c r="A912" i="18"/>
  <c r="A913" i="18"/>
  <c r="A914" i="18"/>
  <c r="A915" i="18"/>
  <c r="A916" i="18"/>
  <c r="A917" i="18"/>
  <c r="A918" i="18"/>
  <c r="A919" i="18"/>
  <c r="A920" i="18"/>
  <c r="A921" i="18"/>
  <c r="A922" i="18"/>
  <c r="A923" i="18"/>
  <c r="A924" i="18"/>
  <c r="A925" i="18"/>
  <c r="A926" i="18"/>
  <c r="A927" i="18"/>
  <c r="A928" i="18"/>
  <c r="A929" i="18"/>
  <c r="A930" i="18"/>
  <c r="A931" i="18"/>
  <c r="A932" i="18"/>
  <c r="A933" i="18"/>
  <c r="A934" i="18"/>
  <c r="A935" i="18"/>
  <c r="A936" i="18"/>
  <c r="A937" i="18"/>
  <c r="A938" i="18"/>
  <c r="A939" i="18"/>
  <c r="A940" i="18"/>
  <c r="A941" i="18"/>
  <c r="A942" i="18"/>
  <c r="A943" i="18"/>
  <c r="A944" i="18"/>
  <c r="A945" i="18"/>
  <c r="A946" i="18"/>
  <c r="A947" i="18"/>
  <c r="A948" i="18"/>
  <c r="A949" i="18"/>
  <c r="A950" i="18"/>
  <c r="A951" i="18"/>
  <c r="A952" i="18"/>
  <c r="A953" i="18"/>
  <c r="A954" i="18"/>
  <c r="A955" i="18"/>
  <c r="A956" i="18"/>
  <c r="A957" i="18"/>
  <c r="A958" i="18"/>
  <c r="A959" i="18"/>
  <c r="A960" i="18"/>
  <c r="A961" i="18"/>
  <c r="A962" i="18"/>
  <c r="A963" i="18"/>
  <c r="A964" i="18"/>
  <c r="A965" i="18"/>
  <c r="A966" i="18"/>
  <c r="A967" i="18"/>
  <c r="A968" i="18"/>
  <c r="A969" i="18"/>
  <c r="A970" i="18"/>
  <c r="A971" i="18"/>
  <c r="A972" i="18"/>
  <c r="A973" i="18"/>
  <c r="A974" i="18"/>
  <c r="A975" i="18"/>
  <c r="A976" i="18"/>
  <c r="A977" i="18"/>
  <c r="A978" i="18"/>
  <c r="A979" i="18"/>
  <c r="A980" i="18"/>
  <c r="A981" i="18"/>
  <c r="A982" i="18"/>
  <c r="A983" i="18"/>
  <c r="A984" i="18"/>
  <c r="A985" i="18"/>
  <c r="A986" i="18"/>
  <c r="A987" i="18"/>
  <c r="A988" i="18"/>
  <c r="A989" i="18"/>
  <c r="A990" i="18"/>
  <c r="A991" i="18"/>
  <c r="A992" i="18"/>
  <c r="A993" i="18"/>
  <c r="A994" i="18"/>
  <c r="A995" i="18"/>
  <c r="A996" i="18"/>
  <c r="A997" i="18"/>
  <c r="A998" i="18"/>
  <c r="A999" i="18"/>
  <c r="A1000" i="18"/>
  <c r="A1001" i="18"/>
  <c r="A1002" i="18"/>
  <c r="A1003" i="18"/>
  <c r="A1004" i="18"/>
  <c r="A1005" i="18"/>
  <c r="A1006" i="18"/>
  <c r="A1007" i="18"/>
  <c r="A1008" i="18"/>
  <c r="A1009" i="18"/>
  <c r="A1010" i="18"/>
  <c r="A1011" i="18"/>
  <c r="A1012" i="18"/>
  <c r="A1013" i="18"/>
  <c r="A1014" i="18"/>
  <c r="A1015" i="18"/>
  <c r="A1016" i="18"/>
  <c r="A1017" i="18"/>
  <c r="A1018" i="18"/>
  <c r="A1019" i="18"/>
  <c r="A1020" i="18"/>
  <c r="A1021" i="18"/>
  <c r="A1022" i="18"/>
  <c r="A1023" i="18"/>
  <c r="A1024" i="18"/>
  <c r="A1025" i="18"/>
  <c r="A1026" i="18"/>
  <c r="A1027" i="18"/>
  <c r="A1028" i="18"/>
  <c r="A1029" i="18"/>
  <c r="A1030" i="18"/>
  <c r="A1031" i="18"/>
  <c r="A1032" i="18"/>
  <c r="A1033" i="18"/>
  <c r="A1034" i="18"/>
  <c r="A1035" i="18"/>
  <c r="A1036" i="18"/>
  <c r="A1037" i="18"/>
  <c r="A1038" i="18"/>
  <c r="A1039" i="18"/>
  <c r="A1040" i="18"/>
  <c r="A1041" i="18"/>
  <c r="A1042" i="18"/>
  <c r="A1043" i="18"/>
  <c r="A1044" i="18"/>
  <c r="A1045" i="18"/>
  <c r="A1046" i="18"/>
  <c r="A1047" i="18"/>
  <c r="A1048" i="18"/>
  <c r="A1049" i="18"/>
  <c r="A1050" i="18"/>
  <c r="A1051" i="18"/>
  <c r="A1052" i="18"/>
  <c r="A1053" i="18"/>
  <c r="A1054" i="18"/>
  <c r="A1055" i="18"/>
  <c r="A1056" i="18"/>
  <c r="A1057" i="18"/>
  <c r="A1058" i="18"/>
  <c r="A1059" i="18"/>
  <c r="A1060" i="18"/>
  <c r="A1061" i="18"/>
  <c r="A1062" i="18"/>
  <c r="A1063" i="18"/>
  <c r="A1064" i="18"/>
  <c r="A1065" i="18"/>
  <c r="A1066" i="18"/>
  <c r="A1067" i="18"/>
  <c r="A1068" i="18"/>
  <c r="A1069" i="18"/>
  <c r="A1070" i="18"/>
  <c r="A1071" i="18"/>
  <c r="A1072" i="18"/>
  <c r="A1073" i="18"/>
  <c r="A1074" i="18"/>
  <c r="A1075" i="18"/>
  <c r="A1076" i="18"/>
  <c r="A1077" i="18"/>
  <c r="A1078" i="18"/>
  <c r="A1079" i="18"/>
  <c r="A1080" i="18"/>
  <c r="A1081" i="18"/>
  <c r="A1082" i="18"/>
  <c r="A1083" i="18"/>
  <c r="A1084" i="18"/>
  <c r="A1085" i="18"/>
  <c r="A1086" i="18"/>
  <c r="A1087" i="18"/>
  <c r="A1088" i="18"/>
  <c r="A1089" i="18"/>
  <c r="A1090" i="18"/>
  <c r="A1091" i="18"/>
  <c r="A1092" i="18"/>
  <c r="A1093" i="18"/>
  <c r="A1094" i="18"/>
  <c r="A1095" i="18"/>
  <c r="A1096" i="18"/>
  <c r="A1097" i="18"/>
  <c r="A1098" i="18"/>
  <c r="A1099" i="18"/>
  <c r="A1100" i="18"/>
  <c r="A1101" i="18"/>
  <c r="A1102" i="18"/>
  <c r="A1103" i="18"/>
  <c r="A1104" i="18"/>
  <c r="A1105" i="18"/>
  <c r="A1106" i="18"/>
  <c r="A1107" i="18"/>
  <c r="A1108" i="18"/>
  <c r="A1109" i="18"/>
  <c r="A1110" i="18"/>
  <c r="A1111" i="18"/>
  <c r="A1112" i="18"/>
  <c r="A1113" i="18"/>
  <c r="A1114" i="18"/>
  <c r="A1115" i="18"/>
  <c r="A1116" i="18"/>
  <c r="A1117" i="18"/>
  <c r="A1118" i="18"/>
  <c r="A1119" i="18"/>
  <c r="A1120" i="18"/>
  <c r="A1121" i="18"/>
  <c r="A1122" i="18"/>
  <c r="A1123" i="18"/>
  <c r="A1124" i="18"/>
  <c r="A1125" i="18"/>
  <c r="A1126" i="18"/>
  <c r="A1127" i="18"/>
  <c r="A1128" i="18"/>
  <c r="A1129" i="18"/>
  <c r="A1130" i="18"/>
  <c r="A1131" i="18"/>
  <c r="A1132" i="18"/>
  <c r="A1133" i="18"/>
  <c r="A1134" i="18"/>
  <c r="A1135" i="18"/>
  <c r="A1136" i="18"/>
  <c r="A1137" i="18"/>
  <c r="A1138" i="18"/>
  <c r="A1139" i="18"/>
  <c r="A1140" i="18"/>
  <c r="A1141" i="18"/>
  <c r="A1142" i="18"/>
  <c r="A1143" i="18"/>
  <c r="A1144" i="18"/>
  <c r="A1145" i="18"/>
  <c r="A1146" i="18"/>
  <c r="A1147" i="18"/>
  <c r="A1148" i="18"/>
  <c r="A1149" i="18"/>
  <c r="A1150" i="18"/>
  <c r="A1151" i="18"/>
  <c r="A1152" i="18"/>
  <c r="A1153" i="18"/>
  <c r="A1154" i="18"/>
  <c r="A1155" i="18"/>
  <c r="A1156" i="18"/>
  <c r="A1157" i="18"/>
  <c r="A1158" i="18"/>
  <c r="A1159" i="18"/>
  <c r="A1160" i="18"/>
  <c r="A1161" i="18"/>
  <c r="A1162" i="18"/>
  <c r="A1163" i="18"/>
  <c r="A1164" i="18"/>
  <c r="A1165" i="18"/>
  <c r="A1166" i="18"/>
  <c r="A1167" i="18"/>
  <c r="A1168" i="18"/>
  <c r="A1169" i="18"/>
  <c r="A1170" i="18"/>
  <c r="A1171" i="18"/>
  <c r="A1172" i="18"/>
  <c r="A1173" i="18"/>
  <c r="A1174" i="18"/>
  <c r="A1175" i="18"/>
  <c r="A1176" i="18"/>
  <c r="A1177" i="18"/>
  <c r="A1178" i="18"/>
  <c r="A1179" i="18"/>
  <c r="A1180" i="18"/>
  <c r="A1181" i="18"/>
  <c r="A1182" i="18"/>
  <c r="A1183" i="18"/>
  <c r="A1184" i="18"/>
  <c r="A1185" i="18"/>
  <c r="A1186" i="18"/>
  <c r="A1187" i="18"/>
  <c r="A1188" i="18"/>
  <c r="A1189" i="18"/>
  <c r="A1190" i="18"/>
  <c r="A1191" i="18"/>
  <c r="A1192" i="18"/>
  <c r="A1193" i="18"/>
  <c r="A1194" i="18"/>
  <c r="A1195" i="18"/>
  <c r="A1196" i="18"/>
  <c r="A1197" i="18"/>
  <c r="A1198" i="18"/>
  <c r="A1199" i="18"/>
  <c r="A1200" i="18"/>
  <c r="A1201" i="18"/>
  <c r="A1202" i="18"/>
  <c r="A1203" i="18"/>
  <c r="A1204" i="18"/>
  <c r="A1205" i="18"/>
  <c r="A1206" i="18"/>
  <c r="A1207" i="18"/>
  <c r="A1208" i="18"/>
  <c r="A1209" i="18"/>
  <c r="A1210" i="18"/>
  <c r="A1211" i="18"/>
  <c r="A1212" i="18"/>
  <c r="A1213" i="18"/>
  <c r="A1214" i="18"/>
  <c r="A1215" i="18"/>
  <c r="A1216" i="18"/>
  <c r="A1217" i="18"/>
  <c r="A1218" i="18"/>
  <c r="A1219" i="18"/>
  <c r="A1220" i="18"/>
  <c r="A1221" i="18"/>
  <c r="A1222" i="18"/>
  <c r="A1223" i="18"/>
  <c r="A1224" i="18"/>
  <c r="A1225" i="18"/>
  <c r="A1226" i="18"/>
  <c r="A1227" i="18"/>
  <c r="A1228" i="18"/>
  <c r="A1229" i="18"/>
  <c r="A1230" i="18"/>
  <c r="A1231" i="18"/>
  <c r="A1232" i="18"/>
  <c r="A1233" i="18"/>
  <c r="A1234" i="18"/>
  <c r="A1235" i="18"/>
  <c r="A1236" i="18"/>
  <c r="A1237" i="18"/>
  <c r="A1238" i="18"/>
  <c r="A1239" i="18"/>
  <c r="A1240" i="18"/>
  <c r="A1241" i="18"/>
  <c r="A1242" i="18"/>
  <c r="A1243" i="18"/>
  <c r="A3" i="18"/>
  <c r="A4" i="18"/>
  <c r="A5" i="18"/>
  <c r="A6" i="18"/>
  <c r="A7" i="18"/>
  <c r="A8" i="18"/>
  <c r="A9" i="18"/>
  <c r="A10" i="18"/>
  <c r="A11" i="18"/>
  <c r="A2" i="18"/>
  <c r="A23" i="22"/>
  <c r="D32" i="22" l="1"/>
  <c r="A17" i="23"/>
  <c r="K32" i="22"/>
  <c r="K91" i="22"/>
  <c r="A59" i="23"/>
  <c r="AC19" i="23"/>
  <c r="A18" i="23"/>
  <c r="P48" i="23"/>
  <c r="C49" i="23"/>
  <c r="AC49" i="23"/>
  <c r="P50" i="23"/>
  <c r="C51" i="23"/>
  <c r="AC51" i="23"/>
  <c r="P52" i="23"/>
  <c r="AC53" i="23"/>
  <c r="P54" i="23"/>
  <c r="AC55" i="23"/>
  <c r="P56" i="23"/>
  <c r="AC57" i="23"/>
  <c r="AC48" i="23"/>
  <c r="C50" i="23"/>
  <c r="P51" i="23"/>
  <c r="AC52" i="23"/>
  <c r="C54" i="23"/>
  <c r="C55" i="23" s="1"/>
  <c r="P55" i="23"/>
  <c r="AC56" i="23"/>
  <c r="C48" i="23"/>
  <c r="AC50" i="23"/>
  <c r="P53" i="23"/>
  <c r="C56" i="23"/>
  <c r="C57" i="23" s="1"/>
  <c r="K58" i="22"/>
  <c r="K62" i="22"/>
  <c r="J57" i="22"/>
  <c r="J61" i="22"/>
  <c r="G56" i="22"/>
  <c r="G60" i="22"/>
  <c r="D56" i="22"/>
  <c r="D60" i="22"/>
  <c r="P49" i="23"/>
  <c r="C52" i="23"/>
  <c r="C53" i="23" s="1"/>
  <c r="AC54" i="23"/>
  <c r="P57" i="23"/>
  <c r="K56" i="22"/>
  <c r="K60" i="22"/>
  <c r="K55" i="22"/>
  <c r="J59" i="22"/>
  <c r="J63" i="22"/>
  <c r="G58" i="22"/>
  <c r="D58" i="22"/>
  <c r="G55" i="22"/>
  <c r="C107" i="23"/>
  <c r="C108" i="23" s="1"/>
  <c r="C109" i="23" s="1"/>
  <c r="C110" i="23" s="1"/>
  <c r="C111" i="23" s="1"/>
  <c r="C112" i="23" s="1"/>
  <c r="C113" i="23" s="1"/>
  <c r="C114" i="23" s="1"/>
  <c r="C115" i="23" s="1"/>
  <c r="C116" i="23" s="1"/>
  <c r="C117" i="23" s="1"/>
  <c r="C118" i="23" s="1"/>
  <c r="C119" i="23" s="1"/>
  <c r="C120" i="23" s="1"/>
  <c r="AC107" i="23"/>
  <c r="AC109" i="23"/>
  <c r="AC111" i="23"/>
  <c r="AC113" i="23"/>
  <c r="AC115" i="23"/>
  <c r="AC117" i="23"/>
  <c r="P107" i="23"/>
  <c r="P108" i="23" s="1"/>
  <c r="AC108" i="23"/>
  <c r="AC112" i="23"/>
  <c r="AC116" i="23"/>
  <c r="P118" i="23"/>
  <c r="P119" i="23" s="1"/>
  <c r="P120" i="23" s="1"/>
  <c r="P121" i="23" s="1"/>
  <c r="P109" i="23"/>
  <c r="P110" i="23" s="1"/>
  <c r="P111" i="23" s="1"/>
  <c r="P112" i="23" s="1"/>
  <c r="P113" i="23" s="1"/>
  <c r="P114" i="23" s="1"/>
  <c r="P115" i="23" s="1"/>
  <c r="P116" i="23" s="1"/>
  <c r="AC110" i="23"/>
  <c r="AC114" i="23"/>
  <c r="J49" i="22"/>
  <c r="J47" i="22"/>
  <c r="J45" i="22"/>
  <c r="J43" i="22"/>
  <c r="J41" i="22"/>
  <c r="J39" i="22"/>
  <c r="J37" i="22"/>
  <c r="J35" i="22"/>
  <c r="J33" i="22"/>
  <c r="D48" i="22"/>
  <c r="K50" i="22"/>
  <c r="K48" i="22"/>
  <c r="C61" i="23"/>
  <c r="C62" i="23" s="1"/>
  <c r="C63" i="23" s="1"/>
  <c r="C64" i="23" s="1"/>
  <c r="C65" i="23" s="1"/>
  <c r="C66" i="23" s="1"/>
  <c r="C67" i="23" s="1"/>
  <c r="C68" i="23" s="1"/>
  <c r="C69" i="23" s="1"/>
  <c r="C70" i="23" s="1"/>
  <c r="C71" i="23" s="1"/>
  <c r="C72" i="23" s="1"/>
  <c r="C73" i="23" s="1"/>
  <c r="C74" i="23" s="1"/>
  <c r="C75" i="23" s="1"/>
  <c r="C76" i="23" s="1"/>
  <c r="C77" i="23" s="1"/>
  <c r="C78" i="23" s="1"/>
  <c r="C79" i="23" s="1"/>
  <c r="C80" i="23" s="1"/>
  <c r="AC61" i="23"/>
  <c r="AC63" i="23"/>
  <c r="AC65" i="23"/>
  <c r="AC67" i="23"/>
  <c r="AC69" i="23"/>
  <c r="AC71" i="23"/>
  <c r="AC73" i="23"/>
  <c r="AC75" i="23"/>
  <c r="AC77" i="23"/>
  <c r="AC79" i="23"/>
  <c r="AC64" i="23"/>
  <c r="AC68" i="23"/>
  <c r="AC72" i="23"/>
  <c r="AC76" i="23"/>
  <c r="AC80" i="23"/>
  <c r="AC62" i="23"/>
  <c r="AC70" i="23"/>
  <c r="AC78" i="23"/>
  <c r="J71" i="22"/>
  <c r="J75" i="22"/>
  <c r="J79" i="22"/>
  <c r="J83" i="22"/>
  <c r="K69" i="22"/>
  <c r="K73" i="22"/>
  <c r="K77" i="22"/>
  <c r="K81" i="22"/>
  <c r="K85" i="22"/>
  <c r="J68" i="22"/>
  <c r="D68" i="22"/>
  <c r="D69" i="22" s="1"/>
  <c r="D70" i="22" s="1"/>
  <c r="D71" i="22" s="1"/>
  <c r="D72" i="22" s="1"/>
  <c r="D73" i="22" s="1"/>
  <c r="D74" i="22" s="1"/>
  <c r="D75" i="22" s="1"/>
  <c r="D76" i="22" s="1"/>
  <c r="D77" i="22" s="1"/>
  <c r="D78" i="22" s="1"/>
  <c r="D79" i="22" s="1"/>
  <c r="D80" i="22" s="1"/>
  <c r="D81" i="22" s="1"/>
  <c r="D82" i="22" s="1"/>
  <c r="D83" i="22" s="1"/>
  <c r="D84" i="22" s="1"/>
  <c r="D85" i="22" s="1"/>
  <c r="D86" i="22" s="1"/>
  <c r="D87" i="22" s="1"/>
  <c r="P61" i="23"/>
  <c r="P62" i="23" s="1"/>
  <c r="P63" i="23" s="1"/>
  <c r="P64" i="23" s="1"/>
  <c r="P65" i="23" s="1"/>
  <c r="P66" i="23" s="1"/>
  <c r="P67" i="23" s="1"/>
  <c r="P68" i="23" s="1"/>
  <c r="P69" i="23" s="1"/>
  <c r="P70" i="23" s="1"/>
  <c r="P71" i="23" s="1"/>
  <c r="P72" i="23" s="1"/>
  <c r="P73" i="23" s="1"/>
  <c r="P74" i="23" s="1"/>
  <c r="P75" i="23" s="1"/>
  <c r="P76" i="23" s="1"/>
  <c r="P77" i="23" s="1"/>
  <c r="P78" i="23" s="1"/>
  <c r="P79" i="23" s="1"/>
  <c r="P80" i="23" s="1"/>
  <c r="AC66" i="23"/>
  <c r="AC74" i="23"/>
  <c r="J69" i="22"/>
  <c r="J73" i="22"/>
  <c r="J77" i="22"/>
  <c r="J81" i="22"/>
  <c r="J85" i="22"/>
  <c r="K71" i="22"/>
  <c r="K75" i="22"/>
  <c r="K79" i="22"/>
  <c r="K83" i="22"/>
  <c r="K68" i="22"/>
  <c r="G68" i="22"/>
  <c r="G69" i="22" s="1"/>
  <c r="G70" i="22" s="1"/>
  <c r="G71" i="22" s="1"/>
  <c r="G72" i="22" s="1"/>
  <c r="G73" i="22" s="1"/>
  <c r="G74" i="22" s="1"/>
  <c r="G75" i="22" s="1"/>
  <c r="G76" i="22" s="1"/>
  <c r="G77" i="22" s="1"/>
  <c r="G78" i="22" s="1"/>
  <c r="G79" i="22" s="1"/>
  <c r="G80" i="22" s="1"/>
  <c r="G81" i="22" s="1"/>
  <c r="G82" i="22" s="1"/>
  <c r="G83" i="22" s="1"/>
  <c r="G84" i="22" s="1"/>
  <c r="G85" i="22" s="1"/>
  <c r="G86" i="22" s="1"/>
  <c r="G87" i="22" s="1"/>
  <c r="P25" i="23"/>
  <c r="P26" i="23"/>
  <c r="P27" i="23" s="1"/>
  <c r="P28" i="23" s="1"/>
  <c r="P29" i="23" s="1"/>
  <c r="P30" i="23" s="1"/>
  <c r="P31" i="23" s="1"/>
  <c r="P32" i="23"/>
  <c r="P33" i="23" s="1"/>
  <c r="P34" i="23" s="1"/>
  <c r="P35" i="23" s="1"/>
  <c r="P36" i="23" s="1"/>
  <c r="P37" i="23"/>
  <c r="P38" i="23"/>
  <c r="P39" i="23" s="1"/>
  <c r="P40" i="23"/>
  <c r="P41" i="23" s="1"/>
  <c r="P42" i="23" s="1"/>
  <c r="P43" i="23" s="1"/>
  <c r="P44" i="23" s="1"/>
  <c r="AC25" i="23"/>
  <c r="AC27" i="23"/>
  <c r="AC29" i="23"/>
  <c r="AC31" i="23"/>
  <c r="AC33" i="23"/>
  <c r="AC35" i="23"/>
  <c r="AC37" i="23"/>
  <c r="AC39" i="23"/>
  <c r="AC41" i="23"/>
  <c r="AC43" i="23"/>
  <c r="AC28" i="23"/>
  <c r="AC32" i="23"/>
  <c r="AC36" i="23"/>
  <c r="AC40" i="23"/>
  <c r="AC44" i="23"/>
  <c r="K33" i="22"/>
  <c r="K37" i="22"/>
  <c r="K41" i="22"/>
  <c r="AC26" i="23"/>
  <c r="AC30" i="23"/>
  <c r="AC34" i="23"/>
  <c r="AC38" i="23"/>
  <c r="AC42" i="23"/>
  <c r="G39" i="22"/>
  <c r="G32" i="22"/>
  <c r="G33" i="22" s="1"/>
  <c r="G34" i="22" s="1"/>
  <c r="G35" i="22" s="1"/>
  <c r="K35" i="22"/>
  <c r="K39" i="22"/>
  <c r="K43" i="22"/>
  <c r="K46" i="22"/>
  <c r="P84" i="23"/>
  <c r="P85" i="23" s="1"/>
  <c r="P86" i="23" s="1"/>
  <c r="P87" i="23" s="1"/>
  <c r="P88" i="23" s="1"/>
  <c r="P89" i="23" s="1"/>
  <c r="P90" i="23" s="1"/>
  <c r="P91" i="23" s="1"/>
  <c r="P92" i="23" s="1"/>
  <c r="P93" i="23" s="1"/>
  <c r="P94" i="23" s="1"/>
  <c r="P95" i="23" s="1"/>
  <c r="P96" i="23" s="1"/>
  <c r="P97" i="23" s="1"/>
  <c r="P98" i="23" s="1"/>
  <c r="P99" i="23" s="1"/>
  <c r="P100" i="23" s="1"/>
  <c r="P101" i="23" s="1"/>
  <c r="P102" i="23" s="1"/>
  <c r="P103" i="23" s="1"/>
  <c r="AC85" i="23"/>
  <c r="AC87" i="23"/>
  <c r="AC89" i="23"/>
  <c r="AC91" i="23"/>
  <c r="AC93" i="23"/>
  <c r="AC95" i="23"/>
  <c r="C84" i="23"/>
  <c r="C85" i="23" s="1"/>
  <c r="C86" i="23" s="1"/>
  <c r="C87" i="23" s="1"/>
  <c r="C88" i="23" s="1"/>
  <c r="C89" i="23" s="1"/>
  <c r="C90" i="23" s="1"/>
  <c r="C91" i="23" s="1"/>
  <c r="C92" i="23" s="1"/>
  <c r="C93" i="23" s="1"/>
  <c r="C94" i="23" s="1"/>
  <c r="C95" i="23" s="1"/>
  <c r="C96" i="23" s="1"/>
  <c r="C97" i="23" s="1"/>
  <c r="C98" i="23" s="1"/>
  <c r="C99" i="23" s="1"/>
  <c r="C100" i="23" s="1"/>
  <c r="C101" i="23" s="1"/>
  <c r="C102" i="23" s="1"/>
  <c r="C103" i="23" s="1"/>
  <c r="AC86" i="23"/>
  <c r="AC90" i="23"/>
  <c r="AC94" i="23"/>
  <c r="AC97" i="23"/>
  <c r="AC99" i="23"/>
  <c r="AC101" i="23"/>
  <c r="AC103" i="23"/>
  <c r="AC88" i="23"/>
  <c r="AC96" i="23"/>
  <c r="AC100" i="23"/>
  <c r="J110" i="22"/>
  <c r="D105" i="22"/>
  <c r="D109" i="22"/>
  <c r="D110" i="22" s="1"/>
  <c r="J92" i="22"/>
  <c r="J96" i="22"/>
  <c r="J100" i="22"/>
  <c r="J104" i="22"/>
  <c r="J108" i="22"/>
  <c r="K94" i="22"/>
  <c r="K98" i="22"/>
  <c r="K102" i="22"/>
  <c r="K106" i="22"/>
  <c r="G91" i="22"/>
  <c r="G92" i="22" s="1"/>
  <c r="G93" i="22" s="1"/>
  <c r="G94" i="22" s="1"/>
  <c r="G95" i="22" s="1"/>
  <c r="G96" i="22" s="1"/>
  <c r="G97" i="22" s="1"/>
  <c r="G98" i="22" s="1"/>
  <c r="G99" i="22" s="1"/>
  <c r="G100" i="22" s="1"/>
  <c r="G101" i="22" s="1"/>
  <c r="G102" i="22" s="1"/>
  <c r="G103" i="22" s="1"/>
  <c r="G104" i="22" s="1"/>
  <c r="AC84" i="23"/>
  <c r="AC92" i="23"/>
  <c r="AC98" i="23"/>
  <c r="AC102" i="23"/>
  <c r="J94" i="22"/>
  <c r="J98" i="22"/>
  <c r="J102" i="22"/>
  <c r="J106" i="22"/>
  <c r="K92" i="22"/>
  <c r="K96" i="22"/>
  <c r="K100" i="22"/>
  <c r="K104" i="22"/>
  <c r="K108" i="22"/>
  <c r="J91" i="22"/>
  <c r="J50" i="22"/>
  <c r="J48" i="22"/>
  <c r="J46" i="22"/>
  <c r="J44" i="22"/>
  <c r="J42" i="22"/>
  <c r="J40" i="22"/>
  <c r="J38" i="22"/>
  <c r="J36" i="22"/>
  <c r="J34" i="22"/>
  <c r="D49" i="22"/>
  <c r="D50" i="22" s="1"/>
  <c r="D51" i="22" s="1"/>
  <c r="K51" i="22"/>
  <c r="K49" i="22"/>
  <c r="K47" i="22"/>
  <c r="K110" i="22"/>
  <c r="A112" i="22"/>
  <c r="D106" i="22"/>
  <c r="D107" i="22" s="1"/>
  <c r="D108" i="22" s="1"/>
  <c r="G105" i="22"/>
  <c r="G106" i="22" s="1"/>
  <c r="G107" i="22" s="1"/>
  <c r="G108" i="22" s="1"/>
  <c r="G109" i="22"/>
  <c r="G110" i="22" s="1"/>
  <c r="J93" i="22"/>
  <c r="J95" i="22"/>
  <c r="J97" i="22"/>
  <c r="J99" i="22"/>
  <c r="J101" i="22"/>
  <c r="J103" i="22"/>
  <c r="J105" i="22"/>
  <c r="J107" i="22"/>
  <c r="J109" i="22"/>
  <c r="K93" i="22"/>
  <c r="K95" i="22"/>
  <c r="K97" i="22"/>
  <c r="K99" i="22"/>
  <c r="K101" i="22"/>
  <c r="K103" i="22"/>
  <c r="K105" i="22"/>
  <c r="K107" i="22"/>
  <c r="K109" i="22"/>
  <c r="K87" i="22"/>
  <c r="J87" i="22"/>
  <c r="D91" i="22"/>
  <c r="D92" i="22" s="1"/>
  <c r="D93" i="22" s="1"/>
  <c r="D94" i="22" s="1"/>
  <c r="D95" i="22" s="1"/>
  <c r="D96" i="22" s="1"/>
  <c r="D97" i="22" s="1"/>
  <c r="D98" i="22" s="1"/>
  <c r="D99" i="22" s="1"/>
  <c r="D100" i="22" s="1"/>
  <c r="D101" i="22" s="1"/>
  <c r="D102" i="22" s="1"/>
  <c r="D103" i="22" s="1"/>
  <c r="D104" i="22" s="1"/>
  <c r="J70" i="22"/>
  <c r="J72" i="22"/>
  <c r="J74" i="22"/>
  <c r="J76" i="22"/>
  <c r="J78" i="22"/>
  <c r="J80" i="22"/>
  <c r="J82" i="22"/>
  <c r="J84" i="22"/>
  <c r="J86" i="22"/>
  <c r="K70" i="22"/>
  <c r="K72" i="22"/>
  <c r="K74" i="22"/>
  <c r="K76" i="22"/>
  <c r="K78" i="22"/>
  <c r="K80" i="22"/>
  <c r="K82" i="22"/>
  <c r="K84" i="22"/>
  <c r="K86" i="22"/>
  <c r="K64" i="22"/>
  <c r="J64" i="22"/>
  <c r="D55" i="22"/>
  <c r="K57" i="22"/>
  <c r="K59" i="22"/>
  <c r="K61" i="22"/>
  <c r="K63" i="22"/>
  <c r="J56" i="22"/>
  <c r="J58" i="22"/>
  <c r="J60" i="22"/>
  <c r="J62" i="22"/>
  <c r="J55" i="22"/>
  <c r="G57" i="22"/>
  <c r="G59" i="22"/>
  <c r="G61" i="22"/>
  <c r="G62" i="22" s="1"/>
  <c r="G63" i="22"/>
  <c r="G64" i="22" s="1"/>
  <c r="D57" i="22"/>
  <c r="D59" i="22"/>
  <c r="D61" i="22"/>
  <c r="D62" i="22" s="1"/>
  <c r="D63" i="22"/>
  <c r="D64" i="22" s="1"/>
  <c r="J51" i="22"/>
  <c r="G36" i="22"/>
  <c r="G37" i="22" s="1"/>
  <c r="G38" i="22"/>
  <c r="G40" i="22"/>
  <c r="G41" i="22" s="1"/>
  <c r="G42" i="22" s="1"/>
  <c r="G43" i="22" s="1"/>
  <c r="G44" i="22" s="1"/>
  <c r="G45" i="22" s="1"/>
  <c r="G46" i="22" s="1"/>
  <c r="G47" i="22" s="1"/>
  <c r="G48" i="22"/>
  <c r="G49" i="22" s="1"/>
  <c r="G50" i="22" s="1"/>
  <c r="G51" i="22" s="1"/>
  <c r="D33" i="22"/>
  <c r="D34" i="22" s="1"/>
  <c r="D35" i="22" s="1"/>
  <c r="D36" i="22" s="1"/>
  <c r="D37" i="22" s="1"/>
  <c r="D38" i="22" s="1"/>
  <c r="D39" i="22" s="1"/>
  <c r="D40" i="22" s="1"/>
  <c r="D41" i="22" s="1"/>
  <c r="D42" i="22" s="1"/>
  <c r="D43" i="22" s="1"/>
  <c r="D44" i="22" s="1"/>
  <c r="D45" i="22" s="1"/>
  <c r="D46" i="22" s="1"/>
  <c r="D47" i="22" s="1"/>
  <c r="K34" i="22"/>
  <c r="K36" i="22"/>
  <c r="K38" i="22"/>
  <c r="K40" i="22"/>
  <c r="K42" i="22"/>
  <c r="K44" i="22"/>
  <c r="C121" i="23"/>
  <c r="AC121" i="23"/>
  <c r="AC120" i="23"/>
  <c r="AC119" i="23"/>
  <c r="AC118" i="23"/>
  <c r="A128" i="22"/>
  <c r="J128" i="22" s="1"/>
  <c r="J32" i="22"/>
  <c r="P117" i="23"/>
  <c r="C25" i="23"/>
  <c r="C26" i="23" s="1"/>
  <c r="C27" i="23" s="1"/>
  <c r="C28" i="23" s="1"/>
  <c r="C29" i="23" s="1"/>
  <c r="C30" i="23" s="1"/>
  <c r="C31" i="23" s="1"/>
  <c r="C32" i="23" s="1"/>
  <c r="C33" i="23" s="1"/>
  <c r="C34" i="23" s="1"/>
  <c r="C35" i="23" s="1"/>
  <c r="C36" i="23" s="1"/>
  <c r="C37" i="23" s="1"/>
  <c r="C38" i="23" s="1"/>
  <c r="C39" i="23" s="1"/>
  <c r="C40" i="23" s="1"/>
  <c r="C41" i="23" s="1"/>
  <c r="C42" i="23" s="1"/>
  <c r="C43" i="23" s="1"/>
  <c r="C44" i="23" s="1"/>
  <c r="D114" i="22"/>
  <c r="D115" i="22" s="1"/>
  <c r="D116" i="22" s="1"/>
  <c r="D117" i="22" s="1"/>
  <c r="D118" i="22" s="1"/>
  <c r="D119" i="22" s="1"/>
  <c r="D120" i="22" s="1"/>
  <c r="D121" i="22" s="1"/>
  <c r="D122" i="22" s="1"/>
  <c r="D123" i="22" s="1"/>
  <c r="G114" i="22"/>
  <c r="G115" i="22" s="1"/>
  <c r="G116" i="22" s="1"/>
  <c r="G117" i="22" s="1"/>
  <c r="G118" i="22" s="1"/>
  <c r="G119" i="22" s="1"/>
  <c r="G120" i="22" s="1"/>
  <c r="G121" i="22" s="1"/>
  <c r="G122" i="22" s="1"/>
  <c r="G123" i="22" s="1"/>
  <c r="J114" i="22"/>
  <c r="K114" i="22"/>
  <c r="K123" i="22"/>
  <c r="K122" i="22"/>
  <c r="K121" i="22"/>
  <c r="K120" i="22"/>
  <c r="K119" i="22"/>
  <c r="K118" i="22"/>
  <c r="K117" i="22"/>
  <c r="K116" i="22"/>
  <c r="K115" i="22"/>
  <c r="J123" i="22"/>
  <c r="J122" i="22"/>
  <c r="J121" i="22"/>
  <c r="J120" i="22"/>
  <c r="J119" i="22"/>
  <c r="J118" i="22"/>
  <c r="J117" i="22"/>
  <c r="J116" i="22"/>
  <c r="J115" i="22"/>
  <c r="A124" i="22"/>
  <c r="A125" i="22"/>
  <c r="A126" i="22"/>
  <c r="A127" i="22"/>
  <c r="K128" i="22" l="1"/>
  <c r="J127" i="22"/>
  <c r="K127" i="22"/>
  <c r="J126" i="22"/>
  <c r="K126" i="22"/>
  <c r="J125" i="22"/>
  <c r="G125" i="22"/>
  <c r="G126" i="22" s="1"/>
  <c r="G127" i="22" s="1"/>
  <c r="G128" i="22" s="1"/>
  <c r="K125" i="22"/>
  <c r="J124" i="22"/>
  <c r="G124" i="22"/>
  <c r="K124" i="22"/>
  <c r="D124" i="22"/>
  <c r="D125" i="22" s="1"/>
  <c r="D126" i="22" s="1"/>
  <c r="D127" i="22" s="1"/>
  <c r="D128" i="22" s="1"/>
  <c r="A89" i="22" l="1"/>
  <c r="A66" i="22"/>
  <c r="A53" i="22"/>
  <c r="A30" i="22"/>
  <c r="A23" i="23" s="1"/>
  <c r="J23" i="22"/>
  <c r="A22" i="22"/>
  <c r="A21" i="22"/>
  <c r="A20" i="22"/>
  <c r="A19" i="22"/>
  <c r="I10" i="22"/>
  <c r="D10" i="22"/>
  <c r="G4" i="22"/>
  <c r="D1" i="22"/>
  <c r="K500" i="16"/>
  <c r="J500" i="16"/>
  <c r="I500" i="16"/>
  <c r="H500" i="16"/>
  <c r="G500" i="16"/>
  <c r="F500" i="16"/>
  <c r="E500" i="16"/>
  <c r="A500" i="16"/>
  <c r="GE500" i="16" s="1"/>
  <c r="K499" i="16"/>
  <c r="J499" i="16"/>
  <c r="I499" i="16"/>
  <c r="H499" i="16"/>
  <c r="G499" i="16"/>
  <c r="F499" i="16"/>
  <c r="E499" i="16"/>
  <c r="A499" i="16"/>
  <c r="GE499" i="16" s="1"/>
  <c r="K498" i="16"/>
  <c r="J498" i="16"/>
  <c r="I498" i="16"/>
  <c r="H498" i="16"/>
  <c r="G498" i="16"/>
  <c r="F498" i="16"/>
  <c r="E498" i="16"/>
  <c r="A498" i="16"/>
  <c r="GE498" i="16" s="1"/>
  <c r="K497" i="16"/>
  <c r="J497" i="16"/>
  <c r="I497" i="16"/>
  <c r="H497" i="16"/>
  <c r="G497" i="16"/>
  <c r="F497" i="16"/>
  <c r="E497" i="16"/>
  <c r="A497" i="16"/>
  <c r="GE497" i="16" s="1"/>
  <c r="K496" i="16"/>
  <c r="J496" i="16"/>
  <c r="I496" i="16"/>
  <c r="H496" i="16"/>
  <c r="G496" i="16"/>
  <c r="F496" i="16"/>
  <c r="E496" i="16"/>
  <c r="A496" i="16"/>
  <c r="GE496" i="16" s="1"/>
  <c r="K495" i="16"/>
  <c r="J495" i="16"/>
  <c r="I495" i="16"/>
  <c r="H495" i="16"/>
  <c r="G495" i="16"/>
  <c r="F495" i="16"/>
  <c r="E495" i="16"/>
  <c r="A495" i="16"/>
  <c r="GE495" i="16" s="1"/>
  <c r="K494" i="16"/>
  <c r="J494" i="16"/>
  <c r="I494" i="16"/>
  <c r="H494" i="16"/>
  <c r="G494" i="16"/>
  <c r="F494" i="16"/>
  <c r="E494" i="16"/>
  <c r="A494" i="16"/>
  <c r="GE494" i="16" s="1"/>
  <c r="K493" i="16"/>
  <c r="J493" i="16"/>
  <c r="I493" i="16"/>
  <c r="H493" i="16"/>
  <c r="G493" i="16"/>
  <c r="F493" i="16"/>
  <c r="E493" i="16"/>
  <c r="A493" i="16"/>
  <c r="GE493" i="16" s="1"/>
  <c r="K492" i="16"/>
  <c r="J492" i="16"/>
  <c r="I492" i="16"/>
  <c r="H492" i="16"/>
  <c r="G492" i="16"/>
  <c r="F492" i="16"/>
  <c r="E492" i="16"/>
  <c r="A492" i="16"/>
  <c r="GE492" i="16" s="1"/>
  <c r="K491" i="16"/>
  <c r="J491" i="16"/>
  <c r="I491" i="16"/>
  <c r="H491" i="16"/>
  <c r="G491" i="16"/>
  <c r="F491" i="16"/>
  <c r="E491" i="16"/>
  <c r="A491" i="16"/>
  <c r="GE491" i="16" s="1"/>
  <c r="K490" i="16"/>
  <c r="J490" i="16"/>
  <c r="I490" i="16"/>
  <c r="H490" i="16"/>
  <c r="G490" i="16"/>
  <c r="F490" i="16"/>
  <c r="E490" i="16"/>
  <c r="A490" i="16"/>
  <c r="GE490" i="16" s="1"/>
  <c r="K489" i="16"/>
  <c r="J489" i="16"/>
  <c r="I489" i="16"/>
  <c r="H489" i="16"/>
  <c r="G489" i="16"/>
  <c r="F489" i="16"/>
  <c r="E489" i="16"/>
  <c r="A489" i="16"/>
  <c r="GE489" i="16" s="1"/>
  <c r="K488" i="16"/>
  <c r="J488" i="16"/>
  <c r="I488" i="16"/>
  <c r="H488" i="16"/>
  <c r="G488" i="16"/>
  <c r="F488" i="16"/>
  <c r="E488" i="16"/>
  <c r="A488" i="16"/>
  <c r="GE488" i="16" s="1"/>
  <c r="K487" i="16"/>
  <c r="J487" i="16"/>
  <c r="I487" i="16"/>
  <c r="H487" i="16"/>
  <c r="G487" i="16"/>
  <c r="F487" i="16"/>
  <c r="E487" i="16"/>
  <c r="A487" i="16"/>
  <c r="GE487" i="16" s="1"/>
  <c r="K486" i="16"/>
  <c r="J486" i="16"/>
  <c r="I486" i="16"/>
  <c r="H486" i="16"/>
  <c r="G486" i="16"/>
  <c r="F486" i="16"/>
  <c r="E486" i="16"/>
  <c r="A486" i="16"/>
  <c r="GE486" i="16" s="1"/>
  <c r="K485" i="16"/>
  <c r="J485" i="16"/>
  <c r="I485" i="16"/>
  <c r="H485" i="16"/>
  <c r="G485" i="16"/>
  <c r="F485" i="16"/>
  <c r="E485" i="16"/>
  <c r="A485" i="16"/>
  <c r="GE485" i="16" s="1"/>
  <c r="K484" i="16"/>
  <c r="J484" i="16"/>
  <c r="I484" i="16"/>
  <c r="H484" i="16"/>
  <c r="G484" i="16"/>
  <c r="F484" i="16"/>
  <c r="E484" i="16"/>
  <c r="A484" i="16"/>
  <c r="GE484" i="16" s="1"/>
  <c r="K483" i="16"/>
  <c r="J483" i="16"/>
  <c r="I483" i="16"/>
  <c r="H483" i="16"/>
  <c r="G483" i="16"/>
  <c r="F483" i="16"/>
  <c r="E483" i="16"/>
  <c r="A483" i="16"/>
  <c r="GE483" i="16" s="1"/>
  <c r="K482" i="16"/>
  <c r="J482" i="16"/>
  <c r="I482" i="16"/>
  <c r="H482" i="16"/>
  <c r="G482" i="16"/>
  <c r="F482" i="16"/>
  <c r="E482" i="16"/>
  <c r="A482" i="16"/>
  <c r="GE482" i="16" s="1"/>
  <c r="K481" i="16"/>
  <c r="J481" i="16"/>
  <c r="I481" i="16"/>
  <c r="H481" i="16"/>
  <c r="G481" i="16"/>
  <c r="F481" i="16"/>
  <c r="E481" i="16"/>
  <c r="A481" i="16"/>
  <c r="GE481" i="16" s="1"/>
  <c r="K480" i="16"/>
  <c r="J480" i="16"/>
  <c r="I480" i="16"/>
  <c r="H480" i="16"/>
  <c r="G480" i="16"/>
  <c r="F480" i="16"/>
  <c r="E480" i="16"/>
  <c r="A480" i="16"/>
  <c r="GE480" i="16" s="1"/>
  <c r="K479" i="16"/>
  <c r="J479" i="16"/>
  <c r="I479" i="16"/>
  <c r="H479" i="16"/>
  <c r="G479" i="16"/>
  <c r="F479" i="16"/>
  <c r="E479" i="16"/>
  <c r="A479" i="16"/>
  <c r="GE479" i="16" s="1"/>
  <c r="K478" i="16"/>
  <c r="J478" i="16"/>
  <c r="I478" i="16"/>
  <c r="H478" i="16"/>
  <c r="G478" i="16"/>
  <c r="F478" i="16"/>
  <c r="E478" i="16"/>
  <c r="A478" i="16"/>
  <c r="GE478" i="16" s="1"/>
  <c r="K477" i="16"/>
  <c r="J477" i="16"/>
  <c r="I477" i="16"/>
  <c r="H477" i="16"/>
  <c r="G477" i="16"/>
  <c r="F477" i="16"/>
  <c r="E477" i="16"/>
  <c r="A477" i="16"/>
  <c r="GE477" i="16" s="1"/>
  <c r="K476" i="16"/>
  <c r="J476" i="16"/>
  <c r="I476" i="16"/>
  <c r="H476" i="16"/>
  <c r="G476" i="16"/>
  <c r="F476" i="16"/>
  <c r="E476" i="16"/>
  <c r="A476" i="16"/>
  <c r="GE476" i="16" s="1"/>
  <c r="K475" i="16"/>
  <c r="J475" i="16"/>
  <c r="I475" i="16"/>
  <c r="H475" i="16"/>
  <c r="G475" i="16"/>
  <c r="F475" i="16"/>
  <c r="E475" i="16"/>
  <c r="A475" i="16"/>
  <c r="GE475" i="16" s="1"/>
  <c r="K474" i="16"/>
  <c r="J474" i="16"/>
  <c r="I474" i="16"/>
  <c r="H474" i="16"/>
  <c r="G474" i="16"/>
  <c r="F474" i="16"/>
  <c r="E474" i="16"/>
  <c r="A474" i="16"/>
  <c r="GE474" i="16" s="1"/>
  <c r="K473" i="16"/>
  <c r="J473" i="16"/>
  <c r="I473" i="16"/>
  <c r="H473" i="16"/>
  <c r="G473" i="16"/>
  <c r="F473" i="16"/>
  <c r="E473" i="16"/>
  <c r="A473" i="16"/>
  <c r="GE473" i="16" s="1"/>
  <c r="K472" i="16"/>
  <c r="J472" i="16"/>
  <c r="I472" i="16"/>
  <c r="H472" i="16"/>
  <c r="G472" i="16"/>
  <c r="F472" i="16"/>
  <c r="E472" i="16"/>
  <c r="A472" i="16"/>
  <c r="GE472" i="16" s="1"/>
  <c r="K471" i="16"/>
  <c r="J471" i="16"/>
  <c r="I471" i="16"/>
  <c r="H471" i="16"/>
  <c r="G471" i="16"/>
  <c r="F471" i="16"/>
  <c r="E471" i="16"/>
  <c r="A471" i="16"/>
  <c r="GE471" i="16" s="1"/>
  <c r="K470" i="16"/>
  <c r="J470" i="16"/>
  <c r="I470" i="16"/>
  <c r="H470" i="16"/>
  <c r="G470" i="16"/>
  <c r="F470" i="16"/>
  <c r="E470" i="16"/>
  <c r="A470" i="16"/>
  <c r="GE470" i="16" s="1"/>
  <c r="K469" i="16"/>
  <c r="J469" i="16"/>
  <c r="I469" i="16"/>
  <c r="H469" i="16"/>
  <c r="G469" i="16"/>
  <c r="F469" i="16"/>
  <c r="E469" i="16"/>
  <c r="A469" i="16"/>
  <c r="GE469" i="16" s="1"/>
  <c r="K468" i="16"/>
  <c r="J468" i="16"/>
  <c r="I468" i="16"/>
  <c r="H468" i="16"/>
  <c r="G468" i="16"/>
  <c r="F468" i="16"/>
  <c r="E468" i="16"/>
  <c r="A468" i="16"/>
  <c r="GE468" i="16" s="1"/>
  <c r="K467" i="16"/>
  <c r="J467" i="16"/>
  <c r="I467" i="16"/>
  <c r="H467" i="16"/>
  <c r="G467" i="16"/>
  <c r="F467" i="16"/>
  <c r="E467" i="16"/>
  <c r="A467" i="16"/>
  <c r="GE467" i="16" s="1"/>
  <c r="K466" i="16"/>
  <c r="J466" i="16"/>
  <c r="I466" i="16"/>
  <c r="H466" i="16"/>
  <c r="G466" i="16"/>
  <c r="F466" i="16"/>
  <c r="E466" i="16"/>
  <c r="A466" i="16"/>
  <c r="GE466" i="16" s="1"/>
  <c r="K465" i="16"/>
  <c r="J465" i="16"/>
  <c r="I465" i="16"/>
  <c r="H465" i="16"/>
  <c r="G465" i="16"/>
  <c r="F465" i="16"/>
  <c r="E465" i="16"/>
  <c r="A465" i="16"/>
  <c r="GE465" i="16" s="1"/>
  <c r="K464" i="16"/>
  <c r="J464" i="16"/>
  <c r="I464" i="16"/>
  <c r="H464" i="16"/>
  <c r="G464" i="16"/>
  <c r="F464" i="16"/>
  <c r="E464" i="16"/>
  <c r="A464" i="16"/>
  <c r="GE464" i="16" s="1"/>
  <c r="K463" i="16"/>
  <c r="J463" i="16"/>
  <c r="I463" i="16"/>
  <c r="H463" i="16"/>
  <c r="G463" i="16"/>
  <c r="F463" i="16"/>
  <c r="E463" i="16"/>
  <c r="A463" i="16"/>
  <c r="GE463" i="16" s="1"/>
  <c r="K462" i="16"/>
  <c r="J462" i="16"/>
  <c r="I462" i="16"/>
  <c r="H462" i="16"/>
  <c r="G462" i="16"/>
  <c r="F462" i="16"/>
  <c r="E462" i="16"/>
  <c r="A462" i="16"/>
  <c r="GE462" i="16" s="1"/>
  <c r="K461" i="16"/>
  <c r="J461" i="16"/>
  <c r="I461" i="16"/>
  <c r="H461" i="16"/>
  <c r="G461" i="16"/>
  <c r="F461" i="16"/>
  <c r="E461" i="16"/>
  <c r="A461" i="16"/>
  <c r="GE461" i="16" s="1"/>
  <c r="K460" i="16"/>
  <c r="J460" i="16"/>
  <c r="I460" i="16"/>
  <c r="H460" i="16"/>
  <c r="G460" i="16"/>
  <c r="F460" i="16"/>
  <c r="E460" i="16"/>
  <c r="A460" i="16"/>
  <c r="GE460" i="16" s="1"/>
  <c r="K459" i="16"/>
  <c r="J459" i="16"/>
  <c r="I459" i="16"/>
  <c r="H459" i="16"/>
  <c r="G459" i="16"/>
  <c r="F459" i="16"/>
  <c r="E459" i="16"/>
  <c r="A459" i="16"/>
  <c r="GE459" i="16" s="1"/>
  <c r="K458" i="16"/>
  <c r="J458" i="16"/>
  <c r="I458" i="16"/>
  <c r="H458" i="16"/>
  <c r="G458" i="16"/>
  <c r="F458" i="16"/>
  <c r="E458" i="16"/>
  <c r="A458" i="16"/>
  <c r="GE458" i="16" s="1"/>
  <c r="K457" i="16"/>
  <c r="J457" i="16"/>
  <c r="I457" i="16"/>
  <c r="H457" i="16"/>
  <c r="G457" i="16"/>
  <c r="F457" i="16"/>
  <c r="E457" i="16"/>
  <c r="A457" i="16"/>
  <c r="GE457" i="16" s="1"/>
  <c r="K456" i="16"/>
  <c r="J456" i="16"/>
  <c r="I456" i="16"/>
  <c r="H456" i="16"/>
  <c r="G456" i="16"/>
  <c r="F456" i="16"/>
  <c r="E456" i="16"/>
  <c r="A456" i="16"/>
  <c r="GE456" i="16" s="1"/>
  <c r="K455" i="16"/>
  <c r="J455" i="16"/>
  <c r="I455" i="16"/>
  <c r="H455" i="16"/>
  <c r="G455" i="16"/>
  <c r="F455" i="16"/>
  <c r="E455" i="16"/>
  <c r="A455" i="16"/>
  <c r="GE455" i="16" s="1"/>
  <c r="K454" i="16"/>
  <c r="J454" i="16"/>
  <c r="I454" i="16"/>
  <c r="H454" i="16"/>
  <c r="G454" i="16"/>
  <c r="F454" i="16"/>
  <c r="E454" i="16"/>
  <c r="A454" i="16"/>
  <c r="GE454" i="16" s="1"/>
  <c r="K453" i="16"/>
  <c r="J453" i="16"/>
  <c r="I453" i="16"/>
  <c r="H453" i="16"/>
  <c r="G453" i="16"/>
  <c r="F453" i="16"/>
  <c r="E453" i="16"/>
  <c r="A453" i="16"/>
  <c r="GE453" i="16" s="1"/>
  <c r="K452" i="16"/>
  <c r="J452" i="16"/>
  <c r="I452" i="16"/>
  <c r="H452" i="16"/>
  <c r="G452" i="16"/>
  <c r="F452" i="16"/>
  <c r="E452" i="16"/>
  <c r="A452" i="16"/>
  <c r="GE452" i="16" s="1"/>
  <c r="K451" i="16"/>
  <c r="J451" i="16"/>
  <c r="I451" i="16"/>
  <c r="H451" i="16"/>
  <c r="G451" i="16"/>
  <c r="F451" i="16"/>
  <c r="E451" i="16"/>
  <c r="A451" i="16"/>
  <c r="GE451" i="16" s="1"/>
  <c r="K450" i="16"/>
  <c r="J450" i="16"/>
  <c r="I450" i="16"/>
  <c r="H450" i="16"/>
  <c r="G450" i="16"/>
  <c r="F450" i="16"/>
  <c r="E450" i="16"/>
  <c r="A450" i="16"/>
  <c r="GE450" i="16" s="1"/>
  <c r="K449" i="16"/>
  <c r="J449" i="16"/>
  <c r="I449" i="16"/>
  <c r="H449" i="16"/>
  <c r="G449" i="16"/>
  <c r="F449" i="16"/>
  <c r="E449" i="16"/>
  <c r="A449" i="16"/>
  <c r="GE449" i="16" s="1"/>
  <c r="K448" i="16"/>
  <c r="J448" i="16"/>
  <c r="I448" i="16"/>
  <c r="H448" i="16"/>
  <c r="G448" i="16"/>
  <c r="F448" i="16"/>
  <c r="E448" i="16"/>
  <c r="A448" i="16"/>
  <c r="GE448" i="16" s="1"/>
  <c r="K447" i="16"/>
  <c r="J447" i="16"/>
  <c r="I447" i="16"/>
  <c r="H447" i="16"/>
  <c r="G447" i="16"/>
  <c r="F447" i="16"/>
  <c r="E447" i="16"/>
  <c r="A447" i="16"/>
  <c r="GE447" i="16" s="1"/>
  <c r="K446" i="16"/>
  <c r="J446" i="16"/>
  <c r="I446" i="16"/>
  <c r="H446" i="16"/>
  <c r="G446" i="16"/>
  <c r="F446" i="16"/>
  <c r="E446" i="16"/>
  <c r="A446" i="16"/>
  <c r="GE446" i="16" s="1"/>
  <c r="K445" i="16"/>
  <c r="J445" i="16"/>
  <c r="I445" i="16"/>
  <c r="H445" i="16"/>
  <c r="G445" i="16"/>
  <c r="F445" i="16"/>
  <c r="E445" i="16"/>
  <c r="A445" i="16"/>
  <c r="GE445" i="16" s="1"/>
  <c r="K444" i="16"/>
  <c r="J444" i="16"/>
  <c r="I444" i="16"/>
  <c r="H444" i="16"/>
  <c r="G444" i="16"/>
  <c r="F444" i="16"/>
  <c r="E444" i="16"/>
  <c r="A444" i="16"/>
  <c r="GE444" i="16" s="1"/>
  <c r="K443" i="16"/>
  <c r="J443" i="16"/>
  <c r="I443" i="16"/>
  <c r="H443" i="16"/>
  <c r="G443" i="16"/>
  <c r="F443" i="16"/>
  <c r="E443" i="16"/>
  <c r="A443" i="16"/>
  <c r="GE443" i="16" s="1"/>
  <c r="K442" i="16"/>
  <c r="J442" i="16"/>
  <c r="I442" i="16"/>
  <c r="H442" i="16"/>
  <c r="G442" i="16"/>
  <c r="F442" i="16"/>
  <c r="E442" i="16"/>
  <c r="A442" i="16"/>
  <c r="GE442" i="16" s="1"/>
  <c r="K441" i="16"/>
  <c r="J441" i="16"/>
  <c r="I441" i="16"/>
  <c r="H441" i="16"/>
  <c r="G441" i="16"/>
  <c r="F441" i="16"/>
  <c r="E441" i="16"/>
  <c r="A441" i="16"/>
  <c r="GE441" i="16" s="1"/>
  <c r="K440" i="16"/>
  <c r="J440" i="16"/>
  <c r="I440" i="16"/>
  <c r="H440" i="16"/>
  <c r="G440" i="16"/>
  <c r="F440" i="16"/>
  <c r="E440" i="16"/>
  <c r="A440" i="16"/>
  <c r="GE440" i="16" s="1"/>
  <c r="K439" i="16"/>
  <c r="J439" i="16"/>
  <c r="I439" i="16"/>
  <c r="H439" i="16"/>
  <c r="G439" i="16"/>
  <c r="F439" i="16"/>
  <c r="E439" i="16"/>
  <c r="A439" i="16"/>
  <c r="GE439" i="16" s="1"/>
  <c r="K438" i="16"/>
  <c r="J438" i="16"/>
  <c r="I438" i="16"/>
  <c r="H438" i="16"/>
  <c r="G438" i="16"/>
  <c r="F438" i="16"/>
  <c r="E438" i="16"/>
  <c r="A438" i="16"/>
  <c r="GE438" i="16" s="1"/>
  <c r="K437" i="16"/>
  <c r="J437" i="16"/>
  <c r="I437" i="16"/>
  <c r="H437" i="16"/>
  <c r="G437" i="16"/>
  <c r="F437" i="16"/>
  <c r="E437" i="16"/>
  <c r="A437" i="16"/>
  <c r="GE437" i="16" s="1"/>
  <c r="K436" i="16"/>
  <c r="J436" i="16"/>
  <c r="I436" i="16"/>
  <c r="H436" i="16"/>
  <c r="G436" i="16"/>
  <c r="F436" i="16"/>
  <c r="E436" i="16"/>
  <c r="A436" i="16"/>
  <c r="GE436" i="16" s="1"/>
  <c r="K435" i="16"/>
  <c r="J435" i="16"/>
  <c r="I435" i="16"/>
  <c r="H435" i="16"/>
  <c r="G435" i="16"/>
  <c r="F435" i="16"/>
  <c r="E435" i="16"/>
  <c r="A435" i="16"/>
  <c r="GE435" i="16" s="1"/>
  <c r="K434" i="16"/>
  <c r="J434" i="16"/>
  <c r="I434" i="16"/>
  <c r="H434" i="16"/>
  <c r="G434" i="16"/>
  <c r="F434" i="16"/>
  <c r="E434" i="16"/>
  <c r="A434" i="16"/>
  <c r="GE434" i="16" s="1"/>
  <c r="K433" i="16"/>
  <c r="J433" i="16"/>
  <c r="I433" i="16"/>
  <c r="H433" i="16"/>
  <c r="G433" i="16"/>
  <c r="F433" i="16"/>
  <c r="E433" i="16"/>
  <c r="A433" i="16"/>
  <c r="GE433" i="16" s="1"/>
  <c r="K432" i="16"/>
  <c r="J432" i="16"/>
  <c r="I432" i="16"/>
  <c r="H432" i="16"/>
  <c r="G432" i="16"/>
  <c r="F432" i="16"/>
  <c r="E432" i="16"/>
  <c r="A432" i="16"/>
  <c r="GE432" i="16" s="1"/>
  <c r="K431" i="16"/>
  <c r="J431" i="16"/>
  <c r="I431" i="16"/>
  <c r="H431" i="16"/>
  <c r="G431" i="16"/>
  <c r="F431" i="16"/>
  <c r="E431" i="16"/>
  <c r="A431" i="16"/>
  <c r="GE431" i="16" s="1"/>
  <c r="K430" i="16"/>
  <c r="J430" i="16"/>
  <c r="I430" i="16"/>
  <c r="H430" i="16"/>
  <c r="G430" i="16"/>
  <c r="F430" i="16"/>
  <c r="E430" i="16"/>
  <c r="A430" i="16"/>
  <c r="GE430" i="16" s="1"/>
  <c r="K429" i="16"/>
  <c r="J429" i="16"/>
  <c r="I429" i="16"/>
  <c r="H429" i="16"/>
  <c r="G429" i="16"/>
  <c r="F429" i="16"/>
  <c r="E429" i="16"/>
  <c r="A429" i="16"/>
  <c r="GE429" i="16" s="1"/>
  <c r="K428" i="16"/>
  <c r="J428" i="16"/>
  <c r="I428" i="16"/>
  <c r="H428" i="16"/>
  <c r="G428" i="16"/>
  <c r="F428" i="16"/>
  <c r="E428" i="16"/>
  <c r="A428" i="16"/>
  <c r="GE428" i="16" s="1"/>
  <c r="K427" i="16"/>
  <c r="J427" i="16"/>
  <c r="I427" i="16"/>
  <c r="H427" i="16"/>
  <c r="G427" i="16"/>
  <c r="F427" i="16"/>
  <c r="E427" i="16"/>
  <c r="A427" i="16"/>
  <c r="GE427" i="16" s="1"/>
  <c r="K426" i="16"/>
  <c r="J426" i="16"/>
  <c r="I426" i="16"/>
  <c r="H426" i="16"/>
  <c r="G426" i="16"/>
  <c r="F426" i="16"/>
  <c r="E426" i="16"/>
  <c r="A426" i="16"/>
  <c r="GE426" i="16" s="1"/>
  <c r="K425" i="16"/>
  <c r="J425" i="16"/>
  <c r="I425" i="16"/>
  <c r="H425" i="16"/>
  <c r="G425" i="16"/>
  <c r="F425" i="16"/>
  <c r="E425" i="16"/>
  <c r="A425" i="16"/>
  <c r="GE425" i="16" s="1"/>
  <c r="K424" i="16"/>
  <c r="J424" i="16"/>
  <c r="I424" i="16"/>
  <c r="H424" i="16"/>
  <c r="G424" i="16"/>
  <c r="F424" i="16"/>
  <c r="E424" i="16"/>
  <c r="A424" i="16"/>
  <c r="GE424" i="16" s="1"/>
  <c r="K423" i="16"/>
  <c r="J423" i="16"/>
  <c r="I423" i="16"/>
  <c r="H423" i="16"/>
  <c r="G423" i="16"/>
  <c r="F423" i="16"/>
  <c r="E423" i="16"/>
  <c r="A423" i="16"/>
  <c r="GE423" i="16" s="1"/>
  <c r="K422" i="16"/>
  <c r="J422" i="16"/>
  <c r="I422" i="16"/>
  <c r="H422" i="16"/>
  <c r="G422" i="16"/>
  <c r="F422" i="16"/>
  <c r="E422" i="16"/>
  <c r="A422" i="16"/>
  <c r="GE422" i="16" s="1"/>
  <c r="K421" i="16"/>
  <c r="J421" i="16"/>
  <c r="I421" i="16"/>
  <c r="H421" i="16"/>
  <c r="G421" i="16"/>
  <c r="F421" i="16"/>
  <c r="E421" i="16"/>
  <c r="A421" i="16"/>
  <c r="GE421" i="16" s="1"/>
  <c r="K420" i="16"/>
  <c r="J420" i="16"/>
  <c r="I420" i="16"/>
  <c r="H420" i="16"/>
  <c r="G420" i="16"/>
  <c r="F420" i="16"/>
  <c r="E420" i="16"/>
  <c r="A420" i="16"/>
  <c r="GE420" i="16" s="1"/>
  <c r="K419" i="16"/>
  <c r="J419" i="16"/>
  <c r="I419" i="16"/>
  <c r="H419" i="16"/>
  <c r="G419" i="16"/>
  <c r="F419" i="16"/>
  <c r="E419" i="16"/>
  <c r="A419" i="16"/>
  <c r="GE419" i="16" s="1"/>
  <c r="K418" i="16"/>
  <c r="J418" i="16"/>
  <c r="I418" i="16"/>
  <c r="H418" i="16"/>
  <c r="G418" i="16"/>
  <c r="F418" i="16"/>
  <c r="E418" i="16"/>
  <c r="A418" i="16"/>
  <c r="GE418" i="16" s="1"/>
  <c r="K417" i="16"/>
  <c r="J417" i="16"/>
  <c r="I417" i="16"/>
  <c r="H417" i="16"/>
  <c r="G417" i="16"/>
  <c r="F417" i="16"/>
  <c r="E417" i="16"/>
  <c r="A417" i="16"/>
  <c r="GE417" i="16" s="1"/>
  <c r="K416" i="16"/>
  <c r="J416" i="16"/>
  <c r="I416" i="16"/>
  <c r="H416" i="16"/>
  <c r="G416" i="16"/>
  <c r="F416" i="16"/>
  <c r="E416" i="16"/>
  <c r="A416" i="16"/>
  <c r="GE416" i="16" s="1"/>
  <c r="K415" i="16"/>
  <c r="J415" i="16"/>
  <c r="I415" i="16"/>
  <c r="H415" i="16"/>
  <c r="G415" i="16"/>
  <c r="F415" i="16"/>
  <c r="E415" i="16"/>
  <c r="A415" i="16"/>
  <c r="GE415" i="16" s="1"/>
  <c r="K414" i="16"/>
  <c r="J414" i="16"/>
  <c r="I414" i="16"/>
  <c r="H414" i="16"/>
  <c r="G414" i="16"/>
  <c r="F414" i="16"/>
  <c r="E414" i="16"/>
  <c r="A414" i="16"/>
  <c r="GE414" i="16" s="1"/>
  <c r="K413" i="16"/>
  <c r="J413" i="16"/>
  <c r="I413" i="16"/>
  <c r="H413" i="16"/>
  <c r="G413" i="16"/>
  <c r="F413" i="16"/>
  <c r="E413" i="16"/>
  <c r="A413" i="16"/>
  <c r="GE413" i="16" s="1"/>
  <c r="K412" i="16"/>
  <c r="J412" i="16"/>
  <c r="I412" i="16"/>
  <c r="H412" i="16"/>
  <c r="G412" i="16"/>
  <c r="F412" i="16"/>
  <c r="E412" i="16"/>
  <c r="A412" i="16"/>
  <c r="GE412" i="16" s="1"/>
  <c r="K411" i="16"/>
  <c r="J411" i="16"/>
  <c r="I411" i="16"/>
  <c r="H411" i="16"/>
  <c r="G411" i="16"/>
  <c r="F411" i="16"/>
  <c r="E411" i="16"/>
  <c r="A411" i="16"/>
  <c r="GE411" i="16" s="1"/>
  <c r="K410" i="16"/>
  <c r="J410" i="16"/>
  <c r="I410" i="16"/>
  <c r="H410" i="16"/>
  <c r="G410" i="16"/>
  <c r="F410" i="16"/>
  <c r="E410" i="16"/>
  <c r="A410" i="16"/>
  <c r="GE410" i="16" s="1"/>
  <c r="K409" i="16"/>
  <c r="J409" i="16"/>
  <c r="I409" i="16"/>
  <c r="H409" i="16"/>
  <c r="G409" i="16"/>
  <c r="F409" i="16"/>
  <c r="E409" i="16"/>
  <c r="A409" i="16"/>
  <c r="GE409" i="16" s="1"/>
  <c r="K408" i="16"/>
  <c r="J408" i="16"/>
  <c r="I408" i="16"/>
  <c r="H408" i="16"/>
  <c r="G408" i="16"/>
  <c r="F408" i="16"/>
  <c r="E408" i="16"/>
  <c r="A408" i="16"/>
  <c r="GE408" i="16" s="1"/>
  <c r="K407" i="16"/>
  <c r="J407" i="16"/>
  <c r="I407" i="16"/>
  <c r="H407" i="16"/>
  <c r="G407" i="16"/>
  <c r="F407" i="16"/>
  <c r="E407" i="16"/>
  <c r="A407" i="16"/>
  <c r="GE407" i="16" s="1"/>
  <c r="K406" i="16"/>
  <c r="J406" i="16"/>
  <c r="I406" i="16"/>
  <c r="H406" i="16"/>
  <c r="G406" i="16"/>
  <c r="F406" i="16"/>
  <c r="E406" i="16"/>
  <c r="A406" i="16"/>
  <c r="GE406" i="16" s="1"/>
  <c r="K405" i="16"/>
  <c r="J405" i="16"/>
  <c r="I405" i="16"/>
  <c r="H405" i="16"/>
  <c r="G405" i="16"/>
  <c r="F405" i="16"/>
  <c r="E405" i="16"/>
  <c r="A405" i="16"/>
  <c r="GE405" i="16" s="1"/>
  <c r="K404" i="16"/>
  <c r="J404" i="16"/>
  <c r="I404" i="16"/>
  <c r="H404" i="16"/>
  <c r="G404" i="16"/>
  <c r="F404" i="16"/>
  <c r="E404" i="16"/>
  <c r="A404" i="16"/>
  <c r="GE404" i="16" s="1"/>
  <c r="K403" i="16"/>
  <c r="J403" i="16"/>
  <c r="I403" i="16"/>
  <c r="H403" i="16"/>
  <c r="G403" i="16"/>
  <c r="F403" i="16"/>
  <c r="E403" i="16"/>
  <c r="A403" i="16"/>
  <c r="GE403" i="16" s="1"/>
  <c r="K402" i="16"/>
  <c r="J402" i="16"/>
  <c r="I402" i="16"/>
  <c r="H402" i="16"/>
  <c r="G402" i="16"/>
  <c r="F402" i="16"/>
  <c r="E402" i="16"/>
  <c r="A402" i="16"/>
  <c r="GE402" i="16" s="1"/>
  <c r="K401" i="16"/>
  <c r="J401" i="16"/>
  <c r="I401" i="16"/>
  <c r="H401" i="16"/>
  <c r="G401" i="16"/>
  <c r="F401" i="16"/>
  <c r="E401" i="16"/>
  <c r="A401" i="16"/>
  <c r="GE401" i="16" s="1"/>
  <c r="K400" i="16"/>
  <c r="J400" i="16"/>
  <c r="I400" i="16"/>
  <c r="H400" i="16"/>
  <c r="G400" i="16"/>
  <c r="F400" i="16"/>
  <c r="E400" i="16"/>
  <c r="A400" i="16"/>
  <c r="GE400" i="16" s="1"/>
  <c r="K399" i="16"/>
  <c r="J399" i="16"/>
  <c r="I399" i="16"/>
  <c r="H399" i="16"/>
  <c r="G399" i="16"/>
  <c r="F399" i="16"/>
  <c r="E399" i="16"/>
  <c r="A399" i="16"/>
  <c r="GE399" i="16" s="1"/>
  <c r="K398" i="16"/>
  <c r="J398" i="16"/>
  <c r="I398" i="16"/>
  <c r="H398" i="16"/>
  <c r="G398" i="16"/>
  <c r="F398" i="16"/>
  <c r="E398" i="16"/>
  <c r="A398" i="16"/>
  <c r="GE398" i="16" s="1"/>
  <c r="K397" i="16"/>
  <c r="J397" i="16"/>
  <c r="I397" i="16"/>
  <c r="H397" i="16"/>
  <c r="G397" i="16"/>
  <c r="F397" i="16"/>
  <c r="E397" i="16"/>
  <c r="A397" i="16"/>
  <c r="GE397" i="16" s="1"/>
  <c r="K396" i="16"/>
  <c r="J396" i="16"/>
  <c r="I396" i="16"/>
  <c r="H396" i="16"/>
  <c r="G396" i="16"/>
  <c r="F396" i="16"/>
  <c r="E396" i="16"/>
  <c r="A396" i="16"/>
  <c r="GE396" i="16" s="1"/>
  <c r="K395" i="16"/>
  <c r="J395" i="16"/>
  <c r="I395" i="16"/>
  <c r="H395" i="16"/>
  <c r="G395" i="16"/>
  <c r="F395" i="16"/>
  <c r="E395" i="16"/>
  <c r="A395" i="16"/>
  <c r="GE395" i="16" s="1"/>
  <c r="K394" i="16"/>
  <c r="J394" i="16"/>
  <c r="I394" i="16"/>
  <c r="H394" i="16"/>
  <c r="G394" i="16"/>
  <c r="F394" i="16"/>
  <c r="E394" i="16"/>
  <c r="A394" i="16"/>
  <c r="GE394" i="16" s="1"/>
  <c r="K393" i="16"/>
  <c r="J393" i="16"/>
  <c r="I393" i="16"/>
  <c r="H393" i="16"/>
  <c r="G393" i="16"/>
  <c r="F393" i="16"/>
  <c r="E393" i="16"/>
  <c r="A393" i="16"/>
  <c r="GE393" i="16" s="1"/>
  <c r="K392" i="16"/>
  <c r="J392" i="16"/>
  <c r="I392" i="16"/>
  <c r="H392" i="16"/>
  <c r="G392" i="16"/>
  <c r="F392" i="16"/>
  <c r="E392" i="16"/>
  <c r="A392" i="16"/>
  <c r="GE392" i="16" s="1"/>
  <c r="K391" i="16"/>
  <c r="J391" i="16"/>
  <c r="I391" i="16"/>
  <c r="H391" i="16"/>
  <c r="G391" i="16"/>
  <c r="F391" i="16"/>
  <c r="E391" i="16"/>
  <c r="A391" i="16"/>
  <c r="GE391" i="16" s="1"/>
  <c r="K390" i="16"/>
  <c r="J390" i="16"/>
  <c r="I390" i="16"/>
  <c r="H390" i="16"/>
  <c r="G390" i="16"/>
  <c r="F390" i="16"/>
  <c r="E390" i="16"/>
  <c r="A390" i="16"/>
  <c r="GE390" i="16" s="1"/>
  <c r="K389" i="16"/>
  <c r="J389" i="16"/>
  <c r="I389" i="16"/>
  <c r="H389" i="16"/>
  <c r="G389" i="16"/>
  <c r="F389" i="16"/>
  <c r="E389" i="16"/>
  <c r="A389" i="16"/>
  <c r="GE389" i="16" s="1"/>
  <c r="K388" i="16"/>
  <c r="J388" i="16"/>
  <c r="I388" i="16"/>
  <c r="H388" i="16"/>
  <c r="G388" i="16"/>
  <c r="F388" i="16"/>
  <c r="E388" i="16"/>
  <c r="A388" i="16"/>
  <c r="GE388" i="16" s="1"/>
  <c r="K387" i="16"/>
  <c r="J387" i="16"/>
  <c r="I387" i="16"/>
  <c r="H387" i="16"/>
  <c r="G387" i="16"/>
  <c r="F387" i="16"/>
  <c r="E387" i="16"/>
  <c r="A387" i="16"/>
  <c r="GE387" i="16" s="1"/>
  <c r="K386" i="16"/>
  <c r="J386" i="16"/>
  <c r="I386" i="16"/>
  <c r="H386" i="16"/>
  <c r="G386" i="16"/>
  <c r="F386" i="16"/>
  <c r="E386" i="16"/>
  <c r="A386" i="16"/>
  <c r="GE386" i="16" s="1"/>
  <c r="K385" i="16"/>
  <c r="J385" i="16"/>
  <c r="I385" i="16"/>
  <c r="H385" i="16"/>
  <c r="G385" i="16"/>
  <c r="F385" i="16"/>
  <c r="E385" i="16"/>
  <c r="A385" i="16"/>
  <c r="GE385" i="16" s="1"/>
  <c r="K384" i="16"/>
  <c r="J384" i="16"/>
  <c r="I384" i="16"/>
  <c r="H384" i="16"/>
  <c r="G384" i="16"/>
  <c r="F384" i="16"/>
  <c r="E384" i="16"/>
  <c r="A384" i="16"/>
  <c r="GE384" i="16" s="1"/>
  <c r="K383" i="16"/>
  <c r="J383" i="16"/>
  <c r="I383" i="16"/>
  <c r="H383" i="16"/>
  <c r="G383" i="16"/>
  <c r="F383" i="16"/>
  <c r="E383" i="16"/>
  <c r="A383" i="16"/>
  <c r="GE383" i="16" s="1"/>
  <c r="K382" i="16"/>
  <c r="J382" i="16"/>
  <c r="I382" i="16"/>
  <c r="H382" i="16"/>
  <c r="G382" i="16"/>
  <c r="F382" i="16"/>
  <c r="E382" i="16"/>
  <c r="A382" i="16"/>
  <c r="GE382" i="16" s="1"/>
  <c r="K381" i="16"/>
  <c r="J381" i="16"/>
  <c r="I381" i="16"/>
  <c r="H381" i="16"/>
  <c r="G381" i="16"/>
  <c r="F381" i="16"/>
  <c r="E381" i="16"/>
  <c r="A381" i="16"/>
  <c r="GE381" i="16" s="1"/>
  <c r="K380" i="16"/>
  <c r="J380" i="16"/>
  <c r="I380" i="16"/>
  <c r="H380" i="16"/>
  <c r="G380" i="16"/>
  <c r="F380" i="16"/>
  <c r="E380" i="16"/>
  <c r="A380" i="16"/>
  <c r="GE380" i="16" s="1"/>
  <c r="K379" i="16"/>
  <c r="J379" i="16"/>
  <c r="I379" i="16"/>
  <c r="H379" i="16"/>
  <c r="G379" i="16"/>
  <c r="F379" i="16"/>
  <c r="E379" i="16"/>
  <c r="A379" i="16"/>
  <c r="GE379" i="16" s="1"/>
  <c r="K378" i="16"/>
  <c r="J378" i="16"/>
  <c r="I378" i="16"/>
  <c r="H378" i="16"/>
  <c r="G378" i="16"/>
  <c r="F378" i="16"/>
  <c r="E378" i="16"/>
  <c r="A378" i="16"/>
  <c r="GE378" i="16" s="1"/>
  <c r="K377" i="16"/>
  <c r="J377" i="16"/>
  <c r="I377" i="16"/>
  <c r="H377" i="16"/>
  <c r="G377" i="16"/>
  <c r="F377" i="16"/>
  <c r="E377" i="16"/>
  <c r="A377" i="16"/>
  <c r="GE377" i="16" s="1"/>
  <c r="K376" i="16"/>
  <c r="J376" i="16"/>
  <c r="I376" i="16"/>
  <c r="H376" i="16"/>
  <c r="G376" i="16"/>
  <c r="F376" i="16"/>
  <c r="E376" i="16"/>
  <c r="A376" i="16"/>
  <c r="GE376" i="16" s="1"/>
  <c r="K375" i="16"/>
  <c r="J375" i="16"/>
  <c r="I375" i="16"/>
  <c r="H375" i="16"/>
  <c r="G375" i="16"/>
  <c r="F375" i="16"/>
  <c r="E375" i="16"/>
  <c r="A375" i="16"/>
  <c r="GE375" i="16" s="1"/>
  <c r="K374" i="16"/>
  <c r="J374" i="16"/>
  <c r="I374" i="16"/>
  <c r="H374" i="16"/>
  <c r="G374" i="16"/>
  <c r="F374" i="16"/>
  <c r="E374" i="16"/>
  <c r="A374" i="16"/>
  <c r="GE374" i="16" s="1"/>
  <c r="K373" i="16"/>
  <c r="J373" i="16"/>
  <c r="I373" i="16"/>
  <c r="H373" i="16"/>
  <c r="G373" i="16"/>
  <c r="F373" i="16"/>
  <c r="E373" i="16"/>
  <c r="A373" i="16"/>
  <c r="GE373" i="16" s="1"/>
  <c r="K372" i="16"/>
  <c r="J372" i="16"/>
  <c r="I372" i="16"/>
  <c r="H372" i="16"/>
  <c r="G372" i="16"/>
  <c r="F372" i="16"/>
  <c r="E372" i="16"/>
  <c r="A372" i="16"/>
  <c r="GE372" i="16" s="1"/>
  <c r="K371" i="16"/>
  <c r="J371" i="16"/>
  <c r="I371" i="16"/>
  <c r="H371" i="16"/>
  <c r="G371" i="16"/>
  <c r="F371" i="16"/>
  <c r="E371" i="16"/>
  <c r="A371" i="16"/>
  <c r="GE371" i="16" s="1"/>
  <c r="K370" i="16"/>
  <c r="J370" i="16"/>
  <c r="I370" i="16"/>
  <c r="H370" i="16"/>
  <c r="G370" i="16"/>
  <c r="F370" i="16"/>
  <c r="E370" i="16"/>
  <c r="A370" i="16"/>
  <c r="GE370" i="16" s="1"/>
  <c r="K369" i="16"/>
  <c r="J369" i="16"/>
  <c r="I369" i="16"/>
  <c r="H369" i="16"/>
  <c r="G369" i="16"/>
  <c r="F369" i="16"/>
  <c r="E369" i="16"/>
  <c r="A369" i="16"/>
  <c r="GE369" i="16" s="1"/>
  <c r="K368" i="16"/>
  <c r="J368" i="16"/>
  <c r="I368" i="16"/>
  <c r="H368" i="16"/>
  <c r="G368" i="16"/>
  <c r="F368" i="16"/>
  <c r="E368" i="16"/>
  <c r="A368" i="16"/>
  <c r="GE368" i="16" s="1"/>
  <c r="K367" i="16"/>
  <c r="J367" i="16"/>
  <c r="I367" i="16"/>
  <c r="H367" i="16"/>
  <c r="G367" i="16"/>
  <c r="F367" i="16"/>
  <c r="E367" i="16"/>
  <c r="A367" i="16"/>
  <c r="GE367" i="16" s="1"/>
  <c r="K366" i="16"/>
  <c r="J366" i="16"/>
  <c r="I366" i="16"/>
  <c r="H366" i="16"/>
  <c r="G366" i="16"/>
  <c r="F366" i="16"/>
  <c r="E366" i="16"/>
  <c r="A366" i="16"/>
  <c r="GE366" i="16" s="1"/>
  <c r="K365" i="16"/>
  <c r="J365" i="16"/>
  <c r="I365" i="16"/>
  <c r="H365" i="16"/>
  <c r="G365" i="16"/>
  <c r="F365" i="16"/>
  <c r="E365" i="16"/>
  <c r="A365" i="16"/>
  <c r="GE365" i="16" s="1"/>
  <c r="K364" i="16"/>
  <c r="J364" i="16"/>
  <c r="I364" i="16"/>
  <c r="H364" i="16"/>
  <c r="G364" i="16"/>
  <c r="F364" i="16"/>
  <c r="E364" i="16"/>
  <c r="A364" i="16"/>
  <c r="GE364" i="16" s="1"/>
  <c r="K363" i="16"/>
  <c r="J363" i="16"/>
  <c r="I363" i="16"/>
  <c r="H363" i="16"/>
  <c r="G363" i="16"/>
  <c r="F363" i="16"/>
  <c r="E363" i="16"/>
  <c r="A363" i="16"/>
  <c r="GE363" i="16" s="1"/>
  <c r="K362" i="16"/>
  <c r="J362" i="16"/>
  <c r="I362" i="16"/>
  <c r="H362" i="16"/>
  <c r="G362" i="16"/>
  <c r="F362" i="16"/>
  <c r="E362" i="16"/>
  <c r="A362" i="16"/>
  <c r="GE362" i="16" s="1"/>
  <c r="K361" i="16"/>
  <c r="J361" i="16"/>
  <c r="I361" i="16"/>
  <c r="H361" i="16"/>
  <c r="G361" i="16"/>
  <c r="F361" i="16"/>
  <c r="E361" i="16"/>
  <c r="A361" i="16"/>
  <c r="GE361" i="16" s="1"/>
  <c r="K360" i="16"/>
  <c r="J360" i="16"/>
  <c r="I360" i="16"/>
  <c r="H360" i="16"/>
  <c r="G360" i="16"/>
  <c r="F360" i="16"/>
  <c r="E360" i="16"/>
  <c r="A360" i="16"/>
  <c r="GE360" i="16" s="1"/>
  <c r="K359" i="16"/>
  <c r="J359" i="16"/>
  <c r="I359" i="16"/>
  <c r="H359" i="16"/>
  <c r="G359" i="16"/>
  <c r="F359" i="16"/>
  <c r="E359" i="16"/>
  <c r="A359" i="16"/>
  <c r="GE359" i="16" s="1"/>
  <c r="K358" i="16"/>
  <c r="J358" i="16"/>
  <c r="I358" i="16"/>
  <c r="H358" i="16"/>
  <c r="G358" i="16"/>
  <c r="F358" i="16"/>
  <c r="E358" i="16"/>
  <c r="A358" i="16"/>
  <c r="GE358" i="16" s="1"/>
  <c r="K357" i="16"/>
  <c r="J357" i="16"/>
  <c r="I357" i="16"/>
  <c r="H357" i="16"/>
  <c r="G357" i="16"/>
  <c r="F357" i="16"/>
  <c r="E357" i="16"/>
  <c r="A357" i="16"/>
  <c r="GE357" i="16" s="1"/>
  <c r="K356" i="16"/>
  <c r="J356" i="16"/>
  <c r="I356" i="16"/>
  <c r="H356" i="16"/>
  <c r="G356" i="16"/>
  <c r="F356" i="16"/>
  <c r="E356" i="16"/>
  <c r="A356" i="16"/>
  <c r="GE356" i="16" s="1"/>
  <c r="K355" i="16"/>
  <c r="J355" i="16"/>
  <c r="I355" i="16"/>
  <c r="H355" i="16"/>
  <c r="G355" i="16"/>
  <c r="F355" i="16"/>
  <c r="E355" i="16"/>
  <c r="A355" i="16"/>
  <c r="GE355" i="16" s="1"/>
  <c r="K354" i="16"/>
  <c r="J354" i="16"/>
  <c r="I354" i="16"/>
  <c r="H354" i="16"/>
  <c r="G354" i="16"/>
  <c r="F354" i="16"/>
  <c r="E354" i="16"/>
  <c r="A354" i="16"/>
  <c r="GE354" i="16" s="1"/>
  <c r="K353" i="16"/>
  <c r="J353" i="16"/>
  <c r="I353" i="16"/>
  <c r="H353" i="16"/>
  <c r="G353" i="16"/>
  <c r="F353" i="16"/>
  <c r="E353" i="16"/>
  <c r="A353" i="16"/>
  <c r="GE353" i="16" s="1"/>
  <c r="K352" i="16"/>
  <c r="J352" i="16"/>
  <c r="I352" i="16"/>
  <c r="H352" i="16"/>
  <c r="G352" i="16"/>
  <c r="F352" i="16"/>
  <c r="E352" i="16"/>
  <c r="A352" i="16"/>
  <c r="GE352" i="16" s="1"/>
  <c r="K351" i="16"/>
  <c r="J351" i="16"/>
  <c r="I351" i="16"/>
  <c r="H351" i="16"/>
  <c r="G351" i="16"/>
  <c r="F351" i="16"/>
  <c r="E351" i="16"/>
  <c r="A351" i="16"/>
  <c r="GE351" i="16" s="1"/>
  <c r="K350" i="16"/>
  <c r="J350" i="16"/>
  <c r="I350" i="16"/>
  <c r="H350" i="16"/>
  <c r="G350" i="16"/>
  <c r="F350" i="16"/>
  <c r="E350" i="16"/>
  <c r="A350" i="16"/>
  <c r="GE350" i="16" s="1"/>
  <c r="K349" i="16"/>
  <c r="J349" i="16"/>
  <c r="I349" i="16"/>
  <c r="H349" i="16"/>
  <c r="G349" i="16"/>
  <c r="F349" i="16"/>
  <c r="E349" i="16"/>
  <c r="A349" i="16"/>
  <c r="GE349" i="16" s="1"/>
  <c r="K348" i="16"/>
  <c r="J348" i="16"/>
  <c r="I348" i="16"/>
  <c r="H348" i="16"/>
  <c r="G348" i="16"/>
  <c r="F348" i="16"/>
  <c r="E348" i="16"/>
  <c r="A348" i="16"/>
  <c r="GE348" i="16" s="1"/>
  <c r="K347" i="16"/>
  <c r="J347" i="16"/>
  <c r="I347" i="16"/>
  <c r="H347" i="16"/>
  <c r="G347" i="16"/>
  <c r="F347" i="16"/>
  <c r="E347" i="16"/>
  <c r="A347" i="16"/>
  <c r="GE347" i="16" s="1"/>
  <c r="K346" i="16"/>
  <c r="J346" i="16"/>
  <c r="I346" i="16"/>
  <c r="H346" i="16"/>
  <c r="G346" i="16"/>
  <c r="F346" i="16"/>
  <c r="E346" i="16"/>
  <c r="A346" i="16"/>
  <c r="GE346" i="16" s="1"/>
  <c r="K345" i="16"/>
  <c r="J345" i="16"/>
  <c r="I345" i="16"/>
  <c r="H345" i="16"/>
  <c r="G345" i="16"/>
  <c r="F345" i="16"/>
  <c r="E345" i="16"/>
  <c r="A345" i="16"/>
  <c r="GE345" i="16" s="1"/>
  <c r="K344" i="16"/>
  <c r="J344" i="16"/>
  <c r="I344" i="16"/>
  <c r="H344" i="16"/>
  <c r="G344" i="16"/>
  <c r="F344" i="16"/>
  <c r="E344" i="16"/>
  <c r="A344" i="16"/>
  <c r="GE344" i="16" s="1"/>
  <c r="K343" i="16"/>
  <c r="J343" i="16"/>
  <c r="I343" i="16"/>
  <c r="H343" i="16"/>
  <c r="G343" i="16"/>
  <c r="F343" i="16"/>
  <c r="E343" i="16"/>
  <c r="A343" i="16"/>
  <c r="GE343" i="16" s="1"/>
  <c r="K342" i="16"/>
  <c r="J342" i="16"/>
  <c r="I342" i="16"/>
  <c r="H342" i="16"/>
  <c r="G342" i="16"/>
  <c r="F342" i="16"/>
  <c r="E342" i="16"/>
  <c r="A342" i="16"/>
  <c r="GE342" i="16" s="1"/>
  <c r="K341" i="16"/>
  <c r="J341" i="16"/>
  <c r="I341" i="16"/>
  <c r="H341" i="16"/>
  <c r="G341" i="16"/>
  <c r="F341" i="16"/>
  <c r="E341" i="16"/>
  <c r="A341" i="16"/>
  <c r="GE341" i="16" s="1"/>
  <c r="K340" i="16"/>
  <c r="J340" i="16"/>
  <c r="I340" i="16"/>
  <c r="H340" i="16"/>
  <c r="G340" i="16"/>
  <c r="F340" i="16"/>
  <c r="E340" i="16"/>
  <c r="A340" i="16"/>
  <c r="GE340" i="16" s="1"/>
  <c r="K339" i="16"/>
  <c r="J339" i="16"/>
  <c r="I339" i="16"/>
  <c r="H339" i="16"/>
  <c r="G339" i="16"/>
  <c r="F339" i="16"/>
  <c r="E339" i="16"/>
  <c r="A339" i="16"/>
  <c r="GE339" i="16" s="1"/>
  <c r="K338" i="16"/>
  <c r="J338" i="16"/>
  <c r="I338" i="16"/>
  <c r="H338" i="16"/>
  <c r="G338" i="16"/>
  <c r="F338" i="16"/>
  <c r="E338" i="16"/>
  <c r="A338" i="16"/>
  <c r="GE338" i="16" s="1"/>
  <c r="K337" i="16"/>
  <c r="J337" i="16"/>
  <c r="I337" i="16"/>
  <c r="H337" i="16"/>
  <c r="G337" i="16"/>
  <c r="F337" i="16"/>
  <c r="E337" i="16"/>
  <c r="A337" i="16"/>
  <c r="GE337" i="16" s="1"/>
  <c r="K336" i="16"/>
  <c r="J336" i="16"/>
  <c r="I336" i="16"/>
  <c r="H336" i="16"/>
  <c r="G336" i="16"/>
  <c r="F336" i="16"/>
  <c r="E336" i="16"/>
  <c r="A336" i="16"/>
  <c r="GE336" i="16" s="1"/>
  <c r="K335" i="16"/>
  <c r="J335" i="16"/>
  <c r="I335" i="16"/>
  <c r="H335" i="16"/>
  <c r="G335" i="16"/>
  <c r="F335" i="16"/>
  <c r="E335" i="16"/>
  <c r="A335" i="16"/>
  <c r="GE335" i="16" s="1"/>
  <c r="K334" i="16"/>
  <c r="J334" i="16"/>
  <c r="I334" i="16"/>
  <c r="H334" i="16"/>
  <c r="G334" i="16"/>
  <c r="F334" i="16"/>
  <c r="E334" i="16"/>
  <c r="A334" i="16"/>
  <c r="GE334" i="16" s="1"/>
  <c r="K333" i="16"/>
  <c r="J333" i="16"/>
  <c r="I333" i="16"/>
  <c r="H333" i="16"/>
  <c r="G333" i="16"/>
  <c r="F333" i="16"/>
  <c r="E333" i="16"/>
  <c r="A333" i="16"/>
  <c r="GE333" i="16" s="1"/>
  <c r="K332" i="16"/>
  <c r="J332" i="16"/>
  <c r="I332" i="16"/>
  <c r="H332" i="16"/>
  <c r="G332" i="16"/>
  <c r="F332" i="16"/>
  <c r="E332" i="16"/>
  <c r="A332" i="16"/>
  <c r="GE332" i="16" s="1"/>
  <c r="K331" i="16"/>
  <c r="J331" i="16"/>
  <c r="I331" i="16"/>
  <c r="H331" i="16"/>
  <c r="G331" i="16"/>
  <c r="F331" i="16"/>
  <c r="E331" i="16"/>
  <c r="A331" i="16"/>
  <c r="GE331" i="16" s="1"/>
  <c r="K330" i="16"/>
  <c r="J330" i="16"/>
  <c r="I330" i="16"/>
  <c r="H330" i="16"/>
  <c r="G330" i="16"/>
  <c r="F330" i="16"/>
  <c r="E330" i="16"/>
  <c r="A330" i="16"/>
  <c r="GE330" i="16" s="1"/>
  <c r="K329" i="16"/>
  <c r="J329" i="16"/>
  <c r="I329" i="16"/>
  <c r="H329" i="16"/>
  <c r="G329" i="16"/>
  <c r="F329" i="16"/>
  <c r="E329" i="16"/>
  <c r="A329" i="16"/>
  <c r="GE329" i="16" s="1"/>
  <c r="K328" i="16"/>
  <c r="J328" i="16"/>
  <c r="I328" i="16"/>
  <c r="H328" i="16"/>
  <c r="G328" i="16"/>
  <c r="F328" i="16"/>
  <c r="E328" i="16"/>
  <c r="A328" i="16"/>
  <c r="GE328" i="16" s="1"/>
  <c r="K327" i="16"/>
  <c r="J327" i="16"/>
  <c r="I327" i="16"/>
  <c r="H327" i="16"/>
  <c r="G327" i="16"/>
  <c r="F327" i="16"/>
  <c r="E327" i="16"/>
  <c r="A327" i="16"/>
  <c r="GE327" i="16" s="1"/>
  <c r="K326" i="16"/>
  <c r="J326" i="16"/>
  <c r="I326" i="16"/>
  <c r="H326" i="16"/>
  <c r="G326" i="16"/>
  <c r="F326" i="16"/>
  <c r="E326" i="16"/>
  <c r="A326" i="16"/>
  <c r="GE326" i="16" s="1"/>
  <c r="K325" i="16"/>
  <c r="J325" i="16"/>
  <c r="I325" i="16"/>
  <c r="H325" i="16"/>
  <c r="G325" i="16"/>
  <c r="F325" i="16"/>
  <c r="E325" i="16"/>
  <c r="A325" i="16"/>
  <c r="GE325" i="16" s="1"/>
  <c r="K324" i="16"/>
  <c r="J324" i="16"/>
  <c r="I324" i="16"/>
  <c r="H324" i="16"/>
  <c r="G324" i="16"/>
  <c r="F324" i="16"/>
  <c r="E324" i="16"/>
  <c r="A324" i="16"/>
  <c r="GE324" i="16" s="1"/>
  <c r="K323" i="16"/>
  <c r="J323" i="16"/>
  <c r="I323" i="16"/>
  <c r="H323" i="16"/>
  <c r="G323" i="16"/>
  <c r="F323" i="16"/>
  <c r="E323" i="16"/>
  <c r="A323" i="16"/>
  <c r="GE323" i="16" s="1"/>
  <c r="K322" i="16"/>
  <c r="J322" i="16"/>
  <c r="I322" i="16"/>
  <c r="H322" i="16"/>
  <c r="G322" i="16"/>
  <c r="F322" i="16"/>
  <c r="E322" i="16"/>
  <c r="A322" i="16"/>
  <c r="GE322" i="16" s="1"/>
  <c r="K321" i="16"/>
  <c r="J321" i="16"/>
  <c r="I321" i="16"/>
  <c r="H321" i="16"/>
  <c r="G321" i="16"/>
  <c r="F321" i="16"/>
  <c r="E321" i="16"/>
  <c r="A321" i="16"/>
  <c r="GE321" i="16" s="1"/>
  <c r="K320" i="16"/>
  <c r="J320" i="16"/>
  <c r="I320" i="16"/>
  <c r="H320" i="16"/>
  <c r="G320" i="16"/>
  <c r="F320" i="16"/>
  <c r="E320" i="16"/>
  <c r="A320" i="16"/>
  <c r="GE320" i="16" s="1"/>
  <c r="K319" i="16"/>
  <c r="J319" i="16"/>
  <c r="I319" i="16"/>
  <c r="H319" i="16"/>
  <c r="G319" i="16"/>
  <c r="F319" i="16"/>
  <c r="E319" i="16"/>
  <c r="A319" i="16"/>
  <c r="GE319" i="16" s="1"/>
  <c r="K318" i="16"/>
  <c r="J318" i="16"/>
  <c r="I318" i="16"/>
  <c r="H318" i="16"/>
  <c r="G318" i="16"/>
  <c r="F318" i="16"/>
  <c r="E318" i="16"/>
  <c r="A318" i="16"/>
  <c r="GE318" i="16" s="1"/>
  <c r="K317" i="16"/>
  <c r="J317" i="16"/>
  <c r="I317" i="16"/>
  <c r="H317" i="16"/>
  <c r="G317" i="16"/>
  <c r="F317" i="16"/>
  <c r="E317" i="16"/>
  <c r="A317" i="16"/>
  <c r="GE317" i="16" s="1"/>
  <c r="K316" i="16"/>
  <c r="J316" i="16"/>
  <c r="I316" i="16"/>
  <c r="H316" i="16"/>
  <c r="G316" i="16"/>
  <c r="F316" i="16"/>
  <c r="E316" i="16"/>
  <c r="A316" i="16"/>
  <c r="GE316" i="16" s="1"/>
  <c r="K315" i="16"/>
  <c r="J315" i="16"/>
  <c r="I315" i="16"/>
  <c r="H315" i="16"/>
  <c r="G315" i="16"/>
  <c r="F315" i="16"/>
  <c r="E315" i="16"/>
  <c r="A315" i="16"/>
  <c r="GE315" i="16" s="1"/>
  <c r="K314" i="16"/>
  <c r="J314" i="16"/>
  <c r="I314" i="16"/>
  <c r="H314" i="16"/>
  <c r="G314" i="16"/>
  <c r="F314" i="16"/>
  <c r="E314" i="16"/>
  <c r="A314" i="16"/>
  <c r="GE314" i="16" s="1"/>
  <c r="K313" i="16"/>
  <c r="J313" i="16"/>
  <c r="I313" i="16"/>
  <c r="H313" i="16"/>
  <c r="G313" i="16"/>
  <c r="F313" i="16"/>
  <c r="E313" i="16"/>
  <c r="A313" i="16"/>
  <c r="GE313" i="16" s="1"/>
  <c r="K312" i="16"/>
  <c r="J312" i="16"/>
  <c r="I312" i="16"/>
  <c r="H312" i="16"/>
  <c r="G312" i="16"/>
  <c r="F312" i="16"/>
  <c r="E312" i="16"/>
  <c r="A312" i="16"/>
  <c r="GE312" i="16" s="1"/>
  <c r="K311" i="16"/>
  <c r="J311" i="16"/>
  <c r="I311" i="16"/>
  <c r="H311" i="16"/>
  <c r="G311" i="16"/>
  <c r="F311" i="16"/>
  <c r="E311" i="16"/>
  <c r="A311" i="16"/>
  <c r="GE311" i="16" s="1"/>
  <c r="K310" i="16"/>
  <c r="J310" i="16"/>
  <c r="I310" i="16"/>
  <c r="H310" i="16"/>
  <c r="G310" i="16"/>
  <c r="F310" i="16"/>
  <c r="E310" i="16"/>
  <c r="A310" i="16"/>
  <c r="GE310" i="16" s="1"/>
  <c r="K309" i="16"/>
  <c r="J309" i="16"/>
  <c r="I309" i="16"/>
  <c r="H309" i="16"/>
  <c r="G309" i="16"/>
  <c r="F309" i="16"/>
  <c r="E309" i="16"/>
  <c r="A309" i="16"/>
  <c r="GE309" i="16" s="1"/>
  <c r="K308" i="16"/>
  <c r="J308" i="16"/>
  <c r="I308" i="16"/>
  <c r="H308" i="16"/>
  <c r="G308" i="16"/>
  <c r="F308" i="16"/>
  <c r="E308" i="16"/>
  <c r="A308" i="16"/>
  <c r="GE308" i="16" s="1"/>
  <c r="K307" i="16"/>
  <c r="J307" i="16"/>
  <c r="I307" i="16"/>
  <c r="H307" i="16"/>
  <c r="G307" i="16"/>
  <c r="F307" i="16"/>
  <c r="E307" i="16"/>
  <c r="A307" i="16"/>
  <c r="GE307" i="16" s="1"/>
  <c r="K306" i="16"/>
  <c r="J306" i="16"/>
  <c r="I306" i="16"/>
  <c r="H306" i="16"/>
  <c r="G306" i="16"/>
  <c r="F306" i="16"/>
  <c r="E306" i="16"/>
  <c r="A306" i="16"/>
  <c r="GE306" i="16" s="1"/>
  <c r="K305" i="16"/>
  <c r="J305" i="16"/>
  <c r="I305" i="16"/>
  <c r="H305" i="16"/>
  <c r="G305" i="16"/>
  <c r="F305" i="16"/>
  <c r="E305" i="16"/>
  <c r="A305" i="16"/>
  <c r="GE305" i="16" s="1"/>
  <c r="K304" i="16"/>
  <c r="J304" i="16"/>
  <c r="I304" i="16"/>
  <c r="H304" i="16"/>
  <c r="G304" i="16"/>
  <c r="F304" i="16"/>
  <c r="E304" i="16"/>
  <c r="A304" i="16"/>
  <c r="GE304" i="16" s="1"/>
  <c r="K303" i="16"/>
  <c r="J303" i="16"/>
  <c r="I303" i="16"/>
  <c r="H303" i="16"/>
  <c r="G303" i="16"/>
  <c r="F303" i="16"/>
  <c r="E303" i="16"/>
  <c r="A303" i="16"/>
  <c r="GE303" i="16" s="1"/>
  <c r="K302" i="16"/>
  <c r="J302" i="16"/>
  <c r="I302" i="16"/>
  <c r="H302" i="16"/>
  <c r="G302" i="16"/>
  <c r="F302" i="16"/>
  <c r="E302" i="16"/>
  <c r="A302" i="16"/>
  <c r="GE302" i="16" s="1"/>
  <c r="K301" i="16"/>
  <c r="J301" i="16"/>
  <c r="I301" i="16"/>
  <c r="H301" i="16"/>
  <c r="G301" i="16"/>
  <c r="F301" i="16"/>
  <c r="E301" i="16"/>
  <c r="A301" i="16"/>
  <c r="GE301" i="16" s="1"/>
  <c r="K300" i="16"/>
  <c r="J300" i="16"/>
  <c r="I300" i="16"/>
  <c r="H300" i="16"/>
  <c r="G300" i="16"/>
  <c r="F300" i="16"/>
  <c r="E300" i="16"/>
  <c r="A300" i="16"/>
  <c r="GE300" i="16" s="1"/>
  <c r="K299" i="16"/>
  <c r="J299" i="16"/>
  <c r="I299" i="16"/>
  <c r="H299" i="16"/>
  <c r="G299" i="16"/>
  <c r="F299" i="16"/>
  <c r="E299" i="16"/>
  <c r="A299" i="16"/>
  <c r="GE299" i="16" s="1"/>
  <c r="K298" i="16"/>
  <c r="J298" i="16"/>
  <c r="I298" i="16"/>
  <c r="H298" i="16"/>
  <c r="G298" i="16"/>
  <c r="F298" i="16"/>
  <c r="E298" i="16"/>
  <c r="A298" i="16"/>
  <c r="GE298" i="16" s="1"/>
  <c r="K297" i="16"/>
  <c r="J297" i="16"/>
  <c r="I297" i="16"/>
  <c r="H297" i="16"/>
  <c r="G297" i="16"/>
  <c r="F297" i="16"/>
  <c r="E297" i="16"/>
  <c r="A297" i="16"/>
  <c r="GE297" i="16" s="1"/>
  <c r="K296" i="16"/>
  <c r="J296" i="16"/>
  <c r="I296" i="16"/>
  <c r="H296" i="16"/>
  <c r="G296" i="16"/>
  <c r="F296" i="16"/>
  <c r="E296" i="16"/>
  <c r="A296" i="16"/>
  <c r="GE296" i="16" s="1"/>
  <c r="K295" i="16"/>
  <c r="J295" i="16"/>
  <c r="I295" i="16"/>
  <c r="H295" i="16"/>
  <c r="G295" i="16"/>
  <c r="F295" i="16"/>
  <c r="E295" i="16"/>
  <c r="A295" i="16"/>
  <c r="GE295" i="16" s="1"/>
  <c r="K294" i="16"/>
  <c r="J294" i="16"/>
  <c r="I294" i="16"/>
  <c r="H294" i="16"/>
  <c r="G294" i="16"/>
  <c r="F294" i="16"/>
  <c r="E294" i="16"/>
  <c r="A294" i="16"/>
  <c r="GE294" i="16" s="1"/>
  <c r="K293" i="16"/>
  <c r="J293" i="16"/>
  <c r="I293" i="16"/>
  <c r="H293" i="16"/>
  <c r="G293" i="16"/>
  <c r="F293" i="16"/>
  <c r="E293" i="16"/>
  <c r="A293" i="16"/>
  <c r="GE293" i="16" s="1"/>
  <c r="K292" i="16"/>
  <c r="J292" i="16"/>
  <c r="I292" i="16"/>
  <c r="H292" i="16"/>
  <c r="G292" i="16"/>
  <c r="F292" i="16"/>
  <c r="E292" i="16"/>
  <c r="A292" i="16"/>
  <c r="GE292" i="16" s="1"/>
  <c r="K291" i="16"/>
  <c r="J291" i="16"/>
  <c r="I291" i="16"/>
  <c r="H291" i="16"/>
  <c r="G291" i="16"/>
  <c r="F291" i="16"/>
  <c r="E291" i="16"/>
  <c r="A291" i="16"/>
  <c r="GE291" i="16" s="1"/>
  <c r="K290" i="16"/>
  <c r="J290" i="16"/>
  <c r="I290" i="16"/>
  <c r="H290" i="16"/>
  <c r="G290" i="16"/>
  <c r="F290" i="16"/>
  <c r="E290" i="16"/>
  <c r="A290" i="16"/>
  <c r="GE290" i="16" s="1"/>
  <c r="K289" i="16"/>
  <c r="J289" i="16"/>
  <c r="I289" i="16"/>
  <c r="H289" i="16"/>
  <c r="G289" i="16"/>
  <c r="F289" i="16"/>
  <c r="E289" i="16"/>
  <c r="A289" i="16"/>
  <c r="GE289" i="16" s="1"/>
  <c r="K288" i="16"/>
  <c r="J288" i="16"/>
  <c r="I288" i="16"/>
  <c r="H288" i="16"/>
  <c r="G288" i="16"/>
  <c r="F288" i="16"/>
  <c r="E288" i="16"/>
  <c r="A288" i="16"/>
  <c r="GE288" i="16" s="1"/>
  <c r="K287" i="16"/>
  <c r="J287" i="16"/>
  <c r="I287" i="16"/>
  <c r="H287" i="16"/>
  <c r="G287" i="16"/>
  <c r="F287" i="16"/>
  <c r="E287" i="16"/>
  <c r="A287" i="16"/>
  <c r="GE287" i="16" s="1"/>
  <c r="K286" i="16"/>
  <c r="J286" i="16"/>
  <c r="I286" i="16"/>
  <c r="H286" i="16"/>
  <c r="G286" i="16"/>
  <c r="F286" i="16"/>
  <c r="E286" i="16"/>
  <c r="A286" i="16"/>
  <c r="GE286" i="16" s="1"/>
  <c r="K285" i="16"/>
  <c r="J285" i="16"/>
  <c r="I285" i="16"/>
  <c r="H285" i="16"/>
  <c r="G285" i="16"/>
  <c r="F285" i="16"/>
  <c r="E285" i="16"/>
  <c r="A285" i="16"/>
  <c r="GE285" i="16" s="1"/>
  <c r="K284" i="16"/>
  <c r="J284" i="16"/>
  <c r="I284" i="16"/>
  <c r="H284" i="16"/>
  <c r="G284" i="16"/>
  <c r="F284" i="16"/>
  <c r="E284" i="16"/>
  <c r="A284" i="16"/>
  <c r="GE284" i="16" s="1"/>
  <c r="K283" i="16"/>
  <c r="J283" i="16"/>
  <c r="I283" i="16"/>
  <c r="H283" i="16"/>
  <c r="G283" i="16"/>
  <c r="F283" i="16"/>
  <c r="E283" i="16"/>
  <c r="A283" i="16"/>
  <c r="GE283" i="16" s="1"/>
  <c r="K282" i="16"/>
  <c r="J282" i="16"/>
  <c r="I282" i="16"/>
  <c r="H282" i="16"/>
  <c r="G282" i="16"/>
  <c r="F282" i="16"/>
  <c r="E282" i="16"/>
  <c r="A282" i="16"/>
  <c r="GE282" i="16" s="1"/>
  <c r="K281" i="16"/>
  <c r="J281" i="16"/>
  <c r="I281" i="16"/>
  <c r="H281" i="16"/>
  <c r="G281" i="16"/>
  <c r="F281" i="16"/>
  <c r="E281" i="16"/>
  <c r="A281" i="16"/>
  <c r="GE281" i="16" s="1"/>
  <c r="K280" i="16"/>
  <c r="J280" i="16"/>
  <c r="I280" i="16"/>
  <c r="H280" i="16"/>
  <c r="G280" i="16"/>
  <c r="F280" i="16"/>
  <c r="E280" i="16"/>
  <c r="A280" i="16"/>
  <c r="GE280" i="16" s="1"/>
  <c r="K279" i="16"/>
  <c r="J279" i="16"/>
  <c r="I279" i="16"/>
  <c r="H279" i="16"/>
  <c r="G279" i="16"/>
  <c r="F279" i="16"/>
  <c r="E279" i="16"/>
  <c r="A279" i="16"/>
  <c r="GE279" i="16" s="1"/>
  <c r="K278" i="16"/>
  <c r="J278" i="16"/>
  <c r="I278" i="16"/>
  <c r="H278" i="16"/>
  <c r="G278" i="16"/>
  <c r="F278" i="16"/>
  <c r="E278" i="16"/>
  <c r="A278" i="16"/>
  <c r="GE278" i="16" s="1"/>
  <c r="K277" i="16"/>
  <c r="J277" i="16"/>
  <c r="I277" i="16"/>
  <c r="H277" i="16"/>
  <c r="G277" i="16"/>
  <c r="F277" i="16"/>
  <c r="E277" i="16"/>
  <c r="A277" i="16"/>
  <c r="GE277" i="16" s="1"/>
  <c r="K276" i="16"/>
  <c r="J276" i="16"/>
  <c r="I276" i="16"/>
  <c r="H276" i="16"/>
  <c r="G276" i="16"/>
  <c r="F276" i="16"/>
  <c r="E276" i="16"/>
  <c r="A276" i="16"/>
  <c r="GE276" i="16" s="1"/>
  <c r="K275" i="16"/>
  <c r="J275" i="16"/>
  <c r="I275" i="16"/>
  <c r="H275" i="16"/>
  <c r="G275" i="16"/>
  <c r="F275" i="16"/>
  <c r="E275" i="16"/>
  <c r="A275" i="16"/>
  <c r="GE275" i="16" s="1"/>
  <c r="K274" i="16"/>
  <c r="J274" i="16"/>
  <c r="I274" i="16"/>
  <c r="H274" i="16"/>
  <c r="G274" i="16"/>
  <c r="F274" i="16"/>
  <c r="E274" i="16"/>
  <c r="A274" i="16"/>
  <c r="GE274" i="16" s="1"/>
  <c r="K273" i="16"/>
  <c r="J273" i="16"/>
  <c r="I273" i="16"/>
  <c r="H273" i="16"/>
  <c r="G273" i="16"/>
  <c r="F273" i="16"/>
  <c r="E273" i="16"/>
  <c r="A273" i="16"/>
  <c r="GE273" i="16" s="1"/>
  <c r="K272" i="16"/>
  <c r="J272" i="16"/>
  <c r="I272" i="16"/>
  <c r="H272" i="16"/>
  <c r="G272" i="16"/>
  <c r="F272" i="16"/>
  <c r="E272" i="16"/>
  <c r="A272" i="16"/>
  <c r="GE272" i="16" s="1"/>
  <c r="K271" i="16"/>
  <c r="J271" i="16"/>
  <c r="I271" i="16"/>
  <c r="H271" i="16"/>
  <c r="G271" i="16"/>
  <c r="F271" i="16"/>
  <c r="E271" i="16"/>
  <c r="A271" i="16"/>
  <c r="GE271" i="16" s="1"/>
  <c r="K270" i="16"/>
  <c r="J270" i="16"/>
  <c r="I270" i="16"/>
  <c r="H270" i="16"/>
  <c r="G270" i="16"/>
  <c r="F270" i="16"/>
  <c r="E270" i="16"/>
  <c r="A270" i="16"/>
  <c r="GE270" i="16" s="1"/>
  <c r="K269" i="16"/>
  <c r="J269" i="16"/>
  <c r="I269" i="16"/>
  <c r="H269" i="16"/>
  <c r="G269" i="16"/>
  <c r="F269" i="16"/>
  <c r="E269" i="16"/>
  <c r="A269" i="16"/>
  <c r="GE269" i="16" s="1"/>
  <c r="K268" i="16"/>
  <c r="J268" i="16"/>
  <c r="I268" i="16"/>
  <c r="H268" i="16"/>
  <c r="G268" i="16"/>
  <c r="F268" i="16"/>
  <c r="E268" i="16"/>
  <c r="A268" i="16"/>
  <c r="GE268" i="16" s="1"/>
  <c r="K267" i="16"/>
  <c r="J267" i="16"/>
  <c r="I267" i="16"/>
  <c r="H267" i="16"/>
  <c r="G267" i="16"/>
  <c r="F267" i="16"/>
  <c r="E267" i="16"/>
  <c r="A267" i="16"/>
  <c r="GE267" i="16" s="1"/>
  <c r="K266" i="16"/>
  <c r="J266" i="16"/>
  <c r="I266" i="16"/>
  <c r="H266" i="16"/>
  <c r="G266" i="16"/>
  <c r="F266" i="16"/>
  <c r="E266" i="16"/>
  <c r="A266" i="16"/>
  <c r="GE266" i="16" s="1"/>
  <c r="K265" i="16"/>
  <c r="J265" i="16"/>
  <c r="I265" i="16"/>
  <c r="H265" i="16"/>
  <c r="G265" i="16"/>
  <c r="F265" i="16"/>
  <c r="E265" i="16"/>
  <c r="A265" i="16"/>
  <c r="GE265" i="16" s="1"/>
  <c r="K264" i="16"/>
  <c r="J264" i="16"/>
  <c r="I264" i="16"/>
  <c r="H264" i="16"/>
  <c r="G264" i="16"/>
  <c r="F264" i="16"/>
  <c r="E264" i="16"/>
  <c r="A264" i="16"/>
  <c r="GE264" i="16" s="1"/>
  <c r="K263" i="16"/>
  <c r="J263" i="16"/>
  <c r="I263" i="16"/>
  <c r="H263" i="16"/>
  <c r="G263" i="16"/>
  <c r="F263" i="16"/>
  <c r="E263" i="16"/>
  <c r="A263" i="16"/>
  <c r="GE263" i="16" s="1"/>
  <c r="K262" i="16"/>
  <c r="J262" i="16"/>
  <c r="I262" i="16"/>
  <c r="H262" i="16"/>
  <c r="G262" i="16"/>
  <c r="F262" i="16"/>
  <c r="E262" i="16"/>
  <c r="A262" i="16"/>
  <c r="GE262" i="16" s="1"/>
  <c r="K261" i="16"/>
  <c r="J261" i="16"/>
  <c r="I261" i="16"/>
  <c r="H261" i="16"/>
  <c r="G261" i="16"/>
  <c r="F261" i="16"/>
  <c r="E261" i="16"/>
  <c r="A261" i="16"/>
  <c r="GE261" i="16" s="1"/>
  <c r="K260" i="16"/>
  <c r="J260" i="16"/>
  <c r="I260" i="16"/>
  <c r="H260" i="16"/>
  <c r="G260" i="16"/>
  <c r="F260" i="16"/>
  <c r="E260" i="16"/>
  <c r="A260" i="16"/>
  <c r="GE260" i="16" s="1"/>
  <c r="K259" i="16"/>
  <c r="J259" i="16"/>
  <c r="I259" i="16"/>
  <c r="H259" i="16"/>
  <c r="G259" i="16"/>
  <c r="F259" i="16"/>
  <c r="E259" i="16"/>
  <c r="A259" i="16"/>
  <c r="GE259" i="16" s="1"/>
  <c r="K258" i="16"/>
  <c r="J258" i="16"/>
  <c r="I258" i="16"/>
  <c r="H258" i="16"/>
  <c r="G258" i="16"/>
  <c r="F258" i="16"/>
  <c r="E258" i="16"/>
  <c r="A258" i="16"/>
  <c r="GE258" i="16" s="1"/>
  <c r="K257" i="16"/>
  <c r="J257" i="16"/>
  <c r="I257" i="16"/>
  <c r="H257" i="16"/>
  <c r="G257" i="16"/>
  <c r="F257" i="16"/>
  <c r="E257" i="16"/>
  <c r="A257" i="16"/>
  <c r="GE257" i="16" s="1"/>
  <c r="K256" i="16"/>
  <c r="J256" i="16"/>
  <c r="I256" i="16"/>
  <c r="H256" i="16"/>
  <c r="G256" i="16"/>
  <c r="F256" i="16"/>
  <c r="E256" i="16"/>
  <c r="A256" i="16"/>
  <c r="GE256" i="16" s="1"/>
  <c r="K255" i="16"/>
  <c r="J255" i="16"/>
  <c r="I255" i="16"/>
  <c r="H255" i="16"/>
  <c r="G255" i="16"/>
  <c r="F255" i="16"/>
  <c r="E255" i="16"/>
  <c r="A255" i="16"/>
  <c r="GE255" i="16" s="1"/>
  <c r="K254" i="16"/>
  <c r="J254" i="16"/>
  <c r="I254" i="16"/>
  <c r="H254" i="16"/>
  <c r="G254" i="16"/>
  <c r="F254" i="16"/>
  <c r="E254" i="16"/>
  <c r="A254" i="16"/>
  <c r="GE254" i="16" s="1"/>
  <c r="K253" i="16"/>
  <c r="J253" i="16"/>
  <c r="I253" i="16"/>
  <c r="H253" i="16"/>
  <c r="G253" i="16"/>
  <c r="F253" i="16"/>
  <c r="E253" i="16"/>
  <c r="A253" i="16"/>
  <c r="GE253" i="16" s="1"/>
  <c r="K252" i="16"/>
  <c r="J252" i="16"/>
  <c r="I252" i="16"/>
  <c r="H252" i="16"/>
  <c r="G252" i="16"/>
  <c r="F252" i="16"/>
  <c r="E252" i="16"/>
  <c r="A252" i="16"/>
  <c r="GE252" i="16" s="1"/>
  <c r="K251" i="16"/>
  <c r="J251" i="16"/>
  <c r="I251" i="16"/>
  <c r="H251" i="16"/>
  <c r="G251" i="16"/>
  <c r="F251" i="16"/>
  <c r="E251" i="16"/>
  <c r="A251" i="16"/>
  <c r="GE251" i="16" s="1"/>
  <c r="K250" i="16"/>
  <c r="J250" i="16"/>
  <c r="I250" i="16"/>
  <c r="H250" i="16"/>
  <c r="G250" i="16"/>
  <c r="F250" i="16"/>
  <c r="E250" i="16"/>
  <c r="A250" i="16"/>
  <c r="GE250" i="16" s="1"/>
  <c r="K249" i="16"/>
  <c r="J249" i="16"/>
  <c r="I249" i="16"/>
  <c r="H249" i="16"/>
  <c r="G249" i="16"/>
  <c r="F249" i="16"/>
  <c r="E249" i="16"/>
  <c r="A249" i="16"/>
  <c r="GE249" i="16" s="1"/>
  <c r="K248" i="16"/>
  <c r="J248" i="16"/>
  <c r="I248" i="16"/>
  <c r="H248" i="16"/>
  <c r="G248" i="16"/>
  <c r="F248" i="16"/>
  <c r="E248" i="16"/>
  <c r="A248" i="16"/>
  <c r="GE248" i="16" s="1"/>
  <c r="K247" i="16"/>
  <c r="J247" i="16"/>
  <c r="I247" i="16"/>
  <c r="H247" i="16"/>
  <c r="G247" i="16"/>
  <c r="F247" i="16"/>
  <c r="E247" i="16"/>
  <c r="A247" i="16"/>
  <c r="GE247" i="16" s="1"/>
  <c r="K246" i="16"/>
  <c r="J246" i="16"/>
  <c r="I246" i="16"/>
  <c r="H246" i="16"/>
  <c r="G246" i="16"/>
  <c r="F246" i="16"/>
  <c r="E246" i="16"/>
  <c r="A246" i="16"/>
  <c r="GE246" i="16" s="1"/>
  <c r="K245" i="16"/>
  <c r="J245" i="16"/>
  <c r="I245" i="16"/>
  <c r="H245" i="16"/>
  <c r="G245" i="16"/>
  <c r="F245" i="16"/>
  <c r="E245" i="16"/>
  <c r="A245" i="16"/>
  <c r="GE245" i="16" s="1"/>
  <c r="K244" i="16"/>
  <c r="J244" i="16"/>
  <c r="I244" i="16"/>
  <c r="H244" i="16"/>
  <c r="G244" i="16"/>
  <c r="F244" i="16"/>
  <c r="E244" i="16"/>
  <c r="A244" i="16"/>
  <c r="GE244" i="16" s="1"/>
  <c r="K243" i="16"/>
  <c r="J243" i="16"/>
  <c r="I243" i="16"/>
  <c r="H243" i="16"/>
  <c r="G243" i="16"/>
  <c r="F243" i="16"/>
  <c r="E243" i="16"/>
  <c r="A243" i="16"/>
  <c r="GE243" i="16" s="1"/>
  <c r="K242" i="16"/>
  <c r="J242" i="16"/>
  <c r="I242" i="16"/>
  <c r="H242" i="16"/>
  <c r="G242" i="16"/>
  <c r="F242" i="16"/>
  <c r="E242" i="16"/>
  <c r="A242" i="16"/>
  <c r="GE242" i="16" s="1"/>
  <c r="K241" i="16"/>
  <c r="J241" i="16"/>
  <c r="I241" i="16"/>
  <c r="H241" i="16"/>
  <c r="G241" i="16"/>
  <c r="F241" i="16"/>
  <c r="E241" i="16"/>
  <c r="A241" i="16"/>
  <c r="GE241" i="16" s="1"/>
  <c r="K240" i="16"/>
  <c r="J240" i="16"/>
  <c r="I240" i="16"/>
  <c r="H240" i="16"/>
  <c r="G240" i="16"/>
  <c r="F240" i="16"/>
  <c r="E240" i="16"/>
  <c r="A240" i="16"/>
  <c r="GE240" i="16" s="1"/>
  <c r="K239" i="16"/>
  <c r="J239" i="16"/>
  <c r="I239" i="16"/>
  <c r="H239" i="16"/>
  <c r="G239" i="16"/>
  <c r="F239" i="16"/>
  <c r="E239" i="16"/>
  <c r="A239" i="16"/>
  <c r="GE239" i="16" s="1"/>
  <c r="K238" i="16"/>
  <c r="J238" i="16"/>
  <c r="I238" i="16"/>
  <c r="H238" i="16"/>
  <c r="G238" i="16"/>
  <c r="F238" i="16"/>
  <c r="E238" i="16"/>
  <c r="A238" i="16"/>
  <c r="GE238" i="16" s="1"/>
  <c r="K237" i="16"/>
  <c r="J237" i="16"/>
  <c r="I237" i="16"/>
  <c r="H237" i="16"/>
  <c r="G237" i="16"/>
  <c r="F237" i="16"/>
  <c r="E237" i="16"/>
  <c r="A237" i="16"/>
  <c r="GE237" i="16" s="1"/>
  <c r="K236" i="16"/>
  <c r="J236" i="16"/>
  <c r="I236" i="16"/>
  <c r="H236" i="16"/>
  <c r="G236" i="16"/>
  <c r="F236" i="16"/>
  <c r="E236" i="16"/>
  <c r="A236" i="16"/>
  <c r="GE236" i="16" s="1"/>
  <c r="K235" i="16"/>
  <c r="J235" i="16"/>
  <c r="I235" i="16"/>
  <c r="H235" i="16"/>
  <c r="G235" i="16"/>
  <c r="F235" i="16"/>
  <c r="E235" i="16"/>
  <c r="A235" i="16"/>
  <c r="GE235" i="16" s="1"/>
  <c r="K234" i="16"/>
  <c r="J234" i="16"/>
  <c r="I234" i="16"/>
  <c r="H234" i="16"/>
  <c r="G234" i="16"/>
  <c r="F234" i="16"/>
  <c r="E234" i="16"/>
  <c r="A234" i="16"/>
  <c r="GE234" i="16" s="1"/>
  <c r="K233" i="16"/>
  <c r="J233" i="16"/>
  <c r="I233" i="16"/>
  <c r="H233" i="16"/>
  <c r="G233" i="16"/>
  <c r="F233" i="16"/>
  <c r="E233" i="16"/>
  <c r="A233" i="16"/>
  <c r="GE233" i="16" s="1"/>
  <c r="K232" i="16"/>
  <c r="J232" i="16"/>
  <c r="I232" i="16"/>
  <c r="H232" i="16"/>
  <c r="G232" i="16"/>
  <c r="F232" i="16"/>
  <c r="E232" i="16"/>
  <c r="A232" i="16"/>
  <c r="GE232" i="16" s="1"/>
  <c r="K231" i="16"/>
  <c r="J231" i="16"/>
  <c r="I231" i="16"/>
  <c r="H231" i="16"/>
  <c r="G231" i="16"/>
  <c r="F231" i="16"/>
  <c r="E231" i="16"/>
  <c r="A231" i="16"/>
  <c r="GE231" i="16" s="1"/>
  <c r="K230" i="16"/>
  <c r="J230" i="16"/>
  <c r="I230" i="16"/>
  <c r="H230" i="16"/>
  <c r="G230" i="16"/>
  <c r="F230" i="16"/>
  <c r="E230" i="16"/>
  <c r="A230" i="16"/>
  <c r="GE230" i="16" s="1"/>
  <c r="K229" i="16"/>
  <c r="J229" i="16"/>
  <c r="I229" i="16"/>
  <c r="H229" i="16"/>
  <c r="G229" i="16"/>
  <c r="F229" i="16"/>
  <c r="E229" i="16"/>
  <c r="A229" i="16"/>
  <c r="GE229" i="16" s="1"/>
  <c r="K228" i="16"/>
  <c r="J228" i="16"/>
  <c r="I228" i="16"/>
  <c r="H228" i="16"/>
  <c r="G228" i="16"/>
  <c r="F228" i="16"/>
  <c r="E228" i="16"/>
  <c r="A228" i="16"/>
  <c r="GE228" i="16" s="1"/>
  <c r="K227" i="16"/>
  <c r="J227" i="16"/>
  <c r="I227" i="16"/>
  <c r="H227" i="16"/>
  <c r="G227" i="16"/>
  <c r="F227" i="16"/>
  <c r="E227" i="16"/>
  <c r="A227" i="16"/>
  <c r="GE227" i="16" s="1"/>
  <c r="K226" i="16"/>
  <c r="J226" i="16"/>
  <c r="I226" i="16"/>
  <c r="H226" i="16"/>
  <c r="G226" i="16"/>
  <c r="F226" i="16"/>
  <c r="E226" i="16"/>
  <c r="A226" i="16"/>
  <c r="GE226" i="16" s="1"/>
  <c r="K225" i="16"/>
  <c r="J225" i="16"/>
  <c r="I225" i="16"/>
  <c r="H225" i="16"/>
  <c r="G225" i="16"/>
  <c r="F225" i="16"/>
  <c r="E225" i="16"/>
  <c r="A225" i="16"/>
  <c r="GE225" i="16" s="1"/>
  <c r="K224" i="16"/>
  <c r="J224" i="16"/>
  <c r="I224" i="16"/>
  <c r="H224" i="16"/>
  <c r="G224" i="16"/>
  <c r="F224" i="16"/>
  <c r="E224" i="16"/>
  <c r="A224" i="16"/>
  <c r="GE224" i="16" s="1"/>
  <c r="K223" i="16"/>
  <c r="J223" i="16"/>
  <c r="I223" i="16"/>
  <c r="H223" i="16"/>
  <c r="G223" i="16"/>
  <c r="F223" i="16"/>
  <c r="E223" i="16"/>
  <c r="A223" i="16"/>
  <c r="GE223" i="16" s="1"/>
  <c r="K222" i="16"/>
  <c r="J222" i="16"/>
  <c r="I222" i="16"/>
  <c r="H222" i="16"/>
  <c r="G222" i="16"/>
  <c r="F222" i="16"/>
  <c r="E222" i="16"/>
  <c r="A222" i="16"/>
  <c r="GE222" i="16" s="1"/>
  <c r="K221" i="16"/>
  <c r="J221" i="16"/>
  <c r="I221" i="16"/>
  <c r="H221" i="16"/>
  <c r="G221" i="16"/>
  <c r="F221" i="16"/>
  <c r="E221" i="16"/>
  <c r="A221" i="16"/>
  <c r="GE221" i="16" s="1"/>
  <c r="K220" i="16"/>
  <c r="J220" i="16"/>
  <c r="I220" i="16"/>
  <c r="H220" i="16"/>
  <c r="G220" i="16"/>
  <c r="F220" i="16"/>
  <c r="E220" i="16"/>
  <c r="A220" i="16"/>
  <c r="GE220" i="16" s="1"/>
  <c r="K219" i="16"/>
  <c r="J219" i="16"/>
  <c r="I219" i="16"/>
  <c r="H219" i="16"/>
  <c r="G219" i="16"/>
  <c r="F219" i="16"/>
  <c r="E219" i="16"/>
  <c r="A219" i="16"/>
  <c r="GE219" i="16" s="1"/>
  <c r="K218" i="16"/>
  <c r="J218" i="16"/>
  <c r="I218" i="16"/>
  <c r="H218" i="16"/>
  <c r="G218" i="16"/>
  <c r="F218" i="16"/>
  <c r="E218" i="16"/>
  <c r="A218" i="16"/>
  <c r="GE218" i="16" s="1"/>
  <c r="K217" i="16"/>
  <c r="J217" i="16"/>
  <c r="I217" i="16"/>
  <c r="H217" i="16"/>
  <c r="G217" i="16"/>
  <c r="F217" i="16"/>
  <c r="E217" i="16"/>
  <c r="A217" i="16"/>
  <c r="GE217" i="16" s="1"/>
  <c r="K216" i="16"/>
  <c r="J216" i="16"/>
  <c r="I216" i="16"/>
  <c r="H216" i="16"/>
  <c r="G216" i="16"/>
  <c r="F216" i="16"/>
  <c r="E216" i="16"/>
  <c r="A216" i="16"/>
  <c r="GE216" i="16" s="1"/>
  <c r="K215" i="16"/>
  <c r="J215" i="16"/>
  <c r="I215" i="16"/>
  <c r="H215" i="16"/>
  <c r="G215" i="16"/>
  <c r="F215" i="16"/>
  <c r="E215" i="16"/>
  <c r="A215" i="16"/>
  <c r="GE215" i="16" s="1"/>
  <c r="K214" i="16"/>
  <c r="J214" i="16"/>
  <c r="I214" i="16"/>
  <c r="H214" i="16"/>
  <c r="G214" i="16"/>
  <c r="F214" i="16"/>
  <c r="E214" i="16"/>
  <c r="A214" i="16"/>
  <c r="GE214" i="16" s="1"/>
  <c r="K213" i="16"/>
  <c r="J213" i="16"/>
  <c r="I213" i="16"/>
  <c r="H213" i="16"/>
  <c r="G213" i="16"/>
  <c r="F213" i="16"/>
  <c r="E213" i="16"/>
  <c r="A213" i="16"/>
  <c r="GE213" i="16" s="1"/>
  <c r="K212" i="16"/>
  <c r="J212" i="16"/>
  <c r="I212" i="16"/>
  <c r="H212" i="16"/>
  <c r="G212" i="16"/>
  <c r="F212" i="16"/>
  <c r="E212" i="16"/>
  <c r="A212" i="16"/>
  <c r="GE212" i="16" s="1"/>
  <c r="K211" i="16"/>
  <c r="J211" i="16"/>
  <c r="I211" i="16"/>
  <c r="H211" i="16"/>
  <c r="G211" i="16"/>
  <c r="F211" i="16"/>
  <c r="E211" i="16"/>
  <c r="A211" i="16"/>
  <c r="GE211" i="16" s="1"/>
  <c r="K210" i="16"/>
  <c r="J210" i="16"/>
  <c r="I210" i="16"/>
  <c r="H210" i="16"/>
  <c r="G210" i="16"/>
  <c r="F210" i="16"/>
  <c r="E210" i="16"/>
  <c r="A210" i="16"/>
  <c r="GE210" i="16" s="1"/>
  <c r="K209" i="16"/>
  <c r="J209" i="16"/>
  <c r="I209" i="16"/>
  <c r="H209" i="16"/>
  <c r="G209" i="16"/>
  <c r="F209" i="16"/>
  <c r="E209" i="16"/>
  <c r="A209" i="16"/>
  <c r="GE209" i="16" s="1"/>
  <c r="K208" i="16"/>
  <c r="J208" i="16"/>
  <c r="I208" i="16"/>
  <c r="H208" i="16"/>
  <c r="G208" i="16"/>
  <c r="F208" i="16"/>
  <c r="E208" i="16"/>
  <c r="A208" i="16"/>
  <c r="GE208" i="16" s="1"/>
  <c r="K207" i="16"/>
  <c r="J207" i="16"/>
  <c r="I207" i="16"/>
  <c r="H207" i="16"/>
  <c r="G207" i="16"/>
  <c r="F207" i="16"/>
  <c r="E207" i="16"/>
  <c r="A207" i="16"/>
  <c r="GE207" i="16" s="1"/>
  <c r="K206" i="16"/>
  <c r="J206" i="16"/>
  <c r="I206" i="16"/>
  <c r="H206" i="16"/>
  <c r="G206" i="16"/>
  <c r="F206" i="16"/>
  <c r="E206" i="16"/>
  <c r="A206" i="16"/>
  <c r="GE206" i="16" s="1"/>
  <c r="K205" i="16"/>
  <c r="J205" i="16"/>
  <c r="I205" i="16"/>
  <c r="H205" i="16"/>
  <c r="G205" i="16"/>
  <c r="F205" i="16"/>
  <c r="E205" i="16"/>
  <c r="A205" i="16"/>
  <c r="GE205" i="16" s="1"/>
  <c r="K204" i="16"/>
  <c r="J204" i="16"/>
  <c r="I204" i="16"/>
  <c r="H204" i="16"/>
  <c r="G204" i="16"/>
  <c r="F204" i="16"/>
  <c r="E204" i="16"/>
  <c r="A204" i="16"/>
  <c r="GE204" i="16" s="1"/>
  <c r="K203" i="16"/>
  <c r="J203" i="16"/>
  <c r="I203" i="16"/>
  <c r="H203" i="16"/>
  <c r="G203" i="16"/>
  <c r="F203" i="16"/>
  <c r="E203" i="16"/>
  <c r="A203" i="16"/>
  <c r="GE203" i="16" s="1"/>
  <c r="K202" i="16"/>
  <c r="J202" i="16"/>
  <c r="I202" i="16"/>
  <c r="H202" i="16"/>
  <c r="G202" i="16"/>
  <c r="F202" i="16"/>
  <c r="E202" i="16"/>
  <c r="A202" i="16"/>
  <c r="GE202" i="16" s="1"/>
  <c r="K201" i="16"/>
  <c r="J201" i="16"/>
  <c r="I201" i="16"/>
  <c r="H201" i="16"/>
  <c r="G201" i="16"/>
  <c r="F201" i="16"/>
  <c r="E201" i="16"/>
  <c r="A201" i="16"/>
  <c r="GE201" i="16" s="1"/>
  <c r="K200" i="16"/>
  <c r="J200" i="16"/>
  <c r="I200" i="16"/>
  <c r="H200" i="16"/>
  <c r="G200" i="16"/>
  <c r="F200" i="16"/>
  <c r="E200" i="16"/>
  <c r="A200" i="16"/>
  <c r="GE200" i="16" s="1"/>
  <c r="K199" i="16"/>
  <c r="J199" i="16"/>
  <c r="I199" i="16"/>
  <c r="H199" i="16"/>
  <c r="G199" i="16"/>
  <c r="F199" i="16"/>
  <c r="E199" i="16"/>
  <c r="A199" i="16"/>
  <c r="GE199" i="16" s="1"/>
  <c r="K198" i="16"/>
  <c r="J198" i="16"/>
  <c r="I198" i="16"/>
  <c r="H198" i="16"/>
  <c r="G198" i="16"/>
  <c r="F198" i="16"/>
  <c r="E198" i="16"/>
  <c r="A198" i="16"/>
  <c r="GE198" i="16" s="1"/>
  <c r="K197" i="16"/>
  <c r="J197" i="16"/>
  <c r="I197" i="16"/>
  <c r="H197" i="16"/>
  <c r="G197" i="16"/>
  <c r="F197" i="16"/>
  <c r="E197" i="16"/>
  <c r="A197" i="16"/>
  <c r="GE197" i="16" s="1"/>
  <c r="K196" i="16"/>
  <c r="J196" i="16"/>
  <c r="I196" i="16"/>
  <c r="H196" i="16"/>
  <c r="G196" i="16"/>
  <c r="F196" i="16"/>
  <c r="E196" i="16"/>
  <c r="A196" i="16"/>
  <c r="GE196" i="16" s="1"/>
  <c r="K195" i="16"/>
  <c r="J195" i="16"/>
  <c r="I195" i="16"/>
  <c r="H195" i="16"/>
  <c r="G195" i="16"/>
  <c r="F195" i="16"/>
  <c r="E195" i="16"/>
  <c r="A195" i="16"/>
  <c r="GE195" i="16" s="1"/>
  <c r="K194" i="16"/>
  <c r="J194" i="16"/>
  <c r="I194" i="16"/>
  <c r="H194" i="16"/>
  <c r="G194" i="16"/>
  <c r="F194" i="16"/>
  <c r="E194" i="16"/>
  <c r="A194" i="16"/>
  <c r="GE194" i="16" s="1"/>
  <c r="K193" i="16"/>
  <c r="J193" i="16"/>
  <c r="I193" i="16"/>
  <c r="H193" i="16"/>
  <c r="G193" i="16"/>
  <c r="F193" i="16"/>
  <c r="E193" i="16"/>
  <c r="A193" i="16"/>
  <c r="GE193" i="16" s="1"/>
  <c r="K192" i="16"/>
  <c r="J192" i="16"/>
  <c r="I192" i="16"/>
  <c r="H192" i="16"/>
  <c r="G192" i="16"/>
  <c r="F192" i="16"/>
  <c r="E192" i="16"/>
  <c r="A192" i="16"/>
  <c r="GE192" i="16" s="1"/>
  <c r="K191" i="16"/>
  <c r="J191" i="16"/>
  <c r="I191" i="16"/>
  <c r="H191" i="16"/>
  <c r="G191" i="16"/>
  <c r="F191" i="16"/>
  <c r="E191" i="16"/>
  <c r="A191" i="16"/>
  <c r="GE191" i="16" s="1"/>
  <c r="K190" i="16"/>
  <c r="J190" i="16"/>
  <c r="I190" i="16"/>
  <c r="H190" i="16"/>
  <c r="G190" i="16"/>
  <c r="F190" i="16"/>
  <c r="E190" i="16"/>
  <c r="A190" i="16"/>
  <c r="GE190" i="16" s="1"/>
  <c r="K189" i="16"/>
  <c r="J189" i="16"/>
  <c r="I189" i="16"/>
  <c r="H189" i="16"/>
  <c r="G189" i="16"/>
  <c r="F189" i="16"/>
  <c r="E189" i="16"/>
  <c r="A189" i="16"/>
  <c r="GE189" i="16" s="1"/>
  <c r="K188" i="16"/>
  <c r="J188" i="16"/>
  <c r="I188" i="16"/>
  <c r="H188" i="16"/>
  <c r="G188" i="16"/>
  <c r="F188" i="16"/>
  <c r="E188" i="16"/>
  <c r="A188" i="16"/>
  <c r="GE188" i="16" s="1"/>
  <c r="K187" i="16"/>
  <c r="J187" i="16"/>
  <c r="I187" i="16"/>
  <c r="H187" i="16"/>
  <c r="G187" i="16"/>
  <c r="F187" i="16"/>
  <c r="E187" i="16"/>
  <c r="A187" i="16"/>
  <c r="GE187" i="16" s="1"/>
  <c r="K186" i="16"/>
  <c r="J186" i="16"/>
  <c r="I186" i="16"/>
  <c r="H186" i="16"/>
  <c r="G186" i="16"/>
  <c r="F186" i="16"/>
  <c r="E186" i="16"/>
  <c r="A186" i="16"/>
  <c r="GE186" i="16" s="1"/>
  <c r="K185" i="16"/>
  <c r="J185" i="16"/>
  <c r="I185" i="16"/>
  <c r="H185" i="16"/>
  <c r="G185" i="16"/>
  <c r="F185" i="16"/>
  <c r="E185" i="16"/>
  <c r="A185" i="16"/>
  <c r="GE185" i="16" s="1"/>
  <c r="K184" i="16"/>
  <c r="J184" i="16"/>
  <c r="I184" i="16"/>
  <c r="H184" i="16"/>
  <c r="G184" i="16"/>
  <c r="F184" i="16"/>
  <c r="E184" i="16"/>
  <c r="A184" i="16"/>
  <c r="GE184" i="16" s="1"/>
  <c r="K183" i="16"/>
  <c r="J183" i="16"/>
  <c r="I183" i="16"/>
  <c r="H183" i="16"/>
  <c r="G183" i="16"/>
  <c r="F183" i="16"/>
  <c r="E183" i="16"/>
  <c r="A183" i="16"/>
  <c r="GE183" i="16" s="1"/>
  <c r="K182" i="16"/>
  <c r="J182" i="16"/>
  <c r="I182" i="16"/>
  <c r="H182" i="16"/>
  <c r="G182" i="16"/>
  <c r="F182" i="16"/>
  <c r="E182" i="16"/>
  <c r="A182" i="16"/>
  <c r="GE182" i="16" s="1"/>
  <c r="K181" i="16"/>
  <c r="J181" i="16"/>
  <c r="I181" i="16"/>
  <c r="H181" i="16"/>
  <c r="G181" i="16"/>
  <c r="F181" i="16"/>
  <c r="E181" i="16"/>
  <c r="A181" i="16"/>
  <c r="GE181" i="16" s="1"/>
  <c r="K180" i="16"/>
  <c r="J180" i="16"/>
  <c r="I180" i="16"/>
  <c r="H180" i="16"/>
  <c r="G180" i="16"/>
  <c r="F180" i="16"/>
  <c r="E180" i="16"/>
  <c r="A180" i="16"/>
  <c r="GE180" i="16" s="1"/>
  <c r="K179" i="16"/>
  <c r="J179" i="16"/>
  <c r="I179" i="16"/>
  <c r="H179" i="16"/>
  <c r="G179" i="16"/>
  <c r="F179" i="16"/>
  <c r="E179" i="16"/>
  <c r="A179" i="16"/>
  <c r="GE179" i="16" s="1"/>
  <c r="K178" i="16"/>
  <c r="J178" i="16"/>
  <c r="I178" i="16"/>
  <c r="H178" i="16"/>
  <c r="G178" i="16"/>
  <c r="F178" i="16"/>
  <c r="E178" i="16"/>
  <c r="A178" i="16"/>
  <c r="GE178" i="16" s="1"/>
  <c r="K177" i="16"/>
  <c r="J177" i="16"/>
  <c r="I177" i="16"/>
  <c r="H177" i="16"/>
  <c r="G177" i="16"/>
  <c r="F177" i="16"/>
  <c r="E177" i="16"/>
  <c r="A177" i="16"/>
  <c r="GE177" i="16" s="1"/>
  <c r="K176" i="16"/>
  <c r="J176" i="16"/>
  <c r="I176" i="16"/>
  <c r="H176" i="16"/>
  <c r="G176" i="16"/>
  <c r="F176" i="16"/>
  <c r="E176" i="16"/>
  <c r="A176" i="16"/>
  <c r="GE176" i="16" s="1"/>
  <c r="K175" i="16"/>
  <c r="J175" i="16"/>
  <c r="I175" i="16"/>
  <c r="H175" i="16"/>
  <c r="G175" i="16"/>
  <c r="F175" i="16"/>
  <c r="E175" i="16"/>
  <c r="A175" i="16"/>
  <c r="GE175" i="16" s="1"/>
  <c r="K174" i="16"/>
  <c r="J174" i="16"/>
  <c r="I174" i="16"/>
  <c r="H174" i="16"/>
  <c r="G174" i="16"/>
  <c r="F174" i="16"/>
  <c r="E174" i="16"/>
  <c r="A174" i="16"/>
  <c r="GE174" i="16" s="1"/>
  <c r="K173" i="16"/>
  <c r="J173" i="16"/>
  <c r="I173" i="16"/>
  <c r="H173" i="16"/>
  <c r="G173" i="16"/>
  <c r="F173" i="16"/>
  <c r="E173" i="16"/>
  <c r="A173" i="16"/>
  <c r="GE173" i="16" s="1"/>
  <c r="K172" i="16"/>
  <c r="J172" i="16"/>
  <c r="I172" i="16"/>
  <c r="H172" i="16"/>
  <c r="G172" i="16"/>
  <c r="F172" i="16"/>
  <c r="E172" i="16"/>
  <c r="A172" i="16"/>
  <c r="GE172" i="16" s="1"/>
  <c r="K171" i="16"/>
  <c r="J171" i="16"/>
  <c r="I171" i="16"/>
  <c r="H171" i="16"/>
  <c r="G171" i="16"/>
  <c r="F171" i="16"/>
  <c r="E171" i="16"/>
  <c r="A171" i="16"/>
  <c r="GE171" i="16" s="1"/>
  <c r="K170" i="16"/>
  <c r="J170" i="16"/>
  <c r="I170" i="16"/>
  <c r="H170" i="16"/>
  <c r="G170" i="16"/>
  <c r="F170" i="16"/>
  <c r="E170" i="16"/>
  <c r="A170" i="16"/>
  <c r="GE170" i="16" s="1"/>
  <c r="K169" i="16"/>
  <c r="J169" i="16"/>
  <c r="I169" i="16"/>
  <c r="H169" i="16"/>
  <c r="G169" i="16"/>
  <c r="F169" i="16"/>
  <c r="E169" i="16"/>
  <c r="A169" i="16"/>
  <c r="GE169" i="16" s="1"/>
  <c r="K168" i="16"/>
  <c r="J168" i="16"/>
  <c r="I168" i="16"/>
  <c r="H168" i="16"/>
  <c r="G168" i="16"/>
  <c r="F168" i="16"/>
  <c r="E168" i="16"/>
  <c r="A168" i="16"/>
  <c r="GE168" i="16" s="1"/>
  <c r="K167" i="16"/>
  <c r="J167" i="16"/>
  <c r="I167" i="16"/>
  <c r="H167" i="16"/>
  <c r="G167" i="16"/>
  <c r="F167" i="16"/>
  <c r="E167" i="16"/>
  <c r="A167" i="16"/>
  <c r="GE167" i="16" s="1"/>
  <c r="K166" i="16"/>
  <c r="J166" i="16"/>
  <c r="I166" i="16"/>
  <c r="H166" i="16"/>
  <c r="G166" i="16"/>
  <c r="F166" i="16"/>
  <c r="E166" i="16"/>
  <c r="A166" i="16"/>
  <c r="GE166" i="16" s="1"/>
  <c r="K165" i="16"/>
  <c r="J165" i="16"/>
  <c r="I165" i="16"/>
  <c r="H165" i="16"/>
  <c r="G165" i="16"/>
  <c r="F165" i="16"/>
  <c r="E165" i="16"/>
  <c r="A165" i="16"/>
  <c r="GE165" i="16" s="1"/>
  <c r="K164" i="16"/>
  <c r="J164" i="16"/>
  <c r="I164" i="16"/>
  <c r="H164" i="16"/>
  <c r="G164" i="16"/>
  <c r="F164" i="16"/>
  <c r="E164" i="16"/>
  <c r="A164" i="16"/>
  <c r="GE164" i="16" s="1"/>
  <c r="K163" i="16"/>
  <c r="J163" i="16"/>
  <c r="I163" i="16"/>
  <c r="H163" i="16"/>
  <c r="G163" i="16"/>
  <c r="F163" i="16"/>
  <c r="E163" i="16"/>
  <c r="A163" i="16"/>
  <c r="GE163" i="16" s="1"/>
  <c r="K162" i="16"/>
  <c r="J162" i="16"/>
  <c r="I162" i="16"/>
  <c r="H162" i="16"/>
  <c r="G162" i="16"/>
  <c r="F162" i="16"/>
  <c r="E162" i="16"/>
  <c r="A162" i="16"/>
  <c r="GE162" i="16" s="1"/>
  <c r="K161" i="16"/>
  <c r="J161" i="16"/>
  <c r="I161" i="16"/>
  <c r="H161" i="16"/>
  <c r="G161" i="16"/>
  <c r="F161" i="16"/>
  <c r="E161" i="16"/>
  <c r="A161" i="16"/>
  <c r="GE161" i="16" s="1"/>
  <c r="K160" i="16"/>
  <c r="J160" i="16"/>
  <c r="I160" i="16"/>
  <c r="H160" i="16"/>
  <c r="G160" i="16"/>
  <c r="F160" i="16"/>
  <c r="E160" i="16"/>
  <c r="A160" i="16"/>
  <c r="GE160" i="16" s="1"/>
  <c r="K159" i="16"/>
  <c r="J159" i="16"/>
  <c r="I159" i="16"/>
  <c r="H159" i="16"/>
  <c r="G159" i="16"/>
  <c r="F159" i="16"/>
  <c r="E159" i="16"/>
  <c r="A159" i="16"/>
  <c r="GE159" i="16" s="1"/>
  <c r="K158" i="16"/>
  <c r="J158" i="16"/>
  <c r="I158" i="16"/>
  <c r="H158" i="16"/>
  <c r="G158" i="16"/>
  <c r="F158" i="16"/>
  <c r="E158" i="16"/>
  <c r="A158" i="16"/>
  <c r="GE158" i="16" s="1"/>
  <c r="K157" i="16"/>
  <c r="J157" i="16"/>
  <c r="I157" i="16"/>
  <c r="H157" i="16"/>
  <c r="G157" i="16"/>
  <c r="F157" i="16"/>
  <c r="E157" i="16"/>
  <c r="A157" i="16"/>
  <c r="GE157" i="16" s="1"/>
  <c r="K156" i="16"/>
  <c r="J156" i="16"/>
  <c r="I156" i="16"/>
  <c r="H156" i="16"/>
  <c r="G156" i="16"/>
  <c r="F156" i="16"/>
  <c r="E156" i="16"/>
  <c r="A156" i="16"/>
  <c r="GE156" i="16" s="1"/>
  <c r="K155" i="16"/>
  <c r="J155" i="16"/>
  <c r="I155" i="16"/>
  <c r="H155" i="16"/>
  <c r="G155" i="16"/>
  <c r="F155" i="16"/>
  <c r="E155" i="16"/>
  <c r="A155" i="16"/>
  <c r="GE155" i="16" s="1"/>
  <c r="K154" i="16"/>
  <c r="J154" i="16"/>
  <c r="I154" i="16"/>
  <c r="H154" i="16"/>
  <c r="G154" i="16"/>
  <c r="F154" i="16"/>
  <c r="E154" i="16"/>
  <c r="A154" i="16"/>
  <c r="GE154" i="16" s="1"/>
  <c r="K153" i="16"/>
  <c r="J153" i="16"/>
  <c r="I153" i="16"/>
  <c r="H153" i="16"/>
  <c r="G153" i="16"/>
  <c r="F153" i="16"/>
  <c r="E153" i="16"/>
  <c r="A153" i="16"/>
  <c r="GE153" i="16" s="1"/>
  <c r="K152" i="16"/>
  <c r="J152" i="16"/>
  <c r="I152" i="16"/>
  <c r="H152" i="16"/>
  <c r="G152" i="16"/>
  <c r="F152" i="16"/>
  <c r="E152" i="16"/>
  <c r="A152" i="16"/>
  <c r="GE152" i="16" s="1"/>
  <c r="K151" i="16"/>
  <c r="J151" i="16"/>
  <c r="I151" i="16"/>
  <c r="H151" i="16"/>
  <c r="G151" i="16"/>
  <c r="F151" i="16"/>
  <c r="E151" i="16"/>
  <c r="A151" i="16"/>
  <c r="GE151" i="16" s="1"/>
  <c r="K150" i="16"/>
  <c r="J150" i="16"/>
  <c r="I150" i="16"/>
  <c r="H150" i="16"/>
  <c r="G150" i="16"/>
  <c r="F150" i="16"/>
  <c r="E150" i="16"/>
  <c r="A150" i="16"/>
  <c r="GE150" i="16" s="1"/>
  <c r="K149" i="16"/>
  <c r="J149" i="16"/>
  <c r="I149" i="16"/>
  <c r="H149" i="16"/>
  <c r="G149" i="16"/>
  <c r="F149" i="16"/>
  <c r="E149" i="16"/>
  <c r="A149" i="16"/>
  <c r="GE149" i="16" s="1"/>
  <c r="K148" i="16"/>
  <c r="J148" i="16"/>
  <c r="I148" i="16"/>
  <c r="H148" i="16"/>
  <c r="G148" i="16"/>
  <c r="F148" i="16"/>
  <c r="E148" i="16"/>
  <c r="A148" i="16"/>
  <c r="GE148" i="16" s="1"/>
  <c r="K147" i="16"/>
  <c r="J147" i="16"/>
  <c r="I147" i="16"/>
  <c r="H147" i="16"/>
  <c r="G147" i="16"/>
  <c r="F147" i="16"/>
  <c r="E147" i="16"/>
  <c r="A147" i="16"/>
  <c r="GE147" i="16" s="1"/>
  <c r="K146" i="16"/>
  <c r="J146" i="16"/>
  <c r="I146" i="16"/>
  <c r="H146" i="16"/>
  <c r="G146" i="16"/>
  <c r="F146" i="16"/>
  <c r="E146" i="16"/>
  <c r="A146" i="16"/>
  <c r="GE146" i="16" s="1"/>
  <c r="K145" i="16"/>
  <c r="J145" i="16"/>
  <c r="I145" i="16"/>
  <c r="H145" i="16"/>
  <c r="G145" i="16"/>
  <c r="F145" i="16"/>
  <c r="E145" i="16"/>
  <c r="A145" i="16"/>
  <c r="GE145" i="16" s="1"/>
  <c r="K144" i="16"/>
  <c r="J144" i="16"/>
  <c r="I144" i="16"/>
  <c r="H144" i="16"/>
  <c r="G144" i="16"/>
  <c r="F144" i="16"/>
  <c r="E144" i="16"/>
  <c r="A144" i="16"/>
  <c r="GE144" i="16" s="1"/>
  <c r="K143" i="16"/>
  <c r="J143" i="16"/>
  <c r="I143" i="16"/>
  <c r="H143" i="16"/>
  <c r="G143" i="16"/>
  <c r="F143" i="16"/>
  <c r="E143" i="16"/>
  <c r="A143" i="16"/>
  <c r="GE143" i="16" s="1"/>
  <c r="K142" i="16"/>
  <c r="J142" i="16"/>
  <c r="I142" i="16"/>
  <c r="H142" i="16"/>
  <c r="G142" i="16"/>
  <c r="F142" i="16"/>
  <c r="E142" i="16"/>
  <c r="A142" i="16"/>
  <c r="GE142" i="16" s="1"/>
  <c r="K141" i="16"/>
  <c r="J141" i="16"/>
  <c r="I141" i="16"/>
  <c r="H141" i="16"/>
  <c r="G141" i="16"/>
  <c r="F141" i="16"/>
  <c r="E141" i="16"/>
  <c r="A141" i="16"/>
  <c r="GE141" i="16" s="1"/>
  <c r="K140" i="16"/>
  <c r="J140" i="16"/>
  <c r="I140" i="16"/>
  <c r="H140" i="16"/>
  <c r="G140" i="16"/>
  <c r="F140" i="16"/>
  <c r="E140" i="16"/>
  <c r="A140" i="16"/>
  <c r="GE140" i="16" s="1"/>
  <c r="K139" i="16"/>
  <c r="J139" i="16"/>
  <c r="I139" i="16"/>
  <c r="H139" i="16"/>
  <c r="G139" i="16"/>
  <c r="F139" i="16"/>
  <c r="E139" i="16"/>
  <c r="A139" i="16"/>
  <c r="GE139" i="16" s="1"/>
  <c r="K138" i="16"/>
  <c r="J138" i="16"/>
  <c r="I138" i="16"/>
  <c r="H138" i="16"/>
  <c r="G138" i="16"/>
  <c r="F138" i="16"/>
  <c r="E138" i="16"/>
  <c r="A138" i="16"/>
  <c r="GE138" i="16" s="1"/>
  <c r="K137" i="16"/>
  <c r="J137" i="16"/>
  <c r="I137" i="16"/>
  <c r="H137" i="16"/>
  <c r="G137" i="16"/>
  <c r="F137" i="16"/>
  <c r="E137" i="16"/>
  <c r="A137" i="16"/>
  <c r="GE137" i="16" s="1"/>
  <c r="K136" i="16"/>
  <c r="J136" i="16"/>
  <c r="I136" i="16"/>
  <c r="H136" i="16"/>
  <c r="G136" i="16"/>
  <c r="F136" i="16"/>
  <c r="E136" i="16"/>
  <c r="A136" i="16"/>
  <c r="GE136" i="16" s="1"/>
  <c r="K135" i="16"/>
  <c r="J135" i="16"/>
  <c r="I135" i="16"/>
  <c r="H135" i="16"/>
  <c r="G135" i="16"/>
  <c r="F135" i="16"/>
  <c r="E135" i="16"/>
  <c r="A135" i="16"/>
  <c r="GE135" i="16" s="1"/>
  <c r="K134" i="16"/>
  <c r="J134" i="16"/>
  <c r="I134" i="16"/>
  <c r="H134" i="16"/>
  <c r="G134" i="16"/>
  <c r="F134" i="16"/>
  <c r="E134" i="16"/>
  <c r="A134" i="16"/>
  <c r="GE134" i="16" s="1"/>
  <c r="K133" i="16"/>
  <c r="J133" i="16"/>
  <c r="I133" i="16"/>
  <c r="H133" i="16"/>
  <c r="G133" i="16"/>
  <c r="F133" i="16"/>
  <c r="E133" i="16"/>
  <c r="A133" i="16"/>
  <c r="GE133" i="16" s="1"/>
  <c r="K132" i="16"/>
  <c r="J132" i="16"/>
  <c r="I132" i="16"/>
  <c r="H132" i="16"/>
  <c r="G132" i="16"/>
  <c r="F132" i="16"/>
  <c r="E132" i="16"/>
  <c r="A132" i="16"/>
  <c r="GE132" i="16" s="1"/>
  <c r="K131" i="16"/>
  <c r="J131" i="16"/>
  <c r="I131" i="16"/>
  <c r="H131" i="16"/>
  <c r="G131" i="16"/>
  <c r="F131" i="16"/>
  <c r="E131" i="16"/>
  <c r="A131" i="16"/>
  <c r="GE131" i="16" s="1"/>
  <c r="K130" i="16"/>
  <c r="J130" i="16"/>
  <c r="I130" i="16"/>
  <c r="H130" i="16"/>
  <c r="G130" i="16"/>
  <c r="F130" i="16"/>
  <c r="E130" i="16"/>
  <c r="A130" i="16"/>
  <c r="GE130" i="16" s="1"/>
  <c r="K129" i="16"/>
  <c r="J129" i="16"/>
  <c r="I129" i="16"/>
  <c r="H129" i="16"/>
  <c r="G129" i="16"/>
  <c r="F129" i="16"/>
  <c r="E129" i="16"/>
  <c r="A129" i="16"/>
  <c r="GE129" i="16" s="1"/>
  <c r="K128" i="16"/>
  <c r="J128" i="16"/>
  <c r="I128" i="16"/>
  <c r="H128" i="16"/>
  <c r="G128" i="16"/>
  <c r="F128" i="16"/>
  <c r="E128" i="16"/>
  <c r="A128" i="16"/>
  <c r="GE128" i="16" s="1"/>
  <c r="K127" i="16"/>
  <c r="J127" i="16"/>
  <c r="I127" i="16"/>
  <c r="H127" i="16"/>
  <c r="G127" i="16"/>
  <c r="F127" i="16"/>
  <c r="E127" i="16"/>
  <c r="A127" i="16"/>
  <c r="GE127" i="16" s="1"/>
  <c r="K126" i="16"/>
  <c r="J126" i="16"/>
  <c r="I126" i="16"/>
  <c r="H126" i="16"/>
  <c r="G126" i="16"/>
  <c r="F126" i="16"/>
  <c r="E126" i="16"/>
  <c r="A126" i="16"/>
  <c r="GE126" i="16" s="1"/>
  <c r="K125" i="16"/>
  <c r="J125" i="16"/>
  <c r="I125" i="16"/>
  <c r="H125" i="16"/>
  <c r="G125" i="16"/>
  <c r="F125" i="16"/>
  <c r="E125" i="16"/>
  <c r="A125" i="16"/>
  <c r="GE125" i="16" s="1"/>
  <c r="K124" i="16"/>
  <c r="J124" i="16"/>
  <c r="I124" i="16"/>
  <c r="H124" i="16"/>
  <c r="G124" i="16"/>
  <c r="F124" i="16"/>
  <c r="E124" i="16"/>
  <c r="A124" i="16"/>
  <c r="GE124" i="16" s="1"/>
  <c r="K123" i="16"/>
  <c r="J123" i="16"/>
  <c r="I123" i="16"/>
  <c r="H123" i="16"/>
  <c r="G123" i="16"/>
  <c r="F123" i="16"/>
  <c r="E123" i="16"/>
  <c r="A123" i="16"/>
  <c r="GE123" i="16" s="1"/>
  <c r="K122" i="16"/>
  <c r="J122" i="16"/>
  <c r="I122" i="16"/>
  <c r="H122" i="16"/>
  <c r="G122" i="16"/>
  <c r="F122" i="16"/>
  <c r="E122" i="16"/>
  <c r="A122" i="16"/>
  <c r="GE122" i="16" s="1"/>
  <c r="K121" i="16"/>
  <c r="J121" i="16"/>
  <c r="I121" i="16"/>
  <c r="H121" i="16"/>
  <c r="G121" i="16"/>
  <c r="F121" i="16"/>
  <c r="E121" i="16"/>
  <c r="A121" i="16"/>
  <c r="GE121" i="16" s="1"/>
  <c r="K120" i="16"/>
  <c r="J120" i="16"/>
  <c r="I120" i="16"/>
  <c r="H120" i="16"/>
  <c r="G120" i="16"/>
  <c r="F120" i="16"/>
  <c r="E120" i="16"/>
  <c r="A120" i="16"/>
  <c r="GE120" i="16" s="1"/>
  <c r="K119" i="16"/>
  <c r="J119" i="16"/>
  <c r="I119" i="16"/>
  <c r="H119" i="16"/>
  <c r="G119" i="16"/>
  <c r="F119" i="16"/>
  <c r="E119" i="16"/>
  <c r="A119" i="16"/>
  <c r="GE119" i="16" s="1"/>
  <c r="K118" i="16"/>
  <c r="J118" i="16"/>
  <c r="I118" i="16"/>
  <c r="H118" i="16"/>
  <c r="G118" i="16"/>
  <c r="F118" i="16"/>
  <c r="E118" i="16"/>
  <c r="A118" i="16"/>
  <c r="GE118" i="16" s="1"/>
  <c r="K117" i="16"/>
  <c r="J117" i="16"/>
  <c r="I117" i="16"/>
  <c r="H117" i="16"/>
  <c r="G117" i="16"/>
  <c r="F117" i="16"/>
  <c r="E117" i="16"/>
  <c r="A117" i="16"/>
  <c r="GE117" i="16" s="1"/>
  <c r="K116" i="16"/>
  <c r="J116" i="16"/>
  <c r="I116" i="16"/>
  <c r="H116" i="16"/>
  <c r="G116" i="16"/>
  <c r="F116" i="16"/>
  <c r="E116" i="16"/>
  <c r="A116" i="16"/>
  <c r="GE116" i="16" s="1"/>
  <c r="K115" i="16"/>
  <c r="J115" i="16"/>
  <c r="I115" i="16"/>
  <c r="H115" i="16"/>
  <c r="G115" i="16"/>
  <c r="F115" i="16"/>
  <c r="E115" i="16"/>
  <c r="A115" i="16"/>
  <c r="GE115" i="16" s="1"/>
  <c r="K114" i="16"/>
  <c r="J114" i="16"/>
  <c r="I114" i="16"/>
  <c r="H114" i="16"/>
  <c r="G114" i="16"/>
  <c r="F114" i="16"/>
  <c r="E114" i="16"/>
  <c r="A114" i="16"/>
  <c r="GE114" i="16" s="1"/>
  <c r="K113" i="16"/>
  <c r="J113" i="16"/>
  <c r="I113" i="16"/>
  <c r="H113" i="16"/>
  <c r="G113" i="16"/>
  <c r="F113" i="16"/>
  <c r="E113" i="16"/>
  <c r="A113" i="16"/>
  <c r="GE113" i="16" s="1"/>
  <c r="K112" i="16"/>
  <c r="J112" i="16"/>
  <c r="I112" i="16"/>
  <c r="H112" i="16"/>
  <c r="G112" i="16"/>
  <c r="F112" i="16"/>
  <c r="E112" i="16"/>
  <c r="A112" i="16"/>
  <c r="GE112" i="16" s="1"/>
  <c r="K111" i="16"/>
  <c r="J111" i="16"/>
  <c r="I111" i="16"/>
  <c r="H111" i="16"/>
  <c r="G111" i="16"/>
  <c r="F111" i="16"/>
  <c r="E111" i="16"/>
  <c r="A111" i="16"/>
  <c r="GE111" i="16" s="1"/>
  <c r="K110" i="16"/>
  <c r="J110" i="16"/>
  <c r="I110" i="16"/>
  <c r="H110" i="16"/>
  <c r="G110" i="16"/>
  <c r="F110" i="16"/>
  <c r="E110" i="16"/>
  <c r="A110" i="16"/>
  <c r="GE110" i="16" s="1"/>
  <c r="K109" i="16"/>
  <c r="J109" i="16"/>
  <c r="I109" i="16"/>
  <c r="H109" i="16"/>
  <c r="G109" i="16"/>
  <c r="F109" i="16"/>
  <c r="E109" i="16"/>
  <c r="A109" i="16"/>
  <c r="GE109" i="16" s="1"/>
  <c r="K108" i="16"/>
  <c r="J108" i="16"/>
  <c r="I108" i="16"/>
  <c r="H108" i="16"/>
  <c r="G108" i="16"/>
  <c r="F108" i="16"/>
  <c r="E108" i="16"/>
  <c r="A108" i="16"/>
  <c r="GE108" i="16" s="1"/>
  <c r="K107" i="16"/>
  <c r="J107" i="16"/>
  <c r="I107" i="16"/>
  <c r="H107" i="16"/>
  <c r="G107" i="16"/>
  <c r="F107" i="16"/>
  <c r="E107" i="16"/>
  <c r="A107" i="16"/>
  <c r="GE107" i="16" s="1"/>
  <c r="K106" i="16"/>
  <c r="J106" i="16"/>
  <c r="I106" i="16"/>
  <c r="H106" i="16"/>
  <c r="G106" i="16"/>
  <c r="F106" i="16"/>
  <c r="E106" i="16"/>
  <c r="A106" i="16"/>
  <c r="GE106" i="16" s="1"/>
  <c r="K105" i="16"/>
  <c r="J105" i="16"/>
  <c r="I105" i="16"/>
  <c r="H105" i="16"/>
  <c r="G105" i="16"/>
  <c r="F105" i="16"/>
  <c r="E105" i="16"/>
  <c r="A105" i="16"/>
  <c r="GE105" i="16" s="1"/>
  <c r="K104" i="16"/>
  <c r="J104" i="16"/>
  <c r="I104" i="16"/>
  <c r="H104" i="16"/>
  <c r="G104" i="16"/>
  <c r="F104" i="16"/>
  <c r="E104" i="16"/>
  <c r="A104" i="16"/>
  <c r="GE104" i="16" s="1"/>
  <c r="K103" i="16"/>
  <c r="J103" i="16"/>
  <c r="I103" i="16"/>
  <c r="H103" i="16"/>
  <c r="G103" i="16"/>
  <c r="F103" i="16"/>
  <c r="E103" i="16"/>
  <c r="A103" i="16"/>
  <c r="GE103" i="16" s="1"/>
  <c r="K102" i="16"/>
  <c r="J102" i="16"/>
  <c r="I102" i="16"/>
  <c r="H102" i="16"/>
  <c r="G102" i="16"/>
  <c r="F102" i="16"/>
  <c r="E102" i="16"/>
  <c r="A102" i="16"/>
  <c r="GE102" i="16" s="1"/>
  <c r="K101" i="16"/>
  <c r="J101" i="16"/>
  <c r="I101" i="16"/>
  <c r="H101" i="16"/>
  <c r="G101" i="16"/>
  <c r="F101" i="16"/>
  <c r="E101" i="16"/>
  <c r="A101" i="16"/>
  <c r="GE101" i="16" s="1"/>
  <c r="K100" i="16"/>
  <c r="J100" i="16"/>
  <c r="I100" i="16"/>
  <c r="H100" i="16"/>
  <c r="G100" i="16"/>
  <c r="F100" i="16"/>
  <c r="E100" i="16"/>
  <c r="A100" i="16"/>
  <c r="GE100" i="16" s="1"/>
  <c r="K99" i="16"/>
  <c r="J99" i="16"/>
  <c r="I99" i="16"/>
  <c r="H99" i="16"/>
  <c r="G99" i="16"/>
  <c r="F99" i="16"/>
  <c r="E99" i="16"/>
  <c r="A99" i="16"/>
  <c r="GE99" i="16" s="1"/>
  <c r="K98" i="16"/>
  <c r="J98" i="16"/>
  <c r="I98" i="16"/>
  <c r="H98" i="16"/>
  <c r="G98" i="16"/>
  <c r="F98" i="16"/>
  <c r="E98" i="16"/>
  <c r="A98" i="16"/>
  <c r="GE98" i="16" s="1"/>
  <c r="K97" i="16"/>
  <c r="J97" i="16"/>
  <c r="I97" i="16"/>
  <c r="H97" i="16"/>
  <c r="G97" i="16"/>
  <c r="F97" i="16"/>
  <c r="E97" i="16"/>
  <c r="A97" i="16"/>
  <c r="GE97" i="16" s="1"/>
  <c r="K96" i="16"/>
  <c r="J96" i="16"/>
  <c r="I96" i="16"/>
  <c r="H96" i="16"/>
  <c r="G96" i="16"/>
  <c r="F96" i="16"/>
  <c r="E96" i="16"/>
  <c r="A96" i="16"/>
  <c r="GE96" i="16" s="1"/>
  <c r="K95" i="16"/>
  <c r="J95" i="16"/>
  <c r="I95" i="16"/>
  <c r="H95" i="16"/>
  <c r="G95" i="16"/>
  <c r="F95" i="16"/>
  <c r="E95" i="16"/>
  <c r="A95" i="16"/>
  <c r="GE95" i="16" s="1"/>
  <c r="K94" i="16"/>
  <c r="J94" i="16"/>
  <c r="I94" i="16"/>
  <c r="H94" i="16"/>
  <c r="G94" i="16"/>
  <c r="F94" i="16"/>
  <c r="E94" i="16"/>
  <c r="A94" i="16"/>
  <c r="GE94" i="16" s="1"/>
  <c r="K93" i="16"/>
  <c r="J93" i="16"/>
  <c r="I93" i="16"/>
  <c r="H93" i="16"/>
  <c r="G93" i="16"/>
  <c r="F93" i="16"/>
  <c r="E93" i="16"/>
  <c r="A93" i="16"/>
  <c r="GE93" i="16" s="1"/>
  <c r="K92" i="16"/>
  <c r="J92" i="16"/>
  <c r="I92" i="16"/>
  <c r="H92" i="16"/>
  <c r="G92" i="16"/>
  <c r="F92" i="16"/>
  <c r="E92" i="16"/>
  <c r="A92" i="16"/>
  <c r="GE92" i="16" s="1"/>
  <c r="K91" i="16"/>
  <c r="J91" i="16"/>
  <c r="I91" i="16"/>
  <c r="H91" i="16"/>
  <c r="G91" i="16"/>
  <c r="F91" i="16"/>
  <c r="E91" i="16"/>
  <c r="A91" i="16"/>
  <c r="GE91" i="16" s="1"/>
  <c r="K90" i="16"/>
  <c r="J90" i="16"/>
  <c r="I90" i="16"/>
  <c r="H90" i="16"/>
  <c r="G90" i="16"/>
  <c r="F90" i="16"/>
  <c r="E90" i="16"/>
  <c r="A90" i="16"/>
  <c r="GE90" i="16" s="1"/>
  <c r="K89" i="16"/>
  <c r="J89" i="16"/>
  <c r="I89" i="16"/>
  <c r="H89" i="16"/>
  <c r="G89" i="16"/>
  <c r="F89" i="16"/>
  <c r="E89" i="16"/>
  <c r="A89" i="16"/>
  <c r="GE89" i="16" s="1"/>
  <c r="K88" i="16"/>
  <c r="J88" i="16"/>
  <c r="I88" i="16"/>
  <c r="H88" i="16"/>
  <c r="G88" i="16"/>
  <c r="F88" i="16"/>
  <c r="E88" i="16"/>
  <c r="A88" i="16"/>
  <c r="GE88" i="16" s="1"/>
  <c r="K87" i="16"/>
  <c r="J87" i="16"/>
  <c r="I87" i="16"/>
  <c r="H87" i="16"/>
  <c r="G87" i="16"/>
  <c r="F87" i="16"/>
  <c r="E87" i="16"/>
  <c r="A87" i="16"/>
  <c r="GE87" i="16" s="1"/>
  <c r="K86" i="16"/>
  <c r="J86" i="16"/>
  <c r="I86" i="16"/>
  <c r="H86" i="16"/>
  <c r="G86" i="16"/>
  <c r="F86" i="16"/>
  <c r="E86" i="16"/>
  <c r="A86" i="16"/>
  <c r="GE86" i="16" s="1"/>
  <c r="K85" i="16"/>
  <c r="J85" i="16"/>
  <c r="I85" i="16"/>
  <c r="H85" i="16"/>
  <c r="G85" i="16"/>
  <c r="F85" i="16"/>
  <c r="E85" i="16"/>
  <c r="A85" i="16"/>
  <c r="GE85" i="16" s="1"/>
  <c r="K84" i="16"/>
  <c r="J84" i="16"/>
  <c r="I84" i="16"/>
  <c r="H84" i="16"/>
  <c r="G84" i="16"/>
  <c r="F84" i="16"/>
  <c r="E84" i="16"/>
  <c r="A84" i="16"/>
  <c r="GE84" i="16" s="1"/>
  <c r="K83" i="16"/>
  <c r="J83" i="16"/>
  <c r="I83" i="16"/>
  <c r="H83" i="16"/>
  <c r="G83" i="16"/>
  <c r="F83" i="16"/>
  <c r="E83" i="16"/>
  <c r="A83" i="16"/>
  <c r="GE83" i="16" s="1"/>
  <c r="K82" i="16"/>
  <c r="J82" i="16"/>
  <c r="I82" i="16"/>
  <c r="H82" i="16"/>
  <c r="G82" i="16"/>
  <c r="F82" i="16"/>
  <c r="E82" i="16"/>
  <c r="A82" i="16"/>
  <c r="GE82" i="16" s="1"/>
  <c r="K81" i="16"/>
  <c r="J81" i="16"/>
  <c r="I81" i="16"/>
  <c r="H81" i="16"/>
  <c r="G81" i="16"/>
  <c r="F81" i="16"/>
  <c r="E81" i="16"/>
  <c r="A81" i="16"/>
  <c r="GE81" i="16" s="1"/>
  <c r="K80" i="16"/>
  <c r="J80" i="16"/>
  <c r="I80" i="16"/>
  <c r="H80" i="16"/>
  <c r="G80" i="16"/>
  <c r="F80" i="16"/>
  <c r="E80" i="16"/>
  <c r="A80" i="16"/>
  <c r="GE80" i="16" s="1"/>
  <c r="K79" i="16"/>
  <c r="J79" i="16"/>
  <c r="I79" i="16"/>
  <c r="H79" i="16"/>
  <c r="G79" i="16"/>
  <c r="F79" i="16"/>
  <c r="E79" i="16"/>
  <c r="A79" i="16"/>
  <c r="GE79" i="16" s="1"/>
  <c r="K78" i="16"/>
  <c r="J78" i="16"/>
  <c r="I78" i="16"/>
  <c r="H78" i="16"/>
  <c r="G78" i="16"/>
  <c r="F78" i="16"/>
  <c r="E78" i="16"/>
  <c r="A78" i="16"/>
  <c r="GE78" i="16" s="1"/>
  <c r="K77" i="16"/>
  <c r="J77" i="16"/>
  <c r="I77" i="16"/>
  <c r="H77" i="16"/>
  <c r="G77" i="16"/>
  <c r="F77" i="16"/>
  <c r="E77" i="16"/>
  <c r="A77" i="16"/>
  <c r="GE77" i="16" s="1"/>
  <c r="K76" i="16"/>
  <c r="J76" i="16"/>
  <c r="I76" i="16"/>
  <c r="H76" i="16"/>
  <c r="G76" i="16"/>
  <c r="F76" i="16"/>
  <c r="E76" i="16"/>
  <c r="A76" i="16"/>
  <c r="GE76" i="16" s="1"/>
  <c r="K75" i="16"/>
  <c r="J75" i="16"/>
  <c r="I75" i="16"/>
  <c r="H75" i="16"/>
  <c r="G75" i="16"/>
  <c r="F75" i="16"/>
  <c r="E75" i="16"/>
  <c r="A75" i="16"/>
  <c r="GE75" i="16" s="1"/>
  <c r="K74" i="16"/>
  <c r="J74" i="16"/>
  <c r="I74" i="16"/>
  <c r="H74" i="16"/>
  <c r="G74" i="16"/>
  <c r="F74" i="16"/>
  <c r="E74" i="16"/>
  <c r="A74" i="16"/>
  <c r="GE74" i="16" s="1"/>
  <c r="K73" i="16"/>
  <c r="J73" i="16"/>
  <c r="I73" i="16"/>
  <c r="H73" i="16"/>
  <c r="G73" i="16"/>
  <c r="F73" i="16"/>
  <c r="E73" i="16"/>
  <c r="A73" i="16"/>
  <c r="GE73" i="16" s="1"/>
  <c r="K72" i="16"/>
  <c r="J72" i="16"/>
  <c r="I72" i="16"/>
  <c r="H72" i="16"/>
  <c r="G72" i="16"/>
  <c r="F72" i="16"/>
  <c r="E72" i="16"/>
  <c r="A72" i="16"/>
  <c r="GE72" i="16" s="1"/>
  <c r="K71" i="16"/>
  <c r="J71" i="16"/>
  <c r="I71" i="16"/>
  <c r="H71" i="16"/>
  <c r="G71" i="16"/>
  <c r="F71" i="16"/>
  <c r="E71" i="16"/>
  <c r="A71" i="16"/>
  <c r="GE71" i="16" s="1"/>
  <c r="K70" i="16"/>
  <c r="J70" i="16"/>
  <c r="I70" i="16"/>
  <c r="H70" i="16"/>
  <c r="G70" i="16"/>
  <c r="F70" i="16"/>
  <c r="E70" i="16"/>
  <c r="A70" i="16"/>
  <c r="GE70" i="16" s="1"/>
  <c r="K69" i="16"/>
  <c r="J69" i="16"/>
  <c r="I69" i="16"/>
  <c r="H69" i="16"/>
  <c r="G69" i="16"/>
  <c r="F69" i="16"/>
  <c r="E69" i="16"/>
  <c r="A69" i="16"/>
  <c r="GE69" i="16" s="1"/>
  <c r="K68" i="16"/>
  <c r="J68" i="16"/>
  <c r="I68" i="16"/>
  <c r="H68" i="16"/>
  <c r="G68" i="16"/>
  <c r="F68" i="16"/>
  <c r="E68" i="16"/>
  <c r="A68" i="16"/>
  <c r="GE68" i="16" s="1"/>
  <c r="K67" i="16"/>
  <c r="J67" i="16"/>
  <c r="I67" i="16"/>
  <c r="H67" i="16"/>
  <c r="G67" i="16"/>
  <c r="F67" i="16"/>
  <c r="E67" i="16"/>
  <c r="A67" i="16"/>
  <c r="GE67" i="16" s="1"/>
  <c r="K66" i="16"/>
  <c r="J66" i="16"/>
  <c r="I66" i="16"/>
  <c r="H66" i="16"/>
  <c r="G66" i="16"/>
  <c r="F66" i="16"/>
  <c r="E66" i="16"/>
  <c r="A66" i="16"/>
  <c r="GE66" i="16" s="1"/>
  <c r="K65" i="16"/>
  <c r="J65" i="16"/>
  <c r="I65" i="16"/>
  <c r="H65" i="16"/>
  <c r="G65" i="16"/>
  <c r="F65" i="16"/>
  <c r="E65" i="16"/>
  <c r="A65" i="16"/>
  <c r="GE65" i="16" s="1"/>
  <c r="K64" i="16"/>
  <c r="J64" i="16"/>
  <c r="I64" i="16"/>
  <c r="H64" i="16"/>
  <c r="G64" i="16"/>
  <c r="F64" i="16"/>
  <c r="E64" i="16"/>
  <c r="A64" i="16"/>
  <c r="GE64" i="16" s="1"/>
  <c r="K63" i="16"/>
  <c r="J63" i="16"/>
  <c r="I63" i="16"/>
  <c r="H63" i="16"/>
  <c r="G63" i="16"/>
  <c r="F63" i="16"/>
  <c r="E63" i="16"/>
  <c r="A63" i="16"/>
  <c r="GE63" i="16" s="1"/>
  <c r="K62" i="16"/>
  <c r="J62" i="16"/>
  <c r="I62" i="16"/>
  <c r="H62" i="16"/>
  <c r="G62" i="16"/>
  <c r="F62" i="16"/>
  <c r="E62" i="16"/>
  <c r="A62" i="16"/>
  <c r="GE62" i="16" s="1"/>
  <c r="K61" i="16"/>
  <c r="J61" i="16"/>
  <c r="I61" i="16"/>
  <c r="H61" i="16"/>
  <c r="G61" i="16"/>
  <c r="F61" i="16"/>
  <c r="E61" i="16"/>
  <c r="A61" i="16"/>
  <c r="GE61" i="16" s="1"/>
  <c r="K60" i="16"/>
  <c r="J60" i="16"/>
  <c r="I60" i="16"/>
  <c r="H60" i="16"/>
  <c r="G60" i="16"/>
  <c r="F60" i="16"/>
  <c r="E60" i="16"/>
  <c r="A60" i="16"/>
  <c r="GE60" i="16" s="1"/>
  <c r="K59" i="16"/>
  <c r="J59" i="16"/>
  <c r="I59" i="16"/>
  <c r="H59" i="16"/>
  <c r="G59" i="16"/>
  <c r="F59" i="16"/>
  <c r="E59" i="16"/>
  <c r="A59" i="16"/>
  <c r="GE59" i="16" s="1"/>
  <c r="K58" i="16"/>
  <c r="J58" i="16"/>
  <c r="I58" i="16"/>
  <c r="H58" i="16"/>
  <c r="G58" i="16"/>
  <c r="F58" i="16"/>
  <c r="E58" i="16"/>
  <c r="A58" i="16"/>
  <c r="GE58" i="16" s="1"/>
  <c r="K57" i="16"/>
  <c r="J57" i="16"/>
  <c r="I57" i="16"/>
  <c r="H57" i="16"/>
  <c r="G57" i="16"/>
  <c r="F57" i="16"/>
  <c r="E57" i="16"/>
  <c r="A57" i="16"/>
  <c r="GE57" i="16" s="1"/>
  <c r="K56" i="16"/>
  <c r="J56" i="16"/>
  <c r="I56" i="16"/>
  <c r="H56" i="16"/>
  <c r="G56" i="16"/>
  <c r="F56" i="16"/>
  <c r="E56" i="16"/>
  <c r="A56" i="16"/>
  <c r="GE56" i="16" s="1"/>
  <c r="K55" i="16"/>
  <c r="J55" i="16"/>
  <c r="I55" i="16"/>
  <c r="H55" i="16"/>
  <c r="G55" i="16"/>
  <c r="F55" i="16"/>
  <c r="E55" i="16"/>
  <c r="A55" i="16"/>
  <c r="GE55" i="16" s="1"/>
  <c r="K54" i="16"/>
  <c r="J54" i="16"/>
  <c r="I54" i="16"/>
  <c r="H54" i="16"/>
  <c r="G54" i="16"/>
  <c r="F54" i="16"/>
  <c r="E54" i="16"/>
  <c r="A54" i="16"/>
  <c r="GE54" i="16" s="1"/>
  <c r="K53" i="16"/>
  <c r="J53" i="16"/>
  <c r="I53" i="16"/>
  <c r="H53" i="16"/>
  <c r="G53" i="16"/>
  <c r="F53" i="16"/>
  <c r="E53" i="16"/>
  <c r="A53" i="16"/>
  <c r="GE53" i="16" s="1"/>
  <c r="K52" i="16"/>
  <c r="J52" i="16"/>
  <c r="I52" i="16"/>
  <c r="H52" i="16"/>
  <c r="G52" i="16"/>
  <c r="F52" i="16"/>
  <c r="E52" i="16"/>
  <c r="A52" i="16"/>
  <c r="GE52" i="16" s="1"/>
  <c r="K51" i="16"/>
  <c r="J51" i="16"/>
  <c r="I51" i="16"/>
  <c r="H51" i="16"/>
  <c r="G51" i="16"/>
  <c r="F51" i="16"/>
  <c r="E51" i="16"/>
  <c r="A51" i="16"/>
  <c r="GE51" i="16" s="1"/>
  <c r="K50" i="16"/>
  <c r="J50" i="16"/>
  <c r="I50" i="16"/>
  <c r="H50" i="16"/>
  <c r="G50" i="16"/>
  <c r="F50" i="16"/>
  <c r="E50" i="16"/>
  <c r="A50" i="16"/>
  <c r="GE50" i="16" s="1"/>
  <c r="K49" i="16"/>
  <c r="J49" i="16"/>
  <c r="I49" i="16"/>
  <c r="H49" i="16"/>
  <c r="G49" i="16"/>
  <c r="F49" i="16"/>
  <c r="E49" i="16"/>
  <c r="A49" i="16"/>
  <c r="GE49" i="16" s="1"/>
  <c r="K48" i="16"/>
  <c r="J48" i="16"/>
  <c r="I48" i="16"/>
  <c r="H48" i="16"/>
  <c r="G48" i="16"/>
  <c r="F48" i="16"/>
  <c r="E48" i="16"/>
  <c r="A48" i="16"/>
  <c r="GE48" i="16" s="1"/>
  <c r="K47" i="16"/>
  <c r="J47" i="16"/>
  <c r="I47" i="16"/>
  <c r="H47" i="16"/>
  <c r="G47" i="16"/>
  <c r="F47" i="16"/>
  <c r="E47" i="16"/>
  <c r="A47" i="16"/>
  <c r="GE47" i="16" s="1"/>
  <c r="K46" i="16"/>
  <c r="J46" i="16"/>
  <c r="I46" i="16"/>
  <c r="H46" i="16"/>
  <c r="G46" i="16"/>
  <c r="F46" i="16"/>
  <c r="E46" i="16"/>
  <c r="A46" i="16"/>
  <c r="GE46" i="16" s="1"/>
  <c r="K45" i="16"/>
  <c r="J45" i="16"/>
  <c r="I45" i="16"/>
  <c r="H45" i="16"/>
  <c r="G45" i="16"/>
  <c r="F45" i="16"/>
  <c r="E45" i="16"/>
  <c r="A45" i="16"/>
  <c r="GE45" i="16" s="1"/>
  <c r="K44" i="16"/>
  <c r="J44" i="16"/>
  <c r="I44" i="16"/>
  <c r="H44" i="16"/>
  <c r="G44" i="16"/>
  <c r="F44" i="16"/>
  <c r="E44" i="16"/>
  <c r="A44" i="16"/>
  <c r="GE44" i="16" s="1"/>
  <c r="K43" i="16"/>
  <c r="J43" i="16"/>
  <c r="I43" i="16"/>
  <c r="H43" i="16"/>
  <c r="G43" i="16"/>
  <c r="F43" i="16"/>
  <c r="E43" i="16"/>
  <c r="A43" i="16"/>
  <c r="GE43" i="16" s="1"/>
  <c r="K42" i="16"/>
  <c r="J42" i="16"/>
  <c r="I42" i="16"/>
  <c r="H42" i="16"/>
  <c r="G42" i="16"/>
  <c r="F42" i="16"/>
  <c r="E42" i="16"/>
  <c r="A42" i="16"/>
  <c r="GE42" i="16" s="1"/>
  <c r="K41" i="16"/>
  <c r="J41" i="16"/>
  <c r="I41" i="16"/>
  <c r="H41" i="16"/>
  <c r="G41" i="16"/>
  <c r="F41" i="16"/>
  <c r="E41" i="16"/>
  <c r="A41" i="16"/>
  <c r="GE41" i="16" s="1"/>
  <c r="K40" i="16"/>
  <c r="J40" i="16"/>
  <c r="I40" i="16"/>
  <c r="H40" i="16"/>
  <c r="G40" i="16"/>
  <c r="F40" i="16"/>
  <c r="E40" i="16"/>
  <c r="A40" i="16"/>
  <c r="GE40" i="16" s="1"/>
  <c r="K39" i="16"/>
  <c r="J39" i="16"/>
  <c r="I39" i="16"/>
  <c r="H39" i="16"/>
  <c r="G39" i="16"/>
  <c r="F39" i="16"/>
  <c r="E39" i="16"/>
  <c r="A39" i="16"/>
  <c r="GE39" i="16" s="1"/>
  <c r="K38" i="16"/>
  <c r="J38" i="16"/>
  <c r="I38" i="16"/>
  <c r="H38" i="16"/>
  <c r="G38" i="16"/>
  <c r="F38" i="16"/>
  <c r="E38" i="16"/>
  <c r="A38" i="16"/>
  <c r="GE38" i="16" s="1"/>
  <c r="K37" i="16"/>
  <c r="J37" i="16"/>
  <c r="I37" i="16"/>
  <c r="H37" i="16"/>
  <c r="G37" i="16"/>
  <c r="F37" i="16"/>
  <c r="E37" i="16"/>
  <c r="A37" i="16"/>
  <c r="GE37" i="16" s="1"/>
  <c r="K36" i="16"/>
  <c r="J36" i="16"/>
  <c r="I36" i="16"/>
  <c r="H36" i="16"/>
  <c r="G36" i="16"/>
  <c r="F36" i="16"/>
  <c r="E36" i="16"/>
  <c r="A36" i="16"/>
  <c r="GE36" i="16" s="1"/>
  <c r="K35" i="16"/>
  <c r="J35" i="16"/>
  <c r="I35" i="16"/>
  <c r="H35" i="16"/>
  <c r="G35" i="16"/>
  <c r="F35" i="16"/>
  <c r="E35" i="16"/>
  <c r="A35" i="16"/>
  <c r="GE35" i="16" s="1"/>
  <c r="K34" i="16"/>
  <c r="J34" i="16"/>
  <c r="I34" i="16"/>
  <c r="H34" i="16"/>
  <c r="G34" i="16"/>
  <c r="F34" i="16"/>
  <c r="E34" i="16"/>
  <c r="A34" i="16"/>
  <c r="GE34" i="16" s="1"/>
  <c r="K33" i="16"/>
  <c r="J33" i="16"/>
  <c r="I33" i="16"/>
  <c r="H33" i="16"/>
  <c r="G33" i="16"/>
  <c r="F33" i="16"/>
  <c r="E33" i="16"/>
  <c r="A33" i="16"/>
  <c r="GE33" i="16" s="1"/>
  <c r="K32" i="16"/>
  <c r="J32" i="16"/>
  <c r="I32" i="16"/>
  <c r="H32" i="16"/>
  <c r="G32" i="16"/>
  <c r="F32" i="16"/>
  <c r="E32" i="16"/>
  <c r="A32" i="16"/>
  <c r="GE32" i="16" s="1"/>
  <c r="K31" i="16"/>
  <c r="J31" i="16"/>
  <c r="I31" i="16"/>
  <c r="H31" i="16"/>
  <c r="G31" i="16"/>
  <c r="F31" i="16"/>
  <c r="E31" i="16"/>
  <c r="A31" i="16"/>
  <c r="GE31" i="16" s="1"/>
  <c r="K30" i="16"/>
  <c r="J30" i="16"/>
  <c r="I30" i="16"/>
  <c r="H30" i="16"/>
  <c r="G30" i="16"/>
  <c r="F30" i="16"/>
  <c r="E30" i="16"/>
  <c r="A30" i="16"/>
  <c r="GE30" i="16" s="1"/>
  <c r="K29" i="16"/>
  <c r="J29" i="16"/>
  <c r="I29" i="16"/>
  <c r="H29" i="16"/>
  <c r="G29" i="16"/>
  <c r="F29" i="16"/>
  <c r="E29" i="16"/>
  <c r="A29" i="16"/>
  <c r="GE29" i="16" s="1"/>
  <c r="K28" i="16"/>
  <c r="J28" i="16"/>
  <c r="I28" i="16"/>
  <c r="H28" i="16"/>
  <c r="G28" i="16"/>
  <c r="F28" i="16"/>
  <c r="E28" i="16"/>
  <c r="A28" i="16"/>
  <c r="GE28" i="16" s="1"/>
  <c r="K27" i="16"/>
  <c r="J27" i="16"/>
  <c r="I27" i="16"/>
  <c r="H27" i="16"/>
  <c r="G27" i="16"/>
  <c r="F27" i="16"/>
  <c r="E27" i="16"/>
  <c r="A27" i="16"/>
  <c r="GE27" i="16" s="1"/>
  <c r="K26" i="16"/>
  <c r="J26" i="16"/>
  <c r="I26" i="16"/>
  <c r="H26" i="16"/>
  <c r="G26" i="16"/>
  <c r="F26" i="16"/>
  <c r="E26" i="16"/>
  <c r="A26" i="16"/>
  <c r="GE26" i="16" s="1"/>
  <c r="K25" i="16"/>
  <c r="J25" i="16"/>
  <c r="I25" i="16"/>
  <c r="H25" i="16"/>
  <c r="G25" i="16"/>
  <c r="F25" i="16"/>
  <c r="E25" i="16"/>
  <c r="A25" i="16"/>
  <c r="GE25" i="16" s="1"/>
  <c r="K24" i="16"/>
  <c r="J24" i="16"/>
  <c r="I24" i="16"/>
  <c r="H24" i="16"/>
  <c r="G24" i="16"/>
  <c r="F24" i="16"/>
  <c r="E24" i="16"/>
  <c r="A24" i="16"/>
  <c r="GE24" i="16" s="1"/>
  <c r="K23" i="16"/>
  <c r="J23" i="16"/>
  <c r="I23" i="16"/>
  <c r="H23" i="16"/>
  <c r="G23" i="16"/>
  <c r="F23" i="16"/>
  <c r="E23" i="16"/>
  <c r="A23" i="16"/>
  <c r="GE23" i="16" s="1"/>
  <c r="K22" i="16"/>
  <c r="J22" i="16"/>
  <c r="I22" i="16"/>
  <c r="H22" i="16"/>
  <c r="G22" i="16"/>
  <c r="F22" i="16"/>
  <c r="E22" i="16"/>
  <c r="A22" i="16"/>
  <c r="GE22" i="16" s="1"/>
  <c r="K21" i="16"/>
  <c r="J21" i="16"/>
  <c r="I21" i="16"/>
  <c r="H21" i="16"/>
  <c r="G21" i="16"/>
  <c r="F21" i="16"/>
  <c r="E21" i="16"/>
  <c r="A21" i="16"/>
  <c r="GE21" i="16" s="1"/>
  <c r="K20" i="16"/>
  <c r="J20" i="16"/>
  <c r="I20" i="16"/>
  <c r="H20" i="16"/>
  <c r="G20" i="16"/>
  <c r="F20" i="16"/>
  <c r="E20" i="16"/>
  <c r="A20" i="16"/>
  <c r="GE20" i="16" s="1"/>
  <c r="K19" i="16"/>
  <c r="J19" i="16"/>
  <c r="I19" i="16"/>
  <c r="H19" i="16"/>
  <c r="G19" i="16"/>
  <c r="F19" i="16"/>
  <c r="E19" i="16"/>
  <c r="A19" i="16"/>
  <c r="GE19" i="16" s="1"/>
  <c r="K18" i="16"/>
  <c r="J18" i="16"/>
  <c r="I18" i="16"/>
  <c r="H18" i="16"/>
  <c r="G18" i="16"/>
  <c r="F18" i="16"/>
  <c r="E18" i="16"/>
  <c r="A18" i="16"/>
  <c r="GE18" i="16" s="1"/>
  <c r="K17" i="16"/>
  <c r="J17" i="16"/>
  <c r="I17" i="16"/>
  <c r="H17" i="16"/>
  <c r="G17" i="16"/>
  <c r="F17" i="16"/>
  <c r="E17" i="16"/>
  <c r="A17" i="16"/>
  <c r="GE17" i="16" s="1"/>
  <c r="K16" i="16"/>
  <c r="J16" i="16"/>
  <c r="I16" i="16"/>
  <c r="H16" i="16"/>
  <c r="G16" i="16"/>
  <c r="F16" i="16"/>
  <c r="E16" i="16"/>
  <c r="A16" i="16"/>
  <c r="GE16" i="16" s="1"/>
  <c r="K15" i="16"/>
  <c r="J15" i="16"/>
  <c r="I15" i="16"/>
  <c r="H15" i="16"/>
  <c r="G15" i="16"/>
  <c r="F15" i="16"/>
  <c r="E15" i="16"/>
  <c r="A15" i="16"/>
  <c r="GE15" i="16" s="1"/>
  <c r="K14" i="16"/>
  <c r="J14" i="16"/>
  <c r="I14" i="16"/>
  <c r="H14" i="16"/>
  <c r="G14" i="16"/>
  <c r="F14" i="16"/>
  <c r="E14" i="16"/>
  <c r="A14" i="16"/>
  <c r="GE14" i="16" s="1"/>
  <c r="K13" i="16"/>
  <c r="J13" i="16"/>
  <c r="I13" i="16"/>
  <c r="H13" i="16"/>
  <c r="G13" i="16"/>
  <c r="F13" i="16"/>
  <c r="E13" i="16"/>
  <c r="A13" i="16"/>
  <c r="GE13" i="16" s="1"/>
  <c r="K12" i="16"/>
  <c r="J12" i="16"/>
  <c r="I12" i="16"/>
  <c r="H12" i="16"/>
  <c r="G12" i="16"/>
  <c r="F12" i="16"/>
  <c r="E12" i="16"/>
  <c r="A12" i="16"/>
  <c r="GE12" i="16" s="1"/>
  <c r="K11" i="16"/>
  <c r="J11" i="16"/>
  <c r="I11" i="16"/>
  <c r="H11" i="16"/>
  <c r="G11" i="16"/>
  <c r="F11" i="16"/>
  <c r="E11" i="16"/>
  <c r="A11" i="16"/>
  <c r="GE11" i="16" s="1"/>
  <c r="K10" i="16"/>
  <c r="J10" i="16"/>
  <c r="I10" i="16"/>
  <c r="H10" i="16"/>
  <c r="G10" i="16"/>
  <c r="F10" i="16"/>
  <c r="E10" i="16"/>
  <c r="A10" i="16"/>
  <c r="GE10" i="16" s="1"/>
  <c r="K9" i="16"/>
  <c r="J9" i="16"/>
  <c r="I9" i="16"/>
  <c r="H9" i="16"/>
  <c r="G9" i="16"/>
  <c r="F9" i="16"/>
  <c r="E9" i="16"/>
  <c r="A9" i="16"/>
  <c r="GE9" i="16" s="1"/>
  <c r="K8" i="16"/>
  <c r="J8" i="16"/>
  <c r="I8" i="16"/>
  <c r="H8" i="16"/>
  <c r="G8" i="16"/>
  <c r="F8" i="16" s="1"/>
  <c r="E8" i="16"/>
  <c r="A8" i="16"/>
  <c r="GE8" i="16" s="1"/>
  <c r="I7" i="16"/>
  <c r="H7" i="16"/>
  <c r="G7" i="16"/>
  <c r="E7" i="16"/>
  <c r="A7" i="16"/>
  <c r="GE7" i="16" s="1"/>
  <c r="I6" i="16"/>
  <c r="H6" i="16"/>
  <c r="G6" i="16"/>
  <c r="E6" i="16"/>
  <c r="A6" i="16"/>
  <c r="GE6" i="16" s="1"/>
  <c r="I5" i="16"/>
  <c r="H5" i="16"/>
  <c r="G5" i="16"/>
  <c r="E5" i="16"/>
  <c r="A5" i="16"/>
  <c r="GE5" i="16" s="1"/>
  <c r="I4" i="16"/>
  <c r="H4" i="16"/>
  <c r="G4" i="16"/>
  <c r="E4" i="16"/>
  <c r="A4" i="16"/>
  <c r="GE4" i="16" s="1"/>
  <c r="CZ7" i="16" l="1"/>
  <c r="DD7" i="16"/>
  <c r="DH7" i="16"/>
  <c r="DL7" i="16"/>
  <c r="DP7" i="16"/>
  <c r="DT7" i="16"/>
  <c r="DX7" i="16"/>
  <c r="EB7" i="16"/>
  <c r="EF7" i="16"/>
  <c r="EJ7" i="16"/>
  <c r="EN7" i="16"/>
  <c r="ER7" i="16"/>
  <c r="EV7" i="16"/>
  <c r="EZ7" i="16"/>
  <c r="FD7" i="16"/>
  <c r="FH7" i="16"/>
  <c r="FL7" i="16"/>
  <c r="FP7" i="16"/>
  <c r="FT7" i="16"/>
  <c r="FX7" i="16"/>
  <c r="GB7" i="16"/>
  <c r="CY7" i="16"/>
  <c r="DC7" i="16"/>
  <c r="DG7" i="16"/>
  <c r="DK7" i="16"/>
  <c r="DO7" i="16"/>
  <c r="DS7" i="16"/>
  <c r="DW7" i="16"/>
  <c r="EA7" i="16"/>
  <c r="EE7" i="16"/>
  <c r="EI7" i="16"/>
  <c r="EM7" i="16"/>
  <c r="EQ7" i="16"/>
  <c r="EU7" i="16"/>
  <c r="EY7" i="16"/>
  <c r="FC7" i="16"/>
  <c r="FG7" i="16"/>
  <c r="FK7" i="16"/>
  <c r="FO7" i="16"/>
  <c r="FS7" i="16"/>
  <c r="FW7" i="16"/>
  <c r="GA7" i="16"/>
  <c r="DB7" i="16"/>
  <c r="DF7" i="16"/>
  <c r="DJ7" i="16"/>
  <c r="DN7" i="16"/>
  <c r="DR7" i="16"/>
  <c r="DV7" i="16"/>
  <c r="DZ7" i="16"/>
  <c r="ED7" i="16"/>
  <c r="EH7" i="16"/>
  <c r="EL7" i="16"/>
  <c r="EP7" i="16"/>
  <c r="ET7" i="16"/>
  <c r="EX7" i="16"/>
  <c r="FB7" i="16"/>
  <c r="FF7" i="16"/>
  <c r="FJ7" i="16"/>
  <c r="FN7" i="16"/>
  <c r="FR7" i="16"/>
  <c r="FV7" i="16"/>
  <c r="FZ7" i="16"/>
  <c r="GD7" i="16"/>
  <c r="DA7" i="16"/>
  <c r="DE7" i="16"/>
  <c r="DI7" i="16"/>
  <c r="DM7" i="16"/>
  <c r="DQ7" i="16"/>
  <c r="DU7" i="16"/>
  <c r="DY7" i="16"/>
  <c r="EC7" i="16"/>
  <c r="EG7" i="16"/>
  <c r="EK7" i="16"/>
  <c r="EO7" i="16"/>
  <c r="ES7" i="16"/>
  <c r="EW7" i="16"/>
  <c r="FA7" i="16"/>
  <c r="FE7" i="16"/>
  <c r="FI7" i="16"/>
  <c r="FM7" i="16"/>
  <c r="FQ7" i="16"/>
  <c r="FU7" i="16"/>
  <c r="FY7" i="16"/>
  <c r="GC7" i="16"/>
  <c r="CX5" i="16"/>
  <c r="CX7" i="16"/>
  <c r="CX9" i="16"/>
  <c r="CX11" i="16"/>
  <c r="CX13" i="16"/>
  <c r="CX15" i="16"/>
  <c r="CX17" i="16"/>
  <c r="CX19" i="16"/>
  <c r="CX21" i="16"/>
  <c r="CX23" i="16"/>
  <c r="CX25" i="16"/>
  <c r="CX27" i="16"/>
  <c r="CX29" i="16"/>
  <c r="CX31" i="16"/>
  <c r="CX33" i="16"/>
  <c r="CX35" i="16"/>
  <c r="CX37" i="16"/>
  <c r="CX39" i="16"/>
  <c r="CX41" i="16"/>
  <c r="CX43" i="16"/>
  <c r="CX45" i="16"/>
  <c r="CX47" i="16"/>
  <c r="CX49" i="16"/>
  <c r="CX51" i="16"/>
  <c r="CX53" i="16"/>
  <c r="CX55" i="16"/>
  <c r="CX57" i="16"/>
  <c r="CX59" i="16"/>
  <c r="CX61" i="16"/>
  <c r="CX63" i="16"/>
  <c r="CX65" i="16"/>
  <c r="CX67" i="16"/>
  <c r="CX69" i="16"/>
  <c r="CX71" i="16"/>
  <c r="CX73" i="16"/>
  <c r="CX75" i="16"/>
  <c r="CX77" i="16"/>
  <c r="CX79" i="16"/>
  <c r="CX81" i="16"/>
  <c r="CX83" i="16"/>
  <c r="CX85" i="16"/>
  <c r="CX87" i="16"/>
  <c r="CX89" i="16"/>
  <c r="CX91" i="16"/>
  <c r="CX93" i="16"/>
  <c r="CX95" i="16"/>
  <c r="CX97" i="16"/>
  <c r="CX99" i="16"/>
  <c r="CX101" i="16"/>
  <c r="CX103" i="16"/>
  <c r="CX105" i="16"/>
  <c r="CX107" i="16"/>
  <c r="CX109" i="16"/>
  <c r="CX111" i="16"/>
  <c r="CX113" i="16"/>
  <c r="CX115" i="16"/>
  <c r="CX117" i="16"/>
  <c r="CX119" i="16"/>
  <c r="CX121" i="16"/>
  <c r="CX123" i="16"/>
  <c r="CX125" i="16"/>
  <c r="CX127" i="16"/>
  <c r="CX129" i="16"/>
  <c r="CX131" i="16"/>
  <c r="CX133" i="16"/>
  <c r="CX135" i="16"/>
  <c r="CX137" i="16"/>
  <c r="CX139" i="16"/>
  <c r="CX141" i="16"/>
  <c r="CX143" i="16"/>
  <c r="CX145" i="16"/>
  <c r="CX147" i="16"/>
  <c r="CX149" i="16"/>
  <c r="CX151" i="16"/>
  <c r="CX153" i="16"/>
  <c r="CX155" i="16"/>
  <c r="CX157" i="16"/>
  <c r="CX159" i="16"/>
  <c r="CX161" i="16"/>
  <c r="CX163" i="16"/>
  <c r="CX165" i="16"/>
  <c r="CX167" i="16"/>
  <c r="CX169" i="16"/>
  <c r="CX171" i="16"/>
  <c r="CX173" i="16"/>
  <c r="CX6" i="16"/>
  <c r="CX8" i="16"/>
  <c r="CX10" i="16"/>
  <c r="CX12" i="16"/>
  <c r="CX14" i="16"/>
  <c r="CX16" i="16"/>
  <c r="CX18" i="16"/>
  <c r="CX20" i="16"/>
  <c r="CX22" i="16"/>
  <c r="CX24" i="16"/>
  <c r="CX26" i="16"/>
  <c r="CX28" i="16"/>
  <c r="CX30" i="16"/>
  <c r="CX32" i="16"/>
  <c r="CX34" i="16"/>
  <c r="CX36" i="16"/>
  <c r="CX38" i="16"/>
  <c r="CX40" i="16"/>
  <c r="CX42" i="16"/>
  <c r="CX44" i="16"/>
  <c r="CX46" i="16"/>
  <c r="CX48" i="16"/>
  <c r="CX50" i="16"/>
  <c r="CX52" i="16"/>
  <c r="CX54" i="16"/>
  <c r="CX56" i="16"/>
  <c r="CX58" i="16"/>
  <c r="CX60" i="16"/>
  <c r="CX62" i="16"/>
  <c r="CX64" i="16"/>
  <c r="CX66" i="16"/>
  <c r="CX68" i="16"/>
  <c r="CX70" i="16"/>
  <c r="CX72" i="16"/>
  <c r="CX74" i="16"/>
  <c r="CX76" i="16"/>
  <c r="CX78" i="16"/>
  <c r="CX80" i="16"/>
  <c r="CX82" i="16"/>
  <c r="CX84" i="16"/>
  <c r="CX86" i="16"/>
  <c r="CX88" i="16"/>
  <c r="CX90" i="16"/>
  <c r="CX92" i="16"/>
  <c r="CX94" i="16"/>
  <c r="CX96" i="16"/>
  <c r="CX98" i="16"/>
  <c r="CX100" i="16"/>
  <c r="CX102" i="16"/>
  <c r="CX104" i="16"/>
  <c r="CX106" i="16"/>
  <c r="CX108" i="16"/>
  <c r="CX110" i="16"/>
  <c r="CX112" i="16"/>
  <c r="CX114" i="16"/>
  <c r="CX116" i="16"/>
  <c r="CX118" i="16"/>
  <c r="CX120" i="16"/>
  <c r="CX122" i="16"/>
  <c r="CX124" i="16"/>
  <c r="CX126" i="16"/>
  <c r="CX128" i="16"/>
  <c r="CX130" i="16"/>
  <c r="CX132" i="16"/>
  <c r="CX134" i="16"/>
  <c r="CX136" i="16"/>
  <c r="CX138" i="16"/>
  <c r="CX140" i="16"/>
  <c r="CX142" i="16"/>
  <c r="CX144" i="16"/>
  <c r="CX146" i="16"/>
  <c r="CX148" i="16"/>
  <c r="CX150" i="16"/>
  <c r="CX152" i="16"/>
  <c r="CX154" i="16"/>
  <c r="CX156" i="16"/>
  <c r="CX158" i="16"/>
  <c r="CX160" i="16"/>
  <c r="CX162" i="16"/>
  <c r="CX164" i="16"/>
  <c r="CX166" i="16"/>
  <c r="CX168" i="16"/>
  <c r="CX170" i="16"/>
  <c r="CX172" i="16"/>
  <c r="CX174" i="16"/>
  <c r="CX175" i="16"/>
  <c r="CX177" i="16"/>
  <c r="CX179" i="16"/>
  <c r="CX181" i="16"/>
  <c r="CX183" i="16"/>
  <c r="CX185" i="16"/>
  <c r="CX187" i="16"/>
  <c r="CX189" i="16"/>
  <c r="CX191" i="16"/>
  <c r="CX193" i="16"/>
  <c r="CX195" i="16"/>
  <c r="CX197" i="16"/>
  <c r="CX199" i="16"/>
  <c r="CX201" i="16"/>
  <c r="CX203" i="16"/>
  <c r="CX205" i="16"/>
  <c r="CX207" i="16"/>
  <c r="CX209" i="16"/>
  <c r="CX211" i="16"/>
  <c r="CX213" i="16"/>
  <c r="CX215" i="16"/>
  <c r="CX217" i="16"/>
  <c r="CX219" i="16"/>
  <c r="CX221" i="16"/>
  <c r="CX223" i="16"/>
  <c r="CX225" i="16"/>
  <c r="CX227" i="16"/>
  <c r="CX229" i="16"/>
  <c r="CX231" i="16"/>
  <c r="CX233" i="16"/>
  <c r="CX235" i="16"/>
  <c r="CX237" i="16"/>
  <c r="CX239" i="16"/>
  <c r="CX241" i="16"/>
  <c r="CX243" i="16"/>
  <c r="CX245" i="16"/>
  <c r="CX247" i="16"/>
  <c r="CX249" i="16"/>
  <c r="CX251" i="16"/>
  <c r="CX253" i="16"/>
  <c r="CX255" i="16"/>
  <c r="CX257" i="16"/>
  <c r="CX259" i="16"/>
  <c r="CX261" i="16"/>
  <c r="CX263" i="16"/>
  <c r="CX265" i="16"/>
  <c r="CX267" i="16"/>
  <c r="CX269" i="16"/>
  <c r="CX271" i="16"/>
  <c r="CX273" i="16"/>
  <c r="CX275" i="16"/>
  <c r="CX277" i="16"/>
  <c r="CX279" i="16"/>
  <c r="CX281" i="16"/>
  <c r="CX283" i="16"/>
  <c r="CX285" i="16"/>
  <c r="CX287" i="16"/>
  <c r="CX289" i="16"/>
  <c r="CX291" i="16"/>
  <c r="CX293" i="16"/>
  <c r="CX295" i="16"/>
  <c r="CX297" i="16"/>
  <c r="CX299" i="16"/>
  <c r="CX301" i="16"/>
  <c r="CX303" i="16"/>
  <c r="CX305" i="16"/>
  <c r="CX307" i="16"/>
  <c r="CX309" i="16"/>
  <c r="CX311" i="16"/>
  <c r="CX313" i="16"/>
  <c r="CX315" i="16"/>
  <c r="CX317" i="16"/>
  <c r="CX319" i="16"/>
  <c r="CX321" i="16"/>
  <c r="CX323" i="16"/>
  <c r="CX325" i="16"/>
  <c r="CX327" i="16"/>
  <c r="CX329" i="16"/>
  <c r="CX331" i="16"/>
  <c r="CX333" i="16"/>
  <c r="CX335" i="16"/>
  <c r="CX337" i="16"/>
  <c r="CX339" i="16"/>
  <c r="CX341" i="16"/>
  <c r="CX343" i="16"/>
  <c r="CX345" i="16"/>
  <c r="CX176" i="16"/>
  <c r="CX178" i="16"/>
  <c r="CX180" i="16"/>
  <c r="CX182" i="16"/>
  <c r="CX184" i="16"/>
  <c r="CX186" i="16"/>
  <c r="CX188" i="16"/>
  <c r="CX190" i="16"/>
  <c r="CX192" i="16"/>
  <c r="CX194" i="16"/>
  <c r="CX196" i="16"/>
  <c r="CX198" i="16"/>
  <c r="CX200" i="16"/>
  <c r="CX202" i="16"/>
  <c r="CX204" i="16"/>
  <c r="CX206" i="16"/>
  <c r="CX208" i="16"/>
  <c r="CX210" i="16"/>
  <c r="CX212" i="16"/>
  <c r="CX214" i="16"/>
  <c r="CX216" i="16"/>
  <c r="CX218" i="16"/>
  <c r="CX220" i="16"/>
  <c r="CX222" i="16"/>
  <c r="CX224" i="16"/>
  <c r="CX226" i="16"/>
  <c r="CX228" i="16"/>
  <c r="CX230" i="16"/>
  <c r="CX232" i="16"/>
  <c r="CX234" i="16"/>
  <c r="CX236" i="16"/>
  <c r="CX238" i="16"/>
  <c r="CX240" i="16"/>
  <c r="CX242" i="16"/>
  <c r="CX244" i="16"/>
  <c r="CX246" i="16"/>
  <c r="CX248" i="16"/>
  <c r="CX250" i="16"/>
  <c r="CX252" i="16"/>
  <c r="CX254" i="16"/>
  <c r="CX256" i="16"/>
  <c r="CX258" i="16"/>
  <c r="CX260" i="16"/>
  <c r="CX262" i="16"/>
  <c r="CX264" i="16"/>
  <c r="CX266" i="16"/>
  <c r="CX268" i="16"/>
  <c r="CX270" i="16"/>
  <c r="CX272" i="16"/>
  <c r="CX274" i="16"/>
  <c r="CX276" i="16"/>
  <c r="CX278" i="16"/>
  <c r="CX280" i="16"/>
  <c r="CX282" i="16"/>
  <c r="CX284" i="16"/>
  <c r="CX286" i="16"/>
  <c r="CX288" i="16"/>
  <c r="CX290" i="16"/>
  <c r="CX292" i="16"/>
  <c r="CX294" i="16"/>
  <c r="CX296" i="16"/>
  <c r="CX298" i="16"/>
  <c r="CX300" i="16"/>
  <c r="CX302" i="16"/>
  <c r="CX304" i="16"/>
  <c r="CX306" i="16"/>
  <c r="CX308" i="16"/>
  <c r="CX310" i="16"/>
  <c r="CX312" i="16"/>
  <c r="CX314" i="16"/>
  <c r="CX316" i="16"/>
  <c r="CX318" i="16"/>
  <c r="CX320" i="16"/>
  <c r="CX322" i="16"/>
  <c r="CX324" i="16"/>
  <c r="CX326" i="16"/>
  <c r="CX328" i="16"/>
  <c r="CX330" i="16"/>
  <c r="CX332" i="16"/>
  <c r="CX334" i="16"/>
  <c r="CX336" i="16"/>
  <c r="CX338" i="16"/>
  <c r="CX340" i="16"/>
  <c r="CX342" i="16"/>
  <c r="CX344" i="16"/>
  <c r="CX346" i="16"/>
  <c r="CX348" i="16"/>
  <c r="CX350" i="16"/>
  <c r="CX352" i="16"/>
  <c r="CX354" i="16"/>
  <c r="CX356" i="16"/>
  <c r="CX358" i="16"/>
  <c r="CX360" i="16"/>
  <c r="CX362" i="16"/>
  <c r="CX364" i="16"/>
  <c r="CX366" i="16"/>
  <c r="CX368" i="16"/>
  <c r="CX370" i="16"/>
  <c r="CX372" i="16"/>
  <c r="CX374" i="16"/>
  <c r="CX376" i="16"/>
  <c r="CX378" i="16"/>
  <c r="CX380" i="16"/>
  <c r="CX382" i="16"/>
  <c r="CX384" i="16"/>
  <c r="CX386" i="16"/>
  <c r="CX388" i="16"/>
  <c r="CX390" i="16"/>
  <c r="CX392" i="16"/>
  <c r="CX394" i="16"/>
  <c r="CX396" i="16"/>
  <c r="CX398" i="16"/>
  <c r="CX400" i="16"/>
  <c r="CX402" i="16"/>
  <c r="CX404" i="16"/>
  <c r="CX406" i="16"/>
  <c r="CX408" i="16"/>
  <c r="CX410" i="16"/>
  <c r="CX412" i="16"/>
  <c r="CX414" i="16"/>
  <c r="CX416" i="16"/>
  <c r="CX418" i="16"/>
  <c r="CX420" i="16"/>
  <c r="CX422" i="16"/>
  <c r="CX424" i="16"/>
  <c r="CX426" i="16"/>
  <c r="CX428" i="16"/>
  <c r="CX430" i="16"/>
  <c r="CX432" i="16"/>
  <c r="CX434" i="16"/>
  <c r="CX436" i="16"/>
  <c r="CX438" i="16"/>
  <c r="CX440" i="16"/>
  <c r="CX442" i="16"/>
  <c r="CX444" i="16"/>
  <c r="CX446" i="16"/>
  <c r="CX448" i="16"/>
  <c r="CX450" i="16"/>
  <c r="CX452" i="16"/>
  <c r="CX454" i="16"/>
  <c r="CX456" i="16"/>
  <c r="CX458" i="16"/>
  <c r="CX460" i="16"/>
  <c r="CX462" i="16"/>
  <c r="CX464" i="16"/>
  <c r="CX466" i="16"/>
  <c r="CX468" i="16"/>
  <c r="CX470" i="16"/>
  <c r="CX472" i="16"/>
  <c r="CX474" i="16"/>
  <c r="CX476" i="16"/>
  <c r="CX478" i="16"/>
  <c r="CX480" i="16"/>
  <c r="CX482" i="16"/>
  <c r="CX484" i="16"/>
  <c r="CX486" i="16"/>
  <c r="CX488" i="16"/>
  <c r="CX490" i="16"/>
  <c r="CX492" i="16"/>
  <c r="CX494" i="16"/>
  <c r="CX496" i="16"/>
  <c r="CX498" i="16"/>
  <c r="CX500" i="16"/>
  <c r="CX347" i="16"/>
  <c r="CX349" i="16"/>
  <c r="CX351" i="16"/>
  <c r="CX353" i="16"/>
  <c r="CX355" i="16"/>
  <c r="CX357" i="16"/>
  <c r="CX359" i="16"/>
  <c r="CX361" i="16"/>
  <c r="CX363" i="16"/>
  <c r="CX365" i="16"/>
  <c r="CX367" i="16"/>
  <c r="CX369" i="16"/>
  <c r="CX371" i="16"/>
  <c r="CX373" i="16"/>
  <c r="CX375" i="16"/>
  <c r="CX377" i="16"/>
  <c r="CX379" i="16"/>
  <c r="CX381" i="16"/>
  <c r="CX383" i="16"/>
  <c r="CX385" i="16"/>
  <c r="CX387" i="16"/>
  <c r="CX389" i="16"/>
  <c r="CX391" i="16"/>
  <c r="CX393" i="16"/>
  <c r="CX395" i="16"/>
  <c r="CX397" i="16"/>
  <c r="CX399" i="16"/>
  <c r="CX401" i="16"/>
  <c r="CX403" i="16"/>
  <c r="CX405" i="16"/>
  <c r="CX407" i="16"/>
  <c r="CX409" i="16"/>
  <c r="CX411" i="16"/>
  <c r="CX413" i="16"/>
  <c r="CX415" i="16"/>
  <c r="CX417" i="16"/>
  <c r="CX419" i="16"/>
  <c r="CX421" i="16"/>
  <c r="CX423" i="16"/>
  <c r="CX425" i="16"/>
  <c r="CX427" i="16"/>
  <c r="CX429" i="16"/>
  <c r="CX431" i="16"/>
  <c r="CX433" i="16"/>
  <c r="CX435" i="16"/>
  <c r="CX437" i="16"/>
  <c r="CX439" i="16"/>
  <c r="CX441" i="16"/>
  <c r="CX443" i="16"/>
  <c r="CX445" i="16"/>
  <c r="CX447" i="16"/>
  <c r="CX449" i="16"/>
  <c r="CX451" i="16"/>
  <c r="CX453" i="16"/>
  <c r="CX455" i="16"/>
  <c r="CX457" i="16"/>
  <c r="CX459" i="16"/>
  <c r="CX461" i="16"/>
  <c r="CX463" i="16"/>
  <c r="CX465" i="16"/>
  <c r="CX467" i="16"/>
  <c r="CX469" i="16"/>
  <c r="CX471" i="16"/>
  <c r="CX473" i="16"/>
  <c r="CX475" i="16"/>
  <c r="CX477" i="16"/>
  <c r="CX479" i="16"/>
  <c r="CX481" i="16"/>
  <c r="CX483" i="16"/>
  <c r="CX485" i="16"/>
  <c r="CX487" i="16"/>
  <c r="CX489" i="16"/>
  <c r="CX491" i="16"/>
  <c r="CX493" i="16"/>
  <c r="CX495" i="16"/>
  <c r="CX497" i="16"/>
  <c r="CX499" i="16"/>
  <c r="GD4" i="16"/>
  <c r="GB4" i="16"/>
  <c r="FZ4" i="16"/>
  <c r="FX4" i="16"/>
  <c r="FV4" i="16"/>
  <c r="FT4" i="16"/>
  <c r="FR4" i="16"/>
  <c r="FP4" i="16"/>
  <c r="FN4" i="16"/>
  <c r="FL4" i="16"/>
  <c r="FJ4" i="16"/>
  <c r="FH4" i="16"/>
  <c r="FF4" i="16"/>
  <c r="FD4" i="16"/>
  <c r="FB4" i="16"/>
  <c r="EZ4" i="16"/>
  <c r="EX4" i="16"/>
  <c r="EV4" i="16"/>
  <c r="ET4" i="16"/>
  <c r="ER4" i="16"/>
  <c r="EP4" i="16"/>
  <c r="EN4" i="16"/>
  <c r="EL4" i="16"/>
  <c r="EJ4" i="16"/>
  <c r="EH4" i="16"/>
  <c r="EF4" i="16"/>
  <c r="ED4" i="16"/>
  <c r="EB4" i="16"/>
  <c r="DZ4" i="16"/>
  <c r="DX4" i="16"/>
  <c r="DV4" i="16"/>
  <c r="DT4" i="16"/>
  <c r="DR4" i="16"/>
  <c r="DP4" i="16"/>
  <c r="DN4" i="16"/>
  <c r="DL4" i="16"/>
  <c r="DJ4" i="16"/>
  <c r="DH4" i="16"/>
  <c r="DF4" i="16"/>
  <c r="DD4" i="16"/>
  <c r="DB4" i="16"/>
  <c r="CZ4" i="16"/>
  <c r="GC4" i="16"/>
  <c r="GA4" i="16"/>
  <c r="FY4" i="16"/>
  <c r="FW4" i="16"/>
  <c r="FU4" i="16"/>
  <c r="FS4" i="16"/>
  <c r="FQ4" i="16"/>
  <c r="FO4" i="16"/>
  <c r="FM4" i="16"/>
  <c r="FK4" i="16"/>
  <c r="FI4" i="16"/>
  <c r="FG4" i="16"/>
  <c r="FE4" i="16"/>
  <c r="FC4" i="16"/>
  <c r="FA4" i="16"/>
  <c r="EY4" i="16"/>
  <c r="EW4" i="16"/>
  <c r="EU4" i="16"/>
  <c r="ES4" i="16"/>
  <c r="EQ4" i="16"/>
  <c r="EO4" i="16"/>
  <c r="EM4" i="16"/>
  <c r="EK4" i="16"/>
  <c r="EI4" i="16"/>
  <c r="EG4" i="16"/>
  <c r="EE4" i="16"/>
  <c r="EC4" i="16"/>
  <c r="EA4" i="16"/>
  <c r="DY4" i="16"/>
  <c r="DW4" i="16"/>
  <c r="DU4" i="16"/>
  <c r="DS4" i="16"/>
  <c r="DQ4" i="16"/>
  <c r="DO4" i="16"/>
  <c r="DM4" i="16"/>
  <c r="DK4" i="16"/>
  <c r="DI4" i="16"/>
  <c r="DG4" i="16"/>
  <c r="DE4" i="16"/>
  <c r="DC4" i="16"/>
  <c r="DA4" i="16"/>
  <c r="CY4" i="16"/>
  <c r="CX4" i="16"/>
  <c r="CY6" i="16"/>
  <c r="DC6" i="16"/>
  <c r="DG6" i="16"/>
  <c r="DK6" i="16"/>
  <c r="DO6" i="16"/>
  <c r="DS6" i="16"/>
  <c r="DW6" i="16"/>
  <c r="EA6" i="16"/>
  <c r="EE6" i="16"/>
  <c r="EI6" i="16"/>
  <c r="EM6" i="16"/>
  <c r="EQ6" i="16"/>
  <c r="EU6" i="16"/>
  <c r="EY6" i="16"/>
  <c r="FC6" i="16"/>
  <c r="FG6" i="16"/>
  <c r="FK6" i="16"/>
  <c r="FO6" i="16"/>
  <c r="FS6" i="16"/>
  <c r="FW6" i="16"/>
  <c r="GA6" i="16"/>
  <c r="CZ6" i="16"/>
  <c r="DD6" i="16"/>
  <c r="DH6" i="16"/>
  <c r="DL6" i="16"/>
  <c r="DP6" i="16"/>
  <c r="DT6" i="16"/>
  <c r="DX6" i="16"/>
  <c r="EB6" i="16"/>
  <c r="EF6" i="16"/>
  <c r="EJ6" i="16"/>
  <c r="EN6" i="16"/>
  <c r="ER6" i="16"/>
  <c r="EV6" i="16"/>
  <c r="EZ6" i="16"/>
  <c r="FD6" i="16"/>
  <c r="FH6" i="16"/>
  <c r="FL6" i="16"/>
  <c r="FP6" i="16"/>
  <c r="FT6" i="16"/>
  <c r="FX6" i="16"/>
  <c r="GB6" i="16"/>
  <c r="DA6" i="16"/>
  <c r="DE6" i="16"/>
  <c r="DI6" i="16"/>
  <c r="DM6" i="16"/>
  <c r="DQ6" i="16"/>
  <c r="DU6" i="16"/>
  <c r="DY6" i="16"/>
  <c r="EC6" i="16"/>
  <c r="EG6" i="16"/>
  <c r="EK6" i="16"/>
  <c r="EO6" i="16"/>
  <c r="ES6" i="16"/>
  <c r="EW6" i="16"/>
  <c r="FA6" i="16"/>
  <c r="FE6" i="16"/>
  <c r="FI6" i="16"/>
  <c r="FM6" i="16"/>
  <c r="FQ6" i="16"/>
  <c r="FU6" i="16"/>
  <c r="FY6" i="16"/>
  <c r="GC6" i="16"/>
  <c r="DB6" i="16"/>
  <c r="DF6" i="16"/>
  <c r="DJ6" i="16"/>
  <c r="DN6" i="16"/>
  <c r="DR6" i="16"/>
  <c r="DV6" i="16"/>
  <c r="DZ6" i="16"/>
  <c r="ED6" i="16"/>
  <c r="EH6" i="16"/>
  <c r="EL6" i="16"/>
  <c r="EP6" i="16"/>
  <c r="ET6" i="16"/>
  <c r="EX6" i="16"/>
  <c r="FB6" i="16"/>
  <c r="FF6" i="16"/>
  <c r="FJ6" i="16"/>
  <c r="FN6" i="16"/>
  <c r="FR6" i="16"/>
  <c r="FV6" i="16"/>
  <c r="FZ6" i="16"/>
  <c r="GD6" i="16"/>
  <c r="CY9" i="16"/>
  <c r="DA9" i="16"/>
  <c r="DC9" i="16"/>
  <c r="DE9" i="16"/>
  <c r="DG9" i="16"/>
  <c r="DI9" i="16"/>
  <c r="DK9" i="16"/>
  <c r="DM9" i="16"/>
  <c r="DO9" i="16"/>
  <c r="DQ9" i="16"/>
  <c r="DS9" i="16"/>
  <c r="DU9" i="16"/>
  <c r="DW9" i="16"/>
  <c r="DY9" i="16"/>
  <c r="EA9" i="16"/>
  <c r="EC9" i="16"/>
  <c r="EE9" i="16"/>
  <c r="EG9" i="16"/>
  <c r="EI9" i="16"/>
  <c r="EK9" i="16"/>
  <c r="EM9" i="16"/>
  <c r="EO9" i="16"/>
  <c r="EQ9" i="16"/>
  <c r="ES9" i="16"/>
  <c r="EU9" i="16"/>
  <c r="EW9" i="16"/>
  <c r="EY9" i="16"/>
  <c r="FA9" i="16"/>
  <c r="FC9" i="16"/>
  <c r="FE9" i="16"/>
  <c r="FG9" i="16"/>
  <c r="FI9" i="16"/>
  <c r="FK9" i="16"/>
  <c r="FM9" i="16"/>
  <c r="FO9" i="16"/>
  <c r="FQ9" i="16"/>
  <c r="FS9" i="16"/>
  <c r="FU9" i="16"/>
  <c r="FW9" i="16"/>
  <c r="FY9" i="16"/>
  <c r="GA9" i="16"/>
  <c r="GC9" i="16"/>
  <c r="CZ9" i="16"/>
  <c r="DB9" i="16"/>
  <c r="DD9" i="16"/>
  <c r="DF9" i="16"/>
  <c r="DH9" i="16"/>
  <c r="DJ9" i="16"/>
  <c r="DL9" i="16"/>
  <c r="DN9" i="16"/>
  <c r="DP9" i="16"/>
  <c r="DR9" i="16"/>
  <c r="DT9" i="16"/>
  <c r="DV9" i="16"/>
  <c r="DX9" i="16"/>
  <c r="DZ9" i="16"/>
  <c r="EB9" i="16"/>
  <c r="ED9" i="16"/>
  <c r="EF9" i="16"/>
  <c r="EH9" i="16"/>
  <c r="EJ9" i="16"/>
  <c r="EL9" i="16"/>
  <c r="EN9" i="16"/>
  <c r="EP9" i="16"/>
  <c r="ER9" i="16"/>
  <c r="ET9" i="16"/>
  <c r="EV9" i="16"/>
  <c r="EX9" i="16"/>
  <c r="EZ9" i="16"/>
  <c r="FB9" i="16"/>
  <c r="FD9" i="16"/>
  <c r="FF9" i="16"/>
  <c r="FH9" i="16"/>
  <c r="FJ9" i="16"/>
  <c r="FL9" i="16"/>
  <c r="FN9" i="16"/>
  <c r="FP9" i="16"/>
  <c r="FR9" i="16"/>
  <c r="FT9" i="16"/>
  <c r="FV9" i="16"/>
  <c r="FX9" i="16"/>
  <c r="FZ9" i="16"/>
  <c r="GB9" i="16"/>
  <c r="GD9" i="16"/>
  <c r="CY11" i="16"/>
  <c r="DA11" i="16"/>
  <c r="DC11" i="16"/>
  <c r="DE11" i="16"/>
  <c r="DG11" i="16"/>
  <c r="DI11" i="16"/>
  <c r="DK11" i="16"/>
  <c r="DM11" i="16"/>
  <c r="DO11" i="16"/>
  <c r="DQ11" i="16"/>
  <c r="DS11" i="16"/>
  <c r="DU11" i="16"/>
  <c r="DW11" i="16"/>
  <c r="DY11" i="16"/>
  <c r="EA11" i="16"/>
  <c r="EC11" i="16"/>
  <c r="EE11" i="16"/>
  <c r="EG11" i="16"/>
  <c r="EI11" i="16"/>
  <c r="EK11" i="16"/>
  <c r="EM11" i="16"/>
  <c r="EO11" i="16"/>
  <c r="EQ11" i="16"/>
  <c r="ES11" i="16"/>
  <c r="EU11" i="16"/>
  <c r="EW11" i="16"/>
  <c r="EY11" i="16"/>
  <c r="FA11" i="16"/>
  <c r="FC11" i="16"/>
  <c r="FE11" i="16"/>
  <c r="FG11" i="16"/>
  <c r="FI11" i="16"/>
  <c r="FK11" i="16"/>
  <c r="FM11" i="16"/>
  <c r="FO11" i="16"/>
  <c r="FQ11" i="16"/>
  <c r="FS11" i="16"/>
  <c r="FU11" i="16"/>
  <c r="FW11" i="16"/>
  <c r="FY11" i="16"/>
  <c r="GA11" i="16"/>
  <c r="GC11" i="16"/>
  <c r="CZ11" i="16"/>
  <c r="DB11" i="16"/>
  <c r="DD11" i="16"/>
  <c r="DF11" i="16"/>
  <c r="DH11" i="16"/>
  <c r="DJ11" i="16"/>
  <c r="DL11" i="16"/>
  <c r="DN11" i="16"/>
  <c r="DP11" i="16"/>
  <c r="DR11" i="16"/>
  <c r="DT11" i="16"/>
  <c r="DV11" i="16"/>
  <c r="DX11" i="16"/>
  <c r="DZ11" i="16"/>
  <c r="EB11" i="16"/>
  <c r="ED11" i="16"/>
  <c r="EF11" i="16"/>
  <c r="EH11" i="16"/>
  <c r="EJ11" i="16"/>
  <c r="EL11" i="16"/>
  <c r="EN11" i="16"/>
  <c r="EP11" i="16"/>
  <c r="ER11" i="16"/>
  <c r="ET11" i="16"/>
  <c r="EV11" i="16"/>
  <c r="EX11" i="16"/>
  <c r="EZ11" i="16"/>
  <c r="FB11" i="16"/>
  <c r="FD11" i="16"/>
  <c r="FF11" i="16"/>
  <c r="FH11" i="16"/>
  <c r="FJ11" i="16"/>
  <c r="FL11" i="16"/>
  <c r="FN11" i="16"/>
  <c r="FP11" i="16"/>
  <c r="FR11" i="16"/>
  <c r="FT11" i="16"/>
  <c r="FV11" i="16"/>
  <c r="FX11" i="16"/>
  <c r="FZ11" i="16"/>
  <c r="GB11" i="16"/>
  <c r="GD11" i="16"/>
  <c r="CZ13" i="16"/>
  <c r="DB13" i="16"/>
  <c r="DD13" i="16"/>
  <c r="DF13" i="16"/>
  <c r="DH13" i="16"/>
  <c r="DJ13" i="16"/>
  <c r="DL13" i="16"/>
  <c r="DN13" i="16"/>
  <c r="DP13" i="16"/>
  <c r="DR13" i="16"/>
  <c r="DT13" i="16"/>
  <c r="DV13" i="16"/>
  <c r="DX13" i="16"/>
  <c r="DZ13" i="16"/>
  <c r="EB13" i="16"/>
  <c r="ED13" i="16"/>
  <c r="EF13" i="16"/>
  <c r="EH13" i="16"/>
  <c r="EJ13" i="16"/>
  <c r="EL13" i="16"/>
  <c r="EN13" i="16"/>
  <c r="EP13" i="16"/>
  <c r="ER13" i="16"/>
  <c r="ET13" i="16"/>
  <c r="EV13" i="16"/>
  <c r="EX13" i="16"/>
  <c r="EZ13" i="16"/>
  <c r="FB13" i="16"/>
  <c r="FD13" i="16"/>
  <c r="FF13" i="16"/>
  <c r="FH13" i="16"/>
  <c r="FJ13" i="16"/>
  <c r="FL13" i="16"/>
  <c r="FN13" i="16"/>
  <c r="FP13" i="16"/>
  <c r="FR13" i="16"/>
  <c r="FT13" i="16"/>
  <c r="FV13" i="16"/>
  <c r="FX13" i="16"/>
  <c r="FZ13" i="16"/>
  <c r="GB13" i="16"/>
  <c r="GD13" i="16"/>
  <c r="CY13" i="16"/>
  <c r="DA13" i="16"/>
  <c r="DC13" i="16"/>
  <c r="DE13" i="16"/>
  <c r="DG13" i="16"/>
  <c r="DI13" i="16"/>
  <c r="DK13" i="16"/>
  <c r="DM13" i="16"/>
  <c r="DO13" i="16"/>
  <c r="DQ13" i="16"/>
  <c r="DS13" i="16"/>
  <c r="DU13" i="16"/>
  <c r="DW13" i="16"/>
  <c r="DY13" i="16"/>
  <c r="EA13" i="16"/>
  <c r="EC13" i="16"/>
  <c r="EE13" i="16"/>
  <c r="EG13" i="16"/>
  <c r="EI13" i="16"/>
  <c r="EK13" i="16"/>
  <c r="EM13" i="16"/>
  <c r="EO13" i="16"/>
  <c r="EQ13" i="16"/>
  <c r="ES13" i="16"/>
  <c r="EU13" i="16"/>
  <c r="EW13" i="16"/>
  <c r="EY13" i="16"/>
  <c r="FA13" i="16"/>
  <c r="FC13" i="16"/>
  <c r="FE13" i="16"/>
  <c r="FG13" i="16"/>
  <c r="FI13" i="16"/>
  <c r="FK13" i="16"/>
  <c r="FM13" i="16"/>
  <c r="FO13" i="16"/>
  <c r="FQ13" i="16"/>
  <c r="FS13" i="16"/>
  <c r="FU13" i="16"/>
  <c r="FW13" i="16"/>
  <c r="FY13" i="16"/>
  <c r="GA13" i="16"/>
  <c r="GC13" i="16"/>
  <c r="CZ15" i="16"/>
  <c r="DB15" i="16"/>
  <c r="DD15" i="16"/>
  <c r="DF15" i="16"/>
  <c r="DH15" i="16"/>
  <c r="DJ15" i="16"/>
  <c r="DL15" i="16"/>
  <c r="DN15" i="16"/>
  <c r="DP15" i="16"/>
  <c r="DR15" i="16"/>
  <c r="DT15" i="16"/>
  <c r="DV15" i="16"/>
  <c r="DX15" i="16"/>
  <c r="DZ15" i="16"/>
  <c r="EB15" i="16"/>
  <c r="ED15" i="16"/>
  <c r="EF15" i="16"/>
  <c r="EH15" i="16"/>
  <c r="EJ15" i="16"/>
  <c r="EL15" i="16"/>
  <c r="EN15" i="16"/>
  <c r="EP15" i="16"/>
  <c r="ER15" i="16"/>
  <c r="ET15" i="16"/>
  <c r="EV15" i="16"/>
  <c r="EX15" i="16"/>
  <c r="EZ15" i="16"/>
  <c r="FB15" i="16"/>
  <c r="FD15" i="16"/>
  <c r="FF15" i="16"/>
  <c r="FH15" i="16"/>
  <c r="FJ15" i="16"/>
  <c r="FL15" i="16"/>
  <c r="FN15" i="16"/>
  <c r="FP15" i="16"/>
  <c r="FR15" i="16"/>
  <c r="FT15" i="16"/>
  <c r="FV15" i="16"/>
  <c r="FX15" i="16"/>
  <c r="FZ15" i="16"/>
  <c r="GB15" i="16"/>
  <c r="GD15" i="16"/>
  <c r="CY15" i="16"/>
  <c r="DA15" i="16"/>
  <c r="DC15" i="16"/>
  <c r="DE15" i="16"/>
  <c r="DG15" i="16"/>
  <c r="DI15" i="16"/>
  <c r="DK15" i="16"/>
  <c r="DM15" i="16"/>
  <c r="DO15" i="16"/>
  <c r="DQ15" i="16"/>
  <c r="DS15" i="16"/>
  <c r="DU15" i="16"/>
  <c r="DW15" i="16"/>
  <c r="DY15" i="16"/>
  <c r="EA15" i="16"/>
  <c r="EC15" i="16"/>
  <c r="EE15" i="16"/>
  <c r="EG15" i="16"/>
  <c r="EI15" i="16"/>
  <c r="EK15" i="16"/>
  <c r="EM15" i="16"/>
  <c r="EO15" i="16"/>
  <c r="EQ15" i="16"/>
  <c r="ES15" i="16"/>
  <c r="EU15" i="16"/>
  <c r="EW15" i="16"/>
  <c r="EY15" i="16"/>
  <c r="FA15" i="16"/>
  <c r="FC15" i="16"/>
  <c r="FE15" i="16"/>
  <c r="FG15" i="16"/>
  <c r="FI15" i="16"/>
  <c r="FK15" i="16"/>
  <c r="FM15" i="16"/>
  <c r="FO15" i="16"/>
  <c r="FQ15" i="16"/>
  <c r="FS15" i="16"/>
  <c r="FU15" i="16"/>
  <c r="FW15" i="16"/>
  <c r="FY15" i="16"/>
  <c r="GA15" i="16"/>
  <c r="GC15" i="16"/>
  <c r="CY17" i="16"/>
  <c r="DA17" i="16"/>
  <c r="DC17" i="16"/>
  <c r="DE17" i="16"/>
  <c r="DG17" i="16"/>
  <c r="DI17" i="16"/>
  <c r="DK17" i="16"/>
  <c r="DM17" i="16"/>
  <c r="DO17" i="16"/>
  <c r="DQ17" i="16"/>
  <c r="DS17" i="16"/>
  <c r="DU17" i="16"/>
  <c r="DW17" i="16"/>
  <c r="DY17" i="16"/>
  <c r="EA17" i="16"/>
  <c r="EC17" i="16"/>
  <c r="EE17" i="16"/>
  <c r="EG17" i="16"/>
  <c r="EI17" i="16"/>
  <c r="EK17" i="16"/>
  <c r="EM17" i="16"/>
  <c r="EO17" i="16"/>
  <c r="EQ17" i="16"/>
  <c r="ES17" i="16"/>
  <c r="EU17" i="16"/>
  <c r="EW17" i="16"/>
  <c r="EY17" i="16"/>
  <c r="FA17" i="16"/>
  <c r="FC17" i="16"/>
  <c r="FE17" i="16"/>
  <c r="FG17" i="16"/>
  <c r="FI17" i="16"/>
  <c r="FK17" i="16"/>
  <c r="FM17" i="16"/>
  <c r="FO17" i="16"/>
  <c r="FQ17" i="16"/>
  <c r="FS17" i="16"/>
  <c r="FU17" i="16"/>
  <c r="FW17" i="16"/>
  <c r="FY17" i="16"/>
  <c r="GA17" i="16"/>
  <c r="GC17" i="16"/>
  <c r="CZ17" i="16"/>
  <c r="DB17" i="16"/>
  <c r="DD17" i="16"/>
  <c r="DF17" i="16"/>
  <c r="DH17" i="16"/>
  <c r="DJ17" i="16"/>
  <c r="DL17" i="16"/>
  <c r="DN17" i="16"/>
  <c r="DP17" i="16"/>
  <c r="DR17" i="16"/>
  <c r="DT17" i="16"/>
  <c r="DV17" i="16"/>
  <c r="DX17" i="16"/>
  <c r="DZ17" i="16"/>
  <c r="EB17" i="16"/>
  <c r="ED17" i="16"/>
  <c r="EF17" i="16"/>
  <c r="EH17" i="16"/>
  <c r="EJ17" i="16"/>
  <c r="EL17" i="16"/>
  <c r="EN17" i="16"/>
  <c r="EP17" i="16"/>
  <c r="ER17" i="16"/>
  <c r="ET17" i="16"/>
  <c r="EV17" i="16"/>
  <c r="EX17" i="16"/>
  <c r="EZ17" i="16"/>
  <c r="FB17" i="16"/>
  <c r="FD17" i="16"/>
  <c r="FF17" i="16"/>
  <c r="FH17" i="16"/>
  <c r="FJ17" i="16"/>
  <c r="FL17" i="16"/>
  <c r="FN17" i="16"/>
  <c r="FP17" i="16"/>
  <c r="FR17" i="16"/>
  <c r="FT17" i="16"/>
  <c r="FV17" i="16"/>
  <c r="FX17" i="16"/>
  <c r="FZ17" i="16"/>
  <c r="GB17" i="16"/>
  <c r="GD17" i="16"/>
  <c r="CZ18" i="16"/>
  <c r="DB18" i="16"/>
  <c r="DD18" i="16"/>
  <c r="DF18" i="16"/>
  <c r="DH18" i="16"/>
  <c r="DJ18" i="16"/>
  <c r="DL18" i="16"/>
  <c r="DN18" i="16"/>
  <c r="DP18" i="16"/>
  <c r="DR18" i="16"/>
  <c r="DT18" i="16"/>
  <c r="DV18" i="16"/>
  <c r="DX18" i="16"/>
  <c r="DZ18" i="16"/>
  <c r="EB18" i="16"/>
  <c r="ED18" i="16"/>
  <c r="EF18" i="16"/>
  <c r="EH18" i="16"/>
  <c r="EJ18" i="16"/>
  <c r="EL18" i="16"/>
  <c r="EN18" i="16"/>
  <c r="EP18" i="16"/>
  <c r="ER18" i="16"/>
  <c r="ET18" i="16"/>
  <c r="EV18" i="16"/>
  <c r="EX18" i="16"/>
  <c r="EZ18" i="16"/>
  <c r="FB18" i="16"/>
  <c r="FD18" i="16"/>
  <c r="FF18" i="16"/>
  <c r="FH18" i="16"/>
  <c r="FJ18" i="16"/>
  <c r="FL18" i="16"/>
  <c r="FN18" i="16"/>
  <c r="FP18" i="16"/>
  <c r="FR18" i="16"/>
  <c r="FT18" i="16"/>
  <c r="FV18" i="16"/>
  <c r="FX18" i="16"/>
  <c r="FZ18" i="16"/>
  <c r="GB18" i="16"/>
  <c r="GD18" i="16"/>
  <c r="CY18" i="16"/>
  <c r="DA18" i="16"/>
  <c r="DC18" i="16"/>
  <c r="DE18" i="16"/>
  <c r="DG18" i="16"/>
  <c r="DI18" i="16"/>
  <c r="DK18" i="16"/>
  <c r="DM18" i="16"/>
  <c r="DO18" i="16"/>
  <c r="DQ18" i="16"/>
  <c r="DS18" i="16"/>
  <c r="DU18" i="16"/>
  <c r="DW18" i="16"/>
  <c r="DY18" i="16"/>
  <c r="EA18" i="16"/>
  <c r="EC18" i="16"/>
  <c r="EE18" i="16"/>
  <c r="EG18" i="16"/>
  <c r="EI18" i="16"/>
  <c r="EK18" i="16"/>
  <c r="EM18" i="16"/>
  <c r="EO18" i="16"/>
  <c r="EQ18" i="16"/>
  <c r="ES18" i="16"/>
  <c r="EU18" i="16"/>
  <c r="EW18" i="16"/>
  <c r="EY18" i="16"/>
  <c r="FA18" i="16"/>
  <c r="FC18" i="16"/>
  <c r="FE18" i="16"/>
  <c r="FG18" i="16"/>
  <c r="FI18" i="16"/>
  <c r="FK18" i="16"/>
  <c r="FM18" i="16"/>
  <c r="FO18" i="16"/>
  <c r="FQ18" i="16"/>
  <c r="FS18" i="16"/>
  <c r="FU18" i="16"/>
  <c r="FW18" i="16"/>
  <c r="FY18" i="16"/>
  <c r="GA18" i="16"/>
  <c r="GC18" i="16"/>
  <c r="CZ20" i="16"/>
  <c r="DB20" i="16"/>
  <c r="DD20" i="16"/>
  <c r="DF20" i="16"/>
  <c r="DH20" i="16"/>
  <c r="DJ20" i="16"/>
  <c r="DL20" i="16"/>
  <c r="DN20" i="16"/>
  <c r="DP20" i="16"/>
  <c r="DR20" i="16"/>
  <c r="DT20" i="16"/>
  <c r="DV20" i="16"/>
  <c r="DX20" i="16"/>
  <c r="DZ20" i="16"/>
  <c r="EB20" i="16"/>
  <c r="ED20" i="16"/>
  <c r="EF20" i="16"/>
  <c r="EH20" i="16"/>
  <c r="EJ20" i="16"/>
  <c r="EL20" i="16"/>
  <c r="EN20" i="16"/>
  <c r="EP20" i="16"/>
  <c r="ER20" i="16"/>
  <c r="ET20" i="16"/>
  <c r="EV20" i="16"/>
  <c r="EX20" i="16"/>
  <c r="EZ20" i="16"/>
  <c r="FB20" i="16"/>
  <c r="FD20" i="16"/>
  <c r="FF20" i="16"/>
  <c r="FH20" i="16"/>
  <c r="FJ20" i="16"/>
  <c r="FL20" i="16"/>
  <c r="FN20" i="16"/>
  <c r="FP20" i="16"/>
  <c r="FR20" i="16"/>
  <c r="FT20" i="16"/>
  <c r="FV20" i="16"/>
  <c r="FX20" i="16"/>
  <c r="FZ20" i="16"/>
  <c r="GB20" i="16"/>
  <c r="GD20" i="16"/>
  <c r="CY20" i="16"/>
  <c r="DA20" i="16"/>
  <c r="DC20" i="16"/>
  <c r="DE20" i="16"/>
  <c r="DG20" i="16"/>
  <c r="DI20" i="16"/>
  <c r="DK20" i="16"/>
  <c r="DM20" i="16"/>
  <c r="DO20" i="16"/>
  <c r="DQ20" i="16"/>
  <c r="DS20" i="16"/>
  <c r="DU20" i="16"/>
  <c r="DW20" i="16"/>
  <c r="DY20" i="16"/>
  <c r="EA20" i="16"/>
  <c r="EC20" i="16"/>
  <c r="EE20" i="16"/>
  <c r="EG20" i="16"/>
  <c r="EI20" i="16"/>
  <c r="EK20" i="16"/>
  <c r="EM20" i="16"/>
  <c r="EO20" i="16"/>
  <c r="EQ20" i="16"/>
  <c r="ES20" i="16"/>
  <c r="EU20" i="16"/>
  <c r="EW20" i="16"/>
  <c r="EY20" i="16"/>
  <c r="FA20" i="16"/>
  <c r="FC20" i="16"/>
  <c r="FE20" i="16"/>
  <c r="FG20" i="16"/>
  <c r="FI20" i="16"/>
  <c r="FK20" i="16"/>
  <c r="FM20" i="16"/>
  <c r="FO20" i="16"/>
  <c r="FQ20" i="16"/>
  <c r="FS20" i="16"/>
  <c r="FU20" i="16"/>
  <c r="FW20" i="16"/>
  <c r="FY20" i="16"/>
  <c r="GA20" i="16"/>
  <c r="GC20" i="16"/>
  <c r="CZ22" i="16"/>
  <c r="DB22" i="16"/>
  <c r="DD22" i="16"/>
  <c r="DF22" i="16"/>
  <c r="DH22" i="16"/>
  <c r="DJ22" i="16"/>
  <c r="DL22" i="16"/>
  <c r="DN22" i="16"/>
  <c r="DP22" i="16"/>
  <c r="DR22" i="16"/>
  <c r="DT22" i="16"/>
  <c r="DV22" i="16"/>
  <c r="DX22" i="16"/>
  <c r="DZ22" i="16"/>
  <c r="EB22" i="16"/>
  <c r="ED22" i="16"/>
  <c r="EF22" i="16"/>
  <c r="EH22" i="16"/>
  <c r="EJ22" i="16"/>
  <c r="EL22" i="16"/>
  <c r="EN22" i="16"/>
  <c r="EP22" i="16"/>
  <c r="ER22" i="16"/>
  <c r="ET22" i="16"/>
  <c r="EV22" i="16"/>
  <c r="EX22" i="16"/>
  <c r="EZ22" i="16"/>
  <c r="FB22" i="16"/>
  <c r="FD22" i="16"/>
  <c r="FF22" i="16"/>
  <c r="FH22" i="16"/>
  <c r="FJ22" i="16"/>
  <c r="FL22" i="16"/>
  <c r="FN22" i="16"/>
  <c r="FP22" i="16"/>
  <c r="FR22" i="16"/>
  <c r="FT22" i="16"/>
  <c r="FV22" i="16"/>
  <c r="FX22" i="16"/>
  <c r="FZ22" i="16"/>
  <c r="GB22" i="16"/>
  <c r="GD22" i="16"/>
  <c r="CY22" i="16"/>
  <c r="DA22" i="16"/>
  <c r="DC22" i="16"/>
  <c r="DE22" i="16"/>
  <c r="DG22" i="16"/>
  <c r="DI22" i="16"/>
  <c r="DK22" i="16"/>
  <c r="DM22" i="16"/>
  <c r="DO22" i="16"/>
  <c r="DQ22" i="16"/>
  <c r="DS22" i="16"/>
  <c r="DU22" i="16"/>
  <c r="DW22" i="16"/>
  <c r="DY22" i="16"/>
  <c r="EA22" i="16"/>
  <c r="EC22" i="16"/>
  <c r="EE22" i="16"/>
  <c r="EG22" i="16"/>
  <c r="EI22" i="16"/>
  <c r="EK22" i="16"/>
  <c r="EM22" i="16"/>
  <c r="EO22" i="16"/>
  <c r="EQ22" i="16"/>
  <c r="ES22" i="16"/>
  <c r="EU22" i="16"/>
  <c r="EW22" i="16"/>
  <c r="EY22" i="16"/>
  <c r="FA22" i="16"/>
  <c r="FC22" i="16"/>
  <c r="FE22" i="16"/>
  <c r="FG22" i="16"/>
  <c r="FI22" i="16"/>
  <c r="FK22" i="16"/>
  <c r="FM22" i="16"/>
  <c r="FO22" i="16"/>
  <c r="FQ22" i="16"/>
  <c r="FS22" i="16"/>
  <c r="FU22" i="16"/>
  <c r="FW22" i="16"/>
  <c r="FY22" i="16"/>
  <c r="GA22" i="16"/>
  <c r="GC22" i="16"/>
  <c r="CY23" i="16"/>
  <c r="DA23" i="16"/>
  <c r="DC23" i="16"/>
  <c r="DE23" i="16"/>
  <c r="DG23" i="16"/>
  <c r="DI23" i="16"/>
  <c r="DK23" i="16"/>
  <c r="DM23" i="16"/>
  <c r="DO23" i="16"/>
  <c r="DQ23" i="16"/>
  <c r="DS23" i="16"/>
  <c r="DU23" i="16"/>
  <c r="DW23" i="16"/>
  <c r="DY23" i="16"/>
  <c r="EA23" i="16"/>
  <c r="EC23" i="16"/>
  <c r="EE23" i="16"/>
  <c r="EG23" i="16"/>
  <c r="EI23" i="16"/>
  <c r="EK23" i="16"/>
  <c r="EM23" i="16"/>
  <c r="EO23" i="16"/>
  <c r="EQ23" i="16"/>
  <c r="ES23" i="16"/>
  <c r="EU23" i="16"/>
  <c r="EW23" i="16"/>
  <c r="EY23" i="16"/>
  <c r="FA23" i="16"/>
  <c r="FC23" i="16"/>
  <c r="FE23" i="16"/>
  <c r="FG23" i="16"/>
  <c r="FI23" i="16"/>
  <c r="FK23" i="16"/>
  <c r="FM23" i="16"/>
  <c r="FO23" i="16"/>
  <c r="FQ23" i="16"/>
  <c r="FS23" i="16"/>
  <c r="FU23" i="16"/>
  <c r="FW23" i="16"/>
  <c r="FY23" i="16"/>
  <c r="GA23" i="16"/>
  <c r="GC23" i="16"/>
  <c r="CZ23" i="16"/>
  <c r="DB23" i="16"/>
  <c r="DD23" i="16"/>
  <c r="DF23" i="16"/>
  <c r="DH23" i="16"/>
  <c r="DJ23" i="16"/>
  <c r="DL23" i="16"/>
  <c r="DN23" i="16"/>
  <c r="DP23" i="16"/>
  <c r="DR23" i="16"/>
  <c r="DT23" i="16"/>
  <c r="DV23" i="16"/>
  <c r="DX23" i="16"/>
  <c r="DZ23" i="16"/>
  <c r="EB23" i="16"/>
  <c r="ED23" i="16"/>
  <c r="EF23" i="16"/>
  <c r="EH23" i="16"/>
  <c r="EJ23" i="16"/>
  <c r="EL23" i="16"/>
  <c r="EN23" i="16"/>
  <c r="EP23" i="16"/>
  <c r="ER23" i="16"/>
  <c r="ET23" i="16"/>
  <c r="EV23" i="16"/>
  <c r="EX23" i="16"/>
  <c r="EZ23" i="16"/>
  <c r="FB23" i="16"/>
  <c r="FD23" i="16"/>
  <c r="FF23" i="16"/>
  <c r="FH23" i="16"/>
  <c r="FJ23" i="16"/>
  <c r="FL23" i="16"/>
  <c r="FN23" i="16"/>
  <c r="FP23" i="16"/>
  <c r="FR23" i="16"/>
  <c r="FT23" i="16"/>
  <c r="FV23" i="16"/>
  <c r="FX23" i="16"/>
  <c r="FZ23" i="16"/>
  <c r="GB23" i="16"/>
  <c r="GD23" i="16"/>
  <c r="CY25" i="16"/>
  <c r="DA25" i="16"/>
  <c r="DC25" i="16"/>
  <c r="DE25" i="16"/>
  <c r="DG25" i="16"/>
  <c r="DI25" i="16"/>
  <c r="DK25" i="16"/>
  <c r="DM25" i="16"/>
  <c r="DO25" i="16"/>
  <c r="DQ25" i="16"/>
  <c r="DS25" i="16"/>
  <c r="DU25" i="16"/>
  <c r="DW25" i="16"/>
  <c r="DY25" i="16"/>
  <c r="EA25" i="16"/>
  <c r="EC25" i="16"/>
  <c r="EE25" i="16"/>
  <c r="EG25" i="16"/>
  <c r="EI25" i="16"/>
  <c r="EK25" i="16"/>
  <c r="EM25" i="16"/>
  <c r="EO25" i="16"/>
  <c r="EQ25" i="16"/>
  <c r="ES25" i="16"/>
  <c r="EU25" i="16"/>
  <c r="EW25" i="16"/>
  <c r="EY25" i="16"/>
  <c r="FA25" i="16"/>
  <c r="FC25" i="16"/>
  <c r="FE25" i="16"/>
  <c r="FG25" i="16"/>
  <c r="FI25" i="16"/>
  <c r="FK25" i="16"/>
  <c r="FM25" i="16"/>
  <c r="FO25" i="16"/>
  <c r="FQ25" i="16"/>
  <c r="FS25" i="16"/>
  <c r="FU25" i="16"/>
  <c r="FW25" i="16"/>
  <c r="FY25" i="16"/>
  <c r="GA25" i="16"/>
  <c r="GC25" i="16"/>
  <c r="CZ25" i="16"/>
  <c r="DB25" i="16"/>
  <c r="DD25" i="16"/>
  <c r="DF25" i="16"/>
  <c r="DH25" i="16"/>
  <c r="DJ25" i="16"/>
  <c r="DL25" i="16"/>
  <c r="DN25" i="16"/>
  <c r="DP25" i="16"/>
  <c r="DR25" i="16"/>
  <c r="DT25" i="16"/>
  <c r="DV25" i="16"/>
  <c r="DX25" i="16"/>
  <c r="DZ25" i="16"/>
  <c r="EB25" i="16"/>
  <c r="ED25" i="16"/>
  <c r="EF25" i="16"/>
  <c r="EH25" i="16"/>
  <c r="EJ25" i="16"/>
  <c r="EL25" i="16"/>
  <c r="EN25" i="16"/>
  <c r="EP25" i="16"/>
  <c r="ER25" i="16"/>
  <c r="ET25" i="16"/>
  <c r="EV25" i="16"/>
  <c r="EX25" i="16"/>
  <c r="EZ25" i="16"/>
  <c r="FB25" i="16"/>
  <c r="FD25" i="16"/>
  <c r="FF25" i="16"/>
  <c r="FH25" i="16"/>
  <c r="FJ25" i="16"/>
  <c r="FL25" i="16"/>
  <c r="FN25" i="16"/>
  <c r="FP25" i="16"/>
  <c r="FR25" i="16"/>
  <c r="FT25" i="16"/>
  <c r="FV25" i="16"/>
  <c r="FX25" i="16"/>
  <c r="FZ25" i="16"/>
  <c r="GB25" i="16"/>
  <c r="GD25" i="16"/>
  <c r="CY27" i="16"/>
  <c r="DA27" i="16"/>
  <c r="DC27" i="16"/>
  <c r="DE27" i="16"/>
  <c r="DG27" i="16"/>
  <c r="DI27" i="16"/>
  <c r="DK27" i="16"/>
  <c r="DM27" i="16"/>
  <c r="DO27" i="16"/>
  <c r="DQ27" i="16"/>
  <c r="DS27" i="16"/>
  <c r="DU27" i="16"/>
  <c r="DW27" i="16"/>
  <c r="DY27" i="16"/>
  <c r="EA27" i="16"/>
  <c r="EC27" i="16"/>
  <c r="EE27" i="16"/>
  <c r="EG27" i="16"/>
  <c r="EI27" i="16"/>
  <c r="EK27" i="16"/>
  <c r="EM27" i="16"/>
  <c r="EO27" i="16"/>
  <c r="EQ27" i="16"/>
  <c r="ES27" i="16"/>
  <c r="EU27" i="16"/>
  <c r="EW27" i="16"/>
  <c r="EY27" i="16"/>
  <c r="FA27" i="16"/>
  <c r="FC27" i="16"/>
  <c r="FE27" i="16"/>
  <c r="FG27" i="16"/>
  <c r="FI27" i="16"/>
  <c r="FK27" i="16"/>
  <c r="FM27" i="16"/>
  <c r="FO27" i="16"/>
  <c r="FQ27" i="16"/>
  <c r="FS27" i="16"/>
  <c r="FU27" i="16"/>
  <c r="FW27" i="16"/>
  <c r="FY27" i="16"/>
  <c r="GA27" i="16"/>
  <c r="GC27" i="16"/>
  <c r="CZ27" i="16"/>
  <c r="DB27" i="16"/>
  <c r="DD27" i="16"/>
  <c r="DF27" i="16"/>
  <c r="DH27" i="16"/>
  <c r="DJ27" i="16"/>
  <c r="DL27" i="16"/>
  <c r="DN27" i="16"/>
  <c r="DP27" i="16"/>
  <c r="DR27" i="16"/>
  <c r="DT27" i="16"/>
  <c r="DV27" i="16"/>
  <c r="DX27" i="16"/>
  <c r="DZ27" i="16"/>
  <c r="EB27" i="16"/>
  <c r="ED27" i="16"/>
  <c r="EF27" i="16"/>
  <c r="EH27" i="16"/>
  <c r="EJ27" i="16"/>
  <c r="EL27" i="16"/>
  <c r="EN27" i="16"/>
  <c r="EP27" i="16"/>
  <c r="ER27" i="16"/>
  <c r="ET27" i="16"/>
  <c r="EV27" i="16"/>
  <c r="EX27" i="16"/>
  <c r="EZ27" i="16"/>
  <c r="FB27" i="16"/>
  <c r="FD27" i="16"/>
  <c r="FF27" i="16"/>
  <c r="FH27" i="16"/>
  <c r="FJ27" i="16"/>
  <c r="FL27" i="16"/>
  <c r="FN27" i="16"/>
  <c r="FP27" i="16"/>
  <c r="FR27" i="16"/>
  <c r="FT27" i="16"/>
  <c r="FV27" i="16"/>
  <c r="FX27" i="16"/>
  <c r="FZ27" i="16"/>
  <c r="GB27" i="16"/>
  <c r="GD27" i="16"/>
  <c r="CY29" i="16"/>
  <c r="DA29" i="16"/>
  <c r="DC29" i="16"/>
  <c r="DE29" i="16"/>
  <c r="DG29" i="16"/>
  <c r="DI29" i="16"/>
  <c r="DK29" i="16"/>
  <c r="DM29" i="16"/>
  <c r="DO29" i="16"/>
  <c r="DQ29" i="16"/>
  <c r="DS29" i="16"/>
  <c r="DU29" i="16"/>
  <c r="DW29" i="16"/>
  <c r="DY29" i="16"/>
  <c r="EA29" i="16"/>
  <c r="EC29" i="16"/>
  <c r="EE29" i="16"/>
  <c r="EG29" i="16"/>
  <c r="EI29" i="16"/>
  <c r="EK29" i="16"/>
  <c r="EM29" i="16"/>
  <c r="EO29" i="16"/>
  <c r="EQ29" i="16"/>
  <c r="ES29" i="16"/>
  <c r="EU29" i="16"/>
  <c r="EW29" i="16"/>
  <c r="EY29" i="16"/>
  <c r="FA29" i="16"/>
  <c r="FC29" i="16"/>
  <c r="FE29" i="16"/>
  <c r="FG29" i="16"/>
  <c r="FI29" i="16"/>
  <c r="FK29" i="16"/>
  <c r="FM29" i="16"/>
  <c r="FO29" i="16"/>
  <c r="FQ29" i="16"/>
  <c r="FS29" i="16"/>
  <c r="FU29" i="16"/>
  <c r="FW29" i="16"/>
  <c r="FY29" i="16"/>
  <c r="GA29" i="16"/>
  <c r="GC29" i="16"/>
  <c r="CZ29" i="16"/>
  <c r="DB29" i="16"/>
  <c r="DD29" i="16"/>
  <c r="DF29" i="16"/>
  <c r="DH29" i="16"/>
  <c r="DJ29" i="16"/>
  <c r="DL29" i="16"/>
  <c r="DN29" i="16"/>
  <c r="DP29" i="16"/>
  <c r="DR29" i="16"/>
  <c r="DT29" i="16"/>
  <c r="DV29" i="16"/>
  <c r="DX29" i="16"/>
  <c r="DZ29" i="16"/>
  <c r="EB29" i="16"/>
  <c r="ED29" i="16"/>
  <c r="EF29" i="16"/>
  <c r="EH29" i="16"/>
  <c r="EJ29" i="16"/>
  <c r="EL29" i="16"/>
  <c r="EN29" i="16"/>
  <c r="EP29" i="16"/>
  <c r="ER29" i="16"/>
  <c r="ET29" i="16"/>
  <c r="EV29" i="16"/>
  <c r="EX29" i="16"/>
  <c r="EZ29" i="16"/>
  <c r="FB29" i="16"/>
  <c r="FD29" i="16"/>
  <c r="FF29" i="16"/>
  <c r="FH29" i="16"/>
  <c r="FJ29" i="16"/>
  <c r="FL29" i="16"/>
  <c r="FN29" i="16"/>
  <c r="FP29" i="16"/>
  <c r="FR29" i="16"/>
  <c r="FT29" i="16"/>
  <c r="FV29" i="16"/>
  <c r="FX29" i="16"/>
  <c r="FZ29" i="16"/>
  <c r="GB29" i="16"/>
  <c r="GD29" i="16"/>
  <c r="CY31" i="16"/>
  <c r="DA31" i="16"/>
  <c r="DC31" i="16"/>
  <c r="DE31" i="16"/>
  <c r="DG31" i="16"/>
  <c r="DI31" i="16"/>
  <c r="DK31" i="16"/>
  <c r="DM31" i="16"/>
  <c r="DO31" i="16"/>
  <c r="DQ31" i="16"/>
  <c r="DS31" i="16"/>
  <c r="DU31" i="16"/>
  <c r="DW31" i="16"/>
  <c r="DY31" i="16"/>
  <c r="EA31" i="16"/>
  <c r="EC31" i="16"/>
  <c r="EE31" i="16"/>
  <c r="EG31" i="16"/>
  <c r="EI31" i="16"/>
  <c r="EK31" i="16"/>
  <c r="EM31" i="16"/>
  <c r="EO31" i="16"/>
  <c r="EQ31" i="16"/>
  <c r="ES31" i="16"/>
  <c r="EU31" i="16"/>
  <c r="EW31" i="16"/>
  <c r="EY31" i="16"/>
  <c r="FA31" i="16"/>
  <c r="FC31" i="16"/>
  <c r="FE31" i="16"/>
  <c r="FG31" i="16"/>
  <c r="FI31" i="16"/>
  <c r="FK31" i="16"/>
  <c r="FM31" i="16"/>
  <c r="FO31" i="16"/>
  <c r="FQ31" i="16"/>
  <c r="FS31" i="16"/>
  <c r="FU31" i="16"/>
  <c r="FW31" i="16"/>
  <c r="FY31" i="16"/>
  <c r="GA31" i="16"/>
  <c r="GC31" i="16"/>
  <c r="CZ31" i="16"/>
  <c r="DB31" i="16"/>
  <c r="DD31" i="16"/>
  <c r="DF31" i="16"/>
  <c r="DH31" i="16"/>
  <c r="DJ31" i="16"/>
  <c r="DL31" i="16"/>
  <c r="DN31" i="16"/>
  <c r="DP31" i="16"/>
  <c r="DR31" i="16"/>
  <c r="DT31" i="16"/>
  <c r="DV31" i="16"/>
  <c r="DX31" i="16"/>
  <c r="DZ31" i="16"/>
  <c r="EB31" i="16"/>
  <c r="ED31" i="16"/>
  <c r="EF31" i="16"/>
  <c r="EH31" i="16"/>
  <c r="EJ31" i="16"/>
  <c r="EL31" i="16"/>
  <c r="EN31" i="16"/>
  <c r="EP31" i="16"/>
  <c r="ER31" i="16"/>
  <c r="ET31" i="16"/>
  <c r="EV31" i="16"/>
  <c r="EX31" i="16"/>
  <c r="EZ31" i="16"/>
  <c r="FB31" i="16"/>
  <c r="FD31" i="16"/>
  <c r="FF31" i="16"/>
  <c r="FH31" i="16"/>
  <c r="FJ31" i="16"/>
  <c r="FL31" i="16"/>
  <c r="FN31" i="16"/>
  <c r="FP31" i="16"/>
  <c r="FR31" i="16"/>
  <c r="FT31" i="16"/>
  <c r="FV31" i="16"/>
  <c r="FX31" i="16"/>
  <c r="FZ31" i="16"/>
  <c r="GB31" i="16"/>
  <c r="GD31" i="16"/>
  <c r="CY33" i="16"/>
  <c r="DA33" i="16"/>
  <c r="DC33" i="16"/>
  <c r="DE33" i="16"/>
  <c r="CZ33" i="16"/>
  <c r="DB33" i="16"/>
  <c r="DD33" i="16"/>
  <c r="DF33" i="16"/>
  <c r="DH33" i="16"/>
  <c r="DJ33" i="16"/>
  <c r="DL33" i="16"/>
  <c r="DN33" i="16"/>
  <c r="DP33" i="16"/>
  <c r="DR33" i="16"/>
  <c r="DT33" i="16"/>
  <c r="DV33" i="16"/>
  <c r="DX33" i="16"/>
  <c r="DZ33" i="16"/>
  <c r="EB33" i="16"/>
  <c r="ED33" i="16"/>
  <c r="EF33" i="16"/>
  <c r="EH33" i="16"/>
  <c r="EJ33" i="16"/>
  <c r="EL33" i="16"/>
  <c r="EN33" i="16"/>
  <c r="EP33" i="16"/>
  <c r="ER33" i="16"/>
  <c r="ET33" i="16"/>
  <c r="EV33" i="16"/>
  <c r="EX33" i="16"/>
  <c r="EZ33" i="16"/>
  <c r="FB33" i="16"/>
  <c r="FD33" i="16"/>
  <c r="FF33" i="16"/>
  <c r="FH33" i="16"/>
  <c r="FJ33" i="16"/>
  <c r="FL33" i="16"/>
  <c r="FN33" i="16"/>
  <c r="FP33" i="16"/>
  <c r="FR33" i="16"/>
  <c r="FT33" i="16"/>
  <c r="FV33" i="16"/>
  <c r="FX33" i="16"/>
  <c r="FZ33" i="16"/>
  <c r="GB33" i="16"/>
  <c r="GD33" i="16"/>
  <c r="DG33" i="16"/>
  <c r="DI33" i="16"/>
  <c r="DK33" i="16"/>
  <c r="DM33" i="16"/>
  <c r="DO33" i="16"/>
  <c r="DQ33" i="16"/>
  <c r="DS33" i="16"/>
  <c r="DU33" i="16"/>
  <c r="DW33" i="16"/>
  <c r="DY33" i="16"/>
  <c r="EA33" i="16"/>
  <c r="EC33" i="16"/>
  <c r="EE33" i="16"/>
  <c r="EG33" i="16"/>
  <c r="EI33" i="16"/>
  <c r="EK33" i="16"/>
  <c r="EM33" i="16"/>
  <c r="EO33" i="16"/>
  <c r="EQ33" i="16"/>
  <c r="ES33" i="16"/>
  <c r="EU33" i="16"/>
  <c r="EW33" i="16"/>
  <c r="EY33" i="16"/>
  <c r="FA33" i="16"/>
  <c r="FC33" i="16"/>
  <c r="FE33" i="16"/>
  <c r="FG33" i="16"/>
  <c r="FI33" i="16"/>
  <c r="FK33" i="16"/>
  <c r="FM33" i="16"/>
  <c r="FO33" i="16"/>
  <c r="FQ33" i="16"/>
  <c r="FS33" i="16"/>
  <c r="FU33" i="16"/>
  <c r="FW33" i="16"/>
  <c r="FY33" i="16"/>
  <c r="GA33" i="16"/>
  <c r="GC33" i="16"/>
  <c r="CZ35" i="16"/>
  <c r="DB35" i="16"/>
  <c r="DD35" i="16"/>
  <c r="DF35" i="16"/>
  <c r="DH35" i="16"/>
  <c r="DJ35" i="16"/>
  <c r="DL35" i="16"/>
  <c r="DN35" i="16"/>
  <c r="DP35" i="16"/>
  <c r="DR35" i="16"/>
  <c r="DT35" i="16"/>
  <c r="DV35" i="16"/>
  <c r="DX35" i="16"/>
  <c r="DZ35" i="16"/>
  <c r="EB35" i="16"/>
  <c r="ED35" i="16"/>
  <c r="EF35" i="16"/>
  <c r="EH35" i="16"/>
  <c r="EJ35" i="16"/>
  <c r="EL35" i="16"/>
  <c r="EN35" i="16"/>
  <c r="EP35" i="16"/>
  <c r="ER35" i="16"/>
  <c r="ET35" i="16"/>
  <c r="EV35" i="16"/>
  <c r="EX35" i="16"/>
  <c r="EZ35" i="16"/>
  <c r="FB35" i="16"/>
  <c r="FD35" i="16"/>
  <c r="FF35" i="16"/>
  <c r="FH35" i="16"/>
  <c r="FJ35" i="16"/>
  <c r="FL35" i="16"/>
  <c r="FN35" i="16"/>
  <c r="FP35" i="16"/>
  <c r="FR35" i="16"/>
  <c r="FT35" i="16"/>
  <c r="FV35" i="16"/>
  <c r="FX35" i="16"/>
  <c r="FZ35" i="16"/>
  <c r="GB35" i="16"/>
  <c r="GD35" i="16"/>
  <c r="CY35" i="16"/>
  <c r="DA35" i="16"/>
  <c r="DC35" i="16"/>
  <c r="DE35" i="16"/>
  <c r="DG35" i="16"/>
  <c r="DI35" i="16"/>
  <c r="DK35" i="16"/>
  <c r="DM35" i="16"/>
  <c r="DO35" i="16"/>
  <c r="DQ35" i="16"/>
  <c r="DS35" i="16"/>
  <c r="DU35" i="16"/>
  <c r="DW35" i="16"/>
  <c r="DY35" i="16"/>
  <c r="EA35" i="16"/>
  <c r="EC35" i="16"/>
  <c r="EE35" i="16"/>
  <c r="EG35" i="16"/>
  <c r="EI35" i="16"/>
  <c r="EK35" i="16"/>
  <c r="EM35" i="16"/>
  <c r="EO35" i="16"/>
  <c r="EQ35" i="16"/>
  <c r="ES35" i="16"/>
  <c r="EU35" i="16"/>
  <c r="EW35" i="16"/>
  <c r="EY35" i="16"/>
  <c r="FA35" i="16"/>
  <c r="FC35" i="16"/>
  <c r="FE35" i="16"/>
  <c r="FG35" i="16"/>
  <c r="FI35" i="16"/>
  <c r="FK35" i="16"/>
  <c r="FM35" i="16"/>
  <c r="FO35" i="16"/>
  <c r="FQ35" i="16"/>
  <c r="FS35" i="16"/>
  <c r="FU35" i="16"/>
  <c r="FW35" i="16"/>
  <c r="FY35" i="16"/>
  <c r="GA35" i="16"/>
  <c r="GC35" i="16"/>
  <c r="CZ37" i="16"/>
  <c r="DB37" i="16"/>
  <c r="DD37" i="16"/>
  <c r="DF37" i="16"/>
  <c r="DH37" i="16"/>
  <c r="DJ37" i="16"/>
  <c r="DL37" i="16"/>
  <c r="DN37" i="16"/>
  <c r="DP37" i="16"/>
  <c r="DR37" i="16"/>
  <c r="DT37" i="16"/>
  <c r="DV37" i="16"/>
  <c r="DX37" i="16"/>
  <c r="DZ37" i="16"/>
  <c r="EB37" i="16"/>
  <c r="ED37" i="16"/>
  <c r="EF37" i="16"/>
  <c r="EH37" i="16"/>
  <c r="EJ37" i="16"/>
  <c r="EL37" i="16"/>
  <c r="EN37" i="16"/>
  <c r="EP37" i="16"/>
  <c r="ER37" i="16"/>
  <c r="ET37" i="16"/>
  <c r="EV37" i="16"/>
  <c r="EX37" i="16"/>
  <c r="EZ37" i="16"/>
  <c r="FB37" i="16"/>
  <c r="FD37" i="16"/>
  <c r="FF37" i="16"/>
  <c r="FH37" i="16"/>
  <c r="FJ37" i="16"/>
  <c r="FL37" i="16"/>
  <c r="FN37" i="16"/>
  <c r="FP37" i="16"/>
  <c r="FR37" i="16"/>
  <c r="FT37" i="16"/>
  <c r="FV37" i="16"/>
  <c r="FX37" i="16"/>
  <c r="FZ37" i="16"/>
  <c r="GB37" i="16"/>
  <c r="GD37" i="16"/>
  <c r="CY37" i="16"/>
  <c r="DA37" i="16"/>
  <c r="DC37" i="16"/>
  <c r="DE37" i="16"/>
  <c r="DG37" i="16"/>
  <c r="DI37" i="16"/>
  <c r="DK37" i="16"/>
  <c r="DM37" i="16"/>
  <c r="DO37" i="16"/>
  <c r="DQ37" i="16"/>
  <c r="DS37" i="16"/>
  <c r="DU37" i="16"/>
  <c r="DW37" i="16"/>
  <c r="DY37" i="16"/>
  <c r="EA37" i="16"/>
  <c r="EC37" i="16"/>
  <c r="EE37" i="16"/>
  <c r="EG37" i="16"/>
  <c r="EI37" i="16"/>
  <c r="EK37" i="16"/>
  <c r="EM37" i="16"/>
  <c r="EO37" i="16"/>
  <c r="EQ37" i="16"/>
  <c r="ES37" i="16"/>
  <c r="EU37" i="16"/>
  <c r="EW37" i="16"/>
  <c r="EY37" i="16"/>
  <c r="FA37" i="16"/>
  <c r="FC37" i="16"/>
  <c r="FE37" i="16"/>
  <c r="FG37" i="16"/>
  <c r="FI37" i="16"/>
  <c r="FK37" i="16"/>
  <c r="FM37" i="16"/>
  <c r="FO37" i="16"/>
  <c r="FQ37" i="16"/>
  <c r="FS37" i="16"/>
  <c r="FU37" i="16"/>
  <c r="FW37" i="16"/>
  <c r="FY37" i="16"/>
  <c r="GA37" i="16"/>
  <c r="GC37" i="16"/>
  <c r="CZ39" i="16"/>
  <c r="DB39" i="16"/>
  <c r="DD39" i="16"/>
  <c r="DF39" i="16"/>
  <c r="DH39" i="16"/>
  <c r="DJ39" i="16"/>
  <c r="DL39" i="16"/>
  <c r="DN39" i="16"/>
  <c r="DP39" i="16"/>
  <c r="DR39" i="16"/>
  <c r="DT39" i="16"/>
  <c r="DV39" i="16"/>
  <c r="DX39" i="16"/>
  <c r="DZ39" i="16"/>
  <c r="EB39" i="16"/>
  <c r="ED39" i="16"/>
  <c r="EF39" i="16"/>
  <c r="EH39" i="16"/>
  <c r="EJ39" i="16"/>
  <c r="EL39" i="16"/>
  <c r="EN39" i="16"/>
  <c r="EP39" i="16"/>
  <c r="ER39" i="16"/>
  <c r="ET39" i="16"/>
  <c r="EV39" i="16"/>
  <c r="EX39" i="16"/>
  <c r="EZ39" i="16"/>
  <c r="FB39" i="16"/>
  <c r="FD39" i="16"/>
  <c r="FF39" i="16"/>
  <c r="FH39" i="16"/>
  <c r="FJ39" i="16"/>
  <c r="FL39" i="16"/>
  <c r="FN39" i="16"/>
  <c r="FP39" i="16"/>
  <c r="FR39" i="16"/>
  <c r="FT39" i="16"/>
  <c r="FV39" i="16"/>
  <c r="FX39" i="16"/>
  <c r="FZ39" i="16"/>
  <c r="GB39" i="16"/>
  <c r="GD39" i="16"/>
  <c r="CY39" i="16"/>
  <c r="DA39" i="16"/>
  <c r="DC39" i="16"/>
  <c r="DE39" i="16"/>
  <c r="DG39" i="16"/>
  <c r="DI39" i="16"/>
  <c r="DK39" i="16"/>
  <c r="DM39" i="16"/>
  <c r="DO39" i="16"/>
  <c r="DQ39" i="16"/>
  <c r="DS39" i="16"/>
  <c r="DU39" i="16"/>
  <c r="DW39" i="16"/>
  <c r="DY39" i="16"/>
  <c r="EA39" i="16"/>
  <c r="EC39" i="16"/>
  <c r="EE39" i="16"/>
  <c r="EG39" i="16"/>
  <c r="EI39" i="16"/>
  <c r="EK39" i="16"/>
  <c r="EM39" i="16"/>
  <c r="EO39" i="16"/>
  <c r="EQ39" i="16"/>
  <c r="ES39" i="16"/>
  <c r="EU39" i="16"/>
  <c r="EW39" i="16"/>
  <c r="EY39" i="16"/>
  <c r="FA39" i="16"/>
  <c r="FC39" i="16"/>
  <c r="FE39" i="16"/>
  <c r="FG39" i="16"/>
  <c r="FI39" i="16"/>
  <c r="FK39" i="16"/>
  <c r="FM39" i="16"/>
  <c r="FO39" i="16"/>
  <c r="FQ39" i="16"/>
  <c r="FS39" i="16"/>
  <c r="FU39" i="16"/>
  <c r="FW39" i="16"/>
  <c r="FY39" i="16"/>
  <c r="GA39" i="16"/>
  <c r="GC39" i="16"/>
  <c r="CY42" i="16"/>
  <c r="DA42" i="16"/>
  <c r="DC42" i="16"/>
  <c r="DE42" i="16"/>
  <c r="DG42" i="16"/>
  <c r="DI42" i="16"/>
  <c r="DK42" i="16"/>
  <c r="DM42" i="16"/>
  <c r="DO42" i="16"/>
  <c r="DQ42" i="16"/>
  <c r="DS42" i="16"/>
  <c r="DU42" i="16"/>
  <c r="DW42" i="16"/>
  <c r="DY42" i="16"/>
  <c r="EA42" i="16"/>
  <c r="EC42" i="16"/>
  <c r="EE42" i="16"/>
  <c r="EG42" i="16"/>
  <c r="EI42" i="16"/>
  <c r="EK42" i="16"/>
  <c r="EM42" i="16"/>
  <c r="EO42" i="16"/>
  <c r="EQ42" i="16"/>
  <c r="ES42" i="16"/>
  <c r="EU42" i="16"/>
  <c r="EW42" i="16"/>
  <c r="EY42" i="16"/>
  <c r="FA42" i="16"/>
  <c r="FC42" i="16"/>
  <c r="FE42" i="16"/>
  <c r="FG42" i="16"/>
  <c r="FI42" i="16"/>
  <c r="FK42" i="16"/>
  <c r="FM42" i="16"/>
  <c r="FO42" i="16"/>
  <c r="FQ42" i="16"/>
  <c r="FS42" i="16"/>
  <c r="FU42" i="16"/>
  <c r="FW42" i="16"/>
  <c r="FY42" i="16"/>
  <c r="GA42" i="16"/>
  <c r="GC42" i="16"/>
  <c r="CZ42" i="16"/>
  <c r="DB42" i="16"/>
  <c r="DD42" i="16"/>
  <c r="DF42" i="16"/>
  <c r="DH42" i="16"/>
  <c r="DJ42" i="16"/>
  <c r="DL42" i="16"/>
  <c r="DN42" i="16"/>
  <c r="DP42" i="16"/>
  <c r="DR42" i="16"/>
  <c r="DT42" i="16"/>
  <c r="DV42" i="16"/>
  <c r="DX42" i="16"/>
  <c r="DZ42" i="16"/>
  <c r="EB42" i="16"/>
  <c r="ED42" i="16"/>
  <c r="EF42" i="16"/>
  <c r="EH42" i="16"/>
  <c r="EJ42" i="16"/>
  <c r="EL42" i="16"/>
  <c r="EN42" i="16"/>
  <c r="EP42" i="16"/>
  <c r="ER42" i="16"/>
  <c r="ET42" i="16"/>
  <c r="EV42" i="16"/>
  <c r="EX42" i="16"/>
  <c r="EZ42" i="16"/>
  <c r="FB42" i="16"/>
  <c r="FD42" i="16"/>
  <c r="FF42" i="16"/>
  <c r="FH42" i="16"/>
  <c r="FJ42" i="16"/>
  <c r="FL42" i="16"/>
  <c r="FN42" i="16"/>
  <c r="FP42" i="16"/>
  <c r="FR42" i="16"/>
  <c r="FT42" i="16"/>
  <c r="FV42" i="16"/>
  <c r="FX42" i="16"/>
  <c r="FZ42" i="16"/>
  <c r="GB42" i="16"/>
  <c r="GD42" i="16"/>
  <c r="CY44" i="16"/>
  <c r="DA44" i="16"/>
  <c r="DC44" i="16"/>
  <c r="DE44" i="16"/>
  <c r="DG44" i="16"/>
  <c r="DI44" i="16"/>
  <c r="DK44" i="16"/>
  <c r="DM44" i="16"/>
  <c r="DO44" i="16"/>
  <c r="DQ44" i="16"/>
  <c r="DS44" i="16"/>
  <c r="DU44" i="16"/>
  <c r="DW44" i="16"/>
  <c r="DY44" i="16"/>
  <c r="EA44" i="16"/>
  <c r="EC44" i="16"/>
  <c r="EE44" i="16"/>
  <c r="EG44" i="16"/>
  <c r="EI44" i="16"/>
  <c r="EK44" i="16"/>
  <c r="EM44" i="16"/>
  <c r="EO44" i="16"/>
  <c r="EQ44" i="16"/>
  <c r="ES44" i="16"/>
  <c r="EU44" i="16"/>
  <c r="EW44" i="16"/>
  <c r="EY44" i="16"/>
  <c r="FA44" i="16"/>
  <c r="FC44" i="16"/>
  <c r="FE44" i="16"/>
  <c r="FG44" i="16"/>
  <c r="FI44" i="16"/>
  <c r="FK44" i="16"/>
  <c r="FM44" i="16"/>
  <c r="FO44" i="16"/>
  <c r="FQ44" i="16"/>
  <c r="FS44" i="16"/>
  <c r="FU44" i="16"/>
  <c r="FW44" i="16"/>
  <c r="FY44" i="16"/>
  <c r="GA44" i="16"/>
  <c r="GC44" i="16"/>
  <c r="CZ44" i="16"/>
  <c r="DB44" i="16"/>
  <c r="DD44" i="16"/>
  <c r="DF44" i="16"/>
  <c r="DH44" i="16"/>
  <c r="DJ44" i="16"/>
  <c r="DL44" i="16"/>
  <c r="DN44" i="16"/>
  <c r="DP44" i="16"/>
  <c r="DR44" i="16"/>
  <c r="DT44" i="16"/>
  <c r="DV44" i="16"/>
  <c r="DX44" i="16"/>
  <c r="DZ44" i="16"/>
  <c r="EB44" i="16"/>
  <c r="ED44" i="16"/>
  <c r="EF44" i="16"/>
  <c r="EH44" i="16"/>
  <c r="EJ44" i="16"/>
  <c r="EL44" i="16"/>
  <c r="EN44" i="16"/>
  <c r="EP44" i="16"/>
  <c r="ER44" i="16"/>
  <c r="ET44" i="16"/>
  <c r="EV44" i="16"/>
  <c r="EX44" i="16"/>
  <c r="EZ44" i="16"/>
  <c r="FB44" i="16"/>
  <c r="FD44" i="16"/>
  <c r="FF44" i="16"/>
  <c r="FH44" i="16"/>
  <c r="FJ44" i="16"/>
  <c r="FL44" i="16"/>
  <c r="FN44" i="16"/>
  <c r="FP44" i="16"/>
  <c r="FR44" i="16"/>
  <c r="FT44" i="16"/>
  <c r="FV44" i="16"/>
  <c r="FX44" i="16"/>
  <c r="FZ44" i="16"/>
  <c r="GB44" i="16"/>
  <c r="GD44" i="16"/>
  <c r="CY46" i="16"/>
  <c r="DA46" i="16"/>
  <c r="DC46" i="16"/>
  <c r="DE46" i="16"/>
  <c r="DG46" i="16"/>
  <c r="DI46" i="16"/>
  <c r="DK46" i="16"/>
  <c r="DM46" i="16"/>
  <c r="DO46" i="16"/>
  <c r="DQ46" i="16"/>
  <c r="DS46" i="16"/>
  <c r="DU46" i="16"/>
  <c r="DW46" i="16"/>
  <c r="DY46" i="16"/>
  <c r="EA46" i="16"/>
  <c r="EC46" i="16"/>
  <c r="EE46" i="16"/>
  <c r="EG46" i="16"/>
  <c r="EI46" i="16"/>
  <c r="EK46" i="16"/>
  <c r="EM46" i="16"/>
  <c r="EO46" i="16"/>
  <c r="EQ46" i="16"/>
  <c r="ES46" i="16"/>
  <c r="EU46" i="16"/>
  <c r="EW46" i="16"/>
  <c r="EY46" i="16"/>
  <c r="FA46" i="16"/>
  <c r="FC46" i="16"/>
  <c r="FE46" i="16"/>
  <c r="FG46" i="16"/>
  <c r="FI46" i="16"/>
  <c r="FK46" i="16"/>
  <c r="FM46" i="16"/>
  <c r="FO46" i="16"/>
  <c r="FQ46" i="16"/>
  <c r="FS46" i="16"/>
  <c r="FU46" i="16"/>
  <c r="FW46" i="16"/>
  <c r="FY46" i="16"/>
  <c r="GA46" i="16"/>
  <c r="GC46" i="16"/>
  <c r="CZ46" i="16"/>
  <c r="DB46" i="16"/>
  <c r="DD46" i="16"/>
  <c r="DF46" i="16"/>
  <c r="DH46" i="16"/>
  <c r="DJ46" i="16"/>
  <c r="DL46" i="16"/>
  <c r="DN46" i="16"/>
  <c r="DP46" i="16"/>
  <c r="DR46" i="16"/>
  <c r="DT46" i="16"/>
  <c r="DV46" i="16"/>
  <c r="DX46" i="16"/>
  <c r="DZ46" i="16"/>
  <c r="EB46" i="16"/>
  <c r="ED46" i="16"/>
  <c r="EF46" i="16"/>
  <c r="EH46" i="16"/>
  <c r="EJ46" i="16"/>
  <c r="EL46" i="16"/>
  <c r="EN46" i="16"/>
  <c r="EP46" i="16"/>
  <c r="ER46" i="16"/>
  <c r="ET46" i="16"/>
  <c r="EV46" i="16"/>
  <c r="EX46" i="16"/>
  <c r="EZ46" i="16"/>
  <c r="FB46" i="16"/>
  <c r="FD46" i="16"/>
  <c r="FF46" i="16"/>
  <c r="FH46" i="16"/>
  <c r="FJ46" i="16"/>
  <c r="FL46" i="16"/>
  <c r="FN46" i="16"/>
  <c r="FP46" i="16"/>
  <c r="FR46" i="16"/>
  <c r="FT46" i="16"/>
  <c r="FV46" i="16"/>
  <c r="FX46" i="16"/>
  <c r="FZ46" i="16"/>
  <c r="GB46" i="16"/>
  <c r="GD46" i="16"/>
  <c r="CZ47" i="16"/>
  <c r="DB47" i="16"/>
  <c r="DD47" i="16"/>
  <c r="DF47" i="16"/>
  <c r="DH47" i="16"/>
  <c r="DJ47" i="16"/>
  <c r="DL47" i="16"/>
  <c r="DN47" i="16"/>
  <c r="DP47" i="16"/>
  <c r="DR47" i="16"/>
  <c r="DT47" i="16"/>
  <c r="DV47" i="16"/>
  <c r="DX47" i="16"/>
  <c r="DZ47" i="16"/>
  <c r="EB47" i="16"/>
  <c r="ED47" i="16"/>
  <c r="EF47" i="16"/>
  <c r="EH47" i="16"/>
  <c r="EJ47" i="16"/>
  <c r="EL47" i="16"/>
  <c r="EN47" i="16"/>
  <c r="EP47" i="16"/>
  <c r="ER47" i="16"/>
  <c r="ET47" i="16"/>
  <c r="EV47" i="16"/>
  <c r="EX47" i="16"/>
  <c r="EZ47" i="16"/>
  <c r="FB47" i="16"/>
  <c r="FD47" i="16"/>
  <c r="FF47" i="16"/>
  <c r="FH47" i="16"/>
  <c r="FJ47" i="16"/>
  <c r="FL47" i="16"/>
  <c r="FN47" i="16"/>
  <c r="FP47" i="16"/>
  <c r="FR47" i="16"/>
  <c r="FT47" i="16"/>
  <c r="FV47" i="16"/>
  <c r="FX47" i="16"/>
  <c r="FZ47" i="16"/>
  <c r="GB47" i="16"/>
  <c r="GD47" i="16"/>
  <c r="CY47" i="16"/>
  <c r="DA47" i="16"/>
  <c r="DC47" i="16"/>
  <c r="DE47" i="16"/>
  <c r="DG47" i="16"/>
  <c r="DI47" i="16"/>
  <c r="DK47" i="16"/>
  <c r="DM47" i="16"/>
  <c r="DO47" i="16"/>
  <c r="DQ47" i="16"/>
  <c r="DS47" i="16"/>
  <c r="DU47" i="16"/>
  <c r="DW47" i="16"/>
  <c r="DY47" i="16"/>
  <c r="EA47" i="16"/>
  <c r="EC47" i="16"/>
  <c r="EE47" i="16"/>
  <c r="EG47" i="16"/>
  <c r="EI47" i="16"/>
  <c r="EK47" i="16"/>
  <c r="EM47" i="16"/>
  <c r="EO47" i="16"/>
  <c r="EQ47" i="16"/>
  <c r="ES47" i="16"/>
  <c r="EU47" i="16"/>
  <c r="EW47" i="16"/>
  <c r="EY47" i="16"/>
  <c r="FA47" i="16"/>
  <c r="FC47" i="16"/>
  <c r="FE47" i="16"/>
  <c r="FG47" i="16"/>
  <c r="FI47" i="16"/>
  <c r="FK47" i="16"/>
  <c r="FM47" i="16"/>
  <c r="FO47" i="16"/>
  <c r="FQ47" i="16"/>
  <c r="FS47" i="16"/>
  <c r="FU47" i="16"/>
  <c r="FW47" i="16"/>
  <c r="FY47" i="16"/>
  <c r="GA47" i="16"/>
  <c r="GC47" i="16"/>
  <c r="CZ49" i="16"/>
  <c r="DB49" i="16"/>
  <c r="DD49" i="16"/>
  <c r="DF49" i="16"/>
  <c r="DH49" i="16"/>
  <c r="DJ49" i="16"/>
  <c r="DL49" i="16"/>
  <c r="DN49" i="16"/>
  <c r="DP49" i="16"/>
  <c r="DR49" i="16"/>
  <c r="DT49" i="16"/>
  <c r="DV49" i="16"/>
  <c r="DX49" i="16"/>
  <c r="DZ49" i="16"/>
  <c r="CY49" i="16"/>
  <c r="DA49" i="16"/>
  <c r="DC49" i="16"/>
  <c r="DE49" i="16"/>
  <c r="DG49" i="16"/>
  <c r="DI49" i="16"/>
  <c r="DK49" i="16"/>
  <c r="DM49" i="16"/>
  <c r="DO49" i="16"/>
  <c r="DQ49" i="16"/>
  <c r="DS49" i="16"/>
  <c r="DU49" i="16"/>
  <c r="DW49" i="16"/>
  <c r="DY49" i="16"/>
  <c r="EB49" i="16"/>
  <c r="ED49" i="16"/>
  <c r="EF49" i="16"/>
  <c r="EH49" i="16"/>
  <c r="EJ49" i="16"/>
  <c r="EL49" i="16"/>
  <c r="EN49" i="16"/>
  <c r="EP49" i="16"/>
  <c r="ER49" i="16"/>
  <c r="ET49" i="16"/>
  <c r="EV49" i="16"/>
  <c r="EX49" i="16"/>
  <c r="EZ49" i="16"/>
  <c r="FB49" i="16"/>
  <c r="FD49" i="16"/>
  <c r="FF49" i="16"/>
  <c r="FH49" i="16"/>
  <c r="FJ49" i="16"/>
  <c r="FL49" i="16"/>
  <c r="FN49" i="16"/>
  <c r="FP49" i="16"/>
  <c r="FR49" i="16"/>
  <c r="FT49" i="16"/>
  <c r="FV49" i="16"/>
  <c r="FX49" i="16"/>
  <c r="FZ49" i="16"/>
  <c r="GB49" i="16"/>
  <c r="GD49" i="16"/>
  <c r="EA49" i="16"/>
  <c r="EC49" i="16"/>
  <c r="EE49" i="16"/>
  <c r="EG49" i="16"/>
  <c r="EI49" i="16"/>
  <c r="EK49" i="16"/>
  <c r="EM49" i="16"/>
  <c r="EO49" i="16"/>
  <c r="EQ49" i="16"/>
  <c r="ES49" i="16"/>
  <c r="EU49" i="16"/>
  <c r="EW49" i="16"/>
  <c r="EY49" i="16"/>
  <c r="FA49" i="16"/>
  <c r="FC49" i="16"/>
  <c r="FE49" i="16"/>
  <c r="FG49" i="16"/>
  <c r="FI49" i="16"/>
  <c r="FK49" i="16"/>
  <c r="FM49" i="16"/>
  <c r="FO49" i="16"/>
  <c r="FQ49" i="16"/>
  <c r="FS49" i="16"/>
  <c r="FU49" i="16"/>
  <c r="FW49" i="16"/>
  <c r="FY49" i="16"/>
  <c r="GA49" i="16"/>
  <c r="GC49" i="16"/>
  <c r="CZ51" i="16"/>
  <c r="DB51" i="16"/>
  <c r="DD51" i="16"/>
  <c r="DF51" i="16"/>
  <c r="DH51" i="16"/>
  <c r="DJ51" i="16"/>
  <c r="DL51" i="16"/>
  <c r="DN51" i="16"/>
  <c r="DP51" i="16"/>
  <c r="DR51" i="16"/>
  <c r="DT51" i="16"/>
  <c r="DV51" i="16"/>
  <c r="DX51" i="16"/>
  <c r="DZ51" i="16"/>
  <c r="EB51" i="16"/>
  <c r="ED51" i="16"/>
  <c r="EF51" i="16"/>
  <c r="EH51" i="16"/>
  <c r="EJ51" i="16"/>
  <c r="EL51" i="16"/>
  <c r="EN51" i="16"/>
  <c r="EP51" i="16"/>
  <c r="ER51" i="16"/>
  <c r="ET51" i="16"/>
  <c r="EV51" i="16"/>
  <c r="EX51" i="16"/>
  <c r="EZ51" i="16"/>
  <c r="FB51" i="16"/>
  <c r="FD51" i="16"/>
  <c r="FF51" i="16"/>
  <c r="FH51" i="16"/>
  <c r="FJ51" i="16"/>
  <c r="FL51" i="16"/>
  <c r="FN51" i="16"/>
  <c r="FP51" i="16"/>
  <c r="FR51" i="16"/>
  <c r="FT51" i="16"/>
  <c r="FV51" i="16"/>
  <c r="FX51" i="16"/>
  <c r="FZ51" i="16"/>
  <c r="GB51" i="16"/>
  <c r="GD51" i="16"/>
  <c r="CY51" i="16"/>
  <c r="DA51" i="16"/>
  <c r="DC51" i="16"/>
  <c r="DE51" i="16"/>
  <c r="DG51" i="16"/>
  <c r="DI51" i="16"/>
  <c r="DK51" i="16"/>
  <c r="DM51" i="16"/>
  <c r="DO51" i="16"/>
  <c r="DQ51" i="16"/>
  <c r="DS51" i="16"/>
  <c r="DU51" i="16"/>
  <c r="DW51" i="16"/>
  <c r="DY51" i="16"/>
  <c r="EA51" i="16"/>
  <c r="EC51" i="16"/>
  <c r="EE51" i="16"/>
  <c r="EG51" i="16"/>
  <c r="EI51" i="16"/>
  <c r="EK51" i="16"/>
  <c r="EM51" i="16"/>
  <c r="EO51" i="16"/>
  <c r="EQ51" i="16"/>
  <c r="ES51" i="16"/>
  <c r="EU51" i="16"/>
  <c r="EW51" i="16"/>
  <c r="EY51" i="16"/>
  <c r="FA51" i="16"/>
  <c r="FC51" i="16"/>
  <c r="FE51" i="16"/>
  <c r="FG51" i="16"/>
  <c r="FI51" i="16"/>
  <c r="FK51" i="16"/>
  <c r="FM51" i="16"/>
  <c r="FO51" i="16"/>
  <c r="FQ51" i="16"/>
  <c r="FS51" i="16"/>
  <c r="FU51" i="16"/>
  <c r="FW51" i="16"/>
  <c r="FY51" i="16"/>
  <c r="GA51" i="16"/>
  <c r="GC51" i="16"/>
  <c r="CZ53" i="16"/>
  <c r="DB53" i="16"/>
  <c r="DD53" i="16"/>
  <c r="DF53" i="16"/>
  <c r="DH53" i="16"/>
  <c r="DJ53" i="16"/>
  <c r="DL53" i="16"/>
  <c r="DN53" i="16"/>
  <c r="DP53" i="16"/>
  <c r="DR53" i="16"/>
  <c r="DT53" i="16"/>
  <c r="DV53" i="16"/>
  <c r="DX53" i="16"/>
  <c r="DZ53" i="16"/>
  <c r="EB53" i="16"/>
  <c r="ED53" i="16"/>
  <c r="EF53" i="16"/>
  <c r="EH53" i="16"/>
  <c r="EJ53" i="16"/>
  <c r="EL53" i="16"/>
  <c r="EN53" i="16"/>
  <c r="EP53" i="16"/>
  <c r="ER53" i="16"/>
  <c r="ET53" i="16"/>
  <c r="EV53" i="16"/>
  <c r="EX53" i="16"/>
  <c r="EZ53" i="16"/>
  <c r="FB53" i="16"/>
  <c r="FD53" i="16"/>
  <c r="FF53" i="16"/>
  <c r="FH53" i="16"/>
  <c r="FJ53" i="16"/>
  <c r="FL53" i="16"/>
  <c r="FN53" i="16"/>
  <c r="FP53" i="16"/>
  <c r="FR53" i="16"/>
  <c r="FT53" i="16"/>
  <c r="FV53" i="16"/>
  <c r="FX53" i="16"/>
  <c r="FZ53" i="16"/>
  <c r="GB53" i="16"/>
  <c r="GD53" i="16"/>
  <c r="CY53" i="16"/>
  <c r="DA53" i="16"/>
  <c r="DC53" i="16"/>
  <c r="DE53" i="16"/>
  <c r="DG53" i="16"/>
  <c r="DI53" i="16"/>
  <c r="DK53" i="16"/>
  <c r="DM53" i="16"/>
  <c r="DO53" i="16"/>
  <c r="DQ53" i="16"/>
  <c r="DS53" i="16"/>
  <c r="DU53" i="16"/>
  <c r="DW53" i="16"/>
  <c r="DY53" i="16"/>
  <c r="EA53" i="16"/>
  <c r="EC53" i="16"/>
  <c r="EE53" i="16"/>
  <c r="EG53" i="16"/>
  <c r="EI53" i="16"/>
  <c r="EK53" i="16"/>
  <c r="EM53" i="16"/>
  <c r="EO53" i="16"/>
  <c r="EQ53" i="16"/>
  <c r="ES53" i="16"/>
  <c r="EU53" i="16"/>
  <c r="EW53" i="16"/>
  <c r="EY53" i="16"/>
  <c r="FA53" i="16"/>
  <c r="FC53" i="16"/>
  <c r="FE53" i="16"/>
  <c r="FG53" i="16"/>
  <c r="FI53" i="16"/>
  <c r="FK53" i="16"/>
  <c r="FM53" i="16"/>
  <c r="FO53" i="16"/>
  <c r="FQ53" i="16"/>
  <c r="FS53" i="16"/>
  <c r="FU53" i="16"/>
  <c r="FW53" i="16"/>
  <c r="FY53" i="16"/>
  <c r="GA53" i="16"/>
  <c r="GC53" i="16"/>
  <c r="CZ55" i="16"/>
  <c r="DB55" i="16"/>
  <c r="DD55" i="16"/>
  <c r="DF55" i="16"/>
  <c r="DH55" i="16"/>
  <c r="DJ55" i="16"/>
  <c r="DL55" i="16"/>
  <c r="DN55" i="16"/>
  <c r="DP55" i="16"/>
  <c r="DR55" i="16"/>
  <c r="DT55" i="16"/>
  <c r="DV55" i="16"/>
  <c r="DX55" i="16"/>
  <c r="DZ55" i="16"/>
  <c r="EB55" i="16"/>
  <c r="ED55" i="16"/>
  <c r="EF55" i="16"/>
  <c r="EH55" i="16"/>
  <c r="EJ55" i="16"/>
  <c r="EL55" i="16"/>
  <c r="EN55" i="16"/>
  <c r="EP55" i="16"/>
  <c r="ER55" i="16"/>
  <c r="ET55" i="16"/>
  <c r="EV55" i="16"/>
  <c r="EX55" i="16"/>
  <c r="EZ55" i="16"/>
  <c r="FB55" i="16"/>
  <c r="FD55" i="16"/>
  <c r="FF55" i="16"/>
  <c r="FH55" i="16"/>
  <c r="FJ55" i="16"/>
  <c r="FL55" i="16"/>
  <c r="FN55" i="16"/>
  <c r="FP55" i="16"/>
  <c r="FR55" i="16"/>
  <c r="FT55" i="16"/>
  <c r="FV55" i="16"/>
  <c r="FX55" i="16"/>
  <c r="FZ55" i="16"/>
  <c r="GB55" i="16"/>
  <c r="GD55" i="16"/>
  <c r="CY55" i="16"/>
  <c r="DA55" i="16"/>
  <c r="DC55" i="16"/>
  <c r="DE55" i="16"/>
  <c r="DG55" i="16"/>
  <c r="DI55" i="16"/>
  <c r="DK55" i="16"/>
  <c r="DM55" i="16"/>
  <c r="DO55" i="16"/>
  <c r="DQ55" i="16"/>
  <c r="DS55" i="16"/>
  <c r="DU55" i="16"/>
  <c r="DW55" i="16"/>
  <c r="DY55" i="16"/>
  <c r="EA55" i="16"/>
  <c r="EC55" i="16"/>
  <c r="EE55" i="16"/>
  <c r="EG55" i="16"/>
  <c r="EI55" i="16"/>
  <c r="EK55" i="16"/>
  <c r="EM55" i="16"/>
  <c r="EO55" i="16"/>
  <c r="EQ55" i="16"/>
  <c r="ES55" i="16"/>
  <c r="EU55" i="16"/>
  <c r="EW55" i="16"/>
  <c r="EY55" i="16"/>
  <c r="FA55" i="16"/>
  <c r="FC55" i="16"/>
  <c r="FE55" i="16"/>
  <c r="FG55" i="16"/>
  <c r="FI55" i="16"/>
  <c r="FK55" i="16"/>
  <c r="FM55" i="16"/>
  <c r="FO55" i="16"/>
  <c r="FQ55" i="16"/>
  <c r="FS55" i="16"/>
  <c r="FU55" i="16"/>
  <c r="FW55" i="16"/>
  <c r="FY55" i="16"/>
  <c r="GA55" i="16"/>
  <c r="GC55" i="16"/>
  <c r="CY58" i="16"/>
  <c r="DA58" i="16"/>
  <c r="DC58" i="16"/>
  <c r="DE58" i="16"/>
  <c r="DG58" i="16"/>
  <c r="DI58" i="16"/>
  <c r="DK58" i="16"/>
  <c r="DM58" i="16"/>
  <c r="DO58" i="16"/>
  <c r="DQ58" i="16"/>
  <c r="DS58" i="16"/>
  <c r="DU58" i="16"/>
  <c r="DW58" i="16"/>
  <c r="DY58" i="16"/>
  <c r="EA58" i="16"/>
  <c r="EC58" i="16"/>
  <c r="EE58" i="16"/>
  <c r="EG58" i="16"/>
  <c r="EI58" i="16"/>
  <c r="EK58" i="16"/>
  <c r="EM58" i="16"/>
  <c r="EO58" i="16"/>
  <c r="EQ58" i="16"/>
  <c r="ES58" i="16"/>
  <c r="EU58" i="16"/>
  <c r="EW58" i="16"/>
  <c r="EY58" i="16"/>
  <c r="FA58" i="16"/>
  <c r="FC58" i="16"/>
  <c r="FE58" i="16"/>
  <c r="FG58" i="16"/>
  <c r="FI58" i="16"/>
  <c r="FK58" i="16"/>
  <c r="FM58" i="16"/>
  <c r="FO58" i="16"/>
  <c r="FQ58" i="16"/>
  <c r="FS58" i="16"/>
  <c r="FU58" i="16"/>
  <c r="FW58" i="16"/>
  <c r="FY58" i="16"/>
  <c r="GA58" i="16"/>
  <c r="GC58" i="16"/>
  <c r="CZ58" i="16"/>
  <c r="DB58" i="16"/>
  <c r="DD58" i="16"/>
  <c r="DF58" i="16"/>
  <c r="DH58" i="16"/>
  <c r="DJ58" i="16"/>
  <c r="DL58" i="16"/>
  <c r="DN58" i="16"/>
  <c r="DP58" i="16"/>
  <c r="DR58" i="16"/>
  <c r="DT58" i="16"/>
  <c r="DV58" i="16"/>
  <c r="DX58" i="16"/>
  <c r="DZ58" i="16"/>
  <c r="EB58" i="16"/>
  <c r="ED58" i="16"/>
  <c r="EF58" i="16"/>
  <c r="EH58" i="16"/>
  <c r="EJ58" i="16"/>
  <c r="EL58" i="16"/>
  <c r="EN58" i="16"/>
  <c r="EP58" i="16"/>
  <c r="ER58" i="16"/>
  <c r="ET58" i="16"/>
  <c r="EV58" i="16"/>
  <c r="EX58" i="16"/>
  <c r="EZ58" i="16"/>
  <c r="FB58" i="16"/>
  <c r="FD58" i="16"/>
  <c r="FF58" i="16"/>
  <c r="FH58" i="16"/>
  <c r="FJ58" i="16"/>
  <c r="FL58" i="16"/>
  <c r="FN58" i="16"/>
  <c r="FP58" i="16"/>
  <c r="FR58" i="16"/>
  <c r="FT58" i="16"/>
  <c r="FV58" i="16"/>
  <c r="FX58" i="16"/>
  <c r="FZ58" i="16"/>
  <c r="GB58" i="16"/>
  <c r="GD58" i="16"/>
  <c r="CY60" i="16"/>
  <c r="DA60" i="16"/>
  <c r="DC60" i="16"/>
  <c r="DE60" i="16"/>
  <c r="DG60" i="16"/>
  <c r="DI60" i="16"/>
  <c r="DK60" i="16"/>
  <c r="DM60" i="16"/>
  <c r="DO60" i="16"/>
  <c r="DQ60" i="16"/>
  <c r="DS60" i="16"/>
  <c r="DU60" i="16"/>
  <c r="DW60" i="16"/>
  <c r="DY60" i="16"/>
  <c r="EA60" i="16"/>
  <c r="EC60" i="16"/>
  <c r="EE60" i="16"/>
  <c r="EG60" i="16"/>
  <c r="EI60" i="16"/>
  <c r="EK60" i="16"/>
  <c r="EM60" i="16"/>
  <c r="EO60" i="16"/>
  <c r="EQ60" i="16"/>
  <c r="ES60" i="16"/>
  <c r="EU60" i="16"/>
  <c r="EW60" i="16"/>
  <c r="EY60" i="16"/>
  <c r="FA60" i="16"/>
  <c r="FC60" i="16"/>
  <c r="FE60" i="16"/>
  <c r="FG60" i="16"/>
  <c r="FI60" i="16"/>
  <c r="FK60" i="16"/>
  <c r="FM60" i="16"/>
  <c r="FO60" i="16"/>
  <c r="FQ60" i="16"/>
  <c r="FS60" i="16"/>
  <c r="FU60" i="16"/>
  <c r="FW60" i="16"/>
  <c r="FY60" i="16"/>
  <c r="GA60" i="16"/>
  <c r="GC60" i="16"/>
  <c r="CZ60" i="16"/>
  <c r="DB60" i="16"/>
  <c r="DD60" i="16"/>
  <c r="DF60" i="16"/>
  <c r="DH60" i="16"/>
  <c r="DJ60" i="16"/>
  <c r="DL60" i="16"/>
  <c r="DN60" i="16"/>
  <c r="DP60" i="16"/>
  <c r="DR60" i="16"/>
  <c r="DT60" i="16"/>
  <c r="DV60" i="16"/>
  <c r="DX60" i="16"/>
  <c r="DZ60" i="16"/>
  <c r="EB60" i="16"/>
  <c r="ED60" i="16"/>
  <c r="EF60" i="16"/>
  <c r="EH60" i="16"/>
  <c r="EJ60" i="16"/>
  <c r="EL60" i="16"/>
  <c r="EN60" i="16"/>
  <c r="EP60" i="16"/>
  <c r="ER60" i="16"/>
  <c r="ET60" i="16"/>
  <c r="EV60" i="16"/>
  <c r="EX60" i="16"/>
  <c r="EZ60" i="16"/>
  <c r="FB60" i="16"/>
  <c r="FD60" i="16"/>
  <c r="FF60" i="16"/>
  <c r="FH60" i="16"/>
  <c r="FJ60" i="16"/>
  <c r="FL60" i="16"/>
  <c r="FN60" i="16"/>
  <c r="FP60" i="16"/>
  <c r="FR60" i="16"/>
  <c r="FT60" i="16"/>
  <c r="FV60" i="16"/>
  <c r="FX60" i="16"/>
  <c r="FZ60" i="16"/>
  <c r="GB60" i="16"/>
  <c r="GD60" i="16"/>
  <c r="CY62" i="16"/>
  <c r="DA62" i="16"/>
  <c r="DC62" i="16"/>
  <c r="DE62" i="16"/>
  <c r="DG62" i="16"/>
  <c r="DI62" i="16"/>
  <c r="DK62" i="16"/>
  <c r="DM62" i="16"/>
  <c r="DO62" i="16"/>
  <c r="DQ62" i="16"/>
  <c r="DS62" i="16"/>
  <c r="DU62" i="16"/>
  <c r="DW62" i="16"/>
  <c r="DY62" i="16"/>
  <c r="EA62" i="16"/>
  <c r="EC62" i="16"/>
  <c r="EE62" i="16"/>
  <c r="EG62" i="16"/>
  <c r="EI62" i="16"/>
  <c r="EK62" i="16"/>
  <c r="EM62" i="16"/>
  <c r="EO62" i="16"/>
  <c r="EQ62" i="16"/>
  <c r="ES62" i="16"/>
  <c r="EU62" i="16"/>
  <c r="EW62" i="16"/>
  <c r="EY62" i="16"/>
  <c r="FA62" i="16"/>
  <c r="FC62" i="16"/>
  <c r="FE62" i="16"/>
  <c r="FG62" i="16"/>
  <c r="FI62" i="16"/>
  <c r="FK62" i="16"/>
  <c r="FM62" i="16"/>
  <c r="FO62" i="16"/>
  <c r="FQ62" i="16"/>
  <c r="FS62" i="16"/>
  <c r="FU62" i="16"/>
  <c r="FW62" i="16"/>
  <c r="FY62" i="16"/>
  <c r="GA62" i="16"/>
  <c r="GC62" i="16"/>
  <c r="CZ62" i="16"/>
  <c r="DB62" i="16"/>
  <c r="DD62" i="16"/>
  <c r="DF62" i="16"/>
  <c r="DH62" i="16"/>
  <c r="DJ62" i="16"/>
  <c r="DL62" i="16"/>
  <c r="DN62" i="16"/>
  <c r="DP62" i="16"/>
  <c r="DR62" i="16"/>
  <c r="DT62" i="16"/>
  <c r="DV62" i="16"/>
  <c r="DX62" i="16"/>
  <c r="DZ62" i="16"/>
  <c r="EB62" i="16"/>
  <c r="ED62" i="16"/>
  <c r="EF62" i="16"/>
  <c r="EH62" i="16"/>
  <c r="EJ62" i="16"/>
  <c r="EL62" i="16"/>
  <c r="EN62" i="16"/>
  <c r="EP62" i="16"/>
  <c r="ER62" i="16"/>
  <c r="ET62" i="16"/>
  <c r="EV62" i="16"/>
  <c r="EX62" i="16"/>
  <c r="EZ62" i="16"/>
  <c r="FB62" i="16"/>
  <c r="FD62" i="16"/>
  <c r="FF62" i="16"/>
  <c r="FH62" i="16"/>
  <c r="FJ62" i="16"/>
  <c r="FL62" i="16"/>
  <c r="FN62" i="16"/>
  <c r="FP62" i="16"/>
  <c r="FR62" i="16"/>
  <c r="FT62" i="16"/>
  <c r="FV62" i="16"/>
  <c r="FX62" i="16"/>
  <c r="FZ62" i="16"/>
  <c r="GB62" i="16"/>
  <c r="GD62" i="16"/>
  <c r="CY64" i="16"/>
  <c r="DA64" i="16"/>
  <c r="DC64" i="16"/>
  <c r="DE64" i="16"/>
  <c r="DG64" i="16"/>
  <c r="DI64" i="16"/>
  <c r="DK64" i="16"/>
  <c r="DM64" i="16"/>
  <c r="DO64" i="16"/>
  <c r="DQ64" i="16"/>
  <c r="DS64" i="16"/>
  <c r="DU64" i="16"/>
  <c r="DW64" i="16"/>
  <c r="DY64" i="16"/>
  <c r="EA64" i="16"/>
  <c r="EC64" i="16"/>
  <c r="EE64" i="16"/>
  <c r="EG64" i="16"/>
  <c r="EI64" i="16"/>
  <c r="EK64" i="16"/>
  <c r="EM64" i="16"/>
  <c r="EO64" i="16"/>
  <c r="EQ64" i="16"/>
  <c r="ES64" i="16"/>
  <c r="EU64" i="16"/>
  <c r="EW64" i="16"/>
  <c r="EY64" i="16"/>
  <c r="FA64" i="16"/>
  <c r="FC64" i="16"/>
  <c r="FE64" i="16"/>
  <c r="FG64" i="16"/>
  <c r="FI64" i="16"/>
  <c r="FK64" i="16"/>
  <c r="FM64" i="16"/>
  <c r="FO64" i="16"/>
  <c r="FQ64" i="16"/>
  <c r="FS64" i="16"/>
  <c r="FU64" i="16"/>
  <c r="FW64" i="16"/>
  <c r="FY64" i="16"/>
  <c r="GA64" i="16"/>
  <c r="GC64" i="16"/>
  <c r="CZ64" i="16"/>
  <c r="DB64" i="16"/>
  <c r="DD64" i="16"/>
  <c r="DF64" i="16"/>
  <c r="DH64" i="16"/>
  <c r="DJ64" i="16"/>
  <c r="DL64" i="16"/>
  <c r="DN64" i="16"/>
  <c r="DP64" i="16"/>
  <c r="DR64" i="16"/>
  <c r="DT64" i="16"/>
  <c r="DV64" i="16"/>
  <c r="DX64" i="16"/>
  <c r="DZ64" i="16"/>
  <c r="EB64" i="16"/>
  <c r="ED64" i="16"/>
  <c r="EF64" i="16"/>
  <c r="EH64" i="16"/>
  <c r="EJ64" i="16"/>
  <c r="EL64" i="16"/>
  <c r="EN64" i="16"/>
  <c r="EP64" i="16"/>
  <c r="ER64" i="16"/>
  <c r="ET64" i="16"/>
  <c r="EV64" i="16"/>
  <c r="EX64" i="16"/>
  <c r="EZ64" i="16"/>
  <c r="FB64" i="16"/>
  <c r="FD64" i="16"/>
  <c r="FF64" i="16"/>
  <c r="FH64" i="16"/>
  <c r="FJ64" i="16"/>
  <c r="FL64" i="16"/>
  <c r="FN64" i="16"/>
  <c r="FP64" i="16"/>
  <c r="FR64" i="16"/>
  <c r="FT64" i="16"/>
  <c r="FV64" i="16"/>
  <c r="FX64" i="16"/>
  <c r="FZ64" i="16"/>
  <c r="GB64" i="16"/>
  <c r="GD64" i="16"/>
  <c r="CZ66" i="16"/>
  <c r="DB66" i="16"/>
  <c r="DD66" i="16"/>
  <c r="DF66" i="16"/>
  <c r="DH66" i="16"/>
  <c r="DJ66" i="16"/>
  <c r="DL66" i="16"/>
  <c r="DN66" i="16"/>
  <c r="DP66" i="16"/>
  <c r="DR66" i="16"/>
  <c r="DT66" i="16"/>
  <c r="DV66" i="16"/>
  <c r="DX66" i="16"/>
  <c r="DZ66" i="16"/>
  <c r="EB66" i="16"/>
  <c r="ED66" i="16"/>
  <c r="EF66" i="16"/>
  <c r="EH66" i="16"/>
  <c r="EJ66" i="16"/>
  <c r="EL66" i="16"/>
  <c r="EN66" i="16"/>
  <c r="EP66" i="16"/>
  <c r="ER66" i="16"/>
  <c r="ET66" i="16"/>
  <c r="EV66" i="16"/>
  <c r="EX66" i="16"/>
  <c r="EZ66" i="16"/>
  <c r="FB66" i="16"/>
  <c r="FD66" i="16"/>
  <c r="FF66" i="16"/>
  <c r="FH66" i="16"/>
  <c r="FJ66" i="16"/>
  <c r="FL66" i="16"/>
  <c r="FN66" i="16"/>
  <c r="FP66" i="16"/>
  <c r="FR66" i="16"/>
  <c r="FT66" i="16"/>
  <c r="FV66" i="16"/>
  <c r="FX66" i="16"/>
  <c r="FZ66" i="16"/>
  <c r="GB66" i="16"/>
  <c r="GD66" i="16"/>
  <c r="CY66" i="16"/>
  <c r="DA66" i="16"/>
  <c r="DC66" i="16"/>
  <c r="DE66" i="16"/>
  <c r="DG66" i="16"/>
  <c r="DI66" i="16"/>
  <c r="DK66" i="16"/>
  <c r="DM66" i="16"/>
  <c r="DO66" i="16"/>
  <c r="DQ66" i="16"/>
  <c r="DS66" i="16"/>
  <c r="DU66" i="16"/>
  <c r="DW66" i="16"/>
  <c r="DY66" i="16"/>
  <c r="EA66" i="16"/>
  <c r="EC66" i="16"/>
  <c r="EE66" i="16"/>
  <c r="EG66" i="16"/>
  <c r="EI66" i="16"/>
  <c r="EK66" i="16"/>
  <c r="EM66" i="16"/>
  <c r="EO66" i="16"/>
  <c r="EQ66" i="16"/>
  <c r="ES66" i="16"/>
  <c r="EU66" i="16"/>
  <c r="EW66" i="16"/>
  <c r="EY66" i="16"/>
  <c r="FA66" i="16"/>
  <c r="FC66" i="16"/>
  <c r="FE66" i="16"/>
  <c r="FG66" i="16"/>
  <c r="FI66" i="16"/>
  <c r="FK66" i="16"/>
  <c r="FM66" i="16"/>
  <c r="FO66" i="16"/>
  <c r="FQ66" i="16"/>
  <c r="FS66" i="16"/>
  <c r="FU66" i="16"/>
  <c r="FW66" i="16"/>
  <c r="FY66" i="16"/>
  <c r="GA66" i="16"/>
  <c r="GC66" i="16"/>
  <c r="CZ68" i="16"/>
  <c r="DB68" i="16"/>
  <c r="DD68" i="16"/>
  <c r="DF68" i="16"/>
  <c r="DH68" i="16"/>
  <c r="DJ68" i="16"/>
  <c r="DL68" i="16"/>
  <c r="DN68" i="16"/>
  <c r="DP68" i="16"/>
  <c r="DR68" i="16"/>
  <c r="DT68" i="16"/>
  <c r="DV68" i="16"/>
  <c r="DX68" i="16"/>
  <c r="DZ68" i="16"/>
  <c r="EB68" i="16"/>
  <c r="ED68" i="16"/>
  <c r="EF68" i="16"/>
  <c r="EH68" i="16"/>
  <c r="EJ68" i="16"/>
  <c r="EL68" i="16"/>
  <c r="EN68" i="16"/>
  <c r="EP68" i="16"/>
  <c r="ER68" i="16"/>
  <c r="ET68" i="16"/>
  <c r="EV68" i="16"/>
  <c r="EX68" i="16"/>
  <c r="EZ68" i="16"/>
  <c r="FB68" i="16"/>
  <c r="FD68" i="16"/>
  <c r="FF68" i="16"/>
  <c r="FH68" i="16"/>
  <c r="FJ68" i="16"/>
  <c r="FL68" i="16"/>
  <c r="FN68" i="16"/>
  <c r="FP68" i="16"/>
  <c r="FR68" i="16"/>
  <c r="FT68" i="16"/>
  <c r="FV68" i="16"/>
  <c r="FX68" i="16"/>
  <c r="FZ68" i="16"/>
  <c r="GB68" i="16"/>
  <c r="GD68" i="16"/>
  <c r="CY68" i="16"/>
  <c r="DA68" i="16"/>
  <c r="DC68" i="16"/>
  <c r="DE68" i="16"/>
  <c r="DG68" i="16"/>
  <c r="DI68" i="16"/>
  <c r="DK68" i="16"/>
  <c r="DM68" i="16"/>
  <c r="DO68" i="16"/>
  <c r="DQ68" i="16"/>
  <c r="DS68" i="16"/>
  <c r="DU68" i="16"/>
  <c r="DW68" i="16"/>
  <c r="DY68" i="16"/>
  <c r="EA68" i="16"/>
  <c r="EC68" i="16"/>
  <c r="EE68" i="16"/>
  <c r="EG68" i="16"/>
  <c r="EI68" i="16"/>
  <c r="EK68" i="16"/>
  <c r="EM68" i="16"/>
  <c r="EO68" i="16"/>
  <c r="EQ68" i="16"/>
  <c r="ES68" i="16"/>
  <c r="EU68" i="16"/>
  <c r="EW68" i="16"/>
  <c r="EY68" i="16"/>
  <c r="FA68" i="16"/>
  <c r="FC68" i="16"/>
  <c r="FE68" i="16"/>
  <c r="FG68" i="16"/>
  <c r="FI68" i="16"/>
  <c r="FK68" i="16"/>
  <c r="FM68" i="16"/>
  <c r="FO68" i="16"/>
  <c r="FQ68" i="16"/>
  <c r="FS68" i="16"/>
  <c r="FU68" i="16"/>
  <c r="FW68" i="16"/>
  <c r="FY68" i="16"/>
  <c r="GA68" i="16"/>
  <c r="GC68" i="16"/>
  <c r="CY69" i="16"/>
  <c r="DA69" i="16"/>
  <c r="DC69" i="16"/>
  <c r="DE69" i="16"/>
  <c r="DG69" i="16"/>
  <c r="DI69" i="16"/>
  <c r="DK69" i="16"/>
  <c r="DM69" i="16"/>
  <c r="DO69" i="16"/>
  <c r="DQ69" i="16"/>
  <c r="DS69" i="16"/>
  <c r="DU69" i="16"/>
  <c r="DW69" i="16"/>
  <c r="DY69" i="16"/>
  <c r="EA69" i="16"/>
  <c r="EC69" i="16"/>
  <c r="EE69" i="16"/>
  <c r="EG69" i="16"/>
  <c r="EI69" i="16"/>
  <c r="EK69" i="16"/>
  <c r="EM69" i="16"/>
  <c r="EO69" i="16"/>
  <c r="EQ69" i="16"/>
  <c r="ES69" i="16"/>
  <c r="EU69" i="16"/>
  <c r="EW69" i="16"/>
  <c r="EY69" i="16"/>
  <c r="FA69" i="16"/>
  <c r="FC69" i="16"/>
  <c r="FE69" i="16"/>
  <c r="FG69" i="16"/>
  <c r="FI69" i="16"/>
  <c r="FK69" i="16"/>
  <c r="FM69" i="16"/>
  <c r="FO69" i="16"/>
  <c r="FQ69" i="16"/>
  <c r="FS69" i="16"/>
  <c r="FU69" i="16"/>
  <c r="FW69" i="16"/>
  <c r="FY69" i="16"/>
  <c r="GA69" i="16"/>
  <c r="GC69" i="16"/>
  <c r="CZ69" i="16"/>
  <c r="DB69" i="16"/>
  <c r="DD69" i="16"/>
  <c r="DF69" i="16"/>
  <c r="DH69" i="16"/>
  <c r="DJ69" i="16"/>
  <c r="DL69" i="16"/>
  <c r="DN69" i="16"/>
  <c r="DP69" i="16"/>
  <c r="DR69" i="16"/>
  <c r="DT69" i="16"/>
  <c r="DV69" i="16"/>
  <c r="DX69" i="16"/>
  <c r="DZ69" i="16"/>
  <c r="EB69" i="16"/>
  <c r="ED69" i="16"/>
  <c r="EF69" i="16"/>
  <c r="EH69" i="16"/>
  <c r="EJ69" i="16"/>
  <c r="EL69" i="16"/>
  <c r="EN69" i="16"/>
  <c r="EP69" i="16"/>
  <c r="ER69" i="16"/>
  <c r="ET69" i="16"/>
  <c r="EV69" i="16"/>
  <c r="EX69" i="16"/>
  <c r="EZ69" i="16"/>
  <c r="FB69" i="16"/>
  <c r="FD69" i="16"/>
  <c r="FF69" i="16"/>
  <c r="FH69" i="16"/>
  <c r="FJ69" i="16"/>
  <c r="FL69" i="16"/>
  <c r="FN69" i="16"/>
  <c r="FP69" i="16"/>
  <c r="FR69" i="16"/>
  <c r="FT69" i="16"/>
  <c r="FV69" i="16"/>
  <c r="FX69" i="16"/>
  <c r="FZ69" i="16"/>
  <c r="GB69" i="16"/>
  <c r="GD69" i="16"/>
  <c r="CY71" i="16"/>
  <c r="DA71" i="16"/>
  <c r="DC71" i="16"/>
  <c r="DE71" i="16"/>
  <c r="DG71" i="16"/>
  <c r="DI71" i="16"/>
  <c r="DK71" i="16"/>
  <c r="DM71" i="16"/>
  <c r="DO71" i="16"/>
  <c r="DQ71" i="16"/>
  <c r="DS71" i="16"/>
  <c r="DU71" i="16"/>
  <c r="DW71" i="16"/>
  <c r="DY71" i="16"/>
  <c r="EA71" i="16"/>
  <c r="EC71" i="16"/>
  <c r="EE71" i="16"/>
  <c r="EG71" i="16"/>
  <c r="EI71" i="16"/>
  <c r="EK71" i="16"/>
  <c r="EM71" i="16"/>
  <c r="EO71" i="16"/>
  <c r="EQ71" i="16"/>
  <c r="ES71" i="16"/>
  <c r="EU71" i="16"/>
  <c r="EW71" i="16"/>
  <c r="EY71" i="16"/>
  <c r="FA71" i="16"/>
  <c r="FC71" i="16"/>
  <c r="FE71" i="16"/>
  <c r="FG71" i="16"/>
  <c r="FI71" i="16"/>
  <c r="FK71" i="16"/>
  <c r="FM71" i="16"/>
  <c r="FO71" i="16"/>
  <c r="FQ71" i="16"/>
  <c r="FS71" i="16"/>
  <c r="FU71" i="16"/>
  <c r="FW71" i="16"/>
  <c r="FY71" i="16"/>
  <c r="GA71" i="16"/>
  <c r="GC71" i="16"/>
  <c r="CZ71" i="16"/>
  <c r="DB71" i="16"/>
  <c r="DD71" i="16"/>
  <c r="DF71" i="16"/>
  <c r="DH71" i="16"/>
  <c r="DJ71" i="16"/>
  <c r="DL71" i="16"/>
  <c r="DN71" i="16"/>
  <c r="DP71" i="16"/>
  <c r="DR71" i="16"/>
  <c r="DT71" i="16"/>
  <c r="DV71" i="16"/>
  <c r="DX71" i="16"/>
  <c r="DZ71" i="16"/>
  <c r="EB71" i="16"/>
  <c r="ED71" i="16"/>
  <c r="EF71" i="16"/>
  <c r="EH71" i="16"/>
  <c r="EJ71" i="16"/>
  <c r="EL71" i="16"/>
  <c r="EN71" i="16"/>
  <c r="EP71" i="16"/>
  <c r="ER71" i="16"/>
  <c r="ET71" i="16"/>
  <c r="EV71" i="16"/>
  <c r="EX71" i="16"/>
  <c r="EZ71" i="16"/>
  <c r="FB71" i="16"/>
  <c r="FD71" i="16"/>
  <c r="FF71" i="16"/>
  <c r="FH71" i="16"/>
  <c r="FJ71" i="16"/>
  <c r="FL71" i="16"/>
  <c r="FN71" i="16"/>
  <c r="FP71" i="16"/>
  <c r="FR71" i="16"/>
  <c r="FT71" i="16"/>
  <c r="FV71" i="16"/>
  <c r="FX71" i="16"/>
  <c r="FZ71" i="16"/>
  <c r="GB71" i="16"/>
  <c r="GD71" i="16"/>
  <c r="CY73" i="16"/>
  <c r="DA73" i="16"/>
  <c r="DC73" i="16"/>
  <c r="DE73" i="16"/>
  <c r="DG73" i="16"/>
  <c r="DI73" i="16"/>
  <c r="DK73" i="16"/>
  <c r="DM73" i="16"/>
  <c r="DO73" i="16"/>
  <c r="DQ73" i="16"/>
  <c r="DS73" i="16"/>
  <c r="DU73" i="16"/>
  <c r="DW73" i="16"/>
  <c r="DY73" i="16"/>
  <c r="EA73" i="16"/>
  <c r="EC73" i="16"/>
  <c r="EE73" i="16"/>
  <c r="EG73" i="16"/>
  <c r="EI73" i="16"/>
  <c r="EK73" i="16"/>
  <c r="EM73" i="16"/>
  <c r="EO73" i="16"/>
  <c r="EQ73" i="16"/>
  <c r="ES73" i="16"/>
  <c r="EU73" i="16"/>
  <c r="EW73" i="16"/>
  <c r="EY73" i="16"/>
  <c r="FA73" i="16"/>
  <c r="FC73" i="16"/>
  <c r="FE73" i="16"/>
  <c r="FG73" i="16"/>
  <c r="FI73" i="16"/>
  <c r="FK73" i="16"/>
  <c r="FM73" i="16"/>
  <c r="FO73" i="16"/>
  <c r="FQ73" i="16"/>
  <c r="FS73" i="16"/>
  <c r="FU73" i="16"/>
  <c r="FW73" i="16"/>
  <c r="FY73" i="16"/>
  <c r="GA73" i="16"/>
  <c r="GC73" i="16"/>
  <c r="CZ73" i="16"/>
  <c r="DB73" i="16"/>
  <c r="DD73" i="16"/>
  <c r="DF73" i="16"/>
  <c r="DH73" i="16"/>
  <c r="DJ73" i="16"/>
  <c r="DL73" i="16"/>
  <c r="DN73" i="16"/>
  <c r="DP73" i="16"/>
  <c r="DR73" i="16"/>
  <c r="DT73" i="16"/>
  <c r="DV73" i="16"/>
  <c r="DX73" i="16"/>
  <c r="DZ73" i="16"/>
  <c r="EB73" i="16"/>
  <c r="ED73" i="16"/>
  <c r="EF73" i="16"/>
  <c r="EH73" i="16"/>
  <c r="EJ73" i="16"/>
  <c r="EL73" i="16"/>
  <c r="EN73" i="16"/>
  <c r="EP73" i="16"/>
  <c r="ER73" i="16"/>
  <c r="ET73" i="16"/>
  <c r="EV73" i="16"/>
  <c r="EX73" i="16"/>
  <c r="EZ73" i="16"/>
  <c r="FB73" i="16"/>
  <c r="FD73" i="16"/>
  <c r="FF73" i="16"/>
  <c r="FH73" i="16"/>
  <c r="FJ73" i="16"/>
  <c r="FL73" i="16"/>
  <c r="FN73" i="16"/>
  <c r="FP73" i="16"/>
  <c r="FR73" i="16"/>
  <c r="FT73" i="16"/>
  <c r="FV73" i="16"/>
  <c r="FX73" i="16"/>
  <c r="FZ73" i="16"/>
  <c r="GB73" i="16"/>
  <c r="GD73" i="16"/>
  <c r="CY75" i="16"/>
  <c r="DA75" i="16"/>
  <c r="DC75" i="16"/>
  <c r="DE75" i="16"/>
  <c r="DG75" i="16"/>
  <c r="DI75" i="16"/>
  <c r="DK75" i="16"/>
  <c r="DM75" i="16"/>
  <c r="DO75" i="16"/>
  <c r="DQ75" i="16"/>
  <c r="DS75" i="16"/>
  <c r="DU75" i="16"/>
  <c r="DW75" i="16"/>
  <c r="DY75" i="16"/>
  <c r="EA75" i="16"/>
  <c r="EC75" i="16"/>
  <c r="EE75" i="16"/>
  <c r="EG75" i="16"/>
  <c r="EI75" i="16"/>
  <c r="EK75" i="16"/>
  <c r="EM75" i="16"/>
  <c r="EO75" i="16"/>
  <c r="EQ75" i="16"/>
  <c r="ES75" i="16"/>
  <c r="EU75" i="16"/>
  <c r="EW75" i="16"/>
  <c r="EY75" i="16"/>
  <c r="FA75" i="16"/>
  <c r="FC75" i="16"/>
  <c r="FE75" i="16"/>
  <c r="FG75" i="16"/>
  <c r="FI75" i="16"/>
  <c r="FK75" i="16"/>
  <c r="FM75" i="16"/>
  <c r="FO75" i="16"/>
  <c r="FQ75" i="16"/>
  <c r="FS75" i="16"/>
  <c r="FU75" i="16"/>
  <c r="FW75" i="16"/>
  <c r="FY75" i="16"/>
  <c r="GA75" i="16"/>
  <c r="GC75" i="16"/>
  <c r="CZ75" i="16"/>
  <c r="DB75" i="16"/>
  <c r="DD75" i="16"/>
  <c r="DF75" i="16"/>
  <c r="DH75" i="16"/>
  <c r="DJ75" i="16"/>
  <c r="DL75" i="16"/>
  <c r="DN75" i="16"/>
  <c r="DP75" i="16"/>
  <c r="DR75" i="16"/>
  <c r="DT75" i="16"/>
  <c r="DV75" i="16"/>
  <c r="DX75" i="16"/>
  <c r="DZ75" i="16"/>
  <c r="EB75" i="16"/>
  <c r="ED75" i="16"/>
  <c r="EF75" i="16"/>
  <c r="EH75" i="16"/>
  <c r="EJ75" i="16"/>
  <c r="EL75" i="16"/>
  <c r="EN75" i="16"/>
  <c r="EP75" i="16"/>
  <c r="ER75" i="16"/>
  <c r="ET75" i="16"/>
  <c r="EV75" i="16"/>
  <c r="EX75" i="16"/>
  <c r="EZ75" i="16"/>
  <c r="FB75" i="16"/>
  <c r="FD75" i="16"/>
  <c r="FF75" i="16"/>
  <c r="FH75" i="16"/>
  <c r="FJ75" i="16"/>
  <c r="FL75" i="16"/>
  <c r="FN75" i="16"/>
  <c r="FP75" i="16"/>
  <c r="FR75" i="16"/>
  <c r="FT75" i="16"/>
  <c r="FV75" i="16"/>
  <c r="FX75" i="16"/>
  <c r="FZ75" i="16"/>
  <c r="GB75" i="16"/>
  <c r="GD75" i="16"/>
  <c r="CY77" i="16"/>
  <c r="DA77" i="16"/>
  <c r="DC77" i="16"/>
  <c r="DE77" i="16"/>
  <c r="DG77" i="16"/>
  <c r="DI77" i="16"/>
  <c r="DK77" i="16"/>
  <c r="DM77" i="16"/>
  <c r="DO77" i="16"/>
  <c r="DQ77" i="16"/>
  <c r="DS77" i="16"/>
  <c r="DU77" i="16"/>
  <c r="DW77" i="16"/>
  <c r="DY77" i="16"/>
  <c r="EA77" i="16"/>
  <c r="EC77" i="16"/>
  <c r="EE77" i="16"/>
  <c r="EG77" i="16"/>
  <c r="EI77" i="16"/>
  <c r="EK77" i="16"/>
  <c r="EM77" i="16"/>
  <c r="EO77" i="16"/>
  <c r="EQ77" i="16"/>
  <c r="ES77" i="16"/>
  <c r="EU77" i="16"/>
  <c r="EW77" i="16"/>
  <c r="EY77" i="16"/>
  <c r="FA77" i="16"/>
  <c r="FC77" i="16"/>
  <c r="FE77" i="16"/>
  <c r="FG77" i="16"/>
  <c r="FI77" i="16"/>
  <c r="FK77" i="16"/>
  <c r="FM77" i="16"/>
  <c r="FO77" i="16"/>
  <c r="FQ77" i="16"/>
  <c r="FS77" i="16"/>
  <c r="FU77" i="16"/>
  <c r="FW77" i="16"/>
  <c r="FY77" i="16"/>
  <c r="GA77" i="16"/>
  <c r="GC77" i="16"/>
  <c r="CZ77" i="16"/>
  <c r="DB77" i="16"/>
  <c r="DD77" i="16"/>
  <c r="DF77" i="16"/>
  <c r="DH77" i="16"/>
  <c r="DJ77" i="16"/>
  <c r="DL77" i="16"/>
  <c r="DN77" i="16"/>
  <c r="DP77" i="16"/>
  <c r="DR77" i="16"/>
  <c r="DT77" i="16"/>
  <c r="DV77" i="16"/>
  <c r="DX77" i="16"/>
  <c r="DZ77" i="16"/>
  <c r="EB77" i="16"/>
  <c r="ED77" i="16"/>
  <c r="EF77" i="16"/>
  <c r="EH77" i="16"/>
  <c r="EJ77" i="16"/>
  <c r="EL77" i="16"/>
  <c r="EN77" i="16"/>
  <c r="EP77" i="16"/>
  <c r="ER77" i="16"/>
  <c r="ET77" i="16"/>
  <c r="EV77" i="16"/>
  <c r="EX77" i="16"/>
  <c r="EZ77" i="16"/>
  <c r="FB77" i="16"/>
  <c r="FD77" i="16"/>
  <c r="FF77" i="16"/>
  <c r="FH77" i="16"/>
  <c r="FJ77" i="16"/>
  <c r="FL77" i="16"/>
  <c r="FN77" i="16"/>
  <c r="FP77" i="16"/>
  <c r="FR77" i="16"/>
  <c r="FT77" i="16"/>
  <c r="FV77" i="16"/>
  <c r="FX77" i="16"/>
  <c r="FZ77" i="16"/>
  <c r="GB77" i="16"/>
  <c r="GD77" i="16"/>
  <c r="CZ78" i="16"/>
  <c r="DB78" i="16"/>
  <c r="DD78" i="16"/>
  <c r="DF78" i="16"/>
  <c r="DH78" i="16"/>
  <c r="DJ78" i="16"/>
  <c r="DL78" i="16"/>
  <c r="DN78" i="16"/>
  <c r="DP78" i="16"/>
  <c r="DR78" i="16"/>
  <c r="DT78" i="16"/>
  <c r="DV78" i="16"/>
  <c r="DX78" i="16"/>
  <c r="DZ78" i="16"/>
  <c r="EB78" i="16"/>
  <c r="ED78" i="16"/>
  <c r="EF78" i="16"/>
  <c r="EH78" i="16"/>
  <c r="EJ78" i="16"/>
  <c r="EL78" i="16"/>
  <c r="EN78" i="16"/>
  <c r="EP78" i="16"/>
  <c r="ER78" i="16"/>
  <c r="ET78" i="16"/>
  <c r="EV78" i="16"/>
  <c r="EX78" i="16"/>
  <c r="EZ78" i="16"/>
  <c r="FB78" i="16"/>
  <c r="FD78" i="16"/>
  <c r="FF78" i="16"/>
  <c r="FH78" i="16"/>
  <c r="FJ78" i="16"/>
  <c r="FL78" i="16"/>
  <c r="FN78" i="16"/>
  <c r="FP78" i="16"/>
  <c r="FR78" i="16"/>
  <c r="FT78" i="16"/>
  <c r="FV78" i="16"/>
  <c r="FX78" i="16"/>
  <c r="FZ78" i="16"/>
  <c r="GB78" i="16"/>
  <c r="GD78" i="16"/>
  <c r="CY78" i="16"/>
  <c r="DA78" i="16"/>
  <c r="DC78" i="16"/>
  <c r="DE78" i="16"/>
  <c r="DG78" i="16"/>
  <c r="DI78" i="16"/>
  <c r="DK78" i="16"/>
  <c r="DM78" i="16"/>
  <c r="DO78" i="16"/>
  <c r="DQ78" i="16"/>
  <c r="DS78" i="16"/>
  <c r="DU78" i="16"/>
  <c r="DW78" i="16"/>
  <c r="DY78" i="16"/>
  <c r="EA78" i="16"/>
  <c r="EC78" i="16"/>
  <c r="EE78" i="16"/>
  <c r="EG78" i="16"/>
  <c r="EI78" i="16"/>
  <c r="EK78" i="16"/>
  <c r="EM78" i="16"/>
  <c r="EO78" i="16"/>
  <c r="EQ78" i="16"/>
  <c r="ES78" i="16"/>
  <c r="EU78" i="16"/>
  <c r="EW78" i="16"/>
  <c r="EY78" i="16"/>
  <c r="FA78" i="16"/>
  <c r="FC78" i="16"/>
  <c r="FE78" i="16"/>
  <c r="FG78" i="16"/>
  <c r="FI78" i="16"/>
  <c r="FK78" i="16"/>
  <c r="FM78" i="16"/>
  <c r="FO78" i="16"/>
  <c r="FQ78" i="16"/>
  <c r="FS78" i="16"/>
  <c r="FU78" i="16"/>
  <c r="FW78" i="16"/>
  <c r="FY78" i="16"/>
  <c r="GA78" i="16"/>
  <c r="GC78" i="16"/>
  <c r="CZ80" i="16"/>
  <c r="DB80" i="16"/>
  <c r="DD80" i="16"/>
  <c r="DF80" i="16"/>
  <c r="DH80" i="16"/>
  <c r="DJ80" i="16"/>
  <c r="DL80" i="16"/>
  <c r="DN80" i="16"/>
  <c r="DP80" i="16"/>
  <c r="DR80" i="16"/>
  <c r="DT80" i="16"/>
  <c r="DV80" i="16"/>
  <c r="DX80" i="16"/>
  <c r="DZ80" i="16"/>
  <c r="EB80" i="16"/>
  <c r="ED80" i="16"/>
  <c r="EF80" i="16"/>
  <c r="EH80" i="16"/>
  <c r="EJ80" i="16"/>
  <c r="EL80" i="16"/>
  <c r="EN80" i="16"/>
  <c r="EP80" i="16"/>
  <c r="ER80" i="16"/>
  <c r="ET80" i="16"/>
  <c r="EV80" i="16"/>
  <c r="EX80" i="16"/>
  <c r="EZ80" i="16"/>
  <c r="FB80" i="16"/>
  <c r="FD80" i="16"/>
  <c r="FF80" i="16"/>
  <c r="FH80" i="16"/>
  <c r="FJ80" i="16"/>
  <c r="FL80" i="16"/>
  <c r="FN80" i="16"/>
  <c r="FP80" i="16"/>
  <c r="FR80" i="16"/>
  <c r="FT80" i="16"/>
  <c r="FV80" i="16"/>
  <c r="FX80" i="16"/>
  <c r="FZ80" i="16"/>
  <c r="GB80" i="16"/>
  <c r="GD80" i="16"/>
  <c r="CY80" i="16"/>
  <c r="DA80" i="16"/>
  <c r="DC80" i="16"/>
  <c r="DE80" i="16"/>
  <c r="DG80" i="16"/>
  <c r="DI80" i="16"/>
  <c r="DK80" i="16"/>
  <c r="DM80" i="16"/>
  <c r="DO80" i="16"/>
  <c r="DQ80" i="16"/>
  <c r="DS80" i="16"/>
  <c r="DU80" i="16"/>
  <c r="DW80" i="16"/>
  <c r="DY80" i="16"/>
  <c r="EA80" i="16"/>
  <c r="EC80" i="16"/>
  <c r="EE80" i="16"/>
  <c r="EG80" i="16"/>
  <c r="EI80" i="16"/>
  <c r="EK80" i="16"/>
  <c r="EM80" i="16"/>
  <c r="EO80" i="16"/>
  <c r="EQ80" i="16"/>
  <c r="ES80" i="16"/>
  <c r="EU80" i="16"/>
  <c r="EW80" i="16"/>
  <c r="EY80" i="16"/>
  <c r="FA80" i="16"/>
  <c r="FC80" i="16"/>
  <c r="FE80" i="16"/>
  <c r="FG80" i="16"/>
  <c r="FI80" i="16"/>
  <c r="FK80" i="16"/>
  <c r="FM80" i="16"/>
  <c r="FO80" i="16"/>
  <c r="FQ80" i="16"/>
  <c r="FS80" i="16"/>
  <c r="FU80" i="16"/>
  <c r="FW80" i="16"/>
  <c r="FY80" i="16"/>
  <c r="GA80" i="16"/>
  <c r="GC80" i="16"/>
  <c r="CZ82" i="16"/>
  <c r="DB82" i="16"/>
  <c r="DD82" i="16"/>
  <c r="DF82" i="16"/>
  <c r="DH82" i="16"/>
  <c r="DJ82" i="16"/>
  <c r="DL82" i="16"/>
  <c r="DN82" i="16"/>
  <c r="DP82" i="16"/>
  <c r="DR82" i="16"/>
  <c r="DT82" i="16"/>
  <c r="DV82" i="16"/>
  <c r="DX82" i="16"/>
  <c r="DZ82" i="16"/>
  <c r="EB82" i="16"/>
  <c r="ED82" i="16"/>
  <c r="EF82" i="16"/>
  <c r="EH82" i="16"/>
  <c r="EJ82" i="16"/>
  <c r="EL82" i="16"/>
  <c r="EN82" i="16"/>
  <c r="EP82" i="16"/>
  <c r="ER82" i="16"/>
  <c r="ET82" i="16"/>
  <c r="EV82" i="16"/>
  <c r="EX82" i="16"/>
  <c r="EZ82" i="16"/>
  <c r="FB82" i="16"/>
  <c r="FD82" i="16"/>
  <c r="FF82" i="16"/>
  <c r="FH82" i="16"/>
  <c r="FJ82" i="16"/>
  <c r="FL82" i="16"/>
  <c r="FN82" i="16"/>
  <c r="FP82" i="16"/>
  <c r="FR82" i="16"/>
  <c r="FT82" i="16"/>
  <c r="FV82" i="16"/>
  <c r="FX82" i="16"/>
  <c r="FZ82" i="16"/>
  <c r="GB82" i="16"/>
  <c r="GD82" i="16"/>
  <c r="CY82" i="16"/>
  <c r="DA82" i="16"/>
  <c r="DC82" i="16"/>
  <c r="DE82" i="16"/>
  <c r="DG82" i="16"/>
  <c r="DI82" i="16"/>
  <c r="DK82" i="16"/>
  <c r="DM82" i="16"/>
  <c r="DO82" i="16"/>
  <c r="DQ82" i="16"/>
  <c r="DS82" i="16"/>
  <c r="DU82" i="16"/>
  <c r="DW82" i="16"/>
  <c r="DY82" i="16"/>
  <c r="EA82" i="16"/>
  <c r="EC82" i="16"/>
  <c r="EE82" i="16"/>
  <c r="EG82" i="16"/>
  <c r="EI82" i="16"/>
  <c r="EK82" i="16"/>
  <c r="EM82" i="16"/>
  <c r="EO82" i="16"/>
  <c r="EQ82" i="16"/>
  <c r="ES82" i="16"/>
  <c r="EU82" i="16"/>
  <c r="EW82" i="16"/>
  <c r="EY82" i="16"/>
  <c r="FA82" i="16"/>
  <c r="FC82" i="16"/>
  <c r="FE82" i="16"/>
  <c r="FG82" i="16"/>
  <c r="FI82" i="16"/>
  <c r="FK82" i="16"/>
  <c r="FM82" i="16"/>
  <c r="FO82" i="16"/>
  <c r="FQ82" i="16"/>
  <c r="FS82" i="16"/>
  <c r="FU82" i="16"/>
  <c r="FW82" i="16"/>
  <c r="FY82" i="16"/>
  <c r="GA82" i="16"/>
  <c r="GC82" i="16"/>
  <c r="CZ84" i="16"/>
  <c r="DB84" i="16"/>
  <c r="DD84" i="16"/>
  <c r="DF84" i="16"/>
  <c r="DH84" i="16"/>
  <c r="DJ84" i="16"/>
  <c r="DL84" i="16"/>
  <c r="DN84" i="16"/>
  <c r="DP84" i="16"/>
  <c r="DR84" i="16"/>
  <c r="DT84" i="16"/>
  <c r="DV84" i="16"/>
  <c r="DX84" i="16"/>
  <c r="DZ84" i="16"/>
  <c r="EB84" i="16"/>
  <c r="ED84" i="16"/>
  <c r="EF84" i="16"/>
  <c r="EH84" i="16"/>
  <c r="EJ84" i="16"/>
  <c r="EL84" i="16"/>
  <c r="EN84" i="16"/>
  <c r="EP84" i="16"/>
  <c r="ER84" i="16"/>
  <c r="ET84" i="16"/>
  <c r="EV84" i="16"/>
  <c r="EX84" i="16"/>
  <c r="EZ84" i="16"/>
  <c r="FB84" i="16"/>
  <c r="FD84" i="16"/>
  <c r="FF84" i="16"/>
  <c r="FH84" i="16"/>
  <c r="FJ84" i="16"/>
  <c r="FL84" i="16"/>
  <c r="FN84" i="16"/>
  <c r="FP84" i="16"/>
  <c r="FR84" i="16"/>
  <c r="FT84" i="16"/>
  <c r="FV84" i="16"/>
  <c r="FX84" i="16"/>
  <c r="FZ84" i="16"/>
  <c r="GB84" i="16"/>
  <c r="GD84" i="16"/>
  <c r="CY84" i="16"/>
  <c r="DA84" i="16"/>
  <c r="DC84" i="16"/>
  <c r="DE84" i="16"/>
  <c r="DG84" i="16"/>
  <c r="DI84" i="16"/>
  <c r="DK84" i="16"/>
  <c r="DM84" i="16"/>
  <c r="DO84" i="16"/>
  <c r="DQ84" i="16"/>
  <c r="DS84" i="16"/>
  <c r="DU84" i="16"/>
  <c r="DW84" i="16"/>
  <c r="DY84" i="16"/>
  <c r="EA84" i="16"/>
  <c r="EC84" i="16"/>
  <c r="EE84" i="16"/>
  <c r="EG84" i="16"/>
  <c r="EI84" i="16"/>
  <c r="EK84" i="16"/>
  <c r="EM84" i="16"/>
  <c r="EO84" i="16"/>
  <c r="EQ84" i="16"/>
  <c r="ES84" i="16"/>
  <c r="EU84" i="16"/>
  <c r="EW84" i="16"/>
  <c r="EY84" i="16"/>
  <c r="FA84" i="16"/>
  <c r="FC84" i="16"/>
  <c r="FE84" i="16"/>
  <c r="FG84" i="16"/>
  <c r="FI84" i="16"/>
  <c r="FK84" i="16"/>
  <c r="FM84" i="16"/>
  <c r="FO84" i="16"/>
  <c r="FQ84" i="16"/>
  <c r="FS84" i="16"/>
  <c r="FU84" i="16"/>
  <c r="FW84" i="16"/>
  <c r="FY84" i="16"/>
  <c r="GA84" i="16"/>
  <c r="GC84" i="16"/>
  <c r="CY85" i="16"/>
  <c r="DA85" i="16"/>
  <c r="DC85" i="16"/>
  <c r="DE85" i="16"/>
  <c r="DG85" i="16"/>
  <c r="DI85" i="16"/>
  <c r="DK85" i="16"/>
  <c r="DM85" i="16"/>
  <c r="DO85" i="16"/>
  <c r="DQ85" i="16"/>
  <c r="DS85" i="16"/>
  <c r="DU85" i="16"/>
  <c r="DW85" i="16"/>
  <c r="DY85" i="16"/>
  <c r="EA85" i="16"/>
  <c r="EC85" i="16"/>
  <c r="EE85" i="16"/>
  <c r="EG85" i="16"/>
  <c r="EI85" i="16"/>
  <c r="EK85" i="16"/>
  <c r="EM85" i="16"/>
  <c r="EO85" i="16"/>
  <c r="EQ85" i="16"/>
  <c r="ES85" i="16"/>
  <c r="EU85" i="16"/>
  <c r="EW85" i="16"/>
  <c r="EY85" i="16"/>
  <c r="FA85" i="16"/>
  <c r="FC85" i="16"/>
  <c r="FE85" i="16"/>
  <c r="FG85" i="16"/>
  <c r="FI85" i="16"/>
  <c r="FK85" i="16"/>
  <c r="FM85" i="16"/>
  <c r="FO85" i="16"/>
  <c r="FQ85" i="16"/>
  <c r="FS85" i="16"/>
  <c r="FU85" i="16"/>
  <c r="FW85" i="16"/>
  <c r="FY85" i="16"/>
  <c r="GA85" i="16"/>
  <c r="GC85" i="16"/>
  <c r="CZ85" i="16"/>
  <c r="DB85" i="16"/>
  <c r="DD85" i="16"/>
  <c r="DF85" i="16"/>
  <c r="DH85" i="16"/>
  <c r="DJ85" i="16"/>
  <c r="DL85" i="16"/>
  <c r="DN85" i="16"/>
  <c r="DP85" i="16"/>
  <c r="DR85" i="16"/>
  <c r="DT85" i="16"/>
  <c r="DV85" i="16"/>
  <c r="DX85" i="16"/>
  <c r="DZ85" i="16"/>
  <c r="EB85" i="16"/>
  <c r="ED85" i="16"/>
  <c r="EF85" i="16"/>
  <c r="EH85" i="16"/>
  <c r="EJ85" i="16"/>
  <c r="EL85" i="16"/>
  <c r="EN85" i="16"/>
  <c r="EP85" i="16"/>
  <c r="ER85" i="16"/>
  <c r="ET85" i="16"/>
  <c r="EV85" i="16"/>
  <c r="EX85" i="16"/>
  <c r="EZ85" i="16"/>
  <c r="FB85" i="16"/>
  <c r="FD85" i="16"/>
  <c r="FF85" i="16"/>
  <c r="FH85" i="16"/>
  <c r="FJ85" i="16"/>
  <c r="FL85" i="16"/>
  <c r="FN85" i="16"/>
  <c r="FP85" i="16"/>
  <c r="FR85" i="16"/>
  <c r="FT85" i="16"/>
  <c r="FV85" i="16"/>
  <c r="FX85" i="16"/>
  <c r="FZ85" i="16"/>
  <c r="GB85" i="16"/>
  <c r="GD85" i="16"/>
  <c r="CY87" i="16"/>
  <c r="DA87" i="16"/>
  <c r="DC87" i="16"/>
  <c r="DE87" i="16"/>
  <c r="DG87" i="16"/>
  <c r="DI87" i="16"/>
  <c r="DK87" i="16"/>
  <c r="DM87" i="16"/>
  <c r="DO87" i="16"/>
  <c r="DQ87" i="16"/>
  <c r="DS87" i="16"/>
  <c r="DU87" i="16"/>
  <c r="DW87" i="16"/>
  <c r="DY87" i="16"/>
  <c r="EA87" i="16"/>
  <c r="EC87" i="16"/>
  <c r="EE87" i="16"/>
  <c r="EG87" i="16"/>
  <c r="EI87" i="16"/>
  <c r="EK87" i="16"/>
  <c r="EM87" i="16"/>
  <c r="EO87" i="16"/>
  <c r="EQ87" i="16"/>
  <c r="ES87" i="16"/>
  <c r="EU87" i="16"/>
  <c r="EW87" i="16"/>
  <c r="EY87" i="16"/>
  <c r="FA87" i="16"/>
  <c r="FC87" i="16"/>
  <c r="FE87" i="16"/>
  <c r="FG87" i="16"/>
  <c r="FI87" i="16"/>
  <c r="FK87" i="16"/>
  <c r="FM87" i="16"/>
  <c r="FO87" i="16"/>
  <c r="FQ87" i="16"/>
  <c r="FS87" i="16"/>
  <c r="FU87" i="16"/>
  <c r="FW87" i="16"/>
  <c r="FY87" i="16"/>
  <c r="GA87" i="16"/>
  <c r="GC87" i="16"/>
  <c r="CZ87" i="16"/>
  <c r="DB87" i="16"/>
  <c r="DD87" i="16"/>
  <c r="DF87" i="16"/>
  <c r="DH87" i="16"/>
  <c r="DJ87" i="16"/>
  <c r="DL87" i="16"/>
  <c r="DN87" i="16"/>
  <c r="DP87" i="16"/>
  <c r="DR87" i="16"/>
  <c r="DT87" i="16"/>
  <c r="DV87" i="16"/>
  <c r="DX87" i="16"/>
  <c r="DZ87" i="16"/>
  <c r="EB87" i="16"/>
  <c r="ED87" i="16"/>
  <c r="EF87" i="16"/>
  <c r="EH87" i="16"/>
  <c r="EJ87" i="16"/>
  <c r="EL87" i="16"/>
  <c r="EN87" i="16"/>
  <c r="EP87" i="16"/>
  <c r="ER87" i="16"/>
  <c r="ET87" i="16"/>
  <c r="EV87" i="16"/>
  <c r="EX87" i="16"/>
  <c r="EZ87" i="16"/>
  <c r="FB87" i="16"/>
  <c r="FD87" i="16"/>
  <c r="FF87" i="16"/>
  <c r="FH87" i="16"/>
  <c r="FJ87" i="16"/>
  <c r="FL87" i="16"/>
  <c r="FN87" i="16"/>
  <c r="FP87" i="16"/>
  <c r="FR87" i="16"/>
  <c r="FT87" i="16"/>
  <c r="FV87" i="16"/>
  <c r="FX87" i="16"/>
  <c r="FZ87" i="16"/>
  <c r="GB87" i="16"/>
  <c r="GD87" i="16"/>
  <c r="CY89" i="16"/>
  <c r="DA89" i="16"/>
  <c r="DC89" i="16"/>
  <c r="DE89" i="16"/>
  <c r="DG89" i="16"/>
  <c r="DI89" i="16"/>
  <c r="DK89" i="16"/>
  <c r="DM89" i="16"/>
  <c r="DO89" i="16"/>
  <c r="DQ89" i="16"/>
  <c r="DS89" i="16"/>
  <c r="DU89" i="16"/>
  <c r="DW89" i="16"/>
  <c r="DY89" i="16"/>
  <c r="EA89" i="16"/>
  <c r="EC89" i="16"/>
  <c r="EE89" i="16"/>
  <c r="EG89" i="16"/>
  <c r="EI89" i="16"/>
  <c r="EK89" i="16"/>
  <c r="EM89" i="16"/>
  <c r="EO89" i="16"/>
  <c r="EQ89" i="16"/>
  <c r="ES89" i="16"/>
  <c r="EU89" i="16"/>
  <c r="EW89" i="16"/>
  <c r="EY89" i="16"/>
  <c r="FA89" i="16"/>
  <c r="FC89" i="16"/>
  <c r="FE89" i="16"/>
  <c r="FG89" i="16"/>
  <c r="FI89" i="16"/>
  <c r="FK89" i="16"/>
  <c r="FM89" i="16"/>
  <c r="FO89" i="16"/>
  <c r="FQ89" i="16"/>
  <c r="FS89" i="16"/>
  <c r="FU89" i="16"/>
  <c r="FW89" i="16"/>
  <c r="FY89" i="16"/>
  <c r="GA89" i="16"/>
  <c r="GC89" i="16"/>
  <c r="CZ89" i="16"/>
  <c r="DB89" i="16"/>
  <c r="DD89" i="16"/>
  <c r="DF89" i="16"/>
  <c r="DH89" i="16"/>
  <c r="DJ89" i="16"/>
  <c r="DL89" i="16"/>
  <c r="DN89" i="16"/>
  <c r="DP89" i="16"/>
  <c r="DR89" i="16"/>
  <c r="DT89" i="16"/>
  <c r="DV89" i="16"/>
  <c r="DX89" i="16"/>
  <c r="DZ89" i="16"/>
  <c r="EB89" i="16"/>
  <c r="ED89" i="16"/>
  <c r="EF89" i="16"/>
  <c r="EH89" i="16"/>
  <c r="EJ89" i="16"/>
  <c r="EL89" i="16"/>
  <c r="EN89" i="16"/>
  <c r="EP89" i="16"/>
  <c r="ER89" i="16"/>
  <c r="ET89" i="16"/>
  <c r="EV89" i="16"/>
  <c r="EX89" i="16"/>
  <c r="EZ89" i="16"/>
  <c r="FB89" i="16"/>
  <c r="FD89" i="16"/>
  <c r="FF89" i="16"/>
  <c r="FH89" i="16"/>
  <c r="FJ89" i="16"/>
  <c r="FL89" i="16"/>
  <c r="FN89" i="16"/>
  <c r="FP89" i="16"/>
  <c r="FR89" i="16"/>
  <c r="FT89" i="16"/>
  <c r="FV89" i="16"/>
  <c r="FX89" i="16"/>
  <c r="FZ89" i="16"/>
  <c r="GB89" i="16"/>
  <c r="GD89" i="16"/>
  <c r="CY91" i="16"/>
  <c r="DA91" i="16"/>
  <c r="DC91" i="16"/>
  <c r="DE91" i="16"/>
  <c r="DG91" i="16"/>
  <c r="DI91" i="16"/>
  <c r="DK91" i="16"/>
  <c r="DM91" i="16"/>
  <c r="DO91" i="16"/>
  <c r="DQ91" i="16"/>
  <c r="DS91" i="16"/>
  <c r="DU91" i="16"/>
  <c r="DW91" i="16"/>
  <c r="DY91" i="16"/>
  <c r="EA91" i="16"/>
  <c r="EC91" i="16"/>
  <c r="EE91" i="16"/>
  <c r="EG91" i="16"/>
  <c r="EI91" i="16"/>
  <c r="EK91" i="16"/>
  <c r="EM91" i="16"/>
  <c r="EO91" i="16"/>
  <c r="EQ91" i="16"/>
  <c r="ES91" i="16"/>
  <c r="EU91" i="16"/>
  <c r="EW91" i="16"/>
  <c r="EY91" i="16"/>
  <c r="FA91" i="16"/>
  <c r="FC91" i="16"/>
  <c r="FE91" i="16"/>
  <c r="FG91" i="16"/>
  <c r="FI91" i="16"/>
  <c r="FK91" i="16"/>
  <c r="FM91" i="16"/>
  <c r="FO91" i="16"/>
  <c r="FQ91" i="16"/>
  <c r="FS91" i="16"/>
  <c r="FU91" i="16"/>
  <c r="FW91" i="16"/>
  <c r="FY91" i="16"/>
  <c r="GA91" i="16"/>
  <c r="GC91" i="16"/>
  <c r="CZ91" i="16"/>
  <c r="DB91" i="16"/>
  <c r="DD91" i="16"/>
  <c r="DF91" i="16"/>
  <c r="DH91" i="16"/>
  <c r="DJ91" i="16"/>
  <c r="DL91" i="16"/>
  <c r="DN91" i="16"/>
  <c r="DP91" i="16"/>
  <c r="DR91" i="16"/>
  <c r="DT91" i="16"/>
  <c r="DV91" i="16"/>
  <c r="DX91" i="16"/>
  <c r="DZ91" i="16"/>
  <c r="EB91" i="16"/>
  <c r="ED91" i="16"/>
  <c r="EF91" i="16"/>
  <c r="EH91" i="16"/>
  <c r="EJ91" i="16"/>
  <c r="EL91" i="16"/>
  <c r="EN91" i="16"/>
  <c r="EP91" i="16"/>
  <c r="ER91" i="16"/>
  <c r="ET91" i="16"/>
  <c r="EV91" i="16"/>
  <c r="EX91" i="16"/>
  <c r="EZ91" i="16"/>
  <c r="FB91" i="16"/>
  <c r="FD91" i="16"/>
  <c r="FF91" i="16"/>
  <c r="FH91" i="16"/>
  <c r="FJ91" i="16"/>
  <c r="FL91" i="16"/>
  <c r="FN91" i="16"/>
  <c r="FP91" i="16"/>
  <c r="FR91" i="16"/>
  <c r="FT91" i="16"/>
  <c r="FV91" i="16"/>
  <c r="FX91" i="16"/>
  <c r="FZ91" i="16"/>
  <c r="GB91" i="16"/>
  <c r="GD91" i="16"/>
  <c r="CY93" i="16"/>
  <c r="DA93" i="16"/>
  <c r="DC93" i="16"/>
  <c r="DE93" i="16"/>
  <c r="DG93" i="16"/>
  <c r="DI93" i="16"/>
  <c r="DK93" i="16"/>
  <c r="DM93" i="16"/>
  <c r="DO93" i="16"/>
  <c r="DQ93" i="16"/>
  <c r="DS93" i="16"/>
  <c r="DU93" i="16"/>
  <c r="DW93" i="16"/>
  <c r="DY93" i="16"/>
  <c r="EA93" i="16"/>
  <c r="EC93" i="16"/>
  <c r="EE93" i="16"/>
  <c r="EG93" i="16"/>
  <c r="EI93" i="16"/>
  <c r="EK93" i="16"/>
  <c r="EM93" i="16"/>
  <c r="EO93" i="16"/>
  <c r="EQ93" i="16"/>
  <c r="ES93" i="16"/>
  <c r="EU93" i="16"/>
  <c r="EW93" i="16"/>
  <c r="EY93" i="16"/>
  <c r="FA93" i="16"/>
  <c r="FC93" i="16"/>
  <c r="FE93" i="16"/>
  <c r="FG93" i="16"/>
  <c r="FI93" i="16"/>
  <c r="FK93" i="16"/>
  <c r="FM93" i="16"/>
  <c r="FO93" i="16"/>
  <c r="FQ93" i="16"/>
  <c r="FS93" i="16"/>
  <c r="FU93" i="16"/>
  <c r="FW93" i="16"/>
  <c r="FY93" i="16"/>
  <c r="GA93" i="16"/>
  <c r="GC93" i="16"/>
  <c r="CZ93" i="16"/>
  <c r="DB93" i="16"/>
  <c r="DD93" i="16"/>
  <c r="DF93" i="16"/>
  <c r="DH93" i="16"/>
  <c r="DJ93" i="16"/>
  <c r="DL93" i="16"/>
  <c r="DN93" i="16"/>
  <c r="DP93" i="16"/>
  <c r="DR93" i="16"/>
  <c r="DT93" i="16"/>
  <c r="DV93" i="16"/>
  <c r="DX93" i="16"/>
  <c r="DZ93" i="16"/>
  <c r="EB93" i="16"/>
  <c r="ED93" i="16"/>
  <c r="EF93" i="16"/>
  <c r="EH93" i="16"/>
  <c r="EJ93" i="16"/>
  <c r="EL93" i="16"/>
  <c r="EN93" i="16"/>
  <c r="EP93" i="16"/>
  <c r="ER93" i="16"/>
  <c r="ET93" i="16"/>
  <c r="EV93" i="16"/>
  <c r="EX93" i="16"/>
  <c r="EZ93" i="16"/>
  <c r="FB93" i="16"/>
  <c r="FD93" i="16"/>
  <c r="FF93" i="16"/>
  <c r="FH93" i="16"/>
  <c r="FJ93" i="16"/>
  <c r="FL93" i="16"/>
  <c r="FN93" i="16"/>
  <c r="FP93" i="16"/>
  <c r="FR93" i="16"/>
  <c r="FT93" i="16"/>
  <c r="FV93" i="16"/>
  <c r="FX93" i="16"/>
  <c r="FZ93" i="16"/>
  <c r="GB93" i="16"/>
  <c r="GD93" i="16"/>
  <c r="CY95" i="16"/>
  <c r="DA95" i="16"/>
  <c r="DC95" i="16"/>
  <c r="DE95" i="16"/>
  <c r="DG95" i="16"/>
  <c r="DI95" i="16"/>
  <c r="DK95" i="16"/>
  <c r="DM95" i="16"/>
  <c r="DO95" i="16"/>
  <c r="DQ95" i="16"/>
  <c r="DS95" i="16"/>
  <c r="DU95" i="16"/>
  <c r="DW95" i="16"/>
  <c r="DY95" i="16"/>
  <c r="EA95" i="16"/>
  <c r="EC95" i="16"/>
  <c r="EE95" i="16"/>
  <c r="EG95" i="16"/>
  <c r="EI95" i="16"/>
  <c r="EK95" i="16"/>
  <c r="EM95" i="16"/>
  <c r="EO95" i="16"/>
  <c r="EQ95" i="16"/>
  <c r="ES95" i="16"/>
  <c r="EU95" i="16"/>
  <c r="EW95" i="16"/>
  <c r="EY95" i="16"/>
  <c r="FA95" i="16"/>
  <c r="FC95" i="16"/>
  <c r="FE95" i="16"/>
  <c r="FG95" i="16"/>
  <c r="FI95" i="16"/>
  <c r="FK95" i="16"/>
  <c r="FM95" i="16"/>
  <c r="FO95" i="16"/>
  <c r="FQ95" i="16"/>
  <c r="FS95" i="16"/>
  <c r="FU95" i="16"/>
  <c r="FW95" i="16"/>
  <c r="FY95" i="16"/>
  <c r="GA95" i="16"/>
  <c r="GC95" i="16"/>
  <c r="CZ95" i="16"/>
  <c r="DB95" i="16"/>
  <c r="DD95" i="16"/>
  <c r="DF95" i="16"/>
  <c r="DH95" i="16"/>
  <c r="DJ95" i="16"/>
  <c r="DL95" i="16"/>
  <c r="DN95" i="16"/>
  <c r="DP95" i="16"/>
  <c r="DR95" i="16"/>
  <c r="DT95" i="16"/>
  <c r="DV95" i="16"/>
  <c r="DX95" i="16"/>
  <c r="DZ95" i="16"/>
  <c r="EB95" i="16"/>
  <c r="ED95" i="16"/>
  <c r="EF95" i="16"/>
  <c r="EH95" i="16"/>
  <c r="EJ95" i="16"/>
  <c r="EL95" i="16"/>
  <c r="EN95" i="16"/>
  <c r="EP95" i="16"/>
  <c r="ER95" i="16"/>
  <c r="ET95" i="16"/>
  <c r="EV95" i="16"/>
  <c r="EX95" i="16"/>
  <c r="EZ95" i="16"/>
  <c r="FB95" i="16"/>
  <c r="FD95" i="16"/>
  <c r="FF95" i="16"/>
  <c r="FH95" i="16"/>
  <c r="FJ95" i="16"/>
  <c r="FL95" i="16"/>
  <c r="FN95" i="16"/>
  <c r="FP95" i="16"/>
  <c r="FR95" i="16"/>
  <c r="FT95" i="16"/>
  <c r="FV95" i="16"/>
  <c r="FX95" i="16"/>
  <c r="FZ95" i="16"/>
  <c r="GB95" i="16"/>
  <c r="GD95" i="16"/>
  <c r="CY97" i="16"/>
  <c r="DA97" i="16"/>
  <c r="DC97" i="16"/>
  <c r="DE97" i="16"/>
  <c r="DG97" i="16"/>
  <c r="DI97" i="16"/>
  <c r="DK97" i="16"/>
  <c r="DM97" i="16"/>
  <c r="DO97" i="16"/>
  <c r="DQ97" i="16"/>
  <c r="DS97" i="16"/>
  <c r="DU97" i="16"/>
  <c r="DW97" i="16"/>
  <c r="DY97" i="16"/>
  <c r="EA97" i="16"/>
  <c r="EC97" i="16"/>
  <c r="EE97" i="16"/>
  <c r="EG97" i="16"/>
  <c r="EI97" i="16"/>
  <c r="EK97" i="16"/>
  <c r="EM97" i="16"/>
  <c r="EO97" i="16"/>
  <c r="EQ97" i="16"/>
  <c r="ES97" i="16"/>
  <c r="EU97" i="16"/>
  <c r="EW97" i="16"/>
  <c r="EY97" i="16"/>
  <c r="FA97" i="16"/>
  <c r="FC97" i="16"/>
  <c r="FE97" i="16"/>
  <c r="FG97" i="16"/>
  <c r="FI97" i="16"/>
  <c r="FK97" i="16"/>
  <c r="FM97" i="16"/>
  <c r="FO97" i="16"/>
  <c r="FQ97" i="16"/>
  <c r="FS97" i="16"/>
  <c r="FU97" i="16"/>
  <c r="FW97" i="16"/>
  <c r="FY97" i="16"/>
  <c r="GA97" i="16"/>
  <c r="GC97" i="16"/>
  <c r="CZ97" i="16"/>
  <c r="DB97" i="16"/>
  <c r="DD97" i="16"/>
  <c r="DF97" i="16"/>
  <c r="DH97" i="16"/>
  <c r="DJ97" i="16"/>
  <c r="DL97" i="16"/>
  <c r="DN97" i="16"/>
  <c r="DP97" i="16"/>
  <c r="DR97" i="16"/>
  <c r="DT97" i="16"/>
  <c r="DV97" i="16"/>
  <c r="DX97" i="16"/>
  <c r="DZ97" i="16"/>
  <c r="EB97" i="16"/>
  <c r="ED97" i="16"/>
  <c r="EF97" i="16"/>
  <c r="EH97" i="16"/>
  <c r="EJ97" i="16"/>
  <c r="EL97" i="16"/>
  <c r="EN97" i="16"/>
  <c r="EP97" i="16"/>
  <c r="ER97" i="16"/>
  <c r="ET97" i="16"/>
  <c r="EV97" i="16"/>
  <c r="EX97" i="16"/>
  <c r="EZ97" i="16"/>
  <c r="FB97" i="16"/>
  <c r="FD97" i="16"/>
  <c r="FF97" i="16"/>
  <c r="FH97" i="16"/>
  <c r="FJ97" i="16"/>
  <c r="FL97" i="16"/>
  <c r="FN97" i="16"/>
  <c r="FP97" i="16"/>
  <c r="FR97" i="16"/>
  <c r="FT97" i="16"/>
  <c r="FV97" i="16"/>
  <c r="FX97" i="16"/>
  <c r="FZ97" i="16"/>
  <c r="GB97" i="16"/>
  <c r="GD97" i="16"/>
  <c r="CY99" i="16"/>
  <c r="DA99" i="16"/>
  <c r="DC99" i="16"/>
  <c r="DE99" i="16"/>
  <c r="DG99" i="16"/>
  <c r="DI99" i="16"/>
  <c r="DK99" i="16"/>
  <c r="DM99" i="16"/>
  <c r="DO99" i="16"/>
  <c r="DQ99" i="16"/>
  <c r="DS99" i="16"/>
  <c r="DU99" i="16"/>
  <c r="DW99" i="16"/>
  <c r="DY99" i="16"/>
  <c r="EA99" i="16"/>
  <c r="EC99" i="16"/>
  <c r="EE99" i="16"/>
  <c r="EG99" i="16"/>
  <c r="EI99" i="16"/>
  <c r="EK99" i="16"/>
  <c r="EM99" i="16"/>
  <c r="EO99" i="16"/>
  <c r="EQ99" i="16"/>
  <c r="ES99" i="16"/>
  <c r="EU99" i="16"/>
  <c r="EW99" i="16"/>
  <c r="EY99" i="16"/>
  <c r="FA99" i="16"/>
  <c r="FC99" i="16"/>
  <c r="FE99" i="16"/>
  <c r="FG99" i="16"/>
  <c r="FI99" i="16"/>
  <c r="FK99" i="16"/>
  <c r="FM99" i="16"/>
  <c r="FO99" i="16"/>
  <c r="FQ99" i="16"/>
  <c r="FS99" i="16"/>
  <c r="FU99" i="16"/>
  <c r="FW99" i="16"/>
  <c r="FY99" i="16"/>
  <c r="GA99" i="16"/>
  <c r="GC99" i="16"/>
  <c r="CZ99" i="16"/>
  <c r="DB99" i="16"/>
  <c r="DD99" i="16"/>
  <c r="DF99" i="16"/>
  <c r="DH99" i="16"/>
  <c r="DJ99" i="16"/>
  <c r="DL99" i="16"/>
  <c r="DN99" i="16"/>
  <c r="DP99" i="16"/>
  <c r="DR99" i="16"/>
  <c r="DT99" i="16"/>
  <c r="DV99" i="16"/>
  <c r="DX99" i="16"/>
  <c r="DZ99" i="16"/>
  <c r="EB99" i="16"/>
  <c r="ED99" i="16"/>
  <c r="EF99" i="16"/>
  <c r="EH99" i="16"/>
  <c r="EJ99" i="16"/>
  <c r="EL99" i="16"/>
  <c r="EN99" i="16"/>
  <c r="EP99" i="16"/>
  <c r="ER99" i="16"/>
  <c r="ET99" i="16"/>
  <c r="EV99" i="16"/>
  <c r="EX99" i="16"/>
  <c r="EZ99" i="16"/>
  <c r="FB99" i="16"/>
  <c r="FD99" i="16"/>
  <c r="FF99" i="16"/>
  <c r="FH99" i="16"/>
  <c r="FJ99" i="16"/>
  <c r="FL99" i="16"/>
  <c r="FN99" i="16"/>
  <c r="FP99" i="16"/>
  <c r="FR99" i="16"/>
  <c r="FT99" i="16"/>
  <c r="FV99" i="16"/>
  <c r="FX99" i="16"/>
  <c r="FZ99" i="16"/>
  <c r="GB99" i="16"/>
  <c r="GD99" i="16"/>
  <c r="CY101" i="16"/>
  <c r="DA101" i="16"/>
  <c r="DC101" i="16"/>
  <c r="DE101" i="16"/>
  <c r="DG101" i="16"/>
  <c r="DI101" i="16"/>
  <c r="DK101" i="16"/>
  <c r="DM101" i="16"/>
  <c r="DO101" i="16"/>
  <c r="DQ101" i="16"/>
  <c r="DS101" i="16"/>
  <c r="DU101" i="16"/>
  <c r="DW101" i="16"/>
  <c r="DY101" i="16"/>
  <c r="EA101" i="16"/>
  <c r="EC101" i="16"/>
  <c r="EE101" i="16"/>
  <c r="EG101" i="16"/>
  <c r="EI101" i="16"/>
  <c r="EK101" i="16"/>
  <c r="EM101" i="16"/>
  <c r="EO101" i="16"/>
  <c r="EQ101" i="16"/>
  <c r="ES101" i="16"/>
  <c r="EU101" i="16"/>
  <c r="EW101" i="16"/>
  <c r="EY101" i="16"/>
  <c r="FA101" i="16"/>
  <c r="FC101" i="16"/>
  <c r="FE101" i="16"/>
  <c r="FG101" i="16"/>
  <c r="FI101" i="16"/>
  <c r="FK101" i="16"/>
  <c r="FM101" i="16"/>
  <c r="FO101" i="16"/>
  <c r="FQ101" i="16"/>
  <c r="FS101" i="16"/>
  <c r="FU101" i="16"/>
  <c r="FW101" i="16"/>
  <c r="FY101" i="16"/>
  <c r="GA101" i="16"/>
  <c r="GC101" i="16"/>
  <c r="CZ101" i="16"/>
  <c r="DB101" i="16"/>
  <c r="DD101" i="16"/>
  <c r="DF101" i="16"/>
  <c r="DH101" i="16"/>
  <c r="DJ101" i="16"/>
  <c r="DL101" i="16"/>
  <c r="DN101" i="16"/>
  <c r="DP101" i="16"/>
  <c r="DR101" i="16"/>
  <c r="DT101" i="16"/>
  <c r="DV101" i="16"/>
  <c r="DX101" i="16"/>
  <c r="DZ101" i="16"/>
  <c r="EB101" i="16"/>
  <c r="ED101" i="16"/>
  <c r="EF101" i="16"/>
  <c r="EH101" i="16"/>
  <c r="EJ101" i="16"/>
  <c r="EL101" i="16"/>
  <c r="EN101" i="16"/>
  <c r="EP101" i="16"/>
  <c r="ER101" i="16"/>
  <c r="ET101" i="16"/>
  <c r="EV101" i="16"/>
  <c r="EX101" i="16"/>
  <c r="EZ101" i="16"/>
  <c r="FB101" i="16"/>
  <c r="FD101" i="16"/>
  <c r="FF101" i="16"/>
  <c r="FH101" i="16"/>
  <c r="FJ101" i="16"/>
  <c r="FL101" i="16"/>
  <c r="FN101" i="16"/>
  <c r="FP101" i="16"/>
  <c r="FR101" i="16"/>
  <c r="FT101" i="16"/>
  <c r="FV101" i="16"/>
  <c r="FX101" i="16"/>
  <c r="FZ101" i="16"/>
  <c r="GB101" i="16"/>
  <c r="GD101" i="16"/>
  <c r="CY103" i="16"/>
  <c r="DA103" i="16"/>
  <c r="DC103" i="16"/>
  <c r="DE103" i="16"/>
  <c r="DG103" i="16"/>
  <c r="DI103" i="16"/>
  <c r="DK103" i="16"/>
  <c r="DM103" i="16"/>
  <c r="DO103" i="16"/>
  <c r="DQ103" i="16"/>
  <c r="DS103" i="16"/>
  <c r="DU103" i="16"/>
  <c r="DW103" i="16"/>
  <c r="DY103" i="16"/>
  <c r="EA103" i="16"/>
  <c r="EC103" i="16"/>
  <c r="EE103" i="16"/>
  <c r="EG103" i="16"/>
  <c r="EI103" i="16"/>
  <c r="EK103" i="16"/>
  <c r="EM103" i="16"/>
  <c r="EO103" i="16"/>
  <c r="EQ103" i="16"/>
  <c r="ES103" i="16"/>
  <c r="EU103" i="16"/>
  <c r="EW103" i="16"/>
  <c r="EY103" i="16"/>
  <c r="FA103" i="16"/>
  <c r="FC103" i="16"/>
  <c r="FE103" i="16"/>
  <c r="FG103" i="16"/>
  <c r="FI103" i="16"/>
  <c r="FK103" i="16"/>
  <c r="FM103" i="16"/>
  <c r="FO103" i="16"/>
  <c r="FQ103" i="16"/>
  <c r="FS103" i="16"/>
  <c r="FU103" i="16"/>
  <c r="FW103" i="16"/>
  <c r="FY103" i="16"/>
  <c r="GA103" i="16"/>
  <c r="GC103" i="16"/>
  <c r="CZ103" i="16"/>
  <c r="DB103" i="16"/>
  <c r="DD103" i="16"/>
  <c r="DF103" i="16"/>
  <c r="DH103" i="16"/>
  <c r="DJ103" i="16"/>
  <c r="DL103" i="16"/>
  <c r="DN103" i="16"/>
  <c r="DP103" i="16"/>
  <c r="DR103" i="16"/>
  <c r="DT103" i="16"/>
  <c r="DV103" i="16"/>
  <c r="DX103" i="16"/>
  <c r="DZ103" i="16"/>
  <c r="EB103" i="16"/>
  <c r="ED103" i="16"/>
  <c r="EF103" i="16"/>
  <c r="EH103" i="16"/>
  <c r="EJ103" i="16"/>
  <c r="EL103" i="16"/>
  <c r="EN103" i="16"/>
  <c r="EP103" i="16"/>
  <c r="ER103" i="16"/>
  <c r="ET103" i="16"/>
  <c r="EV103" i="16"/>
  <c r="EX103" i="16"/>
  <c r="EZ103" i="16"/>
  <c r="FB103" i="16"/>
  <c r="FD103" i="16"/>
  <c r="FF103" i="16"/>
  <c r="FH103" i="16"/>
  <c r="FJ103" i="16"/>
  <c r="FL103" i="16"/>
  <c r="FN103" i="16"/>
  <c r="FP103" i="16"/>
  <c r="FR103" i="16"/>
  <c r="FT103" i="16"/>
  <c r="FV103" i="16"/>
  <c r="FX103" i="16"/>
  <c r="FZ103" i="16"/>
  <c r="GB103" i="16"/>
  <c r="GD103" i="16"/>
  <c r="CZ106" i="16"/>
  <c r="DB106" i="16"/>
  <c r="DD106" i="16"/>
  <c r="DF106" i="16"/>
  <c r="DH106" i="16"/>
  <c r="DJ106" i="16"/>
  <c r="DL106" i="16"/>
  <c r="DN106" i="16"/>
  <c r="DP106" i="16"/>
  <c r="DR106" i="16"/>
  <c r="DT106" i="16"/>
  <c r="DV106" i="16"/>
  <c r="DX106" i="16"/>
  <c r="DZ106" i="16"/>
  <c r="EB106" i="16"/>
  <c r="ED106" i="16"/>
  <c r="EF106" i="16"/>
  <c r="EH106" i="16"/>
  <c r="EJ106" i="16"/>
  <c r="EL106" i="16"/>
  <c r="EN106" i="16"/>
  <c r="EP106" i="16"/>
  <c r="ER106" i="16"/>
  <c r="ET106" i="16"/>
  <c r="EV106" i="16"/>
  <c r="EX106" i="16"/>
  <c r="EZ106" i="16"/>
  <c r="FB106" i="16"/>
  <c r="FD106" i="16"/>
  <c r="FF106" i="16"/>
  <c r="FH106" i="16"/>
  <c r="FJ106" i="16"/>
  <c r="FL106" i="16"/>
  <c r="FN106" i="16"/>
  <c r="FP106" i="16"/>
  <c r="FR106" i="16"/>
  <c r="FT106" i="16"/>
  <c r="FV106" i="16"/>
  <c r="FX106" i="16"/>
  <c r="FZ106" i="16"/>
  <c r="GB106" i="16"/>
  <c r="GD106" i="16"/>
  <c r="CY106" i="16"/>
  <c r="DA106" i="16"/>
  <c r="DC106" i="16"/>
  <c r="DE106" i="16"/>
  <c r="DG106" i="16"/>
  <c r="DI106" i="16"/>
  <c r="DK106" i="16"/>
  <c r="DM106" i="16"/>
  <c r="DO106" i="16"/>
  <c r="DQ106" i="16"/>
  <c r="DS106" i="16"/>
  <c r="DU106" i="16"/>
  <c r="DW106" i="16"/>
  <c r="DY106" i="16"/>
  <c r="EA106" i="16"/>
  <c r="EC106" i="16"/>
  <c r="EE106" i="16"/>
  <c r="EG106" i="16"/>
  <c r="EI106" i="16"/>
  <c r="EK106" i="16"/>
  <c r="EM106" i="16"/>
  <c r="EO106" i="16"/>
  <c r="EQ106" i="16"/>
  <c r="ES106" i="16"/>
  <c r="EU106" i="16"/>
  <c r="EW106" i="16"/>
  <c r="EY106" i="16"/>
  <c r="FA106" i="16"/>
  <c r="FC106" i="16"/>
  <c r="FE106" i="16"/>
  <c r="FG106" i="16"/>
  <c r="FI106" i="16"/>
  <c r="FK106" i="16"/>
  <c r="FM106" i="16"/>
  <c r="FO106" i="16"/>
  <c r="FQ106" i="16"/>
  <c r="FS106" i="16"/>
  <c r="FU106" i="16"/>
  <c r="FW106" i="16"/>
  <c r="FY106" i="16"/>
  <c r="GA106" i="16"/>
  <c r="GC106" i="16"/>
  <c r="CZ108" i="16"/>
  <c r="DB108" i="16"/>
  <c r="DD108" i="16"/>
  <c r="DF108" i="16"/>
  <c r="DH108" i="16"/>
  <c r="DJ108" i="16"/>
  <c r="DL108" i="16"/>
  <c r="DN108" i="16"/>
  <c r="DP108" i="16"/>
  <c r="DR108" i="16"/>
  <c r="DT108" i="16"/>
  <c r="DV108" i="16"/>
  <c r="DX108" i="16"/>
  <c r="DZ108" i="16"/>
  <c r="EB108" i="16"/>
  <c r="ED108" i="16"/>
  <c r="EF108" i="16"/>
  <c r="EH108" i="16"/>
  <c r="EJ108" i="16"/>
  <c r="EL108" i="16"/>
  <c r="EN108" i="16"/>
  <c r="EP108" i="16"/>
  <c r="ER108" i="16"/>
  <c r="ET108" i="16"/>
  <c r="EV108" i="16"/>
  <c r="EX108" i="16"/>
  <c r="EZ108" i="16"/>
  <c r="FB108" i="16"/>
  <c r="FD108" i="16"/>
  <c r="FF108" i="16"/>
  <c r="FH108" i="16"/>
  <c r="FJ108" i="16"/>
  <c r="FL108" i="16"/>
  <c r="FN108" i="16"/>
  <c r="FP108" i="16"/>
  <c r="FR108" i="16"/>
  <c r="FT108" i="16"/>
  <c r="FV108" i="16"/>
  <c r="FX108" i="16"/>
  <c r="FZ108" i="16"/>
  <c r="GB108" i="16"/>
  <c r="GD108" i="16"/>
  <c r="CY108" i="16"/>
  <c r="DA108" i="16"/>
  <c r="DC108" i="16"/>
  <c r="DE108" i="16"/>
  <c r="DG108" i="16"/>
  <c r="DI108" i="16"/>
  <c r="DK108" i="16"/>
  <c r="DM108" i="16"/>
  <c r="DO108" i="16"/>
  <c r="DQ108" i="16"/>
  <c r="DS108" i="16"/>
  <c r="DU108" i="16"/>
  <c r="DW108" i="16"/>
  <c r="DY108" i="16"/>
  <c r="EA108" i="16"/>
  <c r="EC108" i="16"/>
  <c r="EE108" i="16"/>
  <c r="EG108" i="16"/>
  <c r="EI108" i="16"/>
  <c r="EK108" i="16"/>
  <c r="EM108" i="16"/>
  <c r="EO108" i="16"/>
  <c r="EQ108" i="16"/>
  <c r="ES108" i="16"/>
  <c r="EU108" i="16"/>
  <c r="EW108" i="16"/>
  <c r="EY108" i="16"/>
  <c r="FA108" i="16"/>
  <c r="FC108" i="16"/>
  <c r="FE108" i="16"/>
  <c r="FG108" i="16"/>
  <c r="FI108" i="16"/>
  <c r="FK108" i="16"/>
  <c r="FM108" i="16"/>
  <c r="FO108" i="16"/>
  <c r="FQ108" i="16"/>
  <c r="FS108" i="16"/>
  <c r="FU108" i="16"/>
  <c r="FW108" i="16"/>
  <c r="FY108" i="16"/>
  <c r="GA108" i="16"/>
  <c r="GC108" i="16"/>
  <c r="CY109" i="16"/>
  <c r="DA109" i="16"/>
  <c r="DC109" i="16"/>
  <c r="DE109" i="16"/>
  <c r="DG109" i="16"/>
  <c r="DI109" i="16"/>
  <c r="DK109" i="16"/>
  <c r="DM109" i="16"/>
  <c r="DO109" i="16"/>
  <c r="DQ109" i="16"/>
  <c r="DS109" i="16"/>
  <c r="DU109" i="16"/>
  <c r="DW109" i="16"/>
  <c r="DY109" i="16"/>
  <c r="EA109" i="16"/>
  <c r="EC109" i="16"/>
  <c r="EE109" i="16"/>
  <c r="EG109" i="16"/>
  <c r="EI109" i="16"/>
  <c r="EK109" i="16"/>
  <c r="EM109" i="16"/>
  <c r="EO109" i="16"/>
  <c r="EQ109" i="16"/>
  <c r="ES109" i="16"/>
  <c r="EU109" i="16"/>
  <c r="EW109" i="16"/>
  <c r="EY109" i="16"/>
  <c r="FA109" i="16"/>
  <c r="FC109" i="16"/>
  <c r="FE109" i="16"/>
  <c r="FG109" i="16"/>
  <c r="FI109" i="16"/>
  <c r="FK109" i="16"/>
  <c r="FM109" i="16"/>
  <c r="FO109" i="16"/>
  <c r="FQ109" i="16"/>
  <c r="FS109" i="16"/>
  <c r="FU109" i="16"/>
  <c r="FW109" i="16"/>
  <c r="FY109" i="16"/>
  <c r="GA109" i="16"/>
  <c r="GC109" i="16"/>
  <c r="CZ109" i="16"/>
  <c r="DB109" i="16"/>
  <c r="DD109" i="16"/>
  <c r="DF109" i="16"/>
  <c r="DH109" i="16"/>
  <c r="DJ109" i="16"/>
  <c r="DL109" i="16"/>
  <c r="DN109" i="16"/>
  <c r="DP109" i="16"/>
  <c r="DR109" i="16"/>
  <c r="DT109" i="16"/>
  <c r="DV109" i="16"/>
  <c r="DX109" i="16"/>
  <c r="DZ109" i="16"/>
  <c r="EB109" i="16"/>
  <c r="ED109" i="16"/>
  <c r="EF109" i="16"/>
  <c r="EH109" i="16"/>
  <c r="EJ109" i="16"/>
  <c r="EL109" i="16"/>
  <c r="EN109" i="16"/>
  <c r="EP109" i="16"/>
  <c r="ER109" i="16"/>
  <c r="ET109" i="16"/>
  <c r="EV109" i="16"/>
  <c r="EX109" i="16"/>
  <c r="EZ109" i="16"/>
  <c r="FB109" i="16"/>
  <c r="FD109" i="16"/>
  <c r="FF109" i="16"/>
  <c r="FH109" i="16"/>
  <c r="FJ109" i="16"/>
  <c r="FL109" i="16"/>
  <c r="FN109" i="16"/>
  <c r="FP109" i="16"/>
  <c r="FR109" i="16"/>
  <c r="FT109" i="16"/>
  <c r="FV109" i="16"/>
  <c r="FX109" i="16"/>
  <c r="FZ109" i="16"/>
  <c r="GB109" i="16"/>
  <c r="GD109" i="16"/>
  <c r="CY111" i="16"/>
  <c r="DA111" i="16"/>
  <c r="DC111" i="16"/>
  <c r="DE111" i="16"/>
  <c r="DG111" i="16"/>
  <c r="DI111" i="16"/>
  <c r="DK111" i="16"/>
  <c r="DM111" i="16"/>
  <c r="DO111" i="16"/>
  <c r="DQ111" i="16"/>
  <c r="DS111" i="16"/>
  <c r="DU111" i="16"/>
  <c r="DW111" i="16"/>
  <c r="DY111" i="16"/>
  <c r="EA111" i="16"/>
  <c r="EC111" i="16"/>
  <c r="EE111" i="16"/>
  <c r="EG111" i="16"/>
  <c r="EI111" i="16"/>
  <c r="EK111" i="16"/>
  <c r="EM111" i="16"/>
  <c r="EO111" i="16"/>
  <c r="EQ111" i="16"/>
  <c r="ES111" i="16"/>
  <c r="EU111" i="16"/>
  <c r="EW111" i="16"/>
  <c r="EY111" i="16"/>
  <c r="FA111" i="16"/>
  <c r="FC111" i="16"/>
  <c r="FE111" i="16"/>
  <c r="FG111" i="16"/>
  <c r="FI111" i="16"/>
  <c r="FK111" i="16"/>
  <c r="FM111" i="16"/>
  <c r="FO111" i="16"/>
  <c r="FQ111" i="16"/>
  <c r="FS111" i="16"/>
  <c r="FU111" i="16"/>
  <c r="FW111" i="16"/>
  <c r="FY111" i="16"/>
  <c r="GA111" i="16"/>
  <c r="GC111" i="16"/>
  <c r="CZ111" i="16"/>
  <c r="DB111" i="16"/>
  <c r="DD111" i="16"/>
  <c r="DF111" i="16"/>
  <c r="DH111" i="16"/>
  <c r="DJ111" i="16"/>
  <c r="DL111" i="16"/>
  <c r="DN111" i="16"/>
  <c r="DP111" i="16"/>
  <c r="DR111" i="16"/>
  <c r="DT111" i="16"/>
  <c r="DV111" i="16"/>
  <c r="DX111" i="16"/>
  <c r="DZ111" i="16"/>
  <c r="EB111" i="16"/>
  <c r="ED111" i="16"/>
  <c r="EF111" i="16"/>
  <c r="EH111" i="16"/>
  <c r="EJ111" i="16"/>
  <c r="EL111" i="16"/>
  <c r="EN111" i="16"/>
  <c r="EP111" i="16"/>
  <c r="ER111" i="16"/>
  <c r="ET111" i="16"/>
  <c r="EV111" i="16"/>
  <c r="EX111" i="16"/>
  <c r="EZ111" i="16"/>
  <c r="FB111" i="16"/>
  <c r="FD111" i="16"/>
  <c r="FF111" i="16"/>
  <c r="FH111" i="16"/>
  <c r="FJ111" i="16"/>
  <c r="FL111" i="16"/>
  <c r="FN111" i="16"/>
  <c r="FP111" i="16"/>
  <c r="FR111" i="16"/>
  <c r="FT111" i="16"/>
  <c r="FV111" i="16"/>
  <c r="FX111" i="16"/>
  <c r="FZ111" i="16"/>
  <c r="GB111" i="16"/>
  <c r="GD111" i="16"/>
  <c r="CY113" i="16"/>
  <c r="DA113" i="16"/>
  <c r="DC113" i="16"/>
  <c r="DE113" i="16"/>
  <c r="DG113" i="16"/>
  <c r="DI113" i="16"/>
  <c r="DK113" i="16"/>
  <c r="DM113" i="16"/>
  <c r="DO113" i="16"/>
  <c r="DQ113" i="16"/>
  <c r="DS113" i="16"/>
  <c r="DU113" i="16"/>
  <c r="DW113" i="16"/>
  <c r="DY113" i="16"/>
  <c r="EA113" i="16"/>
  <c r="EC113" i="16"/>
  <c r="EE113" i="16"/>
  <c r="EG113" i="16"/>
  <c r="EI113" i="16"/>
  <c r="EK113" i="16"/>
  <c r="EM113" i="16"/>
  <c r="EO113" i="16"/>
  <c r="EQ113" i="16"/>
  <c r="ES113" i="16"/>
  <c r="EU113" i="16"/>
  <c r="EW113" i="16"/>
  <c r="EY113" i="16"/>
  <c r="FA113" i="16"/>
  <c r="FC113" i="16"/>
  <c r="FE113" i="16"/>
  <c r="FG113" i="16"/>
  <c r="FI113" i="16"/>
  <c r="FK113" i="16"/>
  <c r="FM113" i="16"/>
  <c r="FO113" i="16"/>
  <c r="FQ113" i="16"/>
  <c r="FS113" i="16"/>
  <c r="FU113" i="16"/>
  <c r="FW113" i="16"/>
  <c r="FY113" i="16"/>
  <c r="GA113" i="16"/>
  <c r="GC113" i="16"/>
  <c r="CZ113" i="16"/>
  <c r="DB113" i="16"/>
  <c r="DD113" i="16"/>
  <c r="DF113" i="16"/>
  <c r="DH113" i="16"/>
  <c r="DJ113" i="16"/>
  <c r="DL113" i="16"/>
  <c r="DN113" i="16"/>
  <c r="DP113" i="16"/>
  <c r="DR113" i="16"/>
  <c r="DT113" i="16"/>
  <c r="DV113" i="16"/>
  <c r="DX113" i="16"/>
  <c r="DZ113" i="16"/>
  <c r="EB113" i="16"/>
  <c r="ED113" i="16"/>
  <c r="EF113" i="16"/>
  <c r="EH113" i="16"/>
  <c r="EJ113" i="16"/>
  <c r="EL113" i="16"/>
  <c r="EN113" i="16"/>
  <c r="EP113" i="16"/>
  <c r="ER113" i="16"/>
  <c r="ET113" i="16"/>
  <c r="EV113" i="16"/>
  <c r="EX113" i="16"/>
  <c r="EZ113" i="16"/>
  <c r="FB113" i="16"/>
  <c r="FD113" i="16"/>
  <c r="FF113" i="16"/>
  <c r="FH113" i="16"/>
  <c r="FJ113" i="16"/>
  <c r="FL113" i="16"/>
  <c r="FN113" i="16"/>
  <c r="FP113" i="16"/>
  <c r="FR113" i="16"/>
  <c r="FT113" i="16"/>
  <c r="FV113" i="16"/>
  <c r="FX113" i="16"/>
  <c r="FZ113" i="16"/>
  <c r="GB113" i="16"/>
  <c r="GD113" i="16"/>
  <c r="CY115" i="16"/>
  <c r="DA115" i="16"/>
  <c r="DC115" i="16"/>
  <c r="DE115" i="16"/>
  <c r="DG115" i="16"/>
  <c r="DI115" i="16"/>
  <c r="DK115" i="16"/>
  <c r="DM115" i="16"/>
  <c r="DO115" i="16"/>
  <c r="DQ115" i="16"/>
  <c r="DS115" i="16"/>
  <c r="DU115" i="16"/>
  <c r="DW115" i="16"/>
  <c r="DY115" i="16"/>
  <c r="EA115" i="16"/>
  <c r="EC115" i="16"/>
  <c r="EE115" i="16"/>
  <c r="EG115" i="16"/>
  <c r="EI115" i="16"/>
  <c r="EK115" i="16"/>
  <c r="EM115" i="16"/>
  <c r="EO115" i="16"/>
  <c r="EQ115" i="16"/>
  <c r="ES115" i="16"/>
  <c r="EU115" i="16"/>
  <c r="EW115" i="16"/>
  <c r="EY115" i="16"/>
  <c r="FA115" i="16"/>
  <c r="FC115" i="16"/>
  <c r="FE115" i="16"/>
  <c r="FG115" i="16"/>
  <c r="FI115" i="16"/>
  <c r="FK115" i="16"/>
  <c r="FM115" i="16"/>
  <c r="FO115" i="16"/>
  <c r="FQ115" i="16"/>
  <c r="FS115" i="16"/>
  <c r="FU115" i="16"/>
  <c r="FW115" i="16"/>
  <c r="FY115" i="16"/>
  <c r="GA115" i="16"/>
  <c r="GC115" i="16"/>
  <c r="CZ115" i="16"/>
  <c r="DB115" i="16"/>
  <c r="DD115" i="16"/>
  <c r="DF115" i="16"/>
  <c r="DH115" i="16"/>
  <c r="DJ115" i="16"/>
  <c r="DL115" i="16"/>
  <c r="DN115" i="16"/>
  <c r="DP115" i="16"/>
  <c r="DR115" i="16"/>
  <c r="DT115" i="16"/>
  <c r="DV115" i="16"/>
  <c r="DX115" i="16"/>
  <c r="DZ115" i="16"/>
  <c r="EB115" i="16"/>
  <c r="ED115" i="16"/>
  <c r="EF115" i="16"/>
  <c r="EH115" i="16"/>
  <c r="EJ115" i="16"/>
  <c r="EL115" i="16"/>
  <c r="EN115" i="16"/>
  <c r="EP115" i="16"/>
  <c r="ER115" i="16"/>
  <c r="ET115" i="16"/>
  <c r="EV115" i="16"/>
  <c r="EX115" i="16"/>
  <c r="EZ115" i="16"/>
  <c r="FB115" i="16"/>
  <c r="FD115" i="16"/>
  <c r="FF115" i="16"/>
  <c r="FH115" i="16"/>
  <c r="FJ115" i="16"/>
  <c r="FL115" i="16"/>
  <c r="FN115" i="16"/>
  <c r="FP115" i="16"/>
  <c r="FR115" i="16"/>
  <c r="FT115" i="16"/>
  <c r="FV115" i="16"/>
  <c r="FX115" i="16"/>
  <c r="FZ115" i="16"/>
  <c r="GB115" i="16"/>
  <c r="GD115" i="16"/>
  <c r="CY117" i="16"/>
  <c r="DA117" i="16"/>
  <c r="DC117" i="16"/>
  <c r="DE117" i="16"/>
  <c r="DG117" i="16"/>
  <c r="DI117" i="16"/>
  <c r="DK117" i="16"/>
  <c r="DM117" i="16"/>
  <c r="DO117" i="16"/>
  <c r="DQ117" i="16"/>
  <c r="DS117" i="16"/>
  <c r="DU117" i="16"/>
  <c r="DW117" i="16"/>
  <c r="DY117" i="16"/>
  <c r="EA117" i="16"/>
  <c r="EC117" i="16"/>
  <c r="EE117" i="16"/>
  <c r="EG117" i="16"/>
  <c r="EI117" i="16"/>
  <c r="EK117" i="16"/>
  <c r="EM117" i="16"/>
  <c r="EO117" i="16"/>
  <c r="EQ117" i="16"/>
  <c r="ES117" i="16"/>
  <c r="EU117" i="16"/>
  <c r="EW117" i="16"/>
  <c r="EY117" i="16"/>
  <c r="FA117" i="16"/>
  <c r="FC117" i="16"/>
  <c r="FE117" i="16"/>
  <c r="FG117" i="16"/>
  <c r="FI117" i="16"/>
  <c r="FK117" i="16"/>
  <c r="FM117" i="16"/>
  <c r="FO117" i="16"/>
  <c r="FQ117" i="16"/>
  <c r="FS117" i="16"/>
  <c r="FU117" i="16"/>
  <c r="FW117" i="16"/>
  <c r="FY117" i="16"/>
  <c r="GA117" i="16"/>
  <c r="GC117" i="16"/>
  <c r="CZ117" i="16"/>
  <c r="DB117" i="16"/>
  <c r="DD117" i="16"/>
  <c r="DF117" i="16"/>
  <c r="DH117" i="16"/>
  <c r="DJ117" i="16"/>
  <c r="DL117" i="16"/>
  <c r="DN117" i="16"/>
  <c r="DP117" i="16"/>
  <c r="DR117" i="16"/>
  <c r="DT117" i="16"/>
  <c r="DV117" i="16"/>
  <c r="DX117" i="16"/>
  <c r="DZ117" i="16"/>
  <c r="EB117" i="16"/>
  <c r="ED117" i="16"/>
  <c r="EF117" i="16"/>
  <c r="EH117" i="16"/>
  <c r="EJ117" i="16"/>
  <c r="EL117" i="16"/>
  <c r="EN117" i="16"/>
  <c r="EP117" i="16"/>
  <c r="ER117" i="16"/>
  <c r="ET117" i="16"/>
  <c r="EV117" i="16"/>
  <c r="EX117" i="16"/>
  <c r="EZ117" i="16"/>
  <c r="FB117" i="16"/>
  <c r="FD117" i="16"/>
  <c r="FF117" i="16"/>
  <c r="FH117" i="16"/>
  <c r="FJ117" i="16"/>
  <c r="FL117" i="16"/>
  <c r="FN117" i="16"/>
  <c r="FP117" i="16"/>
  <c r="FR117" i="16"/>
  <c r="FT117" i="16"/>
  <c r="FV117" i="16"/>
  <c r="FX117" i="16"/>
  <c r="FZ117" i="16"/>
  <c r="GB117" i="16"/>
  <c r="GD117" i="16"/>
  <c r="CY119" i="16"/>
  <c r="DA119" i="16"/>
  <c r="DC119" i="16"/>
  <c r="DE119" i="16"/>
  <c r="DG119" i="16"/>
  <c r="DI119" i="16"/>
  <c r="DK119" i="16"/>
  <c r="DM119" i="16"/>
  <c r="DO119" i="16"/>
  <c r="DQ119" i="16"/>
  <c r="DS119" i="16"/>
  <c r="DU119" i="16"/>
  <c r="DW119" i="16"/>
  <c r="DY119" i="16"/>
  <c r="EA119" i="16"/>
  <c r="EC119" i="16"/>
  <c r="EE119" i="16"/>
  <c r="EG119" i="16"/>
  <c r="EI119" i="16"/>
  <c r="EK119" i="16"/>
  <c r="EM119" i="16"/>
  <c r="EO119" i="16"/>
  <c r="EQ119" i="16"/>
  <c r="ES119" i="16"/>
  <c r="EU119" i="16"/>
  <c r="EW119" i="16"/>
  <c r="EY119" i="16"/>
  <c r="FA119" i="16"/>
  <c r="FC119" i="16"/>
  <c r="FE119" i="16"/>
  <c r="FG119" i="16"/>
  <c r="FI119" i="16"/>
  <c r="FK119" i="16"/>
  <c r="FM119" i="16"/>
  <c r="FO119" i="16"/>
  <c r="FQ119" i="16"/>
  <c r="FS119" i="16"/>
  <c r="FU119" i="16"/>
  <c r="FW119" i="16"/>
  <c r="FY119" i="16"/>
  <c r="GA119" i="16"/>
  <c r="GC119" i="16"/>
  <c r="CZ119" i="16"/>
  <c r="DB119" i="16"/>
  <c r="DD119" i="16"/>
  <c r="DF119" i="16"/>
  <c r="DH119" i="16"/>
  <c r="DJ119" i="16"/>
  <c r="DL119" i="16"/>
  <c r="DN119" i="16"/>
  <c r="DP119" i="16"/>
  <c r="DR119" i="16"/>
  <c r="DT119" i="16"/>
  <c r="DV119" i="16"/>
  <c r="DX119" i="16"/>
  <c r="DZ119" i="16"/>
  <c r="EB119" i="16"/>
  <c r="ED119" i="16"/>
  <c r="EF119" i="16"/>
  <c r="EH119" i="16"/>
  <c r="EJ119" i="16"/>
  <c r="EL119" i="16"/>
  <c r="EN119" i="16"/>
  <c r="EP119" i="16"/>
  <c r="ER119" i="16"/>
  <c r="ET119" i="16"/>
  <c r="EV119" i="16"/>
  <c r="EX119" i="16"/>
  <c r="EZ119" i="16"/>
  <c r="FB119" i="16"/>
  <c r="FD119" i="16"/>
  <c r="FF119" i="16"/>
  <c r="FH119" i="16"/>
  <c r="FJ119" i="16"/>
  <c r="FL119" i="16"/>
  <c r="FN119" i="16"/>
  <c r="FP119" i="16"/>
  <c r="FR119" i="16"/>
  <c r="FT119" i="16"/>
  <c r="FV119" i="16"/>
  <c r="FX119" i="16"/>
  <c r="FZ119" i="16"/>
  <c r="GB119" i="16"/>
  <c r="GD119" i="16"/>
  <c r="CY121" i="16"/>
  <c r="DA121" i="16"/>
  <c r="DC121" i="16"/>
  <c r="DE121" i="16"/>
  <c r="DG121" i="16"/>
  <c r="DI121" i="16"/>
  <c r="DK121" i="16"/>
  <c r="DM121" i="16"/>
  <c r="DO121" i="16"/>
  <c r="DQ121" i="16"/>
  <c r="DS121" i="16"/>
  <c r="DU121" i="16"/>
  <c r="DW121" i="16"/>
  <c r="DY121" i="16"/>
  <c r="EA121" i="16"/>
  <c r="EC121" i="16"/>
  <c r="EE121" i="16"/>
  <c r="EG121" i="16"/>
  <c r="EI121" i="16"/>
  <c r="EK121" i="16"/>
  <c r="EM121" i="16"/>
  <c r="EO121" i="16"/>
  <c r="EQ121" i="16"/>
  <c r="ES121" i="16"/>
  <c r="EU121" i="16"/>
  <c r="EW121" i="16"/>
  <c r="EY121" i="16"/>
  <c r="FA121" i="16"/>
  <c r="FC121" i="16"/>
  <c r="FE121" i="16"/>
  <c r="FG121" i="16"/>
  <c r="FI121" i="16"/>
  <c r="FK121" i="16"/>
  <c r="FM121" i="16"/>
  <c r="FO121" i="16"/>
  <c r="FQ121" i="16"/>
  <c r="FS121" i="16"/>
  <c r="FU121" i="16"/>
  <c r="FW121" i="16"/>
  <c r="FY121" i="16"/>
  <c r="GA121" i="16"/>
  <c r="GC121" i="16"/>
  <c r="CZ121" i="16"/>
  <c r="DB121" i="16"/>
  <c r="DD121" i="16"/>
  <c r="DF121" i="16"/>
  <c r="DH121" i="16"/>
  <c r="DJ121" i="16"/>
  <c r="DL121" i="16"/>
  <c r="DN121" i="16"/>
  <c r="DP121" i="16"/>
  <c r="DR121" i="16"/>
  <c r="DT121" i="16"/>
  <c r="DV121" i="16"/>
  <c r="DX121" i="16"/>
  <c r="DZ121" i="16"/>
  <c r="EB121" i="16"/>
  <c r="ED121" i="16"/>
  <c r="EF121" i="16"/>
  <c r="EH121" i="16"/>
  <c r="EJ121" i="16"/>
  <c r="EL121" i="16"/>
  <c r="EN121" i="16"/>
  <c r="EP121" i="16"/>
  <c r="ER121" i="16"/>
  <c r="ET121" i="16"/>
  <c r="EV121" i="16"/>
  <c r="EX121" i="16"/>
  <c r="EZ121" i="16"/>
  <c r="FB121" i="16"/>
  <c r="FD121" i="16"/>
  <c r="FF121" i="16"/>
  <c r="FH121" i="16"/>
  <c r="FJ121" i="16"/>
  <c r="FL121" i="16"/>
  <c r="FN121" i="16"/>
  <c r="FP121" i="16"/>
  <c r="FR121" i="16"/>
  <c r="FT121" i="16"/>
  <c r="FV121" i="16"/>
  <c r="FX121" i="16"/>
  <c r="FZ121" i="16"/>
  <c r="GB121" i="16"/>
  <c r="GD121" i="16"/>
  <c r="CZ122" i="16"/>
  <c r="DB122" i="16"/>
  <c r="DD122" i="16"/>
  <c r="DF122" i="16"/>
  <c r="DH122" i="16"/>
  <c r="DJ122" i="16"/>
  <c r="DL122" i="16"/>
  <c r="DN122" i="16"/>
  <c r="DP122" i="16"/>
  <c r="DR122" i="16"/>
  <c r="DT122" i="16"/>
  <c r="DV122" i="16"/>
  <c r="DX122" i="16"/>
  <c r="DZ122" i="16"/>
  <c r="EB122" i="16"/>
  <c r="ED122" i="16"/>
  <c r="EF122" i="16"/>
  <c r="EH122" i="16"/>
  <c r="EJ122" i="16"/>
  <c r="EL122" i="16"/>
  <c r="EN122" i="16"/>
  <c r="EP122" i="16"/>
  <c r="ER122" i="16"/>
  <c r="ET122" i="16"/>
  <c r="EV122" i="16"/>
  <c r="EX122" i="16"/>
  <c r="EZ122" i="16"/>
  <c r="FB122" i="16"/>
  <c r="FD122" i="16"/>
  <c r="FF122" i="16"/>
  <c r="FH122" i="16"/>
  <c r="FJ122" i="16"/>
  <c r="FL122" i="16"/>
  <c r="FN122" i="16"/>
  <c r="FP122" i="16"/>
  <c r="FR122" i="16"/>
  <c r="FT122" i="16"/>
  <c r="FV122" i="16"/>
  <c r="FX122" i="16"/>
  <c r="FZ122" i="16"/>
  <c r="GB122" i="16"/>
  <c r="GD122" i="16"/>
  <c r="CY122" i="16"/>
  <c r="DA122" i="16"/>
  <c r="DC122" i="16"/>
  <c r="DE122" i="16"/>
  <c r="DG122" i="16"/>
  <c r="DI122" i="16"/>
  <c r="DK122" i="16"/>
  <c r="DM122" i="16"/>
  <c r="DO122" i="16"/>
  <c r="DQ122" i="16"/>
  <c r="DS122" i="16"/>
  <c r="DU122" i="16"/>
  <c r="DW122" i="16"/>
  <c r="DY122" i="16"/>
  <c r="EA122" i="16"/>
  <c r="EC122" i="16"/>
  <c r="EE122" i="16"/>
  <c r="EG122" i="16"/>
  <c r="EI122" i="16"/>
  <c r="EK122" i="16"/>
  <c r="EM122" i="16"/>
  <c r="EO122" i="16"/>
  <c r="EQ122" i="16"/>
  <c r="ES122" i="16"/>
  <c r="EU122" i="16"/>
  <c r="EW122" i="16"/>
  <c r="EY122" i="16"/>
  <c r="FA122" i="16"/>
  <c r="FC122" i="16"/>
  <c r="FE122" i="16"/>
  <c r="FG122" i="16"/>
  <c r="FI122" i="16"/>
  <c r="FK122" i="16"/>
  <c r="FM122" i="16"/>
  <c r="FO122" i="16"/>
  <c r="FQ122" i="16"/>
  <c r="FS122" i="16"/>
  <c r="FU122" i="16"/>
  <c r="FW122" i="16"/>
  <c r="FY122" i="16"/>
  <c r="GA122" i="16"/>
  <c r="GC122" i="16"/>
  <c r="CY123" i="16"/>
  <c r="DA123" i="16"/>
  <c r="DC123" i="16"/>
  <c r="DE123" i="16"/>
  <c r="DG123" i="16"/>
  <c r="DI123" i="16"/>
  <c r="DK123" i="16"/>
  <c r="DM123" i="16"/>
  <c r="DO123" i="16"/>
  <c r="DQ123" i="16"/>
  <c r="DS123" i="16"/>
  <c r="DU123" i="16"/>
  <c r="DW123" i="16"/>
  <c r="DY123" i="16"/>
  <c r="EA123" i="16"/>
  <c r="EC123" i="16"/>
  <c r="EE123" i="16"/>
  <c r="EG123" i="16"/>
  <c r="EI123" i="16"/>
  <c r="EK123" i="16"/>
  <c r="EM123" i="16"/>
  <c r="EO123" i="16"/>
  <c r="EQ123" i="16"/>
  <c r="ES123" i="16"/>
  <c r="EU123" i="16"/>
  <c r="EW123" i="16"/>
  <c r="EY123" i="16"/>
  <c r="FA123" i="16"/>
  <c r="FC123" i="16"/>
  <c r="FE123" i="16"/>
  <c r="FG123" i="16"/>
  <c r="FI123" i="16"/>
  <c r="FK123" i="16"/>
  <c r="FM123" i="16"/>
  <c r="FO123" i="16"/>
  <c r="FQ123" i="16"/>
  <c r="FS123" i="16"/>
  <c r="FU123" i="16"/>
  <c r="FW123" i="16"/>
  <c r="FY123" i="16"/>
  <c r="GA123" i="16"/>
  <c r="GC123" i="16"/>
  <c r="CZ123" i="16"/>
  <c r="DB123" i="16"/>
  <c r="DD123" i="16"/>
  <c r="DF123" i="16"/>
  <c r="DH123" i="16"/>
  <c r="DJ123" i="16"/>
  <c r="DL123" i="16"/>
  <c r="DN123" i="16"/>
  <c r="DP123" i="16"/>
  <c r="DR123" i="16"/>
  <c r="DT123" i="16"/>
  <c r="DV123" i="16"/>
  <c r="DX123" i="16"/>
  <c r="DZ123" i="16"/>
  <c r="EB123" i="16"/>
  <c r="ED123" i="16"/>
  <c r="EF123" i="16"/>
  <c r="EH123" i="16"/>
  <c r="EJ123" i="16"/>
  <c r="EL123" i="16"/>
  <c r="EN123" i="16"/>
  <c r="EP123" i="16"/>
  <c r="ER123" i="16"/>
  <c r="ET123" i="16"/>
  <c r="EV123" i="16"/>
  <c r="EX123" i="16"/>
  <c r="EZ123" i="16"/>
  <c r="FB123" i="16"/>
  <c r="FD123" i="16"/>
  <c r="FF123" i="16"/>
  <c r="FH123" i="16"/>
  <c r="FJ123" i="16"/>
  <c r="FL123" i="16"/>
  <c r="FN123" i="16"/>
  <c r="FP123" i="16"/>
  <c r="FR123" i="16"/>
  <c r="FT123" i="16"/>
  <c r="FV123" i="16"/>
  <c r="FX123" i="16"/>
  <c r="FZ123" i="16"/>
  <c r="GB123" i="16"/>
  <c r="GD123" i="16"/>
  <c r="CZ124" i="16"/>
  <c r="DB124" i="16"/>
  <c r="DD124" i="16"/>
  <c r="DF124" i="16"/>
  <c r="DH124" i="16"/>
  <c r="DJ124" i="16"/>
  <c r="DL124" i="16"/>
  <c r="DN124" i="16"/>
  <c r="DP124" i="16"/>
  <c r="DR124" i="16"/>
  <c r="DT124" i="16"/>
  <c r="DV124" i="16"/>
  <c r="DX124" i="16"/>
  <c r="DZ124" i="16"/>
  <c r="EB124" i="16"/>
  <c r="ED124" i="16"/>
  <c r="EF124" i="16"/>
  <c r="EH124" i="16"/>
  <c r="EJ124" i="16"/>
  <c r="EL124" i="16"/>
  <c r="EN124" i="16"/>
  <c r="EP124" i="16"/>
  <c r="ER124" i="16"/>
  <c r="ET124" i="16"/>
  <c r="EV124" i="16"/>
  <c r="EX124" i="16"/>
  <c r="EZ124" i="16"/>
  <c r="FB124" i="16"/>
  <c r="FD124" i="16"/>
  <c r="FF124" i="16"/>
  <c r="FH124" i="16"/>
  <c r="FJ124" i="16"/>
  <c r="FL124" i="16"/>
  <c r="FN124" i="16"/>
  <c r="FP124" i="16"/>
  <c r="FR124" i="16"/>
  <c r="FT124" i="16"/>
  <c r="FV124" i="16"/>
  <c r="FX124" i="16"/>
  <c r="FZ124" i="16"/>
  <c r="GB124" i="16"/>
  <c r="GD124" i="16"/>
  <c r="CY124" i="16"/>
  <c r="DA124" i="16"/>
  <c r="DC124" i="16"/>
  <c r="DE124" i="16"/>
  <c r="DG124" i="16"/>
  <c r="DI124" i="16"/>
  <c r="DK124" i="16"/>
  <c r="DM124" i="16"/>
  <c r="DO124" i="16"/>
  <c r="DQ124" i="16"/>
  <c r="DS124" i="16"/>
  <c r="DU124" i="16"/>
  <c r="DW124" i="16"/>
  <c r="DY124" i="16"/>
  <c r="EA124" i="16"/>
  <c r="EC124" i="16"/>
  <c r="EE124" i="16"/>
  <c r="EG124" i="16"/>
  <c r="EI124" i="16"/>
  <c r="EK124" i="16"/>
  <c r="EM124" i="16"/>
  <c r="EO124" i="16"/>
  <c r="EQ124" i="16"/>
  <c r="ES124" i="16"/>
  <c r="EU124" i="16"/>
  <c r="EW124" i="16"/>
  <c r="EY124" i="16"/>
  <c r="FA124" i="16"/>
  <c r="FC124" i="16"/>
  <c r="FE124" i="16"/>
  <c r="FG124" i="16"/>
  <c r="FI124" i="16"/>
  <c r="FK124" i="16"/>
  <c r="FM124" i="16"/>
  <c r="FO124" i="16"/>
  <c r="FQ124" i="16"/>
  <c r="FS124" i="16"/>
  <c r="FU124" i="16"/>
  <c r="FW124" i="16"/>
  <c r="FY124" i="16"/>
  <c r="GA124" i="16"/>
  <c r="GC124" i="16"/>
  <c r="CZ126" i="16"/>
  <c r="DB126" i="16"/>
  <c r="DD126" i="16"/>
  <c r="DF126" i="16"/>
  <c r="DH126" i="16"/>
  <c r="DJ126" i="16"/>
  <c r="DL126" i="16"/>
  <c r="DN126" i="16"/>
  <c r="DP126" i="16"/>
  <c r="DR126" i="16"/>
  <c r="DT126" i="16"/>
  <c r="DV126" i="16"/>
  <c r="DX126" i="16"/>
  <c r="DZ126" i="16"/>
  <c r="EB126" i="16"/>
  <c r="ED126" i="16"/>
  <c r="EF126" i="16"/>
  <c r="EH126" i="16"/>
  <c r="EJ126" i="16"/>
  <c r="EL126" i="16"/>
  <c r="EN126" i="16"/>
  <c r="EP126" i="16"/>
  <c r="ER126" i="16"/>
  <c r="ET126" i="16"/>
  <c r="EV126" i="16"/>
  <c r="EX126" i="16"/>
  <c r="EZ126" i="16"/>
  <c r="FB126" i="16"/>
  <c r="FD126" i="16"/>
  <c r="FF126" i="16"/>
  <c r="FH126" i="16"/>
  <c r="FJ126" i="16"/>
  <c r="FL126" i="16"/>
  <c r="FN126" i="16"/>
  <c r="FP126" i="16"/>
  <c r="FR126" i="16"/>
  <c r="FT126" i="16"/>
  <c r="FV126" i="16"/>
  <c r="FX126" i="16"/>
  <c r="FZ126" i="16"/>
  <c r="GB126" i="16"/>
  <c r="GD126" i="16"/>
  <c r="CY126" i="16"/>
  <c r="DA126" i="16"/>
  <c r="DC126" i="16"/>
  <c r="DE126" i="16"/>
  <c r="DG126" i="16"/>
  <c r="DI126" i="16"/>
  <c r="DK126" i="16"/>
  <c r="DM126" i="16"/>
  <c r="DO126" i="16"/>
  <c r="DQ126" i="16"/>
  <c r="DS126" i="16"/>
  <c r="DU126" i="16"/>
  <c r="DW126" i="16"/>
  <c r="DY126" i="16"/>
  <c r="EA126" i="16"/>
  <c r="EC126" i="16"/>
  <c r="EE126" i="16"/>
  <c r="EG126" i="16"/>
  <c r="EI126" i="16"/>
  <c r="EK126" i="16"/>
  <c r="EM126" i="16"/>
  <c r="EO126" i="16"/>
  <c r="EQ126" i="16"/>
  <c r="ES126" i="16"/>
  <c r="EU126" i="16"/>
  <c r="EW126" i="16"/>
  <c r="EY126" i="16"/>
  <c r="FA126" i="16"/>
  <c r="FC126" i="16"/>
  <c r="FE126" i="16"/>
  <c r="FG126" i="16"/>
  <c r="FI126" i="16"/>
  <c r="FK126" i="16"/>
  <c r="FM126" i="16"/>
  <c r="FO126" i="16"/>
  <c r="FQ126" i="16"/>
  <c r="FS126" i="16"/>
  <c r="FU126" i="16"/>
  <c r="FW126" i="16"/>
  <c r="FY126" i="16"/>
  <c r="GA126" i="16"/>
  <c r="GC126" i="16"/>
  <c r="CZ128" i="16"/>
  <c r="DB128" i="16"/>
  <c r="DD128" i="16"/>
  <c r="DF128" i="16"/>
  <c r="DH128" i="16"/>
  <c r="DJ128" i="16"/>
  <c r="DL128" i="16"/>
  <c r="DN128" i="16"/>
  <c r="DP128" i="16"/>
  <c r="DR128" i="16"/>
  <c r="DT128" i="16"/>
  <c r="DV128" i="16"/>
  <c r="DX128" i="16"/>
  <c r="DZ128" i="16"/>
  <c r="EB128" i="16"/>
  <c r="ED128" i="16"/>
  <c r="EF128" i="16"/>
  <c r="EH128" i="16"/>
  <c r="EJ128" i="16"/>
  <c r="EL128" i="16"/>
  <c r="EN128" i="16"/>
  <c r="EP128" i="16"/>
  <c r="ER128" i="16"/>
  <c r="ET128" i="16"/>
  <c r="EV128" i="16"/>
  <c r="EX128" i="16"/>
  <c r="EZ128" i="16"/>
  <c r="FB128" i="16"/>
  <c r="FD128" i="16"/>
  <c r="FF128" i="16"/>
  <c r="FH128" i="16"/>
  <c r="FJ128" i="16"/>
  <c r="FL128" i="16"/>
  <c r="FN128" i="16"/>
  <c r="FP128" i="16"/>
  <c r="FR128" i="16"/>
  <c r="FT128" i="16"/>
  <c r="FV128" i="16"/>
  <c r="FX128" i="16"/>
  <c r="FZ128" i="16"/>
  <c r="GB128" i="16"/>
  <c r="GD128" i="16"/>
  <c r="CY128" i="16"/>
  <c r="DA128" i="16"/>
  <c r="DC128" i="16"/>
  <c r="DE128" i="16"/>
  <c r="DG128" i="16"/>
  <c r="DI128" i="16"/>
  <c r="DK128" i="16"/>
  <c r="DM128" i="16"/>
  <c r="DO128" i="16"/>
  <c r="DQ128" i="16"/>
  <c r="DS128" i="16"/>
  <c r="DU128" i="16"/>
  <c r="DW128" i="16"/>
  <c r="DY128" i="16"/>
  <c r="EA128" i="16"/>
  <c r="EC128" i="16"/>
  <c r="EE128" i="16"/>
  <c r="EG128" i="16"/>
  <c r="EI128" i="16"/>
  <c r="EK128" i="16"/>
  <c r="EM128" i="16"/>
  <c r="EO128" i="16"/>
  <c r="EQ128" i="16"/>
  <c r="ES128" i="16"/>
  <c r="EU128" i="16"/>
  <c r="EW128" i="16"/>
  <c r="EY128" i="16"/>
  <c r="FA128" i="16"/>
  <c r="FC128" i="16"/>
  <c r="FE128" i="16"/>
  <c r="FG128" i="16"/>
  <c r="FI128" i="16"/>
  <c r="FK128" i="16"/>
  <c r="FM128" i="16"/>
  <c r="FO128" i="16"/>
  <c r="FQ128" i="16"/>
  <c r="FS128" i="16"/>
  <c r="FU128" i="16"/>
  <c r="FW128" i="16"/>
  <c r="FY128" i="16"/>
  <c r="GA128" i="16"/>
  <c r="GC128" i="16"/>
  <c r="CZ131" i="16"/>
  <c r="DB131" i="16"/>
  <c r="DD131" i="16"/>
  <c r="DF131" i="16"/>
  <c r="DH131" i="16"/>
  <c r="DJ131" i="16"/>
  <c r="DL131" i="16"/>
  <c r="DN131" i="16"/>
  <c r="DP131" i="16"/>
  <c r="DR131" i="16"/>
  <c r="DT131" i="16"/>
  <c r="DV131" i="16"/>
  <c r="DX131" i="16"/>
  <c r="DZ131" i="16"/>
  <c r="EB131" i="16"/>
  <c r="ED131" i="16"/>
  <c r="EF131" i="16"/>
  <c r="EH131" i="16"/>
  <c r="EJ131" i="16"/>
  <c r="EL131" i="16"/>
  <c r="EN131" i="16"/>
  <c r="EP131" i="16"/>
  <c r="ER131" i="16"/>
  <c r="ET131" i="16"/>
  <c r="EV131" i="16"/>
  <c r="EX131" i="16"/>
  <c r="EZ131" i="16"/>
  <c r="FB131" i="16"/>
  <c r="FD131" i="16"/>
  <c r="FF131" i="16"/>
  <c r="FH131" i="16"/>
  <c r="FJ131" i="16"/>
  <c r="FL131" i="16"/>
  <c r="FN131" i="16"/>
  <c r="FP131" i="16"/>
  <c r="FR131" i="16"/>
  <c r="FT131" i="16"/>
  <c r="FV131" i="16"/>
  <c r="FX131" i="16"/>
  <c r="FZ131" i="16"/>
  <c r="GB131" i="16"/>
  <c r="GD131" i="16"/>
  <c r="CY131" i="16"/>
  <c r="DA131" i="16"/>
  <c r="DC131" i="16"/>
  <c r="DE131" i="16"/>
  <c r="DG131" i="16"/>
  <c r="DI131" i="16"/>
  <c r="DK131" i="16"/>
  <c r="DM131" i="16"/>
  <c r="DO131" i="16"/>
  <c r="DQ131" i="16"/>
  <c r="DS131" i="16"/>
  <c r="DU131" i="16"/>
  <c r="DW131" i="16"/>
  <c r="DY131" i="16"/>
  <c r="EA131" i="16"/>
  <c r="EC131" i="16"/>
  <c r="EE131" i="16"/>
  <c r="EG131" i="16"/>
  <c r="EI131" i="16"/>
  <c r="EK131" i="16"/>
  <c r="EM131" i="16"/>
  <c r="EO131" i="16"/>
  <c r="EQ131" i="16"/>
  <c r="ES131" i="16"/>
  <c r="EU131" i="16"/>
  <c r="EW131" i="16"/>
  <c r="EY131" i="16"/>
  <c r="FA131" i="16"/>
  <c r="FC131" i="16"/>
  <c r="FE131" i="16"/>
  <c r="FG131" i="16"/>
  <c r="FI131" i="16"/>
  <c r="FK131" i="16"/>
  <c r="FM131" i="16"/>
  <c r="FO131" i="16"/>
  <c r="FQ131" i="16"/>
  <c r="FS131" i="16"/>
  <c r="FU131" i="16"/>
  <c r="FW131" i="16"/>
  <c r="FY131" i="16"/>
  <c r="GA131" i="16"/>
  <c r="GC131" i="16"/>
  <c r="CY132" i="16"/>
  <c r="DA132" i="16"/>
  <c r="DC132" i="16"/>
  <c r="DE132" i="16"/>
  <c r="DG132" i="16"/>
  <c r="DI132" i="16"/>
  <c r="DK132" i="16"/>
  <c r="DM132" i="16"/>
  <c r="DO132" i="16"/>
  <c r="DQ132" i="16"/>
  <c r="DS132" i="16"/>
  <c r="DU132" i="16"/>
  <c r="DW132" i="16"/>
  <c r="DY132" i="16"/>
  <c r="EA132" i="16"/>
  <c r="EC132" i="16"/>
  <c r="EE132" i="16"/>
  <c r="EG132" i="16"/>
  <c r="EI132" i="16"/>
  <c r="EK132" i="16"/>
  <c r="EM132" i="16"/>
  <c r="EO132" i="16"/>
  <c r="EQ132" i="16"/>
  <c r="ES132" i="16"/>
  <c r="EU132" i="16"/>
  <c r="EW132" i="16"/>
  <c r="EY132" i="16"/>
  <c r="FA132" i="16"/>
  <c r="FC132" i="16"/>
  <c r="FE132" i="16"/>
  <c r="FG132" i="16"/>
  <c r="FI132" i="16"/>
  <c r="FK132" i="16"/>
  <c r="FM132" i="16"/>
  <c r="FO132" i="16"/>
  <c r="FQ132" i="16"/>
  <c r="FS132" i="16"/>
  <c r="FU132" i="16"/>
  <c r="FW132" i="16"/>
  <c r="FY132" i="16"/>
  <c r="GA132" i="16"/>
  <c r="GC132" i="16"/>
  <c r="CZ132" i="16"/>
  <c r="DB132" i="16"/>
  <c r="DD132" i="16"/>
  <c r="DF132" i="16"/>
  <c r="DH132" i="16"/>
  <c r="DJ132" i="16"/>
  <c r="DL132" i="16"/>
  <c r="DN132" i="16"/>
  <c r="DP132" i="16"/>
  <c r="DR132" i="16"/>
  <c r="DT132" i="16"/>
  <c r="DV132" i="16"/>
  <c r="DX132" i="16"/>
  <c r="DZ132" i="16"/>
  <c r="EB132" i="16"/>
  <c r="ED132" i="16"/>
  <c r="EF132" i="16"/>
  <c r="EH132" i="16"/>
  <c r="EJ132" i="16"/>
  <c r="EL132" i="16"/>
  <c r="EN132" i="16"/>
  <c r="EP132" i="16"/>
  <c r="ER132" i="16"/>
  <c r="ET132" i="16"/>
  <c r="EV132" i="16"/>
  <c r="EX132" i="16"/>
  <c r="EZ132" i="16"/>
  <c r="FB132" i="16"/>
  <c r="FD132" i="16"/>
  <c r="FF132" i="16"/>
  <c r="FH132" i="16"/>
  <c r="FJ132" i="16"/>
  <c r="FL132" i="16"/>
  <c r="FN132" i="16"/>
  <c r="FP132" i="16"/>
  <c r="FR132" i="16"/>
  <c r="FT132" i="16"/>
  <c r="FV132" i="16"/>
  <c r="FX132" i="16"/>
  <c r="FZ132" i="16"/>
  <c r="GB132" i="16"/>
  <c r="GD132" i="16"/>
  <c r="CY134" i="16"/>
  <c r="DA134" i="16"/>
  <c r="DC134" i="16"/>
  <c r="DE134" i="16"/>
  <c r="DG134" i="16"/>
  <c r="DI134" i="16"/>
  <c r="DK134" i="16"/>
  <c r="DM134" i="16"/>
  <c r="DO134" i="16"/>
  <c r="DQ134" i="16"/>
  <c r="DS134" i="16"/>
  <c r="DU134" i="16"/>
  <c r="DW134" i="16"/>
  <c r="DY134" i="16"/>
  <c r="EA134" i="16"/>
  <c r="EC134" i="16"/>
  <c r="EE134" i="16"/>
  <c r="EG134" i="16"/>
  <c r="EI134" i="16"/>
  <c r="EK134" i="16"/>
  <c r="EM134" i="16"/>
  <c r="EO134" i="16"/>
  <c r="EQ134" i="16"/>
  <c r="ES134" i="16"/>
  <c r="EU134" i="16"/>
  <c r="EW134" i="16"/>
  <c r="EY134" i="16"/>
  <c r="FA134" i="16"/>
  <c r="FC134" i="16"/>
  <c r="FE134" i="16"/>
  <c r="FG134" i="16"/>
  <c r="FI134" i="16"/>
  <c r="FK134" i="16"/>
  <c r="FM134" i="16"/>
  <c r="FO134" i="16"/>
  <c r="FQ134" i="16"/>
  <c r="FS134" i="16"/>
  <c r="FU134" i="16"/>
  <c r="FW134" i="16"/>
  <c r="FY134" i="16"/>
  <c r="GA134" i="16"/>
  <c r="GC134" i="16"/>
  <c r="CZ134" i="16"/>
  <c r="DB134" i="16"/>
  <c r="DD134" i="16"/>
  <c r="DF134" i="16"/>
  <c r="DH134" i="16"/>
  <c r="DJ134" i="16"/>
  <c r="DL134" i="16"/>
  <c r="DN134" i="16"/>
  <c r="DP134" i="16"/>
  <c r="DR134" i="16"/>
  <c r="DT134" i="16"/>
  <c r="DV134" i="16"/>
  <c r="DX134" i="16"/>
  <c r="DZ134" i="16"/>
  <c r="EB134" i="16"/>
  <c r="ED134" i="16"/>
  <c r="EF134" i="16"/>
  <c r="EH134" i="16"/>
  <c r="EJ134" i="16"/>
  <c r="EL134" i="16"/>
  <c r="EN134" i="16"/>
  <c r="EP134" i="16"/>
  <c r="ER134" i="16"/>
  <c r="ET134" i="16"/>
  <c r="EV134" i="16"/>
  <c r="EX134" i="16"/>
  <c r="EZ134" i="16"/>
  <c r="FB134" i="16"/>
  <c r="FD134" i="16"/>
  <c r="FF134" i="16"/>
  <c r="FH134" i="16"/>
  <c r="FJ134" i="16"/>
  <c r="FL134" i="16"/>
  <c r="FN134" i="16"/>
  <c r="FP134" i="16"/>
  <c r="FR134" i="16"/>
  <c r="FT134" i="16"/>
  <c r="FV134" i="16"/>
  <c r="FX134" i="16"/>
  <c r="FZ134" i="16"/>
  <c r="GB134" i="16"/>
  <c r="GD134" i="16"/>
  <c r="CY136" i="16"/>
  <c r="DA136" i="16"/>
  <c r="DC136" i="16"/>
  <c r="DE136" i="16"/>
  <c r="DG136" i="16"/>
  <c r="DI136" i="16"/>
  <c r="DK136" i="16"/>
  <c r="DM136" i="16"/>
  <c r="DO136" i="16"/>
  <c r="DQ136" i="16"/>
  <c r="DS136" i="16"/>
  <c r="DU136" i="16"/>
  <c r="DW136" i="16"/>
  <c r="DY136" i="16"/>
  <c r="EA136" i="16"/>
  <c r="EC136" i="16"/>
  <c r="EE136" i="16"/>
  <c r="EG136" i="16"/>
  <c r="EI136" i="16"/>
  <c r="EK136" i="16"/>
  <c r="EM136" i="16"/>
  <c r="EO136" i="16"/>
  <c r="EQ136" i="16"/>
  <c r="ES136" i="16"/>
  <c r="EU136" i="16"/>
  <c r="EW136" i="16"/>
  <c r="EY136" i="16"/>
  <c r="FA136" i="16"/>
  <c r="FC136" i="16"/>
  <c r="FE136" i="16"/>
  <c r="FG136" i="16"/>
  <c r="FI136" i="16"/>
  <c r="FK136" i="16"/>
  <c r="FM136" i="16"/>
  <c r="FO136" i="16"/>
  <c r="FQ136" i="16"/>
  <c r="FS136" i="16"/>
  <c r="FU136" i="16"/>
  <c r="FW136" i="16"/>
  <c r="FY136" i="16"/>
  <c r="GA136" i="16"/>
  <c r="GC136" i="16"/>
  <c r="CZ136" i="16"/>
  <c r="DB136" i="16"/>
  <c r="DD136" i="16"/>
  <c r="DF136" i="16"/>
  <c r="DH136" i="16"/>
  <c r="DJ136" i="16"/>
  <c r="DL136" i="16"/>
  <c r="DN136" i="16"/>
  <c r="DP136" i="16"/>
  <c r="DR136" i="16"/>
  <c r="DT136" i="16"/>
  <c r="DV136" i="16"/>
  <c r="DX136" i="16"/>
  <c r="DZ136" i="16"/>
  <c r="EB136" i="16"/>
  <c r="ED136" i="16"/>
  <c r="EF136" i="16"/>
  <c r="EH136" i="16"/>
  <c r="EJ136" i="16"/>
  <c r="EL136" i="16"/>
  <c r="EN136" i="16"/>
  <c r="EP136" i="16"/>
  <c r="ER136" i="16"/>
  <c r="ET136" i="16"/>
  <c r="EV136" i="16"/>
  <c r="EX136" i="16"/>
  <c r="EZ136" i="16"/>
  <c r="FB136" i="16"/>
  <c r="FD136" i="16"/>
  <c r="FF136" i="16"/>
  <c r="FH136" i="16"/>
  <c r="FJ136" i="16"/>
  <c r="FL136" i="16"/>
  <c r="FN136" i="16"/>
  <c r="FP136" i="16"/>
  <c r="FR136" i="16"/>
  <c r="FT136" i="16"/>
  <c r="FV136" i="16"/>
  <c r="FX136" i="16"/>
  <c r="FZ136" i="16"/>
  <c r="GB136" i="16"/>
  <c r="GD136" i="16"/>
  <c r="CY138" i="16"/>
  <c r="DA138" i="16"/>
  <c r="DC138" i="16"/>
  <c r="DE138" i="16"/>
  <c r="DG138" i="16"/>
  <c r="DI138" i="16"/>
  <c r="DK138" i="16"/>
  <c r="DM138" i="16"/>
  <c r="DO138" i="16"/>
  <c r="DQ138" i="16"/>
  <c r="DS138" i="16"/>
  <c r="DU138" i="16"/>
  <c r="DW138" i="16"/>
  <c r="DY138" i="16"/>
  <c r="EA138" i="16"/>
  <c r="EC138" i="16"/>
  <c r="EE138" i="16"/>
  <c r="EG138" i="16"/>
  <c r="EI138" i="16"/>
  <c r="EK138" i="16"/>
  <c r="EM138" i="16"/>
  <c r="EO138" i="16"/>
  <c r="EQ138" i="16"/>
  <c r="ES138" i="16"/>
  <c r="EU138" i="16"/>
  <c r="EW138" i="16"/>
  <c r="EY138" i="16"/>
  <c r="FA138" i="16"/>
  <c r="FC138" i="16"/>
  <c r="FE138" i="16"/>
  <c r="FG138" i="16"/>
  <c r="FI138" i="16"/>
  <c r="FK138" i="16"/>
  <c r="FM138" i="16"/>
  <c r="FO138" i="16"/>
  <c r="FQ138" i="16"/>
  <c r="FS138" i="16"/>
  <c r="FU138" i="16"/>
  <c r="FW138" i="16"/>
  <c r="FY138" i="16"/>
  <c r="GA138" i="16"/>
  <c r="GC138" i="16"/>
  <c r="CZ138" i="16"/>
  <c r="DB138" i="16"/>
  <c r="DD138" i="16"/>
  <c r="DF138" i="16"/>
  <c r="DH138" i="16"/>
  <c r="DJ138" i="16"/>
  <c r="DL138" i="16"/>
  <c r="DN138" i="16"/>
  <c r="DP138" i="16"/>
  <c r="DR138" i="16"/>
  <c r="DT138" i="16"/>
  <c r="DV138" i="16"/>
  <c r="DX138" i="16"/>
  <c r="DZ138" i="16"/>
  <c r="EB138" i="16"/>
  <c r="ED138" i="16"/>
  <c r="EF138" i="16"/>
  <c r="EH138" i="16"/>
  <c r="EJ138" i="16"/>
  <c r="EL138" i="16"/>
  <c r="EN138" i="16"/>
  <c r="EP138" i="16"/>
  <c r="ER138" i="16"/>
  <c r="ET138" i="16"/>
  <c r="EV138" i="16"/>
  <c r="EX138" i="16"/>
  <c r="EZ138" i="16"/>
  <c r="FB138" i="16"/>
  <c r="FD138" i="16"/>
  <c r="FF138" i="16"/>
  <c r="FH138" i="16"/>
  <c r="FJ138" i="16"/>
  <c r="FL138" i="16"/>
  <c r="FN138" i="16"/>
  <c r="FP138" i="16"/>
  <c r="FR138" i="16"/>
  <c r="FT138" i="16"/>
  <c r="FV138" i="16"/>
  <c r="FX138" i="16"/>
  <c r="FZ138" i="16"/>
  <c r="GB138" i="16"/>
  <c r="GD138" i="16"/>
  <c r="CY140" i="16"/>
  <c r="DA140" i="16"/>
  <c r="DC140" i="16"/>
  <c r="DE140" i="16"/>
  <c r="DG140" i="16"/>
  <c r="DI140" i="16"/>
  <c r="DK140" i="16"/>
  <c r="DM140" i="16"/>
  <c r="DO140" i="16"/>
  <c r="DQ140" i="16"/>
  <c r="DS140" i="16"/>
  <c r="DU140" i="16"/>
  <c r="DW140" i="16"/>
  <c r="DY140" i="16"/>
  <c r="EA140" i="16"/>
  <c r="EC140" i="16"/>
  <c r="EE140" i="16"/>
  <c r="EG140" i="16"/>
  <c r="EI140" i="16"/>
  <c r="EK140" i="16"/>
  <c r="EM140" i="16"/>
  <c r="EO140" i="16"/>
  <c r="EQ140" i="16"/>
  <c r="ES140" i="16"/>
  <c r="EU140" i="16"/>
  <c r="EW140" i="16"/>
  <c r="EY140" i="16"/>
  <c r="FA140" i="16"/>
  <c r="FC140" i="16"/>
  <c r="FE140" i="16"/>
  <c r="FG140" i="16"/>
  <c r="FI140" i="16"/>
  <c r="FK140" i="16"/>
  <c r="FM140" i="16"/>
  <c r="FO140" i="16"/>
  <c r="FQ140" i="16"/>
  <c r="FS140" i="16"/>
  <c r="FU140" i="16"/>
  <c r="FW140" i="16"/>
  <c r="FY140" i="16"/>
  <c r="GA140" i="16"/>
  <c r="GC140" i="16"/>
  <c r="CZ140" i="16"/>
  <c r="DB140" i="16"/>
  <c r="DD140" i="16"/>
  <c r="DF140" i="16"/>
  <c r="DH140" i="16"/>
  <c r="DJ140" i="16"/>
  <c r="DL140" i="16"/>
  <c r="DN140" i="16"/>
  <c r="DP140" i="16"/>
  <c r="DR140" i="16"/>
  <c r="DT140" i="16"/>
  <c r="DV140" i="16"/>
  <c r="DX140" i="16"/>
  <c r="DZ140" i="16"/>
  <c r="EB140" i="16"/>
  <c r="ED140" i="16"/>
  <c r="EF140" i="16"/>
  <c r="EH140" i="16"/>
  <c r="EJ140" i="16"/>
  <c r="EL140" i="16"/>
  <c r="EN140" i="16"/>
  <c r="EP140" i="16"/>
  <c r="ER140" i="16"/>
  <c r="ET140" i="16"/>
  <c r="EV140" i="16"/>
  <c r="EX140" i="16"/>
  <c r="EZ140" i="16"/>
  <c r="FB140" i="16"/>
  <c r="FD140" i="16"/>
  <c r="FF140" i="16"/>
  <c r="FH140" i="16"/>
  <c r="FJ140" i="16"/>
  <c r="FL140" i="16"/>
  <c r="FN140" i="16"/>
  <c r="FP140" i="16"/>
  <c r="FR140" i="16"/>
  <c r="FT140" i="16"/>
  <c r="FV140" i="16"/>
  <c r="FX140" i="16"/>
  <c r="FZ140" i="16"/>
  <c r="GB140" i="16"/>
  <c r="GD140" i="16"/>
  <c r="CZ141" i="16"/>
  <c r="DB141" i="16"/>
  <c r="DD141" i="16"/>
  <c r="DF141" i="16"/>
  <c r="DH141" i="16"/>
  <c r="DJ141" i="16"/>
  <c r="DL141" i="16"/>
  <c r="DN141" i="16"/>
  <c r="DP141" i="16"/>
  <c r="DR141" i="16"/>
  <c r="DT141" i="16"/>
  <c r="DV141" i="16"/>
  <c r="DX141" i="16"/>
  <c r="DZ141" i="16"/>
  <c r="EB141" i="16"/>
  <c r="ED141" i="16"/>
  <c r="EF141" i="16"/>
  <c r="EH141" i="16"/>
  <c r="EJ141" i="16"/>
  <c r="EL141" i="16"/>
  <c r="EN141" i="16"/>
  <c r="EP141" i="16"/>
  <c r="ER141" i="16"/>
  <c r="ET141" i="16"/>
  <c r="EV141" i="16"/>
  <c r="EX141" i="16"/>
  <c r="EZ141" i="16"/>
  <c r="FB141" i="16"/>
  <c r="FD141" i="16"/>
  <c r="FF141" i="16"/>
  <c r="FH141" i="16"/>
  <c r="FJ141" i="16"/>
  <c r="FL141" i="16"/>
  <c r="FN141" i="16"/>
  <c r="FP141" i="16"/>
  <c r="FR141" i="16"/>
  <c r="FT141" i="16"/>
  <c r="FV141" i="16"/>
  <c r="FX141" i="16"/>
  <c r="FZ141" i="16"/>
  <c r="GB141" i="16"/>
  <c r="GD141" i="16"/>
  <c r="CY141" i="16"/>
  <c r="DA141" i="16"/>
  <c r="DC141" i="16"/>
  <c r="DE141" i="16"/>
  <c r="DG141" i="16"/>
  <c r="DI141" i="16"/>
  <c r="DK141" i="16"/>
  <c r="DM141" i="16"/>
  <c r="DO141" i="16"/>
  <c r="DQ141" i="16"/>
  <c r="DS141" i="16"/>
  <c r="DU141" i="16"/>
  <c r="DW141" i="16"/>
  <c r="DY141" i="16"/>
  <c r="EA141" i="16"/>
  <c r="EC141" i="16"/>
  <c r="EE141" i="16"/>
  <c r="EG141" i="16"/>
  <c r="EI141" i="16"/>
  <c r="EK141" i="16"/>
  <c r="EM141" i="16"/>
  <c r="EO141" i="16"/>
  <c r="EQ141" i="16"/>
  <c r="ES141" i="16"/>
  <c r="EU141" i="16"/>
  <c r="EW141" i="16"/>
  <c r="EY141" i="16"/>
  <c r="FA141" i="16"/>
  <c r="FC141" i="16"/>
  <c r="FE141" i="16"/>
  <c r="FG141" i="16"/>
  <c r="FI141" i="16"/>
  <c r="FK141" i="16"/>
  <c r="FM141" i="16"/>
  <c r="FO141" i="16"/>
  <c r="FQ141" i="16"/>
  <c r="FS141" i="16"/>
  <c r="FU141" i="16"/>
  <c r="FW141" i="16"/>
  <c r="FY141" i="16"/>
  <c r="GA141" i="16"/>
  <c r="GC141" i="16"/>
  <c r="CY144" i="16"/>
  <c r="DA144" i="16"/>
  <c r="DC144" i="16"/>
  <c r="DE144" i="16"/>
  <c r="DG144" i="16"/>
  <c r="DI144" i="16"/>
  <c r="DK144" i="16"/>
  <c r="DM144" i="16"/>
  <c r="DO144" i="16"/>
  <c r="DQ144" i="16"/>
  <c r="DS144" i="16"/>
  <c r="DU144" i="16"/>
  <c r="DW144" i="16"/>
  <c r="DY144" i="16"/>
  <c r="EA144" i="16"/>
  <c r="EC144" i="16"/>
  <c r="EE144" i="16"/>
  <c r="EG144" i="16"/>
  <c r="EI144" i="16"/>
  <c r="EK144" i="16"/>
  <c r="EM144" i="16"/>
  <c r="EO144" i="16"/>
  <c r="EQ144" i="16"/>
  <c r="ES144" i="16"/>
  <c r="EU144" i="16"/>
  <c r="EW144" i="16"/>
  <c r="EY144" i="16"/>
  <c r="FA144" i="16"/>
  <c r="FC144" i="16"/>
  <c r="FE144" i="16"/>
  <c r="FG144" i="16"/>
  <c r="FI144" i="16"/>
  <c r="FK144" i="16"/>
  <c r="FM144" i="16"/>
  <c r="FO144" i="16"/>
  <c r="FQ144" i="16"/>
  <c r="FS144" i="16"/>
  <c r="FU144" i="16"/>
  <c r="FW144" i="16"/>
  <c r="FY144" i="16"/>
  <c r="GA144" i="16"/>
  <c r="GC144" i="16"/>
  <c r="CZ144" i="16"/>
  <c r="DB144" i="16"/>
  <c r="DD144" i="16"/>
  <c r="DF144" i="16"/>
  <c r="DH144" i="16"/>
  <c r="DJ144" i="16"/>
  <c r="DL144" i="16"/>
  <c r="DN144" i="16"/>
  <c r="DP144" i="16"/>
  <c r="DR144" i="16"/>
  <c r="DT144" i="16"/>
  <c r="DV144" i="16"/>
  <c r="DX144" i="16"/>
  <c r="DZ144" i="16"/>
  <c r="EB144" i="16"/>
  <c r="ED144" i="16"/>
  <c r="EF144" i="16"/>
  <c r="EH144" i="16"/>
  <c r="EJ144" i="16"/>
  <c r="EL144" i="16"/>
  <c r="EN144" i="16"/>
  <c r="EP144" i="16"/>
  <c r="ER144" i="16"/>
  <c r="ET144" i="16"/>
  <c r="EV144" i="16"/>
  <c r="EX144" i="16"/>
  <c r="EZ144" i="16"/>
  <c r="FB144" i="16"/>
  <c r="FD144" i="16"/>
  <c r="FF144" i="16"/>
  <c r="FH144" i="16"/>
  <c r="FJ144" i="16"/>
  <c r="FL144" i="16"/>
  <c r="FN144" i="16"/>
  <c r="FP144" i="16"/>
  <c r="FR144" i="16"/>
  <c r="FT144" i="16"/>
  <c r="FV144" i="16"/>
  <c r="FX144" i="16"/>
  <c r="FZ144" i="16"/>
  <c r="GB144" i="16"/>
  <c r="GD144" i="16"/>
  <c r="CZ145" i="16"/>
  <c r="DB145" i="16"/>
  <c r="DD145" i="16"/>
  <c r="DF145" i="16"/>
  <c r="DH145" i="16"/>
  <c r="DJ145" i="16"/>
  <c r="DL145" i="16"/>
  <c r="DN145" i="16"/>
  <c r="DP145" i="16"/>
  <c r="DR145" i="16"/>
  <c r="DT145" i="16"/>
  <c r="DV145" i="16"/>
  <c r="DX145" i="16"/>
  <c r="DZ145" i="16"/>
  <c r="EB145" i="16"/>
  <c r="ED145" i="16"/>
  <c r="EF145" i="16"/>
  <c r="EH145" i="16"/>
  <c r="EJ145" i="16"/>
  <c r="EL145" i="16"/>
  <c r="EN145" i="16"/>
  <c r="EP145" i="16"/>
  <c r="ER145" i="16"/>
  <c r="ET145" i="16"/>
  <c r="EV145" i="16"/>
  <c r="EX145" i="16"/>
  <c r="EZ145" i="16"/>
  <c r="FB145" i="16"/>
  <c r="FD145" i="16"/>
  <c r="FF145" i="16"/>
  <c r="FH145" i="16"/>
  <c r="FJ145" i="16"/>
  <c r="FL145" i="16"/>
  <c r="FN145" i="16"/>
  <c r="FP145" i="16"/>
  <c r="FR145" i="16"/>
  <c r="FT145" i="16"/>
  <c r="FV145" i="16"/>
  <c r="FX145" i="16"/>
  <c r="FZ145" i="16"/>
  <c r="GB145" i="16"/>
  <c r="GD145" i="16"/>
  <c r="CY145" i="16"/>
  <c r="DA145" i="16"/>
  <c r="DC145" i="16"/>
  <c r="DE145" i="16"/>
  <c r="DG145" i="16"/>
  <c r="DI145" i="16"/>
  <c r="DK145" i="16"/>
  <c r="DM145" i="16"/>
  <c r="DO145" i="16"/>
  <c r="DQ145" i="16"/>
  <c r="DS145" i="16"/>
  <c r="DU145" i="16"/>
  <c r="DW145" i="16"/>
  <c r="DY145" i="16"/>
  <c r="EA145" i="16"/>
  <c r="EC145" i="16"/>
  <c r="EE145" i="16"/>
  <c r="EG145" i="16"/>
  <c r="EI145" i="16"/>
  <c r="EK145" i="16"/>
  <c r="EM145" i="16"/>
  <c r="EO145" i="16"/>
  <c r="EQ145" i="16"/>
  <c r="ES145" i="16"/>
  <c r="EU145" i="16"/>
  <c r="EW145" i="16"/>
  <c r="EY145" i="16"/>
  <c r="FA145" i="16"/>
  <c r="FC145" i="16"/>
  <c r="FE145" i="16"/>
  <c r="FG145" i="16"/>
  <c r="FI145" i="16"/>
  <c r="FK145" i="16"/>
  <c r="FM145" i="16"/>
  <c r="FO145" i="16"/>
  <c r="FQ145" i="16"/>
  <c r="FS145" i="16"/>
  <c r="FU145" i="16"/>
  <c r="FW145" i="16"/>
  <c r="FY145" i="16"/>
  <c r="GA145" i="16"/>
  <c r="GC145" i="16"/>
  <c r="CZ147" i="16"/>
  <c r="DB147" i="16"/>
  <c r="DD147" i="16"/>
  <c r="DF147" i="16"/>
  <c r="DH147" i="16"/>
  <c r="DJ147" i="16"/>
  <c r="DL147" i="16"/>
  <c r="DN147" i="16"/>
  <c r="DP147" i="16"/>
  <c r="DR147" i="16"/>
  <c r="DT147" i="16"/>
  <c r="DV147" i="16"/>
  <c r="DX147" i="16"/>
  <c r="DZ147" i="16"/>
  <c r="EB147" i="16"/>
  <c r="ED147" i="16"/>
  <c r="EF147" i="16"/>
  <c r="EH147" i="16"/>
  <c r="EJ147" i="16"/>
  <c r="EL147" i="16"/>
  <c r="EN147" i="16"/>
  <c r="EP147" i="16"/>
  <c r="ER147" i="16"/>
  <c r="ET147" i="16"/>
  <c r="EV147" i="16"/>
  <c r="EX147" i="16"/>
  <c r="EZ147" i="16"/>
  <c r="FB147" i="16"/>
  <c r="FD147" i="16"/>
  <c r="FF147" i="16"/>
  <c r="FH147" i="16"/>
  <c r="FJ147" i="16"/>
  <c r="FL147" i="16"/>
  <c r="FN147" i="16"/>
  <c r="FP147" i="16"/>
  <c r="FR147" i="16"/>
  <c r="FT147" i="16"/>
  <c r="FV147" i="16"/>
  <c r="FX147" i="16"/>
  <c r="FZ147" i="16"/>
  <c r="GB147" i="16"/>
  <c r="GD147" i="16"/>
  <c r="CY147" i="16"/>
  <c r="DA147" i="16"/>
  <c r="DC147" i="16"/>
  <c r="DE147" i="16"/>
  <c r="DG147" i="16"/>
  <c r="DI147" i="16"/>
  <c r="DK147" i="16"/>
  <c r="DM147" i="16"/>
  <c r="DO147" i="16"/>
  <c r="DQ147" i="16"/>
  <c r="DS147" i="16"/>
  <c r="DU147" i="16"/>
  <c r="DW147" i="16"/>
  <c r="DY147" i="16"/>
  <c r="EA147" i="16"/>
  <c r="EC147" i="16"/>
  <c r="EE147" i="16"/>
  <c r="EG147" i="16"/>
  <c r="EI147" i="16"/>
  <c r="EK147" i="16"/>
  <c r="EM147" i="16"/>
  <c r="EO147" i="16"/>
  <c r="EQ147" i="16"/>
  <c r="ES147" i="16"/>
  <c r="EU147" i="16"/>
  <c r="EW147" i="16"/>
  <c r="EY147" i="16"/>
  <c r="FA147" i="16"/>
  <c r="FC147" i="16"/>
  <c r="FE147" i="16"/>
  <c r="FG147" i="16"/>
  <c r="FI147" i="16"/>
  <c r="FK147" i="16"/>
  <c r="FM147" i="16"/>
  <c r="FO147" i="16"/>
  <c r="FQ147" i="16"/>
  <c r="FS147" i="16"/>
  <c r="FU147" i="16"/>
  <c r="FW147" i="16"/>
  <c r="FY147" i="16"/>
  <c r="GA147" i="16"/>
  <c r="GC147" i="16"/>
  <c r="CZ149" i="16"/>
  <c r="DB149" i="16"/>
  <c r="DD149" i="16"/>
  <c r="DF149" i="16"/>
  <c r="DH149" i="16"/>
  <c r="DJ149" i="16"/>
  <c r="DL149" i="16"/>
  <c r="DN149" i="16"/>
  <c r="DP149" i="16"/>
  <c r="DR149" i="16"/>
  <c r="DT149" i="16"/>
  <c r="DV149" i="16"/>
  <c r="DX149" i="16"/>
  <c r="DZ149" i="16"/>
  <c r="EB149" i="16"/>
  <c r="ED149" i="16"/>
  <c r="EF149" i="16"/>
  <c r="EH149" i="16"/>
  <c r="EJ149" i="16"/>
  <c r="EL149" i="16"/>
  <c r="EN149" i="16"/>
  <c r="EP149" i="16"/>
  <c r="ER149" i="16"/>
  <c r="ET149" i="16"/>
  <c r="EV149" i="16"/>
  <c r="EX149" i="16"/>
  <c r="EZ149" i="16"/>
  <c r="FB149" i="16"/>
  <c r="FD149" i="16"/>
  <c r="FF149" i="16"/>
  <c r="FH149" i="16"/>
  <c r="FJ149" i="16"/>
  <c r="FL149" i="16"/>
  <c r="FN149" i="16"/>
  <c r="FP149" i="16"/>
  <c r="FR149" i="16"/>
  <c r="FT149" i="16"/>
  <c r="FV149" i="16"/>
  <c r="FX149" i="16"/>
  <c r="FZ149" i="16"/>
  <c r="GB149" i="16"/>
  <c r="GD149" i="16"/>
  <c r="CY149" i="16"/>
  <c r="DA149" i="16"/>
  <c r="DC149" i="16"/>
  <c r="DE149" i="16"/>
  <c r="DG149" i="16"/>
  <c r="DI149" i="16"/>
  <c r="DK149" i="16"/>
  <c r="DM149" i="16"/>
  <c r="DO149" i="16"/>
  <c r="DQ149" i="16"/>
  <c r="DS149" i="16"/>
  <c r="DU149" i="16"/>
  <c r="DW149" i="16"/>
  <c r="DY149" i="16"/>
  <c r="EA149" i="16"/>
  <c r="EC149" i="16"/>
  <c r="EE149" i="16"/>
  <c r="EG149" i="16"/>
  <c r="EI149" i="16"/>
  <c r="EK149" i="16"/>
  <c r="EM149" i="16"/>
  <c r="EO149" i="16"/>
  <c r="EQ149" i="16"/>
  <c r="ES149" i="16"/>
  <c r="EU149" i="16"/>
  <c r="EW149" i="16"/>
  <c r="EY149" i="16"/>
  <c r="FA149" i="16"/>
  <c r="FC149" i="16"/>
  <c r="FE149" i="16"/>
  <c r="FG149" i="16"/>
  <c r="FI149" i="16"/>
  <c r="FK149" i="16"/>
  <c r="FM149" i="16"/>
  <c r="FO149" i="16"/>
  <c r="FQ149" i="16"/>
  <c r="FS149" i="16"/>
  <c r="FU149" i="16"/>
  <c r="FW149" i="16"/>
  <c r="FY149" i="16"/>
  <c r="GA149" i="16"/>
  <c r="GC149" i="16"/>
  <c r="CZ151" i="16"/>
  <c r="DB151" i="16"/>
  <c r="DD151" i="16"/>
  <c r="DF151" i="16"/>
  <c r="DH151" i="16"/>
  <c r="DJ151" i="16"/>
  <c r="DL151" i="16"/>
  <c r="DN151" i="16"/>
  <c r="DP151" i="16"/>
  <c r="DR151" i="16"/>
  <c r="DT151" i="16"/>
  <c r="DV151" i="16"/>
  <c r="DX151" i="16"/>
  <c r="DZ151" i="16"/>
  <c r="EB151" i="16"/>
  <c r="ED151" i="16"/>
  <c r="EF151" i="16"/>
  <c r="EH151" i="16"/>
  <c r="EJ151" i="16"/>
  <c r="EL151" i="16"/>
  <c r="EN151" i="16"/>
  <c r="EP151" i="16"/>
  <c r="ER151" i="16"/>
  <c r="ET151" i="16"/>
  <c r="EV151" i="16"/>
  <c r="EX151" i="16"/>
  <c r="EZ151" i="16"/>
  <c r="FB151" i="16"/>
  <c r="FD151" i="16"/>
  <c r="FF151" i="16"/>
  <c r="FH151" i="16"/>
  <c r="FJ151" i="16"/>
  <c r="FL151" i="16"/>
  <c r="FN151" i="16"/>
  <c r="FP151" i="16"/>
  <c r="FR151" i="16"/>
  <c r="FT151" i="16"/>
  <c r="FV151" i="16"/>
  <c r="FX151" i="16"/>
  <c r="FZ151" i="16"/>
  <c r="GB151" i="16"/>
  <c r="GD151" i="16"/>
  <c r="CY151" i="16"/>
  <c r="DA151" i="16"/>
  <c r="DC151" i="16"/>
  <c r="DE151" i="16"/>
  <c r="DG151" i="16"/>
  <c r="DI151" i="16"/>
  <c r="DK151" i="16"/>
  <c r="DM151" i="16"/>
  <c r="DO151" i="16"/>
  <c r="DQ151" i="16"/>
  <c r="DS151" i="16"/>
  <c r="DU151" i="16"/>
  <c r="DW151" i="16"/>
  <c r="DY151" i="16"/>
  <c r="EA151" i="16"/>
  <c r="EC151" i="16"/>
  <c r="EE151" i="16"/>
  <c r="EG151" i="16"/>
  <c r="EI151" i="16"/>
  <c r="EK151" i="16"/>
  <c r="EM151" i="16"/>
  <c r="EO151" i="16"/>
  <c r="EQ151" i="16"/>
  <c r="ES151" i="16"/>
  <c r="EU151" i="16"/>
  <c r="EW151" i="16"/>
  <c r="EY151" i="16"/>
  <c r="FA151" i="16"/>
  <c r="FC151" i="16"/>
  <c r="FE151" i="16"/>
  <c r="FG151" i="16"/>
  <c r="FI151" i="16"/>
  <c r="FK151" i="16"/>
  <c r="FM151" i="16"/>
  <c r="FO151" i="16"/>
  <c r="FQ151" i="16"/>
  <c r="FS151" i="16"/>
  <c r="FU151" i="16"/>
  <c r="FW151" i="16"/>
  <c r="FY151" i="16"/>
  <c r="GA151" i="16"/>
  <c r="GC151" i="16"/>
  <c r="CZ153" i="16"/>
  <c r="DB153" i="16"/>
  <c r="DD153" i="16"/>
  <c r="DF153" i="16"/>
  <c r="DH153" i="16"/>
  <c r="DJ153" i="16"/>
  <c r="DL153" i="16"/>
  <c r="DN153" i="16"/>
  <c r="DP153" i="16"/>
  <c r="DR153" i="16"/>
  <c r="DT153" i="16"/>
  <c r="DV153" i="16"/>
  <c r="DX153" i="16"/>
  <c r="DZ153" i="16"/>
  <c r="EB153" i="16"/>
  <c r="ED153" i="16"/>
  <c r="EF153" i="16"/>
  <c r="EH153" i="16"/>
  <c r="EJ153" i="16"/>
  <c r="EL153" i="16"/>
  <c r="EN153" i="16"/>
  <c r="EP153" i="16"/>
  <c r="ER153" i="16"/>
  <c r="ET153" i="16"/>
  <c r="EV153" i="16"/>
  <c r="EX153" i="16"/>
  <c r="EZ153" i="16"/>
  <c r="FB153" i="16"/>
  <c r="FD153" i="16"/>
  <c r="FF153" i="16"/>
  <c r="FH153" i="16"/>
  <c r="FJ153" i="16"/>
  <c r="FL153" i="16"/>
  <c r="FN153" i="16"/>
  <c r="FP153" i="16"/>
  <c r="FR153" i="16"/>
  <c r="FT153" i="16"/>
  <c r="FV153" i="16"/>
  <c r="FX153" i="16"/>
  <c r="FZ153" i="16"/>
  <c r="GB153" i="16"/>
  <c r="GD153" i="16"/>
  <c r="CY153" i="16"/>
  <c r="DA153" i="16"/>
  <c r="DC153" i="16"/>
  <c r="DE153" i="16"/>
  <c r="DG153" i="16"/>
  <c r="DI153" i="16"/>
  <c r="DK153" i="16"/>
  <c r="DM153" i="16"/>
  <c r="DO153" i="16"/>
  <c r="DQ153" i="16"/>
  <c r="DS153" i="16"/>
  <c r="DU153" i="16"/>
  <c r="DW153" i="16"/>
  <c r="DY153" i="16"/>
  <c r="EA153" i="16"/>
  <c r="EC153" i="16"/>
  <c r="EE153" i="16"/>
  <c r="EG153" i="16"/>
  <c r="EI153" i="16"/>
  <c r="EK153" i="16"/>
  <c r="EM153" i="16"/>
  <c r="EO153" i="16"/>
  <c r="EQ153" i="16"/>
  <c r="ES153" i="16"/>
  <c r="EU153" i="16"/>
  <c r="EW153" i="16"/>
  <c r="EY153" i="16"/>
  <c r="FA153" i="16"/>
  <c r="FC153" i="16"/>
  <c r="FE153" i="16"/>
  <c r="FG153" i="16"/>
  <c r="FI153" i="16"/>
  <c r="FK153" i="16"/>
  <c r="FM153" i="16"/>
  <c r="FO153" i="16"/>
  <c r="FQ153" i="16"/>
  <c r="FS153" i="16"/>
  <c r="FU153" i="16"/>
  <c r="FW153" i="16"/>
  <c r="FY153" i="16"/>
  <c r="GA153" i="16"/>
  <c r="GC153" i="16"/>
  <c r="CY154" i="16"/>
  <c r="DA154" i="16"/>
  <c r="DC154" i="16"/>
  <c r="DE154" i="16"/>
  <c r="DG154" i="16"/>
  <c r="DI154" i="16"/>
  <c r="DK154" i="16"/>
  <c r="DM154" i="16"/>
  <c r="DO154" i="16"/>
  <c r="DQ154" i="16"/>
  <c r="DS154" i="16"/>
  <c r="DU154" i="16"/>
  <c r="DW154" i="16"/>
  <c r="DY154" i="16"/>
  <c r="EA154" i="16"/>
  <c r="EC154" i="16"/>
  <c r="EE154" i="16"/>
  <c r="EG154" i="16"/>
  <c r="EI154" i="16"/>
  <c r="EK154" i="16"/>
  <c r="EM154" i="16"/>
  <c r="EO154" i="16"/>
  <c r="EQ154" i="16"/>
  <c r="ES154" i="16"/>
  <c r="EU154" i="16"/>
  <c r="EW154" i="16"/>
  <c r="EY154" i="16"/>
  <c r="FA154" i="16"/>
  <c r="FC154" i="16"/>
  <c r="FE154" i="16"/>
  <c r="FG154" i="16"/>
  <c r="FI154" i="16"/>
  <c r="FK154" i="16"/>
  <c r="FM154" i="16"/>
  <c r="FO154" i="16"/>
  <c r="FQ154" i="16"/>
  <c r="FS154" i="16"/>
  <c r="FU154" i="16"/>
  <c r="FW154" i="16"/>
  <c r="FY154" i="16"/>
  <c r="GA154" i="16"/>
  <c r="GC154" i="16"/>
  <c r="CZ154" i="16"/>
  <c r="DB154" i="16"/>
  <c r="DD154" i="16"/>
  <c r="DF154" i="16"/>
  <c r="DH154" i="16"/>
  <c r="DJ154" i="16"/>
  <c r="DL154" i="16"/>
  <c r="DN154" i="16"/>
  <c r="DP154" i="16"/>
  <c r="DR154" i="16"/>
  <c r="DT154" i="16"/>
  <c r="DV154" i="16"/>
  <c r="DX154" i="16"/>
  <c r="DZ154" i="16"/>
  <c r="EB154" i="16"/>
  <c r="ED154" i="16"/>
  <c r="EF154" i="16"/>
  <c r="EH154" i="16"/>
  <c r="EJ154" i="16"/>
  <c r="EL154" i="16"/>
  <c r="EN154" i="16"/>
  <c r="EP154" i="16"/>
  <c r="ER154" i="16"/>
  <c r="ET154" i="16"/>
  <c r="EV154" i="16"/>
  <c r="EX154" i="16"/>
  <c r="EZ154" i="16"/>
  <c r="FB154" i="16"/>
  <c r="FD154" i="16"/>
  <c r="FF154" i="16"/>
  <c r="FH154" i="16"/>
  <c r="FJ154" i="16"/>
  <c r="FL154" i="16"/>
  <c r="FN154" i="16"/>
  <c r="FP154" i="16"/>
  <c r="FR154" i="16"/>
  <c r="FT154" i="16"/>
  <c r="FV154" i="16"/>
  <c r="FX154" i="16"/>
  <c r="FZ154" i="16"/>
  <c r="GB154" i="16"/>
  <c r="GD154" i="16"/>
  <c r="CY156" i="16"/>
  <c r="DA156" i="16"/>
  <c r="DC156" i="16"/>
  <c r="DE156" i="16"/>
  <c r="DG156" i="16"/>
  <c r="DI156" i="16"/>
  <c r="DK156" i="16"/>
  <c r="DM156" i="16"/>
  <c r="DO156" i="16"/>
  <c r="DQ156" i="16"/>
  <c r="DS156" i="16"/>
  <c r="DU156" i="16"/>
  <c r="DW156" i="16"/>
  <c r="DY156" i="16"/>
  <c r="EA156" i="16"/>
  <c r="EC156" i="16"/>
  <c r="EE156" i="16"/>
  <c r="EG156" i="16"/>
  <c r="EI156" i="16"/>
  <c r="EK156" i="16"/>
  <c r="EM156" i="16"/>
  <c r="EO156" i="16"/>
  <c r="EQ156" i="16"/>
  <c r="ES156" i="16"/>
  <c r="EU156" i="16"/>
  <c r="EW156" i="16"/>
  <c r="EY156" i="16"/>
  <c r="FA156" i="16"/>
  <c r="FC156" i="16"/>
  <c r="FE156" i="16"/>
  <c r="FG156" i="16"/>
  <c r="FI156" i="16"/>
  <c r="FK156" i="16"/>
  <c r="FM156" i="16"/>
  <c r="FO156" i="16"/>
  <c r="FQ156" i="16"/>
  <c r="FS156" i="16"/>
  <c r="FU156" i="16"/>
  <c r="FW156" i="16"/>
  <c r="FY156" i="16"/>
  <c r="GA156" i="16"/>
  <c r="GC156" i="16"/>
  <c r="CZ156" i="16"/>
  <c r="DB156" i="16"/>
  <c r="DD156" i="16"/>
  <c r="DF156" i="16"/>
  <c r="DH156" i="16"/>
  <c r="DJ156" i="16"/>
  <c r="DL156" i="16"/>
  <c r="DN156" i="16"/>
  <c r="DP156" i="16"/>
  <c r="DR156" i="16"/>
  <c r="DT156" i="16"/>
  <c r="DV156" i="16"/>
  <c r="DX156" i="16"/>
  <c r="DZ156" i="16"/>
  <c r="EB156" i="16"/>
  <c r="ED156" i="16"/>
  <c r="EF156" i="16"/>
  <c r="EH156" i="16"/>
  <c r="EJ156" i="16"/>
  <c r="EL156" i="16"/>
  <c r="EN156" i="16"/>
  <c r="EP156" i="16"/>
  <c r="ER156" i="16"/>
  <c r="ET156" i="16"/>
  <c r="EV156" i="16"/>
  <c r="EX156" i="16"/>
  <c r="EZ156" i="16"/>
  <c r="FB156" i="16"/>
  <c r="FD156" i="16"/>
  <c r="FF156" i="16"/>
  <c r="FH156" i="16"/>
  <c r="FJ156" i="16"/>
  <c r="FL156" i="16"/>
  <c r="FN156" i="16"/>
  <c r="FP156" i="16"/>
  <c r="FR156" i="16"/>
  <c r="FT156" i="16"/>
  <c r="FV156" i="16"/>
  <c r="FX156" i="16"/>
  <c r="FZ156" i="16"/>
  <c r="GB156" i="16"/>
  <c r="GD156" i="16"/>
  <c r="CY158" i="16"/>
  <c r="DA158" i="16"/>
  <c r="DC158" i="16"/>
  <c r="DE158" i="16"/>
  <c r="DG158" i="16"/>
  <c r="DI158" i="16"/>
  <c r="DK158" i="16"/>
  <c r="DM158" i="16"/>
  <c r="DO158" i="16"/>
  <c r="DQ158" i="16"/>
  <c r="DS158" i="16"/>
  <c r="DU158" i="16"/>
  <c r="DW158" i="16"/>
  <c r="DY158" i="16"/>
  <c r="EA158" i="16"/>
  <c r="EC158" i="16"/>
  <c r="EE158" i="16"/>
  <c r="EG158" i="16"/>
  <c r="EI158" i="16"/>
  <c r="EK158" i="16"/>
  <c r="EM158" i="16"/>
  <c r="EO158" i="16"/>
  <c r="EQ158" i="16"/>
  <c r="ES158" i="16"/>
  <c r="EU158" i="16"/>
  <c r="EW158" i="16"/>
  <c r="EY158" i="16"/>
  <c r="FA158" i="16"/>
  <c r="FC158" i="16"/>
  <c r="FE158" i="16"/>
  <c r="FG158" i="16"/>
  <c r="FI158" i="16"/>
  <c r="FK158" i="16"/>
  <c r="FM158" i="16"/>
  <c r="FO158" i="16"/>
  <c r="FQ158" i="16"/>
  <c r="FS158" i="16"/>
  <c r="FU158" i="16"/>
  <c r="FW158" i="16"/>
  <c r="FY158" i="16"/>
  <c r="GA158" i="16"/>
  <c r="GC158" i="16"/>
  <c r="CZ158" i="16"/>
  <c r="DB158" i="16"/>
  <c r="DD158" i="16"/>
  <c r="DF158" i="16"/>
  <c r="DH158" i="16"/>
  <c r="DJ158" i="16"/>
  <c r="DL158" i="16"/>
  <c r="DN158" i="16"/>
  <c r="DP158" i="16"/>
  <c r="DR158" i="16"/>
  <c r="DT158" i="16"/>
  <c r="DV158" i="16"/>
  <c r="DX158" i="16"/>
  <c r="DZ158" i="16"/>
  <c r="EB158" i="16"/>
  <c r="ED158" i="16"/>
  <c r="EF158" i="16"/>
  <c r="EH158" i="16"/>
  <c r="EJ158" i="16"/>
  <c r="EL158" i="16"/>
  <c r="EN158" i="16"/>
  <c r="EP158" i="16"/>
  <c r="ER158" i="16"/>
  <c r="ET158" i="16"/>
  <c r="EV158" i="16"/>
  <c r="EX158" i="16"/>
  <c r="EZ158" i="16"/>
  <c r="FB158" i="16"/>
  <c r="FD158" i="16"/>
  <c r="FF158" i="16"/>
  <c r="FH158" i="16"/>
  <c r="FJ158" i="16"/>
  <c r="FL158" i="16"/>
  <c r="FN158" i="16"/>
  <c r="FP158" i="16"/>
  <c r="FR158" i="16"/>
  <c r="FT158" i="16"/>
  <c r="FV158" i="16"/>
  <c r="FX158" i="16"/>
  <c r="FZ158" i="16"/>
  <c r="GB158" i="16"/>
  <c r="GD158" i="16"/>
  <c r="CZ159" i="16"/>
  <c r="DB159" i="16"/>
  <c r="DD159" i="16"/>
  <c r="DF159" i="16"/>
  <c r="DH159" i="16"/>
  <c r="DJ159" i="16"/>
  <c r="DL159" i="16"/>
  <c r="DN159" i="16"/>
  <c r="DP159" i="16"/>
  <c r="DR159" i="16"/>
  <c r="DT159" i="16"/>
  <c r="DV159" i="16"/>
  <c r="DX159" i="16"/>
  <c r="DZ159" i="16"/>
  <c r="EB159" i="16"/>
  <c r="ED159" i="16"/>
  <c r="EF159" i="16"/>
  <c r="EH159" i="16"/>
  <c r="EJ159" i="16"/>
  <c r="EL159" i="16"/>
  <c r="EN159" i="16"/>
  <c r="EP159" i="16"/>
  <c r="ER159" i="16"/>
  <c r="ET159" i="16"/>
  <c r="EV159" i="16"/>
  <c r="EX159" i="16"/>
  <c r="EZ159" i="16"/>
  <c r="FB159" i="16"/>
  <c r="FD159" i="16"/>
  <c r="FF159" i="16"/>
  <c r="FH159" i="16"/>
  <c r="FJ159" i="16"/>
  <c r="FL159" i="16"/>
  <c r="FN159" i="16"/>
  <c r="FP159" i="16"/>
  <c r="FR159" i="16"/>
  <c r="FT159" i="16"/>
  <c r="FV159" i="16"/>
  <c r="FX159" i="16"/>
  <c r="FZ159" i="16"/>
  <c r="GB159" i="16"/>
  <c r="GD159" i="16"/>
  <c r="CY159" i="16"/>
  <c r="DA159" i="16"/>
  <c r="DC159" i="16"/>
  <c r="DE159" i="16"/>
  <c r="DG159" i="16"/>
  <c r="DI159" i="16"/>
  <c r="DK159" i="16"/>
  <c r="DM159" i="16"/>
  <c r="DO159" i="16"/>
  <c r="DQ159" i="16"/>
  <c r="DS159" i="16"/>
  <c r="DU159" i="16"/>
  <c r="DW159" i="16"/>
  <c r="DY159" i="16"/>
  <c r="EA159" i="16"/>
  <c r="EC159" i="16"/>
  <c r="EE159" i="16"/>
  <c r="EG159" i="16"/>
  <c r="EI159" i="16"/>
  <c r="EK159" i="16"/>
  <c r="EM159" i="16"/>
  <c r="EO159" i="16"/>
  <c r="EQ159" i="16"/>
  <c r="ES159" i="16"/>
  <c r="EU159" i="16"/>
  <c r="EW159" i="16"/>
  <c r="EY159" i="16"/>
  <c r="FA159" i="16"/>
  <c r="FC159" i="16"/>
  <c r="FE159" i="16"/>
  <c r="FG159" i="16"/>
  <c r="FI159" i="16"/>
  <c r="FK159" i="16"/>
  <c r="FM159" i="16"/>
  <c r="FO159" i="16"/>
  <c r="FQ159" i="16"/>
  <c r="FS159" i="16"/>
  <c r="FU159" i="16"/>
  <c r="FW159" i="16"/>
  <c r="FY159" i="16"/>
  <c r="GA159" i="16"/>
  <c r="GC159" i="16"/>
  <c r="CY162" i="16"/>
  <c r="DA162" i="16"/>
  <c r="DC162" i="16"/>
  <c r="DE162" i="16"/>
  <c r="DG162" i="16"/>
  <c r="DI162" i="16"/>
  <c r="DK162" i="16"/>
  <c r="DM162" i="16"/>
  <c r="DO162" i="16"/>
  <c r="DQ162" i="16"/>
  <c r="DS162" i="16"/>
  <c r="DU162" i="16"/>
  <c r="DW162" i="16"/>
  <c r="DY162" i="16"/>
  <c r="EA162" i="16"/>
  <c r="EC162" i="16"/>
  <c r="EE162" i="16"/>
  <c r="EG162" i="16"/>
  <c r="EI162" i="16"/>
  <c r="EK162" i="16"/>
  <c r="EM162" i="16"/>
  <c r="EO162" i="16"/>
  <c r="EQ162" i="16"/>
  <c r="ES162" i="16"/>
  <c r="EU162" i="16"/>
  <c r="EW162" i="16"/>
  <c r="EY162" i="16"/>
  <c r="FA162" i="16"/>
  <c r="FC162" i="16"/>
  <c r="FE162" i="16"/>
  <c r="FG162" i="16"/>
  <c r="FI162" i="16"/>
  <c r="FK162" i="16"/>
  <c r="FM162" i="16"/>
  <c r="FO162" i="16"/>
  <c r="FQ162" i="16"/>
  <c r="FS162" i="16"/>
  <c r="FU162" i="16"/>
  <c r="FW162" i="16"/>
  <c r="FY162" i="16"/>
  <c r="GA162" i="16"/>
  <c r="GC162" i="16"/>
  <c r="CZ162" i="16"/>
  <c r="DB162" i="16"/>
  <c r="DD162" i="16"/>
  <c r="DF162" i="16"/>
  <c r="DH162" i="16"/>
  <c r="DJ162" i="16"/>
  <c r="DL162" i="16"/>
  <c r="DN162" i="16"/>
  <c r="DP162" i="16"/>
  <c r="DR162" i="16"/>
  <c r="DT162" i="16"/>
  <c r="DV162" i="16"/>
  <c r="DX162" i="16"/>
  <c r="DZ162" i="16"/>
  <c r="EB162" i="16"/>
  <c r="ED162" i="16"/>
  <c r="EF162" i="16"/>
  <c r="EH162" i="16"/>
  <c r="EJ162" i="16"/>
  <c r="EL162" i="16"/>
  <c r="EN162" i="16"/>
  <c r="EP162" i="16"/>
  <c r="ER162" i="16"/>
  <c r="ET162" i="16"/>
  <c r="EV162" i="16"/>
  <c r="EX162" i="16"/>
  <c r="EZ162" i="16"/>
  <c r="FB162" i="16"/>
  <c r="FD162" i="16"/>
  <c r="FF162" i="16"/>
  <c r="FH162" i="16"/>
  <c r="FJ162" i="16"/>
  <c r="FL162" i="16"/>
  <c r="FN162" i="16"/>
  <c r="FP162" i="16"/>
  <c r="FR162" i="16"/>
  <c r="FT162" i="16"/>
  <c r="FV162" i="16"/>
  <c r="FX162" i="16"/>
  <c r="FZ162" i="16"/>
  <c r="GB162" i="16"/>
  <c r="GD162" i="16"/>
  <c r="CZ163" i="16"/>
  <c r="DB163" i="16"/>
  <c r="DD163" i="16"/>
  <c r="DF163" i="16"/>
  <c r="DH163" i="16"/>
  <c r="DJ163" i="16"/>
  <c r="DL163" i="16"/>
  <c r="DN163" i="16"/>
  <c r="DP163" i="16"/>
  <c r="DR163" i="16"/>
  <c r="DT163" i="16"/>
  <c r="DV163" i="16"/>
  <c r="DX163" i="16"/>
  <c r="DZ163" i="16"/>
  <c r="EB163" i="16"/>
  <c r="ED163" i="16"/>
  <c r="EF163" i="16"/>
  <c r="EH163" i="16"/>
  <c r="EJ163" i="16"/>
  <c r="EL163" i="16"/>
  <c r="EN163" i="16"/>
  <c r="EP163" i="16"/>
  <c r="ER163" i="16"/>
  <c r="ET163" i="16"/>
  <c r="EV163" i="16"/>
  <c r="EX163" i="16"/>
  <c r="EZ163" i="16"/>
  <c r="FB163" i="16"/>
  <c r="FD163" i="16"/>
  <c r="FF163" i="16"/>
  <c r="FH163" i="16"/>
  <c r="FJ163" i="16"/>
  <c r="FL163" i="16"/>
  <c r="FN163" i="16"/>
  <c r="FP163" i="16"/>
  <c r="FR163" i="16"/>
  <c r="FT163" i="16"/>
  <c r="FV163" i="16"/>
  <c r="FX163" i="16"/>
  <c r="FZ163" i="16"/>
  <c r="GB163" i="16"/>
  <c r="GD163" i="16"/>
  <c r="CY163" i="16"/>
  <c r="DA163" i="16"/>
  <c r="DC163" i="16"/>
  <c r="DE163" i="16"/>
  <c r="DG163" i="16"/>
  <c r="DI163" i="16"/>
  <c r="DK163" i="16"/>
  <c r="DM163" i="16"/>
  <c r="DO163" i="16"/>
  <c r="DQ163" i="16"/>
  <c r="DS163" i="16"/>
  <c r="DU163" i="16"/>
  <c r="DW163" i="16"/>
  <c r="DY163" i="16"/>
  <c r="EA163" i="16"/>
  <c r="EC163" i="16"/>
  <c r="EE163" i="16"/>
  <c r="EG163" i="16"/>
  <c r="EI163" i="16"/>
  <c r="EK163" i="16"/>
  <c r="EM163" i="16"/>
  <c r="EO163" i="16"/>
  <c r="EQ163" i="16"/>
  <c r="ES163" i="16"/>
  <c r="EU163" i="16"/>
  <c r="EW163" i="16"/>
  <c r="EY163" i="16"/>
  <c r="FA163" i="16"/>
  <c r="FC163" i="16"/>
  <c r="FE163" i="16"/>
  <c r="FG163" i="16"/>
  <c r="FI163" i="16"/>
  <c r="FK163" i="16"/>
  <c r="FM163" i="16"/>
  <c r="FO163" i="16"/>
  <c r="FQ163" i="16"/>
  <c r="FS163" i="16"/>
  <c r="FU163" i="16"/>
  <c r="FW163" i="16"/>
  <c r="FY163" i="16"/>
  <c r="GA163" i="16"/>
  <c r="GC163" i="16"/>
  <c r="CZ165" i="16"/>
  <c r="DB165" i="16"/>
  <c r="DD165" i="16"/>
  <c r="DF165" i="16"/>
  <c r="DH165" i="16"/>
  <c r="DJ165" i="16"/>
  <c r="DL165" i="16"/>
  <c r="DN165" i="16"/>
  <c r="DP165" i="16"/>
  <c r="DR165" i="16"/>
  <c r="DT165" i="16"/>
  <c r="DV165" i="16"/>
  <c r="DX165" i="16"/>
  <c r="DZ165" i="16"/>
  <c r="EB165" i="16"/>
  <c r="ED165" i="16"/>
  <c r="EF165" i="16"/>
  <c r="EH165" i="16"/>
  <c r="EJ165" i="16"/>
  <c r="EL165" i="16"/>
  <c r="EN165" i="16"/>
  <c r="EP165" i="16"/>
  <c r="ER165" i="16"/>
  <c r="ET165" i="16"/>
  <c r="EV165" i="16"/>
  <c r="EX165" i="16"/>
  <c r="EZ165" i="16"/>
  <c r="FB165" i="16"/>
  <c r="FD165" i="16"/>
  <c r="FF165" i="16"/>
  <c r="FH165" i="16"/>
  <c r="FJ165" i="16"/>
  <c r="FL165" i="16"/>
  <c r="FN165" i="16"/>
  <c r="FP165" i="16"/>
  <c r="FR165" i="16"/>
  <c r="FT165" i="16"/>
  <c r="FV165" i="16"/>
  <c r="FX165" i="16"/>
  <c r="FZ165" i="16"/>
  <c r="GB165" i="16"/>
  <c r="GD165" i="16"/>
  <c r="CY165" i="16"/>
  <c r="DA165" i="16"/>
  <c r="DC165" i="16"/>
  <c r="DE165" i="16"/>
  <c r="DG165" i="16"/>
  <c r="DI165" i="16"/>
  <c r="DK165" i="16"/>
  <c r="DM165" i="16"/>
  <c r="DO165" i="16"/>
  <c r="DQ165" i="16"/>
  <c r="DS165" i="16"/>
  <c r="DU165" i="16"/>
  <c r="DW165" i="16"/>
  <c r="DY165" i="16"/>
  <c r="EA165" i="16"/>
  <c r="EC165" i="16"/>
  <c r="EE165" i="16"/>
  <c r="EG165" i="16"/>
  <c r="EI165" i="16"/>
  <c r="EK165" i="16"/>
  <c r="EM165" i="16"/>
  <c r="EO165" i="16"/>
  <c r="EQ165" i="16"/>
  <c r="ES165" i="16"/>
  <c r="EU165" i="16"/>
  <c r="EW165" i="16"/>
  <c r="EY165" i="16"/>
  <c r="FA165" i="16"/>
  <c r="FC165" i="16"/>
  <c r="FE165" i="16"/>
  <c r="FG165" i="16"/>
  <c r="FI165" i="16"/>
  <c r="FK165" i="16"/>
  <c r="FM165" i="16"/>
  <c r="FO165" i="16"/>
  <c r="FQ165" i="16"/>
  <c r="FS165" i="16"/>
  <c r="FU165" i="16"/>
  <c r="FW165" i="16"/>
  <c r="FY165" i="16"/>
  <c r="GA165" i="16"/>
  <c r="GC165" i="16"/>
  <c r="CY168" i="16"/>
  <c r="DA168" i="16"/>
  <c r="DC168" i="16"/>
  <c r="DE168" i="16"/>
  <c r="DG168" i="16"/>
  <c r="DI168" i="16"/>
  <c r="DK168" i="16"/>
  <c r="DM168" i="16"/>
  <c r="DO168" i="16"/>
  <c r="DQ168" i="16"/>
  <c r="DS168" i="16"/>
  <c r="DU168" i="16"/>
  <c r="DW168" i="16"/>
  <c r="DY168" i="16"/>
  <c r="EA168" i="16"/>
  <c r="EC168" i="16"/>
  <c r="EE168" i="16"/>
  <c r="EG168" i="16"/>
  <c r="EI168" i="16"/>
  <c r="EK168" i="16"/>
  <c r="EM168" i="16"/>
  <c r="EO168" i="16"/>
  <c r="EQ168" i="16"/>
  <c r="ES168" i="16"/>
  <c r="EU168" i="16"/>
  <c r="EW168" i="16"/>
  <c r="EY168" i="16"/>
  <c r="FA168" i="16"/>
  <c r="FC168" i="16"/>
  <c r="FE168" i="16"/>
  <c r="FG168" i="16"/>
  <c r="FI168" i="16"/>
  <c r="FK168" i="16"/>
  <c r="FM168" i="16"/>
  <c r="FO168" i="16"/>
  <c r="FQ168" i="16"/>
  <c r="FS168" i="16"/>
  <c r="FU168" i="16"/>
  <c r="FW168" i="16"/>
  <c r="FY168" i="16"/>
  <c r="GA168" i="16"/>
  <c r="GC168" i="16"/>
  <c r="CZ168" i="16"/>
  <c r="DB168" i="16"/>
  <c r="DD168" i="16"/>
  <c r="DF168" i="16"/>
  <c r="DH168" i="16"/>
  <c r="DJ168" i="16"/>
  <c r="DL168" i="16"/>
  <c r="DN168" i="16"/>
  <c r="DP168" i="16"/>
  <c r="DR168" i="16"/>
  <c r="DT168" i="16"/>
  <c r="DV168" i="16"/>
  <c r="DX168" i="16"/>
  <c r="DZ168" i="16"/>
  <c r="EB168" i="16"/>
  <c r="ED168" i="16"/>
  <c r="EF168" i="16"/>
  <c r="EH168" i="16"/>
  <c r="EJ168" i="16"/>
  <c r="EL168" i="16"/>
  <c r="EN168" i="16"/>
  <c r="EP168" i="16"/>
  <c r="ER168" i="16"/>
  <c r="ET168" i="16"/>
  <c r="EV168" i="16"/>
  <c r="EX168" i="16"/>
  <c r="EZ168" i="16"/>
  <c r="FB168" i="16"/>
  <c r="FD168" i="16"/>
  <c r="FF168" i="16"/>
  <c r="FH168" i="16"/>
  <c r="FJ168" i="16"/>
  <c r="FL168" i="16"/>
  <c r="FN168" i="16"/>
  <c r="FP168" i="16"/>
  <c r="FR168" i="16"/>
  <c r="FT168" i="16"/>
  <c r="FV168" i="16"/>
  <c r="FX168" i="16"/>
  <c r="FZ168" i="16"/>
  <c r="GB168" i="16"/>
  <c r="GD168" i="16"/>
  <c r="CY170" i="16"/>
  <c r="DA170" i="16"/>
  <c r="DC170" i="16"/>
  <c r="DE170" i="16"/>
  <c r="DG170" i="16"/>
  <c r="DI170" i="16"/>
  <c r="DK170" i="16"/>
  <c r="DM170" i="16"/>
  <c r="DO170" i="16"/>
  <c r="DQ170" i="16"/>
  <c r="DS170" i="16"/>
  <c r="DU170" i="16"/>
  <c r="DW170" i="16"/>
  <c r="DY170" i="16"/>
  <c r="EA170" i="16"/>
  <c r="EC170" i="16"/>
  <c r="EE170" i="16"/>
  <c r="EG170" i="16"/>
  <c r="EI170" i="16"/>
  <c r="EK170" i="16"/>
  <c r="EM170" i="16"/>
  <c r="EO170" i="16"/>
  <c r="EQ170" i="16"/>
  <c r="ES170" i="16"/>
  <c r="EU170" i="16"/>
  <c r="EW170" i="16"/>
  <c r="EY170" i="16"/>
  <c r="FA170" i="16"/>
  <c r="FC170" i="16"/>
  <c r="FE170" i="16"/>
  <c r="FG170" i="16"/>
  <c r="FI170" i="16"/>
  <c r="FK170" i="16"/>
  <c r="FM170" i="16"/>
  <c r="FO170" i="16"/>
  <c r="FQ170" i="16"/>
  <c r="FS170" i="16"/>
  <c r="FU170" i="16"/>
  <c r="FW170" i="16"/>
  <c r="FY170" i="16"/>
  <c r="GA170" i="16"/>
  <c r="GC170" i="16"/>
  <c r="CZ170" i="16"/>
  <c r="DB170" i="16"/>
  <c r="DD170" i="16"/>
  <c r="DF170" i="16"/>
  <c r="DH170" i="16"/>
  <c r="DJ170" i="16"/>
  <c r="DL170" i="16"/>
  <c r="DN170" i="16"/>
  <c r="DP170" i="16"/>
  <c r="DR170" i="16"/>
  <c r="DT170" i="16"/>
  <c r="DV170" i="16"/>
  <c r="DX170" i="16"/>
  <c r="DZ170" i="16"/>
  <c r="EB170" i="16"/>
  <c r="ED170" i="16"/>
  <c r="EF170" i="16"/>
  <c r="EH170" i="16"/>
  <c r="EJ170" i="16"/>
  <c r="EL170" i="16"/>
  <c r="EN170" i="16"/>
  <c r="EP170" i="16"/>
  <c r="ER170" i="16"/>
  <c r="ET170" i="16"/>
  <c r="EV170" i="16"/>
  <c r="EX170" i="16"/>
  <c r="EZ170" i="16"/>
  <c r="FB170" i="16"/>
  <c r="FD170" i="16"/>
  <c r="FF170" i="16"/>
  <c r="FH170" i="16"/>
  <c r="FJ170" i="16"/>
  <c r="FL170" i="16"/>
  <c r="FN170" i="16"/>
  <c r="FP170" i="16"/>
  <c r="FR170" i="16"/>
  <c r="FT170" i="16"/>
  <c r="FV170" i="16"/>
  <c r="FX170" i="16"/>
  <c r="FZ170" i="16"/>
  <c r="GB170" i="16"/>
  <c r="GD170" i="16"/>
  <c r="CY172" i="16"/>
  <c r="DA172" i="16"/>
  <c r="DC172" i="16"/>
  <c r="DE172" i="16"/>
  <c r="DG172" i="16"/>
  <c r="DI172" i="16"/>
  <c r="DK172" i="16"/>
  <c r="DM172" i="16"/>
  <c r="DO172" i="16"/>
  <c r="DQ172" i="16"/>
  <c r="DS172" i="16"/>
  <c r="DU172" i="16"/>
  <c r="DW172" i="16"/>
  <c r="DY172" i="16"/>
  <c r="EA172" i="16"/>
  <c r="EC172" i="16"/>
  <c r="EE172" i="16"/>
  <c r="EG172" i="16"/>
  <c r="EI172" i="16"/>
  <c r="EK172" i="16"/>
  <c r="EM172" i="16"/>
  <c r="EO172" i="16"/>
  <c r="EQ172" i="16"/>
  <c r="ES172" i="16"/>
  <c r="EU172" i="16"/>
  <c r="EW172" i="16"/>
  <c r="EY172" i="16"/>
  <c r="FA172" i="16"/>
  <c r="FC172" i="16"/>
  <c r="FE172" i="16"/>
  <c r="FG172" i="16"/>
  <c r="FI172" i="16"/>
  <c r="FK172" i="16"/>
  <c r="FM172" i="16"/>
  <c r="FO172" i="16"/>
  <c r="FQ172" i="16"/>
  <c r="FS172" i="16"/>
  <c r="FU172" i="16"/>
  <c r="FW172" i="16"/>
  <c r="FY172" i="16"/>
  <c r="GA172" i="16"/>
  <c r="GC172" i="16"/>
  <c r="CZ172" i="16"/>
  <c r="DB172" i="16"/>
  <c r="DD172" i="16"/>
  <c r="DF172" i="16"/>
  <c r="DH172" i="16"/>
  <c r="DJ172" i="16"/>
  <c r="DL172" i="16"/>
  <c r="DN172" i="16"/>
  <c r="DP172" i="16"/>
  <c r="DR172" i="16"/>
  <c r="DT172" i="16"/>
  <c r="DV172" i="16"/>
  <c r="DX172" i="16"/>
  <c r="DZ172" i="16"/>
  <c r="EB172" i="16"/>
  <c r="ED172" i="16"/>
  <c r="EF172" i="16"/>
  <c r="EH172" i="16"/>
  <c r="EJ172" i="16"/>
  <c r="EL172" i="16"/>
  <c r="EN172" i="16"/>
  <c r="EP172" i="16"/>
  <c r="ER172" i="16"/>
  <c r="ET172" i="16"/>
  <c r="EV172" i="16"/>
  <c r="EX172" i="16"/>
  <c r="EZ172" i="16"/>
  <c r="FB172" i="16"/>
  <c r="FD172" i="16"/>
  <c r="FF172" i="16"/>
  <c r="FH172" i="16"/>
  <c r="FJ172" i="16"/>
  <c r="FL172" i="16"/>
  <c r="FN172" i="16"/>
  <c r="FP172" i="16"/>
  <c r="FR172" i="16"/>
  <c r="FT172" i="16"/>
  <c r="FV172" i="16"/>
  <c r="FX172" i="16"/>
  <c r="FZ172" i="16"/>
  <c r="GB172" i="16"/>
  <c r="GD172" i="16"/>
  <c r="CY174" i="16"/>
  <c r="DA174" i="16"/>
  <c r="DC174" i="16"/>
  <c r="DE174" i="16"/>
  <c r="DG174" i="16"/>
  <c r="DI174" i="16"/>
  <c r="DK174" i="16"/>
  <c r="DM174" i="16"/>
  <c r="DO174" i="16"/>
  <c r="DQ174" i="16"/>
  <c r="DS174" i="16"/>
  <c r="DU174" i="16"/>
  <c r="DW174" i="16"/>
  <c r="DY174" i="16"/>
  <c r="EA174" i="16"/>
  <c r="EC174" i="16"/>
  <c r="EE174" i="16"/>
  <c r="EG174" i="16"/>
  <c r="EI174" i="16"/>
  <c r="EK174" i="16"/>
  <c r="EM174" i="16"/>
  <c r="EO174" i="16"/>
  <c r="EQ174" i="16"/>
  <c r="ES174" i="16"/>
  <c r="EU174" i="16"/>
  <c r="EW174" i="16"/>
  <c r="EY174" i="16"/>
  <c r="FA174" i="16"/>
  <c r="FC174" i="16"/>
  <c r="FE174" i="16"/>
  <c r="FG174" i="16"/>
  <c r="FI174" i="16"/>
  <c r="FK174" i="16"/>
  <c r="FM174" i="16"/>
  <c r="FO174" i="16"/>
  <c r="FQ174" i="16"/>
  <c r="FS174" i="16"/>
  <c r="FU174" i="16"/>
  <c r="FW174" i="16"/>
  <c r="FY174" i="16"/>
  <c r="GA174" i="16"/>
  <c r="GC174" i="16"/>
  <c r="CZ174" i="16"/>
  <c r="DB174" i="16"/>
  <c r="DD174" i="16"/>
  <c r="DF174" i="16"/>
  <c r="DH174" i="16"/>
  <c r="DJ174" i="16"/>
  <c r="DL174" i="16"/>
  <c r="DN174" i="16"/>
  <c r="DP174" i="16"/>
  <c r="DR174" i="16"/>
  <c r="DT174" i="16"/>
  <c r="DV174" i="16"/>
  <c r="DX174" i="16"/>
  <c r="DZ174" i="16"/>
  <c r="EB174" i="16"/>
  <c r="ED174" i="16"/>
  <c r="EF174" i="16"/>
  <c r="EH174" i="16"/>
  <c r="EJ174" i="16"/>
  <c r="EL174" i="16"/>
  <c r="EN174" i="16"/>
  <c r="EP174" i="16"/>
  <c r="ER174" i="16"/>
  <c r="ET174" i="16"/>
  <c r="EV174" i="16"/>
  <c r="EX174" i="16"/>
  <c r="EZ174" i="16"/>
  <c r="FB174" i="16"/>
  <c r="FD174" i="16"/>
  <c r="FF174" i="16"/>
  <c r="FH174" i="16"/>
  <c r="FJ174" i="16"/>
  <c r="FL174" i="16"/>
  <c r="FN174" i="16"/>
  <c r="FP174" i="16"/>
  <c r="FR174" i="16"/>
  <c r="FT174" i="16"/>
  <c r="FV174" i="16"/>
  <c r="FX174" i="16"/>
  <c r="FZ174" i="16"/>
  <c r="GB174" i="16"/>
  <c r="GD174" i="16"/>
  <c r="CY176" i="16"/>
  <c r="DA176" i="16"/>
  <c r="DC176" i="16"/>
  <c r="DE176" i="16"/>
  <c r="DG176" i="16"/>
  <c r="DI176" i="16"/>
  <c r="DK176" i="16"/>
  <c r="DM176" i="16"/>
  <c r="DO176" i="16"/>
  <c r="DQ176" i="16"/>
  <c r="DS176" i="16"/>
  <c r="DU176" i="16"/>
  <c r="DW176" i="16"/>
  <c r="DY176" i="16"/>
  <c r="EA176" i="16"/>
  <c r="EC176" i="16"/>
  <c r="EE176" i="16"/>
  <c r="EG176" i="16"/>
  <c r="EI176" i="16"/>
  <c r="EK176" i="16"/>
  <c r="EM176" i="16"/>
  <c r="EO176" i="16"/>
  <c r="EQ176" i="16"/>
  <c r="ES176" i="16"/>
  <c r="EU176" i="16"/>
  <c r="EW176" i="16"/>
  <c r="EY176" i="16"/>
  <c r="FA176" i="16"/>
  <c r="FC176" i="16"/>
  <c r="FE176" i="16"/>
  <c r="FG176" i="16"/>
  <c r="FI176" i="16"/>
  <c r="FK176" i="16"/>
  <c r="FM176" i="16"/>
  <c r="FO176" i="16"/>
  <c r="FQ176" i="16"/>
  <c r="FS176" i="16"/>
  <c r="FU176" i="16"/>
  <c r="FW176" i="16"/>
  <c r="FY176" i="16"/>
  <c r="GA176" i="16"/>
  <c r="GC176" i="16"/>
  <c r="CZ176" i="16"/>
  <c r="DB176" i="16"/>
  <c r="DD176" i="16"/>
  <c r="DF176" i="16"/>
  <c r="DH176" i="16"/>
  <c r="DJ176" i="16"/>
  <c r="DL176" i="16"/>
  <c r="DN176" i="16"/>
  <c r="DP176" i="16"/>
  <c r="DR176" i="16"/>
  <c r="DT176" i="16"/>
  <c r="DV176" i="16"/>
  <c r="DX176" i="16"/>
  <c r="DZ176" i="16"/>
  <c r="EB176" i="16"/>
  <c r="ED176" i="16"/>
  <c r="EF176" i="16"/>
  <c r="EH176" i="16"/>
  <c r="EJ176" i="16"/>
  <c r="EL176" i="16"/>
  <c r="EN176" i="16"/>
  <c r="EP176" i="16"/>
  <c r="ER176" i="16"/>
  <c r="ET176" i="16"/>
  <c r="EV176" i="16"/>
  <c r="EX176" i="16"/>
  <c r="EZ176" i="16"/>
  <c r="FB176" i="16"/>
  <c r="FD176" i="16"/>
  <c r="FF176" i="16"/>
  <c r="FH176" i="16"/>
  <c r="FJ176" i="16"/>
  <c r="FL176" i="16"/>
  <c r="FN176" i="16"/>
  <c r="FP176" i="16"/>
  <c r="FR176" i="16"/>
  <c r="FT176" i="16"/>
  <c r="FV176" i="16"/>
  <c r="FX176" i="16"/>
  <c r="FZ176" i="16"/>
  <c r="GB176" i="16"/>
  <c r="GD176" i="16"/>
  <c r="CY178" i="16"/>
  <c r="DA178" i="16"/>
  <c r="DC178" i="16"/>
  <c r="DE178" i="16"/>
  <c r="DG178" i="16"/>
  <c r="DI178" i="16"/>
  <c r="DK178" i="16"/>
  <c r="DM178" i="16"/>
  <c r="DO178" i="16"/>
  <c r="DQ178" i="16"/>
  <c r="DS178" i="16"/>
  <c r="DU178" i="16"/>
  <c r="DW178" i="16"/>
  <c r="DY178" i="16"/>
  <c r="EA178" i="16"/>
  <c r="EC178" i="16"/>
  <c r="EE178" i="16"/>
  <c r="EG178" i="16"/>
  <c r="EI178" i="16"/>
  <c r="EK178" i="16"/>
  <c r="EM178" i="16"/>
  <c r="EO178" i="16"/>
  <c r="EQ178" i="16"/>
  <c r="ES178" i="16"/>
  <c r="EU178" i="16"/>
  <c r="EW178" i="16"/>
  <c r="EY178" i="16"/>
  <c r="FA178" i="16"/>
  <c r="FC178" i="16"/>
  <c r="FE178" i="16"/>
  <c r="FG178" i="16"/>
  <c r="FI178" i="16"/>
  <c r="FK178" i="16"/>
  <c r="FM178" i="16"/>
  <c r="FO178" i="16"/>
  <c r="FQ178" i="16"/>
  <c r="FS178" i="16"/>
  <c r="FU178" i="16"/>
  <c r="FW178" i="16"/>
  <c r="FY178" i="16"/>
  <c r="GA178" i="16"/>
  <c r="GC178" i="16"/>
  <c r="CZ178" i="16"/>
  <c r="DB178" i="16"/>
  <c r="DD178" i="16"/>
  <c r="DF178" i="16"/>
  <c r="DH178" i="16"/>
  <c r="DJ178" i="16"/>
  <c r="DL178" i="16"/>
  <c r="DN178" i="16"/>
  <c r="DP178" i="16"/>
  <c r="DR178" i="16"/>
  <c r="DT178" i="16"/>
  <c r="DV178" i="16"/>
  <c r="DX178" i="16"/>
  <c r="DZ178" i="16"/>
  <c r="EB178" i="16"/>
  <c r="ED178" i="16"/>
  <c r="EF178" i="16"/>
  <c r="EH178" i="16"/>
  <c r="EJ178" i="16"/>
  <c r="EL178" i="16"/>
  <c r="EN178" i="16"/>
  <c r="EP178" i="16"/>
  <c r="ER178" i="16"/>
  <c r="ET178" i="16"/>
  <c r="EV178" i="16"/>
  <c r="EX178" i="16"/>
  <c r="EZ178" i="16"/>
  <c r="FB178" i="16"/>
  <c r="FD178" i="16"/>
  <c r="FF178" i="16"/>
  <c r="FH178" i="16"/>
  <c r="FJ178" i="16"/>
  <c r="FL178" i="16"/>
  <c r="FN178" i="16"/>
  <c r="FP178" i="16"/>
  <c r="FR178" i="16"/>
  <c r="FT178" i="16"/>
  <c r="FV178" i="16"/>
  <c r="FX178" i="16"/>
  <c r="FZ178" i="16"/>
  <c r="GB178" i="16"/>
  <c r="GD178" i="16"/>
  <c r="CY180" i="16"/>
  <c r="DA180" i="16"/>
  <c r="DC180" i="16"/>
  <c r="DE180" i="16"/>
  <c r="DG180" i="16"/>
  <c r="DI180" i="16"/>
  <c r="DK180" i="16"/>
  <c r="DM180" i="16"/>
  <c r="DO180" i="16"/>
  <c r="DQ180" i="16"/>
  <c r="DS180" i="16"/>
  <c r="DU180" i="16"/>
  <c r="DW180" i="16"/>
  <c r="DY180" i="16"/>
  <c r="EA180" i="16"/>
  <c r="EC180" i="16"/>
  <c r="EE180" i="16"/>
  <c r="EG180" i="16"/>
  <c r="EI180" i="16"/>
  <c r="EK180" i="16"/>
  <c r="EM180" i="16"/>
  <c r="EO180" i="16"/>
  <c r="EQ180" i="16"/>
  <c r="ES180" i="16"/>
  <c r="EU180" i="16"/>
  <c r="EW180" i="16"/>
  <c r="EY180" i="16"/>
  <c r="FA180" i="16"/>
  <c r="FC180" i="16"/>
  <c r="FE180" i="16"/>
  <c r="FG180" i="16"/>
  <c r="FI180" i="16"/>
  <c r="FK180" i="16"/>
  <c r="FM180" i="16"/>
  <c r="FO180" i="16"/>
  <c r="FQ180" i="16"/>
  <c r="FS180" i="16"/>
  <c r="FU180" i="16"/>
  <c r="FW180" i="16"/>
  <c r="FY180" i="16"/>
  <c r="GA180" i="16"/>
  <c r="GC180" i="16"/>
  <c r="CZ180" i="16"/>
  <c r="DB180" i="16"/>
  <c r="DD180" i="16"/>
  <c r="DF180" i="16"/>
  <c r="DH180" i="16"/>
  <c r="DJ180" i="16"/>
  <c r="DL180" i="16"/>
  <c r="DN180" i="16"/>
  <c r="DP180" i="16"/>
  <c r="DR180" i="16"/>
  <c r="DT180" i="16"/>
  <c r="DV180" i="16"/>
  <c r="DX180" i="16"/>
  <c r="DZ180" i="16"/>
  <c r="EB180" i="16"/>
  <c r="ED180" i="16"/>
  <c r="EF180" i="16"/>
  <c r="EH180" i="16"/>
  <c r="EJ180" i="16"/>
  <c r="EL180" i="16"/>
  <c r="EN180" i="16"/>
  <c r="EP180" i="16"/>
  <c r="ER180" i="16"/>
  <c r="ET180" i="16"/>
  <c r="EV180" i="16"/>
  <c r="EX180" i="16"/>
  <c r="EZ180" i="16"/>
  <c r="FB180" i="16"/>
  <c r="FD180" i="16"/>
  <c r="FF180" i="16"/>
  <c r="FH180" i="16"/>
  <c r="FJ180" i="16"/>
  <c r="FL180" i="16"/>
  <c r="FN180" i="16"/>
  <c r="FP180" i="16"/>
  <c r="FR180" i="16"/>
  <c r="FT180" i="16"/>
  <c r="FV180" i="16"/>
  <c r="FX180" i="16"/>
  <c r="FZ180" i="16"/>
  <c r="GB180" i="16"/>
  <c r="GD180" i="16"/>
  <c r="CY182" i="16"/>
  <c r="DA182" i="16"/>
  <c r="DC182" i="16"/>
  <c r="DE182" i="16"/>
  <c r="DG182" i="16"/>
  <c r="DI182" i="16"/>
  <c r="DK182" i="16"/>
  <c r="DM182" i="16"/>
  <c r="DO182" i="16"/>
  <c r="DQ182" i="16"/>
  <c r="DS182" i="16"/>
  <c r="DU182" i="16"/>
  <c r="DW182" i="16"/>
  <c r="DY182" i="16"/>
  <c r="EA182" i="16"/>
  <c r="EC182" i="16"/>
  <c r="EE182" i="16"/>
  <c r="EG182" i="16"/>
  <c r="EI182" i="16"/>
  <c r="EK182" i="16"/>
  <c r="EM182" i="16"/>
  <c r="EO182" i="16"/>
  <c r="EQ182" i="16"/>
  <c r="ES182" i="16"/>
  <c r="EU182" i="16"/>
  <c r="EW182" i="16"/>
  <c r="EY182" i="16"/>
  <c r="FA182" i="16"/>
  <c r="FC182" i="16"/>
  <c r="FE182" i="16"/>
  <c r="FG182" i="16"/>
  <c r="FI182" i="16"/>
  <c r="FK182" i="16"/>
  <c r="FM182" i="16"/>
  <c r="FO182" i="16"/>
  <c r="FQ182" i="16"/>
  <c r="FS182" i="16"/>
  <c r="FU182" i="16"/>
  <c r="FW182" i="16"/>
  <c r="FY182" i="16"/>
  <c r="GA182" i="16"/>
  <c r="GC182" i="16"/>
  <c r="CZ182" i="16"/>
  <c r="DB182" i="16"/>
  <c r="DD182" i="16"/>
  <c r="DF182" i="16"/>
  <c r="DH182" i="16"/>
  <c r="DJ182" i="16"/>
  <c r="DL182" i="16"/>
  <c r="DN182" i="16"/>
  <c r="DP182" i="16"/>
  <c r="DR182" i="16"/>
  <c r="DT182" i="16"/>
  <c r="DV182" i="16"/>
  <c r="DX182" i="16"/>
  <c r="DZ182" i="16"/>
  <c r="EB182" i="16"/>
  <c r="ED182" i="16"/>
  <c r="EF182" i="16"/>
  <c r="EH182" i="16"/>
  <c r="EJ182" i="16"/>
  <c r="EL182" i="16"/>
  <c r="EN182" i="16"/>
  <c r="EP182" i="16"/>
  <c r="ER182" i="16"/>
  <c r="ET182" i="16"/>
  <c r="EV182" i="16"/>
  <c r="EX182" i="16"/>
  <c r="EZ182" i="16"/>
  <c r="FB182" i="16"/>
  <c r="FD182" i="16"/>
  <c r="FF182" i="16"/>
  <c r="FH182" i="16"/>
  <c r="FJ182" i="16"/>
  <c r="FL182" i="16"/>
  <c r="FN182" i="16"/>
  <c r="FP182" i="16"/>
  <c r="FR182" i="16"/>
  <c r="FT182" i="16"/>
  <c r="FV182" i="16"/>
  <c r="FX182" i="16"/>
  <c r="FZ182" i="16"/>
  <c r="GB182" i="16"/>
  <c r="GD182" i="16"/>
  <c r="CY184" i="16"/>
  <c r="DA184" i="16"/>
  <c r="DC184" i="16"/>
  <c r="DE184" i="16"/>
  <c r="DG184" i="16"/>
  <c r="DI184" i="16"/>
  <c r="DK184" i="16"/>
  <c r="DM184" i="16"/>
  <c r="DO184" i="16"/>
  <c r="DQ184" i="16"/>
  <c r="DS184" i="16"/>
  <c r="DU184" i="16"/>
  <c r="DW184" i="16"/>
  <c r="DY184" i="16"/>
  <c r="EA184" i="16"/>
  <c r="EC184" i="16"/>
  <c r="EE184" i="16"/>
  <c r="EG184" i="16"/>
  <c r="EI184" i="16"/>
  <c r="EK184" i="16"/>
  <c r="EM184" i="16"/>
  <c r="EO184" i="16"/>
  <c r="EQ184" i="16"/>
  <c r="ES184" i="16"/>
  <c r="EU184" i="16"/>
  <c r="EW184" i="16"/>
  <c r="EY184" i="16"/>
  <c r="FA184" i="16"/>
  <c r="FC184" i="16"/>
  <c r="FE184" i="16"/>
  <c r="FG184" i="16"/>
  <c r="FI184" i="16"/>
  <c r="FK184" i="16"/>
  <c r="FM184" i="16"/>
  <c r="FO184" i="16"/>
  <c r="FQ184" i="16"/>
  <c r="FS184" i="16"/>
  <c r="FU184" i="16"/>
  <c r="FW184" i="16"/>
  <c r="FY184" i="16"/>
  <c r="GA184" i="16"/>
  <c r="GC184" i="16"/>
  <c r="CZ184" i="16"/>
  <c r="DB184" i="16"/>
  <c r="DD184" i="16"/>
  <c r="DF184" i="16"/>
  <c r="DH184" i="16"/>
  <c r="DJ184" i="16"/>
  <c r="DL184" i="16"/>
  <c r="DN184" i="16"/>
  <c r="DP184" i="16"/>
  <c r="DR184" i="16"/>
  <c r="DT184" i="16"/>
  <c r="DV184" i="16"/>
  <c r="DX184" i="16"/>
  <c r="DZ184" i="16"/>
  <c r="EB184" i="16"/>
  <c r="ED184" i="16"/>
  <c r="EF184" i="16"/>
  <c r="EH184" i="16"/>
  <c r="EJ184" i="16"/>
  <c r="EL184" i="16"/>
  <c r="EN184" i="16"/>
  <c r="EP184" i="16"/>
  <c r="ER184" i="16"/>
  <c r="ET184" i="16"/>
  <c r="EV184" i="16"/>
  <c r="EX184" i="16"/>
  <c r="EZ184" i="16"/>
  <c r="FB184" i="16"/>
  <c r="FD184" i="16"/>
  <c r="FF184" i="16"/>
  <c r="FH184" i="16"/>
  <c r="FJ184" i="16"/>
  <c r="FL184" i="16"/>
  <c r="FN184" i="16"/>
  <c r="FP184" i="16"/>
  <c r="FR184" i="16"/>
  <c r="FT184" i="16"/>
  <c r="FV184" i="16"/>
  <c r="FX184" i="16"/>
  <c r="FZ184" i="16"/>
  <c r="GB184" i="16"/>
  <c r="GD184" i="16"/>
  <c r="CY186" i="16"/>
  <c r="DA186" i="16"/>
  <c r="DC186" i="16"/>
  <c r="DE186" i="16"/>
  <c r="DG186" i="16"/>
  <c r="DI186" i="16"/>
  <c r="DK186" i="16"/>
  <c r="DM186" i="16"/>
  <c r="DO186" i="16"/>
  <c r="DQ186" i="16"/>
  <c r="DS186" i="16"/>
  <c r="DU186" i="16"/>
  <c r="DW186" i="16"/>
  <c r="DY186" i="16"/>
  <c r="EA186" i="16"/>
  <c r="EC186" i="16"/>
  <c r="EE186" i="16"/>
  <c r="EG186" i="16"/>
  <c r="EI186" i="16"/>
  <c r="EK186" i="16"/>
  <c r="EM186" i="16"/>
  <c r="EO186" i="16"/>
  <c r="EQ186" i="16"/>
  <c r="ES186" i="16"/>
  <c r="EU186" i="16"/>
  <c r="EW186" i="16"/>
  <c r="EY186" i="16"/>
  <c r="FA186" i="16"/>
  <c r="FC186" i="16"/>
  <c r="FE186" i="16"/>
  <c r="FG186" i="16"/>
  <c r="FI186" i="16"/>
  <c r="FK186" i="16"/>
  <c r="FM186" i="16"/>
  <c r="FO186" i="16"/>
  <c r="FQ186" i="16"/>
  <c r="FS186" i="16"/>
  <c r="FU186" i="16"/>
  <c r="FW186" i="16"/>
  <c r="FY186" i="16"/>
  <c r="GA186" i="16"/>
  <c r="GC186" i="16"/>
  <c r="CZ186" i="16"/>
  <c r="DB186" i="16"/>
  <c r="DD186" i="16"/>
  <c r="DF186" i="16"/>
  <c r="DH186" i="16"/>
  <c r="DJ186" i="16"/>
  <c r="DL186" i="16"/>
  <c r="DN186" i="16"/>
  <c r="DP186" i="16"/>
  <c r="DR186" i="16"/>
  <c r="DT186" i="16"/>
  <c r="DV186" i="16"/>
  <c r="DX186" i="16"/>
  <c r="DZ186" i="16"/>
  <c r="EB186" i="16"/>
  <c r="ED186" i="16"/>
  <c r="EF186" i="16"/>
  <c r="EH186" i="16"/>
  <c r="EJ186" i="16"/>
  <c r="EL186" i="16"/>
  <c r="EN186" i="16"/>
  <c r="EP186" i="16"/>
  <c r="ER186" i="16"/>
  <c r="ET186" i="16"/>
  <c r="EV186" i="16"/>
  <c r="EX186" i="16"/>
  <c r="EZ186" i="16"/>
  <c r="FB186" i="16"/>
  <c r="FD186" i="16"/>
  <c r="FF186" i="16"/>
  <c r="FH186" i="16"/>
  <c r="FJ186" i="16"/>
  <c r="FL186" i="16"/>
  <c r="FN186" i="16"/>
  <c r="FP186" i="16"/>
  <c r="FR186" i="16"/>
  <c r="FT186" i="16"/>
  <c r="FV186" i="16"/>
  <c r="FX186" i="16"/>
  <c r="FZ186" i="16"/>
  <c r="GB186" i="16"/>
  <c r="GD186" i="16"/>
  <c r="CZ187" i="16"/>
  <c r="DB187" i="16"/>
  <c r="DD187" i="16"/>
  <c r="DF187" i="16"/>
  <c r="DH187" i="16"/>
  <c r="DJ187" i="16"/>
  <c r="DL187" i="16"/>
  <c r="DN187" i="16"/>
  <c r="DP187" i="16"/>
  <c r="DR187" i="16"/>
  <c r="DT187" i="16"/>
  <c r="DV187" i="16"/>
  <c r="DX187" i="16"/>
  <c r="DZ187" i="16"/>
  <c r="EB187" i="16"/>
  <c r="ED187" i="16"/>
  <c r="EF187" i="16"/>
  <c r="EH187" i="16"/>
  <c r="EJ187" i="16"/>
  <c r="EL187" i="16"/>
  <c r="EN187" i="16"/>
  <c r="EP187" i="16"/>
  <c r="ER187" i="16"/>
  <c r="ET187" i="16"/>
  <c r="EV187" i="16"/>
  <c r="EX187" i="16"/>
  <c r="EZ187" i="16"/>
  <c r="FB187" i="16"/>
  <c r="FD187" i="16"/>
  <c r="FF187" i="16"/>
  <c r="FH187" i="16"/>
  <c r="FJ187" i="16"/>
  <c r="FL187" i="16"/>
  <c r="FN187" i="16"/>
  <c r="FP187" i="16"/>
  <c r="FR187" i="16"/>
  <c r="FT187" i="16"/>
  <c r="FV187" i="16"/>
  <c r="FX187" i="16"/>
  <c r="FZ187" i="16"/>
  <c r="GB187" i="16"/>
  <c r="GD187" i="16"/>
  <c r="CY187" i="16"/>
  <c r="DA187" i="16"/>
  <c r="DC187" i="16"/>
  <c r="DE187" i="16"/>
  <c r="DG187" i="16"/>
  <c r="DI187" i="16"/>
  <c r="DK187" i="16"/>
  <c r="DM187" i="16"/>
  <c r="DO187" i="16"/>
  <c r="DQ187" i="16"/>
  <c r="DS187" i="16"/>
  <c r="DU187" i="16"/>
  <c r="DW187" i="16"/>
  <c r="DY187" i="16"/>
  <c r="EA187" i="16"/>
  <c r="EC187" i="16"/>
  <c r="EE187" i="16"/>
  <c r="EG187" i="16"/>
  <c r="EI187" i="16"/>
  <c r="EK187" i="16"/>
  <c r="EM187" i="16"/>
  <c r="EO187" i="16"/>
  <c r="EQ187" i="16"/>
  <c r="ES187" i="16"/>
  <c r="EU187" i="16"/>
  <c r="EW187" i="16"/>
  <c r="EY187" i="16"/>
  <c r="FA187" i="16"/>
  <c r="FC187" i="16"/>
  <c r="FE187" i="16"/>
  <c r="FG187" i="16"/>
  <c r="FI187" i="16"/>
  <c r="FK187" i="16"/>
  <c r="FM187" i="16"/>
  <c r="FO187" i="16"/>
  <c r="FQ187" i="16"/>
  <c r="FS187" i="16"/>
  <c r="FU187" i="16"/>
  <c r="FW187" i="16"/>
  <c r="FY187" i="16"/>
  <c r="GA187" i="16"/>
  <c r="GC187" i="16"/>
  <c r="CZ189" i="16"/>
  <c r="DB189" i="16"/>
  <c r="DD189" i="16"/>
  <c r="DF189" i="16"/>
  <c r="DH189" i="16"/>
  <c r="DJ189" i="16"/>
  <c r="DL189" i="16"/>
  <c r="DN189" i="16"/>
  <c r="DP189" i="16"/>
  <c r="DR189" i="16"/>
  <c r="DT189" i="16"/>
  <c r="DV189" i="16"/>
  <c r="DX189" i="16"/>
  <c r="DZ189" i="16"/>
  <c r="EB189" i="16"/>
  <c r="ED189" i="16"/>
  <c r="EF189" i="16"/>
  <c r="EH189" i="16"/>
  <c r="EJ189" i="16"/>
  <c r="EL189" i="16"/>
  <c r="EN189" i="16"/>
  <c r="EP189" i="16"/>
  <c r="ER189" i="16"/>
  <c r="ET189" i="16"/>
  <c r="EV189" i="16"/>
  <c r="EX189" i="16"/>
  <c r="EZ189" i="16"/>
  <c r="FB189" i="16"/>
  <c r="FD189" i="16"/>
  <c r="FF189" i="16"/>
  <c r="FH189" i="16"/>
  <c r="FJ189" i="16"/>
  <c r="FL189" i="16"/>
  <c r="FN189" i="16"/>
  <c r="FP189" i="16"/>
  <c r="FR189" i="16"/>
  <c r="FT189" i="16"/>
  <c r="FV189" i="16"/>
  <c r="FX189" i="16"/>
  <c r="FZ189" i="16"/>
  <c r="GB189" i="16"/>
  <c r="GD189" i="16"/>
  <c r="CY189" i="16"/>
  <c r="DA189" i="16"/>
  <c r="DC189" i="16"/>
  <c r="DE189" i="16"/>
  <c r="DG189" i="16"/>
  <c r="DI189" i="16"/>
  <c r="DK189" i="16"/>
  <c r="DM189" i="16"/>
  <c r="DO189" i="16"/>
  <c r="DQ189" i="16"/>
  <c r="DS189" i="16"/>
  <c r="DU189" i="16"/>
  <c r="DW189" i="16"/>
  <c r="DY189" i="16"/>
  <c r="EA189" i="16"/>
  <c r="EC189" i="16"/>
  <c r="EE189" i="16"/>
  <c r="EG189" i="16"/>
  <c r="EI189" i="16"/>
  <c r="EK189" i="16"/>
  <c r="EM189" i="16"/>
  <c r="EO189" i="16"/>
  <c r="EQ189" i="16"/>
  <c r="ES189" i="16"/>
  <c r="EU189" i="16"/>
  <c r="EW189" i="16"/>
  <c r="EY189" i="16"/>
  <c r="FA189" i="16"/>
  <c r="FC189" i="16"/>
  <c r="FE189" i="16"/>
  <c r="FG189" i="16"/>
  <c r="FI189" i="16"/>
  <c r="FK189" i="16"/>
  <c r="FM189" i="16"/>
  <c r="FO189" i="16"/>
  <c r="FQ189" i="16"/>
  <c r="FS189" i="16"/>
  <c r="FU189" i="16"/>
  <c r="FW189" i="16"/>
  <c r="FY189" i="16"/>
  <c r="GA189" i="16"/>
  <c r="GC189" i="16"/>
  <c r="CY192" i="16"/>
  <c r="DA192" i="16"/>
  <c r="DC192" i="16"/>
  <c r="DE192" i="16"/>
  <c r="DG192" i="16"/>
  <c r="DI192" i="16"/>
  <c r="DK192" i="16"/>
  <c r="DM192" i="16"/>
  <c r="DO192" i="16"/>
  <c r="DQ192" i="16"/>
  <c r="DS192" i="16"/>
  <c r="DU192" i="16"/>
  <c r="DW192" i="16"/>
  <c r="DY192" i="16"/>
  <c r="EA192" i="16"/>
  <c r="EC192" i="16"/>
  <c r="EE192" i="16"/>
  <c r="EG192" i="16"/>
  <c r="EI192" i="16"/>
  <c r="EK192" i="16"/>
  <c r="EM192" i="16"/>
  <c r="EO192" i="16"/>
  <c r="EQ192" i="16"/>
  <c r="ES192" i="16"/>
  <c r="EU192" i="16"/>
  <c r="EW192" i="16"/>
  <c r="EY192" i="16"/>
  <c r="FA192" i="16"/>
  <c r="FC192" i="16"/>
  <c r="FE192" i="16"/>
  <c r="FG192" i="16"/>
  <c r="FI192" i="16"/>
  <c r="FK192" i="16"/>
  <c r="FM192" i="16"/>
  <c r="FO192" i="16"/>
  <c r="FQ192" i="16"/>
  <c r="FS192" i="16"/>
  <c r="FU192" i="16"/>
  <c r="FW192" i="16"/>
  <c r="FY192" i="16"/>
  <c r="GA192" i="16"/>
  <c r="GC192" i="16"/>
  <c r="CZ192" i="16"/>
  <c r="DB192" i="16"/>
  <c r="DD192" i="16"/>
  <c r="DF192" i="16"/>
  <c r="DH192" i="16"/>
  <c r="DJ192" i="16"/>
  <c r="DL192" i="16"/>
  <c r="DN192" i="16"/>
  <c r="DP192" i="16"/>
  <c r="DR192" i="16"/>
  <c r="DT192" i="16"/>
  <c r="DV192" i="16"/>
  <c r="DX192" i="16"/>
  <c r="DZ192" i="16"/>
  <c r="EB192" i="16"/>
  <c r="ED192" i="16"/>
  <c r="EF192" i="16"/>
  <c r="EH192" i="16"/>
  <c r="EJ192" i="16"/>
  <c r="EL192" i="16"/>
  <c r="EN192" i="16"/>
  <c r="EP192" i="16"/>
  <c r="ER192" i="16"/>
  <c r="ET192" i="16"/>
  <c r="EV192" i="16"/>
  <c r="EX192" i="16"/>
  <c r="EZ192" i="16"/>
  <c r="FB192" i="16"/>
  <c r="FD192" i="16"/>
  <c r="FF192" i="16"/>
  <c r="FH192" i="16"/>
  <c r="FJ192" i="16"/>
  <c r="FL192" i="16"/>
  <c r="FN192" i="16"/>
  <c r="FP192" i="16"/>
  <c r="FR192" i="16"/>
  <c r="FT192" i="16"/>
  <c r="FV192" i="16"/>
  <c r="FX192" i="16"/>
  <c r="FZ192" i="16"/>
  <c r="GB192" i="16"/>
  <c r="GD192" i="16"/>
  <c r="CY194" i="16"/>
  <c r="DA194" i="16"/>
  <c r="DC194" i="16"/>
  <c r="DE194" i="16"/>
  <c r="DG194" i="16"/>
  <c r="DI194" i="16"/>
  <c r="DK194" i="16"/>
  <c r="DM194" i="16"/>
  <c r="DO194" i="16"/>
  <c r="DQ194" i="16"/>
  <c r="DS194" i="16"/>
  <c r="DU194" i="16"/>
  <c r="DW194" i="16"/>
  <c r="DY194" i="16"/>
  <c r="EA194" i="16"/>
  <c r="EC194" i="16"/>
  <c r="EE194" i="16"/>
  <c r="EG194" i="16"/>
  <c r="EI194" i="16"/>
  <c r="EK194" i="16"/>
  <c r="EM194" i="16"/>
  <c r="EO194" i="16"/>
  <c r="EQ194" i="16"/>
  <c r="ES194" i="16"/>
  <c r="EU194" i="16"/>
  <c r="EW194" i="16"/>
  <c r="EY194" i="16"/>
  <c r="FA194" i="16"/>
  <c r="FC194" i="16"/>
  <c r="FE194" i="16"/>
  <c r="FG194" i="16"/>
  <c r="FI194" i="16"/>
  <c r="FK194" i="16"/>
  <c r="FM194" i="16"/>
  <c r="FO194" i="16"/>
  <c r="FQ194" i="16"/>
  <c r="FS194" i="16"/>
  <c r="FU194" i="16"/>
  <c r="FW194" i="16"/>
  <c r="FY194" i="16"/>
  <c r="GA194" i="16"/>
  <c r="GC194" i="16"/>
  <c r="CZ194" i="16"/>
  <c r="DB194" i="16"/>
  <c r="DF194" i="16"/>
  <c r="DJ194" i="16"/>
  <c r="DN194" i="16"/>
  <c r="DR194" i="16"/>
  <c r="DV194" i="16"/>
  <c r="DZ194" i="16"/>
  <c r="ED194" i="16"/>
  <c r="EH194" i="16"/>
  <c r="EL194" i="16"/>
  <c r="EP194" i="16"/>
  <c r="ET194" i="16"/>
  <c r="EX194" i="16"/>
  <c r="FB194" i="16"/>
  <c r="FF194" i="16"/>
  <c r="FJ194" i="16"/>
  <c r="FN194" i="16"/>
  <c r="FR194" i="16"/>
  <c r="FV194" i="16"/>
  <c r="FZ194" i="16"/>
  <c r="GD194" i="16"/>
  <c r="DD194" i="16"/>
  <c r="DH194" i="16"/>
  <c r="DL194" i="16"/>
  <c r="DP194" i="16"/>
  <c r="DT194" i="16"/>
  <c r="DX194" i="16"/>
  <c r="EB194" i="16"/>
  <c r="EF194" i="16"/>
  <c r="EJ194" i="16"/>
  <c r="EN194" i="16"/>
  <c r="ER194" i="16"/>
  <c r="EV194" i="16"/>
  <c r="EZ194" i="16"/>
  <c r="FD194" i="16"/>
  <c r="FH194" i="16"/>
  <c r="FL194" i="16"/>
  <c r="FP194" i="16"/>
  <c r="FT194" i="16"/>
  <c r="FX194" i="16"/>
  <c r="GB194" i="16"/>
  <c r="CZ197" i="16"/>
  <c r="DB197" i="16"/>
  <c r="DD197" i="16"/>
  <c r="DF197" i="16"/>
  <c r="DH197" i="16"/>
  <c r="DJ197" i="16"/>
  <c r="DL197" i="16"/>
  <c r="DN197" i="16"/>
  <c r="DP197" i="16"/>
  <c r="DR197" i="16"/>
  <c r="DT197" i="16"/>
  <c r="DV197" i="16"/>
  <c r="DX197" i="16"/>
  <c r="DZ197" i="16"/>
  <c r="EB197" i="16"/>
  <c r="ED197" i="16"/>
  <c r="EF197" i="16"/>
  <c r="EH197" i="16"/>
  <c r="EJ197" i="16"/>
  <c r="EL197" i="16"/>
  <c r="EN197" i="16"/>
  <c r="EP197" i="16"/>
  <c r="ER197" i="16"/>
  <c r="ET197" i="16"/>
  <c r="EV197" i="16"/>
  <c r="EX197" i="16"/>
  <c r="EZ197" i="16"/>
  <c r="FB197" i="16"/>
  <c r="FD197" i="16"/>
  <c r="FF197" i="16"/>
  <c r="FH197" i="16"/>
  <c r="FJ197" i="16"/>
  <c r="FL197" i="16"/>
  <c r="FN197" i="16"/>
  <c r="FP197" i="16"/>
  <c r="FR197" i="16"/>
  <c r="FT197" i="16"/>
  <c r="FV197" i="16"/>
  <c r="FX197" i="16"/>
  <c r="FZ197" i="16"/>
  <c r="GB197" i="16"/>
  <c r="GD197" i="16"/>
  <c r="CY197" i="16"/>
  <c r="DA197" i="16"/>
  <c r="DC197" i="16"/>
  <c r="DE197" i="16"/>
  <c r="DG197" i="16"/>
  <c r="DI197" i="16"/>
  <c r="DK197" i="16"/>
  <c r="DM197" i="16"/>
  <c r="DO197" i="16"/>
  <c r="DQ197" i="16"/>
  <c r="DS197" i="16"/>
  <c r="DU197" i="16"/>
  <c r="DW197" i="16"/>
  <c r="DY197" i="16"/>
  <c r="EA197" i="16"/>
  <c r="EC197" i="16"/>
  <c r="EE197" i="16"/>
  <c r="EG197" i="16"/>
  <c r="EI197" i="16"/>
  <c r="EK197" i="16"/>
  <c r="EM197" i="16"/>
  <c r="EO197" i="16"/>
  <c r="EQ197" i="16"/>
  <c r="ES197" i="16"/>
  <c r="EU197" i="16"/>
  <c r="EW197" i="16"/>
  <c r="EY197" i="16"/>
  <c r="FA197" i="16"/>
  <c r="FC197" i="16"/>
  <c r="FE197" i="16"/>
  <c r="FG197" i="16"/>
  <c r="FI197" i="16"/>
  <c r="FK197" i="16"/>
  <c r="FM197" i="16"/>
  <c r="FO197" i="16"/>
  <c r="FQ197" i="16"/>
  <c r="FS197" i="16"/>
  <c r="FU197" i="16"/>
  <c r="FW197" i="16"/>
  <c r="FY197" i="16"/>
  <c r="GA197" i="16"/>
  <c r="GC197" i="16"/>
  <c r="CY198" i="16"/>
  <c r="DA198" i="16"/>
  <c r="DC198" i="16"/>
  <c r="DE198" i="16"/>
  <c r="DG198" i="16"/>
  <c r="DI198" i="16"/>
  <c r="DK198" i="16"/>
  <c r="DM198" i="16"/>
  <c r="DO198" i="16"/>
  <c r="DQ198" i="16"/>
  <c r="DS198" i="16"/>
  <c r="DU198" i="16"/>
  <c r="DW198" i="16"/>
  <c r="DY198" i="16"/>
  <c r="EA198" i="16"/>
  <c r="EC198" i="16"/>
  <c r="EE198" i="16"/>
  <c r="EG198" i="16"/>
  <c r="EI198" i="16"/>
  <c r="EK198" i="16"/>
  <c r="EM198" i="16"/>
  <c r="EO198" i="16"/>
  <c r="EQ198" i="16"/>
  <c r="ES198" i="16"/>
  <c r="EU198" i="16"/>
  <c r="EW198" i="16"/>
  <c r="EY198" i="16"/>
  <c r="FA198" i="16"/>
  <c r="FC198" i="16"/>
  <c r="FE198" i="16"/>
  <c r="FG198" i="16"/>
  <c r="FI198" i="16"/>
  <c r="FK198" i="16"/>
  <c r="FM198" i="16"/>
  <c r="FO198" i="16"/>
  <c r="FQ198" i="16"/>
  <c r="FS198" i="16"/>
  <c r="FU198" i="16"/>
  <c r="FW198" i="16"/>
  <c r="FY198" i="16"/>
  <c r="GA198" i="16"/>
  <c r="GC198" i="16"/>
  <c r="CZ198" i="16"/>
  <c r="DB198" i="16"/>
  <c r="DD198" i="16"/>
  <c r="DF198" i="16"/>
  <c r="DH198" i="16"/>
  <c r="DJ198" i="16"/>
  <c r="DL198" i="16"/>
  <c r="DN198" i="16"/>
  <c r="DP198" i="16"/>
  <c r="DR198" i="16"/>
  <c r="DT198" i="16"/>
  <c r="DV198" i="16"/>
  <c r="DX198" i="16"/>
  <c r="DZ198" i="16"/>
  <c r="EB198" i="16"/>
  <c r="ED198" i="16"/>
  <c r="EF198" i="16"/>
  <c r="EH198" i="16"/>
  <c r="EJ198" i="16"/>
  <c r="EL198" i="16"/>
  <c r="EN198" i="16"/>
  <c r="EP198" i="16"/>
  <c r="ER198" i="16"/>
  <c r="ET198" i="16"/>
  <c r="EV198" i="16"/>
  <c r="EX198" i="16"/>
  <c r="EZ198" i="16"/>
  <c r="FB198" i="16"/>
  <c r="FD198" i="16"/>
  <c r="FF198" i="16"/>
  <c r="FH198" i="16"/>
  <c r="FJ198" i="16"/>
  <c r="FL198" i="16"/>
  <c r="FN198" i="16"/>
  <c r="FP198" i="16"/>
  <c r="FR198" i="16"/>
  <c r="FT198" i="16"/>
  <c r="FV198" i="16"/>
  <c r="FX198" i="16"/>
  <c r="FZ198" i="16"/>
  <c r="GB198" i="16"/>
  <c r="GD198" i="16"/>
  <c r="CY200" i="16"/>
  <c r="DA200" i="16"/>
  <c r="DC200" i="16"/>
  <c r="DE200" i="16"/>
  <c r="DG200" i="16"/>
  <c r="DI200" i="16"/>
  <c r="DK200" i="16"/>
  <c r="DM200" i="16"/>
  <c r="DO200" i="16"/>
  <c r="DQ200" i="16"/>
  <c r="DS200" i="16"/>
  <c r="DU200" i="16"/>
  <c r="DW200" i="16"/>
  <c r="DY200" i="16"/>
  <c r="EA200" i="16"/>
  <c r="EC200" i="16"/>
  <c r="EE200" i="16"/>
  <c r="EG200" i="16"/>
  <c r="EI200" i="16"/>
  <c r="EK200" i="16"/>
  <c r="EM200" i="16"/>
  <c r="EO200" i="16"/>
  <c r="EQ200" i="16"/>
  <c r="ES200" i="16"/>
  <c r="EU200" i="16"/>
  <c r="EW200" i="16"/>
  <c r="EY200" i="16"/>
  <c r="FA200" i="16"/>
  <c r="FC200" i="16"/>
  <c r="FE200" i="16"/>
  <c r="FG200" i="16"/>
  <c r="FI200" i="16"/>
  <c r="FK200" i="16"/>
  <c r="FM200" i="16"/>
  <c r="FO200" i="16"/>
  <c r="FQ200" i="16"/>
  <c r="FS200" i="16"/>
  <c r="FU200" i="16"/>
  <c r="FW200" i="16"/>
  <c r="FY200" i="16"/>
  <c r="GA200" i="16"/>
  <c r="GC200" i="16"/>
  <c r="CZ200" i="16"/>
  <c r="DB200" i="16"/>
  <c r="DD200" i="16"/>
  <c r="DF200" i="16"/>
  <c r="DH200" i="16"/>
  <c r="DJ200" i="16"/>
  <c r="DL200" i="16"/>
  <c r="DN200" i="16"/>
  <c r="DP200" i="16"/>
  <c r="DR200" i="16"/>
  <c r="DT200" i="16"/>
  <c r="DV200" i="16"/>
  <c r="DX200" i="16"/>
  <c r="DZ200" i="16"/>
  <c r="EB200" i="16"/>
  <c r="ED200" i="16"/>
  <c r="EF200" i="16"/>
  <c r="EH200" i="16"/>
  <c r="EJ200" i="16"/>
  <c r="EL200" i="16"/>
  <c r="EN200" i="16"/>
  <c r="EP200" i="16"/>
  <c r="ER200" i="16"/>
  <c r="ET200" i="16"/>
  <c r="EV200" i="16"/>
  <c r="EX200" i="16"/>
  <c r="EZ200" i="16"/>
  <c r="FB200" i="16"/>
  <c r="FD200" i="16"/>
  <c r="FF200" i="16"/>
  <c r="FH200" i="16"/>
  <c r="FJ200" i="16"/>
  <c r="FL200" i="16"/>
  <c r="FN200" i="16"/>
  <c r="FP200" i="16"/>
  <c r="FR200" i="16"/>
  <c r="FT200" i="16"/>
  <c r="FV200" i="16"/>
  <c r="FX200" i="16"/>
  <c r="FZ200" i="16"/>
  <c r="GB200" i="16"/>
  <c r="GD200" i="16"/>
  <c r="CY202" i="16"/>
  <c r="DA202" i="16"/>
  <c r="DC202" i="16"/>
  <c r="DE202" i="16"/>
  <c r="DG202" i="16"/>
  <c r="DI202" i="16"/>
  <c r="DK202" i="16"/>
  <c r="DM202" i="16"/>
  <c r="DO202" i="16"/>
  <c r="DQ202" i="16"/>
  <c r="DS202" i="16"/>
  <c r="DU202" i="16"/>
  <c r="DW202" i="16"/>
  <c r="DY202" i="16"/>
  <c r="EA202" i="16"/>
  <c r="EC202" i="16"/>
  <c r="EE202" i="16"/>
  <c r="EG202" i="16"/>
  <c r="EI202" i="16"/>
  <c r="EK202" i="16"/>
  <c r="EM202" i="16"/>
  <c r="EO202" i="16"/>
  <c r="EQ202" i="16"/>
  <c r="ES202" i="16"/>
  <c r="EU202" i="16"/>
  <c r="EW202" i="16"/>
  <c r="EY202" i="16"/>
  <c r="FA202" i="16"/>
  <c r="FC202" i="16"/>
  <c r="FE202" i="16"/>
  <c r="FG202" i="16"/>
  <c r="FI202" i="16"/>
  <c r="FK202" i="16"/>
  <c r="FM202" i="16"/>
  <c r="FO202" i="16"/>
  <c r="FQ202" i="16"/>
  <c r="FS202" i="16"/>
  <c r="FU202" i="16"/>
  <c r="FW202" i="16"/>
  <c r="FY202" i="16"/>
  <c r="GA202" i="16"/>
  <c r="GC202" i="16"/>
  <c r="CZ202" i="16"/>
  <c r="DB202" i="16"/>
  <c r="DD202" i="16"/>
  <c r="DF202" i="16"/>
  <c r="DH202" i="16"/>
  <c r="DJ202" i="16"/>
  <c r="DL202" i="16"/>
  <c r="DN202" i="16"/>
  <c r="DP202" i="16"/>
  <c r="DR202" i="16"/>
  <c r="DT202" i="16"/>
  <c r="DV202" i="16"/>
  <c r="DX202" i="16"/>
  <c r="DZ202" i="16"/>
  <c r="EB202" i="16"/>
  <c r="ED202" i="16"/>
  <c r="EF202" i="16"/>
  <c r="EH202" i="16"/>
  <c r="EJ202" i="16"/>
  <c r="EL202" i="16"/>
  <c r="EN202" i="16"/>
  <c r="EP202" i="16"/>
  <c r="ER202" i="16"/>
  <c r="ET202" i="16"/>
  <c r="EV202" i="16"/>
  <c r="EX202" i="16"/>
  <c r="EZ202" i="16"/>
  <c r="FB202" i="16"/>
  <c r="FD202" i="16"/>
  <c r="FF202" i="16"/>
  <c r="FH202" i="16"/>
  <c r="FJ202" i="16"/>
  <c r="FL202" i="16"/>
  <c r="FN202" i="16"/>
  <c r="FP202" i="16"/>
  <c r="FR202" i="16"/>
  <c r="FT202" i="16"/>
  <c r="FV202" i="16"/>
  <c r="FX202" i="16"/>
  <c r="FZ202" i="16"/>
  <c r="GB202" i="16"/>
  <c r="GD202" i="16"/>
  <c r="CZ205" i="16"/>
  <c r="DB205" i="16"/>
  <c r="DD205" i="16"/>
  <c r="DF205" i="16"/>
  <c r="DH205" i="16"/>
  <c r="DJ205" i="16"/>
  <c r="DL205" i="16"/>
  <c r="DN205" i="16"/>
  <c r="DP205" i="16"/>
  <c r="DR205" i="16"/>
  <c r="DT205" i="16"/>
  <c r="DV205" i="16"/>
  <c r="DX205" i="16"/>
  <c r="DZ205" i="16"/>
  <c r="EB205" i="16"/>
  <c r="ED205" i="16"/>
  <c r="EF205" i="16"/>
  <c r="EH205" i="16"/>
  <c r="EJ205" i="16"/>
  <c r="EL205" i="16"/>
  <c r="EN205" i="16"/>
  <c r="EP205" i="16"/>
  <c r="ER205" i="16"/>
  <c r="ET205" i="16"/>
  <c r="EV205" i="16"/>
  <c r="EX205" i="16"/>
  <c r="EZ205" i="16"/>
  <c r="FB205" i="16"/>
  <c r="FD205" i="16"/>
  <c r="FF205" i="16"/>
  <c r="FH205" i="16"/>
  <c r="FJ205" i="16"/>
  <c r="FL205" i="16"/>
  <c r="FN205" i="16"/>
  <c r="FP205" i="16"/>
  <c r="FR205" i="16"/>
  <c r="FT205" i="16"/>
  <c r="FV205" i="16"/>
  <c r="FX205" i="16"/>
  <c r="FZ205" i="16"/>
  <c r="GB205" i="16"/>
  <c r="GD205" i="16"/>
  <c r="CY205" i="16"/>
  <c r="DA205" i="16"/>
  <c r="DC205" i="16"/>
  <c r="DE205" i="16"/>
  <c r="DG205" i="16"/>
  <c r="DI205" i="16"/>
  <c r="DK205" i="16"/>
  <c r="DM205" i="16"/>
  <c r="DO205" i="16"/>
  <c r="DQ205" i="16"/>
  <c r="DS205" i="16"/>
  <c r="DU205" i="16"/>
  <c r="DW205" i="16"/>
  <c r="DY205" i="16"/>
  <c r="EA205" i="16"/>
  <c r="EC205" i="16"/>
  <c r="EE205" i="16"/>
  <c r="EG205" i="16"/>
  <c r="EI205" i="16"/>
  <c r="EK205" i="16"/>
  <c r="EM205" i="16"/>
  <c r="EO205" i="16"/>
  <c r="EQ205" i="16"/>
  <c r="ES205" i="16"/>
  <c r="EU205" i="16"/>
  <c r="EW205" i="16"/>
  <c r="EY205" i="16"/>
  <c r="FA205" i="16"/>
  <c r="FC205" i="16"/>
  <c r="FE205" i="16"/>
  <c r="FG205" i="16"/>
  <c r="FI205" i="16"/>
  <c r="FK205" i="16"/>
  <c r="FM205" i="16"/>
  <c r="FO205" i="16"/>
  <c r="FQ205" i="16"/>
  <c r="FS205" i="16"/>
  <c r="FU205" i="16"/>
  <c r="FW205" i="16"/>
  <c r="FY205" i="16"/>
  <c r="GA205" i="16"/>
  <c r="GC205" i="16"/>
  <c r="CZ207" i="16"/>
  <c r="DB207" i="16"/>
  <c r="DD207" i="16"/>
  <c r="DF207" i="16"/>
  <c r="DH207" i="16"/>
  <c r="DJ207" i="16"/>
  <c r="DL207" i="16"/>
  <c r="DN207" i="16"/>
  <c r="DP207" i="16"/>
  <c r="DR207" i="16"/>
  <c r="DT207" i="16"/>
  <c r="DV207" i="16"/>
  <c r="DX207" i="16"/>
  <c r="DZ207" i="16"/>
  <c r="EB207" i="16"/>
  <c r="ED207" i="16"/>
  <c r="EF207" i="16"/>
  <c r="EH207" i="16"/>
  <c r="EJ207" i="16"/>
  <c r="EL207" i="16"/>
  <c r="EN207" i="16"/>
  <c r="EP207" i="16"/>
  <c r="ER207" i="16"/>
  <c r="ET207" i="16"/>
  <c r="EV207" i="16"/>
  <c r="EX207" i="16"/>
  <c r="EZ207" i="16"/>
  <c r="FB207" i="16"/>
  <c r="FD207" i="16"/>
  <c r="FF207" i="16"/>
  <c r="FH207" i="16"/>
  <c r="FJ207" i="16"/>
  <c r="FL207" i="16"/>
  <c r="FN207" i="16"/>
  <c r="FP207" i="16"/>
  <c r="FR207" i="16"/>
  <c r="FT207" i="16"/>
  <c r="FV207" i="16"/>
  <c r="FX207" i="16"/>
  <c r="FZ207" i="16"/>
  <c r="GB207" i="16"/>
  <c r="GD207" i="16"/>
  <c r="CY207" i="16"/>
  <c r="DA207" i="16"/>
  <c r="DC207" i="16"/>
  <c r="DE207" i="16"/>
  <c r="DG207" i="16"/>
  <c r="DI207" i="16"/>
  <c r="DK207" i="16"/>
  <c r="DM207" i="16"/>
  <c r="DO207" i="16"/>
  <c r="DQ207" i="16"/>
  <c r="DS207" i="16"/>
  <c r="DU207" i="16"/>
  <c r="DW207" i="16"/>
  <c r="DY207" i="16"/>
  <c r="EA207" i="16"/>
  <c r="EC207" i="16"/>
  <c r="EE207" i="16"/>
  <c r="EG207" i="16"/>
  <c r="EI207" i="16"/>
  <c r="EK207" i="16"/>
  <c r="EM207" i="16"/>
  <c r="EO207" i="16"/>
  <c r="EQ207" i="16"/>
  <c r="ES207" i="16"/>
  <c r="EU207" i="16"/>
  <c r="EW207" i="16"/>
  <c r="EY207" i="16"/>
  <c r="FA207" i="16"/>
  <c r="FC207" i="16"/>
  <c r="FE207" i="16"/>
  <c r="FG207" i="16"/>
  <c r="FI207" i="16"/>
  <c r="FK207" i="16"/>
  <c r="FM207" i="16"/>
  <c r="FO207" i="16"/>
  <c r="FQ207" i="16"/>
  <c r="FS207" i="16"/>
  <c r="FU207" i="16"/>
  <c r="FW207" i="16"/>
  <c r="FY207" i="16"/>
  <c r="GA207" i="16"/>
  <c r="GC207" i="16"/>
  <c r="CZ209" i="16"/>
  <c r="DB209" i="16"/>
  <c r="DD209" i="16"/>
  <c r="DF209" i="16"/>
  <c r="DH209" i="16"/>
  <c r="DJ209" i="16"/>
  <c r="DL209" i="16"/>
  <c r="DN209" i="16"/>
  <c r="DP209" i="16"/>
  <c r="DR209" i="16"/>
  <c r="DT209" i="16"/>
  <c r="DV209" i="16"/>
  <c r="DX209" i="16"/>
  <c r="DZ209" i="16"/>
  <c r="EB209" i="16"/>
  <c r="ED209" i="16"/>
  <c r="EF209" i="16"/>
  <c r="EH209" i="16"/>
  <c r="EJ209" i="16"/>
  <c r="EL209" i="16"/>
  <c r="EN209" i="16"/>
  <c r="EP209" i="16"/>
  <c r="ER209" i="16"/>
  <c r="ET209" i="16"/>
  <c r="EV209" i="16"/>
  <c r="EX209" i="16"/>
  <c r="EZ209" i="16"/>
  <c r="FB209" i="16"/>
  <c r="FD209" i="16"/>
  <c r="FF209" i="16"/>
  <c r="FH209" i="16"/>
  <c r="FJ209" i="16"/>
  <c r="FL209" i="16"/>
  <c r="FN209" i="16"/>
  <c r="FP209" i="16"/>
  <c r="FR209" i="16"/>
  <c r="FT209" i="16"/>
  <c r="FV209" i="16"/>
  <c r="FX209" i="16"/>
  <c r="FZ209" i="16"/>
  <c r="GB209" i="16"/>
  <c r="GD209" i="16"/>
  <c r="CY209" i="16"/>
  <c r="DA209" i="16"/>
  <c r="DC209" i="16"/>
  <c r="DE209" i="16"/>
  <c r="DG209" i="16"/>
  <c r="DI209" i="16"/>
  <c r="DK209" i="16"/>
  <c r="DM209" i="16"/>
  <c r="DO209" i="16"/>
  <c r="DQ209" i="16"/>
  <c r="DS209" i="16"/>
  <c r="DU209" i="16"/>
  <c r="DW209" i="16"/>
  <c r="DY209" i="16"/>
  <c r="EA209" i="16"/>
  <c r="EC209" i="16"/>
  <c r="EE209" i="16"/>
  <c r="EG209" i="16"/>
  <c r="EI209" i="16"/>
  <c r="EK209" i="16"/>
  <c r="EM209" i="16"/>
  <c r="EO209" i="16"/>
  <c r="EQ209" i="16"/>
  <c r="ES209" i="16"/>
  <c r="EU209" i="16"/>
  <c r="EW209" i="16"/>
  <c r="EY209" i="16"/>
  <c r="FA209" i="16"/>
  <c r="FC209" i="16"/>
  <c r="FE209" i="16"/>
  <c r="FG209" i="16"/>
  <c r="FI209" i="16"/>
  <c r="FK209" i="16"/>
  <c r="FM209" i="16"/>
  <c r="FO209" i="16"/>
  <c r="FQ209" i="16"/>
  <c r="FS209" i="16"/>
  <c r="FU209" i="16"/>
  <c r="FW209" i="16"/>
  <c r="FY209" i="16"/>
  <c r="GA209" i="16"/>
  <c r="GC209" i="16"/>
  <c r="CZ211" i="16"/>
  <c r="DB211" i="16"/>
  <c r="DD211" i="16"/>
  <c r="DF211" i="16"/>
  <c r="DH211" i="16"/>
  <c r="DJ211" i="16"/>
  <c r="DL211" i="16"/>
  <c r="DN211" i="16"/>
  <c r="DP211" i="16"/>
  <c r="DR211" i="16"/>
  <c r="DT211" i="16"/>
  <c r="DV211" i="16"/>
  <c r="DX211" i="16"/>
  <c r="DZ211" i="16"/>
  <c r="EB211" i="16"/>
  <c r="ED211" i="16"/>
  <c r="EF211" i="16"/>
  <c r="EH211" i="16"/>
  <c r="EJ211" i="16"/>
  <c r="EL211" i="16"/>
  <c r="EN211" i="16"/>
  <c r="EP211" i="16"/>
  <c r="ER211" i="16"/>
  <c r="ET211" i="16"/>
  <c r="EV211" i="16"/>
  <c r="EX211" i="16"/>
  <c r="EZ211" i="16"/>
  <c r="FB211" i="16"/>
  <c r="FD211" i="16"/>
  <c r="FF211" i="16"/>
  <c r="FH211" i="16"/>
  <c r="FJ211" i="16"/>
  <c r="FL211" i="16"/>
  <c r="FN211" i="16"/>
  <c r="FP211" i="16"/>
  <c r="FR211" i="16"/>
  <c r="FT211" i="16"/>
  <c r="FV211" i="16"/>
  <c r="FX211" i="16"/>
  <c r="FZ211" i="16"/>
  <c r="GB211" i="16"/>
  <c r="GD211" i="16"/>
  <c r="CY211" i="16"/>
  <c r="DA211" i="16"/>
  <c r="DC211" i="16"/>
  <c r="DE211" i="16"/>
  <c r="DG211" i="16"/>
  <c r="DI211" i="16"/>
  <c r="DK211" i="16"/>
  <c r="DM211" i="16"/>
  <c r="DO211" i="16"/>
  <c r="DQ211" i="16"/>
  <c r="DS211" i="16"/>
  <c r="DU211" i="16"/>
  <c r="DW211" i="16"/>
  <c r="DY211" i="16"/>
  <c r="EA211" i="16"/>
  <c r="EC211" i="16"/>
  <c r="EE211" i="16"/>
  <c r="EG211" i="16"/>
  <c r="EI211" i="16"/>
  <c r="EK211" i="16"/>
  <c r="EM211" i="16"/>
  <c r="EO211" i="16"/>
  <c r="EQ211" i="16"/>
  <c r="ES211" i="16"/>
  <c r="EU211" i="16"/>
  <c r="EW211" i="16"/>
  <c r="EY211" i="16"/>
  <c r="FA211" i="16"/>
  <c r="FC211" i="16"/>
  <c r="FE211" i="16"/>
  <c r="FG211" i="16"/>
  <c r="FI211" i="16"/>
  <c r="FK211" i="16"/>
  <c r="FM211" i="16"/>
  <c r="FO211" i="16"/>
  <c r="FQ211" i="16"/>
  <c r="FS211" i="16"/>
  <c r="FU211" i="16"/>
  <c r="FW211" i="16"/>
  <c r="FY211" i="16"/>
  <c r="GA211" i="16"/>
  <c r="GC211" i="16"/>
  <c r="CY212" i="16"/>
  <c r="DA212" i="16"/>
  <c r="DC212" i="16"/>
  <c r="DE212" i="16"/>
  <c r="DG212" i="16"/>
  <c r="DI212" i="16"/>
  <c r="DK212" i="16"/>
  <c r="DM212" i="16"/>
  <c r="DO212" i="16"/>
  <c r="DQ212" i="16"/>
  <c r="DS212" i="16"/>
  <c r="DU212" i="16"/>
  <c r="DW212" i="16"/>
  <c r="DY212" i="16"/>
  <c r="EA212" i="16"/>
  <c r="EC212" i="16"/>
  <c r="EE212" i="16"/>
  <c r="EG212" i="16"/>
  <c r="EI212" i="16"/>
  <c r="EK212" i="16"/>
  <c r="EM212" i="16"/>
  <c r="EO212" i="16"/>
  <c r="EQ212" i="16"/>
  <c r="ES212" i="16"/>
  <c r="EU212" i="16"/>
  <c r="EW212" i="16"/>
  <c r="EY212" i="16"/>
  <c r="FA212" i="16"/>
  <c r="FC212" i="16"/>
  <c r="FE212" i="16"/>
  <c r="FG212" i="16"/>
  <c r="FI212" i="16"/>
  <c r="FK212" i="16"/>
  <c r="FM212" i="16"/>
  <c r="FO212" i="16"/>
  <c r="FQ212" i="16"/>
  <c r="FS212" i="16"/>
  <c r="FU212" i="16"/>
  <c r="FW212" i="16"/>
  <c r="FY212" i="16"/>
  <c r="GA212" i="16"/>
  <c r="GC212" i="16"/>
  <c r="CZ212" i="16"/>
  <c r="DB212" i="16"/>
  <c r="DD212" i="16"/>
  <c r="DF212" i="16"/>
  <c r="DH212" i="16"/>
  <c r="DJ212" i="16"/>
  <c r="DL212" i="16"/>
  <c r="DN212" i="16"/>
  <c r="DP212" i="16"/>
  <c r="DR212" i="16"/>
  <c r="DT212" i="16"/>
  <c r="DV212" i="16"/>
  <c r="DX212" i="16"/>
  <c r="DZ212" i="16"/>
  <c r="EB212" i="16"/>
  <c r="ED212" i="16"/>
  <c r="EF212" i="16"/>
  <c r="EH212" i="16"/>
  <c r="EJ212" i="16"/>
  <c r="EL212" i="16"/>
  <c r="EN212" i="16"/>
  <c r="EP212" i="16"/>
  <c r="ER212" i="16"/>
  <c r="ET212" i="16"/>
  <c r="EV212" i="16"/>
  <c r="EX212" i="16"/>
  <c r="EZ212" i="16"/>
  <c r="FB212" i="16"/>
  <c r="FD212" i="16"/>
  <c r="FF212" i="16"/>
  <c r="FH212" i="16"/>
  <c r="FJ212" i="16"/>
  <c r="FL212" i="16"/>
  <c r="FN212" i="16"/>
  <c r="FP212" i="16"/>
  <c r="FR212" i="16"/>
  <c r="FT212" i="16"/>
  <c r="FV212" i="16"/>
  <c r="FX212" i="16"/>
  <c r="FZ212" i="16"/>
  <c r="GB212" i="16"/>
  <c r="GD212" i="16"/>
  <c r="CY214" i="16"/>
  <c r="DA214" i="16"/>
  <c r="DC214" i="16"/>
  <c r="DE214" i="16"/>
  <c r="DG214" i="16"/>
  <c r="DI214" i="16"/>
  <c r="DK214" i="16"/>
  <c r="DM214" i="16"/>
  <c r="DO214" i="16"/>
  <c r="DQ214" i="16"/>
  <c r="DS214" i="16"/>
  <c r="DU214" i="16"/>
  <c r="DW214" i="16"/>
  <c r="DY214" i="16"/>
  <c r="EA214" i="16"/>
  <c r="EC214" i="16"/>
  <c r="EE214" i="16"/>
  <c r="EG214" i="16"/>
  <c r="EI214" i="16"/>
  <c r="EK214" i="16"/>
  <c r="EM214" i="16"/>
  <c r="EO214" i="16"/>
  <c r="EQ214" i="16"/>
  <c r="ES214" i="16"/>
  <c r="EU214" i="16"/>
  <c r="EW214" i="16"/>
  <c r="EY214" i="16"/>
  <c r="FA214" i="16"/>
  <c r="FC214" i="16"/>
  <c r="FE214" i="16"/>
  <c r="FG214" i="16"/>
  <c r="FI214" i="16"/>
  <c r="FK214" i="16"/>
  <c r="FM214" i="16"/>
  <c r="FO214" i="16"/>
  <c r="FQ214" i="16"/>
  <c r="FS214" i="16"/>
  <c r="FU214" i="16"/>
  <c r="FW214" i="16"/>
  <c r="FY214" i="16"/>
  <c r="GA214" i="16"/>
  <c r="GC214" i="16"/>
  <c r="CZ214" i="16"/>
  <c r="DB214" i="16"/>
  <c r="DD214" i="16"/>
  <c r="DF214" i="16"/>
  <c r="DH214" i="16"/>
  <c r="DJ214" i="16"/>
  <c r="DL214" i="16"/>
  <c r="DN214" i="16"/>
  <c r="DP214" i="16"/>
  <c r="DR214" i="16"/>
  <c r="DT214" i="16"/>
  <c r="DV214" i="16"/>
  <c r="DX214" i="16"/>
  <c r="DZ214" i="16"/>
  <c r="EB214" i="16"/>
  <c r="ED214" i="16"/>
  <c r="EF214" i="16"/>
  <c r="EH214" i="16"/>
  <c r="EJ214" i="16"/>
  <c r="EL214" i="16"/>
  <c r="EN214" i="16"/>
  <c r="EP214" i="16"/>
  <c r="ER214" i="16"/>
  <c r="ET214" i="16"/>
  <c r="EV214" i="16"/>
  <c r="EX214" i="16"/>
  <c r="EZ214" i="16"/>
  <c r="FB214" i="16"/>
  <c r="FD214" i="16"/>
  <c r="FF214" i="16"/>
  <c r="FH214" i="16"/>
  <c r="FJ214" i="16"/>
  <c r="FL214" i="16"/>
  <c r="FN214" i="16"/>
  <c r="FP214" i="16"/>
  <c r="FR214" i="16"/>
  <c r="FT214" i="16"/>
  <c r="FV214" i="16"/>
  <c r="FX214" i="16"/>
  <c r="FZ214" i="16"/>
  <c r="GB214" i="16"/>
  <c r="GD214" i="16"/>
  <c r="CZ215" i="16"/>
  <c r="DB215" i="16"/>
  <c r="DD215" i="16"/>
  <c r="DF215" i="16"/>
  <c r="DH215" i="16"/>
  <c r="DJ215" i="16"/>
  <c r="DL215" i="16"/>
  <c r="DN215" i="16"/>
  <c r="DP215" i="16"/>
  <c r="DR215" i="16"/>
  <c r="DT215" i="16"/>
  <c r="DV215" i="16"/>
  <c r="DX215" i="16"/>
  <c r="DZ215" i="16"/>
  <c r="EB215" i="16"/>
  <c r="ED215" i="16"/>
  <c r="EF215" i="16"/>
  <c r="EH215" i="16"/>
  <c r="EJ215" i="16"/>
  <c r="EL215" i="16"/>
  <c r="EN215" i="16"/>
  <c r="EP215" i="16"/>
  <c r="ER215" i="16"/>
  <c r="ET215" i="16"/>
  <c r="EV215" i="16"/>
  <c r="EX215" i="16"/>
  <c r="EZ215" i="16"/>
  <c r="FB215" i="16"/>
  <c r="FD215" i="16"/>
  <c r="FF215" i="16"/>
  <c r="FH215" i="16"/>
  <c r="FJ215" i="16"/>
  <c r="FL215" i="16"/>
  <c r="FN215" i="16"/>
  <c r="FP215" i="16"/>
  <c r="FR215" i="16"/>
  <c r="FT215" i="16"/>
  <c r="FV215" i="16"/>
  <c r="FX215" i="16"/>
  <c r="FZ215" i="16"/>
  <c r="GB215" i="16"/>
  <c r="GD215" i="16"/>
  <c r="CY215" i="16"/>
  <c r="DA215" i="16"/>
  <c r="DC215" i="16"/>
  <c r="DE215" i="16"/>
  <c r="DG215" i="16"/>
  <c r="DI215" i="16"/>
  <c r="DK215" i="16"/>
  <c r="DM215" i="16"/>
  <c r="DO215" i="16"/>
  <c r="DQ215" i="16"/>
  <c r="DS215" i="16"/>
  <c r="DU215" i="16"/>
  <c r="DW215" i="16"/>
  <c r="DY215" i="16"/>
  <c r="EA215" i="16"/>
  <c r="EC215" i="16"/>
  <c r="EE215" i="16"/>
  <c r="EG215" i="16"/>
  <c r="EI215" i="16"/>
  <c r="EK215" i="16"/>
  <c r="EM215" i="16"/>
  <c r="EO215" i="16"/>
  <c r="EQ215" i="16"/>
  <c r="ES215" i="16"/>
  <c r="EU215" i="16"/>
  <c r="EW215" i="16"/>
  <c r="EY215" i="16"/>
  <c r="FA215" i="16"/>
  <c r="FC215" i="16"/>
  <c r="FE215" i="16"/>
  <c r="FG215" i="16"/>
  <c r="FI215" i="16"/>
  <c r="FK215" i="16"/>
  <c r="FM215" i="16"/>
  <c r="FO215" i="16"/>
  <c r="FQ215" i="16"/>
  <c r="FS215" i="16"/>
  <c r="FU215" i="16"/>
  <c r="FW215" i="16"/>
  <c r="FY215" i="16"/>
  <c r="GA215" i="16"/>
  <c r="GC215" i="16"/>
  <c r="CZ217" i="16"/>
  <c r="DB217" i="16"/>
  <c r="DD217" i="16"/>
  <c r="DF217" i="16"/>
  <c r="DH217" i="16"/>
  <c r="DJ217" i="16"/>
  <c r="DL217" i="16"/>
  <c r="DN217" i="16"/>
  <c r="DP217" i="16"/>
  <c r="DR217" i="16"/>
  <c r="DT217" i="16"/>
  <c r="DV217" i="16"/>
  <c r="DX217" i="16"/>
  <c r="DZ217" i="16"/>
  <c r="EB217" i="16"/>
  <c r="ED217" i="16"/>
  <c r="EF217" i="16"/>
  <c r="EH217" i="16"/>
  <c r="EJ217" i="16"/>
  <c r="EL217" i="16"/>
  <c r="EN217" i="16"/>
  <c r="EP217" i="16"/>
  <c r="ER217" i="16"/>
  <c r="ET217" i="16"/>
  <c r="EV217" i="16"/>
  <c r="EX217" i="16"/>
  <c r="EZ217" i="16"/>
  <c r="FB217" i="16"/>
  <c r="FD217" i="16"/>
  <c r="FF217" i="16"/>
  <c r="FH217" i="16"/>
  <c r="FJ217" i="16"/>
  <c r="FL217" i="16"/>
  <c r="FN217" i="16"/>
  <c r="FP217" i="16"/>
  <c r="FR217" i="16"/>
  <c r="FT217" i="16"/>
  <c r="FV217" i="16"/>
  <c r="FX217" i="16"/>
  <c r="FZ217" i="16"/>
  <c r="GB217" i="16"/>
  <c r="GD217" i="16"/>
  <c r="CY217" i="16"/>
  <c r="DA217" i="16"/>
  <c r="DC217" i="16"/>
  <c r="DE217" i="16"/>
  <c r="DG217" i="16"/>
  <c r="DI217" i="16"/>
  <c r="DK217" i="16"/>
  <c r="DM217" i="16"/>
  <c r="DO217" i="16"/>
  <c r="DQ217" i="16"/>
  <c r="DS217" i="16"/>
  <c r="DU217" i="16"/>
  <c r="DW217" i="16"/>
  <c r="DY217" i="16"/>
  <c r="EA217" i="16"/>
  <c r="EC217" i="16"/>
  <c r="EE217" i="16"/>
  <c r="EG217" i="16"/>
  <c r="EI217" i="16"/>
  <c r="EK217" i="16"/>
  <c r="EM217" i="16"/>
  <c r="EO217" i="16"/>
  <c r="EQ217" i="16"/>
  <c r="ES217" i="16"/>
  <c r="EU217" i="16"/>
  <c r="EW217" i="16"/>
  <c r="EY217" i="16"/>
  <c r="FA217" i="16"/>
  <c r="FC217" i="16"/>
  <c r="FE217" i="16"/>
  <c r="FG217" i="16"/>
  <c r="FI217" i="16"/>
  <c r="FK217" i="16"/>
  <c r="FM217" i="16"/>
  <c r="FO217" i="16"/>
  <c r="FQ217" i="16"/>
  <c r="FS217" i="16"/>
  <c r="FU217" i="16"/>
  <c r="FW217" i="16"/>
  <c r="FY217" i="16"/>
  <c r="GA217" i="16"/>
  <c r="GC217" i="16"/>
  <c r="CZ219" i="16"/>
  <c r="DB219" i="16"/>
  <c r="DD219" i="16"/>
  <c r="DF219" i="16"/>
  <c r="DH219" i="16"/>
  <c r="DJ219" i="16"/>
  <c r="DL219" i="16"/>
  <c r="DN219" i="16"/>
  <c r="DP219" i="16"/>
  <c r="DR219" i="16"/>
  <c r="DT219" i="16"/>
  <c r="DV219" i="16"/>
  <c r="DX219" i="16"/>
  <c r="DZ219" i="16"/>
  <c r="EB219" i="16"/>
  <c r="ED219" i="16"/>
  <c r="EF219" i="16"/>
  <c r="EH219" i="16"/>
  <c r="EJ219" i="16"/>
  <c r="EL219" i="16"/>
  <c r="EN219" i="16"/>
  <c r="EP219" i="16"/>
  <c r="ER219" i="16"/>
  <c r="ET219" i="16"/>
  <c r="EV219" i="16"/>
  <c r="EX219" i="16"/>
  <c r="EZ219" i="16"/>
  <c r="FB219" i="16"/>
  <c r="FD219" i="16"/>
  <c r="FF219" i="16"/>
  <c r="FH219" i="16"/>
  <c r="FJ219" i="16"/>
  <c r="FL219" i="16"/>
  <c r="FN219" i="16"/>
  <c r="FP219" i="16"/>
  <c r="FR219" i="16"/>
  <c r="FT219" i="16"/>
  <c r="FV219" i="16"/>
  <c r="FX219" i="16"/>
  <c r="FZ219" i="16"/>
  <c r="GB219" i="16"/>
  <c r="GD219" i="16"/>
  <c r="CY219" i="16"/>
  <c r="DA219" i="16"/>
  <c r="DC219" i="16"/>
  <c r="DE219" i="16"/>
  <c r="DG219" i="16"/>
  <c r="DI219" i="16"/>
  <c r="DK219" i="16"/>
  <c r="DM219" i="16"/>
  <c r="DO219" i="16"/>
  <c r="DQ219" i="16"/>
  <c r="DS219" i="16"/>
  <c r="DU219" i="16"/>
  <c r="DW219" i="16"/>
  <c r="DY219" i="16"/>
  <c r="EA219" i="16"/>
  <c r="EC219" i="16"/>
  <c r="EE219" i="16"/>
  <c r="EG219" i="16"/>
  <c r="EI219" i="16"/>
  <c r="EK219" i="16"/>
  <c r="EM219" i="16"/>
  <c r="EO219" i="16"/>
  <c r="EQ219" i="16"/>
  <c r="ES219" i="16"/>
  <c r="EU219" i="16"/>
  <c r="EW219" i="16"/>
  <c r="EY219" i="16"/>
  <c r="FA219" i="16"/>
  <c r="FC219" i="16"/>
  <c r="FE219" i="16"/>
  <c r="FG219" i="16"/>
  <c r="FI219" i="16"/>
  <c r="FK219" i="16"/>
  <c r="FM219" i="16"/>
  <c r="FO219" i="16"/>
  <c r="FQ219" i="16"/>
  <c r="FS219" i="16"/>
  <c r="FU219" i="16"/>
  <c r="FW219" i="16"/>
  <c r="FY219" i="16"/>
  <c r="GA219" i="16"/>
  <c r="GC219" i="16"/>
  <c r="CZ221" i="16"/>
  <c r="DB221" i="16"/>
  <c r="DD221" i="16"/>
  <c r="DF221" i="16"/>
  <c r="DH221" i="16"/>
  <c r="DJ221" i="16"/>
  <c r="DL221" i="16"/>
  <c r="DN221" i="16"/>
  <c r="DP221" i="16"/>
  <c r="DR221" i="16"/>
  <c r="DT221" i="16"/>
  <c r="DV221" i="16"/>
  <c r="DX221" i="16"/>
  <c r="DZ221" i="16"/>
  <c r="EB221" i="16"/>
  <c r="ED221" i="16"/>
  <c r="EF221" i="16"/>
  <c r="EH221" i="16"/>
  <c r="EJ221" i="16"/>
  <c r="EL221" i="16"/>
  <c r="EN221" i="16"/>
  <c r="EP221" i="16"/>
  <c r="ER221" i="16"/>
  <c r="ET221" i="16"/>
  <c r="EV221" i="16"/>
  <c r="EX221" i="16"/>
  <c r="EZ221" i="16"/>
  <c r="FB221" i="16"/>
  <c r="FD221" i="16"/>
  <c r="FF221" i="16"/>
  <c r="FH221" i="16"/>
  <c r="FJ221" i="16"/>
  <c r="FL221" i="16"/>
  <c r="FN221" i="16"/>
  <c r="FP221" i="16"/>
  <c r="FR221" i="16"/>
  <c r="FT221" i="16"/>
  <c r="FV221" i="16"/>
  <c r="FX221" i="16"/>
  <c r="FZ221" i="16"/>
  <c r="GB221" i="16"/>
  <c r="GD221" i="16"/>
  <c r="CY221" i="16"/>
  <c r="DA221" i="16"/>
  <c r="DC221" i="16"/>
  <c r="DE221" i="16"/>
  <c r="DG221" i="16"/>
  <c r="DI221" i="16"/>
  <c r="DK221" i="16"/>
  <c r="DM221" i="16"/>
  <c r="DO221" i="16"/>
  <c r="DQ221" i="16"/>
  <c r="DS221" i="16"/>
  <c r="DU221" i="16"/>
  <c r="DW221" i="16"/>
  <c r="DY221" i="16"/>
  <c r="EA221" i="16"/>
  <c r="EC221" i="16"/>
  <c r="EE221" i="16"/>
  <c r="EG221" i="16"/>
  <c r="EI221" i="16"/>
  <c r="EK221" i="16"/>
  <c r="EM221" i="16"/>
  <c r="EO221" i="16"/>
  <c r="EQ221" i="16"/>
  <c r="ES221" i="16"/>
  <c r="EU221" i="16"/>
  <c r="EW221" i="16"/>
  <c r="EY221" i="16"/>
  <c r="FA221" i="16"/>
  <c r="FC221" i="16"/>
  <c r="FE221" i="16"/>
  <c r="FG221" i="16"/>
  <c r="FI221" i="16"/>
  <c r="FK221" i="16"/>
  <c r="FM221" i="16"/>
  <c r="FO221" i="16"/>
  <c r="FQ221" i="16"/>
  <c r="FS221" i="16"/>
  <c r="FU221" i="16"/>
  <c r="FW221" i="16"/>
  <c r="FY221" i="16"/>
  <c r="GA221" i="16"/>
  <c r="GC221" i="16"/>
  <c r="CY224" i="16"/>
  <c r="DA224" i="16"/>
  <c r="DC224" i="16"/>
  <c r="DE224" i="16"/>
  <c r="DG224" i="16"/>
  <c r="DI224" i="16"/>
  <c r="DK224" i="16"/>
  <c r="DM224" i="16"/>
  <c r="DO224" i="16"/>
  <c r="DQ224" i="16"/>
  <c r="DS224" i="16"/>
  <c r="DU224" i="16"/>
  <c r="DW224" i="16"/>
  <c r="DY224" i="16"/>
  <c r="EA224" i="16"/>
  <c r="EC224" i="16"/>
  <c r="EE224" i="16"/>
  <c r="EG224" i="16"/>
  <c r="EI224" i="16"/>
  <c r="EK224" i="16"/>
  <c r="EM224" i="16"/>
  <c r="EO224" i="16"/>
  <c r="EQ224" i="16"/>
  <c r="ES224" i="16"/>
  <c r="EU224" i="16"/>
  <c r="EW224" i="16"/>
  <c r="EY224" i="16"/>
  <c r="FA224" i="16"/>
  <c r="FC224" i="16"/>
  <c r="FE224" i="16"/>
  <c r="FG224" i="16"/>
  <c r="FI224" i="16"/>
  <c r="FK224" i="16"/>
  <c r="FM224" i="16"/>
  <c r="FO224" i="16"/>
  <c r="FQ224" i="16"/>
  <c r="FS224" i="16"/>
  <c r="FU224" i="16"/>
  <c r="FW224" i="16"/>
  <c r="FY224" i="16"/>
  <c r="GA224" i="16"/>
  <c r="GC224" i="16"/>
  <c r="CZ224" i="16"/>
  <c r="DB224" i="16"/>
  <c r="DD224" i="16"/>
  <c r="DF224" i="16"/>
  <c r="DH224" i="16"/>
  <c r="DJ224" i="16"/>
  <c r="DL224" i="16"/>
  <c r="DN224" i="16"/>
  <c r="DP224" i="16"/>
  <c r="DR224" i="16"/>
  <c r="DT224" i="16"/>
  <c r="DV224" i="16"/>
  <c r="DX224" i="16"/>
  <c r="DZ224" i="16"/>
  <c r="EB224" i="16"/>
  <c r="ED224" i="16"/>
  <c r="EF224" i="16"/>
  <c r="EH224" i="16"/>
  <c r="EJ224" i="16"/>
  <c r="EL224" i="16"/>
  <c r="EN224" i="16"/>
  <c r="EP224" i="16"/>
  <c r="ER224" i="16"/>
  <c r="ET224" i="16"/>
  <c r="EV224" i="16"/>
  <c r="EX224" i="16"/>
  <c r="EZ224" i="16"/>
  <c r="FB224" i="16"/>
  <c r="FD224" i="16"/>
  <c r="FF224" i="16"/>
  <c r="FH224" i="16"/>
  <c r="FJ224" i="16"/>
  <c r="FL224" i="16"/>
  <c r="FN224" i="16"/>
  <c r="FP224" i="16"/>
  <c r="FR224" i="16"/>
  <c r="FT224" i="16"/>
  <c r="FV224" i="16"/>
  <c r="FX224" i="16"/>
  <c r="FZ224" i="16"/>
  <c r="GB224" i="16"/>
  <c r="GD224" i="16"/>
  <c r="CY226" i="16"/>
  <c r="DA226" i="16"/>
  <c r="DC226" i="16"/>
  <c r="DE226" i="16"/>
  <c r="DG226" i="16"/>
  <c r="DI226" i="16"/>
  <c r="DK226" i="16"/>
  <c r="DM226" i="16"/>
  <c r="DO226" i="16"/>
  <c r="DQ226" i="16"/>
  <c r="DS226" i="16"/>
  <c r="DU226" i="16"/>
  <c r="DW226" i="16"/>
  <c r="DY226" i="16"/>
  <c r="EA226" i="16"/>
  <c r="EC226" i="16"/>
  <c r="EE226" i="16"/>
  <c r="EG226" i="16"/>
  <c r="EI226" i="16"/>
  <c r="EK226" i="16"/>
  <c r="EM226" i="16"/>
  <c r="EO226" i="16"/>
  <c r="EQ226" i="16"/>
  <c r="ES226" i="16"/>
  <c r="EU226" i="16"/>
  <c r="EW226" i="16"/>
  <c r="EY226" i="16"/>
  <c r="FA226" i="16"/>
  <c r="FC226" i="16"/>
  <c r="FE226" i="16"/>
  <c r="FG226" i="16"/>
  <c r="FI226" i="16"/>
  <c r="FK226" i="16"/>
  <c r="FM226" i="16"/>
  <c r="FO226" i="16"/>
  <c r="FQ226" i="16"/>
  <c r="FS226" i="16"/>
  <c r="FU226" i="16"/>
  <c r="FW226" i="16"/>
  <c r="FY226" i="16"/>
  <c r="GA226" i="16"/>
  <c r="GC226" i="16"/>
  <c r="CZ226" i="16"/>
  <c r="DB226" i="16"/>
  <c r="DD226" i="16"/>
  <c r="DF226" i="16"/>
  <c r="DH226" i="16"/>
  <c r="DJ226" i="16"/>
  <c r="DL226" i="16"/>
  <c r="DN226" i="16"/>
  <c r="DP226" i="16"/>
  <c r="DR226" i="16"/>
  <c r="DT226" i="16"/>
  <c r="DV226" i="16"/>
  <c r="DX226" i="16"/>
  <c r="DZ226" i="16"/>
  <c r="EB226" i="16"/>
  <c r="ED226" i="16"/>
  <c r="EF226" i="16"/>
  <c r="EH226" i="16"/>
  <c r="EJ226" i="16"/>
  <c r="EL226" i="16"/>
  <c r="EN226" i="16"/>
  <c r="EP226" i="16"/>
  <c r="ER226" i="16"/>
  <c r="ET226" i="16"/>
  <c r="EV226" i="16"/>
  <c r="EX226" i="16"/>
  <c r="EZ226" i="16"/>
  <c r="FB226" i="16"/>
  <c r="FD226" i="16"/>
  <c r="FF226" i="16"/>
  <c r="FH226" i="16"/>
  <c r="FJ226" i="16"/>
  <c r="FL226" i="16"/>
  <c r="FN226" i="16"/>
  <c r="FP226" i="16"/>
  <c r="FR226" i="16"/>
  <c r="FT226" i="16"/>
  <c r="FV226" i="16"/>
  <c r="FX226" i="16"/>
  <c r="FZ226" i="16"/>
  <c r="GB226" i="16"/>
  <c r="GD226" i="16"/>
  <c r="CZ227" i="16"/>
  <c r="DB227" i="16"/>
  <c r="DD227" i="16"/>
  <c r="DF227" i="16"/>
  <c r="DH227" i="16"/>
  <c r="DJ227" i="16"/>
  <c r="DL227" i="16"/>
  <c r="DN227" i="16"/>
  <c r="DP227" i="16"/>
  <c r="DR227" i="16"/>
  <c r="DT227" i="16"/>
  <c r="DV227" i="16"/>
  <c r="DX227" i="16"/>
  <c r="DZ227" i="16"/>
  <c r="EB227" i="16"/>
  <c r="ED227" i="16"/>
  <c r="EF227" i="16"/>
  <c r="EH227" i="16"/>
  <c r="EJ227" i="16"/>
  <c r="EL227" i="16"/>
  <c r="EN227" i="16"/>
  <c r="EP227" i="16"/>
  <c r="ER227" i="16"/>
  <c r="ET227" i="16"/>
  <c r="EV227" i="16"/>
  <c r="EX227" i="16"/>
  <c r="EZ227" i="16"/>
  <c r="FB227" i="16"/>
  <c r="FD227" i="16"/>
  <c r="FF227" i="16"/>
  <c r="FH227" i="16"/>
  <c r="FJ227" i="16"/>
  <c r="FL227" i="16"/>
  <c r="FN227" i="16"/>
  <c r="FP227" i="16"/>
  <c r="FR227" i="16"/>
  <c r="FT227" i="16"/>
  <c r="FV227" i="16"/>
  <c r="FX227" i="16"/>
  <c r="FZ227" i="16"/>
  <c r="GB227" i="16"/>
  <c r="GD227" i="16"/>
  <c r="CY227" i="16"/>
  <c r="DA227" i="16"/>
  <c r="DC227" i="16"/>
  <c r="DE227" i="16"/>
  <c r="DG227" i="16"/>
  <c r="DI227" i="16"/>
  <c r="DK227" i="16"/>
  <c r="DM227" i="16"/>
  <c r="DO227" i="16"/>
  <c r="DQ227" i="16"/>
  <c r="DS227" i="16"/>
  <c r="DU227" i="16"/>
  <c r="DW227" i="16"/>
  <c r="DY227" i="16"/>
  <c r="EA227" i="16"/>
  <c r="EC227" i="16"/>
  <c r="EE227" i="16"/>
  <c r="EG227" i="16"/>
  <c r="EI227" i="16"/>
  <c r="EK227" i="16"/>
  <c r="EM227" i="16"/>
  <c r="EO227" i="16"/>
  <c r="EQ227" i="16"/>
  <c r="ES227" i="16"/>
  <c r="EU227" i="16"/>
  <c r="EW227" i="16"/>
  <c r="EY227" i="16"/>
  <c r="FA227" i="16"/>
  <c r="FC227" i="16"/>
  <c r="FE227" i="16"/>
  <c r="FG227" i="16"/>
  <c r="FI227" i="16"/>
  <c r="FK227" i="16"/>
  <c r="FM227" i="16"/>
  <c r="FO227" i="16"/>
  <c r="FQ227" i="16"/>
  <c r="FS227" i="16"/>
  <c r="FU227" i="16"/>
  <c r="FW227" i="16"/>
  <c r="FY227" i="16"/>
  <c r="GA227" i="16"/>
  <c r="GC227" i="16"/>
  <c r="CY230" i="16"/>
  <c r="DA230" i="16"/>
  <c r="DC230" i="16"/>
  <c r="DE230" i="16"/>
  <c r="DG230" i="16"/>
  <c r="DI230" i="16"/>
  <c r="DK230" i="16"/>
  <c r="DM230" i="16"/>
  <c r="DO230" i="16"/>
  <c r="DQ230" i="16"/>
  <c r="DS230" i="16"/>
  <c r="DU230" i="16"/>
  <c r="DW230" i="16"/>
  <c r="DY230" i="16"/>
  <c r="EA230" i="16"/>
  <c r="EC230" i="16"/>
  <c r="EE230" i="16"/>
  <c r="EG230" i="16"/>
  <c r="EI230" i="16"/>
  <c r="EK230" i="16"/>
  <c r="EM230" i="16"/>
  <c r="EO230" i="16"/>
  <c r="EQ230" i="16"/>
  <c r="ES230" i="16"/>
  <c r="EU230" i="16"/>
  <c r="EW230" i="16"/>
  <c r="EY230" i="16"/>
  <c r="FA230" i="16"/>
  <c r="FC230" i="16"/>
  <c r="FE230" i="16"/>
  <c r="FG230" i="16"/>
  <c r="FI230" i="16"/>
  <c r="FK230" i="16"/>
  <c r="FM230" i="16"/>
  <c r="FO230" i="16"/>
  <c r="FQ230" i="16"/>
  <c r="FS230" i="16"/>
  <c r="FU230" i="16"/>
  <c r="FW230" i="16"/>
  <c r="FY230" i="16"/>
  <c r="GA230" i="16"/>
  <c r="GC230" i="16"/>
  <c r="CZ230" i="16"/>
  <c r="DB230" i="16"/>
  <c r="DD230" i="16"/>
  <c r="DF230" i="16"/>
  <c r="DH230" i="16"/>
  <c r="DJ230" i="16"/>
  <c r="DL230" i="16"/>
  <c r="DN230" i="16"/>
  <c r="DP230" i="16"/>
  <c r="DR230" i="16"/>
  <c r="DT230" i="16"/>
  <c r="DV230" i="16"/>
  <c r="DX230" i="16"/>
  <c r="DZ230" i="16"/>
  <c r="EB230" i="16"/>
  <c r="ED230" i="16"/>
  <c r="EF230" i="16"/>
  <c r="EH230" i="16"/>
  <c r="EJ230" i="16"/>
  <c r="EL230" i="16"/>
  <c r="EN230" i="16"/>
  <c r="EP230" i="16"/>
  <c r="ER230" i="16"/>
  <c r="ET230" i="16"/>
  <c r="EV230" i="16"/>
  <c r="EX230" i="16"/>
  <c r="EZ230" i="16"/>
  <c r="FB230" i="16"/>
  <c r="FD230" i="16"/>
  <c r="FF230" i="16"/>
  <c r="FH230" i="16"/>
  <c r="FJ230" i="16"/>
  <c r="FL230" i="16"/>
  <c r="FN230" i="16"/>
  <c r="FP230" i="16"/>
  <c r="FR230" i="16"/>
  <c r="FT230" i="16"/>
  <c r="FV230" i="16"/>
  <c r="FX230" i="16"/>
  <c r="FZ230" i="16"/>
  <c r="GB230" i="16"/>
  <c r="GD230" i="16"/>
  <c r="CY232" i="16"/>
  <c r="DA232" i="16"/>
  <c r="DC232" i="16"/>
  <c r="DE232" i="16"/>
  <c r="DG232" i="16"/>
  <c r="DI232" i="16"/>
  <c r="DK232" i="16"/>
  <c r="DM232" i="16"/>
  <c r="DO232" i="16"/>
  <c r="DQ232" i="16"/>
  <c r="DS232" i="16"/>
  <c r="DU232" i="16"/>
  <c r="DW232" i="16"/>
  <c r="DY232" i="16"/>
  <c r="EA232" i="16"/>
  <c r="EC232" i="16"/>
  <c r="EE232" i="16"/>
  <c r="EG232" i="16"/>
  <c r="EI232" i="16"/>
  <c r="EK232" i="16"/>
  <c r="EM232" i="16"/>
  <c r="EO232" i="16"/>
  <c r="EQ232" i="16"/>
  <c r="ES232" i="16"/>
  <c r="EU232" i="16"/>
  <c r="EW232" i="16"/>
  <c r="EY232" i="16"/>
  <c r="FA232" i="16"/>
  <c r="FC232" i="16"/>
  <c r="FE232" i="16"/>
  <c r="FG232" i="16"/>
  <c r="FI232" i="16"/>
  <c r="FK232" i="16"/>
  <c r="FM232" i="16"/>
  <c r="FO232" i="16"/>
  <c r="FQ232" i="16"/>
  <c r="FS232" i="16"/>
  <c r="FU232" i="16"/>
  <c r="FW232" i="16"/>
  <c r="FY232" i="16"/>
  <c r="GA232" i="16"/>
  <c r="GC232" i="16"/>
  <c r="CZ232" i="16"/>
  <c r="DB232" i="16"/>
  <c r="DD232" i="16"/>
  <c r="DF232" i="16"/>
  <c r="DH232" i="16"/>
  <c r="DJ232" i="16"/>
  <c r="DL232" i="16"/>
  <c r="DN232" i="16"/>
  <c r="DP232" i="16"/>
  <c r="DR232" i="16"/>
  <c r="DT232" i="16"/>
  <c r="DV232" i="16"/>
  <c r="DX232" i="16"/>
  <c r="DZ232" i="16"/>
  <c r="EB232" i="16"/>
  <c r="ED232" i="16"/>
  <c r="EF232" i="16"/>
  <c r="EH232" i="16"/>
  <c r="EJ232" i="16"/>
  <c r="EL232" i="16"/>
  <c r="EN232" i="16"/>
  <c r="EP232" i="16"/>
  <c r="ER232" i="16"/>
  <c r="ET232" i="16"/>
  <c r="EV232" i="16"/>
  <c r="EX232" i="16"/>
  <c r="EZ232" i="16"/>
  <c r="FB232" i="16"/>
  <c r="FD232" i="16"/>
  <c r="FF232" i="16"/>
  <c r="FH232" i="16"/>
  <c r="FJ232" i="16"/>
  <c r="FL232" i="16"/>
  <c r="FN232" i="16"/>
  <c r="FP232" i="16"/>
  <c r="FR232" i="16"/>
  <c r="FT232" i="16"/>
  <c r="FV232" i="16"/>
  <c r="FX232" i="16"/>
  <c r="FZ232" i="16"/>
  <c r="GB232" i="16"/>
  <c r="GD232" i="16"/>
  <c r="CY234" i="16"/>
  <c r="DA234" i="16"/>
  <c r="DC234" i="16"/>
  <c r="DE234" i="16"/>
  <c r="DG234" i="16"/>
  <c r="DI234" i="16"/>
  <c r="DK234" i="16"/>
  <c r="DM234" i="16"/>
  <c r="DO234" i="16"/>
  <c r="DQ234" i="16"/>
  <c r="DS234" i="16"/>
  <c r="DU234" i="16"/>
  <c r="DW234" i="16"/>
  <c r="DY234" i="16"/>
  <c r="EA234" i="16"/>
  <c r="EC234" i="16"/>
  <c r="EE234" i="16"/>
  <c r="EG234" i="16"/>
  <c r="EI234" i="16"/>
  <c r="EK234" i="16"/>
  <c r="EM234" i="16"/>
  <c r="EO234" i="16"/>
  <c r="EQ234" i="16"/>
  <c r="ES234" i="16"/>
  <c r="EU234" i="16"/>
  <c r="EW234" i="16"/>
  <c r="EY234" i="16"/>
  <c r="FA234" i="16"/>
  <c r="FC234" i="16"/>
  <c r="FE234" i="16"/>
  <c r="FG234" i="16"/>
  <c r="FI234" i="16"/>
  <c r="FK234" i="16"/>
  <c r="FM234" i="16"/>
  <c r="FO234" i="16"/>
  <c r="FQ234" i="16"/>
  <c r="FS234" i="16"/>
  <c r="FU234" i="16"/>
  <c r="FW234" i="16"/>
  <c r="FY234" i="16"/>
  <c r="GA234" i="16"/>
  <c r="GC234" i="16"/>
  <c r="CZ234" i="16"/>
  <c r="DB234" i="16"/>
  <c r="DD234" i="16"/>
  <c r="DF234" i="16"/>
  <c r="DH234" i="16"/>
  <c r="DJ234" i="16"/>
  <c r="DL234" i="16"/>
  <c r="DN234" i="16"/>
  <c r="DP234" i="16"/>
  <c r="DR234" i="16"/>
  <c r="DT234" i="16"/>
  <c r="DV234" i="16"/>
  <c r="DX234" i="16"/>
  <c r="DZ234" i="16"/>
  <c r="EB234" i="16"/>
  <c r="ED234" i="16"/>
  <c r="EF234" i="16"/>
  <c r="EH234" i="16"/>
  <c r="EJ234" i="16"/>
  <c r="EL234" i="16"/>
  <c r="EN234" i="16"/>
  <c r="EP234" i="16"/>
  <c r="ER234" i="16"/>
  <c r="ET234" i="16"/>
  <c r="EV234" i="16"/>
  <c r="EX234" i="16"/>
  <c r="EZ234" i="16"/>
  <c r="FB234" i="16"/>
  <c r="FD234" i="16"/>
  <c r="FF234" i="16"/>
  <c r="FH234" i="16"/>
  <c r="FJ234" i="16"/>
  <c r="FL234" i="16"/>
  <c r="FN234" i="16"/>
  <c r="FP234" i="16"/>
  <c r="FR234" i="16"/>
  <c r="FT234" i="16"/>
  <c r="FV234" i="16"/>
  <c r="FX234" i="16"/>
  <c r="FZ234" i="16"/>
  <c r="GB234" i="16"/>
  <c r="GD234" i="16"/>
  <c r="CY236" i="16"/>
  <c r="DA236" i="16"/>
  <c r="DC236" i="16"/>
  <c r="DE236" i="16"/>
  <c r="DG236" i="16"/>
  <c r="DI236" i="16"/>
  <c r="DK236" i="16"/>
  <c r="DM236" i="16"/>
  <c r="DO236" i="16"/>
  <c r="DQ236" i="16"/>
  <c r="DS236" i="16"/>
  <c r="DU236" i="16"/>
  <c r="DW236" i="16"/>
  <c r="DY236" i="16"/>
  <c r="EA236" i="16"/>
  <c r="EC236" i="16"/>
  <c r="EE236" i="16"/>
  <c r="EG236" i="16"/>
  <c r="EI236" i="16"/>
  <c r="EK236" i="16"/>
  <c r="EM236" i="16"/>
  <c r="EO236" i="16"/>
  <c r="EQ236" i="16"/>
  <c r="ES236" i="16"/>
  <c r="EU236" i="16"/>
  <c r="EW236" i="16"/>
  <c r="EY236" i="16"/>
  <c r="FA236" i="16"/>
  <c r="FC236" i="16"/>
  <c r="FE236" i="16"/>
  <c r="FG236" i="16"/>
  <c r="FI236" i="16"/>
  <c r="FK236" i="16"/>
  <c r="FM236" i="16"/>
  <c r="FO236" i="16"/>
  <c r="FQ236" i="16"/>
  <c r="FS236" i="16"/>
  <c r="FU236" i="16"/>
  <c r="FW236" i="16"/>
  <c r="FY236" i="16"/>
  <c r="GA236" i="16"/>
  <c r="GC236" i="16"/>
  <c r="CZ236" i="16"/>
  <c r="DB236" i="16"/>
  <c r="DD236" i="16"/>
  <c r="DF236" i="16"/>
  <c r="DH236" i="16"/>
  <c r="DJ236" i="16"/>
  <c r="DL236" i="16"/>
  <c r="DN236" i="16"/>
  <c r="DP236" i="16"/>
  <c r="DR236" i="16"/>
  <c r="DT236" i="16"/>
  <c r="DV236" i="16"/>
  <c r="DX236" i="16"/>
  <c r="DZ236" i="16"/>
  <c r="EB236" i="16"/>
  <c r="ED236" i="16"/>
  <c r="EF236" i="16"/>
  <c r="EH236" i="16"/>
  <c r="EJ236" i="16"/>
  <c r="EL236" i="16"/>
  <c r="EN236" i="16"/>
  <c r="EP236" i="16"/>
  <c r="ER236" i="16"/>
  <c r="ET236" i="16"/>
  <c r="EV236" i="16"/>
  <c r="EX236" i="16"/>
  <c r="EZ236" i="16"/>
  <c r="FB236" i="16"/>
  <c r="FD236" i="16"/>
  <c r="FF236" i="16"/>
  <c r="FH236" i="16"/>
  <c r="FJ236" i="16"/>
  <c r="FL236" i="16"/>
  <c r="FN236" i="16"/>
  <c r="FP236" i="16"/>
  <c r="FR236" i="16"/>
  <c r="FT236" i="16"/>
  <c r="FV236" i="16"/>
  <c r="FX236" i="16"/>
  <c r="FZ236" i="16"/>
  <c r="GB236" i="16"/>
  <c r="GD236" i="16"/>
  <c r="CY238" i="16"/>
  <c r="DA238" i="16"/>
  <c r="DC238" i="16"/>
  <c r="DE238" i="16"/>
  <c r="DG238" i="16"/>
  <c r="DI238" i="16"/>
  <c r="DK238" i="16"/>
  <c r="DM238" i="16"/>
  <c r="DO238" i="16"/>
  <c r="DQ238" i="16"/>
  <c r="DS238" i="16"/>
  <c r="DU238" i="16"/>
  <c r="DW238" i="16"/>
  <c r="DY238" i="16"/>
  <c r="EA238" i="16"/>
  <c r="EC238" i="16"/>
  <c r="EE238" i="16"/>
  <c r="EG238" i="16"/>
  <c r="EI238" i="16"/>
  <c r="EK238" i="16"/>
  <c r="EM238" i="16"/>
  <c r="EO238" i="16"/>
  <c r="EQ238" i="16"/>
  <c r="ES238" i="16"/>
  <c r="EU238" i="16"/>
  <c r="EW238" i="16"/>
  <c r="EY238" i="16"/>
  <c r="FA238" i="16"/>
  <c r="FC238" i="16"/>
  <c r="FE238" i="16"/>
  <c r="FG238" i="16"/>
  <c r="FI238" i="16"/>
  <c r="FK238" i="16"/>
  <c r="FM238" i="16"/>
  <c r="FO238" i="16"/>
  <c r="FQ238" i="16"/>
  <c r="FS238" i="16"/>
  <c r="FU238" i="16"/>
  <c r="FW238" i="16"/>
  <c r="FY238" i="16"/>
  <c r="GA238" i="16"/>
  <c r="GC238" i="16"/>
  <c r="CZ238" i="16"/>
  <c r="DB238" i="16"/>
  <c r="DD238" i="16"/>
  <c r="DF238" i="16"/>
  <c r="DH238" i="16"/>
  <c r="DJ238" i="16"/>
  <c r="DL238" i="16"/>
  <c r="DN238" i="16"/>
  <c r="DP238" i="16"/>
  <c r="DR238" i="16"/>
  <c r="DT238" i="16"/>
  <c r="DV238" i="16"/>
  <c r="DX238" i="16"/>
  <c r="DZ238" i="16"/>
  <c r="EB238" i="16"/>
  <c r="ED238" i="16"/>
  <c r="EF238" i="16"/>
  <c r="EH238" i="16"/>
  <c r="EJ238" i="16"/>
  <c r="EL238" i="16"/>
  <c r="EN238" i="16"/>
  <c r="EP238" i="16"/>
  <c r="ER238" i="16"/>
  <c r="ET238" i="16"/>
  <c r="EV238" i="16"/>
  <c r="EX238" i="16"/>
  <c r="EZ238" i="16"/>
  <c r="FB238" i="16"/>
  <c r="FD238" i="16"/>
  <c r="FF238" i="16"/>
  <c r="FH238" i="16"/>
  <c r="FJ238" i="16"/>
  <c r="FL238" i="16"/>
  <c r="FN238" i="16"/>
  <c r="FP238" i="16"/>
  <c r="FR238" i="16"/>
  <c r="FT238" i="16"/>
  <c r="FV238" i="16"/>
  <c r="FX238" i="16"/>
  <c r="FZ238" i="16"/>
  <c r="GB238" i="16"/>
  <c r="GD238" i="16"/>
  <c r="CY240" i="16"/>
  <c r="DA240" i="16"/>
  <c r="DC240" i="16"/>
  <c r="DE240" i="16"/>
  <c r="DG240" i="16"/>
  <c r="DI240" i="16"/>
  <c r="DK240" i="16"/>
  <c r="DM240" i="16"/>
  <c r="DO240" i="16"/>
  <c r="DQ240" i="16"/>
  <c r="DS240" i="16"/>
  <c r="DU240" i="16"/>
  <c r="DW240" i="16"/>
  <c r="DY240" i="16"/>
  <c r="EA240" i="16"/>
  <c r="EC240" i="16"/>
  <c r="EE240" i="16"/>
  <c r="EG240" i="16"/>
  <c r="EI240" i="16"/>
  <c r="EK240" i="16"/>
  <c r="EM240" i="16"/>
  <c r="EO240" i="16"/>
  <c r="EQ240" i="16"/>
  <c r="ES240" i="16"/>
  <c r="EU240" i="16"/>
  <c r="EW240" i="16"/>
  <c r="EY240" i="16"/>
  <c r="FA240" i="16"/>
  <c r="FC240" i="16"/>
  <c r="FE240" i="16"/>
  <c r="FG240" i="16"/>
  <c r="FI240" i="16"/>
  <c r="FK240" i="16"/>
  <c r="FM240" i="16"/>
  <c r="FO240" i="16"/>
  <c r="FQ240" i="16"/>
  <c r="FS240" i="16"/>
  <c r="FU240" i="16"/>
  <c r="FW240" i="16"/>
  <c r="FY240" i="16"/>
  <c r="GA240" i="16"/>
  <c r="GC240" i="16"/>
  <c r="CZ240" i="16"/>
  <c r="DB240" i="16"/>
  <c r="DD240" i="16"/>
  <c r="DF240" i="16"/>
  <c r="DH240" i="16"/>
  <c r="DJ240" i="16"/>
  <c r="DL240" i="16"/>
  <c r="DN240" i="16"/>
  <c r="DP240" i="16"/>
  <c r="DR240" i="16"/>
  <c r="DT240" i="16"/>
  <c r="DV240" i="16"/>
  <c r="DX240" i="16"/>
  <c r="DZ240" i="16"/>
  <c r="EB240" i="16"/>
  <c r="ED240" i="16"/>
  <c r="EF240" i="16"/>
  <c r="EH240" i="16"/>
  <c r="EJ240" i="16"/>
  <c r="EL240" i="16"/>
  <c r="EN240" i="16"/>
  <c r="EP240" i="16"/>
  <c r="ER240" i="16"/>
  <c r="ET240" i="16"/>
  <c r="EV240" i="16"/>
  <c r="EX240" i="16"/>
  <c r="EZ240" i="16"/>
  <c r="FB240" i="16"/>
  <c r="FD240" i="16"/>
  <c r="FF240" i="16"/>
  <c r="FH240" i="16"/>
  <c r="FJ240" i="16"/>
  <c r="FL240" i="16"/>
  <c r="FN240" i="16"/>
  <c r="FP240" i="16"/>
  <c r="FR240" i="16"/>
  <c r="FT240" i="16"/>
  <c r="FV240" i="16"/>
  <c r="FX240" i="16"/>
  <c r="FZ240" i="16"/>
  <c r="GB240" i="16"/>
  <c r="GD240" i="16"/>
  <c r="CY242" i="16"/>
  <c r="DA242" i="16"/>
  <c r="DC242" i="16"/>
  <c r="DE242" i="16"/>
  <c r="DG242" i="16"/>
  <c r="DI242" i="16"/>
  <c r="DK242" i="16"/>
  <c r="DM242" i="16"/>
  <c r="DO242" i="16"/>
  <c r="DQ242" i="16"/>
  <c r="DS242" i="16"/>
  <c r="DU242" i="16"/>
  <c r="DW242" i="16"/>
  <c r="DY242" i="16"/>
  <c r="EA242" i="16"/>
  <c r="EC242" i="16"/>
  <c r="EE242" i="16"/>
  <c r="EG242" i="16"/>
  <c r="EI242" i="16"/>
  <c r="EK242" i="16"/>
  <c r="EM242" i="16"/>
  <c r="EO242" i="16"/>
  <c r="EQ242" i="16"/>
  <c r="ES242" i="16"/>
  <c r="EU242" i="16"/>
  <c r="EW242" i="16"/>
  <c r="EY242" i="16"/>
  <c r="FA242" i="16"/>
  <c r="FC242" i="16"/>
  <c r="FE242" i="16"/>
  <c r="FG242" i="16"/>
  <c r="FI242" i="16"/>
  <c r="FK242" i="16"/>
  <c r="FM242" i="16"/>
  <c r="FO242" i="16"/>
  <c r="FQ242" i="16"/>
  <c r="FS242" i="16"/>
  <c r="FU242" i="16"/>
  <c r="FW242" i="16"/>
  <c r="FY242" i="16"/>
  <c r="GA242" i="16"/>
  <c r="GC242" i="16"/>
  <c r="CZ242" i="16"/>
  <c r="DB242" i="16"/>
  <c r="DD242" i="16"/>
  <c r="DF242" i="16"/>
  <c r="DH242" i="16"/>
  <c r="DJ242" i="16"/>
  <c r="DL242" i="16"/>
  <c r="DN242" i="16"/>
  <c r="DP242" i="16"/>
  <c r="DR242" i="16"/>
  <c r="DT242" i="16"/>
  <c r="DV242" i="16"/>
  <c r="DX242" i="16"/>
  <c r="DZ242" i="16"/>
  <c r="EB242" i="16"/>
  <c r="ED242" i="16"/>
  <c r="EF242" i="16"/>
  <c r="EH242" i="16"/>
  <c r="EJ242" i="16"/>
  <c r="EL242" i="16"/>
  <c r="EN242" i="16"/>
  <c r="EP242" i="16"/>
  <c r="ER242" i="16"/>
  <c r="ET242" i="16"/>
  <c r="EV242" i="16"/>
  <c r="EX242" i="16"/>
  <c r="EZ242" i="16"/>
  <c r="FB242" i="16"/>
  <c r="FD242" i="16"/>
  <c r="FF242" i="16"/>
  <c r="FH242" i="16"/>
  <c r="FJ242" i="16"/>
  <c r="FL242" i="16"/>
  <c r="FN242" i="16"/>
  <c r="FP242" i="16"/>
  <c r="FR242" i="16"/>
  <c r="FT242" i="16"/>
  <c r="FV242" i="16"/>
  <c r="FX242" i="16"/>
  <c r="FZ242" i="16"/>
  <c r="GB242" i="16"/>
  <c r="GD242" i="16"/>
  <c r="CY244" i="16"/>
  <c r="DA244" i="16"/>
  <c r="DC244" i="16"/>
  <c r="DE244" i="16"/>
  <c r="DG244" i="16"/>
  <c r="DI244" i="16"/>
  <c r="DK244" i="16"/>
  <c r="DM244" i="16"/>
  <c r="DO244" i="16"/>
  <c r="DQ244" i="16"/>
  <c r="DS244" i="16"/>
  <c r="DU244" i="16"/>
  <c r="DW244" i="16"/>
  <c r="DY244" i="16"/>
  <c r="EA244" i="16"/>
  <c r="EC244" i="16"/>
  <c r="EE244" i="16"/>
  <c r="EG244" i="16"/>
  <c r="EI244" i="16"/>
  <c r="EK244" i="16"/>
  <c r="EM244" i="16"/>
  <c r="EO244" i="16"/>
  <c r="EQ244" i="16"/>
  <c r="ES244" i="16"/>
  <c r="EU244" i="16"/>
  <c r="EW244" i="16"/>
  <c r="EY244" i="16"/>
  <c r="FA244" i="16"/>
  <c r="FC244" i="16"/>
  <c r="FE244" i="16"/>
  <c r="FG244" i="16"/>
  <c r="FI244" i="16"/>
  <c r="FK244" i="16"/>
  <c r="FM244" i="16"/>
  <c r="FO244" i="16"/>
  <c r="FQ244" i="16"/>
  <c r="FS244" i="16"/>
  <c r="FU244" i="16"/>
  <c r="FW244" i="16"/>
  <c r="FY244" i="16"/>
  <c r="GA244" i="16"/>
  <c r="GC244" i="16"/>
  <c r="CZ244" i="16"/>
  <c r="DB244" i="16"/>
  <c r="DD244" i="16"/>
  <c r="DF244" i="16"/>
  <c r="DH244" i="16"/>
  <c r="DJ244" i="16"/>
  <c r="DL244" i="16"/>
  <c r="DN244" i="16"/>
  <c r="DP244" i="16"/>
  <c r="DR244" i="16"/>
  <c r="DT244" i="16"/>
  <c r="DV244" i="16"/>
  <c r="DX244" i="16"/>
  <c r="DZ244" i="16"/>
  <c r="EB244" i="16"/>
  <c r="ED244" i="16"/>
  <c r="EF244" i="16"/>
  <c r="EH244" i="16"/>
  <c r="EJ244" i="16"/>
  <c r="EL244" i="16"/>
  <c r="EN244" i="16"/>
  <c r="EP244" i="16"/>
  <c r="ER244" i="16"/>
  <c r="ET244" i="16"/>
  <c r="EV244" i="16"/>
  <c r="EX244" i="16"/>
  <c r="EZ244" i="16"/>
  <c r="FB244" i="16"/>
  <c r="FD244" i="16"/>
  <c r="FF244" i="16"/>
  <c r="FH244" i="16"/>
  <c r="FJ244" i="16"/>
  <c r="FL244" i="16"/>
  <c r="FN244" i="16"/>
  <c r="FP244" i="16"/>
  <c r="FR244" i="16"/>
  <c r="FT244" i="16"/>
  <c r="FV244" i="16"/>
  <c r="FX244" i="16"/>
  <c r="FZ244" i="16"/>
  <c r="GB244" i="16"/>
  <c r="GD244" i="16"/>
  <c r="CZ245" i="16"/>
  <c r="DB245" i="16"/>
  <c r="DD245" i="16"/>
  <c r="DF245" i="16"/>
  <c r="DH245" i="16"/>
  <c r="DJ245" i="16"/>
  <c r="DL245" i="16"/>
  <c r="DN245" i="16"/>
  <c r="DP245" i="16"/>
  <c r="DR245" i="16"/>
  <c r="DT245" i="16"/>
  <c r="DV245" i="16"/>
  <c r="DX245" i="16"/>
  <c r="DZ245" i="16"/>
  <c r="EB245" i="16"/>
  <c r="ED245" i="16"/>
  <c r="EF245" i="16"/>
  <c r="EH245" i="16"/>
  <c r="EJ245" i="16"/>
  <c r="EL245" i="16"/>
  <c r="EN245" i="16"/>
  <c r="EP245" i="16"/>
  <c r="ER245" i="16"/>
  <c r="ET245" i="16"/>
  <c r="EV245" i="16"/>
  <c r="EX245" i="16"/>
  <c r="EZ245" i="16"/>
  <c r="FB245" i="16"/>
  <c r="FD245" i="16"/>
  <c r="FF245" i="16"/>
  <c r="FH245" i="16"/>
  <c r="FJ245" i="16"/>
  <c r="FL245" i="16"/>
  <c r="FN245" i="16"/>
  <c r="FP245" i="16"/>
  <c r="FR245" i="16"/>
  <c r="FT245" i="16"/>
  <c r="FV245" i="16"/>
  <c r="FX245" i="16"/>
  <c r="FZ245" i="16"/>
  <c r="GB245" i="16"/>
  <c r="GD245" i="16"/>
  <c r="CY245" i="16"/>
  <c r="DA245" i="16"/>
  <c r="DC245" i="16"/>
  <c r="DE245" i="16"/>
  <c r="DG245" i="16"/>
  <c r="DI245" i="16"/>
  <c r="DK245" i="16"/>
  <c r="DM245" i="16"/>
  <c r="DO245" i="16"/>
  <c r="DQ245" i="16"/>
  <c r="DS245" i="16"/>
  <c r="DU245" i="16"/>
  <c r="DW245" i="16"/>
  <c r="DY245" i="16"/>
  <c r="EA245" i="16"/>
  <c r="EC245" i="16"/>
  <c r="EE245" i="16"/>
  <c r="EG245" i="16"/>
  <c r="EI245" i="16"/>
  <c r="EK245" i="16"/>
  <c r="EM245" i="16"/>
  <c r="EO245" i="16"/>
  <c r="EQ245" i="16"/>
  <c r="ES245" i="16"/>
  <c r="EU245" i="16"/>
  <c r="EW245" i="16"/>
  <c r="EY245" i="16"/>
  <c r="FA245" i="16"/>
  <c r="FC245" i="16"/>
  <c r="FE245" i="16"/>
  <c r="FG245" i="16"/>
  <c r="FI245" i="16"/>
  <c r="FK245" i="16"/>
  <c r="FM245" i="16"/>
  <c r="FO245" i="16"/>
  <c r="FQ245" i="16"/>
  <c r="FS245" i="16"/>
  <c r="FU245" i="16"/>
  <c r="FW245" i="16"/>
  <c r="FY245" i="16"/>
  <c r="GA245" i="16"/>
  <c r="GC245" i="16"/>
  <c r="CY248" i="16"/>
  <c r="DA248" i="16"/>
  <c r="DC248" i="16"/>
  <c r="DE248" i="16"/>
  <c r="DG248" i="16"/>
  <c r="DI248" i="16"/>
  <c r="DK248" i="16"/>
  <c r="DM248" i="16"/>
  <c r="DO248" i="16"/>
  <c r="DQ248" i="16"/>
  <c r="DS248" i="16"/>
  <c r="DU248" i="16"/>
  <c r="DW248" i="16"/>
  <c r="DY248" i="16"/>
  <c r="EA248" i="16"/>
  <c r="EC248" i="16"/>
  <c r="EE248" i="16"/>
  <c r="EG248" i="16"/>
  <c r="EI248" i="16"/>
  <c r="EK248" i="16"/>
  <c r="EM248" i="16"/>
  <c r="EO248" i="16"/>
  <c r="EQ248" i="16"/>
  <c r="ES248" i="16"/>
  <c r="EU248" i="16"/>
  <c r="EW248" i="16"/>
  <c r="EY248" i="16"/>
  <c r="FA248" i="16"/>
  <c r="FC248" i="16"/>
  <c r="FE248" i="16"/>
  <c r="FG248" i="16"/>
  <c r="FI248" i="16"/>
  <c r="FK248" i="16"/>
  <c r="FM248" i="16"/>
  <c r="FO248" i="16"/>
  <c r="FQ248" i="16"/>
  <c r="FS248" i="16"/>
  <c r="FU248" i="16"/>
  <c r="FW248" i="16"/>
  <c r="FY248" i="16"/>
  <c r="GA248" i="16"/>
  <c r="GC248" i="16"/>
  <c r="CZ248" i="16"/>
  <c r="DB248" i="16"/>
  <c r="DD248" i="16"/>
  <c r="DF248" i="16"/>
  <c r="DH248" i="16"/>
  <c r="DJ248" i="16"/>
  <c r="DL248" i="16"/>
  <c r="DN248" i="16"/>
  <c r="DP248" i="16"/>
  <c r="DR248" i="16"/>
  <c r="DT248" i="16"/>
  <c r="DV248" i="16"/>
  <c r="DX248" i="16"/>
  <c r="DZ248" i="16"/>
  <c r="EB248" i="16"/>
  <c r="ED248" i="16"/>
  <c r="EF248" i="16"/>
  <c r="EH248" i="16"/>
  <c r="EJ248" i="16"/>
  <c r="EL248" i="16"/>
  <c r="EN248" i="16"/>
  <c r="EP248" i="16"/>
  <c r="ER248" i="16"/>
  <c r="ET248" i="16"/>
  <c r="EV248" i="16"/>
  <c r="EX248" i="16"/>
  <c r="EZ248" i="16"/>
  <c r="FB248" i="16"/>
  <c r="FD248" i="16"/>
  <c r="FF248" i="16"/>
  <c r="FH248" i="16"/>
  <c r="FJ248" i="16"/>
  <c r="FL248" i="16"/>
  <c r="FN248" i="16"/>
  <c r="FP248" i="16"/>
  <c r="FR248" i="16"/>
  <c r="FT248" i="16"/>
  <c r="FV248" i="16"/>
  <c r="FX248" i="16"/>
  <c r="FZ248" i="16"/>
  <c r="GB248" i="16"/>
  <c r="GD248" i="16"/>
  <c r="CY250" i="16"/>
  <c r="DA250" i="16"/>
  <c r="DC250" i="16"/>
  <c r="DE250" i="16"/>
  <c r="DG250" i="16"/>
  <c r="DI250" i="16"/>
  <c r="DK250" i="16"/>
  <c r="DM250" i="16"/>
  <c r="DO250" i="16"/>
  <c r="DQ250" i="16"/>
  <c r="DS250" i="16"/>
  <c r="DU250" i="16"/>
  <c r="DW250" i="16"/>
  <c r="DY250" i="16"/>
  <c r="EA250" i="16"/>
  <c r="EC250" i="16"/>
  <c r="EE250" i="16"/>
  <c r="EG250" i="16"/>
  <c r="EI250" i="16"/>
  <c r="EK250" i="16"/>
  <c r="EM250" i="16"/>
  <c r="EO250" i="16"/>
  <c r="EQ250" i="16"/>
  <c r="ES250" i="16"/>
  <c r="EU250" i="16"/>
  <c r="EW250" i="16"/>
  <c r="EY250" i="16"/>
  <c r="FA250" i="16"/>
  <c r="FC250" i="16"/>
  <c r="FE250" i="16"/>
  <c r="FG250" i="16"/>
  <c r="FI250" i="16"/>
  <c r="FK250" i="16"/>
  <c r="FM250" i="16"/>
  <c r="FO250" i="16"/>
  <c r="FQ250" i="16"/>
  <c r="FS250" i="16"/>
  <c r="FU250" i="16"/>
  <c r="FW250" i="16"/>
  <c r="FY250" i="16"/>
  <c r="GA250" i="16"/>
  <c r="GC250" i="16"/>
  <c r="CZ250" i="16"/>
  <c r="DB250" i="16"/>
  <c r="DD250" i="16"/>
  <c r="DF250" i="16"/>
  <c r="DH250" i="16"/>
  <c r="DJ250" i="16"/>
  <c r="DL250" i="16"/>
  <c r="DN250" i="16"/>
  <c r="DP250" i="16"/>
  <c r="DR250" i="16"/>
  <c r="DT250" i="16"/>
  <c r="DV250" i="16"/>
  <c r="DX250" i="16"/>
  <c r="DZ250" i="16"/>
  <c r="EB250" i="16"/>
  <c r="ED250" i="16"/>
  <c r="EF250" i="16"/>
  <c r="EH250" i="16"/>
  <c r="EJ250" i="16"/>
  <c r="EL250" i="16"/>
  <c r="EN250" i="16"/>
  <c r="EP250" i="16"/>
  <c r="ER250" i="16"/>
  <c r="ET250" i="16"/>
  <c r="EV250" i="16"/>
  <c r="EX250" i="16"/>
  <c r="EZ250" i="16"/>
  <c r="FB250" i="16"/>
  <c r="FD250" i="16"/>
  <c r="FF250" i="16"/>
  <c r="FH250" i="16"/>
  <c r="FJ250" i="16"/>
  <c r="FL250" i="16"/>
  <c r="FN250" i="16"/>
  <c r="FP250" i="16"/>
  <c r="FR250" i="16"/>
  <c r="FT250" i="16"/>
  <c r="FV250" i="16"/>
  <c r="FX250" i="16"/>
  <c r="FZ250" i="16"/>
  <c r="GB250" i="16"/>
  <c r="GD250" i="16"/>
  <c r="CY252" i="16"/>
  <c r="DA252" i="16"/>
  <c r="DC252" i="16"/>
  <c r="DE252" i="16"/>
  <c r="DG252" i="16"/>
  <c r="DI252" i="16"/>
  <c r="DK252" i="16"/>
  <c r="DM252" i="16"/>
  <c r="DO252" i="16"/>
  <c r="DQ252" i="16"/>
  <c r="DS252" i="16"/>
  <c r="DU252" i="16"/>
  <c r="DW252" i="16"/>
  <c r="DY252" i="16"/>
  <c r="EA252" i="16"/>
  <c r="EC252" i="16"/>
  <c r="EE252" i="16"/>
  <c r="EG252" i="16"/>
  <c r="EI252" i="16"/>
  <c r="EK252" i="16"/>
  <c r="EM252" i="16"/>
  <c r="EO252" i="16"/>
  <c r="EQ252" i="16"/>
  <c r="ES252" i="16"/>
  <c r="EU252" i="16"/>
  <c r="EW252" i="16"/>
  <c r="EY252" i="16"/>
  <c r="FA252" i="16"/>
  <c r="FC252" i="16"/>
  <c r="FE252" i="16"/>
  <c r="FG252" i="16"/>
  <c r="FI252" i="16"/>
  <c r="FK252" i="16"/>
  <c r="FM252" i="16"/>
  <c r="FO252" i="16"/>
  <c r="FQ252" i="16"/>
  <c r="FS252" i="16"/>
  <c r="FU252" i="16"/>
  <c r="FW252" i="16"/>
  <c r="FY252" i="16"/>
  <c r="GA252" i="16"/>
  <c r="GC252" i="16"/>
  <c r="CZ252" i="16"/>
  <c r="DB252" i="16"/>
  <c r="DD252" i="16"/>
  <c r="DF252" i="16"/>
  <c r="DH252" i="16"/>
  <c r="DJ252" i="16"/>
  <c r="DL252" i="16"/>
  <c r="DN252" i="16"/>
  <c r="DP252" i="16"/>
  <c r="DR252" i="16"/>
  <c r="DT252" i="16"/>
  <c r="DV252" i="16"/>
  <c r="DX252" i="16"/>
  <c r="DZ252" i="16"/>
  <c r="EB252" i="16"/>
  <c r="ED252" i="16"/>
  <c r="EF252" i="16"/>
  <c r="EH252" i="16"/>
  <c r="EJ252" i="16"/>
  <c r="EL252" i="16"/>
  <c r="EN252" i="16"/>
  <c r="EP252" i="16"/>
  <c r="ER252" i="16"/>
  <c r="ET252" i="16"/>
  <c r="EV252" i="16"/>
  <c r="EX252" i="16"/>
  <c r="EZ252" i="16"/>
  <c r="FB252" i="16"/>
  <c r="FD252" i="16"/>
  <c r="FF252" i="16"/>
  <c r="FH252" i="16"/>
  <c r="FJ252" i="16"/>
  <c r="FL252" i="16"/>
  <c r="FN252" i="16"/>
  <c r="FP252" i="16"/>
  <c r="FR252" i="16"/>
  <c r="FT252" i="16"/>
  <c r="FV252" i="16"/>
  <c r="FX252" i="16"/>
  <c r="FZ252" i="16"/>
  <c r="GB252" i="16"/>
  <c r="GD252" i="16"/>
  <c r="CZ253" i="16"/>
  <c r="DB253" i="16"/>
  <c r="DD253" i="16"/>
  <c r="DF253" i="16"/>
  <c r="DH253" i="16"/>
  <c r="DJ253" i="16"/>
  <c r="DL253" i="16"/>
  <c r="DN253" i="16"/>
  <c r="DP253" i="16"/>
  <c r="DR253" i="16"/>
  <c r="DT253" i="16"/>
  <c r="DV253" i="16"/>
  <c r="DX253" i="16"/>
  <c r="DZ253" i="16"/>
  <c r="EB253" i="16"/>
  <c r="ED253" i="16"/>
  <c r="EF253" i="16"/>
  <c r="EH253" i="16"/>
  <c r="EJ253" i="16"/>
  <c r="EL253" i="16"/>
  <c r="EN253" i="16"/>
  <c r="EP253" i="16"/>
  <c r="ER253" i="16"/>
  <c r="ET253" i="16"/>
  <c r="EV253" i="16"/>
  <c r="EX253" i="16"/>
  <c r="EZ253" i="16"/>
  <c r="FB253" i="16"/>
  <c r="FD253" i="16"/>
  <c r="FF253" i="16"/>
  <c r="FH253" i="16"/>
  <c r="FJ253" i="16"/>
  <c r="FL253" i="16"/>
  <c r="FN253" i="16"/>
  <c r="FP253" i="16"/>
  <c r="FR253" i="16"/>
  <c r="FT253" i="16"/>
  <c r="FV253" i="16"/>
  <c r="FX253" i="16"/>
  <c r="FZ253" i="16"/>
  <c r="GB253" i="16"/>
  <c r="GD253" i="16"/>
  <c r="CY253" i="16"/>
  <c r="DA253" i="16"/>
  <c r="DC253" i="16"/>
  <c r="DE253" i="16"/>
  <c r="DG253" i="16"/>
  <c r="DI253" i="16"/>
  <c r="DK253" i="16"/>
  <c r="DM253" i="16"/>
  <c r="DO253" i="16"/>
  <c r="DQ253" i="16"/>
  <c r="DS253" i="16"/>
  <c r="DU253" i="16"/>
  <c r="DW253" i="16"/>
  <c r="DY253" i="16"/>
  <c r="EA253" i="16"/>
  <c r="EC253" i="16"/>
  <c r="EE253" i="16"/>
  <c r="EG253" i="16"/>
  <c r="EI253" i="16"/>
  <c r="EK253" i="16"/>
  <c r="EM253" i="16"/>
  <c r="EO253" i="16"/>
  <c r="EQ253" i="16"/>
  <c r="ES253" i="16"/>
  <c r="EU253" i="16"/>
  <c r="EW253" i="16"/>
  <c r="EY253" i="16"/>
  <c r="FA253" i="16"/>
  <c r="FC253" i="16"/>
  <c r="FE253" i="16"/>
  <c r="FG253" i="16"/>
  <c r="FI253" i="16"/>
  <c r="FK253" i="16"/>
  <c r="FM253" i="16"/>
  <c r="FO253" i="16"/>
  <c r="FQ253" i="16"/>
  <c r="FS253" i="16"/>
  <c r="FU253" i="16"/>
  <c r="FW253" i="16"/>
  <c r="FY253" i="16"/>
  <c r="GA253" i="16"/>
  <c r="GC253" i="16"/>
  <c r="CZ255" i="16"/>
  <c r="DB255" i="16"/>
  <c r="DD255" i="16"/>
  <c r="DF255" i="16"/>
  <c r="DH255" i="16"/>
  <c r="DJ255" i="16"/>
  <c r="DL255" i="16"/>
  <c r="DN255" i="16"/>
  <c r="DP255" i="16"/>
  <c r="DR255" i="16"/>
  <c r="DT255" i="16"/>
  <c r="DV255" i="16"/>
  <c r="DX255" i="16"/>
  <c r="DZ255" i="16"/>
  <c r="EB255" i="16"/>
  <c r="ED255" i="16"/>
  <c r="EF255" i="16"/>
  <c r="EH255" i="16"/>
  <c r="EJ255" i="16"/>
  <c r="EL255" i="16"/>
  <c r="EN255" i="16"/>
  <c r="EP255" i="16"/>
  <c r="ER255" i="16"/>
  <c r="ET255" i="16"/>
  <c r="EV255" i="16"/>
  <c r="EX255" i="16"/>
  <c r="EZ255" i="16"/>
  <c r="FB255" i="16"/>
  <c r="FD255" i="16"/>
  <c r="FF255" i="16"/>
  <c r="FH255" i="16"/>
  <c r="FJ255" i="16"/>
  <c r="FL255" i="16"/>
  <c r="FN255" i="16"/>
  <c r="FP255" i="16"/>
  <c r="FR255" i="16"/>
  <c r="FT255" i="16"/>
  <c r="FV255" i="16"/>
  <c r="FX255" i="16"/>
  <c r="FZ255" i="16"/>
  <c r="GB255" i="16"/>
  <c r="GD255" i="16"/>
  <c r="CY255" i="16"/>
  <c r="DA255" i="16"/>
  <c r="DC255" i="16"/>
  <c r="DE255" i="16"/>
  <c r="DG255" i="16"/>
  <c r="DI255" i="16"/>
  <c r="DK255" i="16"/>
  <c r="DM255" i="16"/>
  <c r="DO255" i="16"/>
  <c r="DQ255" i="16"/>
  <c r="DS255" i="16"/>
  <c r="DU255" i="16"/>
  <c r="DW255" i="16"/>
  <c r="DY255" i="16"/>
  <c r="EA255" i="16"/>
  <c r="EC255" i="16"/>
  <c r="EE255" i="16"/>
  <c r="EG255" i="16"/>
  <c r="EI255" i="16"/>
  <c r="EK255" i="16"/>
  <c r="EM255" i="16"/>
  <c r="EO255" i="16"/>
  <c r="EQ255" i="16"/>
  <c r="ES255" i="16"/>
  <c r="EU255" i="16"/>
  <c r="EW255" i="16"/>
  <c r="EY255" i="16"/>
  <c r="FA255" i="16"/>
  <c r="FC255" i="16"/>
  <c r="FE255" i="16"/>
  <c r="FG255" i="16"/>
  <c r="FI255" i="16"/>
  <c r="FK255" i="16"/>
  <c r="FM255" i="16"/>
  <c r="FO255" i="16"/>
  <c r="FQ255" i="16"/>
  <c r="FS255" i="16"/>
  <c r="FU255" i="16"/>
  <c r="FW255" i="16"/>
  <c r="FY255" i="16"/>
  <c r="GA255" i="16"/>
  <c r="GC255" i="16"/>
  <c r="CY258" i="16"/>
  <c r="DA258" i="16"/>
  <c r="DC258" i="16"/>
  <c r="DE258" i="16"/>
  <c r="DG258" i="16"/>
  <c r="DI258" i="16"/>
  <c r="DK258" i="16"/>
  <c r="DM258" i="16"/>
  <c r="DO258" i="16"/>
  <c r="DQ258" i="16"/>
  <c r="DS258" i="16"/>
  <c r="DU258" i="16"/>
  <c r="DW258" i="16"/>
  <c r="DY258" i="16"/>
  <c r="EA258" i="16"/>
  <c r="EC258" i="16"/>
  <c r="EE258" i="16"/>
  <c r="EG258" i="16"/>
  <c r="EI258" i="16"/>
  <c r="EK258" i="16"/>
  <c r="EM258" i="16"/>
  <c r="EO258" i="16"/>
  <c r="EQ258" i="16"/>
  <c r="ES258" i="16"/>
  <c r="EU258" i="16"/>
  <c r="EW258" i="16"/>
  <c r="EY258" i="16"/>
  <c r="FA258" i="16"/>
  <c r="FC258" i="16"/>
  <c r="FE258" i="16"/>
  <c r="FG258" i="16"/>
  <c r="FI258" i="16"/>
  <c r="FK258" i="16"/>
  <c r="FM258" i="16"/>
  <c r="FO258" i="16"/>
  <c r="FQ258" i="16"/>
  <c r="FS258" i="16"/>
  <c r="FU258" i="16"/>
  <c r="FW258" i="16"/>
  <c r="FY258" i="16"/>
  <c r="GA258" i="16"/>
  <c r="GC258" i="16"/>
  <c r="CZ258" i="16"/>
  <c r="DB258" i="16"/>
  <c r="DD258" i="16"/>
  <c r="DF258" i="16"/>
  <c r="DH258" i="16"/>
  <c r="DJ258" i="16"/>
  <c r="DL258" i="16"/>
  <c r="DN258" i="16"/>
  <c r="DP258" i="16"/>
  <c r="DR258" i="16"/>
  <c r="DT258" i="16"/>
  <c r="DV258" i="16"/>
  <c r="DX258" i="16"/>
  <c r="DZ258" i="16"/>
  <c r="EB258" i="16"/>
  <c r="ED258" i="16"/>
  <c r="EF258" i="16"/>
  <c r="EH258" i="16"/>
  <c r="EJ258" i="16"/>
  <c r="EL258" i="16"/>
  <c r="EN258" i="16"/>
  <c r="EP258" i="16"/>
  <c r="ER258" i="16"/>
  <c r="ET258" i="16"/>
  <c r="EV258" i="16"/>
  <c r="EX258" i="16"/>
  <c r="EZ258" i="16"/>
  <c r="FB258" i="16"/>
  <c r="FD258" i="16"/>
  <c r="FF258" i="16"/>
  <c r="FH258" i="16"/>
  <c r="FJ258" i="16"/>
  <c r="FL258" i="16"/>
  <c r="FN258" i="16"/>
  <c r="FP258" i="16"/>
  <c r="FR258" i="16"/>
  <c r="FT258" i="16"/>
  <c r="FV258" i="16"/>
  <c r="FX258" i="16"/>
  <c r="FZ258" i="16"/>
  <c r="GB258" i="16"/>
  <c r="GD258" i="16"/>
  <c r="CZ260" i="16"/>
  <c r="DB260" i="16"/>
  <c r="DD260" i="16"/>
  <c r="DF260" i="16"/>
  <c r="DH260" i="16"/>
  <c r="DJ260" i="16"/>
  <c r="DL260" i="16"/>
  <c r="DN260" i="16"/>
  <c r="DP260" i="16"/>
  <c r="DR260" i="16"/>
  <c r="DT260" i="16"/>
  <c r="DV260" i="16"/>
  <c r="DX260" i="16"/>
  <c r="DZ260" i="16"/>
  <c r="EB260" i="16"/>
  <c r="ED260" i="16"/>
  <c r="EF260" i="16"/>
  <c r="EH260" i="16"/>
  <c r="EJ260" i="16"/>
  <c r="EL260" i="16"/>
  <c r="EN260" i="16"/>
  <c r="EP260" i="16"/>
  <c r="ER260" i="16"/>
  <c r="ET260" i="16"/>
  <c r="EV260" i="16"/>
  <c r="EX260" i="16"/>
  <c r="EZ260" i="16"/>
  <c r="FB260" i="16"/>
  <c r="FD260" i="16"/>
  <c r="FF260" i="16"/>
  <c r="FH260" i="16"/>
  <c r="FJ260" i="16"/>
  <c r="FL260" i="16"/>
  <c r="FN260" i="16"/>
  <c r="FP260" i="16"/>
  <c r="FR260" i="16"/>
  <c r="FT260" i="16"/>
  <c r="FV260" i="16"/>
  <c r="FX260" i="16"/>
  <c r="FZ260" i="16"/>
  <c r="GB260" i="16"/>
  <c r="GD260" i="16"/>
  <c r="CY260" i="16"/>
  <c r="DA260" i="16"/>
  <c r="DC260" i="16"/>
  <c r="DE260" i="16"/>
  <c r="DG260" i="16"/>
  <c r="DI260" i="16"/>
  <c r="DK260" i="16"/>
  <c r="DM260" i="16"/>
  <c r="DO260" i="16"/>
  <c r="DQ260" i="16"/>
  <c r="DS260" i="16"/>
  <c r="DU260" i="16"/>
  <c r="DW260" i="16"/>
  <c r="DY260" i="16"/>
  <c r="EA260" i="16"/>
  <c r="EC260" i="16"/>
  <c r="EE260" i="16"/>
  <c r="EG260" i="16"/>
  <c r="EI260" i="16"/>
  <c r="EK260" i="16"/>
  <c r="EM260" i="16"/>
  <c r="EO260" i="16"/>
  <c r="EQ260" i="16"/>
  <c r="ES260" i="16"/>
  <c r="EU260" i="16"/>
  <c r="EW260" i="16"/>
  <c r="EY260" i="16"/>
  <c r="FA260" i="16"/>
  <c r="FC260" i="16"/>
  <c r="FE260" i="16"/>
  <c r="FG260" i="16"/>
  <c r="FI260" i="16"/>
  <c r="FK260" i="16"/>
  <c r="FM260" i="16"/>
  <c r="FO260" i="16"/>
  <c r="FQ260" i="16"/>
  <c r="FS260" i="16"/>
  <c r="FU260" i="16"/>
  <c r="FW260" i="16"/>
  <c r="FY260" i="16"/>
  <c r="GA260" i="16"/>
  <c r="GC260" i="16"/>
  <c r="CZ262" i="16"/>
  <c r="DB262" i="16"/>
  <c r="DD262" i="16"/>
  <c r="DF262" i="16"/>
  <c r="DH262" i="16"/>
  <c r="DJ262" i="16"/>
  <c r="DL262" i="16"/>
  <c r="DN262" i="16"/>
  <c r="DP262" i="16"/>
  <c r="DR262" i="16"/>
  <c r="DT262" i="16"/>
  <c r="DV262" i="16"/>
  <c r="DX262" i="16"/>
  <c r="DZ262" i="16"/>
  <c r="EB262" i="16"/>
  <c r="ED262" i="16"/>
  <c r="EF262" i="16"/>
  <c r="EH262" i="16"/>
  <c r="EJ262" i="16"/>
  <c r="EL262" i="16"/>
  <c r="EN262" i="16"/>
  <c r="EP262" i="16"/>
  <c r="ER262" i="16"/>
  <c r="ET262" i="16"/>
  <c r="EV262" i="16"/>
  <c r="EX262" i="16"/>
  <c r="EZ262" i="16"/>
  <c r="FB262" i="16"/>
  <c r="FD262" i="16"/>
  <c r="FF262" i="16"/>
  <c r="FH262" i="16"/>
  <c r="FJ262" i="16"/>
  <c r="FL262" i="16"/>
  <c r="FN262" i="16"/>
  <c r="FP262" i="16"/>
  <c r="FR262" i="16"/>
  <c r="FT262" i="16"/>
  <c r="FV262" i="16"/>
  <c r="FX262" i="16"/>
  <c r="FZ262" i="16"/>
  <c r="GB262" i="16"/>
  <c r="GD262" i="16"/>
  <c r="CY262" i="16"/>
  <c r="DA262" i="16"/>
  <c r="DC262" i="16"/>
  <c r="DE262" i="16"/>
  <c r="DG262" i="16"/>
  <c r="DI262" i="16"/>
  <c r="DK262" i="16"/>
  <c r="DM262" i="16"/>
  <c r="DO262" i="16"/>
  <c r="DQ262" i="16"/>
  <c r="DS262" i="16"/>
  <c r="DU262" i="16"/>
  <c r="DW262" i="16"/>
  <c r="DY262" i="16"/>
  <c r="EA262" i="16"/>
  <c r="EC262" i="16"/>
  <c r="EE262" i="16"/>
  <c r="EG262" i="16"/>
  <c r="EI262" i="16"/>
  <c r="EK262" i="16"/>
  <c r="EM262" i="16"/>
  <c r="EO262" i="16"/>
  <c r="EQ262" i="16"/>
  <c r="ES262" i="16"/>
  <c r="EU262" i="16"/>
  <c r="EW262" i="16"/>
  <c r="EY262" i="16"/>
  <c r="FA262" i="16"/>
  <c r="FC262" i="16"/>
  <c r="FE262" i="16"/>
  <c r="FG262" i="16"/>
  <c r="FI262" i="16"/>
  <c r="FK262" i="16"/>
  <c r="FM262" i="16"/>
  <c r="FO262" i="16"/>
  <c r="FQ262" i="16"/>
  <c r="FS262" i="16"/>
  <c r="FU262" i="16"/>
  <c r="FW262" i="16"/>
  <c r="FY262" i="16"/>
  <c r="GA262" i="16"/>
  <c r="GC262" i="16"/>
  <c r="CY263" i="16"/>
  <c r="DA263" i="16"/>
  <c r="DC263" i="16"/>
  <c r="DE263" i="16"/>
  <c r="DG263" i="16"/>
  <c r="DI263" i="16"/>
  <c r="DK263" i="16"/>
  <c r="DM263" i="16"/>
  <c r="DO263" i="16"/>
  <c r="DQ263" i="16"/>
  <c r="DS263" i="16"/>
  <c r="DU263" i="16"/>
  <c r="DW263" i="16"/>
  <c r="DY263" i="16"/>
  <c r="EA263" i="16"/>
  <c r="EC263" i="16"/>
  <c r="EE263" i="16"/>
  <c r="EG263" i="16"/>
  <c r="EI263" i="16"/>
  <c r="EK263" i="16"/>
  <c r="EM263" i="16"/>
  <c r="EO263" i="16"/>
  <c r="EQ263" i="16"/>
  <c r="ES263" i="16"/>
  <c r="EU263" i="16"/>
  <c r="EW263" i="16"/>
  <c r="EY263" i="16"/>
  <c r="FA263" i="16"/>
  <c r="FC263" i="16"/>
  <c r="FE263" i="16"/>
  <c r="FG263" i="16"/>
  <c r="FI263" i="16"/>
  <c r="FK263" i="16"/>
  <c r="FM263" i="16"/>
  <c r="FO263" i="16"/>
  <c r="FQ263" i="16"/>
  <c r="FS263" i="16"/>
  <c r="FU263" i="16"/>
  <c r="FW263" i="16"/>
  <c r="FY263" i="16"/>
  <c r="GA263" i="16"/>
  <c r="GC263" i="16"/>
  <c r="CZ263" i="16"/>
  <c r="DB263" i="16"/>
  <c r="DD263" i="16"/>
  <c r="DF263" i="16"/>
  <c r="DH263" i="16"/>
  <c r="DJ263" i="16"/>
  <c r="DL263" i="16"/>
  <c r="DN263" i="16"/>
  <c r="DP263" i="16"/>
  <c r="DR263" i="16"/>
  <c r="DT263" i="16"/>
  <c r="DV263" i="16"/>
  <c r="DX263" i="16"/>
  <c r="DZ263" i="16"/>
  <c r="EB263" i="16"/>
  <c r="ED263" i="16"/>
  <c r="EF263" i="16"/>
  <c r="EH263" i="16"/>
  <c r="EJ263" i="16"/>
  <c r="EL263" i="16"/>
  <c r="EN263" i="16"/>
  <c r="EP263" i="16"/>
  <c r="ER263" i="16"/>
  <c r="ET263" i="16"/>
  <c r="EV263" i="16"/>
  <c r="EX263" i="16"/>
  <c r="EZ263" i="16"/>
  <c r="FB263" i="16"/>
  <c r="FD263" i="16"/>
  <c r="FF263" i="16"/>
  <c r="FH263" i="16"/>
  <c r="FJ263" i="16"/>
  <c r="FL263" i="16"/>
  <c r="FN263" i="16"/>
  <c r="FP263" i="16"/>
  <c r="FR263" i="16"/>
  <c r="FT263" i="16"/>
  <c r="FV263" i="16"/>
  <c r="FX263" i="16"/>
  <c r="FZ263" i="16"/>
  <c r="GB263" i="16"/>
  <c r="GD263" i="16"/>
  <c r="CY265" i="16"/>
  <c r="DA265" i="16"/>
  <c r="DC265" i="16"/>
  <c r="DE265" i="16"/>
  <c r="DG265" i="16"/>
  <c r="DI265" i="16"/>
  <c r="DK265" i="16"/>
  <c r="DM265" i="16"/>
  <c r="DO265" i="16"/>
  <c r="DQ265" i="16"/>
  <c r="DS265" i="16"/>
  <c r="DU265" i="16"/>
  <c r="DW265" i="16"/>
  <c r="DY265" i="16"/>
  <c r="EA265" i="16"/>
  <c r="EC265" i="16"/>
  <c r="EE265" i="16"/>
  <c r="EG265" i="16"/>
  <c r="EI265" i="16"/>
  <c r="EK265" i="16"/>
  <c r="EM265" i="16"/>
  <c r="EO265" i="16"/>
  <c r="EQ265" i="16"/>
  <c r="ES265" i="16"/>
  <c r="EU265" i="16"/>
  <c r="EW265" i="16"/>
  <c r="EY265" i="16"/>
  <c r="FA265" i="16"/>
  <c r="FC265" i="16"/>
  <c r="FE265" i="16"/>
  <c r="FG265" i="16"/>
  <c r="FI265" i="16"/>
  <c r="FK265" i="16"/>
  <c r="FM265" i="16"/>
  <c r="FO265" i="16"/>
  <c r="FQ265" i="16"/>
  <c r="FS265" i="16"/>
  <c r="FU265" i="16"/>
  <c r="FW265" i="16"/>
  <c r="FY265" i="16"/>
  <c r="GA265" i="16"/>
  <c r="GC265" i="16"/>
  <c r="CZ265" i="16"/>
  <c r="DB265" i="16"/>
  <c r="DD265" i="16"/>
  <c r="DF265" i="16"/>
  <c r="DH265" i="16"/>
  <c r="DJ265" i="16"/>
  <c r="DL265" i="16"/>
  <c r="DN265" i="16"/>
  <c r="DP265" i="16"/>
  <c r="DR265" i="16"/>
  <c r="DT265" i="16"/>
  <c r="DV265" i="16"/>
  <c r="DX265" i="16"/>
  <c r="DZ265" i="16"/>
  <c r="EB265" i="16"/>
  <c r="ED265" i="16"/>
  <c r="EF265" i="16"/>
  <c r="EH265" i="16"/>
  <c r="EJ265" i="16"/>
  <c r="EL265" i="16"/>
  <c r="EN265" i="16"/>
  <c r="EP265" i="16"/>
  <c r="ER265" i="16"/>
  <c r="ET265" i="16"/>
  <c r="EV265" i="16"/>
  <c r="EX265" i="16"/>
  <c r="EZ265" i="16"/>
  <c r="FB265" i="16"/>
  <c r="FD265" i="16"/>
  <c r="FF265" i="16"/>
  <c r="FH265" i="16"/>
  <c r="FJ265" i="16"/>
  <c r="FL265" i="16"/>
  <c r="FN265" i="16"/>
  <c r="FP265" i="16"/>
  <c r="FR265" i="16"/>
  <c r="FT265" i="16"/>
  <c r="FV265" i="16"/>
  <c r="FX265" i="16"/>
  <c r="FZ265" i="16"/>
  <c r="GB265" i="16"/>
  <c r="GD265" i="16"/>
  <c r="CY267" i="16"/>
  <c r="DA267" i="16"/>
  <c r="DC267" i="16"/>
  <c r="DE267" i="16"/>
  <c r="DG267" i="16"/>
  <c r="DI267" i="16"/>
  <c r="DK267" i="16"/>
  <c r="DM267" i="16"/>
  <c r="DO267" i="16"/>
  <c r="DQ267" i="16"/>
  <c r="DS267" i="16"/>
  <c r="DU267" i="16"/>
  <c r="DW267" i="16"/>
  <c r="DY267" i="16"/>
  <c r="EA267" i="16"/>
  <c r="EC267" i="16"/>
  <c r="EE267" i="16"/>
  <c r="EG267" i="16"/>
  <c r="EI267" i="16"/>
  <c r="EK267" i="16"/>
  <c r="EM267" i="16"/>
  <c r="EO267" i="16"/>
  <c r="EQ267" i="16"/>
  <c r="ES267" i="16"/>
  <c r="EU267" i="16"/>
  <c r="EW267" i="16"/>
  <c r="EY267" i="16"/>
  <c r="FA267" i="16"/>
  <c r="FC267" i="16"/>
  <c r="FE267" i="16"/>
  <c r="FG267" i="16"/>
  <c r="FI267" i="16"/>
  <c r="FK267" i="16"/>
  <c r="FM267" i="16"/>
  <c r="FO267" i="16"/>
  <c r="FQ267" i="16"/>
  <c r="FS267" i="16"/>
  <c r="FU267" i="16"/>
  <c r="FW267" i="16"/>
  <c r="FY267" i="16"/>
  <c r="GA267" i="16"/>
  <c r="GC267" i="16"/>
  <c r="CZ267" i="16"/>
  <c r="DB267" i="16"/>
  <c r="DD267" i="16"/>
  <c r="DF267" i="16"/>
  <c r="DH267" i="16"/>
  <c r="DJ267" i="16"/>
  <c r="DL267" i="16"/>
  <c r="DN267" i="16"/>
  <c r="DP267" i="16"/>
  <c r="DR267" i="16"/>
  <c r="DT267" i="16"/>
  <c r="DV267" i="16"/>
  <c r="DX267" i="16"/>
  <c r="DZ267" i="16"/>
  <c r="EB267" i="16"/>
  <c r="ED267" i="16"/>
  <c r="EF267" i="16"/>
  <c r="EH267" i="16"/>
  <c r="EJ267" i="16"/>
  <c r="EL267" i="16"/>
  <c r="EN267" i="16"/>
  <c r="EP267" i="16"/>
  <c r="ER267" i="16"/>
  <c r="ET267" i="16"/>
  <c r="EV267" i="16"/>
  <c r="EX267" i="16"/>
  <c r="EZ267" i="16"/>
  <c r="FB267" i="16"/>
  <c r="FD267" i="16"/>
  <c r="FF267" i="16"/>
  <c r="FH267" i="16"/>
  <c r="FJ267" i="16"/>
  <c r="FL267" i="16"/>
  <c r="FN267" i="16"/>
  <c r="FP267" i="16"/>
  <c r="FR267" i="16"/>
  <c r="FT267" i="16"/>
  <c r="FV267" i="16"/>
  <c r="FX267" i="16"/>
  <c r="FZ267" i="16"/>
  <c r="GB267" i="16"/>
  <c r="GD267" i="16"/>
  <c r="CZ270" i="16"/>
  <c r="DB270" i="16"/>
  <c r="DD270" i="16"/>
  <c r="DF270" i="16"/>
  <c r="DH270" i="16"/>
  <c r="DJ270" i="16"/>
  <c r="DL270" i="16"/>
  <c r="DN270" i="16"/>
  <c r="DP270" i="16"/>
  <c r="DR270" i="16"/>
  <c r="DT270" i="16"/>
  <c r="DV270" i="16"/>
  <c r="DX270" i="16"/>
  <c r="DZ270" i="16"/>
  <c r="EB270" i="16"/>
  <c r="ED270" i="16"/>
  <c r="EF270" i="16"/>
  <c r="EH270" i="16"/>
  <c r="EJ270" i="16"/>
  <c r="EL270" i="16"/>
  <c r="EN270" i="16"/>
  <c r="EP270" i="16"/>
  <c r="ER270" i="16"/>
  <c r="ET270" i="16"/>
  <c r="EV270" i="16"/>
  <c r="EX270" i="16"/>
  <c r="EZ270" i="16"/>
  <c r="FB270" i="16"/>
  <c r="FD270" i="16"/>
  <c r="FF270" i="16"/>
  <c r="FH270" i="16"/>
  <c r="FJ270" i="16"/>
  <c r="FL270" i="16"/>
  <c r="FN270" i="16"/>
  <c r="FP270" i="16"/>
  <c r="FR270" i="16"/>
  <c r="FT270" i="16"/>
  <c r="FV270" i="16"/>
  <c r="FX270" i="16"/>
  <c r="FZ270" i="16"/>
  <c r="GB270" i="16"/>
  <c r="GD270" i="16"/>
  <c r="CY270" i="16"/>
  <c r="DA270" i="16"/>
  <c r="DC270" i="16"/>
  <c r="DE270" i="16"/>
  <c r="DG270" i="16"/>
  <c r="DI270" i="16"/>
  <c r="DK270" i="16"/>
  <c r="DM270" i="16"/>
  <c r="DO270" i="16"/>
  <c r="DQ270" i="16"/>
  <c r="DS270" i="16"/>
  <c r="DU270" i="16"/>
  <c r="DW270" i="16"/>
  <c r="DY270" i="16"/>
  <c r="EA270" i="16"/>
  <c r="EC270" i="16"/>
  <c r="EE270" i="16"/>
  <c r="EG270" i="16"/>
  <c r="EI270" i="16"/>
  <c r="EK270" i="16"/>
  <c r="EM270" i="16"/>
  <c r="EO270" i="16"/>
  <c r="EQ270" i="16"/>
  <c r="ES270" i="16"/>
  <c r="EU270" i="16"/>
  <c r="EW270" i="16"/>
  <c r="EY270" i="16"/>
  <c r="FA270" i="16"/>
  <c r="FC270" i="16"/>
  <c r="FE270" i="16"/>
  <c r="FG270" i="16"/>
  <c r="FI270" i="16"/>
  <c r="FK270" i="16"/>
  <c r="FM270" i="16"/>
  <c r="FO270" i="16"/>
  <c r="FQ270" i="16"/>
  <c r="FS270" i="16"/>
  <c r="FU270" i="16"/>
  <c r="FW270" i="16"/>
  <c r="FY270" i="16"/>
  <c r="GA270" i="16"/>
  <c r="GC270" i="16"/>
  <c r="CZ272" i="16"/>
  <c r="DB272" i="16"/>
  <c r="DD272" i="16"/>
  <c r="DF272" i="16"/>
  <c r="DH272" i="16"/>
  <c r="DJ272" i="16"/>
  <c r="DL272" i="16"/>
  <c r="DN272" i="16"/>
  <c r="DP272" i="16"/>
  <c r="DR272" i="16"/>
  <c r="DT272" i="16"/>
  <c r="DV272" i="16"/>
  <c r="DX272" i="16"/>
  <c r="DZ272" i="16"/>
  <c r="EB272" i="16"/>
  <c r="ED272" i="16"/>
  <c r="EF272" i="16"/>
  <c r="EH272" i="16"/>
  <c r="EJ272" i="16"/>
  <c r="EL272" i="16"/>
  <c r="EN272" i="16"/>
  <c r="EP272" i="16"/>
  <c r="ER272" i="16"/>
  <c r="ET272" i="16"/>
  <c r="EV272" i="16"/>
  <c r="EX272" i="16"/>
  <c r="EZ272" i="16"/>
  <c r="FB272" i="16"/>
  <c r="FD272" i="16"/>
  <c r="FF272" i="16"/>
  <c r="FH272" i="16"/>
  <c r="FJ272" i="16"/>
  <c r="FL272" i="16"/>
  <c r="FN272" i="16"/>
  <c r="FP272" i="16"/>
  <c r="FR272" i="16"/>
  <c r="FT272" i="16"/>
  <c r="FV272" i="16"/>
  <c r="FX272" i="16"/>
  <c r="FZ272" i="16"/>
  <c r="GB272" i="16"/>
  <c r="GD272" i="16"/>
  <c r="CY272" i="16"/>
  <c r="DA272" i="16"/>
  <c r="DC272" i="16"/>
  <c r="DE272" i="16"/>
  <c r="DG272" i="16"/>
  <c r="DI272" i="16"/>
  <c r="DK272" i="16"/>
  <c r="DM272" i="16"/>
  <c r="DO272" i="16"/>
  <c r="DQ272" i="16"/>
  <c r="DS272" i="16"/>
  <c r="DU272" i="16"/>
  <c r="DW272" i="16"/>
  <c r="DY272" i="16"/>
  <c r="EA272" i="16"/>
  <c r="EC272" i="16"/>
  <c r="EE272" i="16"/>
  <c r="EG272" i="16"/>
  <c r="EI272" i="16"/>
  <c r="EK272" i="16"/>
  <c r="EM272" i="16"/>
  <c r="EO272" i="16"/>
  <c r="EQ272" i="16"/>
  <c r="ES272" i="16"/>
  <c r="EU272" i="16"/>
  <c r="EW272" i="16"/>
  <c r="EY272" i="16"/>
  <c r="FA272" i="16"/>
  <c r="FC272" i="16"/>
  <c r="FE272" i="16"/>
  <c r="FG272" i="16"/>
  <c r="FI272" i="16"/>
  <c r="FK272" i="16"/>
  <c r="FM272" i="16"/>
  <c r="FO272" i="16"/>
  <c r="FQ272" i="16"/>
  <c r="FS272" i="16"/>
  <c r="FU272" i="16"/>
  <c r="FW272" i="16"/>
  <c r="FY272" i="16"/>
  <c r="GA272" i="16"/>
  <c r="GC272" i="16"/>
  <c r="CZ274" i="16"/>
  <c r="DB274" i="16"/>
  <c r="DD274" i="16"/>
  <c r="DF274" i="16"/>
  <c r="DH274" i="16"/>
  <c r="DJ274" i="16"/>
  <c r="DL274" i="16"/>
  <c r="DN274" i="16"/>
  <c r="DP274" i="16"/>
  <c r="DR274" i="16"/>
  <c r="DT274" i="16"/>
  <c r="DV274" i="16"/>
  <c r="DX274" i="16"/>
  <c r="DZ274" i="16"/>
  <c r="EB274" i="16"/>
  <c r="ED274" i="16"/>
  <c r="EF274" i="16"/>
  <c r="EH274" i="16"/>
  <c r="EJ274" i="16"/>
  <c r="EL274" i="16"/>
  <c r="EN274" i="16"/>
  <c r="EP274" i="16"/>
  <c r="ER274" i="16"/>
  <c r="ET274" i="16"/>
  <c r="EV274" i="16"/>
  <c r="EX274" i="16"/>
  <c r="EZ274" i="16"/>
  <c r="FB274" i="16"/>
  <c r="FD274" i="16"/>
  <c r="FF274" i="16"/>
  <c r="FH274" i="16"/>
  <c r="FJ274" i="16"/>
  <c r="FL274" i="16"/>
  <c r="FN274" i="16"/>
  <c r="FP274" i="16"/>
  <c r="FR274" i="16"/>
  <c r="FT274" i="16"/>
  <c r="FV274" i="16"/>
  <c r="FX274" i="16"/>
  <c r="FZ274" i="16"/>
  <c r="GB274" i="16"/>
  <c r="GD274" i="16"/>
  <c r="CY274" i="16"/>
  <c r="DA274" i="16"/>
  <c r="DC274" i="16"/>
  <c r="DE274" i="16"/>
  <c r="DG274" i="16"/>
  <c r="DI274" i="16"/>
  <c r="DK274" i="16"/>
  <c r="DM274" i="16"/>
  <c r="DO274" i="16"/>
  <c r="DQ274" i="16"/>
  <c r="DS274" i="16"/>
  <c r="DU274" i="16"/>
  <c r="DW274" i="16"/>
  <c r="DY274" i="16"/>
  <c r="EA274" i="16"/>
  <c r="EC274" i="16"/>
  <c r="EE274" i="16"/>
  <c r="EG274" i="16"/>
  <c r="EI274" i="16"/>
  <c r="EK274" i="16"/>
  <c r="EM274" i="16"/>
  <c r="EO274" i="16"/>
  <c r="EQ274" i="16"/>
  <c r="ES274" i="16"/>
  <c r="EU274" i="16"/>
  <c r="EW274" i="16"/>
  <c r="EY274" i="16"/>
  <c r="FA274" i="16"/>
  <c r="FC274" i="16"/>
  <c r="FE274" i="16"/>
  <c r="FG274" i="16"/>
  <c r="FI274" i="16"/>
  <c r="FK274" i="16"/>
  <c r="FM274" i="16"/>
  <c r="FO274" i="16"/>
  <c r="FQ274" i="16"/>
  <c r="FS274" i="16"/>
  <c r="FU274" i="16"/>
  <c r="FW274" i="16"/>
  <c r="FY274" i="16"/>
  <c r="GA274" i="16"/>
  <c r="GC274" i="16"/>
  <c r="CZ276" i="16"/>
  <c r="DB276" i="16"/>
  <c r="DD276" i="16"/>
  <c r="DF276" i="16"/>
  <c r="DH276" i="16"/>
  <c r="DJ276" i="16"/>
  <c r="DL276" i="16"/>
  <c r="DN276" i="16"/>
  <c r="DP276" i="16"/>
  <c r="DR276" i="16"/>
  <c r="DT276" i="16"/>
  <c r="DV276" i="16"/>
  <c r="DX276" i="16"/>
  <c r="DZ276" i="16"/>
  <c r="EB276" i="16"/>
  <c r="ED276" i="16"/>
  <c r="EF276" i="16"/>
  <c r="EH276" i="16"/>
  <c r="EJ276" i="16"/>
  <c r="EL276" i="16"/>
  <c r="EN276" i="16"/>
  <c r="EP276" i="16"/>
  <c r="ER276" i="16"/>
  <c r="ET276" i="16"/>
  <c r="EV276" i="16"/>
  <c r="EX276" i="16"/>
  <c r="EZ276" i="16"/>
  <c r="FB276" i="16"/>
  <c r="FD276" i="16"/>
  <c r="FF276" i="16"/>
  <c r="FH276" i="16"/>
  <c r="FJ276" i="16"/>
  <c r="FL276" i="16"/>
  <c r="FN276" i="16"/>
  <c r="FP276" i="16"/>
  <c r="FR276" i="16"/>
  <c r="FT276" i="16"/>
  <c r="FV276" i="16"/>
  <c r="FX276" i="16"/>
  <c r="FZ276" i="16"/>
  <c r="GB276" i="16"/>
  <c r="GD276" i="16"/>
  <c r="CY276" i="16"/>
  <c r="DA276" i="16"/>
  <c r="DC276" i="16"/>
  <c r="DE276" i="16"/>
  <c r="DG276" i="16"/>
  <c r="DI276" i="16"/>
  <c r="DK276" i="16"/>
  <c r="DM276" i="16"/>
  <c r="DO276" i="16"/>
  <c r="DQ276" i="16"/>
  <c r="DS276" i="16"/>
  <c r="DU276" i="16"/>
  <c r="DW276" i="16"/>
  <c r="DY276" i="16"/>
  <c r="EA276" i="16"/>
  <c r="EC276" i="16"/>
  <c r="EE276" i="16"/>
  <c r="EG276" i="16"/>
  <c r="EI276" i="16"/>
  <c r="EK276" i="16"/>
  <c r="EM276" i="16"/>
  <c r="EO276" i="16"/>
  <c r="EQ276" i="16"/>
  <c r="ES276" i="16"/>
  <c r="EU276" i="16"/>
  <c r="EW276" i="16"/>
  <c r="EY276" i="16"/>
  <c r="FA276" i="16"/>
  <c r="FC276" i="16"/>
  <c r="FE276" i="16"/>
  <c r="FG276" i="16"/>
  <c r="FI276" i="16"/>
  <c r="FK276" i="16"/>
  <c r="FM276" i="16"/>
  <c r="FO276" i="16"/>
  <c r="FQ276" i="16"/>
  <c r="FS276" i="16"/>
  <c r="FU276" i="16"/>
  <c r="FW276" i="16"/>
  <c r="FY276" i="16"/>
  <c r="GA276" i="16"/>
  <c r="GC276" i="16"/>
  <c r="CY277" i="16"/>
  <c r="DA277" i="16"/>
  <c r="DC277" i="16"/>
  <c r="DE277" i="16"/>
  <c r="DG277" i="16"/>
  <c r="DI277" i="16"/>
  <c r="DK277" i="16"/>
  <c r="DM277" i="16"/>
  <c r="DO277" i="16"/>
  <c r="DQ277" i="16"/>
  <c r="DS277" i="16"/>
  <c r="DU277" i="16"/>
  <c r="DW277" i="16"/>
  <c r="DY277" i="16"/>
  <c r="EA277" i="16"/>
  <c r="EC277" i="16"/>
  <c r="EE277" i="16"/>
  <c r="EG277" i="16"/>
  <c r="EI277" i="16"/>
  <c r="EK277" i="16"/>
  <c r="EM277" i="16"/>
  <c r="EO277" i="16"/>
  <c r="EQ277" i="16"/>
  <c r="ES277" i="16"/>
  <c r="EU277" i="16"/>
  <c r="EW277" i="16"/>
  <c r="EY277" i="16"/>
  <c r="FA277" i="16"/>
  <c r="FC277" i="16"/>
  <c r="FE277" i="16"/>
  <c r="FG277" i="16"/>
  <c r="FI277" i="16"/>
  <c r="FK277" i="16"/>
  <c r="FM277" i="16"/>
  <c r="FO277" i="16"/>
  <c r="FQ277" i="16"/>
  <c r="FS277" i="16"/>
  <c r="FU277" i="16"/>
  <c r="FW277" i="16"/>
  <c r="FY277" i="16"/>
  <c r="GA277" i="16"/>
  <c r="GC277" i="16"/>
  <c r="CZ277" i="16"/>
  <c r="DB277" i="16"/>
  <c r="DD277" i="16"/>
  <c r="DF277" i="16"/>
  <c r="DH277" i="16"/>
  <c r="DJ277" i="16"/>
  <c r="DL277" i="16"/>
  <c r="DN277" i="16"/>
  <c r="DP277" i="16"/>
  <c r="DR277" i="16"/>
  <c r="DT277" i="16"/>
  <c r="DV277" i="16"/>
  <c r="DX277" i="16"/>
  <c r="DZ277" i="16"/>
  <c r="EB277" i="16"/>
  <c r="ED277" i="16"/>
  <c r="EF277" i="16"/>
  <c r="EH277" i="16"/>
  <c r="EJ277" i="16"/>
  <c r="EL277" i="16"/>
  <c r="EN277" i="16"/>
  <c r="EP277" i="16"/>
  <c r="ER277" i="16"/>
  <c r="ET277" i="16"/>
  <c r="EV277" i="16"/>
  <c r="EX277" i="16"/>
  <c r="EZ277" i="16"/>
  <c r="FB277" i="16"/>
  <c r="FD277" i="16"/>
  <c r="FF277" i="16"/>
  <c r="FH277" i="16"/>
  <c r="FJ277" i="16"/>
  <c r="FL277" i="16"/>
  <c r="FN277" i="16"/>
  <c r="FP277" i="16"/>
  <c r="FR277" i="16"/>
  <c r="FT277" i="16"/>
  <c r="FV277" i="16"/>
  <c r="FX277" i="16"/>
  <c r="FZ277" i="16"/>
  <c r="GB277" i="16"/>
  <c r="GD277" i="16"/>
  <c r="CZ280" i="16"/>
  <c r="DB280" i="16"/>
  <c r="DD280" i="16"/>
  <c r="DF280" i="16"/>
  <c r="DH280" i="16"/>
  <c r="DJ280" i="16"/>
  <c r="DL280" i="16"/>
  <c r="DN280" i="16"/>
  <c r="DP280" i="16"/>
  <c r="DR280" i="16"/>
  <c r="DT280" i="16"/>
  <c r="DV280" i="16"/>
  <c r="DX280" i="16"/>
  <c r="DZ280" i="16"/>
  <c r="EB280" i="16"/>
  <c r="ED280" i="16"/>
  <c r="EF280" i="16"/>
  <c r="EH280" i="16"/>
  <c r="EJ280" i="16"/>
  <c r="EL280" i="16"/>
  <c r="EN280" i="16"/>
  <c r="EP280" i="16"/>
  <c r="ER280" i="16"/>
  <c r="ET280" i="16"/>
  <c r="EV280" i="16"/>
  <c r="EX280" i="16"/>
  <c r="EZ280" i="16"/>
  <c r="FB280" i="16"/>
  <c r="FD280" i="16"/>
  <c r="FF280" i="16"/>
  <c r="FH280" i="16"/>
  <c r="FJ280" i="16"/>
  <c r="FL280" i="16"/>
  <c r="FN280" i="16"/>
  <c r="FP280" i="16"/>
  <c r="FR280" i="16"/>
  <c r="FT280" i="16"/>
  <c r="FV280" i="16"/>
  <c r="FX280" i="16"/>
  <c r="FZ280" i="16"/>
  <c r="GB280" i="16"/>
  <c r="GD280" i="16"/>
  <c r="CY280" i="16"/>
  <c r="DA280" i="16"/>
  <c r="DC280" i="16"/>
  <c r="DE280" i="16"/>
  <c r="DG280" i="16"/>
  <c r="DI280" i="16"/>
  <c r="DK280" i="16"/>
  <c r="DM280" i="16"/>
  <c r="DO280" i="16"/>
  <c r="DQ280" i="16"/>
  <c r="DS280" i="16"/>
  <c r="DU280" i="16"/>
  <c r="DW280" i="16"/>
  <c r="DY280" i="16"/>
  <c r="EA280" i="16"/>
  <c r="EC280" i="16"/>
  <c r="EE280" i="16"/>
  <c r="EG280" i="16"/>
  <c r="EI280" i="16"/>
  <c r="EK280" i="16"/>
  <c r="EM280" i="16"/>
  <c r="EO280" i="16"/>
  <c r="EQ280" i="16"/>
  <c r="ES280" i="16"/>
  <c r="EU280" i="16"/>
  <c r="EW280" i="16"/>
  <c r="EY280" i="16"/>
  <c r="FA280" i="16"/>
  <c r="FC280" i="16"/>
  <c r="FE280" i="16"/>
  <c r="FG280" i="16"/>
  <c r="FI280" i="16"/>
  <c r="FK280" i="16"/>
  <c r="FM280" i="16"/>
  <c r="FO280" i="16"/>
  <c r="FQ280" i="16"/>
  <c r="FS280" i="16"/>
  <c r="FU280" i="16"/>
  <c r="FW280" i="16"/>
  <c r="FY280" i="16"/>
  <c r="GA280" i="16"/>
  <c r="GC280" i="16"/>
  <c r="CZ282" i="16"/>
  <c r="DB282" i="16"/>
  <c r="DD282" i="16"/>
  <c r="DF282" i="16"/>
  <c r="DH282" i="16"/>
  <c r="DJ282" i="16"/>
  <c r="DL282" i="16"/>
  <c r="DN282" i="16"/>
  <c r="DP282" i="16"/>
  <c r="DR282" i="16"/>
  <c r="DT282" i="16"/>
  <c r="DV282" i="16"/>
  <c r="DX282" i="16"/>
  <c r="DZ282" i="16"/>
  <c r="EB282" i="16"/>
  <c r="ED282" i="16"/>
  <c r="EF282" i="16"/>
  <c r="EH282" i="16"/>
  <c r="EJ282" i="16"/>
  <c r="EL282" i="16"/>
  <c r="EN282" i="16"/>
  <c r="EP282" i="16"/>
  <c r="ER282" i="16"/>
  <c r="ET282" i="16"/>
  <c r="EV282" i="16"/>
  <c r="EX282" i="16"/>
  <c r="EZ282" i="16"/>
  <c r="FB282" i="16"/>
  <c r="FD282" i="16"/>
  <c r="FF282" i="16"/>
  <c r="FH282" i="16"/>
  <c r="FJ282" i="16"/>
  <c r="FL282" i="16"/>
  <c r="FN282" i="16"/>
  <c r="FP282" i="16"/>
  <c r="FR282" i="16"/>
  <c r="FT282" i="16"/>
  <c r="FV282" i="16"/>
  <c r="FX282" i="16"/>
  <c r="FZ282" i="16"/>
  <c r="GB282" i="16"/>
  <c r="GD282" i="16"/>
  <c r="CY282" i="16"/>
  <c r="DA282" i="16"/>
  <c r="DC282" i="16"/>
  <c r="DE282" i="16"/>
  <c r="DG282" i="16"/>
  <c r="DI282" i="16"/>
  <c r="DK282" i="16"/>
  <c r="DM282" i="16"/>
  <c r="DO282" i="16"/>
  <c r="DQ282" i="16"/>
  <c r="DS282" i="16"/>
  <c r="DU282" i="16"/>
  <c r="DW282" i="16"/>
  <c r="DY282" i="16"/>
  <c r="EA282" i="16"/>
  <c r="EC282" i="16"/>
  <c r="EE282" i="16"/>
  <c r="EG282" i="16"/>
  <c r="EI282" i="16"/>
  <c r="EK282" i="16"/>
  <c r="EM282" i="16"/>
  <c r="EO282" i="16"/>
  <c r="EQ282" i="16"/>
  <c r="ES282" i="16"/>
  <c r="EU282" i="16"/>
  <c r="EW282" i="16"/>
  <c r="EY282" i="16"/>
  <c r="FA282" i="16"/>
  <c r="FC282" i="16"/>
  <c r="FE282" i="16"/>
  <c r="FG282" i="16"/>
  <c r="FI282" i="16"/>
  <c r="FK282" i="16"/>
  <c r="FM282" i="16"/>
  <c r="FO282" i="16"/>
  <c r="FQ282" i="16"/>
  <c r="FS282" i="16"/>
  <c r="FU282" i="16"/>
  <c r="FW282" i="16"/>
  <c r="FY282" i="16"/>
  <c r="GA282" i="16"/>
  <c r="GC282" i="16"/>
  <c r="CZ284" i="16"/>
  <c r="DB284" i="16"/>
  <c r="DD284" i="16"/>
  <c r="DF284" i="16"/>
  <c r="DH284" i="16"/>
  <c r="DJ284" i="16"/>
  <c r="DL284" i="16"/>
  <c r="DN284" i="16"/>
  <c r="DP284" i="16"/>
  <c r="DR284" i="16"/>
  <c r="DT284" i="16"/>
  <c r="DV284" i="16"/>
  <c r="DX284" i="16"/>
  <c r="DZ284" i="16"/>
  <c r="EB284" i="16"/>
  <c r="ED284" i="16"/>
  <c r="EF284" i="16"/>
  <c r="EH284" i="16"/>
  <c r="EJ284" i="16"/>
  <c r="EL284" i="16"/>
  <c r="EN284" i="16"/>
  <c r="EP284" i="16"/>
  <c r="ER284" i="16"/>
  <c r="ET284" i="16"/>
  <c r="EV284" i="16"/>
  <c r="EX284" i="16"/>
  <c r="EZ284" i="16"/>
  <c r="FB284" i="16"/>
  <c r="FD284" i="16"/>
  <c r="FF284" i="16"/>
  <c r="FH284" i="16"/>
  <c r="FJ284" i="16"/>
  <c r="FL284" i="16"/>
  <c r="FN284" i="16"/>
  <c r="FP284" i="16"/>
  <c r="FR284" i="16"/>
  <c r="FT284" i="16"/>
  <c r="FV284" i="16"/>
  <c r="FX284" i="16"/>
  <c r="FZ284" i="16"/>
  <c r="GB284" i="16"/>
  <c r="GD284" i="16"/>
  <c r="CY284" i="16"/>
  <c r="DA284" i="16"/>
  <c r="DC284" i="16"/>
  <c r="DE284" i="16"/>
  <c r="DG284" i="16"/>
  <c r="DI284" i="16"/>
  <c r="DK284" i="16"/>
  <c r="DM284" i="16"/>
  <c r="DO284" i="16"/>
  <c r="DQ284" i="16"/>
  <c r="DS284" i="16"/>
  <c r="DU284" i="16"/>
  <c r="DW284" i="16"/>
  <c r="DY284" i="16"/>
  <c r="EA284" i="16"/>
  <c r="EC284" i="16"/>
  <c r="EE284" i="16"/>
  <c r="EG284" i="16"/>
  <c r="EI284" i="16"/>
  <c r="EK284" i="16"/>
  <c r="EM284" i="16"/>
  <c r="EO284" i="16"/>
  <c r="EQ284" i="16"/>
  <c r="ES284" i="16"/>
  <c r="EU284" i="16"/>
  <c r="EW284" i="16"/>
  <c r="EY284" i="16"/>
  <c r="FA284" i="16"/>
  <c r="FC284" i="16"/>
  <c r="FE284" i="16"/>
  <c r="FG284" i="16"/>
  <c r="FI284" i="16"/>
  <c r="FK284" i="16"/>
  <c r="FM284" i="16"/>
  <c r="FO284" i="16"/>
  <c r="FQ284" i="16"/>
  <c r="FS284" i="16"/>
  <c r="FU284" i="16"/>
  <c r="FW284" i="16"/>
  <c r="FY284" i="16"/>
  <c r="GA284" i="16"/>
  <c r="GC284" i="16"/>
  <c r="CZ286" i="16"/>
  <c r="DB286" i="16"/>
  <c r="DD286" i="16"/>
  <c r="DF286" i="16"/>
  <c r="DH286" i="16"/>
  <c r="DJ286" i="16"/>
  <c r="DL286" i="16"/>
  <c r="DN286" i="16"/>
  <c r="DP286" i="16"/>
  <c r="DR286" i="16"/>
  <c r="DT286" i="16"/>
  <c r="DV286" i="16"/>
  <c r="DX286" i="16"/>
  <c r="DZ286" i="16"/>
  <c r="EB286" i="16"/>
  <c r="ED286" i="16"/>
  <c r="EF286" i="16"/>
  <c r="EH286" i="16"/>
  <c r="EJ286" i="16"/>
  <c r="EL286" i="16"/>
  <c r="EN286" i="16"/>
  <c r="EP286" i="16"/>
  <c r="ER286" i="16"/>
  <c r="ET286" i="16"/>
  <c r="EV286" i="16"/>
  <c r="EX286" i="16"/>
  <c r="EZ286" i="16"/>
  <c r="FB286" i="16"/>
  <c r="FD286" i="16"/>
  <c r="FF286" i="16"/>
  <c r="FH286" i="16"/>
  <c r="FJ286" i="16"/>
  <c r="FL286" i="16"/>
  <c r="FN286" i="16"/>
  <c r="FP286" i="16"/>
  <c r="FR286" i="16"/>
  <c r="FT286" i="16"/>
  <c r="FV286" i="16"/>
  <c r="FX286" i="16"/>
  <c r="FZ286" i="16"/>
  <c r="GB286" i="16"/>
  <c r="GD286" i="16"/>
  <c r="CY286" i="16"/>
  <c r="DA286" i="16"/>
  <c r="DC286" i="16"/>
  <c r="DE286" i="16"/>
  <c r="DG286" i="16"/>
  <c r="DI286" i="16"/>
  <c r="DK286" i="16"/>
  <c r="DM286" i="16"/>
  <c r="DO286" i="16"/>
  <c r="DQ286" i="16"/>
  <c r="DS286" i="16"/>
  <c r="DU286" i="16"/>
  <c r="DW286" i="16"/>
  <c r="DY286" i="16"/>
  <c r="EA286" i="16"/>
  <c r="EC286" i="16"/>
  <c r="EE286" i="16"/>
  <c r="EG286" i="16"/>
  <c r="EI286" i="16"/>
  <c r="EK286" i="16"/>
  <c r="EM286" i="16"/>
  <c r="EO286" i="16"/>
  <c r="EQ286" i="16"/>
  <c r="ES286" i="16"/>
  <c r="EU286" i="16"/>
  <c r="EW286" i="16"/>
  <c r="EY286" i="16"/>
  <c r="FA286" i="16"/>
  <c r="FC286" i="16"/>
  <c r="FE286" i="16"/>
  <c r="FG286" i="16"/>
  <c r="FI286" i="16"/>
  <c r="FK286" i="16"/>
  <c r="FM286" i="16"/>
  <c r="FO286" i="16"/>
  <c r="FQ286" i="16"/>
  <c r="FS286" i="16"/>
  <c r="FU286" i="16"/>
  <c r="FW286" i="16"/>
  <c r="FY286" i="16"/>
  <c r="GA286" i="16"/>
  <c r="GC286" i="16"/>
  <c r="CZ288" i="16"/>
  <c r="DB288" i="16"/>
  <c r="DD288" i="16"/>
  <c r="DF288" i="16"/>
  <c r="DH288" i="16"/>
  <c r="DJ288" i="16"/>
  <c r="DL288" i="16"/>
  <c r="DN288" i="16"/>
  <c r="DP288" i="16"/>
  <c r="DR288" i="16"/>
  <c r="DT288" i="16"/>
  <c r="DV288" i="16"/>
  <c r="DX288" i="16"/>
  <c r="DZ288" i="16"/>
  <c r="EB288" i="16"/>
  <c r="ED288" i="16"/>
  <c r="EF288" i="16"/>
  <c r="EH288" i="16"/>
  <c r="EJ288" i="16"/>
  <c r="EL288" i="16"/>
  <c r="EN288" i="16"/>
  <c r="EP288" i="16"/>
  <c r="ER288" i="16"/>
  <c r="ET288" i="16"/>
  <c r="EV288" i="16"/>
  <c r="EX288" i="16"/>
  <c r="EZ288" i="16"/>
  <c r="FB288" i="16"/>
  <c r="FD288" i="16"/>
  <c r="FF288" i="16"/>
  <c r="FH288" i="16"/>
  <c r="FJ288" i="16"/>
  <c r="FL288" i="16"/>
  <c r="FN288" i="16"/>
  <c r="FP288" i="16"/>
  <c r="FR288" i="16"/>
  <c r="FT288" i="16"/>
  <c r="FV288" i="16"/>
  <c r="FX288" i="16"/>
  <c r="FZ288" i="16"/>
  <c r="GB288" i="16"/>
  <c r="GD288" i="16"/>
  <c r="CY288" i="16"/>
  <c r="DA288" i="16"/>
  <c r="DC288" i="16"/>
  <c r="DE288" i="16"/>
  <c r="DG288" i="16"/>
  <c r="DI288" i="16"/>
  <c r="DK288" i="16"/>
  <c r="DM288" i="16"/>
  <c r="DO288" i="16"/>
  <c r="DQ288" i="16"/>
  <c r="DS288" i="16"/>
  <c r="DU288" i="16"/>
  <c r="DW288" i="16"/>
  <c r="DY288" i="16"/>
  <c r="EA288" i="16"/>
  <c r="EC288" i="16"/>
  <c r="EE288" i="16"/>
  <c r="EG288" i="16"/>
  <c r="EI288" i="16"/>
  <c r="EK288" i="16"/>
  <c r="EM288" i="16"/>
  <c r="EO288" i="16"/>
  <c r="EQ288" i="16"/>
  <c r="ES288" i="16"/>
  <c r="EU288" i="16"/>
  <c r="EW288" i="16"/>
  <c r="EY288" i="16"/>
  <c r="FA288" i="16"/>
  <c r="FC288" i="16"/>
  <c r="FE288" i="16"/>
  <c r="FG288" i="16"/>
  <c r="FI288" i="16"/>
  <c r="FK288" i="16"/>
  <c r="FM288" i="16"/>
  <c r="FO288" i="16"/>
  <c r="FQ288" i="16"/>
  <c r="FS288" i="16"/>
  <c r="FU288" i="16"/>
  <c r="FW288" i="16"/>
  <c r="FY288" i="16"/>
  <c r="GA288" i="16"/>
  <c r="GC288" i="16"/>
  <c r="CZ290" i="16"/>
  <c r="DB290" i="16"/>
  <c r="DD290" i="16"/>
  <c r="DF290" i="16"/>
  <c r="DH290" i="16"/>
  <c r="DJ290" i="16"/>
  <c r="DL290" i="16"/>
  <c r="DN290" i="16"/>
  <c r="DP290" i="16"/>
  <c r="DR290" i="16"/>
  <c r="DT290" i="16"/>
  <c r="DV290" i="16"/>
  <c r="DX290" i="16"/>
  <c r="DZ290" i="16"/>
  <c r="EB290" i="16"/>
  <c r="ED290" i="16"/>
  <c r="EF290" i="16"/>
  <c r="EH290" i="16"/>
  <c r="EJ290" i="16"/>
  <c r="EL290" i="16"/>
  <c r="EN290" i="16"/>
  <c r="EP290" i="16"/>
  <c r="ER290" i="16"/>
  <c r="ET290" i="16"/>
  <c r="EV290" i="16"/>
  <c r="EX290" i="16"/>
  <c r="EZ290" i="16"/>
  <c r="FB290" i="16"/>
  <c r="FD290" i="16"/>
  <c r="FF290" i="16"/>
  <c r="FH290" i="16"/>
  <c r="FJ290" i="16"/>
  <c r="FL290" i="16"/>
  <c r="FN290" i="16"/>
  <c r="FP290" i="16"/>
  <c r="FR290" i="16"/>
  <c r="FT290" i="16"/>
  <c r="FV290" i="16"/>
  <c r="FX290" i="16"/>
  <c r="FZ290" i="16"/>
  <c r="GB290" i="16"/>
  <c r="GD290" i="16"/>
  <c r="CY290" i="16"/>
  <c r="DA290" i="16"/>
  <c r="DC290" i="16"/>
  <c r="DE290" i="16"/>
  <c r="DG290" i="16"/>
  <c r="DI290" i="16"/>
  <c r="DK290" i="16"/>
  <c r="DM290" i="16"/>
  <c r="DO290" i="16"/>
  <c r="DQ290" i="16"/>
  <c r="DS290" i="16"/>
  <c r="DU290" i="16"/>
  <c r="DW290" i="16"/>
  <c r="DY290" i="16"/>
  <c r="EA290" i="16"/>
  <c r="EC290" i="16"/>
  <c r="EE290" i="16"/>
  <c r="EG290" i="16"/>
  <c r="EI290" i="16"/>
  <c r="EK290" i="16"/>
  <c r="EM290" i="16"/>
  <c r="EO290" i="16"/>
  <c r="EQ290" i="16"/>
  <c r="ES290" i="16"/>
  <c r="EU290" i="16"/>
  <c r="EW290" i="16"/>
  <c r="EY290" i="16"/>
  <c r="FA290" i="16"/>
  <c r="FC290" i="16"/>
  <c r="FE290" i="16"/>
  <c r="FG290" i="16"/>
  <c r="FI290" i="16"/>
  <c r="FK290" i="16"/>
  <c r="FM290" i="16"/>
  <c r="FO290" i="16"/>
  <c r="FQ290" i="16"/>
  <c r="FS290" i="16"/>
  <c r="FU290" i="16"/>
  <c r="FW290" i="16"/>
  <c r="FY290" i="16"/>
  <c r="GA290" i="16"/>
  <c r="GC290" i="16"/>
  <c r="CZ292" i="16"/>
  <c r="DB292" i="16"/>
  <c r="DD292" i="16"/>
  <c r="DF292" i="16"/>
  <c r="DH292" i="16"/>
  <c r="DJ292" i="16"/>
  <c r="DL292" i="16"/>
  <c r="DN292" i="16"/>
  <c r="DP292" i="16"/>
  <c r="DR292" i="16"/>
  <c r="DT292" i="16"/>
  <c r="DV292" i="16"/>
  <c r="DX292" i="16"/>
  <c r="DZ292" i="16"/>
  <c r="EB292" i="16"/>
  <c r="ED292" i="16"/>
  <c r="EF292" i="16"/>
  <c r="EH292" i="16"/>
  <c r="EJ292" i="16"/>
  <c r="EL292" i="16"/>
  <c r="EN292" i="16"/>
  <c r="EP292" i="16"/>
  <c r="ER292" i="16"/>
  <c r="ET292" i="16"/>
  <c r="EV292" i="16"/>
  <c r="EX292" i="16"/>
  <c r="EZ292" i="16"/>
  <c r="FB292" i="16"/>
  <c r="FD292" i="16"/>
  <c r="FF292" i="16"/>
  <c r="FH292" i="16"/>
  <c r="FJ292" i="16"/>
  <c r="FL292" i="16"/>
  <c r="FN292" i="16"/>
  <c r="FP292" i="16"/>
  <c r="FR292" i="16"/>
  <c r="FT292" i="16"/>
  <c r="FV292" i="16"/>
  <c r="FX292" i="16"/>
  <c r="FZ292" i="16"/>
  <c r="GB292" i="16"/>
  <c r="GD292" i="16"/>
  <c r="CY292" i="16"/>
  <c r="DA292" i="16"/>
  <c r="DC292" i="16"/>
  <c r="DE292" i="16"/>
  <c r="DG292" i="16"/>
  <c r="DI292" i="16"/>
  <c r="DK292" i="16"/>
  <c r="DM292" i="16"/>
  <c r="DO292" i="16"/>
  <c r="DQ292" i="16"/>
  <c r="DS292" i="16"/>
  <c r="DU292" i="16"/>
  <c r="DW292" i="16"/>
  <c r="DY292" i="16"/>
  <c r="EA292" i="16"/>
  <c r="EC292" i="16"/>
  <c r="EE292" i="16"/>
  <c r="EG292" i="16"/>
  <c r="EI292" i="16"/>
  <c r="EK292" i="16"/>
  <c r="EM292" i="16"/>
  <c r="EO292" i="16"/>
  <c r="EQ292" i="16"/>
  <c r="ES292" i="16"/>
  <c r="EU292" i="16"/>
  <c r="EW292" i="16"/>
  <c r="EY292" i="16"/>
  <c r="FA292" i="16"/>
  <c r="FC292" i="16"/>
  <c r="FE292" i="16"/>
  <c r="FG292" i="16"/>
  <c r="FI292" i="16"/>
  <c r="FK292" i="16"/>
  <c r="FM292" i="16"/>
  <c r="FO292" i="16"/>
  <c r="FQ292" i="16"/>
  <c r="FS292" i="16"/>
  <c r="FU292" i="16"/>
  <c r="FW292" i="16"/>
  <c r="FY292" i="16"/>
  <c r="GA292" i="16"/>
  <c r="GC292" i="16"/>
  <c r="CZ294" i="16"/>
  <c r="DB294" i="16"/>
  <c r="DD294" i="16"/>
  <c r="DF294" i="16"/>
  <c r="DH294" i="16"/>
  <c r="DJ294" i="16"/>
  <c r="DL294" i="16"/>
  <c r="DN294" i="16"/>
  <c r="DP294" i="16"/>
  <c r="DR294" i="16"/>
  <c r="DT294" i="16"/>
  <c r="DV294" i="16"/>
  <c r="DX294" i="16"/>
  <c r="DZ294" i="16"/>
  <c r="EB294" i="16"/>
  <c r="ED294" i="16"/>
  <c r="EF294" i="16"/>
  <c r="EH294" i="16"/>
  <c r="EJ294" i="16"/>
  <c r="EL294" i="16"/>
  <c r="EN294" i="16"/>
  <c r="EP294" i="16"/>
  <c r="ER294" i="16"/>
  <c r="ET294" i="16"/>
  <c r="EV294" i="16"/>
  <c r="EX294" i="16"/>
  <c r="EZ294" i="16"/>
  <c r="FB294" i="16"/>
  <c r="FD294" i="16"/>
  <c r="FF294" i="16"/>
  <c r="FH294" i="16"/>
  <c r="FJ294" i="16"/>
  <c r="FL294" i="16"/>
  <c r="FN294" i="16"/>
  <c r="FP294" i="16"/>
  <c r="FR294" i="16"/>
  <c r="FT294" i="16"/>
  <c r="FV294" i="16"/>
  <c r="FX294" i="16"/>
  <c r="FZ294" i="16"/>
  <c r="GB294" i="16"/>
  <c r="GD294" i="16"/>
  <c r="CY294" i="16"/>
  <c r="DA294" i="16"/>
  <c r="DC294" i="16"/>
  <c r="DE294" i="16"/>
  <c r="DG294" i="16"/>
  <c r="DI294" i="16"/>
  <c r="DK294" i="16"/>
  <c r="DM294" i="16"/>
  <c r="DO294" i="16"/>
  <c r="DQ294" i="16"/>
  <c r="DS294" i="16"/>
  <c r="DU294" i="16"/>
  <c r="DW294" i="16"/>
  <c r="DY294" i="16"/>
  <c r="EA294" i="16"/>
  <c r="EC294" i="16"/>
  <c r="EE294" i="16"/>
  <c r="EG294" i="16"/>
  <c r="EI294" i="16"/>
  <c r="EK294" i="16"/>
  <c r="EM294" i="16"/>
  <c r="EO294" i="16"/>
  <c r="EQ294" i="16"/>
  <c r="ES294" i="16"/>
  <c r="EU294" i="16"/>
  <c r="EW294" i="16"/>
  <c r="EY294" i="16"/>
  <c r="FA294" i="16"/>
  <c r="FC294" i="16"/>
  <c r="FE294" i="16"/>
  <c r="FG294" i="16"/>
  <c r="FI294" i="16"/>
  <c r="FK294" i="16"/>
  <c r="FM294" i="16"/>
  <c r="FO294" i="16"/>
  <c r="FQ294" i="16"/>
  <c r="FS294" i="16"/>
  <c r="FU294" i="16"/>
  <c r="FW294" i="16"/>
  <c r="FY294" i="16"/>
  <c r="GA294" i="16"/>
  <c r="GC294" i="16"/>
  <c r="CZ296" i="16"/>
  <c r="DB296" i="16"/>
  <c r="DD296" i="16"/>
  <c r="DF296" i="16"/>
  <c r="DH296" i="16"/>
  <c r="DJ296" i="16"/>
  <c r="DL296" i="16"/>
  <c r="DN296" i="16"/>
  <c r="DP296" i="16"/>
  <c r="DR296" i="16"/>
  <c r="DT296" i="16"/>
  <c r="DV296" i="16"/>
  <c r="DX296" i="16"/>
  <c r="DZ296" i="16"/>
  <c r="EB296" i="16"/>
  <c r="ED296" i="16"/>
  <c r="EF296" i="16"/>
  <c r="EH296" i="16"/>
  <c r="EJ296" i="16"/>
  <c r="EL296" i="16"/>
  <c r="EN296" i="16"/>
  <c r="EP296" i="16"/>
  <c r="ER296" i="16"/>
  <c r="ET296" i="16"/>
  <c r="EV296" i="16"/>
  <c r="EX296" i="16"/>
  <c r="EZ296" i="16"/>
  <c r="FB296" i="16"/>
  <c r="FD296" i="16"/>
  <c r="FF296" i="16"/>
  <c r="FH296" i="16"/>
  <c r="FJ296" i="16"/>
  <c r="FL296" i="16"/>
  <c r="FN296" i="16"/>
  <c r="FP296" i="16"/>
  <c r="FR296" i="16"/>
  <c r="FT296" i="16"/>
  <c r="FV296" i="16"/>
  <c r="FX296" i="16"/>
  <c r="FZ296" i="16"/>
  <c r="GB296" i="16"/>
  <c r="GD296" i="16"/>
  <c r="CY296" i="16"/>
  <c r="DA296" i="16"/>
  <c r="DC296" i="16"/>
  <c r="DE296" i="16"/>
  <c r="DG296" i="16"/>
  <c r="DI296" i="16"/>
  <c r="DK296" i="16"/>
  <c r="DM296" i="16"/>
  <c r="DO296" i="16"/>
  <c r="DQ296" i="16"/>
  <c r="DS296" i="16"/>
  <c r="DU296" i="16"/>
  <c r="DW296" i="16"/>
  <c r="DY296" i="16"/>
  <c r="EA296" i="16"/>
  <c r="EC296" i="16"/>
  <c r="EE296" i="16"/>
  <c r="EG296" i="16"/>
  <c r="EI296" i="16"/>
  <c r="EK296" i="16"/>
  <c r="EM296" i="16"/>
  <c r="EO296" i="16"/>
  <c r="EQ296" i="16"/>
  <c r="ES296" i="16"/>
  <c r="EU296" i="16"/>
  <c r="EW296" i="16"/>
  <c r="EY296" i="16"/>
  <c r="FA296" i="16"/>
  <c r="FC296" i="16"/>
  <c r="FE296" i="16"/>
  <c r="FG296" i="16"/>
  <c r="FI296" i="16"/>
  <c r="FK296" i="16"/>
  <c r="FM296" i="16"/>
  <c r="FO296" i="16"/>
  <c r="FQ296" i="16"/>
  <c r="FS296" i="16"/>
  <c r="FU296" i="16"/>
  <c r="FW296" i="16"/>
  <c r="FY296" i="16"/>
  <c r="GA296" i="16"/>
  <c r="GC296" i="16"/>
  <c r="CZ298" i="16"/>
  <c r="DB298" i="16"/>
  <c r="DD298" i="16"/>
  <c r="DF298" i="16"/>
  <c r="DH298" i="16"/>
  <c r="DJ298" i="16"/>
  <c r="DL298" i="16"/>
  <c r="DN298" i="16"/>
  <c r="DP298" i="16"/>
  <c r="DR298" i="16"/>
  <c r="DT298" i="16"/>
  <c r="DV298" i="16"/>
  <c r="DX298" i="16"/>
  <c r="DZ298" i="16"/>
  <c r="EB298" i="16"/>
  <c r="ED298" i="16"/>
  <c r="EF298" i="16"/>
  <c r="EH298" i="16"/>
  <c r="EJ298" i="16"/>
  <c r="EL298" i="16"/>
  <c r="EN298" i="16"/>
  <c r="EP298" i="16"/>
  <c r="ER298" i="16"/>
  <c r="ET298" i="16"/>
  <c r="EV298" i="16"/>
  <c r="EX298" i="16"/>
  <c r="EZ298" i="16"/>
  <c r="FB298" i="16"/>
  <c r="FD298" i="16"/>
  <c r="FF298" i="16"/>
  <c r="FH298" i="16"/>
  <c r="FJ298" i="16"/>
  <c r="FL298" i="16"/>
  <c r="FN298" i="16"/>
  <c r="FP298" i="16"/>
  <c r="FR298" i="16"/>
  <c r="FT298" i="16"/>
  <c r="FV298" i="16"/>
  <c r="FX298" i="16"/>
  <c r="FZ298" i="16"/>
  <c r="GB298" i="16"/>
  <c r="GD298" i="16"/>
  <c r="CY298" i="16"/>
  <c r="DA298" i="16"/>
  <c r="DC298" i="16"/>
  <c r="DE298" i="16"/>
  <c r="DG298" i="16"/>
  <c r="DI298" i="16"/>
  <c r="DK298" i="16"/>
  <c r="DM298" i="16"/>
  <c r="DO298" i="16"/>
  <c r="DQ298" i="16"/>
  <c r="DS298" i="16"/>
  <c r="DU298" i="16"/>
  <c r="DW298" i="16"/>
  <c r="DY298" i="16"/>
  <c r="EA298" i="16"/>
  <c r="EC298" i="16"/>
  <c r="EE298" i="16"/>
  <c r="EG298" i="16"/>
  <c r="EI298" i="16"/>
  <c r="EK298" i="16"/>
  <c r="EM298" i="16"/>
  <c r="EO298" i="16"/>
  <c r="EQ298" i="16"/>
  <c r="ES298" i="16"/>
  <c r="EU298" i="16"/>
  <c r="EW298" i="16"/>
  <c r="EY298" i="16"/>
  <c r="FA298" i="16"/>
  <c r="FC298" i="16"/>
  <c r="FE298" i="16"/>
  <c r="FG298" i="16"/>
  <c r="FI298" i="16"/>
  <c r="FK298" i="16"/>
  <c r="FM298" i="16"/>
  <c r="FO298" i="16"/>
  <c r="FQ298" i="16"/>
  <c r="FS298" i="16"/>
  <c r="FU298" i="16"/>
  <c r="FW298" i="16"/>
  <c r="FY298" i="16"/>
  <c r="GA298" i="16"/>
  <c r="GC298" i="16"/>
  <c r="CY301" i="16"/>
  <c r="DA301" i="16"/>
  <c r="DC301" i="16"/>
  <c r="DE301" i="16"/>
  <c r="DG301" i="16"/>
  <c r="DI301" i="16"/>
  <c r="DK301" i="16"/>
  <c r="DM301" i="16"/>
  <c r="DO301" i="16"/>
  <c r="DQ301" i="16"/>
  <c r="DS301" i="16"/>
  <c r="DU301" i="16"/>
  <c r="DW301" i="16"/>
  <c r="DY301" i="16"/>
  <c r="EA301" i="16"/>
  <c r="EC301" i="16"/>
  <c r="EE301" i="16"/>
  <c r="EG301" i="16"/>
  <c r="EI301" i="16"/>
  <c r="EK301" i="16"/>
  <c r="EM301" i="16"/>
  <c r="EO301" i="16"/>
  <c r="EQ301" i="16"/>
  <c r="ES301" i="16"/>
  <c r="EU301" i="16"/>
  <c r="EW301" i="16"/>
  <c r="EY301" i="16"/>
  <c r="FA301" i="16"/>
  <c r="FC301" i="16"/>
  <c r="FE301" i="16"/>
  <c r="FG301" i="16"/>
  <c r="FI301" i="16"/>
  <c r="FK301" i="16"/>
  <c r="FM301" i="16"/>
  <c r="FO301" i="16"/>
  <c r="FQ301" i="16"/>
  <c r="FS301" i="16"/>
  <c r="FU301" i="16"/>
  <c r="FW301" i="16"/>
  <c r="FY301" i="16"/>
  <c r="GA301" i="16"/>
  <c r="GC301" i="16"/>
  <c r="CZ301" i="16"/>
  <c r="DB301" i="16"/>
  <c r="DD301" i="16"/>
  <c r="DF301" i="16"/>
  <c r="DH301" i="16"/>
  <c r="DJ301" i="16"/>
  <c r="DL301" i="16"/>
  <c r="DN301" i="16"/>
  <c r="DP301" i="16"/>
  <c r="DR301" i="16"/>
  <c r="DT301" i="16"/>
  <c r="DV301" i="16"/>
  <c r="DX301" i="16"/>
  <c r="DZ301" i="16"/>
  <c r="EB301" i="16"/>
  <c r="ED301" i="16"/>
  <c r="EF301" i="16"/>
  <c r="EH301" i="16"/>
  <c r="EJ301" i="16"/>
  <c r="EL301" i="16"/>
  <c r="EN301" i="16"/>
  <c r="EP301" i="16"/>
  <c r="ER301" i="16"/>
  <c r="ET301" i="16"/>
  <c r="EV301" i="16"/>
  <c r="EX301" i="16"/>
  <c r="EZ301" i="16"/>
  <c r="FB301" i="16"/>
  <c r="FD301" i="16"/>
  <c r="FF301" i="16"/>
  <c r="FH301" i="16"/>
  <c r="FJ301" i="16"/>
  <c r="FL301" i="16"/>
  <c r="FN301" i="16"/>
  <c r="FP301" i="16"/>
  <c r="FR301" i="16"/>
  <c r="FT301" i="16"/>
  <c r="FV301" i="16"/>
  <c r="FX301" i="16"/>
  <c r="FZ301" i="16"/>
  <c r="GB301" i="16"/>
  <c r="GD301" i="16"/>
  <c r="CY303" i="16"/>
  <c r="DA303" i="16"/>
  <c r="DC303" i="16"/>
  <c r="DE303" i="16"/>
  <c r="DG303" i="16"/>
  <c r="DI303" i="16"/>
  <c r="DK303" i="16"/>
  <c r="DM303" i="16"/>
  <c r="DO303" i="16"/>
  <c r="DQ303" i="16"/>
  <c r="DS303" i="16"/>
  <c r="DU303" i="16"/>
  <c r="DW303" i="16"/>
  <c r="DY303" i="16"/>
  <c r="EA303" i="16"/>
  <c r="EC303" i="16"/>
  <c r="EE303" i="16"/>
  <c r="EG303" i="16"/>
  <c r="EI303" i="16"/>
  <c r="EK303" i="16"/>
  <c r="EM303" i="16"/>
  <c r="EO303" i="16"/>
  <c r="EQ303" i="16"/>
  <c r="ES303" i="16"/>
  <c r="EU303" i="16"/>
  <c r="EW303" i="16"/>
  <c r="EY303" i="16"/>
  <c r="FA303" i="16"/>
  <c r="FC303" i="16"/>
  <c r="FE303" i="16"/>
  <c r="FG303" i="16"/>
  <c r="FI303" i="16"/>
  <c r="FK303" i="16"/>
  <c r="FM303" i="16"/>
  <c r="FO303" i="16"/>
  <c r="FQ303" i="16"/>
  <c r="FS303" i="16"/>
  <c r="FU303" i="16"/>
  <c r="FW303" i="16"/>
  <c r="FY303" i="16"/>
  <c r="GA303" i="16"/>
  <c r="GC303" i="16"/>
  <c r="CZ303" i="16"/>
  <c r="DB303" i="16"/>
  <c r="DD303" i="16"/>
  <c r="DF303" i="16"/>
  <c r="DH303" i="16"/>
  <c r="DJ303" i="16"/>
  <c r="DL303" i="16"/>
  <c r="DN303" i="16"/>
  <c r="DP303" i="16"/>
  <c r="DR303" i="16"/>
  <c r="DT303" i="16"/>
  <c r="DV303" i="16"/>
  <c r="DX303" i="16"/>
  <c r="DZ303" i="16"/>
  <c r="EB303" i="16"/>
  <c r="ED303" i="16"/>
  <c r="EF303" i="16"/>
  <c r="EH303" i="16"/>
  <c r="EJ303" i="16"/>
  <c r="EL303" i="16"/>
  <c r="EN303" i="16"/>
  <c r="EP303" i="16"/>
  <c r="ER303" i="16"/>
  <c r="ET303" i="16"/>
  <c r="EV303" i="16"/>
  <c r="EX303" i="16"/>
  <c r="EZ303" i="16"/>
  <c r="FB303" i="16"/>
  <c r="FD303" i="16"/>
  <c r="FF303" i="16"/>
  <c r="FH303" i="16"/>
  <c r="FJ303" i="16"/>
  <c r="FL303" i="16"/>
  <c r="FN303" i="16"/>
  <c r="FP303" i="16"/>
  <c r="FR303" i="16"/>
  <c r="FT303" i="16"/>
  <c r="FV303" i="16"/>
  <c r="FX303" i="16"/>
  <c r="FZ303" i="16"/>
  <c r="GB303" i="16"/>
  <c r="GD303" i="16"/>
  <c r="CY305" i="16"/>
  <c r="DA305" i="16"/>
  <c r="DC305" i="16"/>
  <c r="DE305" i="16"/>
  <c r="DG305" i="16"/>
  <c r="DI305" i="16"/>
  <c r="DK305" i="16"/>
  <c r="DM305" i="16"/>
  <c r="DO305" i="16"/>
  <c r="DQ305" i="16"/>
  <c r="DS305" i="16"/>
  <c r="DU305" i="16"/>
  <c r="DW305" i="16"/>
  <c r="DY305" i="16"/>
  <c r="EA305" i="16"/>
  <c r="EC305" i="16"/>
  <c r="EE305" i="16"/>
  <c r="EG305" i="16"/>
  <c r="EI305" i="16"/>
  <c r="EK305" i="16"/>
  <c r="EM305" i="16"/>
  <c r="EO305" i="16"/>
  <c r="EQ305" i="16"/>
  <c r="ES305" i="16"/>
  <c r="EU305" i="16"/>
  <c r="EW305" i="16"/>
  <c r="EY305" i="16"/>
  <c r="FA305" i="16"/>
  <c r="FC305" i="16"/>
  <c r="FE305" i="16"/>
  <c r="FG305" i="16"/>
  <c r="FI305" i="16"/>
  <c r="FK305" i="16"/>
  <c r="FM305" i="16"/>
  <c r="FO305" i="16"/>
  <c r="FQ305" i="16"/>
  <c r="FS305" i="16"/>
  <c r="FU305" i="16"/>
  <c r="FW305" i="16"/>
  <c r="FY305" i="16"/>
  <c r="GA305" i="16"/>
  <c r="GC305" i="16"/>
  <c r="CZ305" i="16"/>
  <c r="DB305" i="16"/>
  <c r="DD305" i="16"/>
  <c r="DF305" i="16"/>
  <c r="DH305" i="16"/>
  <c r="DJ305" i="16"/>
  <c r="DL305" i="16"/>
  <c r="DN305" i="16"/>
  <c r="DP305" i="16"/>
  <c r="DR305" i="16"/>
  <c r="DT305" i="16"/>
  <c r="DV305" i="16"/>
  <c r="DX305" i="16"/>
  <c r="DZ305" i="16"/>
  <c r="EB305" i="16"/>
  <c r="ED305" i="16"/>
  <c r="EF305" i="16"/>
  <c r="EH305" i="16"/>
  <c r="EJ305" i="16"/>
  <c r="EL305" i="16"/>
  <c r="EN305" i="16"/>
  <c r="EP305" i="16"/>
  <c r="ER305" i="16"/>
  <c r="ET305" i="16"/>
  <c r="EV305" i="16"/>
  <c r="EX305" i="16"/>
  <c r="EZ305" i="16"/>
  <c r="FB305" i="16"/>
  <c r="FD305" i="16"/>
  <c r="FF305" i="16"/>
  <c r="FH305" i="16"/>
  <c r="FJ305" i="16"/>
  <c r="FL305" i="16"/>
  <c r="FN305" i="16"/>
  <c r="FP305" i="16"/>
  <c r="FR305" i="16"/>
  <c r="FT305" i="16"/>
  <c r="FV305" i="16"/>
  <c r="FX305" i="16"/>
  <c r="FZ305" i="16"/>
  <c r="GB305" i="16"/>
  <c r="GD305" i="16"/>
  <c r="CY307" i="16"/>
  <c r="DA307" i="16"/>
  <c r="DC307" i="16"/>
  <c r="DE307" i="16"/>
  <c r="DG307" i="16"/>
  <c r="DI307" i="16"/>
  <c r="DK307" i="16"/>
  <c r="DM307" i="16"/>
  <c r="DO307" i="16"/>
  <c r="DQ307" i="16"/>
  <c r="DS307" i="16"/>
  <c r="DU307" i="16"/>
  <c r="DW307" i="16"/>
  <c r="DY307" i="16"/>
  <c r="EA307" i="16"/>
  <c r="EC307" i="16"/>
  <c r="EE307" i="16"/>
  <c r="EG307" i="16"/>
  <c r="EI307" i="16"/>
  <c r="EK307" i="16"/>
  <c r="EM307" i="16"/>
  <c r="EO307" i="16"/>
  <c r="EQ307" i="16"/>
  <c r="ES307" i="16"/>
  <c r="EU307" i="16"/>
  <c r="EW307" i="16"/>
  <c r="EY307" i="16"/>
  <c r="FA307" i="16"/>
  <c r="FC307" i="16"/>
  <c r="FE307" i="16"/>
  <c r="FG307" i="16"/>
  <c r="FI307" i="16"/>
  <c r="FK307" i="16"/>
  <c r="FM307" i="16"/>
  <c r="FO307" i="16"/>
  <c r="FQ307" i="16"/>
  <c r="FS307" i="16"/>
  <c r="FU307" i="16"/>
  <c r="FW307" i="16"/>
  <c r="FY307" i="16"/>
  <c r="GA307" i="16"/>
  <c r="GC307" i="16"/>
  <c r="CZ307" i="16"/>
  <c r="DB307" i="16"/>
  <c r="DD307" i="16"/>
  <c r="DF307" i="16"/>
  <c r="DH307" i="16"/>
  <c r="DJ307" i="16"/>
  <c r="DL307" i="16"/>
  <c r="DN307" i="16"/>
  <c r="DP307" i="16"/>
  <c r="DR307" i="16"/>
  <c r="DT307" i="16"/>
  <c r="DV307" i="16"/>
  <c r="DX307" i="16"/>
  <c r="DZ307" i="16"/>
  <c r="EB307" i="16"/>
  <c r="ED307" i="16"/>
  <c r="EF307" i="16"/>
  <c r="EH307" i="16"/>
  <c r="EJ307" i="16"/>
  <c r="EL307" i="16"/>
  <c r="EN307" i="16"/>
  <c r="EP307" i="16"/>
  <c r="ER307" i="16"/>
  <c r="ET307" i="16"/>
  <c r="EV307" i="16"/>
  <c r="EX307" i="16"/>
  <c r="EZ307" i="16"/>
  <c r="FB307" i="16"/>
  <c r="FD307" i="16"/>
  <c r="FF307" i="16"/>
  <c r="FH307" i="16"/>
  <c r="FJ307" i="16"/>
  <c r="FL307" i="16"/>
  <c r="FN307" i="16"/>
  <c r="FP307" i="16"/>
  <c r="FR307" i="16"/>
  <c r="FT307" i="16"/>
  <c r="FV307" i="16"/>
  <c r="FX307" i="16"/>
  <c r="FZ307" i="16"/>
  <c r="GB307" i="16"/>
  <c r="GD307" i="16"/>
  <c r="CY309" i="16"/>
  <c r="DA309" i="16"/>
  <c r="DC309" i="16"/>
  <c r="DE309" i="16"/>
  <c r="DG309" i="16"/>
  <c r="DI309" i="16"/>
  <c r="DK309" i="16"/>
  <c r="DM309" i="16"/>
  <c r="DO309" i="16"/>
  <c r="DQ309" i="16"/>
  <c r="DS309" i="16"/>
  <c r="DU309" i="16"/>
  <c r="DW309" i="16"/>
  <c r="DY309" i="16"/>
  <c r="EA309" i="16"/>
  <c r="EC309" i="16"/>
  <c r="EE309" i="16"/>
  <c r="EG309" i="16"/>
  <c r="EI309" i="16"/>
  <c r="EK309" i="16"/>
  <c r="EM309" i="16"/>
  <c r="EO309" i="16"/>
  <c r="EQ309" i="16"/>
  <c r="ES309" i="16"/>
  <c r="EU309" i="16"/>
  <c r="EW309" i="16"/>
  <c r="EY309" i="16"/>
  <c r="FA309" i="16"/>
  <c r="FC309" i="16"/>
  <c r="FE309" i="16"/>
  <c r="FG309" i="16"/>
  <c r="FI309" i="16"/>
  <c r="FK309" i="16"/>
  <c r="FM309" i="16"/>
  <c r="FO309" i="16"/>
  <c r="FQ309" i="16"/>
  <c r="FS309" i="16"/>
  <c r="FU309" i="16"/>
  <c r="FW309" i="16"/>
  <c r="FY309" i="16"/>
  <c r="GA309" i="16"/>
  <c r="GC309" i="16"/>
  <c r="CZ309" i="16"/>
  <c r="DB309" i="16"/>
  <c r="DD309" i="16"/>
  <c r="DF309" i="16"/>
  <c r="DH309" i="16"/>
  <c r="DJ309" i="16"/>
  <c r="DL309" i="16"/>
  <c r="DN309" i="16"/>
  <c r="DP309" i="16"/>
  <c r="DR309" i="16"/>
  <c r="DT309" i="16"/>
  <c r="DV309" i="16"/>
  <c r="DX309" i="16"/>
  <c r="DZ309" i="16"/>
  <c r="EB309" i="16"/>
  <c r="ED309" i="16"/>
  <c r="EF309" i="16"/>
  <c r="EH309" i="16"/>
  <c r="EJ309" i="16"/>
  <c r="EL309" i="16"/>
  <c r="EN309" i="16"/>
  <c r="EP309" i="16"/>
  <c r="ER309" i="16"/>
  <c r="ET309" i="16"/>
  <c r="EV309" i="16"/>
  <c r="EX309" i="16"/>
  <c r="EZ309" i="16"/>
  <c r="FB309" i="16"/>
  <c r="FD309" i="16"/>
  <c r="FF309" i="16"/>
  <c r="FH309" i="16"/>
  <c r="FJ309" i="16"/>
  <c r="FL309" i="16"/>
  <c r="FN309" i="16"/>
  <c r="FP309" i="16"/>
  <c r="FR309" i="16"/>
  <c r="FT309" i="16"/>
  <c r="FV309" i="16"/>
  <c r="FX309" i="16"/>
  <c r="FZ309" i="16"/>
  <c r="GB309" i="16"/>
  <c r="GD309" i="16"/>
  <c r="CY311" i="16"/>
  <c r="DA311" i="16"/>
  <c r="DC311" i="16"/>
  <c r="DE311" i="16"/>
  <c r="DG311" i="16"/>
  <c r="DI311" i="16"/>
  <c r="DK311" i="16"/>
  <c r="DM311" i="16"/>
  <c r="DO311" i="16"/>
  <c r="DQ311" i="16"/>
  <c r="DS311" i="16"/>
  <c r="DU311" i="16"/>
  <c r="DW311" i="16"/>
  <c r="DY311" i="16"/>
  <c r="EA311" i="16"/>
  <c r="EC311" i="16"/>
  <c r="EE311" i="16"/>
  <c r="EG311" i="16"/>
  <c r="EI311" i="16"/>
  <c r="EK311" i="16"/>
  <c r="EM311" i="16"/>
  <c r="EO311" i="16"/>
  <c r="EQ311" i="16"/>
  <c r="ES311" i="16"/>
  <c r="EU311" i="16"/>
  <c r="EW311" i="16"/>
  <c r="EY311" i="16"/>
  <c r="FA311" i="16"/>
  <c r="FC311" i="16"/>
  <c r="FE311" i="16"/>
  <c r="FG311" i="16"/>
  <c r="FI311" i="16"/>
  <c r="FK311" i="16"/>
  <c r="FM311" i="16"/>
  <c r="FO311" i="16"/>
  <c r="FQ311" i="16"/>
  <c r="FS311" i="16"/>
  <c r="FU311" i="16"/>
  <c r="FW311" i="16"/>
  <c r="FY311" i="16"/>
  <c r="GA311" i="16"/>
  <c r="GC311" i="16"/>
  <c r="CZ311" i="16"/>
  <c r="DB311" i="16"/>
  <c r="DD311" i="16"/>
  <c r="DF311" i="16"/>
  <c r="DH311" i="16"/>
  <c r="DJ311" i="16"/>
  <c r="DL311" i="16"/>
  <c r="DN311" i="16"/>
  <c r="DP311" i="16"/>
  <c r="DR311" i="16"/>
  <c r="DT311" i="16"/>
  <c r="DV311" i="16"/>
  <c r="DX311" i="16"/>
  <c r="DZ311" i="16"/>
  <c r="EB311" i="16"/>
  <c r="ED311" i="16"/>
  <c r="EF311" i="16"/>
  <c r="EH311" i="16"/>
  <c r="EJ311" i="16"/>
  <c r="EL311" i="16"/>
  <c r="EN311" i="16"/>
  <c r="EP311" i="16"/>
  <c r="ER311" i="16"/>
  <c r="ET311" i="16"/>
  <c r="EV311" i="16"/>
  <c r="EX311" i="16"/>
  <c r="EZ311" i="16"/>
  <c r="FB311" i="16"/>
  <c r="FD311" i="16"/>
  <c r="FF311" i="16"/>
  <c r="FH311" i="16"/>
  <c r="FJ311" i="16"/>
  <c r="FL311" i="16"/>
  <c r="FN311" i="16"/>
  <c r="FP311" i="16"/>
  <c r="FR311" i="16"/>
  <c r="FT311" i="16"/>
  <c r="FV311" i="16"/>
  <c r="FX311" i="16"/>
  <c r="FZ311" i="16"/>
  <c r="GB311" i="16"/>
  <c r="GD311" i="16"/>
  <c r="CY313" i="16"/>
  <c r="DA313" i="16"/>
  <c r="DC313" i="16"/>
  <c r="DE313" i="16"/>
  <c r="DG313" i="16"/>
  <c r="DI313" i="16"/>
  <c r="DK313" i="16"/>
  <c r="DM313" i="16"/>
  <c r="DO313" i="16"/>
  <c r="DQ313" i="16"/>
  <c r="DS313" i="16"/>
  <c r="DU313" i="16"/>
  <c r="DW313" i="16"/>
  <c r="DY313" i="16"/>
  <c r="EA313" i="16"/>
  <c r="EC313" i="16"/>
  <c r="EE313" i="16"/>
  <c r="EG313" i="16"/>
  <c r="EI313" i="16"/>
  <c r="EK313" i="16"/>
  <c r="EM313" i="16"/>
  <c r="EO313" i="16"/>
  <c r="EQ313" i="16"/>
  <c r="ES313" i="16"/>
  <c r="EU313" i="16"/>
  <c r="EW313" i="16"/>
  <c r="EY313" i="16"/>
  <c r="FA313" i="16"/>
  <c r="FC313" i="16"/>
  <c r="FE313" i="16"/>
  <c r="FG313" i="16"/>
  <c r="FI313" i="16"/>
  <c r="FK313" i="16"/>
  <c r="FM313" i="16"/>
  <c r="FO313" i="16"/>
  <c r="FQ313" i="16"/>
  <c r="FS313" i="16"/>
  <c r="FU313" i="16"/>
  <c r="FW313" i="16"/>
  <c r="FY313" i="16"/>
  <c r="GA313" i="16"/>
  <c r="GC313" i="16"/>
  <c r="CZ313" i="16"/>
  <c r="DB313" i="16"/>
  <c r="DD313" i="16"/>
  <c r="DF313" i="16"/>
  <c r="DH313" i="16"/>
  <c r="DJ313" i="16"/>
  <c r="DL313" i="16"/>
  <c r="DN313" i="16"/>
  <c r="DP313" i="16"/>
  <c r="DR313" i="16"/>
  <c r="DT313" i="16"/>
  <c r="DV313" i="16"/>
  <c r="DX313" i="16"/>
  <c r="DZ313" i="16"/>
  <c r="EB313" i="16"/>
  <c r="ED313" i="16"/>
  <c r="EF313" i="16"/>
  <c r="EH313" i="16"/>
  <c r="EJ313" i="16"/>
  <c r="EL313" i="16"/>
  <c r="EN313" i="16"/>
  <c r="EP313" i="16"/>
  <c r="ER313" i="16"/>
  <c r="ET313" i="16"/>
  <c r="EV313" i="16"/>
  <c r="EX313" i="16"/>
  <c r="EZ313" i="16"/>
  <c r="FB313" i="16"/>
  <c r="FD313" i="16"/>
  <c r="FF313" i="16"/>
  <c r="FH313" i="16"/>
  <c r="FJ313" i="16"/>
  <c r="FL313" i="16"/>
  <c r="FN313" i="16"/>
  <c r="FP313" i="16"/>
  <c r="FR313" i="16"/>
  <c r="FT313" i="16"/>
  <c r="FV313" i="16"/>
  <c r="FX313" i="16"/>
  <c r="FZ313" i="16"/>
  <c r="GB313" i="16"/>
  <c r="GD313" i="16"/>
  <c r="CZ314" i="16"/>
  <c r="DB314" i="16"/>
  <c r="DD314" i="16"/>
  <c r="DF314" i="16"/>
  <c r="DH314" i="16"/>
  <c r="DJ314" i="16"/>
  <c r="DL314" i="16"/>
  <c r="DN314" i="16"/>
  <c r="DP314" i="16"/>
  <c r="DR314" i="16"/>
  <c r="DT314" i="16"/>
  <c r="DV314" i="16"/>
  <c r="DX314" i="16"/>
  <c r="DZ314" i="16"/>
  <c r="EB314" i="16"/>
  <c r="ED314" i="16"/>
  <c r="EF314" i="16"/>
  <c r="EH314" i="16"/>
  <c r="EJ314" i="16"/>
  <c r="EL314" i="16"/>
  <c r="EN314" i="16"/>
  <c r="EP314" i="16"/>
  <c r="ER314" i="16"/>
  <c r="ET314" i="16"/>
  <c r="EV314" i="16"/>
  <c r="EX314" i="16"/>
  <c r="EZ314" i="16"/>
  <c r="FB314" i="16"/>
  <c r="FD314" i="16"/>
  <c r="FF314" i="16"/>
  <c r="FH314" i="16"/>
  <c r="FJ314" i="16"/>
  <c r="FL314" i="16"/>
  <c r="FN314" i="16"/>
  <c r="FP314" i="16"/>
  <c r="FR314" i="16"/>
  <c r="FT314" i="16"/>
  <c r="FV314" i="16"/>
  <c r="FX314" i="16"/>
  <c r="FZ314" i="16"/>
  <c r="GB314" i="16"/>
  <c r="GD314" i="16"/>
  <c r="CY314" i="16"/>
  <c r="DA314" i="16"/>
  <c r="DC314" i="16"/>
  <c r="DE314" i="16"/>
  <c r="DG314" i="16"/>
  <c r="DI314" i="16"/>
  <c r="DK314" i="16"/>
  <c r="DM314" i="16"/>
  <c r="DO314" i="16"/>
  <c r="DQ314" i="16"/>
  <c r="DS314" i="16"/>
  <c r="DU314" i="16"/>
  <c r="DW314" i="16"/>
  <c r="DY314" i="16"/>
  <c r="EA314" i="16"/>
  <c r="EC314" i="16"/>
  <c r="EE314" i="16"/>
  <c r="EG314" i="16"/>
  <c r="EI314" i="16"/>
  <c r="EK314" i="16"/>
  <c r="EM314" i="16"/>
  <c r="EO314" i="16"/>
  <c r="EQ314" i="16"/>
  <c r="ES314" i="16"/>
  <c r="EU314" i="16"/>
  <c r="EW314" i="16"/>
  <c r="EY314" i="16"/>
  <c r="FA314" i="16"/>
  <c r="FC314" i="16"/>
  <c r="FE314" i="16"/>
  <c r="FG314" i="16"/>
  <c r="FI314" i="16"/>
  <c r="FK314" i="16"/>
  <c r="FM314" i="16"/>
  <c r="FO314" i="16"/>
  <c r="FQ314" i="16"/>
  <c r="FS314" i="16"/>
  <c r="FU314" i="16"/>
  <c r="FW314" i="16"/>
  <c r="FY314" i="16"/>
  <c r="GA314" i="16"/>
  <c r="GC314" i="16"/>
  <c r="CZ316" i="16"/>
  <c r="DB316" i="16"/>
  <c r="DD316" i="16"/>
  <c r="DF316" i="16"/>
  <c r="DH316" i="16"/>
  <c r="DJ316" i="16"/>
  <c r="DL316" i="16"/>
  <c r="DN316" i="16"/>
  <c r="DP316" i="16"/>
  <c r="DR316" i="16"/>
  <c r="DT316" i="16"/>
  <c r="DV316" i="16"/>
  <c r="DX316" i="16"/>
  <c r="DZ316" i="16"/>
  <c r="EB316" i="16"/>
  <c r="ED316" i="16"/>
  <c r="EF316" i="16"/>
  <c r="EH316" i="16"/>
  <c r="EJ316" i="16"/>
  <c r="EL316" i="16"/>
  <c r="EN316" i="16"/>
  <c r="EP316" i="16"/>
  <c r="ER316" i="16"/>
  <c r="ET316" i="16"/>
  <c r="EV316" i="16"/>
  <c r="EX316" i="16"/>
  <c r="EZ316" i="16"/>
  <c r="FB316" i="16"/>
  <c r="FD316" i="16"/>
  <c r="FF316" i="16"/>
  <c r="FH316" i="16"/>
  <c r="FJ316" i="16"/>
  <c r="FL316" i="16"/>
  <c r="FN316" i="16"/>
  <c r="FP316" i="16"/>
  <c r="FR316" i="16"/>
  <c r="FT316" i="16"/>
  <c r="FV316" i="16"/>
  <c r="FX316" i="16"/>
  <c r="FZ316" i="16"/>
  <c r="GB316" i="16"/>
  <c r="GD316" i="16"/>
  <c r="CY316" i="16"/>
  <c r="DA316" i="16"/>
  <c r="DC316" i="16"/>
  <c r="DE316" i="16"/>
  <c r="DG316" i="16"/>
  <c r="DI316" i="16"/>
  <c r="DK316" i="16"/>
  <c r="DM316" i="16"/>
  <c r="DO316" i="16"/>
  <c r="DQ316" i="16"/>
  <c r="DS316" i="16"/>
  <c r="DU316" i="16"/>
  <c r="DW316" i="16"/>
  <c r="DY316" i="16"/>
  <c r="EA316" i="16"/>
  <c r="EC316" i="16"/>
  <c r="EE316" i="16"/>
  <c r="EG316" i="16"/>
  <c r="EI316" i="16"/>
  <c r="EK316" i="16"/>
  <c r="EM316" i="16"/>
  <c r="EO316" i="16"/>
  <c r="EQ316" i="16"/>
  <c r="ES316" i="16"/>
  <c r="EU316" i="16"/>
  <c r="EW316" i="16"/>
  <c r="EY316" i="16"/>
  <c r="FA316" i="16"/>
  <c r="FC316" i="16"/>
  <c r="FE316" i="16"/>
  <c r="FG316" i="16"/>
  <c r="FI316" i="16"/>
  <c r="FK316" i="16"/>
  <c r="FM316" i="16"/>
  <c r="FO316" i="16"/>
  <c r="FQ316" i="16"/>
  <c r="FS316" i="16"/>
  <c r="FU316" i="16"/>
  <c r="FW316" i="16"/>
  <c r="FY316" i="16"/>
  <c r="GA316" i="16"/>
  <c r="GC316" i="16"/>
  <c r="CY317" i="16"/>
  <c r="DA317" i="16"/>
  <c r="DC317" i="16"/>
  <c r="DE317" i="16"/>
  <c r="DG317" i="16"/>
  <c r="DI317" i="16"/>
  <c r="DK317" i="16"/>
  <c r="DM317" i="16"/>
  <c r="DO317" i="16"/>
  <c r="DQ317" i="16"/>
  <c r="DS317" i="16"/>
  <c r="DU317" i="16"/>
  <c r="DW317" i="16"/>
  <c r="DY317" i="16"/>
  <c r="EA317" i="16"/>
  <c r="EC317" i="16"/>
  <c r="EE317" i="16"/>
  <c r="EG317" i="16"/>
  <c r="EI317" i="16"/>
  <c r="EK317" i="16"/>
  <c r="EM317" i="16"/>
  <c r="EO317" i="16"/>
  <c r="EQ317" i="16"/>
  <c r="ES317" i="16"/>
  <c r="EU317" i="16"/>
  <c r="EW317" i="16"/>
  <c r="EY317" i="16"/>
  <c r="FA317" i="16"/>
  <c r="FC317" i="16"/>
  <c r="FE317" i="16"/>
  <c r="FG317" i="16"/>
  <c r="FI317" i="16"/>
  <c r="FK317" i="16"/>
  <c r="FM317" i="16"/>
  <c r="FO317" i="16"/>
  <c r="FQ317" i="16"/>
  <c r="FS317" i="16"/>
  <c r="FU317" i="16"/>
  <c r="FW317" i="16"/>
  <c r="FY317" i="16"/>
  <c r="GA317" i="16"/>
  <c r="GC317" i="16"/>
  <c r="CZ317" i="16"/>
  <c r="DB317" i="16"/>
  <c r="DD317" i="16"/>
  <c r="DF317" i="16"/>
  <c r="DH317" i="16"/>
  <c r="DJ317" i="16"/>
  <c r="DL317" i="16"/>
  <c r="DN317" i="16"/>
  <c r="DP317" i="16"/>
  <c r="DR317" i="16"/>
  <c r="DT317" i="16"/>
  <c r="DV317" i="16"/>
  <c r="DX317" i="16"/>
  <c r="DZ317" i="16"/>
  <c r="EB317" i="16"/>
  <c r="ED317" i="16"/>
  <c r="EF317" i="16"/>
  <c r="EH317" i="16"/>
  <c r="EJ317" i="16"/>
  <c r="EL317" i="16"/>
  <c r="EN317" i="16"/>
  <c r="EP317" i="16"/>
  <c r="ER317" i="16"/>
  <c r="ET317" i="16"/>
  <c r="EV317" i="16"/>
  <c r="EX317" i="16"/>
  <c r="EZ317" i="16"/>
  <c r="FB317" i="16"/>
  <c r="FD317" i="16"/>
  <c r="FF317" i="16"/>
  <c r="FH317" i="16"/>
  <c r="FJ317" i="16"/>
  <c r="FL317" i="16"/>
  <c r="FN317" i="16"/>
  <c r="FP317" i="16"/>
  <c r="FR317" i="16"/>
  <c r="FT317" i="16"/>
  <c r="FV317" i="16"/>
  <c r="FX317" i="16"/>
  <c r="FZ317" i="16"/>
  <c r="GB317" i="16"/>
  <c r="GD317" i="16"/>
  <c r="CY319" i="16"/>
  <c r="DA319" i="16"/>
  <c r="DC319" i="16"/>
  <c r="DE319" i="16"/>
  <c r="DG319" i="16"/>
  <c r="DI319" i="16"/>
  <c r="DK319" i="16"/>
  <c r="DM319" i="16"/>
  <c r="DO319" i="16"/>
  <c r="DQ319" i="16"/>
  <c r="DS319" i="16"/>
  <c r="DU319" i="16"/>
  <c r="DW319" i="16"/>
  <c r="DY319" i="16"/>
  <c r="EA319" i="16"/>
  <c r="EC319" i="16"/>
  <c r="EE319" i="16"/>
  <c r="EG319" i="16"/>
  <c r="EI319" i="16"/>
  <c r="EK319" i="16"/>
  <c r="EM319" i="16"/>
  <c r="EO319" i="16"/>
  <c r="EQ319" i="16"/>
  <c r="ES319" i="16"/>
  <c r="EU319" i="16"/>
  <c r="EW319" i="16"/>
  <c r="EY319" i="16"/>
  <c r="FA319" i="16"/>
  <c r="FC319" i="16"/>
  <c r="FE319" i="16"/>
  <c r="FG319" i="16"/>
  <c r="FI319" i="16"/>
  <c r="FK319" i="16"/>
  <c r="FM319" i="16"/>
  <c r="FO319" i="16"/>
  <c r="FQ319" i="16"/>
  <c r="FS319" i="16"/>
  <c r="FU319" i="16"/>
  <c r="FW319" i="16"/>
  <c r="FY319" i="16"/>
  <c r="GA319" i="16"/>
  <c r="GC319" i="16"/>
  <c r="CZ319" i="16"/>
  <c r="DB319" i="16"/>
  <c r="DD319" i="16"/>
  <c r="DF319" i="16"/>
  <c r="DH319" i="16"/>
  <c r="DJ319" i="16"/>
  <c r="DL319" i="16"/>
  <c r="DN319" i="16"/>
  <c r="DP319" i="16"/>
  <c r="DR319" i="16"/>
  <c r="DT319" i="16"/>
  <c r="DV319" i="16"/>
  <c r="DX319" i="16"/>
  <c r="DZ319" i="16"/>
  <c r="EB319" i="16"/>
  <c r="ED319" i="16"/>
  <c r="EF319" i="16"/>
  <c r="EH319" i="16"/>
  <c r="EJ319" i="16"/>
  <c r="EL319" i="16"/>
  <c r="EN319" i="16"/>
  <c r="EP319" i="16"/>
  <c r="ER319" i="16"/>
  <c r="ET319" i="16"/>
  <c r="EV319" i="16"/>
  <c r="EX319" i="16"/>
  <c r="EZ319" i="16"/>
  <c r="FB319" i="16"/>
  <c r="FD319" i="16"/>
  <c r="FF319" i="16"/>
  <c r="FH319" i="16"/>
  <c r="FJ319" i="16"/>
  <c r="FL319" i="16"/>
  <c r="FN319" i="16"/>
  <c r="FP319" i="16"/>
  <c r="FR319" i="16"/>
  <c r="FT319" i="16"/>
  <c r="FV319" i="16"/>
  <c r="FX319" i="16"/>
  <c r="FZ319" i="16"/>
  <c r="GB319" i="16"/>
  <c r="GD319" i="16"/>
  <c r="CZ322" i="16"/>
  <c r="DB322" i="16"/>
  <c r="DD322" i="16"/>
  <c r="DF322" i="16"/>
  <c r="DH322" i="16"/>
  <c r="DJ322" i="16"/>
  <c r="DL322" i="16"/>
  <c r="DN322" i="16"/>
  <c r="DP322" i="16"/>
  <c r="DR322" i="16"/>
  <c r="DT322" i="16"/>
  <c r="DV322" i="16"/>
  <c r="DX322" i="16"/>
  <c r="DZ322" i="16"/>
  <c r="EB322" i="16"/>
  <c r="ED322" i="16"/>
  <c r="EF322" i="16"/>
  <c r="EH322" i="16"/>
  <c r="EJ322" i="16"/>
  <c r="EL322" i="16"/>
  <c r="EN322" i="16"/>
  <c r="EP322" i="16"/>
  <c r="ER322" i="16"/>
  <c r="ET322" i="16"/>
  <c r="EV322" i="16"/>
  <c r="EX322" i="16"/>
  <c r="EZ322" i="16"/>
  <c r="FB322" i="16"/>
  <c r="FD322" i="16"/>
  <c r="FF322" i="16"/>
  <c r="FH322" i="16"/>
  <c r="FJ322" i="16"/>
  <c r="FL322" i="16"/>
  <c r="FN322" i="16"/>
  <c r="FP322" i="16"/>
  <c r="FR322" i="16"/>
  <c r="FT322" i="16"/>
  <c r="FV322" i="16"/>
  <c r="FX322" i="16"/>
  <c r="FZ322" i="16"/>
  <c r="GB322" i="16"/>
  <c r="GD322" i="16"/>
  <c r="CY322" i="16"/>
  <c r="DA322" i="16"/>
  <c r="DC322" i="16"/>
  <c r="DE322" i="16"/>
  <c r="DG322" i="16"/>
  <c r="DI322" i="16"/>
  <c r="DK322" i="16"/>
  <c r="DM322" i="16"/>
  <c r="DO322" i="16"/>
  <c r="DQ322" i="16"/>
  <c r="DS322" i="16"/>
  <c r="DU322" i="16"/>
  <c r="DW322" i="16"/>
  <c r="DY322" i="16"/>
  <c r="EA322" i="16"/>
  <c r="EC322" i="16"/>
  <c r="EE322" i="16"/>
  <c r="EG322" i="16"/>
  <c r="EI322" i="16"/>
  <c r="EK322" i="16"/>
  <c r="EM322" i="16"/>
  <c r="EO322" i="16"/>
  <c r="EQ322" i="16"/>
  <c r="ES322" i="16"/>
  <c r="EU322" i="16"/>
  <c r="EW322" i="16"/>
  <c r="EY322" i="16"/>
  <c r="FA322" i="16"/>
  <c r="FC322" i="16"/>
  <c r="FE322" i="16"/>
  <c r="FG322" i="16"/>
  <c r="FI322" i="16"/>
  <c r="FK322" i="16"/>
  <c r="FM322" i="16"/>
  <c r="FO322" i="16"/>
  <c r="FQ322" i="16"/>
  <c r="FS322" i="16"/>
  <c r="FU322" i="16"/>
  <c r="FW322" i="16"/>
  <c r="FY322" i="16"/>
  <c r="GA322" i="16"/>
  <c r="GC322" i="16"/>
  <c r="CZ324" i="16"/>
  <c r="DB324" i="16"/>
  <c r="DD324" i="16"/>
  <c r="DF324" i="16"/>
  <c r="DH324" i="16"/>
  <c r="DJ324" i="16"/>
  <c r="DL324" i="16"/>
  <c r="DN324" i="16"/>
  <c r="DP324" i="16"/>
  <c r="DR324" i="16"/>
  <c r="DT324" i="16"/>
  <c r="DV324" i="16"/>
  <c r="DX324" i="16"/>
  <c r="DZ324" i="16"/>
  <c r="EB324" i="16"/>
  <c r="ED324" i="16"/>
  <c r="EF324" i="16"/>
  <c r="EH324" i="16"/>
  <c r="EJ324" i="16"/>
  <c r="EL324" i="16"/>
  <c r="EN324" i="16"/>
  <c r="EP324" i="16"/>
  <c r="ER324" i="16"/>
  <c r="ET324" i="16"/>
  <c r="EV324" i="16"/>
  <c r="EX324" i="16"/>
  <c r="EZ324" i="16"/>
  <c r="FB324" i="16"/>
  <c r="FD324" i="16"/>
  <c r="FF324" i="16"/>
  <c r="FH324" i="16"/>
  <c r="FJ324" i="16"/>
  <c r="FL324" i="16"/>
  <c r="FN324" i="16"/>
  <c r="FP324" i="16"/>
  <c r="FR324" i="16"/>
  <c r="FT324" i="16"/>
  <c r="FV324" i="16"/>
  <c r="FX324" i="16"/>
  <c r="FZ324" i="16"/>
  <c r="GB324" i="16"/>
  <c r="GD324" i="16"/>
  <c r="CY324" i="16"/>
  <c r="DA324" i="16"/>
  <c r="DC324" i="16"/>
  <c r="DE324" i="16"/>
  <c r="DG324" i="16"/>
  <c r="DI324" i="16"/>
  <c r="DK324" i="16"/>
  <c r="DM324" i="16"/>
  <c r="DO324" i="16"/>
  <c r="DQ324" i="16"/>
  <c r="DS324" i="16"/>
  <c r="DU324" i="16"/>
  <c r="DW324" i="16"/>
  <c r="DY324" i="16"/>
  <c r="EA324" i="16"/>
  <c r="EC324" i="16"/>
  <c r="EE324" i="16"/>
  <c r="EG324" i="16"/>
  <c r="EI324" i="16"/>
  <c r="EK324" i="16"/>
  <c r="EM324" i="16"/>
  <c r="EO324" i="16"/>
  <c r="EQ324" i="16"/>
  <c r="ES324" i="16"/>
  <c r="EU324" i="16"/>
  <c r="EW324" i="16"/>
  <c r="EY324" i="16"/>
  <c r="FA324" i="16"/>
  <c r="FC324" i="16"/>
  <c r="FE324" i="16"/>
  <c r="FG324" i="16"/>
  <c r="FI324" i="16"/>
  <c r="FK324" i="16"/>
  <c r="FM324" i="16"/>
  <c r="FO324" i="16"/>
  <c r="FQ324" i="16"/>
  <c r="FS324" i="16"/>
  <c r="FU324" i="16"/>
  <c r="FW324" i="16"/>
  <c r="FY324" i="16"/>
  <c r="GA324" i="16"/>
  <c r="GC324" i="16"/>
  <c r="CZ326" i="16"/>
  <c r="DB326" i="16"/>
  <c r="DD326" i="16"/>
  <c r="DF326" i="16"/>
  <c r="DH326" i="16"/>
  <c r="DJ326" i="16"/>
  <c r="DL326" i="16"/>
  <c r="DN326" i="16"/>
  <c r="DP326" i="16"/>
  <c r="DR326" i="16"/>
  <c r="DT326" i="16"/>
  <c r="DV326" i="16"/>
  <c r="DX326" i="16"/>
  <c r="DZ326" i="16"/>
  <c r="EB326" i="16"/>
  <c r="ED326" i="16"/>
  <c r="EF326" i="16"/>
  <c r="EH326" i="16"/>
  <c r="EJ326" i="16"/>
  <c r="EL326" i="16"/>
  <c r="EN326" i="16"/>
  <c r="EP326" i="16"/>
  <c r="ER326" i="16"/>
  <c r="ET326" i="16"/>
  <c r="EV326" i="16"/>
  <c r="EX326" i="16"/>
  <c r="EZ326" i="16"/>
  <c r="FB326" i="16"/>
  <c r="FD326" i="16"/>
  <c r="FF326" i="16"/>
  <c r="FH326" i="16"/>
  <c r="FJ326" i="16"/>
  <c r="FL326" i="16"/>
  <c r="FN326" i="16"/>
  <c r="FP326" i="16"/>
  <c r="FR326" i="16"/>
  <c r="FT326" i="16"/>
  <c r="FV326" i="16"/>
  <c r="FX326" i="16"/>
  <c r="FZ326" i="16"/>
  <c r="GB326" i="16"/>
  <c r="GD326" i="16"/>
  <c r="CY326" i="16"/>
  <c r="DA326" i="16"/>
  <c r="DC326" i="16"/>
  <c r="DE326" i="16"/>
  <c r="DG326" i="16"/>
  <c r="DI326" i="16"/>
  <c r="DK326" i="16"/>
  <c r="DM326" i="16"/>
  <c r="DO326" i="16"/>
  <c r="DQ326" i="16"/>
  <c r="DS326" i="16"/>
  <c r="DU326" i="16"/>
  <c r="DW326" i="16"/>
  <c r="DY326" i="16"/>
  <c r="EA326" i="16"/>
  <c r="EC326" i="16"/>
  <c r="EE326" i="16"/>
  <c r="EG326" i="16"/>
  <c r="EI326" i="16"/>
  <c r="EK326" i="16"/>
  <c r="EM326" i="16"/>
  <c r="EO326" i="16"/>
  <c r="EQ326" i="16"/>
  <c r="ES326" i="16"/>
  <c r="EU326" i="16"/>
  <c r="EW326" i="16"/>
  <c r="EY326" i="16"/>
  <c r="FA326" i="16"/>
  <c r="FC326" i="16"/>
  <c r="FE326" i="16"/>
  <c r="FG326" i="16"/>
  <c r="FI326" i="16"/>
  <c r="FK326" i="16"/>
  <c r="FM326" i="16"/>
  <c r="FO326" i="16"/>
  <c r="FQ326" i="16"/>
  <c r="FS326" i="16"/>
  <c r="FU326" i="16"/>
  <c r="FW326" i="16"/>
  <c r="FY326" i="16"/>
  <c r="GA326" i="16"/>
  <c r="GC326" i="16"/>
  <c r="CY327" i="16"/>
  <c r="DA327" i="16"/>
  <c r="DC327" i="16"/>
  <c r="DE327" i="16"/>
  <c r="DG327" i="16"/>
  <c r="DI327" i="16"/>
  <c r="DK327" i="16"/>
  <c r="DM327" i="16"/>
  <c r="DO327" i="16"/>
  <c r="DQ327" i="16"/>
  <c r="DS327" i="16"/>
  <c r="DU327" i="16"/>
  <c r="DW327" i="16"/>
  <c r="DY327" i="16"/>
  <c r="EA327" i="16"/>
  <c r="EC327" i="16"/>
  <c r="EE327" i="16"/>
  <c r="EG327" i="16"/>
  <c r="EI327" i="16"/>
  <c r="EK327" i="16"/>
  <c r="EM327" i="16"/>
  <c r="EO327" i="16"/>
  <c r="EQ327" i="16"/>
  <c r="ES327" i="16"/>
  <c r="EU327" i="16"/>
  <c r="EW327" i="16"/>
  <c r="EY327" i="16"/>
  <c r="FA327" i="16"/>
  <c r="FC327" i="16"/>
  <c r="FE327" i="16"/>
  <c r="FG327" i="16"/>
  <c r="FI327" i="16"/>
  <c r="FK327" i="16"/>
  <c r="FM327" i="16"/>
  <c r="FO327" i="16"/>
  <c r="FQ327" i="16"/>
  <c r="FS327" i="16"/>
  <c r="FU327" i="16"/>
  <c r="FW327" i="16"/>
  <c r="FY327" i="16"/>
  <c r="GA327" i="16"/>
  <c r="GC327" i="16"/>
  <c r="CZ327" i="16"/>
  <c r="DB327" i="16"/>
  <c r="DD327" i="16"/>
  <c r="DF327" i="16"/>
  <c r="DH327" i="16"/>
  <c r="DJ327" i="16"/>
  <c r="DL327" i="16"/>
  <c r="DN327" i="16"/>
  <c r="DP327" i="16"/>
  <c r="DR327" i="16"/>
  <c r="DT327" i="16"/>
  <c r="DV327" i="16"/>
  <c r="DX327" i="16"/>
  <c r="DZ327" i="16"/>
  <c r="EB327" i="16"/>
  <c r="ED327" i="16"/>
  <c r="EF327" i="16"/>
  <c r="EH327" i="16"/>
  <c r="EJ327" i="16"/>
  <c r="EL327" i="16"/>
  <c r="EN327" i="16"/>
  <c r="EP327" i="16"/>
  <c r="ER327" i="16"/>
  <c r="ET327" i="16"/>
  <c r="EV327" i="16"/>
  <c r="EX327" i="16"/>
  <c r="EZ327" i="16"/>
  <c r="FB327" i="16"/>
  <c r="FD327" i="16"/>
  <c r="FF327" i="16"/>
  <c r="FH327" i="16"/>
  <c r="FJ327" i="16"/>
  <c r="FL327" i="16"/>
  <c r="FN327" i="16"/>
  <c r="FP327" i="16"/>
  <c r="FR327" i="16"/>
  <c r="FT327" i="16"/>
  <c r="FV327" i="16"/>
  <c r="FX327" i="16"/>
  <c r="FZ327" i="16"/>
  <c r="GB327" i="16"/>
  <c r="GD327" i="16"/>
  <c r="CZ330" i="16"/>
  <c r="DB330" i="16"/>
  <c r="DD330" i="16"/>
  <c r="DF330" i="16"/>
  <c r="DH330" i="16"/>
  <c r="DJ330" i="16"/>
  <c r="DL330" i="16"/>
  <c r="DN330" i="16"/>
  <c r="DP330" i="16"/>
  <c r="DR330" i="16"/>
  <c r="DT330" i="16"/>
  <c r="DV330" i="16"/>
  <c r="DX330" i="16"/>
  <c r="DZ330" i="16"/>
  <c r="EB330" i="16"/>
  <c r="ED330" i="16"/>
  <c r="EF330" i="16"/>
  <c r="EH330" i="16"/>
  <c r="EJ330" i="16"/>
  <c r="EL330" i="16"/>
  <c r="EN330" i="16"/>
  <c r="EP330" i="16"/>
  <c r="ER330" i="16"/>
  <c r="ET330" i="16"/>
  <c r="EV330" i="16"/>
  <c r="EX330" i="16"/>
  <c r="EZ330" i="16"/>
  <c r="FB330" i="16"/>
  <c r="FD330" i="16"/>
  <c r="FF330" i="16"/>
  <c r="FH330" i="16"/>
  <c r="FJ330" i="16"/>
  <c r="FL330" i="16"/>
  <c r="FN330" i="16"/>
  <c r="FP330" i="16"/>
  <c r="FR330" i="16"/>
  <c r="FT330" i="16"/>
  <c r="FV330" i="16"/>
  <c r="FX330" i="16"/>
  <c r="FZ330" i="16"/>
  <c r="GB330" i="16"/>
  <c r="GD330" i="16"/>
  <c r="CY330" i="16"/>
  <c r="DA330" i="16"/>
  <c r="DC330" i="16"/>
  <c r="DE330" i="16"/>
  <c r="DG330" i="16"/>
  <c r="DI330" i="16"/>
  <c r="DK330" i="16"/>
  <c r="DM330" i="16"/>
  <c r="DO330" i="16"/>
  <c r="DQ330" i="16"/>
  <c r="DS330" i="16"/>
  <c r="DU330" i="16"/>
  <c r="DW330" i="16"/>
  <c r="DY330" i="16"/>
  <c r="EA330" i="16"/>
  <c r="EC330" i="16"/>
  <c r="EE330" i="16"/>
  <c r="EG330" i="16"/>
  <c r="EI330" i="16"/>
  <c r="EK330" i="16"/>
  <c r="EM330" i="16"/>
  <c r="EO330" i="16"/>
  <c r="EQ330" i="16"/>
  <c r="ES330" i="16"/>
  <c r="EU330" i="16"/>
  <c r="EW330" i="16"/>
  <c r="EY330" i="16"/>
  <c r="FA330" i="16"/>
  <c r="FC330" i="16"/>
  <c r="FE330" i="16"/>
  <c r="FG330" i="16"/>
  <c r="FI330" i="16"/>
  <c r="FK330" i="16"/>
  <c r="FM330" i="16"/>
  <c r="FO330" i="16"/>
  <c r="FQ330" i="16"/>
  <c r="FS330" i="16"/>
  <c r="FU330" i="16"/>
  <c r="FW330" i="16"/>
  <c r="FY330" i="16"/>
  <c r="GA330" i="16"/>
  <c r="GC330" i="16"/>
  <c r="CZ332" i="16"/>
  <c r="DB332" i="16"/>
  <c r="DD332" i="16"/>
  <c r="DF332" i="16"/>
  <c r="DH332" i="16"/>
  <c r="DJ332" i="16"/>
  <c r="DL332" i="16"/>
  <c r="DN332" i="16"/>
  <c r="DP332" i="16"/>
  <c r="DR332" i="16"/>
  <c r="DT332" i="16"/>
  <c r="DV332" i="16"/>
  <c r="DX332" i="16"/>
  <c r="DZ332" i="16"/>
  <c r="EB332" i="16"/>
  <c r="ED332" i="16"/>
  <c r="EF332" i="16"/>
  <c r="EH332" i="16"/>
  <c r="EJ332" i="16"/>
  <c r="EL332" i="16"/>
  <c r="EN332" i="16"/>
  <c r="EP332" i="16"/>
  <c r="ER332" i="16"/>
  <c r="ET332" i="16"/>
  <c r="EV332" i="16"/>
  <c r="EX332" i="16"/>
  <c r="EZ332" i="16"/>
  <c r="FB332" i="16"/>
  <c r="FD332" i="16"/>
  <c r="FF332" i="16"/>
  <c r="FH332" i="16"/>
  <c r="FJ332" i="16"/>
  <c r="FL332" i="16"/>
  <c r="FN332" i="16"/>
  <c r="FP332" i="16"/>
  <c r="FR332" i="16"/>
  <c r="FT332" i="16"/>
  <c r="FV332" i="16"/>
  <c r="FX332" i="16"/>
  <c r="FZ332" i="16"/>
  <c r="GB332" i="16"/>
  <c r="GD332" i="16"/>
  <c r="CY332" i="16"/>
  <c r="DA332" i="16"/>
  <c r="DC332" i="16"/>
  <c r="DE332" i="16"/>
  <c r="DG332" i="16"/>
  <c r="DI332" i="16"/>
  <c r="DK332" i="16"/>
  <c r="DM332" i="16"/>
  <c r="DO332" i="16"/>
  <c r="DQ332" i="16"/>
  <c r="DS332" i="16"/>
  <c r="DU332" i="16"/>
  <c r="DW332" i="16"/>
  <c r="DY332" i="16"/>
  <c r="EA332" i="16"/>
  <c r="EC332" i="16"/>
  <c r="EE332" i="16"/>
  <c r="EG332" i="16"/>
  <c r="EI332" i="16"/>
  <c r="EK332" i="16"/>
  <c r="EM332" i="16"/>
  <c r="EO332" i="16"/>
  <c r="EQ332" i="16"/>
  <c r="ES332" i="16"/>
  <c r="EU332" i="16"/>
  <c r="EW332" i="16"/>
  <c r="EY332" i="16"/>
  <c r="FA332" i="16"/>
  <c r="FC332" i="16"/>
  <c r="FE332" i="16"/>
  <c r="FG332" i="16"/>
  <c r="FI332" i="16"/>
  <c r="FK332" i="16"/>
  <c r="FM332" i="16"/>
  <c r="FO332" i="16"/>
  <c r="FQ332" i="16"/>
  <c r="FS332" i="16"/>
  <c r="FU332" i="16"/>
  <c r="FW332" i="16"/>
  <c r="FY332" i="16"/>
  <c r="GA332" i="16"/>
  <c r="GC332" i="16"/>
  <c r="CZ334" i="16"/>
  <c r="DB334" i="16"/>
  <c r="DD334" i="16"/>
  <c r="DF334" i="16"/>
  <c r="DH334" i="16"/>
  <c r="DJ334" i="16"/>
  <c r="DL334" i="16"/>
  <c r="DN334" i="16"/>
  <c r="DP334" i="16"/>
  <c r="DR334" i="16"/>
  <c r="DT334" i="16"/>
  <c r="DV334" i="16"/>
  <c r="DX334" i="16"/>
  <c r="DZ334" i="16"/>
  <c r="EB334" i="16"/>
  <c r="ED334" i="16"/>
  <c r="EF334" i="16"/>
  <c r="EH334" i="16"/>
  <c r="EJ334" i="16"/>
  <c r="EL334" i="16"/>
  <c r="EN334" i="16"/>
  <c r="EP334" i="16"/>
  <c r="ER334" i="16"/>
  <c r="ET334" i="16"/>
  <c r="EV334" i="16"/>
  <c r="EX334" i="16"/>
  <c r="EZ334" i="16"/>
  <c r="FB334" i="16"/>
  <c r="FD334" i="16"/>
  <c r="FF334" i="16"/>
  <c r="FH334" i="16"/>
  <c r="FJ334" i="16"/>
  <c r="FL334" i="16"/>
  <c r="FN334" i="16"/>
  <c r="FP334" i="16"/>
  <c r="FR334" i="16"/>
  <c r="FT334" i="16"/>
  <c r="FV334" i="16"/>
  <c r="FX334" i="16"/>
  <c r="FZ334" i="16"/>
  <c r="GB334" i="16"/>
  <c r="GD334" i="16"/>
  <c r="CY334" i="16"/>
  <c r="DA334" i="16"/>
  <c r="DC334" i="16"/>
  <c r="DE334" i="16"/>
  <c r="DG334" i="16"/>
  <c r="DI334" i="16"/>
  <c r="DK334" i="16"/>
  <c r="DM334" i="16"/>
  <c r="DO334" i="16"/>
  <c r="DQ334" i="16"/>
  <c r="DS334" i="16"/>
  <c r="DU334" i="16"/>
  <c r="DW334" i="16"/>
  <c r="DY334" i="16"/>
  <c r="EA334" i="16"/>
  <c r="EC334" i="16"/>
  <c r="EE334" i="16"/>
  <c r="EG334" i="16"/>
  <c r="EI334" i="16"/>
  <c r="EK334" i="16"/>
  <c r="EM334" i="16"/>
  <c r="EO334" i="16"/>
  <c r="EQ334" i="16"/>
  <c r="ES334" i="16"/>
  <c r="EU334" i="16"/>
  <c r="EW334" i="16"/>
  <c r="EY334" i="16"/>
  <c r="FA334" i="16"/>
  <c r="FC334" i="16"/>
  <c r="FE334" i="16"/>
  <c r="FG334" i="16"/>
  <c r="FI334" i="16"/>
  <c r="FK334" i="16"/>
  <c r="FM334" i="16"/>
  <c r="FO334" i="16"/>
  <c r="FQ334" i="16"/>
  <c r="FS334" i="16"/>
  <c r="FU334" i="16"/>
  <c r="FW334" i="16"/>
  <c r="FY334" i="16"/>
  <c r="GA334" i="16"/>
  <c r="GC334" i="16"/>
  <c r="CZ336" i="16"/>
  <c r="DB336" i="16"/>
  <c r="DD336" i="16"/>
  <c r="DF336" i="16"/>
  <c r="DH336" i="16"/>
  <c r="DJ336" i="16"/>
  <c r="DL336" i="16"/>
  <c r="DN336" i="16"/>
  <c r="DP336" i="16"/>
  <c r="DR336" i="16"/>
  <c r="DT336" i="16"/>
  <c r="DV336" i="16"/>
  <c r="DX336" i="16"/>
  <c r="DZ336" i="16"/>
  <c r="EB336" i="16"/>
  <c r="ED336" i="16"/>
  <c r="EF336" i="16"/>
  <c r="EH336" i="16"/>
  <c r="EJ336" i="16"/>
  <c r="EL336" i="16"/>
  <c r="EN336" i="16"/>
  <c r="EP336" i="16"/>
  <c r="ER336" i="16"/>
  <c r="ET336" i="16"/>
  <c r="EV336" i="16"/>
  <c r="EX336" i="16"/>
  <c r="EZ336" i="16"/>
  <c r="FB336" i="16"/>
  <c r="FD336" i="16"/>
  <c r="FF336" i="16"/>
  <c r="FH336" i="16"/>
  <c r="FJ336" i="16"/>
  <c r="FL336" i="16"/>
  <c r="FN336" i="16"/>
  <c r="FP336" i="16"/>
  <c r="FR336" i="16"/>
  <c r="FT336" i="16"/>
  <c r="FV336" i="16"/>
  <c r="FX336" i="16"/>
  <c r="FZ336" i="16"/>
  <c r="GB336" i="16"/>
  <c r="GD336" i="16"/>
  <c r="CY336" i="16"/>
  <c r="DA336" i="16"/>
  <c r="DC336" i="16"/>
  <c r="DE336" i="16"/>
  <c r="DG336" i="16"/>
  <c r="DI336" i="16"/>
  <c r="DK336" i="16"/>
  <c r="DM336" i="16"/>
  <c r="DO336" i="16"/>
  <c r="DQ336" i="16"/>
  <c r="DS336" i="16"/>
  <c r="DU336" i="16"/>
  <c r="DW336" i="16"/>
  <c r="DY336" i="16"/>
  <c r="EA336" i="16"/>
  <c r="EC336" i="16"/>
  <c r="EE336" i="16"/>
  <c r="EG336" i="16"/>
  <c r="EI336" i="16"/>
  <c r="EK336" i="16"/>
  <c r="EM336" i="16"/>
  <c r="EO336" i="16"/>
  <c r="EQ336" i="16"/>
  <c r="ES336" i="16"/>
  <c r="EU336" i="16"/>
  <c r="EW336" i="16"/>
  <c r="EY336" i="16"/>
  <c r="FA336" i="16"/>
  <c r="FC336" i="16"/>
  <c r="FE336" i="16"/>
  <c r="FG336" i="16"/>
  <c r="FI336" i="16"/>
  <c r="FK336" i="16"/>
  <c r="FM336" i="16"/>
  <c r="FO336" i="16"/>
  <c r="FQ336" i="16"/>
  <c r="FS336" i="16"/>
  <c r="FU336" i="16"/>
  <c r="FW336" i="16"/>
  <c r="FY336" i="16"/>
  <c r="GA336" i="16"/>
  <c r="GC336" i="16"/>
  <c r="CY339" i="16"/>
  <c r="DA339" i="16"/>
  <c r="DC339" i="16"/>
  <c r="DE339" i="16"/>
  <c r="DG339" i="16"/>
  <c r="DI339" i="16"/>
  <c r="DK339" i="16"/>
  <c r="DM339" i="16"/>
  <c r="DO339" i="16"/>
  <c r="DQ339" i="16"/>
  <c r="DS339" i="16"/>
  <c r="DU339" i="16"/>
  <c r="DW339" i="16"/>
  <c r="DY339" i="16"/>
  <c r="EA339" i="16"/>
  <c r="EC339" i="16"/>
  <c r="EE339" i="16"/>
  <c r="EG339" i="16"/>
  <c r="EI339" i="16"/>
  <c r="EK339" i="16"/>
  <c r="EM339" i="16"/>
  <c r="EO339" i="16"/>
  <c r="EQ339" i="16"/>
  <c r="ES339" i="16"/>
  <c r="EU339" i="16"/>
  <c r="EW339" i="16"/>
  <c r="EY339" i="16"/>
  <c r="FA339" i="16"/>
  <c r="FC339" i="16"/>
  <c r="FE339" i="16"/>
  <c r="FG339" i="16"/>
  <c r="FI339" i="16"/>
  <c r="FK339" i="16"/>
  <c r="FM339" i="16"/>
  <c r="FO339" i="16"/>
  <c r="FQ339" i="16"/>
  <c r="FS339" i="16"/>
  <c r="FU339" i="16"/>
  <c r="FW339" i="16"/>
  <c r="FY339" i="16"/>
  <c r="GA339" i="16"/>
  <c r="GC339" i="16"/>
  <c r="CZ339" i="16"/>
  <c r="DB339" i="16"/>
  <c r="DD339" i="16"/>
  <c r="DF339" i="16"/>
  <c r="DH339" i="16"/>
  <c r="DJ339" i="16"/>
  <c r="DL339" i="16"/>
  <c r="DN339" i="16"/>
  <c r="DP339" i="16"/>
  <c r="DR339" i="16"/>
  <c r="DT339" i="16"/>
  <c r="DV339" i="16"/>
  <c r="DX339" i="16"/>
  <c r="DZ339" i="16"/>
  <c r="EB339" i="16"/>
  <c r="ED339" i="16"/>
  <c r="EF339" i="16"/>
  <c r="EH339" i="16"/>
  <c r="EJ339" i="16"/>
  <c r="EL339" i="16"/>
  <c r="EN339" i="16"/>
  <c r="EP339" i="16"/>
  <c r="ER339" i="16"/>
  <c r="ET339" i="16"/>
  <c r="EV339" i="16"/>
  <c r="EX339" i="16"/>
  <c r="EZ339" i="16"/>
  <c r="FB339" i="16"/>
  <c r="FD339" i="16"/>
  <c r="FF339" i="16"/>
  <c r="FH339" i="16"/>
  <c r="FJ339" i="16"/>
  <c r="FL339" i="16"/>
  <c r="FN339" i="16"/>
  <c r="FP339" i="16"/>
  <c r="FR339" i="16"/>
  <c r="FT339" i="16"/>
  <c r="FV339" i="16"/>
  <c r="FX339" i="16"/>
  <c r="FZ339" i="16"/>
  <c r="GB339" i="16"/>
  <c r="GD339" i="16"/>
  <c r="CZ340" i="16"/>
  <c r="DB340" i="16"/>
  <c r="DD340" i="16"/>
  <c r="DF340" i="16"/>
  <c r="DH340" i="16"/>
  <c r="DJ340" i="16"/>
  <c r="DL340" i="16"/>
  <c r="DN340" i="16"/>
  <c r="DP340" i="16"/>
  <c r="DR340" i="16"/>
  <c r="DT340" i="16"/>
  <c r="DV340" i="16"/>
  <c r="DX340" i="16"/>
  <c r="DZ340" i="16"/>
  <c r="EB340" i="16"/>
  <c r="ED340" i="16"/>
  <c r="EF340" i="16"/>
  <c r="EH340" i="16"/>
  <c r="EJ340" i="16"/>
  <c r="EL340" i="16"/>
  <c r="EN340" i="16"/>
  <c r="EP340" i="16"/>
  <c r="ER340" i="16"/>
  <c r="ET340" i="16"/>
  <c r="EV340" i="16"/>
  <c r="EX340" i="16"/>
  <c r="EZ340" i="16"/>
  <c r="FB340" i="16"/>
  <c r="FD340" i="16"/>
  <c r="FF340" i="16"/>
  <c r="FH340" i="16"/>
  <c r="FJ340" i="16"/>
  <c r="FL340" i="16"/>
  <c r="FN340" i="16"/>
  <c r="FP340" i="16"/>
  <c r="FR340" i="16"/>
  <c r="FT340" i="16"/>
  <c r="FV340" i="16"/>
  <c r="FX340" i="16"/>
  <c r="FZ340" i="16"/>
  <c r="GB340" i="16"/>
  <c r="GD340" i="16"/>
  <c r="CY340" i="16"/>
  <c r="DA340" i="16"/>
  <c r="DC340" i="16"/>
  <c r="DE340" i="16"/>
  <c r="DG340" i="16"/>
  <c r="DI340" i="16"/>
  <c r="DK340" i="16"/>
  <c r="DM340" i="16"/>
  <c r="DO340" i="16"/>
  <c r="DQ340" i="16"/>
  <c r="DS340" i="16"/>
  <c r="DU340" i="16"/>
  <c r="DW340" i="16"/>
  <c r="DY340" i="16"/>
  <c r="EA340" i="16"/>
  <c r="EC340" i="16"/>
  <c r="EE340" i="16"/>
  <c r="EG340" i="16"/>
  <c r="EI340" i="16"/>
  <c r="EK340" i="16"/>
  <c r="EM340" i="16"/>
  <c r="EO340" i="16"/>
  <c r="EQ340" i="16"/>
  <c r="ES340" i="16"/>
  <c r="EU340" i="16"/>
  <c r="EW340" i="16"/>
  <c r="EY340" i="16"/>
  <c r="FA340" i="16"/>
  <c r="FC340" i="16"/>
  <c r="FE340" i="16"/>
  <c r="FG340" i="16"/>
  <c r="FI340" i="16"/>
  <c r="FK340" i="16"/>
  <c r="FM340" i="16"/>
  <c r="FO340" i="16"/>
  <c r="FQ340" i="16"/>
  <c r="FS340" i="16"/>
  <c r="FU340" i="16"/>
  <c r="FW340" i="16"/>
  <c r="FY340" i="16"/>
  <c r="GA340" i="16"/>
  <c r="GC340" i="16"/>
  <c r="CY343" i="16"/>
  <c r="DA343" i="16"/>
  <c r="DC343" i="16"/>
  <c r="DE343" i="16"/>
  <c r="DG343" i="16"/>
  <c r="DI343" i="16"/>
  <c r="DK343" i="16"/>
  <c r="DM343" i="16"/>
  <c r="DO343" i="16"/>
  <c r="DQ343" i="16"/>
  <c r="DS343" i="16"/>
  <c r="DU343" i="16"/>
  <c r="DW343" i="16"/>
  <c r="DY343" i="16"/>
  <c r="EA343" i="16"/>
  <c r="EC343" i="16"/>
  <c r="EE343" i="16"/>
  <c r="EG343" i="16"/>
  <c r="EI343" i="16"/>
  <c r="EK343" i="16"/>
  <c r="EM343" i="16"/>
  <c r="EO343" i="16"/>
  <c r="EQ343" i="16"/>
  <c r="ES343" i="16"/>
  <c r="EU343" i="16"/>
  <c r="EW343" i="16"/>
  <c r="EY343" i="16"/>
  <c r="FA343" i="16"/>
  <c r="FC343" i="16"/>
  <c r="FE343" i="16"/>
  <c r="FG343" i="16"/>
  <c r="FI343" i="16"/>
  <c r="FK343" i="16"/>
  <c r="FM343" i="16"/>
  <c r="FO343" i="16"/>
  <c r="FQ343" i="16"/>
  <c r="FS343" i="16"/>
  <c r="FU343" i="16"/>
  <c r="FW343" i="16"/>
  <c r="FY343" i="16"/>
  <c r="GA343" i="16"/>
  <c r="GC343" i="16"/>
  <c r="CZ343" i="16"/>
  <c r="DB343" i="16"/>
  <c r="DD343" i="16"/>
  <c r="DF343" i="16"/>
  <c r="DH343" i="16"/>
  <c r="DJ343" i="16"/>
  <c r="DL343" i="16"/>
  <c r="DN343" i="16"/>
  <c r="DP343" i="16"/>
  <c r="DR343" i="16"/>
  <c r="DT343" i="16"/>
  <c r="DV343" i="16"/>
  <c r="DX343" i="16"/>
  <c r="DZ343" i="16"/>
  <c r="EB343" i="16"/>
  <c r="ED343" i="16"/>
  <c r="EF343" i="16"/>
  <c r="EH343" i="16"/>
  <c r="EJ343" i="16"/>
  <c r="EL343" i="16"/>
  <c r="EN343" i="16"/>
  <c r="EP343" i="16"/>
  <c r="ER343" i="16"/>
  <c r="ET343" i="16"/>
  <c r="EV343" i="16"/>
  <c r="EX343" i="16"/>
  <c r="EZ343" i="16"/>
  <c r="FB343" i="16"/>
  <c r="FD343" i="16"/>
  <c r="FF343" i="16"/>
  <c r="FH343" i="16"/>
  <c r="FJ343" i="16"/>
  <c r="FL343" i="16"/>
  <c r="FN343" i="16"/>
  <c r="FP343" i="16"/>
  <c r="FR343" i="16"/>
  <c r="FT343" i="16"/>
  <c r="FV343" i="16"/>
  <c r="FX343" i="16"/>
  <c r="FZ343" i="16"/>
  <c r="GB343" i="16"/>
  <c r="GD343" i="16"/>
  <c r="CZ344" i="16"/>
  <c r="DB344" i="16"/>
  <c r="DD344" i="16"/>
  <c r="DF344" i="16"/>
  <c r="DH344" i="16"/>
  <c r="DJ344" i="16"/>
  <c r="DL344" i="16"/>
  <c r="DN344" i="16"/>
  <c r="DP344" i="16"/>
  <c r="DR344" i="16"/>
  <c r="DT344" i="16"/>
  <c r="DV344" i="16"/>
  <c r="DX344" i="16"/>
  <c r="DZ344" i="16"/>
  <c r="EB344" i="16"/>
  <c r="ED344" i="16"/>
  <c r="EF344" i="16"/>
  <c r="EH344" i="16"/>
  <c r="EJ344" i="16"/>
  <c r="EL344" i="16"/>
  <c r="EN344" i="16"/>
  <c r="EP344" i="16"/>
  <c r="ER344" i="16"/>
  <c r="ET344" i="16"/>
  <c r="EV344" i="16"/>
  <c r="EX344" i="16"/>
  <c r="EZ344" i="16"/>
  <c r="FB344" i="16"/>
  <c r="FD344" i="16"/>
  <c r="FF344" i="16"/>
  <c r="FH344" i="16"/>
  <c r="FJ344" i="16"/>
  <c r="FL344" i="16"/>
  <c r="FN344" i="16"/>
  <c r="FP344" i="16"/>
  <c r="FR344" i="16"/>
  <c r="FT344" i="16"/>
  <c r="FV344" i="16"/>
  <c r="FX344" i="16"/>
  <c r="FZ344" i="16"/>
  <c r="GB344" i="16"/>
  <c r="GD344" i="16"/>
  <c r="CY344" i="16"/>
  <c r="DA344" i="16"/>
  <c r="DC344" i="16"/>
  <c r="DE344" i="16"/>
  <c r="DG344" i="16"/>
  <c r="DI344" i="16"/>
  <c r="DK344" i="16"/>
  <c r="DM344" i="16"/>
  <c r="DO344" i="16"/>
  <c r="DQ344" i="16"/>
  <c r="DS344" i="16"/>
  <c r="DU344" i="16"/>
  <c r="DW344" i="16"/>
  <c r="DY344" i="16"/>
  <c r="EA344" i="16"/>
  <c r="EC344" i="16"/>
  <c r="EE344" i="16"/>
  <c r="EG344" i="16"/>
  <c r="EI344" i="16"/>
  <c r="EK344" i="16"/>
  <c r="EM344" i="16"/>
  <c r="EO344" i="16"/>
  <c r="EQ344" i="16"/>
  <c r="ES344" i="16"/>
  <c r="EU344" i="16"/>
  <c r="EW344" i="16"/>
  <c r="EY344" i="16"/>
  <c r="FA344" i="16"/>
  <c r="FC344" i="16"/>
  <c r="FE344" i="16"/>
  <c r="FG344" i="16"/>
  <c r="FI344" i="16"/>
  <c r="FK344" i="16"/>
  <c r="FM344" i="16"/>
  <c r="FO344" i="16"/>
  <c r="FQ344" i="16"/>
  <c r="FS344" i="16"/>
  <c r="FU344" i="16"/>
  <c r="FW344" i="16"/>
  <c r="FY344" i="16"/>
  <c r="GA344" i="16"/>
  <c r="GC344" i="16"/>
  <c r="CZ346" i="16"/>
  <c r="DB346" i="16"/>
  <c r="DD346" i="16"/>
  <c r="DF346" i="16"/>
  <c r="DH346" i="16"/>
  <c r="DJ346" i="16"/>
  <c r="DL346" i="16"/>
  <c r="DN346" i="16"/>
  <c r="DP346" i="16"/>
  <c r="DR346" i="16"/>
  <c r="DT346" i="16"/>
  <c r="DV346" i="16"/>
  <c r="DX346" i="16"/>
  <c r="DZ346" i="16"/>
  <c r="EB346" i="16"/>
  <c r="ED346" i="16"/>
  <c r="EF346" i="16"/>
  <c r="EH346" i="16"/>
  <c r="EJ346" i="16"/>
  <c r="EL346" i="16"/>
  <c r="EN346" i="16"/>
  <c r="EP346" i="16"/>
  <c r="ER346" i="16"/>
  <c r="ET346" i="16"/>
  <c r="EV346" i="16"/>
  <c r="EX346" i="16"/>
  <c r="EZ346" i="16"/>
  <c r="FB346" i="16"/>
  <c r="FD346" i="16"/>
  <c r="FF346" i="16"/>
  <c r="FH346" i="16"/>
  <c r="FJ346" i="16"/>
  <c r="FL346" i="16"/>
  <c r="FN346" i="16"/>
  <c r="FP346" i="16"/>
  <c r="FR346" i="16"/>
  <c r="FT346" i="16"/>
  <c r="FV346" i="16"/>
  <c r="FX346" i="16"/>
  <c r="FZ346" i="16"/>
  <c r="GB346" i="16"/>
  <c r="GD346" i="16"/>
  <c r="CY346" i="16"/>
  <c r="DA346" i="16"/>
  <c r="DC346" i="16"/>
  <c r="DE346" i="16"/>
  <c r="DG346" i="16"/>
  <c r="DI346" i="16"/>
  <c r="DK346" i="16"/>
  <c r="DM346" i="16"/>
  <c r="DO346" i="16"/>
  <c r="DQ346" i="16"/>
  <c r="DS346" i="16"/>
  <c r="DU346" i="16"/>
  <c r="DW346" i="16"/>
  <c r="DY346" i="16"/>
  <c r="EA346" i="16"/>
  <c r="EC346" i="16"/>
  <c r="EE346" i="16"/>
  <c r="EG346" i="16"/>
  <c r="EI346" i="16"/>
  <c r="EK346" i="16"/>
  <c r="EM346" i="16"/>
  <c r="EO346" i="16"/>
  <c r="EQ346" i="16"/>
  <c r="ES346" i="16"/>
  <c r="EU346" i="16"/>
  <c r="EW346" i="16"/>
  <c r="EY346" i="16"/>
  <c r="FA346" i="16"/>
  <c r="FC346" i="16"/>
  <c r="FE346" i="16"/>
  <c r="FG346" i="16"/>
  <c r="FI346" i="16"/>
  <c r="FK346" i="16"/>
  <c r="FM346" i="16"/>
  <c r="FO346" i="16"/>
  <c r="FQ346" i="16"/>
  <c r="FS346" i="16"/>
  <c r="FU346" i="16"/>
  <c r="FW346" i="16"/>
  <c r="FY346" i="16"/>
  <c r="GA346" i="16"/>
  <c r="GC346" i="16"/>
  <c r="CZ348" i="16"/>
  <c r="DB348" i="16"/>
  <c r="DD348" i="16"/>
  <c r="DF348" i="16"/>
  <c r="DH348" i="16"/>
  <c r="DJ348" i="16"/>
  <c r="DL348" i="16"/>
  <c r="DN348" i="16"/>
  <c r="DP348" i="16"/>
  <c r="DR348" i="16"/>
  <c r="DT348" i="16"/>
  <c r="DV348" i="16"/>
  <c r="DX348" i="16"/>
  <c r="DZ348" i="16"/>
  <c r="EB348" i="16"/>
  <c r="ED348" i="16"/>
  <c r="EF348" i="16"/>
  <c r="EH348" i="16"/>
  <c r="EJ348" i="16"/>
  <c r="EL348" i="16"/>
  <c r="EN348" i="16"/>
  <c r="EP348" i="16"/>
  <c r="ER348" i="16"/>
  <c r="ET348" i="16"/>
  <c r="EV348" i="16"/>
  <c r="EX348" i="16"/>
  <c r="EZ348" i="16"/>
  <c r="FB348" i="16"/>
  <c r="FD348" i="16"/>
  <c r="FF348" i="16"/>
  <c r="FH348" i="16"/>
  <c r="FJ348" i="16"/>
  <c r="FL348" i="16"/>
  <c r="FN348" i="16"/>
  <c r="FP348" i="16"/>
  <c r="FR348" i="16"/>
  <c r="FT348" i="16"/>
  <c r="FV348" i="16"/>
  <c r="FX348" i="16"/>
  <c r="FZ348" i="16"/>
  <c r="GB348" i="16"/>
  <c r="GD348" i="16"/>
  <c r="CY348" i="16"/>
  <c r="DA348" i="16"/>
  <c r="DC348" i="16"/>
  <c r="DE348" i="16"/>
  <c r="DG348" i="16"/>
  <c r="DI348" i="16"/>
  <c r="DK348" i="16"/>
  <c r="DM348" i="16"/>
  <c r="DO348" i="16"/>
  <c r="DQ348" i="16"/>
  <c r="DS348" i="16"/>
  <c r="DU348" i="16"/>
  <c r="DW348" i="16"/>
  <c r="DY348" i="16"/>
  <c r="EA348" i="16"/>
  <c r="EC348" i="16"/>
  <c r="EE348" i="16"/>
  <c r="EG348" i="16"/>
  <c r="EI348" i="16"/>
  <c r="EK348" i="16"/>
  <c r="EM348" i="16"/>
  <c r="EO348" i="16"/>
  <c r="EQ348" i="16"/>
  <c r="ES348" i="16"/>
  <c r="EU348" i="16"/>
  <c r="EW348" i="16"/>
  <c r="EY348" i="16"/>
  <c r="FA348" i="16"/>
  <c r="FC348" i="16"/>
  <c r="FE348" i="16"/>
  <c r="FG348" i="16"/>
  <c r="FI348" i="16"/>
  <c r="FK348" i="16"/>
  <c r="FM348" i="16"/>
  <c r="FO348" i="16"/>
  <c r="FQ348" i="16"/>
  <c r="FS348" i="16"/>
  <c r="FU348" i="16"/>
  <c r="FW348" i="16"/>
  <c r="FY348" i="16"/>
  <c r="GA348" i="16"/>
  <c r="GC348" i="16"/>
  <c r="CY349" i="16"/>
  <c r="DA349" i="16"/>
  <c r="DC349" i="16"/>
  <c r="DE349" i="16"/>
  <c r="DG349" i="16"/>
  <c r="DI349" i="16"/>
  <c r="DK349" i="16"/>
  <c r="DM349" i="16"/>
  <c r="DO349" i="16"/>
  <c r="DQ349" i="16"/>
  <c r="DS349" i="16"/>
  <c r="DU349" i="16"/>
  <c r="DW349" i="16"/>
  <c r="DY349" i="16"/>
  <c r="EA349" i="16"/>
  <c r="EC349" i="16"/>
  <c r="EE349" i="16"/>
  <c r="EG349" i="16"/>
  <c r="EI349" i="16"/>
  <c r="EK349" i="16"/>
  <c r="EM349" i="16"/>
  <c r="EO349" i="16"/>
  <c r="EQ349" i="16"/>
  <c r="ES349" i="16"/>
  <c r="EU349" i="16"/>
  <c r="EW349" i="16"/>
  <c r="EY349" i="16"/>
  <c r="FA349" i="16"/>
  <c r="FC349" i="16"/>
  <c r="FE349" i="16"/>
  <c r="FG349" i="16"/>
  <c r="FI349" i="16"/>
  <c r="FK349" i="16"/>
  <c r="FM349" i="16"/>
  <c r="FO349" i="16"/>
  <c r="FQ349" i="16"/>
  <c r="FS349" i="16"/>
  <c r="FU349" i="16"/>
  <c r="FW349" i="16"/>
  <c r="FY349" i="16"/>
  <c r="GA349" i="16"/>
  <c r="GC349" i="16"/>
  <c r="CZ349" i="16"/>
  <c r="DB349" i="16"/>
  <c r="DD349" i="16"/>
  <c r="DF349" i="16"/>
  <c r="DH349" i="16"/>
  <c r="DJ349" i="16"/>
  <c r="DL349" i="16"/>
  <c r="DN349" i="16"/>
  <c r="DP349" i="16"/>
  <c r="DR349" i="16"/>
  <c r="DT349" i="16"/>
  <c r="DV349" i="16"/>
  <c r="DX349" i="16"/>
  <c r="DZ349" i="16"/>
  <c r="EB349" i="16"/>
  <c r="ED349" i="16"/>
  <c r="EF349" i="16"/>
  <c r="EH349" i="16"/>
  <c r="EJ349" i="16"/>
  <c r="EL349" i="16"/>
  <c r="EN349" i="16"/>
  <c r="EP349" i="16"/>
  <c r="ER349" i="16"/>
  <c r="ET349" i="16"/>
  <c r="EV349" i="16"/>
  <c r="EX349" i="16"/>
  <c r="EZ349" i="16"/>
  <c r="FB349" i="16"/>
  <c r="FD349" i="16"/>
  <c r="FF349" i="16"/>
  <c r="FH349" i="16"/>
  <c r="FJ349" i="16"/>
  <c r="FL349" i="16"/>
  <c r="FN349" i="16"/>
  <c r="FP349" i="16"/>
  <c r="FR349" i="16"/>
  <c r="FT349" i="16"/>
  <c r="FV349" i="16"/>
  <c r="FX349" i="16"/>
  <c r="FZ349" i="16"/>
  <c r="GB349" i="16"/>
  <c r="GD349" i="16"/>
  <c r="CY351" i="16"/>
  <c r="DA351" i="16"/>
  <c r="DC351" i="16"/>
  <c r="DE351" i="16"/>
  <c r="DG351" i="16"/>
  <c r="DI351" i="16"/>
  <c r="DK351" i="16"/>
  <c r="DM351" i="16"/>
  <c r="DO351" i="16"/>
  <c r="DQ351" i="16"/>
  <c r="DS351" i="16"/>
  <c r="DU351" i="16"/>
  <c r="DW351" i="16"/>
  <c r="DY351" i="16"/>
  <c r="EA351" i="16"/>
  <c r="EC351" i="16"/>
  <c r="EE351" i="16"/>
  <c r="EG351" i="16"/>
  <c r="EI351" i="16"/>
  <c r="EK351" i="16"/>
  <c r="EM351" i="16"/>
  <c r="EO351" i="16"/>
  <c r="EQ351" i="16"/>
  <c r="ES351" i="16"/>
  <c r="EU351" i="16"/>
  <c r="EW351" i="16"/>
  <c r="EY351" i="16"/>
  <c r="FA351" i="16"/>
  <c r="FC351" i="16"/>
  <c r="FE351" i="16"/>
  <c r="FG351" i="16"/>
  <c r="FI351" i="16"/>
  <c r="FK351" i="16"/>
  <c r="FM351" i="16"/>
  <c r="FO351" i="16"/>
  <c r="FQ351" i="16"/>
  <c r="FS351" i="16"/>
  <c r="FU351" i="16"/>
  <c r="FW351" i="16"/>
  <c r="FY351" i="16"/>
  <c r="GA351" i="16"/>
  <c r="GC351" i="16"/>
  <c r="CZ351" i="16"/>
  <c r="DB351" i="16"/>
  <c r="DD351" i="16"/>
  <c r="DF351" i="16"/>
  <c r="DH351" i="16"/>
  <c r="DJ351" i="16"/>
  <c r="DL351" i="16"/>
  <c r="DN351" i="16"/>
  <c r="DP351" i="16"/>
  <c r="DR351" i="16"/>
  <c r="DT351" i="16"/>
  <c r="DV351" i="16"/>
  <c r="DX351" i="16"/>
  <c r="DZ351" i="16"/>
  <c r="EB351" i="16"/>
  <c r="ED351" i="16"/>
  <c r="EF351" i="16"/>
  <c r="EH351" i="16"/>
  <c r="EJ351" i="16"/>
  <c r="EL351" i="16"/>
  <c r="EN351" i="16"/>
  <c r="EP351" i="16"/>
  <c r="ER351" i="16"/>
  <c r="ET351" i="16"/>
  <c r="EV351" i="16"/>
  <c r="EX351" i="16"/>
  <c r="EZ351" i="16"/>
  <c r="FB351" i="16"/>
  <c r="FD351" i="16"/>
  <c r="FF351" i="16"/>
  <c r="FH351" i="16"/>
  <c r="FJ351" i="16"/>
  <c r="FL351" i="16"/>
  <c r="FN351" i="16"/>
  <c r="FP351" i="16"/>
  <c r="FR351" i="16"/>
  <c r="FT351" i="16"/>
  <c r="FV351" i="16"/>
  <c r="FX351" i="16"/>
  <c r="FZ351" i="16"/>
  <c r="GB351" i="16"/>
  <c r="GD351" i="16"/>
  <c r="CY353" i="16"/>
  <c r="DA353" i="16"/>
  <c r="DC353" i="16"/>
  <c r="DE353" i="16"/>
  <c r="DG353" i="16"/>
  <c r="DI353" i="16"/>
  <c r="DK353" i="16"/>
  <c r="DM353" i="16"/>
  <c r="DO353" i="16"/>
  <c r="DQ353" i="16"/>
  <c r="DS353" i="16"/>
  <c r="DU353" i="16"/>
  <c r="DW353" i="16"/>
  <c r="DY353" i="16"/>
  <c r="EA353" i="16"/>
  <c r="EC353" i="16"/>
  <c r="EE353" i="16"/>
  <c r="EG353" i="16"/>
  <c r="EI353" i="16"/>
  <c r="EK353" i="16"/>
  <c r="EM353" i="16"/>
  <c r="EO353" i="16"/>
  <c r="EQ353" i="16"/>
  <c r="ES353" i="16"/>
  <c r="EU353" i="16"/>
  <c r="EW353" i="16"/>
  <c r="EY353" i="16"/>
  <c r="FA353" i="16"/>
  <c r="FC353" i="16"/>
  <c r="FE353" i="16"/>
  <c r="FG353" i="16"/>
  <c r="FI353" i="16"/>
  <c r="FK353" i="16"/>
  <c r="FM353" i="16"/>
  <c r="FO353" i="16"/>
  <c r="FQ353" i="16"/>
  <c r="FS353" i="16"/>
  <c r="FU353" i="16"/>
  <c r="FW353" i="16"/>
  <c r="FY353" i="16"/>
  <c r="GA353" i="16"/>
  <c r="GC353" i="16"/>
  <c r="CZ353" i="16"/>
  <c r="DB353" i="16"/>
  <c r="DD353" i="16"/>
  <c r="DF353" i="16"/>
  <c r="DH353" i="16"/>
  <c r="DJ353" i="16"/>
  <c r="DL353" i="16"/>
  <c r="DN353" i="16"/>
  <c r="DP353" i="16"/>
  <c r="DR353" i="16"/>
  <c r="DT353" i="16"/>
  <c r="DV353" i="16"/>
  <c r="DX353" i="16"/>
  <c r="DZ353" i="16"/>
  <c r="EB353" i="16"/>
  <c r="ED353" i="16"/>
  <c r="EF353" i="16"/>
  <c r="EH353" i="16"/>
  <c r="EJ353" i="16"/>
  <c r="EL353" i="16"/>
  <c r="EN353" i="16"/>
  <c r="EP353" i="16"/>
  <c r="ER353" i="16"/>
  <c r="ET353" i="16"/>
  <c r="EV353" i="16"/>
  <c r="EX353" i="16"/>
  <c r="EZ353" i="16"/>
  <c r="FB353" i="16"/>
  <c r="FD353" i="16"/>
  <c r="FF353" i="16"/>
  <c r="FH353" i="16"/>
  <c r="FJ353" i="16"/>
  <c r="FL353" i="16"/>
  <c r="FN353" i="16"/>
  <c r="FP353" i="16"/>
  <c r="FR353" i="16"/>
  <c r="FT353" i="16"/>
  <c r="FV353" i="16"/>
  <c r="FX353" i="16"/>
  <c r="FZ353" i="16"/>
  <c r="GB353" i="16"/>
  <c r="GD353" i="16"/>
  <c r="CY355" i="16"/>
  <c r="DA355" i="16"/>
  <c r="DC355" i="16"/>
  <c r="DE355" i="16"/>
  <c r="DG355" i="16"/>
  <c r="DI355" i="16"/>
  <c r="DK355" i="16"/>
  <c r="DM355" i="16"/>
  <c r="DO355" i="16"/>
  <c r="DQ355" i="16"/>
  <c r="DS355" i="16"/>
  <c r="DU355" i="16"/>
  <c r="DW355" i="16"/>
  <c r="DY355" i="16"/>
  <c r="EA355" i="16"/>
  <c r="EC355" i="16"/>
  <c r="EE355" i="16"/>
  <c r="EG355" i="16"/>
  <c r="EI355" i="16"/>
  <c r="EK355" i="16"/>
  <c r="EM355" i="16"/>
  <c r="EO355" i="16"/>
  <c r="EQ355" i="16"/>
  <c r="ES355" i="16"/>
  <c r="EU355" i="16"/>
  <c r="EW355" i="16"/>
  <c r="EY355" i="16"/>
  <c r="FA355" i="16"/>
  <c r="FC355" i="16"/>
  <c r="FE355" i="16"/>
  <c r="FG355" i="16"/>
  <c r="FI355" i="16"/>
  <c r="FK355" i="16"/>
  <c r="FM355" i="16"/>
  <c r="FO355" i="16"/>
  <c r="FQ355" i="16"/>
  <c r="FS355" i="16"/>
  <c r="FU355" i="16"/>
  <c r="FW355" i="16"/>
  <c r="FY355" i="16"/>
  <c r="GA355" i="16"/>
  <c r="GC355" i="16"/>
  <c r="CZ355" i="16"/>
  <c r="DB355" i="16"/>
  <c r="DD355" i="16"/>
  <c r="DF355" i="16"/>
  <c r="DH355" i="16"/>
  <c r="DJ355" i="16"/>
  <c r="DL355" i="16"/>
  <c r="DN355" i="16"/>
  <c r="DP355" i="16"/>
  <c r="DR355" i="16"/>
  <c r="DT355" i="16"/>
  <c r="DV355" i="16"/>
  <c r="DX355" i="16"/>
  <c r="DZ355" i="16"/>
  <c r="EB355" i="16"/>
  <c r="ED355" i="16"/>
  <c r="EF355" i="16"/>
  <c r="EH355" i="16"/>
  <c r="EJ355" i="16"/>
  <c r="EL355" i="16"/>
  <c r="EN355" i="16"/>
  <c r="EP355" i="16"/>
  <c r="ER355" i="16"/>
  <c r="ET355" i="16"/>
  <c r="EV355" i="16"/>
  <c r="EX355" i="16"/>
  <c r="EZ355" i="16"/>
  <c r="FB355" i="16"/>
  <c r="FD355" i="16"/>
  <c r="FF355" i="16"/>
  <c r="FH355" i="16"/>
  <c r="FJ355" i="16"/>
  <c r="FL355" i="16"/>
  <c r="FN355" i="16"/>
  <c r="FP355" i="16"/>
  <c r="FR355" i="16"/>
  <c r="FT355" i="16"/>
  <c r="FV355" i="16"/>
  <c r="FX355" i="16"/>
  <c r="FZ355" i="16"/>
  <c r="GB355" i="16"/>
  <c r="GD355" i="16"/>
  <c r="CY357" i="16"/>
  <c r="DA357" i="16"/>
  <c r="DC357" i="16"/>
  <c r="DE357" i="16"/>
  <c r="DG357" i="16"/>
  <c r="DI357" i="16"/>
  <c r="DK357" i="16"/>
  <c r="DM357" i="16"/>
  <c r="DO357" i="16"/>
  <c r="DQ357" i="16"/>
  <c r="DS357" i="16"/>
  <c r="DU357" i="16"/>
  <c r="DW357" i="16"/>
  <c r="DY357" i="16"/>
  <c r="EA357" i="16"/>
  <c r="EC357" i="16"/>
  <c r="EE357" i="16"/>
  <c r="EG357" i="16"/>
  <c r="EI357" i="16"/>
  <c r="EK357" i="16"/>
  <c r="EM357" i="16"/>
  <c r="EO357" i="16"/>
  <c r="EQ357" i="16"/>
  <c r="ES357" i="16"/>
  <c r="EU357" i="16"/>
  <c r="EW357" i="16"/>
  <c r="EY357" i="16"/>
  <c r="FA357" i="16"/>
  <c r="FC357" i="16"/>
  <c r="FE357" i="16"/>
  <c r="FG357" i="16"/>
  <c r="FI357" i="16"/>
  <c r="FK357" i="16"/>
  <c r="FM357" i="16"/>
  <c r="FO357" i="16"/>
  <c r="FQ357" i="16"/>
  <c r="FS357" i="16"/>
  <c r="FU357" i="16"/>
  <c r="FW357" i="16"/>
  <c r="FY357" i="16"/>
  <c r="GA357" i="16"/>
  <c r="GC357" i="16"/>
  <c r="CZ357" i="16"/>
  <c r="DB357" i="16"/>
  <c r="DD357" i="16"/>
  <c r="DF357" i="16"/>
  <c r="DH357" i="16"/>
  <c r="DJ357" i="16"/>
  <c r="DL357" i="16"/>
  <c r="DN357" i="16"/>
  <c r="DP357" i="16"/>
  <c r="DR357" i="16"/>
  <c r="DT357" i="16"/>
  <c r="DV357" i="16"/>
  <c r="DX357" i="16"/>
  <c r="DZ357" i="16"/>
  <c r="EB357" i="16"/>
  <c r="ED357" i="16"/>
  <c r="EF357" i="16"/>
  <c r="EH357" i="16"/>
  <c r="EJ357" i="16"/>
  <c r="EL357" i="16"/>
  <c r="EN357" i="16"/>
  <c r="EP357" i="16"/>
  <c r="ER357" i="16"/>
  <c r="ET357" i="16"/>
  <c r="EV357" i="16"/>
  <c r="EX357" i="16"/>
  <c r="EZ357" i="16"/>
  <c r="FB357" i="16"/>
  <c r="FD357" i="16"/>
  <c r="FF357" i="16"/>
  <c r="FH357" i="16"/>
  <c r="FJ357" i="16"/>
  <c r="FL357" i="16"/>
  <c r="FN357" i="16"/>
  <c r="FP357" i="16"/>
  <c r="FR357" i="16"/>
  <c r="FT357" i="16"/>
  <c r="FV357" i="16"/>
  <c r="FX357" i="16"/>
  <c r="FZ357" i="16"/>
  <c r="GB357" i="16"/>
  <c r="GD357" i="16"/>
  <c r="CY359" i="16"/>
  <c r="DA359" i="16"/>
  <c r="DC359" i="16"/>
  <c r="DE359" i="16"/>
  <c r="DG359" i="16"/>
  <c r="DI359" i="16"/>
  <c r="DK359" i="16"/>
  <c r="DM359" i="16"/>
  <c r="DO359" i="16"/>
  <c r="DQ359" i="16"/>
  <c r="DS359" i="16"/>
  <c r="DU359" i="16"/>
  <c r="DW359" i="16"/>
  <c r="DY359" i="16"/>
  <c r="EA359" i="16"/>
  <c r="EC359" i="16"/>
  <c r="EE359" i="16"/>
  <c r="EG359" i="16"/>
  <c r="EI359" i="16"/>
  <c r="EK359" i="16"/>
  <c r="EM359" i="16"/>
  <c r="EO359" i="16"/>
  <c r="EQ359" i="16"/>
  <c r="ES359" i="16"/>
  <c r="EU359" i="16"/>
  <c r="EW359" i="16"/>
  <c r="EY359" i="16"/>
  <c r="FA359" i="16"/>
  <c r="FC359" i="16"/>
  <c r="FE359" i="16"/>
  <c r="FG359" i="16"/>
  <c r="FI359" i="16"/>
  <c r="FK359" i="16"/>
  <c r="FM359" i="16"/>
  <c r="FO359" i="16"/>
  <c r="FQ359" i="16"/>
  <c r="FS359" i="16"/>
  <c r="FU359" i="16"/>
  <c r="FW359" i="16"/>
  <c r="FY359" i="16"/>
  <c r="GA359" i="16"/>
  <c r="GC359" i="16"/>
  <c r="CZ359" i="16"/>
  <c r="DB359" i="16"/>
  <c r="DD359" i="16"/>
  <c r="DF359" i="16"/>
  <c r="DH359" i="16"/>
  <c r="DJ359" i="16"/>
  <c r="DL359" i="16"/>
  <c r="DN359" i="16"/>
  <c r="DP359" i="16"/>
  <c r="DR359" i="16"/>
  <c r="DT359" i="16"/>
  <c r="DV359" i="16"/>
  <c r="DX359" i="16"/>
  <c r="DZ359" i="16"/>
  <c r="EB359" i="16"/>
  <c r="ED359" i="16"/>
  <c r="EF359" i="16"/>
  <c r="EH359" i="16"/>
  <c r="EJ359" i="16"/>
  <c r="EL359" i="16"/>
  <c r="EN359" i="16"/>
  <c r="EP359" i="16"/>
  <c r="ER359" i="16"/>
  <c r="ET359" i="16"/>
  <c r="EV359" i="16"/>
  <c r="EX359" i="16"/>
  <c r="EZ359" i="16"/>
  <c r="FB359" i="16"/>
  <c r="FD359" i="16"/>
  <c r="FF359" i="16"/>
  <c r="FH359" i="16"/>
  <c r="FJ359" i="16"/>
  <c r="FL359" i="16"/>
  <c r="FN359" i="16"/>
  <c r="FP359" i="16"/>
  <c r="FR359" i="16"/>
  <c r="FT359" i="16"/>
  <c r="FV359" i="16"/>
  <c r="FX359" i="16"/>
  <c r="FZ359" i="16"/>
  <c r="GB359" i="16"/>
  <c r="GD359" i="16"/>
  <c r="CY361" i="16"/>
  <c r="DA361" i="16"/>
  <c r="DC361" i="16"/>
  <c r="DE361" i="16"/>
  <c r="DG361" i="16"/>
  <c r="DI361" i="16"/>
  <c r="DK361" i="16"/>
  <c r="DM361" i="16"/>
  <c r="DO361" i="16"/>
  <c r="DQ361" i="16"/>
  <c r="DS361" i="16"/>
  <c r="DU361" i="16"/>
  <c r="DW361" i="16"/>
  <c r="DY361" i="16"/>
  <c r="EA361" i="16"/>
  <c r="EC361" i="16"/>
  <c r="EE361" i="16"/>
  <c r="EG361" i="16"/>
  <c r="EI361" i="16"/>
  <c r="EK361" i="16"/>
  <c r="EM361" i="16"/>
  <c r="EO361" i="16"/>
  <c r="EQ361" i="16"/>
  <c r="ES361" i="16"/>
  <c r="EU361" i="16"/>
  <c r="EW361" i="16"/>
  <c r="EY361" i="16"/>
  <c r="FA361" i="16"/>
  <c r="FC361" i="16"/>
  <c r="FE361" i="16"/>
  <c r="FG361" i="16"/>
  <c r="FI361" i="16"/>
  <c r="FK361" i="16"/>
  <c r="FM361" i="16"/>
  <c r="FO361" i="16"/>
  <c r="FQ361" i="16"/>
  <c r="FS361" i="16"/>
  <c r="FU361" i="16"/>
  <c r="FW361" i="16"/>
  <c r="FY361" i="16"/>
  <c r="GA361" i="16"/>
  <c r="GC361" i="16"/>
  <c r="CZ361" i="16"/>
  <c r="DB361" i="16"/>
  <c r="DD361" i="16"/>
  <c r="DF361" i="16"/>
  <c r="DH361" i="16"/>
  <c r="DJ361" i="16"/>
  <c r="DL361" i="16"/>
  <c r="DN361" i="16"/>
  <c r="DP361" i="16"/>
  <c r="DR361" i="16"/>
  <c r="DT361" i="16"/>
  <c r="DV361" i="16"/>
  <c r="DX361" i="16"/>
  <c r="DZ361" i="16"/>
  <c r="EB361" i="16"/>
  <c r="ED361" i="16"/>
  <c r="EF361" i="16"/>
  <c r="EH361" i="16"/>
  <c r="EJ361" i="16"/>
  <c r="EL361" i="16"/>
  <c r="EN361" i="16"/>
  <c r="EP361" i="16"/>
  <c r="ER361" i="16"/>
  <c r="ET361" i="16"/>
  <c r="EV361" i="16"/>
  <c r="EX361" i="16"/>
  <c r="EZ361" i="16"/>
  <c r="FB361" i="16"/>
  <c r="FD361" i="16"/>
  <c r="FF361" i="16"/>
  <c r="FH361" i="16"/>
  <c r="FJ361" i="16"/>
  <c r="FL361" i="16"/>
  <c r="FN361" i="16"/>
  <c r="FP361" i="16"/>
  <c r="FR361" i="16"/>
  <c r="FT361" i="16"/>
  <c r="FV361" i="16"/>
  <c r="FX361" i="16"/>
  <c r="FZ361" i="16"/>
  <c r="GB361" i="16"/>
  <c r="GD361" i="16"/>
  <c r="CZ362" i="16"/>
  <c r="DB362" i="16"/>
  <c r="DD362" i="16"/>
  <c r="DF362" i="16"/>
  <c r="DH362" i="16"/>
  <c r="DJ362" i="16"/>
  <c r="DL362" i="16"/>
  <c r="DN362" i="16"/>
  <c r="DP362" i="16"/>
  <c r="DR362" i="16"/>
  <c r="DT362" i="16"/>
  <c r="DV362" i="16"/>
  <c r="DX362" i="16"/>
  <c r="DZ362" i="16"/>
  <c r="EB362" i="16"/>
  <c r="ED362" i="16"/>
  <c r="EF362" i="16"/>
  <c r="EH362" i="16"/>
  <c r="EJ362" i="16"/>
  <c r="EL362" i="16"/>
  <c r="EN362" i="16"/>
  <c r="EP362" i="16"/>
  <c r="ER362" i="16"/>
  <c r="ET362" i="16"/>
  <c r="EV362" i="16"/>
  <c r="EX362" i="16"/>
  <c r="EZ362" i="16"/>
  <c r="FB362" i="16"/>
  <c r="FD362" i="16"/>
  <c r="FF362" i="16"/>
  <c r="FH362" i="16"/>
  <c r="FJ362" i="16"/>
  <c r="FL362" i="16"/>
  <c r="FN362" i="16"/>
  <c r="FP362" i="16"/>
  <c r="FR362" i="16"/>
  <c r="FT362" i="16"/>
  <c r="FV362" i="16"/>
  <c r="FX362" i="16"/>
  <c r="FZ362" i="16"/>
  <c r="GB362" i="16"/>
  <c r="GD362" i="16"/>
  <c r="CY362" i="16"/>
  <c r="DA362" i="16"/>
  <c r="DC362" i="16"/>
  <c r="DE362" i="16"/>
  <c r="DG362" i="16"/>
  <c r="DI362" i="16"/>
  <c r="DK362" i="16"/>
  <c r="DM362" i="16"/>
  <c r="DO362" i="16"/>
  <c r="DQ362" i="16"/>
  <c r="DS362" i="16"/>
  <c r="DU362" i="16"/>
  <c r="DW362" i="16"/>
  <c r="DY362" i="16"/>
  <c r="EA362" i="16"/>
  <c r="EC362" i="16"/>
  <c r="EE362" i="16"/>
  <c r="EG362" i="16"/>
  <c r="EI362" i="16"/>
  <c r="EK362" i="16"/>
  <c r="EM362" i="16"/>
  <c r="EO362" i="16"/>
  <c r="EQ362" i="16"/>
  <c r="ES362" i="16"/>
  <c r="EU362" i="16"/>
  <c r="EW362" i="16"/>
  <c r="EY362" i="16"/>
  <c r="FA362" i="16"/>
  <c r="FC362" i="16"/>
  <c r="FE362" i="16"/>
  <c r="FG362" i="16"/>
  <c r="FI362" i="16"/>
  <c r="FK362" i="16"/>
  <c r="FM362" i="16"/>
  <c r="FO362" i="16"/>
  <c r="FQ362" i="16"/>
  <c r="FS362" i="16"/>
  <c r="FU362" i="16"/>
  <c r="FW362" i="16"/>
  <c r="FY362" i="16"/>
  <c r="GA362" i="16"/>
  <c r="GC362" i="16"/>
  <c r="CY365" i="16"/>
  <c r="DA365" i="16"/>
  <c r="DC365" i="16"/>
  <c r="DE365" i="16"/>
  <c r="DG365" i="16"/>
  <c r="DI365" i="16"/>
  <c r="DK365" i="16"/>
  <c r="DM365" i="16"/>
  <c r="DO365" i="16"/>
  <c r="DQ365" i="16"/>
  <c r="DS365" i="16"/>
  <c r="DU365" i="16"/>
  <c r="DW365" i="16"/>
  <c r="DY365" i="16"/>
  <c r="EA365" i="16"/>
  <c r="EC365" i="16"/>
  <c r="EE365" i="16"/>
  <c r="EG365" i="16"/>
  <c r="EI365" i="16"/>
  <c r="EK365" i="16"/>
  <c r="EM365" i="16"/>
  <c r="EO365" i="16"/>
  <c r="EQ365" i="16"/>
  <c r="ES365" i="16"/>
  <c r="EU365" i="16"/>
  <c r="EW365" i="16"/>
  <c r="EY365" i="16"/>
  <c r="FA365" i="16"/>
  <c r="FC365" i="16"/>
  <c r="FE365" i="16"/>
  <c r="FG365" i="16"/>
  <c r="FI365" i="16"/>
  <c r="FK365" i="16"/>
  <c r="FM365" i="16"/>
  <c r="FO365" i="16"/>
  <c r="FQ365" i="16"/>
  <c r="FS365" i="16"/>
  <c r="FU365" i="16"/>
  <c r="FW365" i="16"/>
  <c r="FY365" i="16"/>
  <c r="GA365" i="16"/>
  <c r="GC365" i="16"/>
  <c r="CZ365" i="16"/>
  <c r="DB365" i="16"/>
  <c r="DD365" i="16"/>
  <c r="DF365" i="16"/>
  <c r="DH365" i="16"/>
  <c r="DJ365" i="16"/>
  <c r="DL365" i="16"/>
  <c r="DN365" i="16"/>
  <c r="DP365" i="16"/>
  <c r="DR365" i="16"/>
  <c r="DT365" i="16"/>
  <c r="DV365" i="16"/>
  <c r="DX365" i="16"/>
  <c r="DZ365" i="16"/>
  <c r="EB365" i="16"/>
  <c r="ED365" i="16"/>
  <c r="EF365" i="16"/>
  <c r="EH365" i="16"/>
  <c r="EJ365" i="16"/>
  <c r="EL365" i="16"/>
  <c r="EN365" i="16"/>
  <c r="EP365" i="16"/>
  <c r="ER365" i="16"/>
  <c r="ET365" i="16"/>
  <c r="EV365" i="16"/>
  <c r="EX365" i="16"/>
  <c r="EZ365" i="16"/>
  <c r="FB365" i="16"/>
  <c r="FD365" i="16"/>
  <c r="FF365" i="16"/>
  <c r="FH365" i="16"/>
  <c r="FJ365" i="16"/>
  <c r="FL365" i="16"/>
  <c r="FN365" i="16"/>
  <c r="FP365" i="16"/>
  <c r="FR365" i="16"/>
  <c r="FT365" i="16"/>
  <c r="FV365" i="16"/>
  <c r="FX365" i="16"/>
  <c r="FZ365" i="16"/>
  <c r="GB365" i="16"/>
  <c r="GD365" i="16"/>
  <c r="CY367" i="16"/>
  <c r="DA367" i="16"/>
  <c r="DC367" i="16"/>
  <c r="DE367" i="16"/>
  <c r="DG367" i="16"/>
  <c r="DI367" i="16"/>
  <c r="DK367" i="16"/>
  <c r="DM367" i="16"/>
  <c r="DO367" i="16"/>
  <c r="DQ367" i="16"/>
  <c r="DS367" i="16"/>
  <c r="DU367" i="16"/>
  <c r="DW367" i="16"/>
  <c r="DY367" i="16"/>
  <c r="EA367" i="16"/>
  <c r="EC367" i="16"/>
  <c r="EE367" i="16"/>
  <c r="EG367" i="16"/>
  <c r="EI367" i="16"/>
  <c r="EK367" i="16"/>
  <c r="EM367" i="16"/>
  <c r="EO367" i="16"/>
  <c r="EQ367" i="16"/>
  <c r="ES367" i="16"/>
  <c r="EU367" i="16"/>
  <c r="EW367" i="16"/>
  <c r="EY367" i="16"/>
  <c r="FA367" i="16"/>
  <c r="FC367" i="16"/>
  <c r="FE367" i="16"/>
  <c r="FG367" i="16"/>
  <c r="FI367" i="16"/>
  <c r="FK367" i="16"/>
  <c r="FM367" i="16"/>
  <c r="FO367" i="16"/>
  <c r="FQ367" i="16"/>
  <c r="FS367" i="16"/>
  <c r="FU367" i="16"/>
  <c r="FW367" i="16"/>
  <c r="FY367" i="16"/>
  <c r="GA367" i="16"/>
  <c r="GC367" i="16"/>
  <c r="CZ367" i="16"/>
  <c r="DB367" i="16"/>
  <c r="DD367" i="16"/>
  <c r="DF367" i="16"/>
  <c r="DH367" i="16"/>
  <c r="DJ367" i="16"/>
  <c r="DL367" i="16"/>
  <c r="DN367" i="16"/>
  <c r="DP367" i="16"/>
  <c r="DR367" i="16"/>
  <c r="DT367" i="16"/>
  <c r="DV367" i="16"/>
  <c r="DX367" i="16"/>
  <c r="DZ367" i="16"/>
  <c r="EB367" i="16"/>
  <c r="ED367" i="16"/>
  <c r="EF367" i="16"/>
  <c r="EH367" i="16"/>
  <c r="EJ367" i="16"/>
  <c r="EL367" i="16"/>
  <c r="EN367" i="16"/>
  <c r="EP367" i="16"/>
  <c r="ER367" i="16"/>
  <c r="ET367" i="16"/>
  <c r="EV367" i="16"/>
  <c r="EX367" i="16"/>
  <c r="EZ367" i="16"/>
  <c r="FB367" i="16"/>
  <c r="FD367" i="16"/>
  <c r="FF367" i="16"/>
  <c r="FH367" i="16"/>
  <c r="FJ367" i="16"/>
  <c r="FL367" i="16"/>
  <c r="FN367" i="16"/>
  <c r="FP367" i="16"/>
  <c r="FR367" i="16"/>
  <c r="FT367" i="16"/>
  <c r="FV367" i="16"/>
  <c r="FX367" i="16"/>
  <c r="FZ367" i="16"/>
  <c r="GB367" i="16"/>
  <c r="GD367" i="16"/>
  <c r="CY369" i="16"/>
  <c r="DA369" i="16"/>
  <c r="DC369" i="16"/>
  <c r="DE369" i="16"/>
  <c r="DG369" i="16"/>
  <c r="DI369" i="16"/>
  <c r="DK369" i="16"/>
  <c r="DM369" i="16"/>
  <c r="DO369" i="16"/>
  <c r="DQ369" i="16"/>
  <c r="DS369" i="16"/>
  <c r="DU369" i="16"/>
  <c r="DW369" i="16"/>
  <c r="DY369" i="16"/>
  <c r="EA369" i="16"/>
  <c r="EC369" i="16"/>
  <c r="EE369" i="16"/>
  <c r="EG369" i="16"/>
  <c r="EI369" i="16"/>
  <c r="EK369" i="16"/>
  <c r="EM369" i="16"/>
  <c r="EO369" i="16"/>
  <c r="EQ369" i="16"/>
  <c r="ES369" i="16"/>
  <c r="EU369" i="16"/>
  <c r="EW369" i="16"/>
  <c r="EY369" i="16"/>
  <c r="FA369" i="16"/>
  <c r="FC369" i="16"/>
  <c r="FE369" i="16"/>
  <c r="FG369" i="16"/>
  <c r="FI369" i="16"/>
  <c r="FK369" i="16"/>
  <c r="FM369" i="16"/>
  <c r="FO369" i="16"/>
  <c r="FQ369" i="16"/>
  <c r="FS369" i="16"/>
  <c r="FU369" i="16"/>
  <c r="FW369" i="16"/>
  <c r="FY369" i="16"/>
  <c r="GA369" i="16"/>
  <c r="GC369" i="16"/>
  <c r="CZ369" i="16"/>
  <c r="DB369" i="16"/>
  <c r="DD369" i="16"/>
  <c r="DF369" i="16"/>
  <c r="DH369" i="16"/>
  <c r="DJ369" i="16"/>
  <c r="DL369" i="16"/>
  <c r="DN369" i="16"/>
  <c r="DP369" i="16"/>
  <c r="DR369" i="16"/>
  <c r="DT369" i="16"/>
  <c r="DV369" i="16"/>
  <c r="DX369" i="16"/>
  <c r="DZ369" i="16"/>
  <c r="EB369" i="16"/>
  <c r="ED369" i="16"/>
  <c r="EF369" i="16"/>
  <c r="EH369" i="16"/>
  <c r="EJ369" i="16"/>
  <c r="EL369" i="16"/>
  <c r="EN369" i="16"/>
  <c r="EP369" i="16"/>
  <c r="ER369" i="16"/>
  <c r="ET369" i="16"/>
  <c r="EV369" i="16"/>
  <c r="EX369" i="16"/>
  <c r="EZ369" i="16"/>
  <c r="FB369" i="16"/>
  <c r="FD369" i="16"/>
  <c r="FF369" i="16"/>
  <c r="FH369" i="16"/>
  <c r="FJ369" i="16"/>
  <c r="FL369" i="16"/>
  <c r="FN369" i="16"/>
  <c r="FP369" i="16"/>
  <c r="FR369" i="16"/>
  <c r="FT369" i="16"/>
  <c r="FV369" i="16"/>
  <c r="FX369" i="16"/>
  <c r="FZ369" i="16"/>
  <c r="GB369" i="16"/>
  <c r="GD369" i="16"/>
  <c r="CY371" i="16"/>
  <c r="DA371" i="16"/>
  <c r="DC371" i="16"/>
  <c r="DE371" i="16"/>
  <c r="DG371" i="16"/>
  <c r="DI371" i="16"/>
  <c r="DK371" i="16"/>
  <c r="DM371" i="16"/>
  <c r="DO371" i="16"/>
  <c r="DQ371" i="16"/>
  <c r="DS371" i="16"/>
  <c r="DU371" i="16"/>
  <c r="DW371" i="16"/>
  <c r="DY371" i="16"/>
  <c r="EA371" i="16"/>
  <c r="EC371" i="16"/>
  <c r="EE371" i="16"/>
  <c r="EG371" i="16"/>
  <c r="EI371" i="16"/>
  <c r="EK371" i="16"/>
  <c r="EM371" i="16"/>
  <c r="EO371" i="16"/>
  <c r="EQ371" i="16"/>
  <c r="ES371" i="16"/>
  <c r="EU371" i="16"/>
  <c r="EW371" i="16"/>
  <c r="EY371" i="16"/>
  <c r="FA371" i="16"/>
  <c r="FC371" i="16"/>
  <c r="FE371" i="16"/>
  <c r="FG371" i="16"/>
  <c r="FI371" i="16"/>
  <c r="FK371" i="16"/>
  <c r="FM371" i="16"/>
  <c r="FO371" i="16"/>
  <c r="FQ371" i="16"/>
  <c r="FS371" i="16"/>
  <c r="FU371" i="16"/>
  <c r="FW371" i="16"/>
  <c r="FY371" i="16"/>
  <c r="GA371" i="16"/>
  <c r="GC371" i="16"/>
  <c r="CZ371" i="16"/>
  <c r="DB371" i="16"/>
  <c r="DD371" i="16"/>
  <c r="DF371" i="16"/>
  <c r="DH371" i="16"/>
  <c r="DJ371" i="16"/>
  <c r="DL371" i="16"/>
  <c r="DN371" i="16"/>
  <c r="DP371" i="16"/>
  <c r="DR371" i="16"/>
  <c r="DT371" i="16"/>
  <c r="DV371" i="16"/>
  <c r="DX371" i="16"/>
  <c r="DZ371" i="16"/>
  <c r="EB371" i="16"/>
  <c r="ED371" i="16"/>
  <c r="EF371" i="16"/>
  <c r="EH371" i="16"/>
  <c r="EJ371" i="16"/>
  <c r="EL371" i="16"/>
  <c r="EN371" i="16"/>
  <c r="EP371" i="16"/>
  <c r="ER371" i="16"/>
  <c r="ET371" i="16"/>
  <c r="EV371" i="16"/>
  <c r="EX371" i="16"/>
  <c r="EZ371" i="16"/>
  <c r="FB371" i="16"/>
  <c r="FD371" i="16"/>
  <c r="FF371" i="16"/>
  <c r="FH371" i="16"/>
  <c r="FJ371" i="16"/>
  <c r="FL371" i="16"/>
  <c r="FN371" i="16"/>
  <c r="FP371" i="16"/>
  <c r="FR371" i="16"/>
  <c r="FT371" i="16"/>
  <c r="FV371" i="16"/>
  <c r="FX371" i="16"/>
  <c r="FZ371" i="16"/>
  <c r="GB371" i="16"/>
  <c r="GD371" i="16"/>
  <c r="CY373" i="16"/>
  <c r="DA373" i="16"/>
  <c r="DC373" i="16"/>
  <c r="DE373" i="16"/>
  <c r="DG373" i="16"/>
  <c r="DI373" i="16"/>
  <c r="DK373" i="16"/>
  <c r="DM373" i="16"/>
  <c r="DO373" i="16"/>
  <c r="DQ373" i="16"/>
  <c r="DS373" i="16"/>
  <c r="DU373" i="16"/>
  <c r="DW373" i="16"/>
  <c r="DY373" i="16"/>
  <c r="EA373" i="16"/>
  <c r="EC373" i="16"/>
  <c r="EE373" i="16"/>
  <c r="EG373" i="16"/>
  <c r="EI373" i="16"/>
  <c r="EK373" i="16"/>
  <c r="EM373" i="16"/>
  <c r="EO373" i="16"/>
  <c r="EQ373" i="16"/>
  <c r="ES373" i="16"/>
  <c r="EU373" i="16"/>
  <c r="EW373" i="16"/>
  <c r="EY373" i="16"/>
  <c r="FA373" i="16"/>
  <c r="FC373" i="16"/>
  <c r="FE373" i="16"/>
  <c r="FG373" i="16"/>
  <c r="FI373" i="16"/>
  <c r="FK373" i="16"/>
  <c r="FM373" i="16"/>
  <c r="FO373" i="16"/>
  <c r="FQ373" i="16"/>
  <c r="FS373" i="16"/>
  <c r="FU373" i="16"/>
  <c r="FW373" i="16"/>
  <c r="FY373" i="16"/>
  <c r="GA373" i="16"/>
  <c r="GC373" i="16"/>
  <c r="CZ373" i="16"/>
  <c r="DB373" i="16"/>
  <c r="DD373" i="16"/>
  <c r="DF373" i="16"/>
  <c r="DH373" i="16"/>
  <c r="DJ373" i="16"/>
  <c r="DL373" i="16"/>
  <c r="DN373" i="16"/>
  <c r="DP373" i="16"/>
  <c r="DR373" i="16"/>
  <c r="DT373" i="16"/>
  <c r="DV373" i="16"/>
  <c r="DX373" i="16"/>
  <c r="DZ373" i="16"/>
  <c r="EB373" i="16"/>
  <c r="ED373" i="16"/>
  <c r="EF373" i="16"/>
  <c r="EH373" i="16"/>
  <c r="EJ373" i="16"/>
  <c r="EL373" i="16"/>
  <c r="EN373" i="16"/>
  <c r="EP373" i="16"/>
  <c r="ER373" i="16"/>
  <c r="ET373" i="16"/>
  <c r="EV373" i="16"/>
  <c r="EX373" i="16"/>
  <c r="EZ373" i="16"/>
  <c r="FB373" i="16"/>
  <c r="FD373" i="16"/>
  <c r="FF373" i="16"/>
  <c r="FH373" i="16"/>
  <c r="FJ373" i="16"/>
  <c r="FL373" i="16"/>
  <c r="FN373" i="16"/>
  <c r="FP373" i="16"/>
  <c r="FR373" i="16"/>
  <c r="FT373" i="16"/>
  <c r="FV373" i="16"/>
  <c r="FX373" i="16"/>
  <c r="FZ373" i="16"/>
  <c r="GB373" i="16"/>
  <c r="GD373" i="16"/>
  <c r="CZ374" i="16"/>
  <c r="DB374" i="16"/>
  <c r="DD374" i="16"/>
  <c r="DF374" i="16"/>
  <c r="DH374" i="16"/>
  <c r="DJ374" i="16"/>
  <c r="DL374" i="16"/>
  <c r="DN374" i="16"/>
  <c r="DP374" i="16"/>
  <c r="DR374" i="16"/>
  <c r="DT374" i="16"/>
  <c r="DV374" i="16"/>
  <c r="DX374" i="16"/>
  <c r="DZ374" i="16"/>
  <c r="EB374" i="16"/>
  <c r="ED374" i="16"/>
  <c r="EF374" i="16"/>
  <c r="EH374" i="16"/>
  <c r="EJ374" i="16"/>
  <c r="EL374" i="16"/>
  <c r="EN374" i="16"/>
  <c r="EP374" i="16"/>
  <c r="ER374" i="16"/>
  <c r="ET374" i="16"/>
  <c r="EV374" i="16"/>
  <c r="EX374" i="16"/>
  <c r="EZ374" i="16"/>
  <c r="FB374" i="16"/>
  <c r="FD374" i="16"/>
  <c r="FF374" i="16"/>
  <c r="FH374" i="16"/>
  <c r="FJ374" i="16"/>
  <c r="FL374" i="16"/>
  <c r="FN374" i="16"/>
  <c r="FP374" i="16"/>
  <c r="FR374" i="16"/>
  <c r="FT374" i="16"/>
  <c r="FV374" i="16"/>
  <c r="FX374" i="16"/>
  <c r="FZ374" i="16"/>
  <c r="GB374" i="16"/>
  <c r="GD374" i="16"/>
  <c r="CY374" i="16"/>
  <c r="DA374" i="16"/>
  <c r="DC374" i="16"/>
  <c r="DE374" i="16"/>
  <c r="DG374" i="16"/>
  <c r="DI374" i="16"/>
  <c r="DK374" i="16"/>
  <c r="DM374" i="16"/>
  <c r="DO374" i="16"/>
  <c r="DQ374" i="16"/>
  <c r="DS374" i="16"/>
  <c r="DU374" i="16"/>
  <c r="DW374" i="16"/>
  <c r="DY374" i="16"/>
  <c r="EA374" i="16"/>
  <c r="EC374" i="16"/>
  <c r="EE374" i="16"/>
  <c r="EG374" i="16"/>
  <c r="EI374" i="16"/>
  <c r="EK374" i="16"/>
  <c r="EM374" i="16"/>
  <c r="EO374" i="16"/>
  <c r="EQ374" i="16"/>
  <c r="ES374" i="16"/>
  <c r="EU374" i="16"/>
  <c r="EW374" i="16"/>
  <c r="EY374" i="16"/>
  <c r="FA374" i="16"/>
  <c r="FC374" i="16"/>
  <c r="FE374" i="16"/>
  <c r="FG374" i="16"/>
  <c r="FI374" i="16"/>
  <c r="FK374" i="16"/>
  <c r="FM374" i="16"/>
  <c r="FO374" i="16"/>
  <c r="FQ374" i="16"/>
  <c r="FS374" i="16"/>
  <c r="FU374" i="16"/>
  <c r="FW374" i="16"/>
  <c r="FY374" i="16"/>
  <c r="GA374" i="16"/>
  <c r="GC374" i="16"/>
  <c r="CZ376" i="16"/>
  <c r="DB376" i="16"/>
  <c r="DD376" i="16"/>
  <c r="DF376" i="16"/>
  <c r="DH376" i="16"/>
  <c r="DJ376" i="16"/>
  <c r="DL376" i="16"/>
  <c r="DN376" i="16"/>
  <c r="DP376" i="16"/>
  <c r="DR376" i="16"/>
  <c r="DT376" i="16"/>
  <c r="DV376" i="16"/>
  <c r="DX376" i="16"/>
  <c r="DZ376" i="16"/>
  <c r="EB376" i="16"/>
  <c r="ED376" i="16"/>
  <c r="EF376" i="16"/>
  <c r="EH376" i="16"/>
  <c r="EJ376" i="16"/>
  <c r="EL376" i="16"/>
  <c r="EN376" i="16"/>
  <c r="EP376" i="16"/>
  <c r="ER376" i="16"/>
  <c r="ET376" i="16"/>
  <c r="EV376" i="16"/>
  <c r="EX376" i="16"/>
  <c r="EZ376" i="16"/>
  <c r="FB376" i="16"/>
  <c r="FD376" i="16"/>
  <c r="FF376" i="16"/>
  <c r="FH376" i="16"/>
  <c r="FJ376" i="16"/>
  <c r="FL376" i="16"/>
  <c r="FN376" i="16"/>
  <c r="FP376" i="16"/>
  <c r="FR376" i="16"/>
  <c r="FT376" i="16"/>
  <c r="FV376" i="16"/>
  <c r="FX376" i="16"/>
  <c r="FZ376" i="16"/>
  <c r="GB376" i="16"/>
  <c r="GD376" i="16"/>
  <c r="CY376" i="16"/>
  <c r="DA376" i="16"/>
  <c r="DC376" i="16"/>
  <c r="DE376" i="16"/>
  <c r="DG376" i="16"/>
  <c r="DI376" i="16"/>
  <c r="DK376" i="16"/>
  <c r="DM376" i="16"/>
  <c r="DO376" i="16"/>
  <c r="DQ376" i="16"/>
  <c r="DS376" i="16"/>
  <c r="DU376" i="16"/>
  <c r="DW376" i="16"/>
  <c r="DY376" i="16"/>
  <c r="EA376" i="16"/>
  <c r="EC376" i="16"/>
  <c r="EE376" i="16"/>
  <c r="EG376" i="16"/>
  <c r="EI376" i="16"/>
  <c r="EK376" i="16"/>
  <c r="EM376" i="16"/>
  <c r="EO376" i="16"/>
  <c r="EQ376" i="16"/>
  <c r="ES376" i="16"/>
  <c r="EU376" i="16"/>
  <c r="EW376" i="16"/>
  <c r="EY376" i="16"/>
  <c r="FA376" i="16"/>
  <c r="FC376" i="16"/>
  <c r="FE376" i="16"/>
  <c r="FG376" i="16"/>
  <c r="FI376" i="16"/>
  <c r="FK376" i="16"/>
  <c r="FM376" i="16"/>
  <c r="FO376" i="16"/>
  <c r="FQ376" i="16"/>
  <c r="FS376" i="16"/>
  <c r="FU376" i="16"/>
  <c r="FW376" i="16"/>
  <c r="FY376" i="16"/>
  <c r="GA376" i="16"/>
  <c r="GC376" i="16"/>
  <c r="CY377" i="16"/>
  <c r="DA377" i="16"/>
  <c r="DC377" i="16"/>
  <c r="DE377" i="16"/>
  <c r="DG377" i="16"/>
  <c r="DI377" i="16"/>
  <c r="DK377" i="16"/>
  <c r="DM377" i="16"/>
  <c r="DO377" i="16"/>
  <c r="DQ377" i="16"/>
  <c r="DS377" i="16"/>
  <c r="DU377" i="16"/>
  <c r="DW377" i="16"/>
  <c r="DY377" i="16"/>
  <c r="EA377" i="16"/>
  <c r="EC377" i="16"/>
  <c r="EE377" i="16"/>
  <c r="EG377" i="16"/>
  <c r="EI377" i="16"/>
  <c r="EK377" i="16"/>
  <c r="EM377" i="16"/>
  <c r="EO377" i="16"/>
  <c r="EQ377" i="16"/>
  <c r="ES377" i="16"/>
  <c r="EU377" i="16"/>
  <c r="EW377" i="16"/>
  <c r="EY377" i="16"/>
  <c r="FA377" i="16"/>
  <c r="FC377" i="16"/>
  <c r="FE377" i="16"/>
  <c r="FG377" i="16"/>
  <c r="FI377" i="16"/>
  <c r="FK377" i="16"/>
  <c r="FM377" i="16"/>
  <c r="FO377" i="16"/>
  <c r="FQ377" i="16"/>
  <c r="FS377" i="16"/>
  <c r="FU377" i="16"/>
  <c r="FW377" i="16"/>
  <c r="FY377" i="16"/>
  <c r="GA377" i="16"/>
  <c r="GC377" i="16"/>
  <c r="CZ377" i="16"/>
  <c r="DB377" i="16"/>
  <c r="DD377" i="16"/>
  <c r="DF377" i="16"/>
  <c r="DH377" i="16"/>
  <c r="DJ377" i="16"/>
  <c r="DL377" i="16"/>
  <c r="DN377" i="16"/>
  <c r="DP377" i="16"/>
  <c r="DR377" i="16"/>
  <c r="DT377" i="16"/>
  <c r="DV377" i="16"/>
  <c r="DX377" i="16"/>
  <c r="DZ377" i="16"/>
  <c r="EB377" i="16"/>
  <c r="ED377" i="16"/>
  <c r="EF377" i="16"/>
  <c r="EH377" i="16"/>
  <c r="EJ377" i="16"/>
  <c r="EL377" i="16"/>
  <c r="EN377" i="16"/>
  <c r="EP377" i="16"/>
  <c r="ER377" i="16"/>
  <c r="ET377" i="16"/>
  <c r="EV377" i="16"/>
  <c r="EX377" i="16"/>
  <c r="EZ377" i="16"/>
  <c r="FB377" i="16"/>
  <c r="FD377" i="16"/>
  <c r="FF377" i="16"/>
  <c r="FH377" i="16"/>
  <c r="FJ377" i="16"/>
  <c r="FL377" i="16"/>
  <c r="FP377" i="16"/>
  <c r="FT377" i="16"/>
  <c r="FX377" i="16"/>
  <c r="GB377" i="16"/>
  <c r="FN377" i="16"/>
  <c r="FR377" i="16"/>
  <c r="FV377" i="16"/>
  <c r="FZ377" i="16"/>
  <c r="GD377" i="16"/>
  <c r="CZ378" i="16"/>
  <c r="DB378" i="16"/>
  <c r="DD378" i="16"/>
  <c r="DF378" i="16"/>
  <c r="DH378" i="16"/>
  <c r="DJ378" i="16"/>
  <c r="DL378" i="16"/>
  <c r="DN378" i="16"/>
  <c r="DP378" i="16"/>
  <c r="DR378" i="16"/>
  <c r="DT378" i="16"/>
  <c r="DV378" i="16"/>
  <c r="DX378" i="16"/>
  <c r="DZ378" i="16"/>
  <c r="EB378" i="16"/>
  <c r="ED378" i="16"/>
  <c r="EF378" i="16"/>
  <c r="EH378" i="16"/>
  <c r="EJ378" i="16"/>
  <c r="EL378" i="16"/>
  <c r="EN378" i="16"/>
  <c r="EP378" i="16"/>
  <c r="ER378" i="16"/>
  <c r="ET378" i="16"/>
  <c r="EV378" i="16"/>
  <c r="EX378" i="16"/>
  <c r="EZ378" i="16"/>
  <c r="FB378" i="16"/>
  <c r="FD378" i="16"/>
  <c r="FF378" i="16"/>
  <c r="FH378" i="16"/>
  <c r="FJ378" i="16"/>
  <c r="FL378" i="16"/>
  <c r="FN378" i="16"/>
  <c r="FP378" i="16"/>
  <c r="FR378" i="16"/>
  <c r="FT378" i="16"/>
  <c r="FV378" i="16"/>
  <c r="FX378" i="16"/>
  <c r="FZ378" i="16"/>
  <c r="GB378" i="16"/>
  <c r="GD378" i="16"/>
  <c r="DA378" i="16"/>
  <c r="DE378" i="16"/>
  <c r="DI378" i="16"/>
  <c r="DM378" i="16"/>
  <c r="DQ378" i="16"/>
  <c r="DU378" i="16"/>
  <c r="DY378" i="16"/>
  <c r="EC378" i="16"/>
  <c r="EG378" i="16"/>
  <c r="EK378" i="16"/>
  <c r="EO378" i="16"/>
  <c r="ES378" i="16"/>
  <c r="EW378" i="16"/>
  <c r="FA378" i="16"/>
  <c r="FE378" i="16"/>
  <c r="FI378" i="16"/>
  <c r="FM378" i="16"/>
  <c r="FQ378" i="16"/>
  <c r="FU378" i="16"/>
  <c r="FY378" i="16"/>
  <c r="GC378" i="16"/>
  <c r="CY378" i="16"/>
  <c r="DC378" i="16"/>
  <c r="DG378" i="16"/>
  <c r="DK378" i="16"/>
  <c r="DO378" i="16"/>
  <c r="DS378" i="16"/>
  <c r="DW378" i="16"/>
  <c r="EA378" i="16"/>
  <c r="EE378" i="16"/>
  <c r="EI378" i="16"/>
  <c r="EM378" i="16"/>
  <c r="EQ378" i="16"/>
  <c r="EU378" i="16"/>
  <c r="EY378" i="16"/>
  <c r="FC378" i="16"/>
  <c r="FG378" i="16"/>
  <c r="FK378" i="16"/>
  <c r="FO378" i="16"/>
  <c r="FS378" i="16"/>
  <c r="FW378" i="16"/>
  <c r="GA378" i="16"/>
  <c r="CY379" i="16"/>
  <c r="DA379" i="16"/>
  <c r="DC379" i="16"/>
  <c r="DE379" i="16"/>
  <c r="DG379" i="16"/>
  <c r="DI379" i="16"/>
  <c r="DK379" i="16"/>
  <c r="DM379" i="16"/>
  <c r="DO379" i="16"/>
  <c r="DQ379" i="16"/>
  <c r="DS379" i="16"/>
  <c r="DU379" i="16"/>
  <c r="DW379" i="16"/>
  <c r="DY379" i="16"/>
  <c r="EA379" i="16"/>
  <c r="EC379" i="16"/>
  <c r="EE379" i="16"/>
  <c r="EG379" i="16"/>
  <c r="EI379" i="16"/>
  <c r="EK379" i="16"/>
  <c r="EM379" i="16"/>
  <c r="EO379" i="16"/>
  <c r="EQ379" i="16"/>
  <c r="ES379" i="16"/>
  <c r="EU379" i="16"/>
  <c r="EW379" i="16"/>
  <c r="EY379" i="16"/>
  <c r="FA379" i="16"/>
  <c r="FC379" i="16"/>
  <c r="FE379" i="16"/>
  <c r="FG379" i="16"/>
  <c r="FI379" i="16"/>
  <c r="FK379" i="16"/>
  <c r="FM379" i="16"/>
  <c r="FO379" i="16"/>
  <c r="FQ379" i="16"/>
  <c r="FS379" i="16"/>
  <c r="FU379" i="16"/>
  <c r="FW379" i="16"/>
  <c r="FY379" i="16"/>
  <c r="GA379" i="16"/>
  <c r="GC379" i="16"/>
  <c r="CZ379" i="16"/>
  <c r="DD379" i="16"/>
  <c r="DH379" i="16"/>
  <c r="DL379" i="16"/>
  <c r="DP379" i="16"/>
  <c r="DT379" i="16"/>
  <c r="DX379" i="16"/>
  <c r="EB379" i="16"/>
  <c r="EF379" i="16"/>
  <c r="EJ379" i="16"/>
  <c r="EN379" i="16"/>
  <c r="ER379" i="16"/>
  <c r="EV379" i="16"/>
  <c r="EZ379" i="16"/>
  <c r="FD379" i="16"/>
  <c r="FH379" i="16"/>
  <c r="FL379" i="16"/>
  <c r="FP379" i="16"/>
  <c r="FT379" i="16"/>
  <c r="FX379" i="16"/>
  <c r="GB379" i="16"/>
  <c r="DB379" i="16"/>
  <c r="DF379" i="16"/>
  <c r="DJ379" i="16"/>
  <c r="DN379" i="16"/>
  <c r="DR379" i="16"/>
  <c r="DV379" i="16"/>
  <c r="DZ379" i="16"/>
  <c r="ED379" i="16"/>
  <c r="EH379" i="16"/>
  <c r="EL379" i="16"/>
  <c r="EP379" i="16"/>
  <c r="ET379" i="16"/>
  <c r="EX379" i="16"/>
  <c r="FB379" i="16"/>
  <c r="FF379" i="16"/>
  <c r="FJ379" i="16"/>
  <c r="FN379" i="16"/>
  <c r="FR379" i="16"/>
  <c r="FV379" i="16"/>
  <c r="FZ379" i="16"/>
  <c r="GD379" i="16"/>
  <c r="CZ380" i="16"/>
  <c r="DB380" i="16"/>
  <c r="DD380" i="16"/>
  <c r="DF380" i="16"/>
  <c r="DH380" i="16"/>
  <c r="DJ380" i="16"/>
  <c r="DL380" i="16"/>
  <c r="DN380" i="16"/>
  <c r="DP380" i="16"/>
  <c r="DR380" i="16"/>
  <c r="DT380" i="16"/>
  <c r="DV380" i="16"/>
  <c r="DX380" i="16"/>
  <c r="DZ380" i="16"/>
  <c r="EB380" i="16"/>
  <c r="ED380" i="16"/>
  <c r="EF380" i="16"/>
  <c r="EH380" i="16"/>
  <c r="EJ380" i="16"/>
  <c r="EL380" i="16"/>
  <c r="EN380" i="16"/>
  <c r="EP380" i="16"/>
  <c r="ER380" i="16"/>
  <c r="ET380" i="16"/>
  <c r="EV380" i="16"/>
  <c r="EX380" i="16"/>
  <c r="EZ380" i="16"/>
  <c r="FB380" i="16"/>
  <c r="FD380" i="16"/>
  <c r="FF380" i="16"/>
  <c r="FH380" i="16"/>
  <c r="FJ380" i="16"/>
  <c r="FL380" i="16"/>
  <c r="FN380" i="16"/>
  <c r="FP380" i="16"/>
  <c r="FR380" i="16"/>
  <c r="FT380" i="16"/>
  <c r="FV380" i="16"/>
  <c r="FX380" i="16"/>
  <c r="FZ380" i="16"/>
  <c r="GB380" i="16"/>
  <c r="GD380" i="16"/>
  <c r="DA380" i="16"/>
  <c r="DE380" i="16"/>
  <c r="DI380" i="16"/>
  <c r="DM380" i="16"/>
  <c r="DQ380" i="16"/>
  <c r="DU380" i="16"/>
  <c r="DY380" i="16"/>
  <c r="EC380" i="16"/>
  <c r="EG380" i="16"/>
  <c r="EK380" i="16"/>
  <c r="EO380" i="16"/>
  <c r="ES380" i="16"/>
  <c r="EW380" i="16"/>
  <c r="FA380" i="16"/>
  <c r="FE380" i="16"/>
  <c r="FI380" i="16"/>
  <c r="FM380" i="16"/>
  <c r="FQ380" i="16"/>
  <c r="FU380" i="16"/>
  <c r="FY380" i="16"/>
  <c r="GC380" i="16"/>
  <c r="CY380" i="16"/>
  <c r="DC380" i="16"/>
  <c r="DG380" i="16"/>
  <c r="DK380" i="16"/>
  <c r="DO380" i="16"/>
  <c r="DS380" i="16"/>
  <c r="DW380" i="16"/>
  <c r="EA380" i="16"/>
  <c r="EE380" i="16"/>
  <c r="EI380" i="16"/>
  <c r="EM380" i="16"/>
  <c r="EQ380" i="16"/>
  <c r="EU380" i="16"/>
  <c r="EY380" i="16"/>
  <c r="FC380" i="16"/>
  <c r="FG380" i="16"/>
  <c r="FK380" i="16"/>
  <c r="FO380" i="16"/>
  <c r="FS380" i="16"/>
  <c r="FW380" i="16"/>
  <c r="GA380" i="16"/>
  <c r="CZ382" i="16"/>
  <c r="DB382" i="16"/>
  <c r="DD382" i="16"/>
  <c r="DF382" i="16"/>
  <c r="DH382" i="16"/>
  <c r="DJ382" i="16"/>
  <c r="DL382" i="16"/>
  <c r="DN382" i="16"/>
  <c r="DP382" i="16"/>
  <c r="DR382" i="16"/>
  <c r="DT382" i="16"/>
  <c r="DV382" i="16"/>
  <c r="DX382" i="16"/>
  <c r="DZ382" i="16"/>
  <c r="EB382" i="16"/>
  <c r="ED382" i="16"/>
  <c r="EF382" i="16"/>
  <c r="EH382" i="16"/>
  <c r="EJ382" i="16"/>
  <c r="EL382" i="16"/>
  <c r="EN382" i="16"/>
  <c r="EP382" i="16"/>
  <c r="ER382" i="16"/>
  <c r="ET382" i="16"/>
  <c r="EV382" i="16"/>
  <c r="EX382" i="16"/>
  <c r="EZ382" i="16"/>
  <c r="FB382" i="16"/>
  <c r="FD382" i="16"/>
  <c r="FF382" i="16"/>
  <c r="FH382" i="16"/>
  <c r="FJ382" i="16"/>
  <c r="FL382" i="16"/>
  <c r="FN382" i="16"/>
  <c r="FP382" i="16"/>
  <c r="FR382" i="16"/>
  <c r="FT382" i="16"/>
  <c r="FV382" i="16"/>
  <c r="FX382" i="16"/>
  <c r="FZ382" i="16"/>
  <c r="GB382" i="16"/>
  <c r="GD382" i="16"/>
  <c r="DA382" i="16"/>
  <c r="DE382" i="16"/>
  <c r="DI382" i="16"/>
  <c r="DM382" i="16"/>
  <c r="DQ382" i="16"/>
  <c r="DU382" i="16"/>
  <c r="DY382" i="16"/>
  <c r="EC382" i="16"/>
  <c r="EG382" i="16"/>
  <c r="EK382" i="16"/>
  <c r="EO382" i="16"/>
  <c r="ES382" i="16"/>
  <c r="EW382" i="16"/>
  <c r="FA382" i="16"/>
  <c r="FE382" i="16"/>
  <c r="FI382" i="16"/>
  <c r="FM382" i="16"/>
  <c r="FQ382" i="16"/>
  <c r="FU382" i="16"/>
  <c r="FY382" i="16"/>
  <c r="GC382" i="16"/>
  <c r="CY382" i="16"/>
  <c r="DC382" i="16"/>
  <c r="DG382" i="16"/>
  <c r="DK382" i="16"/>
  <c r="DO382" i="16"/>
  <c r="DS382" i="16"/>
  <c r="DW382" i="16"/>
  <c r="EA382" i="16"/>
  <c r="EE382" i="16"/>
  <c r="EI382" i="16"/>
  <c r="EM382" i="16"/>
  <c r="EQ382" i="16"/>
  <c r="EU382" i="16"/>
  <c r="EY382" i="16"/>
  <c r="FC382" i="16"/>
  <c r="FG382" i="16"/>
  <c r="FK382" i="16"/>
  <c r="FO382" i="16"/>
  <c r="FS382" i="16"/>
  <c r="FW382" i="16"/>
  <c r="GA382" i="16"/>
  <c r="CY383" i="16"/>
  <c r="DA383" i="16"/>
  <c r="DC383" i="16"/>
  <c r="DE383" i="16"/>
  <c r="DG383" i="16"/>
  <c r="DI383" i="16"/>
  <c r="DK383" i="16"/>
  <c r="DM383" i="16"/>
  <c r="DO383" i="16"/>
  <c r="DQ383" i="16"/>
  <c r="DS383" i="16"/>
  <c r="DU383" i="16"/>
  <c r="DW383" i="16"/>
  <c r="DY383" i="16"/>
  <c r="EA383" i="16"/>
  <c r="EC383" i="16"/>
  <c r="EE383" i="16"/>
  <c r="EG383" i="16"/>
  <c r="EI383" i="16"/>
  <c r="EK383" i="16"/>
  <c r="EM383" i="16"/>
  <c r="EO383" i="16"/>
  <c r="EQ383" i="16"/>
  <c r="ES383" i="16"/>
  <c r="EU383" i="16"/>
  <c r="EW383" i="16"/>
  <c r="EY383" i="16"/>
  <c r="FA383" i="16"/>
  <c r="FC383" i="16"/>
  <c r="FE383" i="16"/>
  <c r="FG383" i="16"/>
  <c r="FI383" i="16"/>
  <c r="FK383" i="16"/>
  <c r="FM383" i="16"/>
  <c r="FO383" i="16"/>
  <c r="FQ383" i="16"/>
  <c r="FS383" i="16"/>
  <c r="FU383" i="16"/>
  <c r="FW383" i="16"/>
  <c r="FY383" i="16"/>
  <c r="GA383" i="16"/>
  <c r="GC383" i="16"/>
  <c r="CZ383" i="16"/>
  <c r="DD383" i="16"/>
  <c r="DH383" i="16"/>
  <c r="DL383" i="16"/>
  <c r="DP383" i="16"/>
  <c r="DT383" i="16"/>
  <c r="DX383" i="16"/>
  <c r="EB383" i="16"/>
  <c r="EF383" i="16"/>
  <c r="EJ383" i="16"/>
  <c r="EN383" i="16"/>
  <c r="ER383" i="16"/>
  <c r="EV383" i="16"/>
  <c r="EZ383" i="16"/>
  <c r="FD383" i="16"/>
  <c r="FH383" i="16"/>
  <c r="FL383" i="16"/>
  <c r="FP383" i="16"/>
  <c r="FT383" i="16"/>
  <c r="FX383" i="16"/>
  <c r="GB383" i="16"/>
  <c r="DB383" i="16"/>
  <c r="DF383" i="16"/>
  <c r="DJ383" i="16"/>
  <c r="DN383" i="16"/>
  <c r="DR383" i="16"/>
  <c r="DV383" i="16"/>
  <c r="DZ383" i="16"/>
  <c r="ED383" i="16"/>
  <c r="EH383" i="16"/>
  <c r="EL383" i="16"/>
  <c r="EP383" i="16"/>
  <c r="ET383" i="16"/>
  <c r="EX383" i="16"/>
  <c r="FB383" i="16"/>
  <c r="FF383" i="16"/>
  <c r="FJ383" i="16"/>
  <c r="FN383" i="16"/>
  <c r="FR383" i="16"/>
  <c r="FV383" i="16"/>
  <c r="FZ383" i="16"/>
  <c r="GD383" i="16"/>
  <c r="CY387" i="16"/>
  <c r="DA387" i="16"/>
  <c r="DC387" i="16"/>
  <c r="DE387" i="16"/>
  <c r="DG387" i="16"/>
  <c r="DI387" i="16"/>
  <c r="DK387" i="16"/>
  <c r="DM387" i="16"/>
  <c r="DO387" i="16"/>
  <c r="DQ387" i="16"/>
  <c r="DS387" i="16"/>
  <c r="DU387" i="16"/>
  <c r="DW387" i="16"/>
  <c r="DY387" i="16"/>
  <c r="EA387" i="16"/>
  <c r="EC387" i="16"/>
  <c r="EE387" i="16"/>
  <c r="EG387" i="16"/>
  <c r="EI387" i="16"/>
  <c r="EK387" i="16"/>
  <c r="EM387" i="16"/>
  <c r="EO387" i="16"/>
  <c r="EQ387" i="16"/>
  <c r="ES387" i="16"/>
  <c r="EU387" i="16"/>
  <c r="EW387" i="16"/>
  <c r="EY387" i="16"/>
  <c r="FA387" i="16"/>
  <c r="FC387" i="16"/>
  <c r="FE387" i="16"/>
  <c r="FG387" i="16"/>
  <c r="FI387" i="16"/>
  <c r="FK387" i="16"/>
  <c r="FM387" i="16"/>
  <c r="FO387" i="16"/>
  <c r="FQ387" i="16"/>
  <c r="FS387" i="16"/>
  <c r="FU387" i="16"/>
  <c r="FW387" i="16"/>
  <c r="FY387" i="16"/>
  <c r="GA387" i="16"/>
  <c r="GC387" i="16"/>
  <c r="CZ387" i="16"/>
  <c r="DD387" i="16"/>
  <c r="DH387" i="16"/>
  <c r="DL387" i="16"/>
  <c r="DP387" i="16"/>
  <c r="DT387" i="16"/>
  <c r="DX387" i="16"/>
  <c r="EB387" i="16"/>
  <c r="EF387" i="16"/>
  <c r="EJ387" i="16"/>
  <c r="EN387" i="16"/>
  <c r="ER387" i="16"/>
  <c r="EV387" i="16"/>
  <c r="EZ387" i="16"/>
  <c r="FD387" i="16"/>
  <c r="FH387" i="16"/>
  <c r="FL387" i="16"/>
  <c r="FP387" i="16"/>
  <c r="FT387" i="16"/>
  <c r="FX387" i="16"/>
  <c r="GB387" i="16"/>
  <c r="DB387" i="16"/>
  <c r="DF387" i="16"/>
  <c r="DJ387" i="16"/>
  <c r="DN387" i="16"/>
  <c r="DR387" i="16"/>
  <c r="DV387" i="16"/>
  <c r="DZ387" i="16"/>
  <c r="ED387" i="16"/>
  <c r="EH387" i="16"/>
  <c r="EL387" i="16"/>
  <c r="EP387" i="16"/>
  <c r="ET387" i="16"/>
  <c r="EX387" i="16"/>
  <c r="FB387" i="16"/>
  <c r="FF387" i="16"/>
  <c r="FJ387" i="16"/>
  <c r="FN387" i="16"/>
  <c r="FR387" i="16"/>
  <c r="FV387" i="16"/>
  <c r="FZ387" i="16"/>
  <c r="GD387" i="16"/>
  <c r="CY389" i="16"/>
  <c r="DA389" i="16"/>
  <c r="DC389" i="16"/>
  <c r="DE389" i="16"/>
  <c r="DG389" i="16"/>
  <c r="DI389" i="16"/>
  <c r="DK389" i="16"/>
  <c r="DM389" i="16"/>
  <c r="DO389" i="16"/>
  <c r="DQ389" i="16"/>
  <c r="DS389" i="16"/>
  <c r="DU389" i="16"/>
  <c r="DW389" i="16"/>
  <c r="DY389" i="16"/>
  <c r="EA389" i="16"/>
  <c r="EC389" i="16"/>
  <c r="EE389" i="16"/>
  <c r="EG389" i="16"/>
  <c r="EI389" i="16"/>
  <c r="EK389" i="16"/>
  <c r="EM389" i="16"/>
  <c r="EO389" i="16"/>
  <c r="EQ389" i="16"/>
  <c r="ES389" i="16"/>
  <c r="EU389" i="16"/>
  <c r="CZ389" i="16"/>
  <c r="DD389" i="16"/>
  <c r="DH389" i="16"/>
  <c r="DL389" i="16"/>
  <c r="DP389" i="16"/>
  <c r="DT389" i="16"/>
  <c r="DX389" i="16"/>
  <c r="EB389" i="16"/>
  <c r="EF389" i="16"/>
  <c r="EJ389" i="16"/>
  <c r="EN389" i="16"/>
  <c r="ER389" i="16"/>
  <c r="EV389" i="16"/>
  <c r="EX389" i="16"/>
  <c r="EZ389" i="16"/>
  <c r="FB389" i="16"/>
  <c r="FD389" i="16"/>
  <c r="FF389" i="16"/>
  <c r="FH389" i="16"/>
  <c r="FJ389" i="16"/>
  <c r="FL389" i="16"/>
  <c r="FN389" i="16"/>
  <c r="FP389" i="16"/>
  <c r="FR389" i="16"/>
  <c r="FT389" i="16"/>
  <c r="FV389" i="16"/>
  <c r="FX389" i="16"/>
  <c r="FZ389" i="16"/>
  <c r="GB389" i="16"/>
  <c r="GD389" i="16"/>
  <c r="DB389" i="16"/>
  <c r="DF389" i="16"/>
  <c r="DJ389" i="16"/>
  <c r="DN389" i="16"/>
  <c r="DR389" i="16"/>
  <c r="DV389" i="16"/>
  <c r="DZ389" i="16"/>
  <c r="ED389" i="16"/>
  <c r="EH389" i="16"/>
  <c r="EL389" i="16"/>
  <c r="EP389" i="16"/>
  <c r="ET389" i="16"/>
  <c r="EW389" i="16"/>
  <c r="EY389" i="16"/>
  <c r="FA389" i="16"/>
  <c r="FC389" i="16"/>
  <c r="FE389" i="16"/>
  <c r="FG389" i="16"/>
  <c r="FI389" i="16"/>
  <c r="FK389" i="16"/>
  <c r="FM389" i="16"/>
  <c r="FO389" i="16"/>
  <c r="FQ389" i="16"/>
  <c r="FS389" i="16"/>
  <c r="FU389" i="16"/>
  <c r="FW389" i="16"/>
  <c r="FY389" i="16"/>
  <c r="GA389" i="16"/>
  <c r="GC389" i="16"/>
  <c r="CZ391" i="16"/>
  <c r="DB391" i="16"/>
  <c r="DD391" i="16"/>
  <c r="DF391" i="16"/>
  <c r="DH391" i="16"/>
  <c r="DJ391" i="16"/>
  <c r="DL391" i="16"/>
  <c r="DN391" i="16"/>
  <c r="DP391" i="16"/>
  <c r="DR391" i="16"/>
  <c r="DT391" i="16"/>
  <c r="DV391" i="16"/>
  <c r="DX391" i="16"/>
  <c r="DZ391" i="16"/>
  <c r="EB391" i="16"/>
  <c r="ED391" i="16"/>
  <c r="EF391" i="16"/>
  <c r="EH391" i="16"/>
  <c r="EJ391" i="16"/>
  <c r="EL391" i="16"/>
  <c r="EN391" i="16"/>
  <c r="EP391" i="16"/>
  <c r="ER391" i="16"/>
  <c r="ET391" i="16"/>
  <c r="EV391" i="16"/>
  <c r="EX391" i="16"/>
  <c r="EZ391" i="16"/>
  <c r="FB391" i="16"/>
  <c r="FD391" i="16"/>
  <c r="FF391" i="16"/>
  <c r="FH391" i="16"/>
  <c r="FJ391" i="16"/>
  <c r="FL391" i="16"/>
  <c r="FN391" i="16"/>
  <c r="FP391" i="16"/>
  <c r="FR391" i="16"/>
  <c r="FT391" i="16"/>
  <c r="FV391" i="16"/>
  <c r="FX391" i="16"/>
  <c r="FZ391" i="16"/>
  <c r="GB391" i="16"/>
  <c r="GD391" i="16"/>
  <c r="CY391" i="16"/>
  <c r="DA391" i="16"/>
  <c r="DC391" i="16"/>
  <c r="DE391" i="16"/>
  <c r="DG391" i="16"/>
  <c r="DI391" i="16"/>
  <c r="DK391" i="16"/>
  <c r="DM391" i="16"/>
  <c r="DO391" i="16"/>
  <c r="DQ391" i="16"/>
  <c r="DS391" i="16"/>
  <c r="DU391" i="16"/>
  <c r="DW391" i="16"/>
  <c r="DY391" i="16"/>
  <c r="EA391" i="16"/>
  <c r="EC391" i="16"/>
  <c r="EE391" i="16"/>
  <c r="EG391" i="16"/>
  <c r="EI391" i="16"/>
  <c r="EK391" i="16"/>
  <c r="EM391" i="16"/>
  <c r="EO391" i="16"/>
  <c r="EQ391" i="16"/>
  <c r="ES391" i="16"/>
  <c r="EU391" i="16"/>
  <c r="EW391" i="16"/>
  <c r="EY391" i="16"/>
  <c r="FA391" i="16"/>
  <c r="FC391" i="16"/>
  <c r="FE391" i="16"/>
  <c r="FG391" i="16"/>
  <c r="FI391" i="16"/>
  <c r="FK391" i="16"/>
  <c r="FM391" i="16"/>
  <c r="FO391" i="16"/>
  <c r="FQ391" i="16"/>
  <c r="FS391" i="16"/>
  <c r="FU391" i="16"/>
  <c r="FW391" i="16"/>
  <c r="FY391" i="16"/>
  <c r="GA391" i="16"/>
  <c r="GC391" i="16"/>
  <c r="CZ393" i="16"/>
  <c r="DB393" i="16"/>
  <c r="DD393" i="16"/>
  <c r="DF393" i="16"/>
  <c r="DH393" i="16"/>
  <c r="DJ393" i="16"/>
  <c r="DL393" i="16"/>
  <c r="DN393" i="16"/>
  <c r="DP393" i="16"/>
  <c r="DR393" i="16"/>
  <c r="DT393" i="16"/>
  <c r="DV393" i="16"/>
  <c r="DX393" i="16"/>
  <c r="DZ393" i="16"/>
  <c r="EB393" i="16"/>
  <c r="ED393" i="16"/>
  <c r="EF393" i="16"/>
  <c r="EH393" i="16"/>
  <c r="EJ393" i="16"/>
  <c r="EL393" i="16"/>
  <c r="EN393" i="16"/>
  <c r="EP393" i="16"/>
  <c r="ER393" i="16"/>
  <c r="ET393" i="16"/>
  <c r="EV393" i="16"/>
  <c r="EX393" i="16"/>
  <c r="EZ393" i="16"/>
  <c r="FB393" i="16"/>
  <c r="FD393" i="16"/>
  <c r="FF393" i="16"/>
  <c r="FH393" i="16"/>
  <c r="FJ393" i="16"/>
  <c r="FL393" i="16"/>
  <c r="FN393" i="16"/>
  <c r="FP393" i="16"/>
  <c r="FR393" i="16"/>
  <c r="FT393" i="16"/>
  <c r="FV393" i="16"/>
  <c r="FX393" i="16"/>
  <c r="FZ393" i="16"/>
  <c r="GB393" i="16"/>
  <c r="GD393" i="16"/>
  <c r="CY393" i="16"/>
  <c r="DA393" i="16"/>
  <c r="DC393" i="16"/>
  <c r="DE393" i="16"/>
  <c r="DG393" i="16"/>
  <c r="DI393" i="16"/>
  <c r="DK393" i="16"/>
  <c r="DM393" i="16"/>
  <c r="DO393" i="16"/>
  <c r="DQ393" i="16"/>
  <c r="DS393" i="16"/>
  <c r="DU393" i="16"/>
  <c r="DW393" i="16"/>
  <c r="DY393" i="16"/>
  <c r="EA393" i="16"/>
  <c r="EC393" i="16"/>
  <c r="EE393" i="16"/>
  <c r="EG393" i="16"/>
  <c r="EI393" i="16"/>
  <c r="EK393" i="16"/>
  <c r="EM393" i="16"/>
  <c r="EO393" i="16"/>
  <c r="EQ393" i="16"/>
  <c r="ES393" i="16"/>
  <c r="EU393" i="16"/>
  <c r="EW393" i="16"/>
  <c r="EY393" i="16"/>
  <c r="FA393" i="16"/>
  <c r="FC393" i="16"/>
  <c r="FE393" i="16"/>
  <c r="FG393" i="16"/>
  <c r="FI393" i="16"/>
  <c r="FK393" i="16"/>
  <c r="FM393" i="16"/>
  <c r="FO393" i="16"/>
  <c r="FQ393" i="16"/>
  <c r="FS393" i="16"/>
  <c r="FU393" i="16"/>
  <c r="FW393" i="16"/>
  <c r="FY393" i="16"/>
  <c r="GA393" i="16"/>
  <c r="GC393" i="16"/>
  <c r="CZ395" i="16"/>
  <c r="DB395" i="16"/>
  <c r="DD395" i="16"/>
  <c r="DF395" i="16"/>
  <c r="DH395" i="16"/>
  <c r="DJ395" i="16"/>
  <c r="DL395" i="16"/>
  <c r="DN395" i="16"/>
  <c r="DP395" i="16"/>
  <c r="DR395" i="16"/>
  <c r="DT395" i="16"/>
  <c r="DV395" i="16"/>
  <c r="DX395" i="16"/>
  <c r="DZ395" i="16"/>
  <c r="EB395" i="16"/>
  <c r="ED395" i="16"/>
  <c r="EF395" i="16"/>
  <c r="EH395" i="16"/>
  <c r="EJ395" i="16"/>
  <c r="EL395" i="16"/>
  <c r="EN395" i="16"/>
  <c r="EP395" i="16"/>
  <c r="ER395" i="16"/>
  <c r="ET395" i="16"/>
  <c r="EV395" i="16"/>
  <c r="EX395" i="16"/>
  <c r="EZ395" i="16"/>
  <c r="FB395" i="16"/>
  <c r="FD395" i="16"/>
  <c r="FF395" i="16"/>
  <c r="FH395" i="16"/>
  <c r="FJ395" i="16"/>
  <c r="FL395" i="16"/>
  <c r="FN395" i="16"/>
  <c r="FP395" i="16"/>
  <c r="FR395" i="16"/>
  <c r="FT395" i="16"/>
  <c r="FV395" i="16"/>
  <c r="FX395" i="16"/>
  <c r="FZ395" i="16"/>
  <c r="GB395" i="16"/>
  <c r="GD395" i="16"/>
  <c r="CY395" i="16"/>
  <c r="DA395" i="16"/>
  <c r="DC395" i="16"/>
  <c r="DE395" i="16"/>
  <c r="DG395" i="16"/>
  <c r="DI395" i="16"/>
  <c r="DK395" i="16"/>
  <c r="DM395" i="16"/>
  <c r="DO395" i="16"/>
  <c r="DQ395" i="16"/>
  <c r="DS395" i="16"/>
  <c r="DU395" i="16"/>
  <c r="DW395" i="16"/>
  <c r="DY395" i="16"/>
  <c r="EA395" i="16"/>
  <c r="EC395" i="16"/>
  <c r="EE395" i="16"/>
  <c r="EG395" i="16"/>
  <c r="EI395" i="16"/>
  <c r="EK395" i="16"/>
  <c r="EM395" i="16"/>
  <c r="EO395" i="16"/>
  <c r="EQ395" i="16"/>
  <c r="ES395" i="16"/>
  <c r="EU395" i="16"/>
  <c r="EW395" i="16"/>
  <c r="EY395" i="16"/>
  <c r="FA395" i="16"/>
  <c r="FC395" i="16"/>
  <c r="FE395" i="16"/>
  <c r="FG395" i="16"/>
  <c r="FI395" i="16"/>
  <c r="FK395" i="16"/>
  <c r="FM395" i="16"/>
  <c r="FO395" i="16"/>
  <c r="FQ395" i="16"/>
  <c r="FS395" i="16"/>
  <c r="FU395" i="16"/>
  <c r="FW395" i="16"/>
  <c r="FY395" i="16"/>
  <c r="GA395" i="16"/>
  <c r="GC395" i="16"/>
  <c r="CZ397" i="16"/>
  <c r="DB397" i="16"/>
  <c r="DD397" i="16"/>
  <c r="DF397" i="16"/>
  <c r="DH397" i="16"/>
  <c r="DJ397" i="16"/>
  <c r="DL397" i="16"/>
  <c r="DN397" i="16"/>
  <c r="DP397" i="16"/>
  <c r="DR397" i="16"/>
  <c r="DT397" i="16"/>
  <c r="DV397" i="16"/>
  <c r="DX397" i="16"/>
  <c r="DZ397" i="16"/>
  <c r="EB397" i="16"/>
  <c r="ED397" i="16"/>
  <c r="EF397" i="16"/>
  <c r="EH397" i="16"/>
  <c r="EJ397" i="16"/>
  <c r="EL397" i="16"/>
  <c r="EN397" i="16"/>
  <c r="EP397" i="16"/>
  <c r="ER397" i="16"/>
  <c r="ET397" i="16"/>
  <c r="EV397" i="16"/>
  <c r="EX397" i="16"/>
  <c r="EZ397" i="16"/>
  <c r="FB397" i="16"/>
  <c r="FD397" i="16"/>
  <c r="FF397" i="16"/>
  <c r="FH397" i="16"/>
  <c r="FJ397" i="16"/>
  <c r="FL397" i="16"/>
  <c r="FN397" i="16"/>
  <c r="FP397" i="16"/>
  <c r="FR397" i="16"/>
  <c r="FT397" i="16"/>
  <c r="FV397" i="16"/>
  <c r="FX397" i="16"/>
  <c r="FZ397" i="16"/>
  <c r="GB397" i="16"/>
  <c r="GD397" i="16"/>
  <c r="CY397" i="16"/>
  <c r="DA397" i="16"/>
  <c r="DC397" i="16"/>
  <c r="DE397" i="16"/>
  <c r="DG397" i="16"/>
  <c r="DI397" i="16"/>
  <c r="DK397" i="16"/>
  <c r="DM397" i="16"/>
  <c r="DO397" i="16"/>
  <c r="DQ397" i="16"/>
  <c r="DS397" i="16"/>
  <c r="DU397" i="16"/>
  <c r="DW397" i="16"/>
  <c r="DY397" i="16"/>
  <c r="EA397" i="16"/>
  <c r="EC397" i="16"/>
  <c r="EE397" i="16"/>
  <c r="EG397" i="16"/>
  <c r="EI397" i="16"/>
  <c r="EK397" i="16"/>
  <c r="EM397" i="16"/>
  <c r="EO397" i="16"/>
  <c r="EQ397" i="16"/>
  <c r="ES397" i="16"/>
  <c r="EU397" i="16"/>
  <c r="EW397" i="16"/>
  <c r="EY397" i="16"/>
  <c r="FA397" i="16"/>
  <c r="FC397" i="16"/>
  <c r="FE397" i="16"/>
  <c r="FG397" i="16"/>
  <c r="FI397" i="16"/>
  <c r="FK397" i="16"/>
  <c r="FM397" i="16"/>
  <c r="FO397" i="16"/>
  <c r="FQ397" i="16"/>
  <c r="FS397" i="16"/>
  <c r="FU397" i="16"/>
  <c r="FW397" i="16"/>
  <c r="FY397" i="16"/>
  <c r="GA397" i="16"/>
  <c r="GC397" i="16"/>
  <c r="CY400" i="16"/>
  <c r="DA400" i="16"/>
  <c r="DC400" i="16"/>
  <c r="DE400" i="16"/>
  <c r="DG400" i="16"/>
  <c r="DI400" i="16"/>
  <c r="DK400" i="16"/>
  <c r="DM400" i="16"/>
  <c r="DO400" i="16"/>
  <c r="DQ400" i="16"/>
  <c r="DS400" i="16"/>
  <c r="DU400" i="16"/>
  <c r="DW400" i="16"/>
  <c r="DY400" i="16"/>
  <c r="EA400" i="16"/>
  <c r="EC400" i="16"/>
  <c r="EE400" i="16"/>
  <c r="EG400" i="16"/>
  <c r="EI400" i="16"/>
  <c r="EK400" i="16"/>
  <c r="EM400" i="16"/>
  <c r="EO400" i="16"/>
  <c r="EQ400" i="16"/>
  <c r="ES400" i="16"/>
  <c r="EU400" i="16"/>
  <c r="EW400" i="16"/>
  <c r="EY400" i="16"/>
  <c r="FA400" i="16"/>
  <c r="FC400" i="16"/>
  <c r="FE400" i="16"/>
  <c r="FG400" i="16"/>
  <c r="FI400" i="16"/>
  <c r="FK400" i="16"/>
  <c r="FM400" i="16"/>
  <c r="FO400" i="16"/>
  <c r="FQ400" i="16"/>
  <c r="FS400" i="16"/>
  <c r="FU400" i="16"/>
  <c r="FW400" i="16"/>
  <c r="FY400" i="16"/>
  <c r="GA400" i="16"/>
  <c r="GC400" i="16"/>
  <c r="CZ400" i="16"/>
  <c r="DB400" i="16"/>
  <c r="DD400" i="16"/>
  <c r="DF400" i="16"/>
  <c r="DH400" i="16"/>
  <c r="DJ400" i="16"/>
  <c r="DL400" i="16"/>
  <c r="DN400" i="16"/>
  <c r="DP400" i="16"/>
  <c r="DR400" i="16"/>
  <c r="DT400" i="16"/>
  <c r="DV400" i="16"/>
  <c r="DX400" i="16"/>
  <c r="DZ400" i="16"/>
  <c r="EB400" i="16"/>
  <c r="ED400" i="16"/>
  <c r="EF400" i="16"/>
  <c r="EH400" i="16"/>
  <c r="EJ400" i="16"/>
  <c r="EL400" i="16"/>
  <c r="EN400" i="16"/>
  <c r="EP400" i="16"/>
  <c r="ER400" i="16"/>
  <c r="ET400" i="16"/>
  <c r="EV400" i="16"/>
  <c r="EX400" i="16"/>
  <c r="EZ400" i="16"/>
  <c r="FB400" i="16"/>
  <c r="FD400" i="16"/>
  <c r="FF400" i="16"/>
  <c r="FH400" i="16"/>
  <c r="FJ400" i="16"/>
  <c r="FL400" i="16"/>
  <c r="FN400" i="16"/>
  <c r="FP400" i="16"/>
  <c r="FR400" i="16"/>
  <c r="FT400" i="16"/>
  <c r="FV400" i="16"/>
  <c r="FX400" i="16"/>
  <c r="FZ400" i="16"/>
  <c r="GB400" i="16"/>
  <c r="GD400" i="16"/>
  <c r="CY402" i="16"/>
  <c r="DA402" i="16"/>
  <c r="DC402" i="16"/>
  <c r="DE402" i="16"/>
  <c r="DG402" i="16"/>
  <c r="DI402" i="16"/>
  <c r="DK402" i="16"/>
  <c r="DM402" i="16"/>
  <c r="DO402" i="16"/>
  <c r="DQ402" i="16"/>
  <c r="DS402" i="16"/>
  <c r="DU402" i="16"/>
  <c r="DW402" i="16"/>
  <c r="DY402" i="16"/>
  <c r="EA402" i="16"/>
  <c r="EC402" i="16"/>
  <c r="EE402" i="16"/>
  <c r="EG402" i="16"/>
  <c r="EI402" i="16"/>
  <c r="EK402" i="16"/>
  <c r="EM402" i="16"/>
  <c r="EO402" i="16"/>
  <c r="EQ402" i="16"/>
  <c r="ES402" i="16"/>
  <c r="EU402" i="16"/>
  <c r="EW402" i="16"/>
  <c r="EY402" i="16"/>
  <c r="FA402" i="16"/>
  <c r="FC402" i="16"/>
  <c r="FE402" i="16"/>
  <c r="FG402" i="16"/>
  <c r="FI402" i="16"/>
  <c r="FK402" i="16"/>
  <c r="FM402" i="16"/>
  <c r="FO402" i="16"/>
  <c r="FQ402" i="16"/>
  <c r="FS402" i="16"/>
  <c r="FU402" i="16"/>
  <c r="FW402" i="16"/>
  <c r="FY402" i="16"/>
  <c r="GA402" i="16"/>
  <c r="GC402" i="16"/>
  <c r="CZ402" i="16"/>
  <c r="DB402" i="16"/>
  <c r="DD402" i="16"/>
  <c r="DF402" i="16"/>
  <c r="DH402" i="16"/>
  <c r="DJ402" i="16"/>
  <c r="DL402" i="16"/>
  <c r="DN402" i="16"/>
  <c r="DP402" i="16"/>
  <c r="DR402" i="16"/>
  <c r="DT402" i="16"/>
  <c r="DV402" i="16"/>
  <c r="DX402" i="16"/>
  <c r="DZ402" i="16"/>
  <c r="EB402" i="16"/>
  <c r="ED402" i="16"/>
  <c r="EF402" i="16"/>
  <c r="EH402" i="16"/>
  <c r="EJ402" i="16"/>
  <c r="EL402" i="16"/>
  <c r="EN402" i="16"/>
  <c r="EP402" i="16"/>
  <c r="ER402" i="16"/>
  <c r="ET402" i="16"/>
  <c r="EV402" i="16"/>
  <c r="EX402" i="16"/>
  <c r="EZ402" i="16"/>
  <c r="FB402" i="16"/>
  <c r="FD402" i="16"/>
  <c r="FF402" i="16"/>
  <c r="FH402" i="16"/>
  <c r="FJ402" i="16"/>
  <c r="FL402" i="16"/>
  <c r="FN402" i="16"/>
  <c r="FP402" i="16"/>
  <c r="FR402" i="16"/>
  <c r="FT402" i="16"/>
  <c r="FV402" i="16"/>
  <c r="FX402" i="16"/>
  <c r="FZ402" i="16"/>
  <c r="GB402" i="16"/>
  <c r="GD402" i="16"/>
  <c r="CY404" i="16"/>
  <c r="DA404" i="16"/>
  <c r="DC404" i="16"/>
  <c r="DE404" i="16"/>
  <c r="DG404" i="16"/>
  <c r="DI404" i="16"/>
  <c r="DK404" i="16"/>
  <c r="DM404" i="16"/>
  <c r="DO404" i="16"/>
  <c r="DQ404" i="16"/>
  <c r="DS404" i="16"/>
  <c r="DU404" i="16"/>
  <c r="DW404" i="16"/>
  <c r="DY404" i="16"/>
  <c r="EA404" i="16"/>
  <c r="EC404" i="16"/>
  <c r="EE404" i="16"/>
  <c r="EG404" i="16"/>
  <c r="EI404" i="16"/>
  <c r="EK404" i="16"/>
  <c r="EM404" i="16"/>
  <c r="EO404" i="16"/>
  <c r="EQ404" i="16"/>
  <c r="ES404" i="16"/>
  <c r="EU404" i="16"/>
  <c r="EW404" i="16"/>
  <c r="EY404" i="16"/>
  <c r="FA404" i="16"/>
  <c r="FC404" i="16"/>
  <c r="FE404" i="16"/>
  <c r="FG404" i="16"/>
  <c r="FI404" i="16"/>
  <c r="FK404" i="16"/>
  <c r="FM404" i="16"/>
  <c r="FO404" i="16"/>
  <c r="FQ404" i="16"/>
  <c r="FS404" i="16"/>
  <c r="FU404" i="16"/>
  <c r="FW404" i="16"/>
  <c r="FY404" i="16"/>
  <c r="GA404" i="16"/>
  <c r="GC404" i="16"/>
  <c r="CZ404" i="16"/>
  <c r="DB404" i="16"/>
  <c r="DD404" i="16"/>
  <c r="DF404" i="16"/>
  <c r="DH404" i="16"/>
  <c r="DJ404" i="16"/>
  <c r="DL404" i="16"/>
  <c r="DN404" i="16"/>
  <c r="DP404" i="16"/>
  <c r="DR404" i="16"/>
  <c r="DT404" i="16"/>
  <c r="DV404" i="16"/>
  <c r="DX404" i="16"/>
  <c r="DZ404" i="16"/>
  <c r="EB404" i="16"/>
  <c r="ED404" i="16"/>
  <c r="EF404" i="16"/>
  <c r="EH404" i="16"/>
  <c r="EJ404" i="16"/>
  <c r="EL404" i="16"/>
  <c r="EN404" i="16"/>
  <c r="EP404" i="16"/>
  <c r="ER404" i="16"/>
  <c r="ET404" i="16"/>
  <c r="EV404" i="16"/>
  <c r="EX404" i="16"/>
  <c r="EZ404" i="16"/>
  <c r="FB404" i="16"/>
  <c r="FD404" i="16"/>
  <c r="FF404" i="16"/>
  <c r="FH404" i="16"/>
  <c r="FJ404" i="16"/>
  <c r="FL404" i="16"/>
  <c r="FN404" i="16"/>
  <c r="FP404" i="16"/>
  <c r="FR404" i="16"/>
  <c r="FT404" i="16"/>
  <c r="FV404" i="16"/>
  <c r="FX404" i="16"/>
  <c r="FZ404" i="16"/>
  <c r="GB404" i="16"/>
  <c r="GD404" i="16"/>
  <c r="CY406" i="16"/>
  <c r="DA406" i="16"/>
  <c r="DC406" i="16"/>
  <c r="DE406" i="16"/>
  <c r="DG406" i="16"/>
  <c r="DI406" i="16"/>
  <c r="DK406" i="16"/>
  <c r="DM406" i="16"/>
  <c r="DO406" i="16"/>
  <c r="DQ406" i="16"/>
  <c r="DS406" i="16"/>
  <c r="DU406" i="16"/>
  <c r="DW406" i="16"/>
  <c r="DY406" i="16"/>
  <c r="EA406" i="16"/>
  <c r="EC406" i="16"/>
  <c r="EE406" i="16"/>
  <c r="EG406" i="16"/>
  <c r="EI406" i="16"/>
  <c r="EK406" i="16"/>
  <c r="EM406" i="16"/>
  <c r="EO406" i="16"/>
  <c r="EQ406" i="16"/>
  <c r="ES406" i="16"/>
  <c r="EU406" i="16"/>
  <c r="EW406" i="16"/>
  <c r="EY406" i="16"/>
  <c r="FA406" i="16"/>
  <c r="FC406" i="16"/>
  <c r="FE406" i="16"/>
  <c r="FG406" i="16"/>
  <c r="FI406" i="16"/>
  <c r="FK406" i="16"/>
  <c r="FM406" i="16"/>
  <c r="FO406" i="16"/>
  <c r="FQ406" i="16"/>
  <c r="FS406" i="16"/>
  <c r="FU406" i="16"/>
  <c r="FW406" i="16"/>
  <c r="FY406" i="16"/>
  <c r="GA406" i="16"/>
  <c r="GC406" i="16"/>
  <c r="CZ406" i="16"/>
  <c r="DB406" i="16"/>
  <c r="DD406" i="16"/>
  <c r="DF406" i="16"/>
  <c r="DH406" i="16"/>
  <c r="DJ406" i="16"/>
  <c r="DL406" i="16"/>
  <c r="DN406" i="16"/>
  <c r="DP406" i="16"/>
  <c r="DR406" i="16"/>
  <c r="DT406" i="16"/>
  <c r="DV406" i="16"/>
  <c r="DX406" i="16"/>
  <c r="DZ406" i="16"/>
  <c r="EB406" i="16"/>
  <c r="ED406" i="16"/>
  <c r="EF406" i="16"/>
  <c r="EH406" i="16"/>
  <c r="EJ406" i="16"/>
  <c r="EL406" i="16"/>
  <c r="EN406" i="16"/>
  <c r="EP406" i="16"/>
  <c r="ER406" i="16"/>
  <c r="ET406" i="16"/>
  <c r="EV406" i="16"/>
  <c r="EX406" i="16"/>
  <c r="EZ406" i="16"/>
  <c r="FB406" i="16"/>
  <c r="FD406" i="16"/>
  <c r="FF406" i="16"/>
  <c r="FH406" i="16"/>
  <c r="FJ406" i="16"/>
  <c r="FL406" i="16"/>
  <c r="FN406" i="16"/>
  <c r="FP406" i="16"/>
  <c r="FR406" i="16"/>
  <c r="FT406" i="16"/>
  <c r="FV406" i="16"/>
  <c r="FX406" i="16"/>
  <c r="FZ406" i="16"/>
  <c r="GB406" i="16"/>
  <c r="GD406" i="16"/>
  <c r="CY408" i="16"/>
  <c r="DA408" i="16"/>
  <c r="DC408" i="16"/>
  <c r="DE408" i="16"/>
  <c r="DG408" i="16"/>
  <c r="DI408" i="16"/>
  <c r="DK408" i="16"/>
  <c r="DM408" i="16"/>
  <c r="DO408" i="16"/>
  <c r="DQ408" i="16"/>
  <c r="DS408" i="16"/>
  <c r="DU408" i="16"/>
  <c r="DW408" i="16"/>
  <c r="DY408" i="16"/>
  <c r="EA408" i="16"/>
  <c r="EC408" i="16"/>
  <c r="EE408" i="16"/>
  <c r="EG408" i="16"/>
  <c r="EI408" i="16"/>
  <c r="EK408" i="16"/>
  <c r="EM408" i="16"/>
  <c r="EO408" i="16"/>
  <c r="EQ408" i="16"/>
  <c r="ES408" i="16"/>
  <c r="EU408" i="16"/>
  <c r="EW408" i="16"/>
  <c r="EY408" i="16"/>
  <c r="FA408" i="16"/>
  <c r="FC408" i="16"/>
  <c r="FE408" i="16"/>
  <c r="FG408" i="16"/>
  <c r="FI408" i="16"/>
  <c r="FK408" i="16"/>
  <c r="FM408" i="16"/>
  <c r="FO408" i="16"/>
  <c r="FQ408" i="16"/>
  <c r="FS408" i="16"/>
  <c r="FU408" i="16"/>
  <c r="FW408" i="16"/>
  <c r="FY408" i="16"/>
  <c r="GA408" i="16"/>
  <c r="GC408" i="16"/>
  <c r="CZ408" i="16"/>
  <c r="DB408" i="16"/>
  <c r="DD408" i="16"/>
  <c r="DF408" i="16"/>
  <c r="DH408" i="16"/>
  <c r="DJ408" i="16"/>
  <c r="DL408" i="16"/>
  <c r="DN408" i="16"/>
  <c r="DP408" i="16"/>
  <c r="DR408" i="16"/>
  <c r="DT408" i="16"/>
  <c r="DV408" i="16"/>
  <c r="DX408" i="16"/>
  <c r="DZ408" i="16"/>
  <c r="EB408" i="16"/>
  <c r="ED408" i="16"/>
  <c r="EF408" i="16"/>
  <c r="EH408" i="16"/>
  <c r="EJ408" i="16"/>
  <c r="EL408" i="16"/>
  <c r="EN408" i="16"/>
  <c r="EP408" i="16"/>
  <c r="ER408" i="16"/>
  <c r="ET408" i="16"/>
  <c r="EV408" i="16"/>
  <c r="EX408" i="16"/>
  <c r="EZ408" i="16"/>
  <c r="FB408" i="16"/>
  <c r="FD408" i="16"/>
  <c r="FF408" i="16"/>
  <c r="FH408" i="16"/>
  <c r="FJ408" i="16"/>
  <c r="FL408" i="16"/>
  <c r="FN408" i="16"/>
  <c r="FP408" i="16"/>
  <c r="FR408" i="16"/>
  <c r="FT408" i="16"/>
  <c r="FV408" i="16"/>
  <c r="FX408" i="16"/>
  <c r="FZ408" i="16"/>
  <c r="GB408" i="16"/>
  <c r="GD408" i="16"/>
  <c r="CZ409" i="16"/>
  <c r="DB409" i="16"/>
  <c r="DD409" i="16"/>
  <c r="DF409" i="16"/>
  <c r="DH409" i="16"/>
  <c r="DJ409" i="16"/>
  <c r="DL409" i="16"/>
  <c r="DN409" i="16"/>
  <c r="DP409" i="16"/>
  <c r="DR409" i="16"/>
  <c r="DT409" i="16"/>
  <c r="DV409" i="16"/>
  <c r="DX409" i="16"/>
  <c r="DZ409" i="16"/>
  <c r="EB409" i="16"/>
  <c r="ED409" i="16"/>
  <c r="EF409" i="16"/>
  <c r="EH409" i="16"/>
  <c r="EJ409" i="16"/>
  <c r="EL409" i="16"/>
  <c r="EN409" i="16"/>
  <c r="EP409" i="16"/>
  <c r="ER409" i="16"/>
  <c r="ET409" i="16"/>
  <c r="EV409" i="16"/>
  <c r="EX409" i="16"/>
  <c r="EZ409" i="16"/>
  <c r="FB409" i="16"/>
  <c r="FD409" i="16"/>
  <c r="FF409" i="16"/>
  <c r="FH409" i="16"/>
  <c r="FJ409" i="16"/>
  <c r="FL409" i="16"/>
  <c r="FN409" i="16"/>
  <c r="FP409" i="16"/>
  <c r="FR409" i="16"/>
  <c r="FT409" i="16"/>
  <c r="FV409" i="16"/>
  <c r="FX409" i="16"/>
  <c r="FZ409" i="16"/>
  <c r="GB409" i="16"/>
  <c r="GD409" i="16"/>
  <c r="CY409" i="16"/>
  <c r="DA409" i="16"/>
  <c r="DC409" i="16"/>
  <c r="DE409" i="16"/>
  <c r="DG409" i="16"/>
  <c r="DI409" i="16"/>
  <c r="DK409" i="16"/>
  <c r="DM409" i="16"/>
  <c r="DO409" i="16"/>
  <c r="DQ409" i="16"/>
  <c r="DS409" i="16"/>
  <c r="DU409" i="16"/>
  <c r="DW409" i="16"/>
  <c r="DY409" i="16"/>
  <c r="EA409" i="16"/>
  <c r="EC409" i="16"/>
  <c r="EE409" i="16"/>
  <c r="EG409" i="16"/>
  <c r="EI409" i="16"/>
  <c r="EK409" i="16"/>
  <c r="EM409" i="16"/>
  <c r="EO409" i="16"/>
  <c r="EQ409" i="16"/>
  <c r="ES409" i="16"/>
  <c r="EU409" i="16"/>
  <c r="EW409" i="16"/>
  <c r="EY409" i="16"/>
  <c r="FA409" i="16"/>
  <c r="FC409" i="16"/>
  <c r="FE409" i="16"/>
  <c r="FG409" i="16"/>
  <c r="FI409" i="16"/>
  <c r="FK409" i="16"/>
  <c r="FM409" i="16"/>
  <c r="FO409" i="16"/>
  <c r="FQ409" i="16"/>
  <c r="FS409" i="16"/>
  <c r="FU409" i="16"/>
  <c r="FW409" i="16"/>
  <c r="FY409" i="16"/>
  <c r="GA409" i="16"/>
  <c r="GC409" i="16"/>
  <c r="CY412" i="16"/>
  <c r="DA412" i="16"/>
  <c r="DC412" i="16"/>
  <c r="DE412" i="16"/>
  <c r="DG412" i="16"/>
  <c r="DI412" i="16"/>
  <c r="DK412" i="16"/>
  <c r="DM412" i="16"/>
  <c r="DO412" i="16"/>
  <c r="DQ412" i="16"/>
  <c r="DS412" i="16"/>
  <c r="DU412" i="16"/>
  <c r="DW412" i="16"/>
  <c r="DY412" i="16"/>
  <c r="EA412" i="16"/>
  <c r="EC412" i="16"/>
  <c r="EE412" i="16"/>
  <c r="EG412" i="16"/>
  <c r="EI412" i="16"/>
  <c r="EK412" i="16"/>
  <c r="EM412" i="16"/>
  <c r="EO412" i="16"/>
  <c r="EQ412" i="16"/>
  <c r="ES412" i="16"/>
  <c r="EU412" i="16"/>
  <c r="EW412" i="16"/>
  <c r="EY412" i="16"/>
  <c r="FA412" i="16"/>
  <c r="FC412" i="16"/>
  <c r="FE412" i="16"/>
  <c r="FG412" i="16"/>
  <c r="FI412" i="16"/>
  <c r="FK412" i="16"/>
  <c r="FM412" i="16"/>
  <c r="FO412" i="16"/>
  <c r="FQ412" i="16"/>
  <c r="FS412" i="16"/>
  <c r="FU412" i="16"/>
  <c r="FW412" i="16"/>
  <c r="FY412" i="16"/>
  <c r="GA412" i="16"/>
  <c r="GC412" i="16"/>
  <c r="CZ412" i="16"/>
  <c r="DB412" i="16"/>
  <c r="DD412" i="16"/>
  <c r="DF412" i="16"/>
  <c r="DH412" i="16"/>
  <c r="DJ412" i="16"/>
  <c r="DL412" i="16"/>
  <c r="DN412" i="16"/>
  <c r="DP412" i="16"/>
  <c r="DR412" i="16"/>
  <c r="DT412" i="16"/>
  <c r="DV412" i="16"/>
  <c r="DX412" i="16"/>
  <c r="DZ412" i="16"/>
  <c r="EB412" i="16"/>
  <c r="ED412" i="16"/>
  <c r="EF412" i="16"/>
  <c r="EH412" i="16"/>
  <c r="EJ412" i="16"/>
  <c r="EL412" i="16"/>
  <c r="EN412" i="16"/>
  <c r="EP412" i="16"/>
  <c r="ER412" i="16"/>
  <c r="ET412" i="16"/>
  <c r="EV412" i="16"/>
  <c r="EX412" i="16"/>
  <c r="EZ412" i="16"/>
  <c r="FB412" i="16"/>
  <c r="FD412" i="16"/>
  <c r="FF412" i="16"/>
  <c r="FH412" i="16"/>
  <c r="FJ412" i="16"/>
  <c r="FL412" i="16"/>
  <c r="FN412" i="16"/>
  <c r="FP412" i="16"/>
  <c r="FR412" i="16"/>
  <c r="FT412" i="16"/>
  <c r="FV412" i="16"/>
  <c r="FX412" i="16"/>
  <c r="FZ412" i="16"/>
  <c r="GB412" i="16"/>
  <c r="GD412" i="16"/>
  <c r="CY414" i="16"/>
  <c r="DA414" i="16"/>
  <c r="DC414" i="16"/>
  <c r="DE414" i="16"/>
  <c r="DG414" i="16"/>
  <c r="DI414" i="16"/>
  <c r="DK414" i="16"/>
  <c r="DM414" i="16"/>
  <c r="DO414" i="16"/>
  <c r="DQ414" i="16"/>
  <c r="DS414" i="16"/>
  <c r="DU414" i="16"/>
  <c r="DW414" i="16"/>
  <c r="DY414" i="16"/>
  <c r="EA414" i="16"/>
  <c r="EC414" i="16"/>
  <c r="EE414" i="16"/>
  <c r="EG414" i="16"/>
  <c r="EI414" i="16"/>
  <c r="EK414" i="16"/>
  <c r="EM414" i="16"/>
  <c r="EO414" i="16"/>
  <c r="EQ414" i="16"/>
  <c r="ES414" i="16"/>
  <c r="EU414" i="16"/>
  <c r="EW414" i="16"/>
  <c r="EY414" i="16"/>
  <c r="FA414" i="16"/>
  <c r="FC414" i="16"/>
  <c r="FE414" i="16"/>
  <c r="FG414" i="16"/>
  <c r="FI414" i="16"/>
  <c r="FK414" i="16"/>
  <c r="FM414" i="16"/>
  <c r="FO414" i="16"/>
  <c r="FQ414" i="16"/>
  <c r="FS414" i="16"/>
  <c r="FU414" i="16"/>
  <c r="FW414" i="16"/>
  <c r="FY414" i="16"/>
  <c r="GA414" i="16"/>
  <c r="GC414" i="16"/>
  <c r="CZ414" i="16"/>
  <c r="DB414" i="16"/>
  <c r="DD414" i="16"/>
  <c r="DF414" i="16"/>
  <c r="DH414" i="16"/>
  <c r="DJ414" i="16"/>
  <c r="DL414" i="16"/>
  <c r="DN414" i="16"/>
  <c r="DP414" i="16"/>
  <c r="DR414" i="16"/>
  <c r="DT414" i="16"/>
  <c r="DV414" i="16"/>
  <c r="DX414" i="16"/>
  <c r="DZ414" i="16"/>
  <c r="EB414" i="16"/>
  <c r="ED414" i="16"/>
  <c r="EF414" i="16"/>
  <c r="EH414" i="16"/>
  <c r="EJ414" i="16"/>
  <c r="EL414" i="16"/>
  <c r="EN414" i="16"/>
  <c r="EP414" i="16"/>
  <c r="ER414" i="16"/>
  <c r="ET414" i="16"/>
  <c r="EV414" i="16"/>
  <c r="EX414" i="16"/>
  <c r="EZ414" i="16"/>
  <c r="FB414" i="16"/>
  <c r="FD414" i="16"/>
  <c r="FF414" i="16"/>
  <c r="FH414" i="16"/>
  <c r="FJ414" i="16"/>
  <c r="FL414" i="16"/>
  <c r="FN414" i="16"/>
  <c r="FP414" i="16"/>
  <c r="FR414" i="16"/>
  <c r="FT414" i="16"/>
  <c r="FV414" i="16"/>
  <c r="FX414" i="16"/>
  <c r="FZ414" i="16"/>
  <c r="GB414" i="16"/>
  <c r="GD414" i="16"/>
  <c r="CY416" i="16"/>
  <c r="DA416" i="16"/>
  <c r="DC416" i="16"/>
  <c r="DE416" i="16"/>
  <c r="DG416" i="16"/>
  <c r="DI416" i="16"/>
  <c r="DK416" i="16"/>
  <c r="DM416" i="16"/>
  <c r="DO416" i="16"/>
  <c r="DQ416" i="16"/>
  <c r="DS416" i="16"/>
  <c r="DU416" i="16"/>
  <c r="DW416" i="16"/>
  <c r="DY416" i="16"/>
  <c r="EA416" i="16"/>
  <c r="EC416" i="16"/>
  <c r="EE416" i="16"/>
  <c r="EG416" i="16"/>
  <c r="EI416" i="16"/>
  <c r="EK416" i="16"/>
  <c r="EM416" i="16"/>
  <c r="EO416" i="16"/>
  <c r="EQ416" i="16"/>
  <c r="ES416" i="16"/>
  <c r="EU416" i="16"/>
  <c r="EW416" i="16"/>
  <c r="EY416" i="16"/>
  <c r="FA416" i="16"/>
  <c r="FC416" i="16"/>
  <c r="FE416" i="16"/>
  <c r="FG416" i="16"/>
  <c r="FI416" i="16"/>
  <c r="FK416" i="16"/>
  <c r="FM416" i="16"/>
  <c r="FO416" i="16"/>
  <c r="FQ416" i="16"/>
  <c r="FS416" i="16"/>
  <c r="FU416" i="16"/>
  <c r="FW416" i="16"/>
  <c r="FY416" i="16"/>
  <c r="GA416" i="16"/>
  <c r="GC416" i="16"/>
  <c r="CZ416" i="16"/>
  <c r="DB416" i="16"/>
  <c r="DD416" i="16"/>
  <c r="DF416" i="16"/>
  <c r="DH416" i="16"/>
  <c r="DJ416" i="16"/>
  <c r="DL416" i="16"/>
  <c r="DN416" i="16"/>
  <c r="DP416" i="16"/>
  <c r="DR416" i="16"/>
  <c r="DT416" i="16"/>
  <c r="DV416" i="16"/>
  <c r="DX416" i="16"/>
  <c r="DZ416" i="16"/>
  <c r="EB416" i="16"/>
  <c r="ED416" i="16"/>
  <c r="EF416" i="16"/>
  <c r="EH416" i="16"/>
  <c r="EJ416" i="16"/>
  <c r="EL416" i="16"/>
  <c r="EN416" i="16"/>
  <c r="EP416" i="16"/>
  <c r="ER416" i="16"/>
  <c r="ET416" i="16"/>
  <c r="EV416" i="16"/>
  <c r="EX416" i="16"/>
  <c r="EZ416" i="16"/>
  <c r="FB416" i="16"/>
  <c r="FD416" i="16"/>
  <c r="FF416" i="16"/>
  <c r="FH416" i="16"/>
  <c r="FJ416" i="16"/>
  <c r="FL416" i="16"/>
  <c r="FN416" i="16"/>
  <c r="FP416" i="16"/>
  <c r="FR416" i="16"/>
  <c r="FT416" i="16"/>
  <c r="FV416" i="16"/>
  <c r="FX416" i="16"/>
  <c r="FZ416" i="16"/>
  <c r="GB416" i="16"/>
  <c r="GD416" i="16"/>
  <c r="CY418" i="16"/>
  <c r="DA418" i="16"/>
  <c r="DC418" i="16"/>
  <c r="DE418" i="16"/>
  <c r="DG418" i="16"/>
  <c r="DI418" i="16"/>
  <c r="DK418" i="16"/>
  <c r="DM418" i="16"/>
  <c r="DO418" i="16"/>
  <c r="DQ418" i="16"/>
  <c r="DS418" i="16"/>
  <c r="DU418" i="16"/>
  <c r="DW418" i="16"/>
  <c r="DY418" i="16"/>
  <c r="EA418" i="16"/>
  <c r="EC418" i="16"/>
  <c r="EE418" i="16"/>
  <c r="EG418" i="16"/>
  <c r="EI418" i="16"/>
  <c r="EK418" i="16"/>
  <c r="EM418" i="16"/>
  <c r="EO418" i="16"/>
  <c r="EQ418" i="16"/>
  <c r="ES418" i="16"/>
  <c r="EU418" i="16"/>
  <c r="EW418" i="16"/>
  <c r="EY418" i="16"/>
  <c r="FA418" i="16"/>
  <c r="FC418" i="16"/>
  <c r="FE418" i="16"/>
  <c r="FG418" i="16"/>
  <c r="FI418" i="16"/>
  <c r="FK418" i="16"/>
  <c r="FM418" i="16"/>
  <c r="FO418" i="16"/>
  <c r="FQ418" i="16"/>
  <c r="FS418" i="16"/>
  <c r="FU418" i="16"/>
  <c r="FW418" i="16"/>
  <c r="FY418" i="16"/>
  <c r="GA418" i="16"/>
  <c r="GC418" i="16"/>
  <c r="CZ418" i="16"/>
  <c r="DB418" i="16"/>
  <c r="DD418" i="16"/>
  <c r="DF418" i="16"/>
  <c r="DH418" i="16"/>
  <c r="DJ418" i="16"/>
  <c r="DL418" i="16"/>
  <c r="DN418" i="16"/>
  <c r="DP418" i="16"/>
  <c r="DR418" i="16"/>
  <c r="DT418" i="16"/>
  <c r="DV418" i="16"/>
  <c r="DX418" i="16"/>
  <c r="DZ418" i="16"/>
  <c r="EB418" i="16"/>
  <c r="ED418" i="16"/>
  <c r="EF418" i="16"/>
  <c r="EH418" i="16"/>
  <c r="EJ418" i="16"/>
  <c r="EL418" i="16"/>
  <c r="EN418" i="16"/>
  <c r="EP418" i="16"/>
  <c r="ER418" i="16"/>
  <c r="ET418" i="16"/>
  <c r="EV418" i="16"/>
  <c r="EX418" i="16"/>
  <c r="EZ418" i="16"/>
  <c r="FB418" i="16"/>
  <c r="FD418" i="16"/>
  <c r="FF418" i="16"/>
  <c r="FH418" i="16"/>
  <c r="FJ418" i="16"/>
  <c r="FL418" i="16"/>
  <c r="FN418" i="16"/>
  <c r="FP418" i="16"/>
  <c r="FR418" i="16"/>
  <c r="FT418" i="16"/>
  <c r="FV418" i="16"/>
  <c r="FX418" i="16"/>
  <c r="FZ418" i="16"/>
  <c r="GB418" i="16"/>
  <c r="GD418" i="16"/>
  <c r="CY420" i="16"/>
  <c r="DA420" i="16"/>
  <c r="DC420" i="16"/>
  <c r="DE420" i="16"/>
  <c r="DG420" i="16"/>
  <c r="DI420" i="16"/>
  <c r="DK420" i="16"/>
  <c r="DM420" i="16"/>
  <c r="DO420" i="16"/>
  <c r="DQ420" i="16"/>
  <c r="DS420" i="16"/>
  <c r="DU420" i="16"/>
  <c r="DW420" i="16"/>
  <c r="DY420" i="16"/>
  <c r="EA420" i="16"/>
  <c r="EC420" i="16"/>
  <c r="EE420" i="16"/>
  <c r="EG420" i="16"/>
  <c r="EI420" i="16"/>
  <c r="EK420" i="16"/>
  <c r="EM420" i="16"/>
  <c r="EO420" i="16"/>
  <c r="EQ420" i="16"/>
  <c r="ES420" i="16"/>
  <c r="EU420" i="16"/>
  <c r="EW420" i="16"/>
  <c r="EY420" i="16"/>
  <c r="FA420" i="16"/>
  <c r="FC420" i="16"/>
  <c r="FE420" i="16"/>
  <c r="FG420" i="16"/>
  <c r="FI420" i="16"/>
  <c r="FK420" i="16"/>
  <c r="FM420" i="16"/>
  <c r="FO420" i="16"/>
  <c r="FQ420" i="16"/>
  <c r="FS420" i="16"/>
  <c r="FU420" i="16"/>
  <c r="FW420" i="16"/>
  <c r="FY420" i="16"/>
  <c r="GA420" i="16"/>
  <c r="GC420" i="16"/>
  <c r="CZ420" i="16"/>
  <c r="DB420" i="16"/>
  <c r="DD420" i="16"/>
  <c r="DF420" i="16"/>
  <c r="DH420" i="16"/>
  <c r="DJ420" i="16"/>
  <c r="DL420" i="16"/>
  <c r="DN420" i="16"/>
  <c r="DP420" i="16"/>
  <c r="DR420" i="16"/>
  <c r="DT420" i="16"/>
  <c r="DV420" i="16"/>
  <c r="DX420" i="16"/>
  <c r="DZ420" i="16"/>
  <c r="EB420" i="16"/>
  <c r="ED420" i="16"/>
  <c r="EF420" i="16"/>
  <c r="EH420" i="16"/>
  <c r="EJ420" i="16"/>
  <c r="EL420" i="16"/>
  <c r="EN420" i="16"/>
  <c r="EP420" i="16"/>
  <c r="ER420" i="16"/>
  <c r="ET420" i="16"/>
  <c r="EV420" i="16"/>
  <c r="EX420" i="16"/>
  <c r="EZ420" i="16"/>
  <c r="FB420" i="16"/>
  <c r="FD420" i="16"/>
  <c r="FF420" i="16"/>
  <c r="FH420" i="16"/>
  <c r="FJ420" i="16"/>
  <c r="FL420" i="16"/>
  <c r="FN420" i="16"/>
  <c r="FP420" i="16"/>
  <c r="FR420" i="16"/>
  <c r="FT420" i="16"/>
  <c r="FV420" i="16"/>
  <c r="FX420" i="16"/>
  <c r="FZ420" i="16"/>
  <c r="GB420" i="16"/>
  <c r="GD420" i="16"/>
  <c r="CZ423" i="16"/>
  <c r="DB423" i="16"/>
  <c r="DD423" i="16"/>
  <c r="DF423" i="16"/>
  <c r="DH423" i="16"/>
  <c r="DJ423" i="16"/>
  <c r="DL423" i="16"/>
  <c r="DN423" i="16"/>
  <c r="DP423" i="16"/>
  <c r="DR423" i="16"/>
  <c r="DT423" i="16"/>
  <c r="DV423" i="16"/>
  <c r="DX423" i="16"/>
  <c r="DZ423" i="16"/>
  <c r="EB423" i="16"/>
  <c r="ED423" i="16"/>
  <c r="EF423" i="16"/>
  <c r="EH423" i="16"/>
  <c r="EJ423" i="16"/>
  <c r="EL423" i="16"/>
  <c r="EN423" i="16"/>
  <c r="EP423" i="16"/>
  <c r="ER423" i="16"/>
  <c r="ET423" i="16"/>
  <c r="EV423" i="16"/>
  <c r="EX423" i="16"/>
  <c r="EZ423" i="16"/>
  <c r="FB423" i="16"/>
  <c r="FD423" i="16"/>
  <c r="FF423" i="16"/>
  <c r="FH423" i="16"/>
  <c r="FJ423" i="16"/>
  <c r="FL423" i="16"/>
  <c r="FN423" i="16"/>
  <c r="FP423" i="16"/>
  <c r="FR423" i="16"/>
  <c r="FT423" i="16"/>
  <c r="FV423" i="16"/>
  <c r="FX423" i="16"/>
  <c r="FZ423" i="16"/>
  <c r="GB423" i="16"/>
  <c r="GD423" i="16"/>
  <c r="CY423" i="16"/>
  <c r="DA423" i="16"/>
  <c r="DC423" i="16"/>
  <c r="DE423" i="16"/>
  <c r="DG423" i="16"/>
  <c r="DI423" i="16"/>
  <c r="DK423" i="16"/>
  <c r="DM423" i="16"/>
  <c r="DO423" i="16"/>
  <c r="DQ423" i="16"/>
  <c r="DS423" i="16"/>
  <c r="DU423" i="16"/>
  <c r="DW423" i="16"/>
  <c r="DY423" i="16"/>
  <c r="EA423" i="16"/>
  <c r="EC423" i="16"/>
  <c r="EE423" i="16"/>
  <c r="EG423" i="16"/>
  <c r="EI423" i="16"/>
  <c r="EK423" i="16"/>
  <c r="EM423" i="16"/>
  <c r="EO423" i="16"/>
  <c r="EQ423" i="16"/>
  <c r="ES423" i="16"/>
  <c r="EU423" i="16"/>
  <c r="EW423" i="16"/>
  <c r="EY423" i="16"/>
  <c r="FA423" i="16"/>
  <c r="FC423" i="16"/>
  <c r="FE423" i="16"/>
  <c r="FG423" i="16"/>
  <c r="FI423" i="16"/>
  <c r="FK423" i="16"/>
  <c r="FM423" i="16"/>
  <c r="FO423" i="16"/>
  <c r="FQ423" i="16"/>
  <c r="FS423" i="16"/>
  <c r="FU423" i="16"/>
  <c r="FW423" i="16"/>
  <c r="FY423" i="16"/>
  <c r="GA423" i="16"/>
  <c r="GC423" i="16"/>
  <c r="CZ425" i="16"/>
  <c r="DB425" i="16"/>
  <c r="DD425" i="16"/>
  <c r="DF425" i="16"/>
  <c r="DH425" i="16"/>
  <c r="DJ425" i="16"/>
  <c r="DL425" i="16"/>
  <c r="DN425" i="16"/>
  <c r="DP425" i="16"/>
  <c r="DR425" i="16"/>
  <c r="DT425" i="16"/>
  <c r="DV425" i="16"/>
  <c r="DX425" i="16"/>
  <c r="DZ425" i="16"/>
  <c r="EB425" i="16"/>
  <c r="ED425" i="16"/>
  <c r="EF425" i="16"/>
  <c r="EH425" i="16"/>
  <c r="EJ425" i="16"/>
  <c r="EL425" i="16"/>
  <c r="EN425" i="16"/>
  <c r="EP425" i="16"/>
  <c r="ER425" i="16"/>
  <c r="ET425" i="16"/>
  <c r="EV425" i="16"/>
  <c r="EX425" i="16"/>
  <c r="EZ425" i="16"/>
  <c r="FB425" i="16"/>
  <c r="FD425" i="16"/>
  <c r="FF425" i="16"/>
  <c r="FH425" i="16"/>
  <c r="FJ425" i="16"/>
  <c r="FL425" i="16"/>
  <c r="FN425" i="16"/>
  <c r="FP425" i="16"/>
  <c r="FR425" i="16"/>
  <c r="FT425" i="16"/>
  <c r="FV425" i="16"/>
  <c r="FX425" i="16"/>
  <c r="FZ425" i="16"/>
  <c r="GB425" i="16"/>
  <c r="GD425" i="16"/>
  <c r="CY425" i="16"/>
  <c r="DA425" i="16"/>
  <c r="DC425" i="16"/>
  <c r="DE425" i="16"/>
  <c r="DG425" i="16"/>
  <c r="DI425" i="16"/>
  <c r="DK425" i="16"/>
  <c r="DM425" i="16"/>
  <c r="DO425" i="16"/>
  <c r="DQ425" i="16"/>
  <c r="DS425" i="16"/>
  <c r="DU425" i="16"/>
  <c r="DW425" i="16"/>
  <c r="DY425" i="16"/>
  <c r="EA425" i="16"/>
  <c r="EC425" i="16"/>
  <c r="EE425" i="16"/>
  <c r="EG425" i="16"/>
  <c r="EI425" i="16"/>
  <c r="EK425" i="16"/>
  <c r="EM425" i="16"/>
  <c r="EO425" i="16"/>
  <c r="EQ425" i="16"/>
  <c r="ES425" i="16"/>
  <c r="EU425" i="16"/>
  <c r="EW425" i="16"/>
  <c r="EY425" i="16"/>
  <c r="FA425" i="16"/>
  <c r="FC425" i="16"/>
  <c r="FE425" i="16"/>
  <c r="FG425" i="16"/>
  <c r="FI425" i="16"/>
  <c r="FK425" i="16"/>
  <c r="FM425" i="16"/>
  <c r="FO425" i="16"/>
  <c r="FQ425" i="16"/>
  <c r="FS425" i="16"/>
  <c r="FU425" i="16"/>
  <c r="FW425" i="16"/>
  <c r="FY425" i="16"/>
  <c r="GA425" i="16"/>
  <c r="GC425" i="16"/>
  <c r="CZ427" i="16"/>
  <c r="DB427" i="16"/>
  <c r="DD427" i="16"/>
  <c r="DF427" i="16"/>
  <c r="DH427" i="16"/>
  <c r="DJ427" i="16"/>
  <c r="DL427" i="16"/>
  <c r="DN427" i="16"/>
  <c r="DP427" i="16"/>
  <c r="DR427" i="16"/>
  <c r="DT427" i="16"/>
  <c r="DV427" i="16"/>
  <c r="DX427" i="16"/>
  <c r="DZ427" i="16"/>
  <c r="EB427" i="16"/>
  <c r="ED427" i="16"/>
  <c r="EF427" i="16"/>
  <c r="EH427" i="16"/>
  <c r="EJ427" i="16"/>
  <c r="EL427" i="16"/>
  <c r="EN427" i="16"/>
  <c r="EP427" i="16"/>
  <c r="ER427" i="16"/>
  <c r="ET427" i="16"/>
  <c r="EV427" i="16"/>
  <c r="EX427" i="16"/>
  <c r="EZ427" i="16"/>
  <c r="FB427" i="16"/>
  <c r="FD427" i="16"/>
  <c r="FF427" i="16"/>
  <c r="FH427" i="16"/>
  <c r="FJ427" i="16"/>
  <c r="FL427" i="16"/>
  <c r="FN427" i="16"/>
  <c r="FP427" i="16"/>
  <c r="FR427" i="16"/>
  <c r="FT427" i="16"/>
  <c r="FV427" i="16"/>
  <c r="FX427" i="16"/>
  <c r="FZ427" i="16"/>
  <c r="GB427" i="16"/>
  <c r="GD427" i="16"/>
  <c r="CY427" i="16"/>
  <c r="DA427" i="16"/>
  <c r="DC427" i="16"/>
  <c r="DE427" i="16"/>
  <c r="DG427" i="16"/>
  <c r="DI427" i="16"/>
  <c r="DK427" i="16"/>
  <c r="DM427" i="16"/>
  <c r="DO427" i="16"/>
  <c r="DQ427" i="16"/>
  <c r="DS427" i="16"/>
  <c r="DU427" i="16"/>
  <c r="DW427" i="16"/>
  <c r="DY427" i="16"/>
  <c r="EA427" i="16"/>
  <c r="EC427" i="16"/>
  <c r="EE427" i="16"/>
  <c r="EG427" i="16"/>
  <c r="EI427" i="16"/>
  <c r="EK427" i="16"/>
  <c r="EM427" i="16"/>
  <c r="EO427" i="16"/>
  <c r="EQ427" i="16"/>
  <c r="ES427" i="16"/>
  <c r="EU427" i="16"/>
  <c r="EW427" i="16"/>
  <c r="EY427" i="16"/>
  <c r="FA427" i="16"/>
  <c r="FC427" i="16"/>
  <c r="FE427" i="16"/>
  <c r="FG427" i="16"/>
  <c r="FI427" i="16"/>
  <c r="FK427" i="16"/>
  <c r="FM427" i="16"/>
  <c r="FO427" i="16"/>
  <c r="FQ427" i="16"/>
  <c r="FS427" i="16"/>
  <c r="FU427" i="16"/>
  <c r="FW427" i="16"/>
  <c r="FY427" i="16"/>
  <c r="GA427" i="16"/>
  <c r="GC427" i="16"/>
  <c r="CZ429" i="16"/>
  <c r="DB429" i="16"/>
  <c r="DD429" i="16"/>
  <c r="DF429" i="16"/>
  <c r="DH429" i="16"/>
  <c r="DJ429" i="16"/>
  <c r="DL429" i="16"/>
  <c r="DN429" i="16"/>
  <c r="DP429" i="16"/>
  <c r="DR429" i="16"/>
  <c r="DT429" i="16"/>
  <c r="DV429" i="16"/>
  <c r="DX429" i="16"/>
  <c r="DZ429" i="16"/>
  <c r="EB429" i="16"/>
  <c r="ED429" i="16"/>
  <c r="EF429" i="16"/>
  <c r="EH429" i="16"/>
  <c r="EJ429" i="16"/>
  <c r="EL429" i="16"/>
  <c r="EN429" i="16"/>
  <c r="EP429" i="16"/>
  <c r="ER429" i="16"/>
  <c r="ET429" i="16"/>
  <c r="EV429" i="16"/>
  <c r="EX429" i="16"/>
  <c r="EZ429" i="16"/>
  <c r="FB429" i="16"/>
  <c r="FD429" i="16"/>
  <c r="FF429" i="16"/>
  <c r="FH429" i="16"/>
  <c r="FJ429" i="16"/>
  <c r="FL429" i="16"/>
  <c r="FN429" i="16"/>
  <c r="FP429" i="16"/>
  <c r="FR429" i="16"/>
  <c r="FT429" i="16"/>
  <c r="FV429" i="16"/>
  <c r="FX429" i="16"/>
  <c r="FZ429" i="16"/>
  <c r="GB429" i="16"/>
  <c r="GD429" i="16"/>
  <c r="CY429" i="16"/>
  <c r="DA429" i="16"/>
  <c r="DC429" i="16"/>
  <c r="DE429" i="16"/>
  <c r="DG429" i="16"/>
  <c r="DI429" i="16"/>
  <c r="DK429" i="16"/>
  <c r="DM429" i="16"/>
  <c r="DO429" i="16"/>
  <c r="DQ429" i="16"/>
  <c r="DS429" i="16"/>
  <c r="DU429" i="16"/>
  <c r="DW429" i="16"/>
  <c r="DY429" i="16"/>
  <c r="EA429" i="16"/>
  <c r="EC429" i="16"/>
  <c r="EE429" i="16"/>
  <c r="EG429" i="16"/>
  <c r="EI429" i="16"/>
  <c r="EK429" i="16"/>
  <c r="EM429" i="16"/>
  <c r="EO429" i="16"/>
  <c r="EQ429" i="16"/>
  <c r="ES429" i="16"/>
  <c r="EU429" i="16"/>
  <c r="EW429" i="16"/>
  <c r="EY429" i="16"/>
  <c r="FA429" i="16"/>
  <c r="FC429" i="16"/>
  <c r="FE429" i="16"/>
  <c r="FG429" i="16"/>
  <c r="FI429" i="16"/>
  <c r="FK429" i="16"/>
  <c r="FM429" i="16"/>
  <c r="FO429" i="16"/>
  <c r="FQ429" i="16"/>
  <c r="FS429" i="16"/>
  <c r="FU429" i="16"/>
  <c r="FW429" i="16"/>
  <c r="FY429" i="16"/>
  <c r="GA429" i="16"/>
  <c r="GC429" i="16"/>
  <c r="CY432" i="16"/>
  <c r="DA432" i="16"/>
  <c r="DC432" i="16"/>
  <c r="DE432" i="16"/>
  <c r="DG432" i="16"/>
  <c r="DI432" i="16"/>
  <c r="DK432" i="16"/>
  <c r="DM432" i="16"/>
  <c r="DO432" i="16"/>
  <c r="DQ432" i="16"/>
  <c r="DS432" i="16"/>
  <c r="DU432" i="16"/>
  <c r="DW432" i="16"/>
  <c r="DY432" i="16"/>
  <c r="EA432" i="16"/>
  <c r="EC432" i="16"/>
  <c r="EE432" i="16"/>
  <c r="EG432" i="16"/>
  <c r="EI432" i="16"/>
  <c r="EK432" i="16"/>
  <c r="EM432" i="16"/>
  <c r="EO432" i="16"/>
  <c r="EQ432" i="16"/>
  <c r="ES432" i="16"/>
  <c r="EU432" i="16"/>
  <c r="EW432" i="16"/>
  <c r="EY432" i="16"/>
  <c r="FA432" i="16"/>
  <c r="FC432" i="16"/>
  <c r="FE432" i="16"/>
  <c r="FG432" i="16"/>
  <c r="FI432" i="16"/>
  <c r="FK432" i="16"/>
  <c r="FM432" i="16"/>
  <c r="FO432" i="16"/>
  <c r="FQ432" i="16"/>
  <c r="FS432" i="16"/>
  <c r="FU432" i="16"/>
  <c r="FW432" i="16"/>
  <c r="FY432" i="16"/>
  <c r="GA432" i="16"/>
  <c r="GC432" i="16"/>
  <c r="CZ432" i="16"/>
  <c r="DB432" i="16"/>
  <c r="DD432" i="16"/>
  <c r="DF432" i="16"/>
  <c r="DH432" i="16"/>
  <c r="DJ432" i="16"/>
  <c r="DL432" i="16"/>
  <c r="DN432" i="16"/>
  <c r="DP432" i="16"/>
  <c r="DR432" i="16"/>
  <c r="DT432" i="16"/>
  <c r="DV432" i="16"/>
  <c r="DX432" i="16"/>
  <c r="DZ432" i="16"/>
  <c r="EB432" i="16"/>
  <c r="ED432" i="16"/>
  <c r="EF432" i="16"/>
  <c r="EH432" i="16"/>
  <c r="EJ432" i="16"/>
  <c r="EL432" i="16"/>
  <c r="EN432" i="16"/>
  <c r="EP432" i="16"/>
  <c r="ER432" i="16"/>
  <c r="ET432" i="16"/>
  <c r="EV432" i="16"/>
  <c r="EX432" i="16"/>
  <c r="EZ432" i="16"/>
  <c r="FB432" i="16"/>
  <c r="FD432" i="16"/>
  <c r="FF432" i="16"/>
  <c r="FH432" i="16"/>
  <c r="FJ432" i="16"/>
  <c r="FL432" i="16"/>
  <c r="FN432" i="16"/>
  <c r="FP432" i="16"/>
  <c r="FR432" i="16"/>
  <c r="FT432" i="16"/>
  <c r="FV432" i="16"/>
  <c r="FX432" i="16"/>
  <c r="FZ432" i="16"/>
  <c r="GB432" i="16"/>
  <c r="GD432" i="16"/>
  <c r="CY434" i="16"/>
  <c r="DA434" i="16"/>
  <c r="DC434" i="16"/>
  <c r="DE434" i="16"/>
  <c r="DG434" i="16"/>
  <c r="DI434" i="16"/>
  <c r="DK434" i="16"/>
  <c r="DM434" i="16"/>
  <c r="DO434" i="16"/>
  <c r="DQ434" i="16"/>
  <c r="DS434" i="16"/>
  <c r="DU434" i="16"/>
  <c r="DW434" i="16"/>
  <c r="DY434" i="16"/>
  <c r="EA434" i="16"/>
  <c r="EC434" i="16"/>
  <c r="EE434" i="16"/>
  <c r="EG434" i="16"/>
  <c r="EI434" i="16"/>
  <c r="EK434" i="16"/>
  <c r="EM434" i="16"/>
  <c r="EO434" i="16"/>
  <c r="EQ434" i="16"/>
  <c r="ES434" i="16"/>
  <c r="EU434" i="16"/>
  <c r="EW434" i="16"/>
  <c r="EY434" i="16"/>
  <c r="FA434" i="16"/>
  <c r="FC434" i="16"/>
  <c r="FE434" i="16"/>
  <c r="FG434" i="16"/>
  <c r="FI434" i="16"/>
  <c r="FK434" i="16"/>
  <c r="FM434" i="16"/>
  <c r="FO434" i="16"/>
  <c r="FQ434" i="16"/>
  <c r="FS434" i="16"/>
  <c r="FU434" i="16"/>
  <c r="FW434" i="16"/>
  <c r="FY434" i="16"/>
  <c r="GA434" i="16"/>
  <c r="GC434" i="16"/>
  <c r="CZ434" i="16"/>
  <c r="DB434" i="16"/>
  <c r="DD434" i="16"/>
  <c r="DF434" i="16"/>
  <c r="DH434" i="16"/>
  <c r="DJ434" i="16"/>
  <c r="DL434" i="16"/>
  <c r="DN434" i="16"/>
  <c r="DP434" i="16"/>
  <c r="DR434" i="16"/>
  <c r="DT434" i="16"/>
  <c r="DV434" i="16"/>
  <c r="DX434" i="16"/>
  <c r="DZ434" i="16"/>
  <c r="EB434" i="16"/>
  <c r="ED434" i="16"/>
  <c r="EF434" i="16"/>
  <c r="EH434" i="16"/>
  <c r="EJ434" i="16"/>
  <c r="EL434" i="16"/>
  <c r="EN434" i="16"/>
  <c r="EP434" i="16"/>
  <c r="ER434" i="16"/>
  <c r="ET434" i="16"/>
  <c r="EV434" i="16"/>
  <c r="EX434" i="16"/>
  <c r="EZ434" i="16"/>
  <c r="FB434" i="16"/>
  <c r="FD434" i="16"/>
  <c r="FF434" i="16"/>
  <c r="FH434" i="16"/>
  <c r="FJ434" i="16"/>
  <c r="FL434" i="16"/>
  <c r="FN434" i="16"/>
  <c r="FP434" i="16"/>
  <c r="FR434" i="16"/>
  <c r="FT434" i="16"/>
  <c r="FV434" i="16"/>
  <c r="FX434" i="16"/>
  <c r="FZ434" i="16"/>
  <c r="GB434" i="16"/>
  <c r="GD434" i="16"/>
  <c r="CY436" i="16"/>
  <c r="DA436" i="16"/>
  <c r="DC436" i="16"/>
  <c r="DE436" i="16"/>
  <c r="DG436" i="16"/>
  <c r="DI436" i="16"/>
  <c r="DK436" i="16"/>
  <c r="DM436" i="16"/>
  <c r="DO436" i="16"/>
  <c r="DQ436" i="16"/>
  <c r="DS436" i="16"/>
  <c r="DU436" i="16"/>
  <c r="DW436" i="16"/>
  <c r="DY436" i="16"/>
  <c r="EA436" i="16"/>
  <c r="EC436" i="16"/>
  <c r="EE436" i="16"/>
  <c r="EG436" i="16"/>
  <c r="EI436" i="16"/>
  <c r="EK436" i="16"/>
  <c r="EM436" i="16"/>
  <c r="EO436" i="16"/>
  <c r="EQ436" i="16"/>
  <c r="ES436" i="16"/>
  <c r="EU436" i="16"/>
  <c r="EW436" i="16"/>
  <c r="EY436" i="16"/>
  <c r="FA436" i="16"/>
  <c r="FC436" i="16"/>
  <c r="FE436" i="16"/>
  <c r="FG436" i="16"/>
  <c r="FI436" i="16"/>
  <c r="FK436" i="16"/>
  <c r="FM436" i="16"/>
  <c r="FO436" i="16"/>
  <c r="FQ436" i="16"/>
  <c r="FS436" i="16"/>
  <c r="FU436" i="16"/>
  <c r="FW436" i="16"/>
  <c r="FY436" i="16"/>
  <c r="GA436" i="16"/>
  <c r="GC436" i="16"/>
  <c r="CZ436" i="16"/>
  <c r="DB436" i="16"/>
  <c r="DD436" i="16"/>
  <c r="DF436" i="16"/>
  <c r="DH436" i="16"/>
  <c r="DJ436" i="16"/>
  <c r="DL436" i="16"/>
  <c r="DN436" i="16"/>
  <c r="DP436" i="16"/>
  <c r="DR436" i="16"/>
  <c r="DT436" i="16"/>
  <c r="DV436" i="16"/>
  <c r="DX436" i="16"/>
  <c r="DZ436" i="16"/>
  <c r="EB436" i="16"/>
  <c r="ED436" i="16"/>
  <c r="EF436" i="16"/>
  <c r="EH436" i="16"/>
  <c r="EJ436" i="16"/>
  <c r="EL436" i="16"/>
  <c r="EN436" i="16"/>
  <c r="EP436" i="16"/>
  <c r="ER436" i="16"/>
  <c r="ET436" i="16"/>
  <c r="EV436" i="16"/>
  <c r="EX436" i="16"/>
  <c r="EZ436" i="16"/>
  <c r="FB436" i="16"/>
  <c r="FD436" i="16"/>
  <c r="FF436" i="16"/>
  <c r="FH436" i="16"/>
  <c r="FJ436" i="16"/>
  <c r="FL436" i="16"/>
  <c r="FN436" i="16"/>
  <c r="FP436" i="16"/>
  <c r="FR436" i="16"/>
  <c r="FT436" i="16"/>
  <c r="FV436" i="16"/>
  <c r="FX436" i="16"/>
  <c r="FZ436" i="16"/>
  <c r="GB436" i="16"/>
  <c r="GD436" i="16"/>
  <c r="CY438" i="16"/>
  <c r="DA438" i="16"/>
  <c r="DC438" i="16"/>
  <c r="DE438" i="16"/>
  <c r="DG438" i="16"/>
  <c r="DI438" i="16"/>
  <c r="DK438" i="16"/>
  <c r="DM438" i="16"/>
  <c r="DO438" i="16"/>
  <c r="DQ438" i="16"/>
  <c r="DS438" i="16"/>
  <c r="DU438" i="16"/>
  <c r="DW438" i="16"/>
  <c r="DY438" i="16"/>
  <c r="EA438" i="16"/>
  <c r="EC438" i="16"/>
  <c r="EE438" i="16"/>
  <c r="EG438" i="16"/>
  <c r="EI438" i="16"/>
  <c r="EK438" i="16"/>
  <c r="EM438" i="16"/>
  <c r="EO438" i="16"/>
  <c r="EQ438" i="16"/>
  <c r="ES438" i="16"/>
  <c r="EU438" i="16"/>
  <c r="EW438" i="16"/>
  <c r="EY438" i="16"/>
  <c r="FA438" i="16"/>
  <c r="FC438" i="16"/>
  <c r="FE438" i="16"/>
  <c r="FG438" i="16"/>
  <c r="FI438" i="16"/>
  <c r="FK438" i="16"/>
  <c r="FM438" i="16"/>
  <c r="FO438" i="16"/>
  <c r="FQ438" i="16"/>
  <c r="FS438" i="16"/>
  <c r="FU438" i="16"/>
  <c r="FW438" i="16"/>
  <c r="FY438" i="16"/>
  <c r="GA438" i="16"/>
  <c r="GC438" i="16"/>
  <c r="CZ438" i="16"/>
  <c r="DB438" i="16"/>
  <c r="DD438" i="16"/>
  <c r="DF438" i="16"/>
  <c r="DH438" i="16"/>
  <c r="DJ438" i="16"/>
  <c r="DL438" i="16"/>
  <c r="DN438" i="16"/>
  <c r="DP438" i="16"/>
  <c r="DR438" i="16"/>
  <c r="DT438" i="16"/>
  <c r="DV438" i="16"/>
  <c r="DX438" i="16"/>
  <c r="DZ438" i="16"/>
  <c r="EB438" i="16"/>
  <c r="ED438" i="16"/>
  <c r="EF438" i="16"/>
  <c r="EH438" i="16"/>
  <c r="EJ438" i="16"/>
  <c r="EL438" i="16"/>
  <c r="EN438" i="16"/>
  <c r="EP438" i="16"/>
  <c r="ER438" i="16"/>
  <c r="ET438" i="16"/>
  <c r="EV438" i="16"/>
  <c r="EX438" i="16"/>
  <c r="EZ438" i="16"/>
  <c r="FB438" i="16"/>
  <c r="FD438" i="16"/>
  <c r="FF438" i="16"/>
  <c r="FH438" i="16"/>
  <c r="FJ438" i="16"/>
  <c r="FL438" i="16"/>
  <c r="FN438" i="16"/>
  <c r="FP438" i="16"/>
  <c r="FR438" i="16"/>
  <c r="FT438" i="16"/>
  <c r="FV438" i="16"/>
  <c r="FX438" i="16"/>
  <c r="FZ438" i="16"/>
  <c r="GB438" i="16"/>
  <c r="GD438" i="16"/>
  <c r="CY440" i="16"/>
  <c r="DA440" i="16"/>
  <c r="DC440" i="16"/>
  <c r="DE440" i="16"/>
  <c r="DG440" i="16"/>
  <c r="DI440" i="16"/>
  <c r="DK440" i="16"/>
  <c r="DM440" i="16"/>
  <c r="DO440" i="16"/>
  <c r="DQ440" i="16"/>
  <c r="DS440" i="16"/>
  <c r="DU440" i="16"/>
  <c r="DW440" i="16"/>
  <c r="DY440" i="16"/>
  <c r="EA440" i="16"/>
  <c r="EC440" i="16"/>
  <c r="EE440" i="16"/>
  <c r="EG440" i="16"/>
  <c r="EI440" i="16"/>
  <c r="EK440" i="16"/>
  <c r="EM440" i="16"/>
  <c r="EO440" i="16"/>
  <c r="EQ440" i="16"/>
  <c r="ES440" i="16"/>
  <c r="EU440" i="16"/>
  <c r="EW440" i="16"/>
  <c r="EY440" i="16"/>
  <c r="FA440" i="16"/>
  <c r="FC440" i="16"/>
  <c r="FE440" i="16"/>
  <c r="FG440" i="16"/>
  <c r="FI440" i="16"/>
  <c r="FK440" i="16"/>
  <c r="FM440" i="16"/>
  <c r="FO440" i="16"/>
  <c r="FQ440" i="16"/>
  <c r="FS440" i="16"/>
  <c r="FU440" i="16"/>
  <c r="FW440" i="16"/>
  <c r="FY440" i="16"/>
  <c r="GA440" i="16"/>
  <c r="GC440" i="16"/>
  <c r="CZ440" i="16"/>
  <c r="DB440" i="16"/>
  <c r="DD440" i="16"/>
  <c r="DF440" i="16"/>
  <c r="DH440" i="16"/>
  <c r="DJ440" i="16"/>
  <c r="DL440" i="16"/>
  <c r="DN440" i="16"/>
  <c r="DP440" i="16"/>
  <c r="DR440" i="16"/>
  <c r="DT440" i="16"/>
  <c r="DV440" i="16"/>
  <c r="DX440" i="16"/>
  <c r="DZ440" i="16"/>
  <c r="EB440" i="16"/>
  <c r="ED440" i="16"/>
  <c r="EF440" i="16"/>
  <c r="EH440" i="16"/>
  <c r="EJ440" i="16"/>
  <c r="EL440" i="16"/>
  <c r="EN440" i="16"/>
  <c r="EP440" i="16"/>
  <c r="ER440" i="16"/>
  <c r="ET440" i="16"/>
  <c r="EV440" i="16"/>
  <c r="EX440" i="16"/>
  <c r="EZ440" i="16"/>
  <c r="FB440" i="16"/>
  <c r="FD440" i="16"/>
  <c r="FF440" i="16"/>
  <c r="FH440" i="16"/>
  <c r="FJ440" i="16"/>
  <c r="FL440" i="16"/>
  <c r="FN440" i="16"/>
  <c r="FP440" i="16"/>
  <c r="FR440" i="16"/>
  <c r="FT440" i="16"/>
  <c r="FV440" i="16"/>
  <c r="FX440" i="16"/>
  <c r="FZ440" i="16"/>
  <c r="GB440" i="16"/>
  <c r="GD440" i="16"/>
  <c r="CY442" i="16"/>
  <c r="DA442" i="16"/>
  <c r="DC442" i="16"/>
  <c r="DE442" i="16"/>
  <c r="DG442" i="16"/>
  <c r="DI442" i="16"/>
  <c r="DK442" i="16"/>
  <c r="DM442" i="16"/>
  <c r="DO442" i="16"/>
  <c r="DQ442" i="16"/>
  <c r="DS442" i="16"/>
  <c r="DU442" i="16"/>
  <c r="DW442" i="16"/>
  <c r="DY442" i="16"/>
  <c r="EA442" i="16"/>
  <c r="EC442" i="16"/>
  <c r="EE442" i="16"/>
  <c r="EG442" i="16"/>
  <c r="EI442" i="16"/>
  <c r="EK442" i="16"/>
  <c r="EM442" i="16"/>
  <c r="EO442" i="16"/>
  <c r="EQ442" i="16"/>
  <c r="ES442" i="16"/>
  <c r="EU442" i="16"/>
  <c r="EW442" i="16"/>
  <c r="EY442" i="16"/>
  <c r="FA442" i="16"/>
  <c r="FC442" i="16"/>
  <c r="FE442" i="16"/>
  <c r="FG442" i="16"/>
  <c r="FI442" i="16"/>
  <c r="FK442" i="16"/>
  <c r="FM442" i="16"/>
  <c r="FO442" i="16"/>
  <c r="FQ442" i="16"/>
  <c r="FS442" i="16"/>
  <c r="FU442" i="16"/>
  <c r="FW442" i="16"/>
  <c r="FY442" i="16"/>
  <c r="GA442" i="16"/>
  <c r="GC442" i="16"/>
  <c r="CZ442" i="16"/>
  <c r="DB442" i="16"/>
  <c r="DD442" i="16"/>
  <c r="DF442" i="16"/>
  <c r="DH442" i="16"/>
  <c r="DJ442" i="16"/>
  <c r="DL442" i="16"/>
  <c r="DN442" i="16"/>
  <c r="DP442" i="16"/>
  <c r="DR442" i="16"/>
  <c r="DT442" i="16"/>
  <c r="DV442" i="16"/>
  <c r="DX442" i="16"/>
  <c r="DZ442" i="16"/>
  <c r="EB442" i="16"/>
  <c r="ED442" i="16"/>
  <c r="EF442" i="16"/>
  <c r="EH442" i="16"/>
  <c r="EJ442" i="16"/>
  <c r="EL442" i="16"/>
  <c r="EN442" i="16"/>
  <c r="EP442" i="16"/>
  <c r="ER442" i="16"/>
  <c r="ET442" i="16"/>
  <c r="EV442" i="16"/>
  <c r="EX442" i="16"/>
  <c r="EZ442" i="16"/>
  <c r="FB442" i="16"/>
  <c r="FD442" i="16"/>
  <c r="FF442" i="16"/>
  <c r="FH442" i="16"/>
  <c r="FJ442" i="16"/>
  <c r="FL442" i="16"/>
  <c r="FN442" i="16"/>
  <c r="FP442" i="16"/>
  <c r="FR442" i="16"/>
  <c r="FT442" i="16"/>
  <c r="FV442" i="16"/>
  <c r="FX442" i="16"/>
  <c r="FZ442" i="16"/>
  <c r="GB442" i="16"/>
  <c r="GD442" i="16"/>
  <c r="CY444" i="16"/>
  <c r="DA444" i="16"/>
  <c r="DC444" i="16"/>
  <c r="DE444" i="16"/>
  <c r="DG444" i="16"/>
  <c r="DI444" i="16"/>
  <c r="DK444" i="16"/>
  <c r="DM444" i="16"/>
  <c r="DO444" i="16"/>
  <c r="DQ444" i="16"/>
  <c r="DS444" i="16"/>
  <c r="DU444" i="16"/>
  <c r="DW444" i="16"/>
  <c r="DY444" i="16"/>
  <c r="EA444" i="16"/>
  <c r="EC444" i="16"/>
  <c r="EE444" i="16"/>
  <c r="EG444" i="16"/>
  <c r="EI444" i="16"/>
  <c r="EK444" i="16"/>
  <c r="EM444" i="16"/>
  <c r="EO444" i="16"/>
  <c r="EQ444" i="16"/>
  <c r="ES444" i="16"/>
  <c r="EU444" i="16"/>
  <c r="EW444" i="16"/>
  <c r="EY444" i="16"/>
  <c r="FA444" i="16"/>
  <c r="FC444" i="16"/>
  <c r="FE444" i="16"/>
  <c r="FG444" i="16"/>
  <c r="FI444" i="16"/>
  <c r="FK444" i="16"/>
  <c r="FM444" i="16"/>
  <c r="FO444" i="16"/>
  <c r="FQ444" i="16"/>
  <c r="FS444" i="16"/>
  <c r="FU444" i="16"/>
  <c r="FW444" i="16"/>
  <c r="FY444" i="16"/>
  <c r="GA444" i="16"/>
  <c r="GC444" i="16"/>
  <c r="CZ444" i="16"/>
  <c r="DB444" i="16"/>
  <c r="DD444" i="16"/>
  <c r="DF444" i="16"/>
  <c r="DH444" i="16"/>
  <c r="DJ444" i="16"/>
  <c r="DL444" i="16"/>
  <c r="DN444" i="16"/>
  <c r="DP444" i="16"/>
  <c r="DR444" i="16"/>
  <c r="DT444" i="16"/>
  <c r="DV444" i="16"/>
  <c r="DX444" i="16"/>
  <c r="DZ444" i="16"/>
  <c r="EB444" i="16"/>
  <c r="ED444" i="16"/>
  <c r="EF444" i="16"/>
  <c r="EH444" i="16"/>
  <c r="EJ444" i="16"/>
  <c r="EL444" i="16"/>
  <c r="EN444" i="16"/>
  <c r="EP444" i="16"/>
  <c r="ER444" i="16"/>
  <c r="ET444" i="16"/>
  <c r="EV444" i="16"/>
  <c r="EX444" i="16"/>
  <c r="EZ444" i="16"/>
  <c r="FB444" i="16"/>
  <c r="FD444" i="16"/>
  <c r="FF444" i="16"/>
  <c r="FH444" i="16"/>
  <c r="FJ444" i="16"/>
  <c r="FL444" i="16"/>
  <c r="FN444" i="16"/>
  <c r="FP444" i="16"/>
  <c r="FR444" i="16"/>
  <c r="FT444" i="16"/>
  <c r="FV444" i="16"/>
  <c r="FX444" i="16"/>
  <c r="FZ444" i="16"/>
  <c r="GB444" i="16"/>
  <c r="GD444" i="16"/>
  <c r="CZ445" i="16"/>
  <c r="DB445" i="16"/>
  <c r="DD445" i="16"/>
  <c r="DF445" i="16"/>
  <c r="DH445" i="16"/>
  <c r="DJ445" i="16"/>
  <c r="DL445" i="16"/>
  <c r="DN445" i="16"/>
  <c r="DP445" i="16"/>
  <c r="DR445" i="16"/>
  <c r="DT445" i="16"/>
  <c r="DV445" i="16"/>
  <c r="DX445" i="16"/>
  <c r="DZ445" i="16"/>
  <c r="EB445" i="16"/>
  <c r="ED445" i="16"/>
  <c r="EF445" i="16"/>
  <c r="EH445" i="16"/>
  <c r="EJ445" i="16"/>
  <c r="EL445" i="16"/>
  <c r="EN445" i="16"/>
  <c r="EP445" i="16"/>
  <c r="ER445" i="16"/>
  <c r="ET445" i="16"/>
  <c r="EV445" i="16"/>
  <c r="EX445" i="16"/>
  <c r="EZ445" i="16"/>
  <c r="FB445" i="16"/>
  <c r="FD445" i="16"/>
  <c r="FF445" i="16"/>
  <c r="FH445" i="16"/>
  <c r="FJ445" i="16"/>
  <c r="FL445" i="16"/>
  <c r="FN445" i="16"/>
  <c r="FP445" i="16"/>
  <c r="FR445" i="16"/>
  <c r="FT445" i="16"/>
  <c r="FV445" i="16"/>
  <c r="FX445" i="16"/>
  <c r="FZ445" i="16"/>
  <c r="GB445" i="16"/>
  <c r="GD445" i="16"/>
  <c r="CY445" i="16"/>
  <c r="DA445" i="16"/>
  <c r="DC445" i="16"/>
  <c r="DE445" i="16"/>
  <c r="DG445" i="16"/>
  <c r="DI445" i="16"/>
  <c r="DK445" i="16"/>
  <c r="DM445" i="16"/>
  <c r="DO445" i="16"/>
  <c r="DQ445" i="16"/>
  <c r="DS445" i="16"/>
  <c r="DU445" i="16"/>
  <c r="DW445" i="16"/>
  <c r="DY445" i="16"/>
  <c r="EA445" i="16"/>
  <c r="EC445" i="16"/>
  <c r="EE445" i="16"/>
  <c r="EG445" i="16"/>
  <c r="EI445" i="16"/>
  <c r="EK445" i="16"/>
  <c r="EM445" i="16"/>
  <c r="EO445" i="16"/>
  <c r="EQ445" i="16"/>
  <c r="ES445" i="16"/>
  <c r="EU445" i="16"/>
  <c r="EW445" i="16"/>
  <c r="EY445" i="16"/>
  <c r="FA445" i="16"/>
  <c r="FC445" i="16"/>
  <c r="FE445" i="16"/>
  <c r="FG445" i="16"/>
  <c r="FI445" i="16"/>
  <c r="FK445" i="16"/>
  <c r="FM445" i="16"/>
  <c r="FO445" i="16"/>
  <c r="FQ445" i="16"/>
  <c r="FS445" i="16"/>
  <c r="FU445" i="16"/>
  <c r="FW445" i="16"/>
  <c r="FY445" i="16"/>
  <c r="GA445" i="16"/>
  <c r="GC445" i="16"/>
  <c r="CZ447" i="16"/>
  <c r="DB447" i="16"/>
  <c r="DD447" i="16"/>
  <c r="DF447" i="16"/>
  <c r="DH447" i="16"/>
  <c r="DJ447" i="16"/>
  <c r="DL447" i="16"/>
  <c r="DN447" i="16"/>
  <c r="DP447" i="16"/>
  <c r="DR447" i="16"/>
  <c r="DT447" i="16"/>
  <c r="DV447" i="16"/>
  <c r="DX447" i="16"/>
  <c r="DZ447" i="16"/>
  <c r="EB447" i="16"/>
  <c r="ED447" i="16"/>
  <c r="EF447" i="16"/>
  <c r="EH447" i="16"/>
  <c r="EJ447" i="16"/>
  <c r="EL447" i="16"/>
  <c r="EN447" i="16"/>
  <c r="EP447" i="16"/>
  <c r="ER447" i="16"/>
  <c r="ET447" i="16"/>
  <c r="EV447" i="16"/>
  <c r="EX447" i="16"/>
  <c r="EZ447" i="16"/>
  <c r="FB447" i="16"/>
  <c r="FD447" i="16"/>
  <c r="FF447" i="16"/>
  <c r="FH447" i="16"/>
  <c r="FJ447" i="16"/>
  <c r="FL447" i="16"/>
  <c r="FN447" i="16"/>
  <c r="FP447" i="16"/>
  <c r="FR447" i="16"/>
  <c r="FT447" i="16"/>
  <c r="FV447" i="16"/>
  <c r="FX447" i="16"/>
  <c r="FZ447" i="16"/>
  <c r="GB447" i="16"/>
  <c r="GD447" i="16"/>
  <c r="CY447" i="16"/>
  <c r="DA447" i="16"/>
  <c r="DC447" i="16"/>
  <c r="DE447" i="16"/>
  <c r="DG447" i="16"/>
  <c r="DI447" i="16"/>
  <c r="DK447" i="16"/>
  <c r="DM447" i="16"/>
  <c r="DO447" i="16"/>
  <c r="DQ447" i="16"/>
  <c r="DS447" i="16"/>
  <c r="DU447" i="16"/>
  <c r="DW447" i="16"/>
  <c r="DY447" i="16"/>
  <c r="EA447" i="16"/>
  <c r="EC447" i="16"/>
  <c r="EE447" i="16"/>
  <c r="EG447" i="16"/>
  <c r="EI447" i="16"/>
  <c r="EK447" i="16"/>
  <c r="EM447" i="16"/>
  <c r="EO447" i="16"/>
  <c r="EQ447" i="16"/>
  <c r="ES447" i="16"/>
  <c r="EU447" i="16"/>
  <c r="EW447" i="16"/>
  <c r="EY447" i="16"/>
  <c r="FA447" i="16"/>
  <c r="FC447" i="16"/>
  <c r="FE447" i="16"/>
  <c r="FG447" i="16"/>
  <c r="FI447" i="16"/>
  <c r="FK447" i="16"/>
  <c r="FM447" i="16"/>
  <c r="FO447" i="16"/>
  <c r="FQ447" i="16"/>
  <c r="FS447" i="16"/>
  <c r="FU447" i="16"/>
  <c r="FW447" i="16"/>
  <c r="FY447" i="16"/>
  <c r="GA447" i="16"/>
  <c r="GC447" i="16"/>
  <c r="CZ449" i="16"/>
  <c r="DB449" i="16"/>
  <c r="DD449" i="16"/>
  <c r="DF449" i="16"/>
  <c r="DH449" i="16"/>
  <c r="DJ449" i="16"/>
  <c r="DL449" i="16"/>
  <c r="DN449" i="16"/>
  <c r="DP449" i="16"/>
  <c r="DR449" i="16"/>
  <c r="DT449" i="16"/>
  <c r="DV449" i="16"/>
  <c r="DX449" i="16"/>
  <c r="DZ449" i="16"/>
  <c r="EB449" i="16"/>
  <c r="ED449" i="16"/>
  <c r="EF449" i="16"/>
  <c r="EH449" i="16"/>
  <c r="EJ449" i="16"/>
  <c r="EL449" i="16"/>
  <c r="EN449" i="16"/>
  <c r="EP449" i="16"/>
  <c r="ER449" i="16"/>
  <c r="ET449" i="16"/>
  <c r="EV449" i="16"/>
  <c r="EX449" i="16"/>
  <c r="EZ449" i="16"/>
  <c r="FB449" i="16"/>
  <c r="FD449" i="16"/>
  <c r="FF449" i="16"/>
  <c r="FH449" i="16"/>
  <c r="FJ449" i="16"/>
  <c r="FL449" i="16"/>
  <c r="FN449" i="16"/>
  <c r="FP449" i="16"/>
  <c r="FR449" i="16"/>
  <c r="FT449" i="16"/>
  <c r="FV449" i="16"/>
  <c r="FX449" i="16"/>
  <c r="FZ449" i="16"/>
  <c r="GB449" i="16"/>
  <c r="GD449" i="16"/>
  <c r="CY449" i="16"/>
  <c r="DA449" i="16"/>
  <c r="DC449" i="16"/>
  <c r="DE449" i="16"/>
  <c r="DG449" i="16"/>
  <c r="DI449" i="16"/>
  <c r="DK449" i="16"/>
  <c r="DM449" i="16"/>
  <c r="DO449" i="16"/>
  <c r="DQ449" i="16"/>
  <c r="DS449" i="16"/>
  <c r="DU449" i="16"/>
  <c r="DW449" i="16"/>
  <c r="DY449" i="16"/>
  <c r="EA449" i="16"/>
  <c r="EC449" i="16"/>
  <c r="EE449" i="16"/>
  <c r="EG449" i="16"/>
  <c r="EI449" i="16"/>
  <c r="EK449" i="16"/>
  <c r="EM449" i="16"/>
  <c r="EO449" i="16"/>
  <c r="EQ449" i="16"/>
  <c r="ES449" i="16"/>
  <c r="EU449" i="16"/>
  <c r="EW449" i="16"/>
  <c r="EY449" i="16"/>
  <c r="FA449" i="16"/>
  <c r="FC449" i="16"/>
  <c r="FE449" i="16"/>
  <c r="FG449" i="16"/>
  <c r="FI449" i="16"/>
  <c r="FK449" i="16"/>
  <c r="FM449" i="16"/>
  <c r="FO449" i="16"/>
  <c r="FQ449" i="16"/>
  <c r="FS449" i="16"/>
  <c r="FU449" i="16"/>
  <c r="FW449" i="16"/>
  <c r="FY449" i="16"/>
  <c r="GA449" i="16"/>
  <c r="GC449" i="16"/>
  <c r="CY450" i="16"/>
  <c r="DA450" i="16"/>
  <c r="DC450" i="16"/>
  <c r="DE450" i="16"/>
  <c r="DG450" i="16"/>
  <c r="DI450" i="16"/>
  <c r="DK450" i="16"/>
  <c r="DM450" i="16"/>
  <c r="DO450" i="16"/>
  <c r="DQ450" i="16"/>
  <c r="DS450" i="16"/>
  <c r="DU450" i="16"/>
  <c r="DW450" i="16"/>
  <c r="DY450" i="16"/>
  <c r="EA450" i="16"/>
  <c r="EC450" i="16"/>
  <c r="EE450" i="16"/>
  <c r="EG450" i="16"/>
  <c r="EI450" i="16"/>
  <c r="EK450" i="16"/>
  <c r="EM450" i="16"/>
  <c r="EO450" i="16"/>
  <c r="EQ450" i="16"/>
  <c r="ES450" i="16"/>
  <c r="EU450" i="16"/>
  <c r="EW450" i="16"/>
  <c r="EY450" i="16"/>
  <c r="FA450" i="16"/>
  <c r="FC450" i="16"/>
  <c r="FE450" i="16"/>
  <c r="FG450" i="16"/>
  <c r="FI450" i="16"/>
  <c r="FK450" i="16"/>
  <c r="FM450" i="16"/>
  <c r="FO450" i="16"/>
  <c r="FQ450" i="16"/>
  <c r="FS450" i="16"/>
  <c r="FU450" i="16"/>
  <c r="FW450" i="16"/>
  <c r="FY450" i="16"/>
  <c r="GA450" i="16"/>
  <c r="GC450" i="16"/>
  <c r="CZ450" i="16"/>
  <c r="DB450" i="16"/>
  <c r="DD450" i="16"/>
  <c r="DF450" i="16"/>
  <c r="DH450" i="16"/>
  <c r="DJ450" i="16"/>
  <c r="DL450" i="16"/>
  <c r="DN450" i="16"/>
  <c r="DP450" i="16"/>
  <c r="DR450" i="16"/>
  <c r="DT450" i="16"/>
  <c r="DV450" i="16"/>
  <c r="DX450" i="16"/>
  <c r="DZ450" i="16"/>
  <c r="EB450" i="16"/>
  <c r="ED450" i="16"/>
  <c r="EF450" i="16"/>
  <c r="EH450" i="16"/>
  <c r="EJ450" i="16"/>
  <c r="EL450" i="16"/>
  <c r="EN450" i="16"/>
  <c r="EP450" i="16"/>
  <c r="ER450" i="16"/>
  <c r="ET450" i="16"/>
  <c r="EV450" i="16"/>
  <c r="EX450" i="16"/>
  <c r="EZ450" i="16"/>
  <c r="FB450" i="16"/>
  <c r="FD450" i="16"/>
  <c r="FF450" i="16"/>
  <c r="FH450" i="16"/>
  <c r="FJ450" i="16"/>
  <c r="FL450" i="16"/>
  <c r="FN450" i="16"/>
  <c r="FP450" i="16"/>
  <c r="FR450" i="16"/>
  <c r="FT450" i="16"/>
  <c r="FV450" i="16"/>
  <c r="FX450" i="16"/>
  <c r="FZ450" i="16"/>
  <c r="GB450" i="16"/>
  <c r="GD450" i="16"/>
  <c r="CY452" i="16"/>
  <c r="DA452" i="16"/>
  <c r="DC452" i="16"/>
  <c r="DE452" i="16"/>
  <c r="DG452" i="16"/>
  <c r="DI452" i="16"/>
  <c r="DK452" i="16"/>
  <c r="DM452" i="16"/>
  <c r="DO452" i="16"/>
  <c r="DQ452" i="16"/>
  <c r="DS452" i="16"/>
  <c r="DU452" i="16"/>
  <c r="DW452" i="16"/>
  <c r="DY452" i="16"/>
  <c r="EA452" i="16"/>
  <c r="EC452" i="16"/>
  <c r="EE452" i="16"/>
  <c r="EG452" i="16"/>
  <c r="EI452" i="16"/>
  <c r="EK452" i="16"/>
  <c r="EM452" i="16"/>
  <c r="EO452" i="16"/>
  <c r="EQ452" i="16"/>
  <c r="ES452" i="16"/>
  <c r="EU452" i="16"/>
  <c r="EW452" i="16"/>
  <c r="EY452" i="16"/>
  <c r="FA452" i="16"/>
  <c r="FC452" i="16"/>
  <c r="FE452" i="16"/>
  <c r="FG452" i="16"/>
  <c r="FI452" i="16"/>
  <c r="FK452" i="16"/>
  <c r="FM452" i="16"/>
  <c r="FO452" i="16"/>
  <c r="FQ452" i="16"/>
  <c r="FS452" i="16"/>
  <c r="FU452" i="16"/>
  <c r="FW452" i="16"/>
  <c r="FY452" i="16"/>
  <c r="GA452" i="16"/>
  <c r="GC452" i="16"/>
  <c r="CZ452" i="16"/>
  <c r="DB452" i="16"/>
  <c r="DD452" i="16"/>
  <c r="DF452" i="16"/>
  <c r="DH452" i="16"/>
  <c r="DJ452" i="16"/>
  <c r="DL452" i="16"/>
  <c r="DN452" i="16"/>
  <c r="DP452" i="16"/>
  <c r="DR452" i="16"/>
  <c r="DT452" i="16"/>
  <c r="DV452" i="16"/>
  <c r="DX452" i="16"/>
  <c r="DZ452" i="16"/>
  <c r="EB452" i="16"/>
  <c r="ED452" i="16"/>
  <c r="EF452" i="16"/>
  <c r="EH452" i="16"/>
  <c r="EJ452" i="16"/>
  <c r="EL452" i="16"/>
  <c r="EN452" i="16"/>
  <c r="EP452" i="16"/>
  <c r="ER452" i="16"/>
  <c r="ET452" i="16"/>
  <c r="EV452" i="16"/>
  <c r="EX452" i="16"/>
  <c r="EZ452" i="16"/>
  <c r="FB452" i="16"/>
  <c r="FD452" i="16"/>
  <c r="FF452" i="16"/>
  <c r="FH452" i="16"/>
  <c r="FJ452" i="16"/>
  <c r="FL452" i="16"/>
  <c r="FN452" i="16"/>
  <c r="FP452" i="16"/>
  <c r="FR452" i="16"/>
  <c r="FT452" i="16"/>
  <c r="FV452" i="16"/>
  <c r="FX452" i="16"/>
  <c r="FZ452" i="16"/>
  <c r="GB452" i="16"/>
  <c r="GD452" i="16"/>
  <c r="CY454" i="16"/>
  <c r="DA454" i="16"/>
  <c r="DC454" i="16"/>
  <c r="DE454" i="16"/>
  <c r="DG454" i="16"/>
  <c r="DI454" i="16"/>
  <c r="DK454" i="16"/>
  <c r="DM454" i="16"/>
  <c r="DO454" i="16"/>
  <c r="DQ454" i="16"/>
  <c r="DS454" i="16"/>
  <c r="DU454" i="16"/>
  <c r="DW454" i="16"/>
  <c r="DY454" i="16"/>
  <c r="EA454" i="16"/>
  <c r="EC454" i="16"/>
  <c r="EE454" i="16"/>
  <c r="EG454" i="16"/>
  <c r="EI454" i="16"/>
  <c r="EK454" i="16"/>
  <c r="EM454" i="16"/>
  <c r="EO454" i="16"/>
  <c r="EQ454" i="16"/>
  <c r="ES454" i="16"/>
  <c r="EU454" i="16"/>
  <c r="EW454" i="16"/>
  <c r="EY454" i="16"/>
  <c r="FA454" i="16"/>
  <c r="FC454" i="16"/>
  <c r="FE454" i="16"/>
  <c r="FG454" i="16"/>
  <c r="FI454" i="16"/>
  <c r="FK454" i="16"/>
  <c r="FM454" i="16"/>
  <c r="FO454" i="16"/>
  <c r="FQ454" i="16"/>
  <c r="FS454" i="16"/>
  <c r="FU454" i="16"/>
  <c r="FW454" i="16"/>
  <c r="FY454" i="16"/>
  <c r="GA454" i="16"/>
  <c r="GC454" i="16"/>
  <c r="CZ454" i="16"/>
  <c r="DB454" i="16"/>
  <c r="DD454" i="16"/>
  <c r="DF454" i="16"/>
  <c r="DH454" i="16"/>
  <c r="DJ454" i="16"/>
  <c r="DL454" i="16"/>
  <c r="DN454" i="16"/>
  <c r="DP454" i="16"/>
  <c r="DR454" i="16"/>
  <c r="DT454" i="16"/>
  <c r="DV454" i="16"/>
  <c r="DX454" i="16"/>
  <c r="DZ454" i="16"/>
  <c r="EB454" i="16"/>
  <c r="ED454" i="16"/>
  <c r="EF454" i="16"/>
  <c r="EH454" i="16"/>
  <c r="EJ454" i="16"/>
  <c r="EL454" i="16"/>
  <c r="EN454" i="16"/>
  <c r="EP454" i="16"/>
  <c r="ER454" i="16"/>
  <c r="ET454" i="16"/>
  <c r="EV454" i="16"/>
  <c r="EX454" i="16"/>
  <c r="EZ454" i="16"/>
  <c r="FB454" i="16"/>
  <c r="FD454" i="16"/>
  <c r="FF454" i="16"/>
  <c r="FH454" i="16"/>
  <c r="FJ454" i="16"/>
  <c r="FL454" i="16"/>
  <c r="FN454" i="16"/>
  <c r="FP454" i="16"/>
  <c r="FR454" i="16"/>
  <c r="FT454" i="16"/>
  <c r="FV454" i="16"/>
  <c r="FX454" i="16"/>
  <c r="FZ454" i="16"/>
  <c r="GB454" i="16"/>
  <c r="GD454" i="16"/>
  <c r="CY456" i="16"/>
  <c r="DA456" i="16"/>
  <c r="DC456" i="16"/>
  <c r="DE456" i="16"/>
  <c r="DG456" i="16"/>
  <c r="DI456" i="16"/>
  <c r="DK456" i="16"/>
  <c r="DM456" i="16"/>
  <c r="DO456" i="16"/>
  <c r="DQ456" i="16"/>
  <c r="DS456" i="16"/>
  <c r="DU456" i="16"/>
  <c r="DW456" i="16"/>
  <c r="DY456" i="16"/>
  <c r="EA456" i="16"/>
  <c r="EC456" i="16"/>
  <c r="EE456" i="16"/>
  <c r="EG456" i="16"/>
  <c r="EI456" i="16"/>
  <c r="EK456" i="16"/>
  <c r="EM456" i="16"/>
  <c r="EO456" i="16"/>
  <c r="EQ456" i="16"/>
  <c r="ES456" i="16"/>
  <c r="EU456" i="16"/>
  <c r="EW456" i="16"/>
  <c r="EY456" i="16"/>
  <c r="FA456" i="16"/>
  <c r="FC456" i="16"/>
  <c r="FE456" i="16"/>
  <c r="FG456" i="16"/>
  <c r="FI456" i="16"/>
  <c r="FK456" i="16"/>
  <c r="FM456" i="16"/>
  <c r="FO456" i="16"/>
  <c r="FQ456" i="16"/>
  <c r="FS456" i="16"/>
  <c r="FU456" i="16"/>
  <c r="FW456" i="16"/>
  <c r="FY456" i="16"/>
  <c r="GA456" i="16"/>
  <c r="GC456" i="16"/>
  <c r="CZ456" i="16"/>
  <c r="DB456" i="16"/>
  <c r="DD456" i="16"/>
  <c r="DF456" i="16"/>
  <c r="DH456" i="16"/>
  <c r="DJ456" i="16"/>
  <c r="DL456" i="16"/>
  <c r="DN456" i="16"/>
  <c r="DP456" i="16"/>
  <c r="DR456" i="16"/>
  <c r="DT456" i="16"/>
  <c r="DV456" i="16"/>
  <c r="DX456" i="16"/>
  <c r="DZ456" i="16"/>
  <c r="EB456" i="16"/>
  <c r="ED456" i="16"/>
  <c r="EF456" i="16"/>
  <c r="EH456" i="16"/>
  <c r="EJ456" i="16"/>
  <c r="EL456" i="16"/>
  <c r="EN456" i="16"/>
  <c r="EP456" i="16"/>
  <c r="ER456" i="16"/>
  <c r="ET456" i="16"/>
  <c r="EV456" i="16"/>
  <c r="EX456" i="16"/>
  <c r="EZ456" i="16"/>
  <c r="FB456" i="16"/>
  <c r="FD456" i="16"/>
  <c r="FF456" i="16"/>
  <c r="FH456" i="16"/>
  <c r="FJ456" i="16"/>
  <c r="FL456" i="16"/>
  <c r="FN456" i="16"/>
  <c r="FP456" i="16"/>
  <c r="FR456" i="16"/>
  <c r="FT456" i="16"/>
  <c r="FV456" i="16"/>
  <c r="FX456" i="16"/>
  <c r="FZ456" i="16"/>
  <c r="GB456" i="16"/>
  <c r="GD456" i="16"/>
  <c r="CY458" i="16"/>
  <c r="DA458" i="16"/>
  <c r="DC458" i="16"/>
  <c r="DE458" i="16"/>
  <c r="DG458" i="16"/>
  <c r="DI458" i="16"/>
  <c r="DK458" i="16"/>
  <c r="DM458" i="16"/>
  <c r="DO458" i="16"/>
  <c r="DQ458" i="16"/>
  <c r="DS458" i="16"/>
  <c r="DU458" i="16"/>
  <c r="DW458" i="16"/>
  <c r="DY458" i="16"/>
  <c r="EA458" i="16"/>
  <c r="EC458" i="16"/>
  <c r="EE458" i="16"/>
  <c r="EG458" i="16"/>
  <c r="EI458" i="16"/>
  <c r="EK458" i="16"/>
  <c r="EM458" i="16"/>
  <c r="EO458" i="16"/>
  <c r="EQ458" i="16"/>
  <c r="ES458" i="16"/>
  <c r="EU458" i="16"/>
  <c r="EW458" i="16"/>
  <c r="EY458" i="16"/>
  <c r="FA458" i="16"/>
  <c r="FC458" i="16"/>
  <c r="FE458" i="16"/>
  <c r="FG458" i="16"/>
  <c r="FI458" i="16"/>
  <c r="FK458" i="16"/>
  <c r="FM458" i="16"/>
  <c r="FO458" i="16"/>
  <c r="FQ458" i="16"/>
  <c r="FS458" i="16"/>
  <c r="FU458" i="16"/>
  <c r="FW458" i="16"/>
  <c r="FY458" i="16"/>
  <c r="GA458" i="16"/>
  <c r="GC458" i="16"/>
  <c r="CZ458" i="16"/>
  <c r="DB458" i="16"/>
  <c r="DD458" i="16"/>
  <c r="DF458" i="16"/>
  <c r="DH458" i="16"/>
  <c r="DJ458" i="16"/>
  <c r="DL458" i="16"/>
  <c r="DN458" i="16"/>
  <c r="DP458" i="16"/>
  <c r="DR458" i="16"/>
  <c r="DT458" i="16"/>
  <c r="DV458" i="16"/>
  <c r="DX458" i="16"/>
  <c r="DZ458" i="16"/>
  <c r="EB458" i="16"/>
  <c r="ED458" i="16"/>
  <c r="EF458" i="16"/>
  <c r="EH458" i="16"/>
  <c r="EJ458" i="16"/>
  <c r="EL458" i="16"/>
  <c r="EN458" i="16"/>
  <c r="EP458" i="16"/>
  <c r="ER458" i="16"/>
  <c r="ET458" i="16"/>
  <c r="EV458" i="16"/>
  <c r="EX458" i="16"/>
  <c r="EZ458" i="16"/>
  <c r="FB458" i="16"/>
  <c r="FD458" i="16"/>
  <c r="FF458" i="16"/>
  <c r="FH458" i="16"/>
  <c r="FJ458" i="16"/>
  <c r="FL458" i="16"/>
  <c r="FN458" i="16"/>
  <c r="FP458" i="16"/>
  <c r="FR458" i="16"/>
  <c r="FT458" i="16"/>
  <c r="FV458" i="16"/>
  <c r="FX458" i="16"/>
  <c r="FZ458" i="16"/>
  <c r="GB458" i="16"/>
  <c r="GD458" i="16"/>
  <c r="CY460" i="16"/>
  <c r="DA460" i="16"/>
  <c r="DC460" i="16"/>
  <c r="DE460" i="16"/>
  <c r="DG460" i="16"/>
  <c r="DI460" i="16"/>
  <c r="DK460" i="16"/>
  <c r="DM460" i="16"/>
  <c r="DO460" i="16"/>
  <c r="DQ460" i="16"/>
  <c r="DS460" i="16"/>
  <c r="DU460" i="16"/>
  <c r="DW460" i="16"/>
  <c r="DY460" i="16"/>
  <c r="EA460" i="16"/>
  <c r="EC460" i="16"/>
  <c r="EE460" i="16"/>
  <c r="EG460" i="16"/>
  <c r="EI460" i="16"/>
  <c r="EK460" i="16"/>
  <c r="EM460" i="16"/>
  <c r="EO460" i="16"/>
  <c r="EQ460" i="16"/>
  <c r="ES460" i="16"/>
  <c r="EU460" i="16"/>
  <c r="EW460" i="16"/>
  <c r="EY460" i="16"/>
  <c r="FA460" i="16"/>
  <c r="FC460" i="16"/>
  <c r="FE460" i="16"/>
  <c r="FG460" i="16"/>
  <c r="FI460" i="16"/>
  <c r="FK460" i="16"/>
  <c r="FM460" i="16"/>
  <c r="FO460" i="16"/>
  <c r="FQ460" i="16"/>
  <c r="FS460" i="16"/>
  <c r="FU460" i="16"/>
  <c r="FW460" i="16"/>
  <c r="FY460" i="16"/>
  <c r="GA460" i="16"/>
  <c r="GC460" i="16"/>
  <c r="CZ460" i="16"/>
  <c r="DB460" i="16"/>
  <c r="DD460" i="16"/>
  <c r="DF460" i="16"/>
  <c r="DH460" i="16"/>
  <c r="DJ460" i="16"/>
  <c r="DL460" i="16"/>
  <c r="DN460" i="16"/>
  <c r="DP460" i="16"/>
  <c r="DR460" i="16"/>
  <c r="DT460" i="16"/>
  <c r="DV460" i="16"/>
  <c r="DX460" i="16"/>
  <c r="DZ460" i="16"/>
  <c r="EB460" i="16"/>
  <c r="ED460" i="16"/>
  <c r="EF460" i="16"/>
  <c r="EH460" i="16"/>
  <c r="EJ460" i="16"/>
  <c r="EL460" i="16"/>
  <c r="EN460" i="16"/>
  <c r="EP460" i="16"/>
  <c r="ER460" i="16"/>
  <c r="ET460" i="16"/>
  <c r="EV460" i="16"/>
  <c r="EX460" i="16"/>
  <c r="EZ460" i="16"/>
  <c r="FB460" i="16"/>
  <c r="FD460" i="16"/>
  <c r="FF460" i="16"/>
  <c r="FH460" i="16"/>
  <c r="FJ460" i="16"/>
  <c r="FL460" i="16"/>
  <c r="FN460" i="16"/>
  <c r="FP460" i="16"/>
  <c r="FR460" i="16"/>
  <c r="FT460" i="16"/>
  <c r="FV460" i="16"/>
  <c r="FX460" i="16"/>
  <c r="FZ460" i="16"/>
  <c r="GB460" i="16"/>
  <c r="GD460" i="16"/>
  <c r="CY462" i="16"/>
  <c r="DA462" i="16"/>
  <c r="DC462" i="16"/>
  <c r="DE462" i="16"/>
  <c r="DG462" i="16"/>
  <c r="DI462" i="16"/>
  <c r="DK462" i="16"/>
  <c r="DM462" i="16"/>
  <c r="DO462" i="16"/>
  <c r="DQ462" i="16"/>
  <c r="DS462" i="16"/>
  <c r="DU462" i="16"/>
  <c r="DW462" i="16"/>
  <c r="DY462" i="16"/>
  <c r="EA462" i="16"/>
  <c r="EC462" i="16"/>
  <c r="EE462" i="16"/>
  <c r="EG462" i="16"/>
  <c r="EI462" i="16"/>
  <c r="EK462" i="16"/>
  <c r="EM462" i="16"/>
  <c r="EO462" i="16"/>
  <c r="EQ462" i="16"/>
  <c r="ES462" i="16"/>
  <c r="EU462" i="16"/>
  <c r="EW462" i="16"/>
  <c r="EY462" i="16"/>
  <c r="FA462" i="16"/>
  <c r="FC462" i="16"/>
  <c r="FE462" i="16"/>
  <c r="FG462" i="16"/>
  <c r="FI462" i="16"/>
  <c r="FK462" i="16"/>
  <c r="FM462" i="16"/>
  <c r="FO462" i="16"/>
  <c r="FQ462" i="16"/>
  <c r="FS462" i="16"/>
  <c r="FU462" i="16"/>
  <c r="FW462" i="16"/>
  <c r="FY462" i="16"/>
  <c r="GA462" i="16"/>
  <c r="GC462" i="16"/>
  <c r="CZ462" i="16"/>
  <c r="DB462" i="16"/>
  <c r="DD462" i="16"/>
  <c r="DF462" i="16"/>
  <c r="DH462" i="16"/>
  <c r="DJ462" i="16"/>
  <c r="DL462" i="16"/>
  <c r="DN462" i="16"/>
  <c r="DP462" i="16"/>
  <c r="DR462" i="16"/>
  <c r="DT462" i="16"/>
  <c r="DV462" i="16"/>
  <c r="DX462" i="16"/>
  <c r="DZ462" i="16"/>
  <c r="EB462" i="16"/>
  <c r="ED462" i="16"/>
  <c r="EF462" i="16"/>
  <c r="EH462" i="16"/>
  <c r="EJ462" i="16"/>
  <c r="EL462" i="16"/>
  <c r="EN462" i="16"/>
  <c r="EP462" i="16"/>
  <c r="ER462" i="16"/>
  <c r="ET462" i="16"/>
  <c r="EV462" i="16"/>
  <c r="EX462" i="16"/>
  <c r="EZ462" i="16"/>
  <c r="FB462" i="16"/>
  <c r="FD462" i="16"/>
  <c r="FF462" i="16"/>
  <c r="FH462" i="16"/>
  <c r="FJ462" i="16"/>
  <c r="FL462" i="16"/>
  <c r="FN462" i="16"/>
  <c r="FP462" i="16"/>
  <c r="FR462" i="16"/>
  <c r="FT462" i="16"/>
  <c r="FV462" i="16"/>
  <c r="FX462" i="16"/>
  <c r="FZ462" i="16"/>
  <c r="GB462" i="16"/>
  <c r="GD462" i="16"/>
  <c r="CY464" i="16"/>
  <c r="DA464" i="16"/>
  <c r="DC464" i="16"/>
  <c r="DE464" i="16"/>
  <c r="DG464" i="16"/>
  <c r="DI464" i="16"/>
  <c r="DK464" i="16"/>
  <c r="DM464" i="16"/>
  <c r="DO464" i="16"/>
  <c r="DQ464" i="16"/>
  <c r="DS464" i="16"/>
  <c r="DU464" i="16"/>
  <c r="DW464" i="16"/>
  <c r="DY464" i="16"/>
  <c r="EA464" i="16"/>
  <c r="EC464" i="16"/>
  <c r="EE464" i="16"/>
  <c r="EG464" i="16"/>
  <c r="EI464" i="16"/>
  <c r="EK464" i="16"/>
  <c r="EM464" i="16"/>
  <c r="EO464" i="16"/>
  <c r="EQ464" i="16"/>
  <c r="ES464" i="16"/>
  <c r="EU464" i="16"/>
  <c r="EW464" i="16"/>
  <c r="EY464" i="16"/>
  <c r="FA464" i="16"/>
  <c r="FC464" i="16"/>
  <c r="FE464" i="16"/>
  <c r="FG464" i="16"/>
  <c r="FI464" i="16"/>
  <c r="FK464" i="16"/>
  <c r="FM464" i="16"/>
  <c r="FO464" i="16"/>
  <c r="FQ464" i="16"/>
  <c r="FS464" i="16"/>
  <c r="FU464" i="16"/>
  <c r="FW464" i="16"/>
  <c r="FY464" i="16"/>
  <c r="GA464" i="16"/>
  <c r="GC464" i="16"/>
  <c r="CZ464" i="16"/>
  <c r="DB464" i="16"/>
  <c r="DD464" i="16"/>
  <c r="DF464" i="16"/>
  <c r="DH464" i="16"/>
  <c r="DJ464" i="16"/>
  <c r="DL464" i="16"/>
  <c r="DN464" i="16"/>
  <c r="DP464" i="16"/>
  <c r="DR464" i="16"/>
  <c r="DT464" i="16"/>
  <c r="DV464" i="16"/>
  <c r="DX464" i="16"/>
  <c r="DZ464" i="16"/>
  <c r="EB464" i="16"/>
  <c r="ED464" i="16"/>
  <c r="EF464" i="16"/>
  <c r="EH464" i="16"/>
  <c r="EJ464" i="16"/>
  <c r="EL464" i="16"/>
  <c r="EN464" i="16"/>
  <c r="EP464" i="16"/>
  <c r="ER464" i="16"/>
  <c r="ET464" i="16"/>
  <c r="EV464" i="16"/>
  <c r="EX464" i="16"/>
  <c r="EZ464" i="16"/>
  <c r="FB464" i="16"/>
  <c r="FD464" i="16"/>
  <c r="FF464" i="16"/>
  <c r="FH464" i="16"/>
  <c r="FJ464" i="16"/>
  <c r="FL464" i="16"/>
  <c r="FN464" i="16"/>
  <c r="FP464" i="16"/>
  <c r="FR464" i="16"/>
  <c r="FT464" i="16"/>
  <c r="FV464" i="16"/>
  <c r="FX464" i="16"/>
  <c r="FZ464" i="16"/>
  <c r="GB464" i="16"/>
  <c r="GD464" i="16"/>
  <c r="CY466" i="16"/>
  <c r="DA466" i="16"/>
  <c r="DC466" i="16"/>
  <c r="DE466" i="16"/>
  <c r="DG466" i="16"/>
  <c r="DI466" i="16"/>
  <c r="DK466" i="16"/>
  <c r="DM466" i="16"/>
  <c r="DO466" i="16"/>
  <c r="DQ466" i="16"/>
  <c r="DS466" i="16"/>
  <c r="DU466" i="16"/>
  <c r="DW466" i="16"/>
  <c r="DY466" i="16"/>
  <c r="EA466" i="16"/>
  <c r="EC466" i="16"/>
  <c r="EE466" i="16"/>
  <c r="EG466" i="16"/>
  <c r="EI466" i="16"/>
  <c r="EK466" i="16"/>
  <c r="EM466" i="16"/>
  <c r="EO466" i="16"/>
  <c r="EQ466" i="16"/>
  <c r="ES466" i="16"/>
  <c r="EU466" i="16"/>
  <c r="EW466" i="16"/>
  <c r="EY466" i="16"/>
  <c r="FA466" i="16"/>
  <c r="FC466" i="16"/>
  <c r="FE466" i="16"/>
  <c r="FG466" i="16"/>
  <c r="FI466" i="16"/>
  <c r="FK466" i="16"/>
  <c r="FM466" i="16"/>
  <c r="FO466" i="16"/>
  <c r="FQ466" i="16"/>
  <c r="FS466" i="16"/>
  <c r="FU466" i="16"/>
  <c r="FW466" i="16"/>
  <c r="FY466" i="16"/>
  <c r="GA466" i="16"/>
  <c r="GC466" i="16"/>
  <c r="CZ466" i="16"/>
  <c r="DB466" i="16"/>
  <c r="DD466" i="16"/>
  <c r="DF466" i="16"/>
  <c r="DH466" i="16"/>
  <c r="DJ466" i="16"/>
  <c r="DL466" i="16"/>
  <c r="DN466" i="16"/>
  <c r="DP466" i="16"/>
  <c r="DR466" i="16"/>
  <c r="DT466" i="16"/>
  <c r="DV466" i="16"/>
  <c r="DX466" i="16"/>
  <c r="DZ466" i="16"/>
  <c r="EB466" i="16"/>
  <c r="ED466" i="16"/>
  <c r="EF466" i="16"/>
  <c r="EH466" i="16"/>
  <c r="EJ466" i="16"/>
  <c r="EL466" i="16"/>
  <c r="EN466" i="16"/>
  <c r="EP466" i="16"/>
  <c r="ER466" i="16"/>
  <c r="ET466" i="16"/>
  <c r="EV466" i="16"/>
  <c r="EX466" i="16"/>
  <c r="EZ466" i="16"/>
  <c r="FB466" i="16"/>
  <c r="FD466" i="16"/>
  <c r="FF466" i="16"/>
  <c r="FH466" i="16"/>
  <c r="FJ466" i="16"/>
  <c r="FL466" i="16"/>
  <c r="FN466" i="16"/>
  <c r="FP466" i="16"/>
  <c r="FR466" i="16"/>
  <c r="FT466" i="16"/>
  <c r="FV466" i="16"/>
  <c r="FX466" i="16"/>
  <c r="FZ466" i="16"/>
  <c r="GB466" i="16"/>
  <c r="GD466" i="16"/>
  <c r="CY468" i="16"/>
  <c r="DA468" i="16"/>
  <c r="DC468" i="16"/>
  <c r="DE468" i="16"/>
  <c r="DG468" i="16"/>
  <c r="DI468" i="16"/>
  <c r="DK468" i="16"/>
  <c r="DM468" i="16"/>
  <c r="DO468" i="16"/>
  <c r="DQ468" i="16"/>
  <c r="DS468" i="16"/>
  <c r="DU468" i="16"/>
  <c r="DW468" i="16"/>
  <c r="DY468" i="16"/>
  <c r="EA468" i="16"/>
  <c r="EC468" i="16"/>
  <c r="EE468" i="16"/>
  <c r="EG468" i="16"/>
  <c r="EI468" i="16"/>
  <c r="EK468" i="16"/>
  <c r="EM468" i="16"/>
  <c r="EO468" i="16"/>
  <c r="EQ468" i="16"/>
  <c r="ES468" i="16"/>
  <c r="EU468" i="16"/>
  <c r="EW468" i="16"/>
  <c r="EY468" i="16"/>
  <c r="FA468" i="16"/>
  <c r="FC468" i="16"/>
  <c r="FE468" i="16"/>
  <c r="FG468" i="16"/>
  <c r="FI468" i="16"/>
  <c r="FK468" i="16"/>
  <c r="FM468" i="16"/>
  <c r="FO468" i="16"/>
  <c r="FQ468" i="16"/>
  <c r="FS468" i="16"/>
  <c r="FU468" i="16"/>
  <c r="FW468" i="16"/>
  <c r="FY468" i="16"/>
  <c r="GA468" i="16"/>
  <c r="GC468" i="16"/>
  <c r="CZ468" i="16"/>
  <c r="DB468" i="16"/>
  <c r="DD468" i="16"/>
  <c r="DF468" i="16"/>
  <c r="DH468" i="16"/>
  <c r="DJ468" i="16"/>
  <c r="DL468" i="16"/>
  <c r="DN468" i="16"/>
  <c r="DP468" i="16"/>
  <c r="DR468" i="16"/>
  <c r="DT468" i="16"/>
  <c r="DV468" i="16"/>
  <c r="DX468" i="16"/>
  <c r="DZ468" i="16"/>
  <c r="EB468" i="16"/>
  <c r="ED468" i="16"/>
  <c r="EF468" i="16"/>
  <c r="EH468" i="16"/>
  <c r="EJ468" i="16"/>
  <c r="EL468" i="16"/>
  <c r="EN468" i="16"/>
  <c r="EP468" i="16"/>
  <c r="ER468" i="16"/>
  <c r="ET468" i="16"/>
  <c r="EV468" i="16"/>
  <c r="EX468" i="16"/>
  <c r="EZ468" i="16"/>
  <c r="FB468" i="16"/>
  <c r="FD468" i="16"/>
  <c r="FF468" i="16"/>
  <c r="FH468" i="16"/>
  <c r="FJ468" i="16"/>
  <c r="FL468" i="16"/>
  <c r="FN468" i="16"/>
  <c r="FP468" i="16"/>
  <c r="FR468" i="16"/>
  <c r="FT468" i="16"/>
  <c r="FV468" i="16"/>
  <c r="FX468" i="16"/>
  <c r="FZ468" i="16"/>
  <c r="GB468" i="16"/>
  <c r="GD468" i="16"/>
  <c r="CY470" i="16"/>
  <c r="DA470" i="16"/>
  <c r="DC470" i="16"/>
  <c r="DE470" i="16"/>
  <c r="DG470" i="16"/>
  <c r="DI470" i="16"/>
  <c r="DK470" i="16"/>
  <c r="DM470" i="16"/>
  <c r="DO470" i="16"/>
  <c r="DQ470" i="16"/>
  <c r="DS470" i="16"/>
  <c r="DU470" i="16"/>
  <c r="DW470" i="16"/>
  <c r="DY470" i="16"/>
  <c r="EA470" i="16"/>
  <c r="EC470" i="16"/>
  <c r="EE470" i="16"/>
  <c r="EG470" i="16"/>
  <c r="EI470" i="16"/>
  <c r="EK470" i="16"/>
  <c r="EM470" i="16"/>
  <c r="EO470" i="16"/>
  <c r="EQ470" i="16"/>
  <c r="ES470" i="16"/>
  <c r="EU470" i="16"/>
  <c r="EW470" i="16"/>
  <c r="EY470" i="16"/>
  <c r="FA470" i="16"/>
  <c r="FC470" i="16"/>
  <c r="FE470" i="16"/>
  <c r="FG470" i="16"/>
  <c r="FI470" i="16"/>
  <c r="FK470" i="16"/>
  <c r="FM470" i="16"/>
  <c r="FO470" i="16"/>
  <c r="FQ470" i="16"/>
  <c r="FS470" i="16"/>
  <c r="FU470" i="16"/>
  <c r="FW470" i="16"/>
  <c r="FY470" i="16"/>
  <c r="GA470" i="16"/>
  <c r="GC470" i="16"/>
  <c r="CZ470" i="16"/>
  <c r="DB470" i="16"/>
  <c r="DD470" i="16"/>
  <c r="DF470" i="16"/>
  <c r="DH470" i="16"/>
  <c r="DJ470" i="16"/>
  <c r="DL470" i="16"/>
  <c r="DN470" i="16"/>
  <c r="DP470" i="16"/>
  <c r="DR470" i="16"/>
  <c r="DT470" i="16"/>
  <c r="DV470" i="16"/>
  <c r="DX470" i="16"/>
  <c r="DZ470" i="16"/>
  <c r="EB470" i="16"/>
  <c r="ED470" i="16"/>
  <c r="EF470" i="16"/>
  <c r="EH470" i="16"/>
  <c r="EJ470" i="16"/>
  <c r="EL470" i="16"/>
  <c r="EN470" i="16"/>
  <c r="EP470" i="16"/>
  <c r="ER470" i="16"/>
  <c r="ET470" i="16"/>
  <c r="EV470" i="16"/>
  <c r="EX470" i="16"/>
  <c r="EZ470" i="16"/>
  <c r="FB470" i="16"/>
  <c r="FD470" i="16"/>
  <c r="FF470" i="16"/>
  <c r="FH470" i="16"/>
  <c r="FJ470" i="16"/>
  <c r="FL470" i="16"/>
  <c r="FN470" i="16"/>
  <c r="FP470" i="16"/>
  <c r="FR470" i="16"/>
  <c r="FT470" i="16"/>
  <c r="FV470" i="16"/>
  <c r="FX470" i="16"/>
  <c r="FZ470" i="16"/>
  <c r="GB470" i="16"/>
  <c r="GD470" i="16"/>
  <c r="CY472" i="16"/>
  <c r="DA472" i="16"/>
  <c r="DC472" i="16"/>
  <c r="DE472" i="16"/>
  <c r="DG472" i="16"/>
  <c r="DI472" i="16"/>
  <c r="DK472" i="16"/>
  <c r="DM472" i="16"/>
  <c r="DO472" i="16"/>
  <c r="DQ472" i="16"/>
  <c r="DS472" i="16"/>
  <c r="DU472" i="16"/>
  <c r="DW472" i="16"/>
  <c r="DY472" i="16"/>
  <c r="EA472" i="16"/>
  <c r="EC472" i="16"/>
  <c r="EE472" i="16"/>
  <c r="EG472" i="16"/>
  <c r="EI472" i="16"/>
  <c r="EK472" i="16"/>
  <c r="EM472" i="16"/>
  <c r="EO472" i="16"/>
  <c r="EQ472" i="16"/>
  <c r="ES472" i="16"/>
  <c r="EU472" i="16"/>
  <c r="EW472" i="16"/>
  <c r="EY472" i="16"/>
  <c r="FA472" i="16"/>
  <c r="FC472" i="16"/>
  <c r="FE472" i="16"/>
  <c r="FG472" i="16"/>
  <c r="FI472" i="16"/>
  <c r="FK472" i="16"/>
  <c r="FM472" i="16"/>
  <c r="FO472" i="16"/>
  <c r="FQ472" i="16"/>
  <c r="FS472" i="16"/>
  <c r="FU472" i="16"/>
  <c r="FW472" i="16"/>
  <c r="FY472" i="16"/>
  <c r="GA472" i="16"/>
  <c r="GC472" i="16"/>
  <c r="CZ472" i="16"/>
  <c r="DB472" i="16"/>
  <c r="DD472" i="16"/>
  <c r="DF472" i="16"/>
  <c r="DH472" i="16"/>
  <c r="DJ472" i="16"/>
  <c r="DL472" i="16"/>
  <c r="DN472" i="16"/>
  <c r="DP472" i="16"/>
  <c r="DR472" i="16"/>
  <c r="DT472" i="16"/>
  <c r="DV472" i="16"/>
  <c r="DX472" i="16"/>
  <c r="DZ472" i="16"/>
  <c r="EB472" i="16"/>
  <c r="ED472" i="16"/>
  <c r="EF472" i="16"/>
  <c r="EH472" i="16"/>
  <c r="EJ472" i="16"/>
  <c r="EL472" i="16"/>
  <c r="EN472" i="16"/>
  <c r="EP472" i="16"/>
  <c r="ER472" i="16"/>
  <c r="ET472" i="16"/>
  <c r="EV472" i="16"/>
  <c r="EX472" i="16"/>
  <c r="EZ472" i="16"/>
  <c r="FB472" i="16"/>
  <c r="FD472" i="16"/>
  <c r="FF472" i="16"/>
  <c r="FH472" i="16"/>
  <c r="FJ472" i="16"/>
  <c r="FL472" i="16"/>
  <c r="FN472" i="16"/>
  <c r="FP472" i="16"/>
  <c r="FR472" i="16"/>
  <c r="FT472" i="16"/>
  <c r="FV472" i="16"/>
  <c r="FX472" i="16"/>
  <c r="FZ472" i="16"/>
  <c r="GB472" i="16"/>
  <c r="GD472" i="16"/>
  <c r="CY474" i="16"/>
  <c r="DA474" i="16"/>
  <c r="DC474" i="16"/>
  <c r="DE474" i="16"/>
  <c r="DG474" i="16"/>
  <c r="DI474" i="16"/>
  <c r="DK474" i="16"/>
  <c r="DM474" i="16"/>
  <c r="DO474" i="16"/>
  <c r="DQ474" i="16"/>
  <c r="DS474" i="16"/>
  <c r="DU474" i="16"/>
  <c r="DW474" i="16"/>
  <c r="DY474" i="16"/>
  <c r="EA474" i="16"/>
  <c r="EC474" i="16"/>
  <c r="EE474" i="16"/>
  <c r="EG474" i="16"/>
  <c r="EI474" i="16"/>
  <c r="EK474" i="16"/>
  <c r="EM474" i="16"/>
  <c r="EO474" i="16"/>
  <c r="EQ474" i="16"/>
  <c r="ES474" i="16"/>
  <c r="EU474" i="16"/>
  <c r="EW474" i="16"/>
  <c r="EY474" i="16"/>
  <c r="FA474" i="16"/>
  <c r="FC474" i="16"/>
  <c r="FE474" i="16"/>
  <c r="FG474" i="16"/>
  <c r="FI474" i="16"/>
  <c r="FK474" i="16"/>
  <c r="FM474" i="16"/>
  <c r="FO474" i="16"/>
  <c r="FQ474" i="16"/>
  <c r="FS474" i="16"/>
  <c r="FU474" i="16"/>
  <c r="FW474" i="16"/>
  <c r="FY474" i="16"/>
  <c r="GA474" i="16"/>
  <c r="GC474" i="16"/>
  <c r="CZ474" i="16"/>
  <c r="DB474" i="16"/>
  <c r="DD474" i="16"/>
  <c r="DF474" i="16"/>
  <c r="DH474" i="16"/>
  <c r="DJ474" i="16"/>
  <c r="DL474" i="16"/>
  <c r="DN474" i="16"/>
  <c r="DP474" i="16"/>
  <c r="DR474" i="16"/>
  <c r="DT474" i="16"/>
  <c r="DV474" i="16"/>
  <c r="DX474" i="16"/>
  <c r="DZ474" i="16"/>
  <c r="EB474" i="16"/>
  <c r="ED474" i="16"/>
  <c r="EF474" i="16"/>
  <c r="EH474" i="16"/>
  <c r="EJ474" i="16"/>
  <c r="EL474" i="16"/>
  <c r="EN474" i="16"/>
  <c r="EP474" i="16"/>
  <c r="ER474" i="16"/>
  <c r="ET474" i="16"/>
  <c r="EV474" i="16"/>
  <c r="EX474" i="16"/>
  <c r="EZ474" i="16"/>
  <c r="FB474" i="16"/>
  <c r="FD474" i="16"/>
  <c r="FF474" i="16"/>
  <c r="FH474" i="16"/>
  <c r="FJ474" i="16"/>
  <c r="FL474" i="16"/>
  <c r="FN474" i="16"/>
  <c r="FP474" i="16"/>
  <c r="FR474" i="16"/>
  <c r="FT474" i="16"/>
  <c r="FV474" i="16"/>
  <c r="FX474" i="16"/>
  <c r="FZ474" i="16"/>
  <c r="GB474" i="16"/>
  <c r="GD474" i="16"/>
  <c r="CY476" i="16"/>
  <c r="DA476" i="16"/>
  <c r="DC476" i="16"/>
  <c r="DE476" i="16"/>
  <c r="DG476" i="16"/>
  <c r="DI476" i="16"/>
  <c r="DK476" i="16"/>
  <c r="DM476" i="16"/>
  <c r="DO476" i="16"/>
  <c r="DQ476" i="16"/>
  <c r="DS476" i="16"/>
  <c r="DU476" i="16"/>
  <c r="DW476" i="16"/>
  <c r="DY476" i="16"/>
  <c r="EA476" i="16"/>
  <c r="EC476" i="16"/>
  <c r="EE476" i="16"/>
  <c r="EG476" i="16"/>
  <c r="EI476" i="16"/>
  <c r="EK476" i="16"/>
  <c r="EM476" i="16"/>
  <c r="EO476" i="16"/>
  <c r="EQ476" i="16"/>
  <c r="ES476" i="16"/>
  <c r="EU476" i="16"/>
  <c r="EW476" i="16"/>
  <c r="EY476" i="16"/>
  <c r="FA476" i="16"/>
  <c r="FC476" i="16"/>
  <c r="FE476" i="16"/>
  <c r="FG476" i="16"/>
  <c r="FI476" i="16"/>
  <c r="FK476" i="16"/>
  <c r="FM476" i="16"/>
  <c r="FO476" i="16"/>
  <c r="FQ476" i="16"/>
  <c r="FS476" i="16"/>
  <c r="FU476" i="16"/>
  <c r="FW476" i="16"/>
  <c r="FY476" i="16"/>
  <c r="GA476" i="16"/>
  <c r="GC476" i="16"/>
  <c r="CZ476" i="16"/>
  <c r="DB476" i="16"/>
  <c r="DD476" i="16"/>
  <c r="DF476" i="16"/>
  <c r="DH476" i="16"/>
  <c r="DJ476" i="16"/>
  <c r="DL476" i="16"/>
  <c r="DN476" i="16"/>
  <c r="DP476" i="16"/>
  <c r="DR476" i="16"/>
  <c r="DT476" i="16"/>
  <c r="DV476" i="16"/>
  <c r="DX476" i="16"/>
  <c r="DZ476" i="16"/>
  <c r="EB476" i="16"/>
  <c r="ED476" i="16"/>
  <c r="EF476" i="16"/>
  <c r="EH476" i="16"/>
  <c r="EJ476" i="16"/>
  <c r="EL476" i="16"/>
  <c r="EN476" i="16"/>
  <c r="EP476" i="16"/>
  <c r="ER476" i="16"/>
  <c r="ET476" i="16"/>
  <c r="EV476" i="16"/>
  <c r="EX476" i="16"/>
  <c r="EZ476" i="16"/>
  <c r="FB476" i="16"/>
  <c r="FD476" i="16"/>
  <c r="FF476" i="16"/>
  <c r="FH476" i="16"/>
  <c r="FJ476" i="16"/>
  <c r="FL476" i="16"/>
  <c r="FN476" i="16"/>
  <c r="FP476" i="16"/>
  <c r="FR476" i="16"/>
  <c r="FT476" i="16"/>
  <c r="FV476" i="16"/>
  <c r="FX476" i="16"/>
  <c r="FZ476" i="16"/>
  <c r="GB476" i="16"/>
  <c r="GD476" i="16"/>
  <c r="CY478" i="16"/>
  <c r="DA478" i="16"/>
  <c r="DC478" i="16"/>
  <c r="DE478" i="16"/>
  <c r="DG478" i="16"/>
  <c r="DI478" i="16"/>
  <c r="DK478" i="16"/>
  <c r="DM478" i="16"/>
  <c r="DO478" i="16"/>
  <c r="DQ478" i="16"/>
  <c r="DS478" i="16"/>
  <c r="DU478" i="16"/>
  <c r="DW478" i="16"/>
  <c r="DY478" i="16"/>
  <c r="EA478" i="16"/>
  <c r="EC478" i="16"/>
  <c r="EE478" i="16"/>
  <c r="EG478" i="16"/>
  <c r="EI478" i="16"/>
  <c r="EK478" i="16"/>
  <c r="EM478" i="16"/>
  <c r="EO478" i="16"/>
  <c r="EQ478" i="16"/>
  <c r="ES478" i="16"/>
  <c r="EU478" i="16"/>
  <c r="EW478" i="16"/>
  <c r="EY478" i="16"/>
  <c r="FA478" i="16"/>
  <c r="FC478" i="16"/>
  <c r="FE478" i="16"/>
  <c r="FG478" i="16"/>
  <c r="FI478" i="16"/>
  <c r="FK478" i="16"/>
  <c r="FM478" i="16"/>
  <c r="FO478" i="16"/>
  <c r="FQ478" i="16"/>
  <c r="FS478" i="16"/>
  <c r="FU478" i="16"/>
  <c r="FW478" i="16"/>
  <c r="FY478" i="16"/>
  <c r="GA478" i="16"/>
  <c r="GC478" i="16"/>
  <c r="CZ478" i="16"/>
  <c r="DB478" i="16"/>
  <c r="DD478" i="16"/>
  <c r="DF478" i="16"/>
  <c r="DH478" i="16"/>
  <c r="DJ478" i="16"/>
  <c r="DL478" i="16"/>
  <c r="DN478" i="16"/>
  <c r="DP478" i="16"/>
  <c r="DR478" i="16"/>
  <c r="DT478" i="16"/>
  <c r="DV478" i="16"/>
  <c r="DX478" i="16"/>
  <c r="DZ478" i="16"/>
  <c r="EB478" i="16"/>
  <c r="ED478" i="16"/>
  <c r="EF478" i="16"/>
  <c r="EH478" i="16"/>
  <c r="EJ478" i="16"/>
  <c r="EL478" i="16"/>
  <c r="EN478" i="16"/>
  <c r="EP478" i="16"/>
  <c r="ER478" i="16"/>
  <c r="ET478" i="16"/>
  <c r="EV478" i="16"/>
  <c r="EX478" i="16"/>
  <c r="EZ478" i="16"/>
  <c r="FB478" i="16"/>
  <c r="FD478" i="16"/>
  <c r="FF478" i="16"/>
  <c r="FH478" i="16"/>
  <c r="FJ478" i="16"/>
  <c r="FL478" i="16"/>
  <c r="FN478" i="16"/>
  <c r="FP478" i="16"/>
  <c r="FR478" i="16"/>
  <c r="FT478" i="16"/>
  <c r="FV478" i="16"/>
  <c r="FX478" i="16"/>
  <c r="FZ478" i="16"/>
  <c r="GB478" i="16"/>
  <c r="GD478" i="16"/>
  <c r="CY480" i="16"/>
  <c r="DA480" i="16"/>
  <c r="DC480" i="16"/>
  <c r="DE480" i="16"/>
  <c r="DG480" i="16"/>
  <c r="DI480" i="16"/>
  <c r="DK480" i="16"/>
  <c r="DM480" i="16"/>
  <c r="DO480" i="16"/>
  <c r="DQ480" i="16"/>
  <c r="DS480" i="16"/>
  <c r="DU480" i="16"/>
  <c r="DW480" i="16"/>
  <c r="DY480" i="16"/>
  <c r="EA480" i="16"/>
  <c r="EC480" i="16"/>
  <c r="EE480" i="16"/>
  <c r="EG480" i="16"/>
  <c r="EI480" i="16"/>
  <c r="EK480" i="16"/>
  <c r="EM480" i="16"/>
  <c r="EO480" i="16"/>
  <c r="EQ480" i="16"/>
  <c r="ES480" i="16"/>
  <c r="EU480" i="16"/>
  <c r="EW480" i="16"/>
  <c r="EY480" i="16"/>
  <c r="FA480" i="16"/>
  <c r="FC480" i="16"/>
  <c r="FE480" i="16"/>
  <c r="FG480" i="16"/>
  <c r="FI480" i="16"/>
  <c r="FK480" i="16"/>
  <c r="FM480" i="16"/>
  <c r="FO480" i="16"/>
  <c r="FQ480" i="16"/>
  <c r="FS480" i="16"/>
  <c r="FU480" i="16"/>
  <c r="FW480" i="16"/>
  <c r="FY480" i="16"/>
  <c r="GA480" i="16"/>
  <c r="GC480" i="16"/>
  <c r="CZ480" i="16"/>
  <c r="DB480" i="16"/>
  <c r="DD480" i="16"/>
  <c r="DF480" i="16"/>
  <c r="DH480" i="16"/>
  <c r="DJ480" i="16"/>
  <c r="DL480" i="16"/>
  <c r="DN480" i="16"/>
  <c r="DP480" i="16"/>
  <c r="DR480" i="16"/>
  <c r="DT480" i="16"/>
  <c r="DV480" i="16"/>
  <c r="DX480" i="16"/>
  <c r="DZ480" i="16"/>
  <c r="EB480" i="16"/>
  <c r="ED480" i="16"/>
  <c r="EF480" i="16"/>
  <c r="EH480" i="16"/>
  <c r="EJ480" i="16"/>
  <c r="EL480" i="16"/>
  <c r="EN480" i="16"/>
  <c r="EP480" i="16"/>
  <c r="ER480" i="16"/>
  <c r="ET480" i="16"/>
  <c r="EV480" i="16"/>
  <c r="EX480" i="16"/>
  <c r="EZ480" i="16"/>
  <c r="FB480" i="16"/>
  <c r="FD480" i="16"/>
  <c r="FF480" i="16"/>
  <c r="FH480" i="16"/>
  <c r="FJ480" i="16"/>
  <c r="FL480" i="16"/>
  <c r="FN480" i="16"/>
  <c r="FP480" i="16"/>
  <c r="FR480" i="16"/>
  <c r="FT480" i="16"/>
  <c r="FV480" i="16"/>
  <c r="FX480" i="16"/>
  <c r="FZ480" i="16"/>
  <c r="GB480" i="16"/>
  <c r="GD480" i="16"/>
  <c r="CZ483" i="16"/>
  <c r="DB483" i="16"/>
  <c r="DD483" i="16"/>
  <c r="DF483" i="16"/>
  <c r="DH483" i="16"/>
  <c r="DJ483" i="16"/>
  <c r="DL483" i="16"/>
  <c r="DN483" i="16"/>
  <c r="DP483" i="16"/>
  <c r="DR483" i="16"/>
  <c r="DT483" i="16"/>
  <c r="DV483" i="16"/>
  <c r="DX483" i="16"/>
  <c r="DZ483" i="16"/>
  <c r="EB483" i="16"/>
  <c r="ED483" i="16"/>
  <c r="EF483" i="16"/>
  <c r="EH483" i="16"/>
  <c r="EJ483" i="16"/>
  <c r="EL483" i="16"/>
  <c r="EN483" i="16"/>
  <c r="EP483" i="16"/>
  <c r="ER483" i="16"/>
  <c r="ET483" i="16"/>
  <c r="EV483" i="16"/>
  <c r="EX483" i="16"/>
  <c r="EZ483" i="16"/>
  <c r="FB483" i="16"/>
  <c r="FD483" i="16"/>
  <c r="FF483" i="16"/>
  <c r="FH483" i="16"/>
  <c r="FJ483" i="16"/>
  <c r="FL483" i="16"/>
  <c r="FN483" i="16"/>
  <c r="FP483" i="16"/>
  <c r="FR483" i="16"/>
  <c r="FT483" i="16"/>
  <c r="FV483" i="16"/>
  <c r="FX483" i="16"/>
  <c r="FZ483" i="16"/>
  <c r="GB483" i="16"/>
  <c r="GD483" i="16"/>
  <c r="CY483" i="16"/>
  <c r="DA483" i="16"/>
  <c r="DC483" i="16"/>
  <c r="DE483" i="16"/>
  <c r="DG483" i="16"/>
  <c r="DI483" i="16"/>
  <c r="DK483" i="16"/>
  <c r="DM483" i="16"/>
  <c r="DO483" i="16"/>
  <c r="DQ483" i="16"/>
  <c r="DS483" i="16"/>
  <c r="DU483" i="16"/>
  <c r="DW483" i="16"/>
  <c r="DY483" i="16"/>
  <c r="EA483" i="16"/>
  <c r="EC483" i="16"/>
  <c r="EE483" i="16"/>
  <c r="EG483" i="16"/>
  <c r="EI483" i="16"/>
  <c r="EK483" i="16"/>
  <c r="EM483" i="16"/>
  <c r="EO483" i="16"/>
  <c r="EQ483" i="16"/>
  <c r="ES483" i="16"/>
  <c r="EU483" i="16"/>
  <c r="EW483" i="16"/>
  <c r="EY483" i="16"/>
  <c r="FA483" i="16"/>
  <c r="FC483" i="16"/>
  <c r="FE483" i="16"/>
  <c r="FG483" i="16"/>
  <c r="FI483" i="16"/>
  <c r="FK483" i="16"/>
  <c r="FM483" i="16"/>
  <c r="FO483" i="16"/>
  <c r="FQ483" i="16"/>
  <c r="FS483" i="16"/>
  <c r="FU483" i="16"/>
  <c r="FW483" i="16"/>
  <c r="FY483" i="16"/>
  <c r="GA483" i="16"/>
  <c r="GC483" i="16"/>
  <c r="CZ485" i="16"/>
  <c r="DB485" i="16"/>
  <c r="DD485" i="16"/>
  <c r="DF485" i="16"/>
  <c r="DH485" i="16"/>
  <c r="DJ485" i="16"/>
  <c r="DL485" i="16"/>
  <c r="DN485" i="16"/>
  <c r="DP485" i="16"/>
  <c r="DR485" i="16"/>
  <c r="DT485" i="16"/>
  <c r="DV485" i="16"/>
  <c r="DX485" i="16"/>
  <c r="DZ485" i="16"/>
  <c r="EB485" i="16"/>
  <c r="ED485" i="16"/>
  <c r="EF485" i="16"/>
  <c r="EH485" i="16"/>
  <c r="EJ485" i="16"/>
  <c r="EL485" i="16"/>
  <c r="EN485" i="16"/>
  <c r="EP485" i="16"/>
  <c r="ER485" i="16"/>
  <c r="ET485" i="16"/>
  <c r="EV485" i="16"/>
  <c r="EX485" i="16"/>
  <c r="EZ485" i="16"/>
  <c r="FB485" i="16"/>
  <c r="FD485" i="16"/>
  <c r="FF485" i="16"/>
  <c r="FH485" i="16"/>
  <c r="FJ485" i="16"/>
  <c r="FL485" i="16"/>
  <c r="FN485" i="16"/>
  <c r="FP485" i="16"/>
  <c r="FR485" i="16"/>
  <c r="FT485" i="16"/>
  <c r="FV485" i="16"/>
  <c r="FX485" i="16"/>
  <c r="FZ485" i="16"/>
  <c r="GB485" i="16"/>
  <c r="GD485" i="16"/>
  <c r="CY485" i="16"/>
  <c r="DA485" i="16"/>
  <c r="DC485" i="16"/>
  <c r="DE485" i="16"/>
  <c r="DG485" i="16"/>
  <c r="DI485" i="16"/>
  <c r="DK485" i="16"/>
  <c r="DM485" i="16"/>
  <c r="DO485" i="16"/>
  <c r="DQ485" i="16"/>
  <c r="DS485" i="16"/>
  <c r="DU485" i="16"/>
  <c r="DW485" i="16"/>
  <c r="DY485" i="16"/>
  <c r="EA485" i="16"/>
  <c r="EC485" i="16"/>
  <c r="EE485" i="16"/>
  <c r="EG485" i="16"/>
  <c r="EI485" i="16"/>
  <c r="EK485" i="16"/>
  <c r="EM485" i="16"/>
  <c r="EO485" i="16"/>
  <c r="EQ485" i="16"/>
  <c r="ES485" i="16"/>
  <c r="EU485" i="16"/>
  <c r="EW485" i="16"/>
  <c r="EY485" i="16"/>
  <c r="FA485" i="16"/>
  <c r="FC485" i="16"/>
  <c r="FE485" i="16"/>
  <c r="FG485" i="16"/>
  <c r="FI485" i="16"/>
  <c r="FK485" i="16"/>
  <c r="FM485" i="16"/>
  <c r="FO485" i="16"/>
  <c r="FQ485" i="16"/>
  <c r="FS485" i="16"/>
  <c r="FU485" i="16"/>
  <c r="FW485" i="16"/>
  <c r="FY485" i="16"/>
  <c r="GA485" i="16"/>
  <c r="GC485" i="16"/>
  <c r="CZ487" i="16"/>
  <c r="DB487" i="16"/>
  <c r="DD487" i="16"/>
  <c r="DF487" i="16"/>
  <c r="DH487" i="16"/>
  <c r="DJ487" i="16"/>
  <c r="DL487" i="16"/>
  <c r="DN487" i="16"/>
  <c r="DP487" i="16"/>
  <c r="DR487" i="16"/>
  <c r="DT487" i="16"/>
  <c r="DV487" i="16"/>
  <c r="DX487" i="16"/>
  <c r="DZ487" i="16"/>
  <c r="EB487" i="16"/>
  <c r="ED487" i="16"/>
  <c r="EF487" i="16"/>
  <c r="EH487" i="16"/>
  <c r="EJ487" i="16"/>
  <c r="EL487" i="16"/>
  <c r="EN487" i="16"/>
  <c r="EP487" i="16"/>
  <c r="ER487" i="16"/>
  <c r="ET487" i="16"/>
  <c r="EV487" i="16"/>
  <c r="EX487" i="16"/>
  <c r="EZ487" i="16"/>
  <c r="FB487" i="16"/>
  <c r="FD487" i="16"/>
  <c r="FF487" i="16"/>
  <c r="FH487" i="16"/>
  <c r="FJ487" i="16"/>
  <c r="FL487" i="16"/>
  <c r="FN487" i="16"/>
  <c r="FP487" i="16"/>
  <c r="FR487" i="16"/>
  <c r="FT487" i="16"/>
  <c r="FV487" i="16"/>
  <c r="FX487" i="16"/>
  <c r="FZ487" i="16"/>
  <c r="GB487" i="16"/>
  <c r="GD487" i="16"/>
  <c r="CY487" i="16"/>
  <c r="DA487" i="16"/>
  <c r="DC487" i="16"/>
  <c r="DE487" i="16"/>
  <c r="DG487" i="16"/>
  <c r="DI487" i="16"/>
  <c r="DK487" i="16"/>
  <c r="DM487" i="16"/>
  <c r="DO487" i="16"/>
  <c r="DQ487" i="16"/>
  <c r="DS487" i="16"/>
  <c r="DU487" i="16"/>
  <c r="DW487" i="16"/>
  <c r="DY487" i="16"/>
  <c r="EA487" i="16"/>
  <c r="EC487" i="16"/>
  <c r="EE487" i="16"/>
  <c r="EG487" i="16"/>
  <c r="EI487" i="16"/>
  <c r="EK487" i="16"/>
  <c r="EM487" i="16"/>
  <c r="EO487" i="16"/>
  <c r="EQ487" i="16"/>
  <c r="ES487" i="16"/>
  <c r="EU487" i="16"/>
  <c r="EW487" i="16"/>
  <c r="EY487" i="16"/>
  <c r="FA487" i="16"/>
  <c r="FC487" i="16"/>
  <c r="FE487" i="16"/>
  <c r="FG487" i="16"/>
  <c r="FI487" i="16"/>
  <c r="FK487" i="16"/>
  <c r="FM487" i="16"/>
  <c r="FO487" i="16"/>
  <c r="FQ487" i="16"/>
  <c r="FS487" i="16"/>
  <c r="FU487" i="16"/>
  <c r="FW487" i="16"/>
  <c r="FY487" i="16"/>
  <c r="GA487" i="16"/>
  <c r="GC487" i="16"/>
  <c r="CY490" i="16"/>
  <c r="DA490" i="16"/>
  <c r="DC490" i="16"/>
  <c r="DE490" i="16"/>
  <c r="DG490" i="16"/>
  <c r="DI490" i="16"/>
  <c r="DK490" i="16"/>
  <c r="DM490" i="16"/>
  <c r="DO490" i="16"/>
  <c r="DQ490" i="16"/>
  <c r="DS490" i="16"/>
  <c r="DU490" i="16"/>
  <c r="DW490" i="16"/>
  <c r="DY490" i="16"/>
  <c r="EA490" i="16"/>
  <c r="EC490" i="16"/>
  <c r="EE490" i="16"/>
  <c r="EG490" i="16"/>
  <c r="EI490" i="16"/>
  <c r="EK490" i="16"/>
  <c r="EM490" i="16"/>
  <c r="EO490" i="16"/>
  <c r="EQ490" i="16"/>
  <c r="ES490" i="16"/>
  <c r="EU490" i="16"/>
  <c r="EW490" i="16"/>
  <c r="EY490" i="16"/>
  <c r="FA490" i="16"/>
  <c r="FC490" i="16"/>
  <c r="FE490" i="16"/>
  <c r="FG490" i="16"/>
  <c r="FI490" i="16"/>
  <c r="FK490" i="16"/>
  <c r="FM490" i="16"/>
  <c r="FO490" i="16"/>
  <c r="FQ490" i="16"/>
  <c r="FS490" i="16"/>
  <c r="FU490" i="16"/>
  <c r="FW490" i="16"/>
  <c r="FY490" i="16"/>
  <c r="GA490" i="16"/>
  <c r="GC490" i="16"/>
  <c r="CZ490" i="16"/>
  <c r="DB490" i="16"/>
  <c r="DD490" i="16"/>
  <c r="DF490" i="16"/>
  <c r="DH490" i="16"/>
  <c r="DJ490" i="16"/>
  <c r="DL490" i="16"/>
  <c r="DN490" i="16"/>
  <c r="DP490" i="16"/>
  <c r="DR490" i="16"/>
  <c r="DT490" i="16"/>
  <c r="DV490" i="16"/>
  <c r="DX490" i="16"/>
  <c r="DZ490" i="16"/>
  <c r="EB490" i="16"/>
  <c r="ED490" i="16"/>
  <c r="EF490" i="16"/>
  <c r="EH490" i="16"/>
  <c r="EJ490" i="16"/>
  <c r="EL490" i="16"/>
  <c r="EN490" i="16"/>
  <c r="EP490" i="16"/>
  <c r="ER490" i="16"/>
  <c r="ET490" i="16"/>
  <c r="EV490" i="16"/>
  <c r="EX490" i="16"/>
  <c r="EZ490" i="16"/>
  <c r="FB490" i="16"/>
  <c r="FD490" i="16"/>
  <c r="FF490" i="16"/>
  <c r="FH490" i="16"/>
  <c r="FJ490" i="16"/>
  <c r="FL490" i="16"/>
  <c r="FN490" i="16"/>
  <c r="FP490" i="16"/>
  <c r="FR490" i="16"/>
  <c r="FT490" i="16"/>
  <c r="FV490" i="16"/>
  <c r="FX490" i="16"/>
  <c r="FZ490" i="16"/>
  <c r="GB490" i="16"/>
  <c r="GD490" i="16"/>
  <c r="CY492" i="16"/>
  <c r="DA492" i="16"/>
  <c r="DC492" i="16"/>
  <c r="DE492" i="16"/>
  <c r="DG492" i="16"/>
  <c r="DI492" i="16"/>
  <c r="DK492" i="16"/>
  <c r="DM492" i="16"/>
  <c r="DO492" i="16"/>
  <c r="DQ492" i="16"/>
  <c r="DS492" i="16"/>
  <c r="DU492" i="16"/>
  <c r="DW492" i="16"/>
  <c r="DY492" i="16"/>
  <c r="EA492" i="16"/>
  <c r="EC492" i="16"/>
  <c r="EE492" i="16"/>
  <c r="EG492" i="16"/>
  <c r="EI492" i="16"/>
  <c r="EK492" i="16"/>
  <c r="EM492" i="16"/>
  <c r="EO492" i="16"/>
  <c r="EQ492" i="16"/>
  <c r="ES492" i="16"/>
  <c r="EU492" i="16"/>
  <c r="EW492" i="16"/>
  <c r="EY492" i="16"/>
  <c r="FA492" i="16"/>
  <c r="FC492" i="16"/>
  <c r="FE492" i="16"/>
  <c r="FG492" i="16"/>
  <c r="FI492" i="16"/>
  <c r="FK492" i="16"/>
  <c r="FM492" i="16"/>
  <c r="FO492" i="16"/>
  <c r="FQ492" i="16"/>
  <c r="FS492" i="16"/>
  <c r="FU492" i="16"/>
  <c r="FW492" i="16"/>
  <c r="FY492" i="16"/>
  <c r="GA492" i="16"/>
  <c r="GC492" i="16"/>
  <c r="CZ492" i="16"/>
  <c r="DB492" i="16"/>
  <c r="DD492" i="16"/>
  <c r="DF492" i="16"/>
  <c r="DH492" i="16"/>
  <c r="DJ492" i="16"/>
  <c r="DL492" i="16"/>
  <c r="DN492" i="16"/>
  <c r="DP492" i="16"/>
  <c r="DR492" i="16"/>
  <c r="DT492" i="16"/>
  <c r="DV492" i="16"/>
  <c r="DX492" i="16"/>
  <c r="DZ492" i="16"/>
  <c r="EB492" i="16"/>
  <c r="ED492" i="16"/>
  <c r="EF492" i="16"/>
  <c r="EH492" i="16"/>
  <c r="EJ492" i="16"/>
  <c r="EL492" i="16"/>
  <c r="EN492" i="16"/>
  <c r="EP492" i="16"/>
  <c r="ER492" i="16"/>
  <c r="ET492" i="16"/>
  <c r="EV492" i="16"/>
  <c r="EX492" i="16"/>
  <c r="EZ492" i="16"/>
  <c r="FB492" i="16"/>
  <c r="FD492" i="16"/>
  <c r="FF492" i="16"/>
  <c r="FH492" i="16"/>
  <c r="FJ492" i="16"/>
  <c r="FL492" i="16"/>
  <c r="FN492" i="16"/>
  <c r="FP492" i="16"/>
  <c r="FR492" i="16"/>
  <c r="FT492" i="16"/>
  <c r="FV492" i="16"/>
  <c r="FX492" i="16"/>
  <c r="FZ492" i="16"/>
  <c r="GB492" i="16"/>
  <c r="GD492" i="16"/>
  <c r="CY494" i="16"/>
  <c r="DA494" i="16"/>
  <c r="DC494" i="16"/>
  <c r="DE494" i="16"/>
  <c r="DG494" i="16"/>
  <c r="DI494" i="16"/>
  <c r="DK494" i="16"/>
  <c r="DM494" i="16"/>
  <c r="DO494" i="16"/>
  <c r="DQ494" i="16"/>
  <c r="DS494" i="16"/>
  <c r="DU494" i="16"/>
  <c r="DW494" i="16"/>
  <c r="DY494" i="16"/>
  <c r="EA494" i="16"/>
  <c r="EC494" i="16"/>
  <c r="EE494" i="16"/>
  <c r="EG494" i="16"/>
  <c r="EI494" i="16"/>
  <c r="EK494" i="16"/>
  <c r="EM494" i="16"/>
  <c r="EO494" i="16"/>
  <c r="EQ494" i="16"/>
  <c r="ES494" i="16"/>
  <c r="EU494" i="16"/>
  <c r="EW494" i="16"/>
  <c r="EY494" i="16"/>
  <c r="FA494" i="16"/>
  <c r="FC494" i="16"/>
  <c r="FE494" i="16"/>
  <c r="FG494" i="16"/>
  <c r="FI494" i="16"/>
  <c r="FK494" i="16"/>
  <c r="FM494" i="16"/>
  <c r="FO494" i="16"/>
  <c r="FQ494" i="16"/>
  <c r="FS494" i="16"/>
  <c r="FU494" i="16"/>
  <c r="FW494" i="16"/>
  <c r="FY494" i="16"/>
  <c r="GA494" i="16"/>
  <c r="GC494" i="16"/>
  <c r="CZ494" i="16"/>
  <c r="DB494" i="16"/>
  <c r="DD494" i="16"/>
  <c r="DF494" i="16"/>
  <c r="DH494" i="16"/>
  <c r="DJ494" i="16"/>
  <c r="DL494" i="16"/>
  <c r="DN494" i="16"/>
  <c r="DP494" i="16"/>
  <c r="DR494" i="16"/>
  <c r="DT494" i="16"/>
  <c r="DV494" i="16"/>
  <c r="DX494" i="16"/>
  <c r="DZ494" i="16"/>
  <c r="EB494" i="16"/>
  <c r="ED494" i="16"/>
  <c r="EF494" i="16"/>
  <c r="EH494" i="16"/>
  <c r="EJ494" i="16"/>
  <c r="EL494" i="16"/>
  <c r="EN494" i="16"/>
  <c r="EP494" i="16"/>
  <c r="ER494" i="16"/>
  <c r="ET494" i="16"/>
  <c r="EV494" i="16"/>
  <c r="EX494" i="16"/>
  <c r="EZ494" i="16"/>
  <c r="FB494" i="16"/>
  <c r="FD494" i="16"/>
  <c r="FF494" i="16"/>
  <c r="FH494" i="16"/>
  <c r="FJ494" i="16"/>
  <c r="FL494" i="16"/>
  <c r="FN494" i="16"/>
  <c r="FP494" i="16"/>
  <c r="FR494" i="16"/>
  <c r="FT494" i="16"/>
  <c r="FV494" i="16"/>
  <c r="FX494" i="16"/>
  <c r="FZ494" i="16"/>
  <c r="GB494" i="16"/>
  <c r="GD494" i="16"/>
  <c r="CY496" i="16"/>
  <c r="DA496" i="16"/>
  <c r="DC496" i="16"/>
  <c r="DE496" i="16"/>
  <c r="DG496" i="16"/>
  <c r="DI496" i="16"/>
  <c r="DK496" i="16"/>
  <c r="DM496" i="16"/>
  <c r="DO496" i="16"/>
  <c r="DQ496" i="16"/>
  <c r="DS496" i="16"/>
  <c r="DU496" i="16"/>
  <c r="DW496" i="16"/>
  <c r="DY496" i="16"/>
  <c r="EA496" i="16"/>
  <c r="EC496" i="16"/>
  <c r="EE496" i="16"/>
  <c r="EG496" i="16"/>
  <c r="EI496" i="16"/>
  <c r="EK496" i="16"/>
  <c r="EM496" i="16"/>
  <c r="EO496" i="16"/>
  <c r="EQ496" i="16"/>
  <c r="ES496" i="16"/>
  <c r="EU496" i="16"/>
  <c r="EW496" i="16"/>
  <c r="EY496" i="16"/>
  <c r="FA496" i="16"/>
  <c r="FC496" i="16"/>
  <c r="FE496" i="16"/>
  <c r="FG496" i="16"/>
  <c r="FI496" i="16"/>
  <c r="FK496" i="16"/>
  <c r="FM496" i="16"/>
  <c r="FO496" i="16"/>
  <c r="FQ496" i="16"/>
  <c r="FS496" i="16"/>
  <c r="FU496" i="16"/>
  <c r="FW496" i="16"/>
  <c r="FY496" i="16"/>
  <c r="GA496" i="16"/>
  <c r="GC496" i="16"/>
  <c r="CZ496" i="16"/>
  <c r="DB496" i="16"/>
  <c r="DD496" i="16"/>
  <c r="DF496" i="16"/>
  <c r="DH496" i="16"/>
  <c r="DJ496" i="16"/>
  <c r="DL496" i="16"/>
  <c r="DN496" i="16"/>
  <c r="DP496" i="16"/>
  <c r="DR496" i="16"/>
  <c r="DT496" i="16"/>
  <c r="DV496" i="16"/>
  <c r="DX496" i="16"/>
  <c r="DZ496" i="16"/>
  <c r="EB496" i="16"/>
  <c r="ED496" i="16"/>
  <c r="EF496" i="16"/>
  <c r="EH496" i="16"/>
  <c r="EJ496" i="16"/>
  <c r="EL496" i="16"/>
  <c r="EN496" i="16"/>
  <c r="EP496" i="16"/>
  <c r="ER496" i="16"/>
  <c r="ET496" i="16"/>
  <c r="EV496" i="16"/>
  <c r="EX496" i="16"/>
  <c r="EZ496" i="16"/>
  <c r="FB496" i="16"/>
  <c r="FD496" i="16"/>
  <c r="FF496" i="16"/>
  <c r="FH496" i="16"/>
  <c r="FJ496" i="16"/>
  <c r="FL496" i="16"/>
  <c r="FN496" i="16"/>
  <c r="FP496" i="16"/>
  <c r="FR496" i="16"/>
  <c r="FT496" i="16"/>
  <c r="FV496" i="16"/>
  <c r="FX496" i="16"/>
  <c r="FZ496" i="16"/>
  <c r="GB496" i="16"/>
  <c r="GD496" i="16"/>
  <c r="CY498" i="16"/>
  <c r="DA498" i="16"/>
  <c r="DC498" i="16"/>
  <c r="DE498" i="16"/>
  <c r="DG498" i="16"/>
  <c r="DI498" i="16"/>
  <c r="DK498" i="16"/>
  <c r="DM498" i="16"/>
  <c r="DO498" i="16"/>
  <c r="DQ498" i="16"/>
  <c r="DS498" i="16"/>
  <c r="DU498" i="16"/>
  <c r="DW498" i="16"/>
  <c r="DY498" i="16"/>
  <c r="EA498" i="16"/>
  <c r="EC498" i="16"/>
  <c r="EE498" i="16"/>
  <c r="EG498" i="16"/>
  <c r="EI498" i="16"/>
  <c r="EK498" i="16"/>
  <c r="EM498" i="16"/>
  <c r="EO498" i="16"/>
  <c r="EQ498" i="16"/>
  <c r="ES498" i="16"/>
  <c r="EU498" i="16"/>
  <c r="EW498" i="16"/>
  <c r="EY498" i="16"/>
  <c r="FA498" i="16"/>
  <c r="FC498" i="16"/>
  <c r="FE498" i="16"/>
  <c r="FG498" i="16"/>
  <c r="FI498" i="16"/>
  <c r="FK498" i="16"/>
  <c r="FM498" i="16"/>
  <c r="FO498" i="16"/>
  <c r="FQ498" i="16"/>
  <c r="FS498" i="16"/>
  <c r="FU498" i="16"/>
  <c r="FW498" i="16"/>
  <c r="FY498" i="16"/>
  <c r="GA498" i="16"/>
  <c r="GC498" i="16"/>
  <c r="CZ498" i="16"/>
  <c r="DB498" i="16"/>
  <c r="DD498" i="16"/>
  <c r="DF498" i="16"/>
  <c r="DH498" i="16"/>
  <c r="DJ498" i="16"/>
  <c r="DL498" i="16"/>
  <c r="DN498" i="16"/>
  <c r="DP498" i="16"/>
  <c r="DR498" i="16"/>
  <c r="DT498" i="16"/>
  <c r="DV498" i="16"/>
  <c r="DX498" i="16"/>
  <c r="DZ498" i="16"/>
  <c r="EB498" i="16"/>
  <c r="ED498" i="16"/>
  <c r="EF498" i="16"/>
  <c r="EH498" i="16"/>
  <c r="EJ498" i="16"/>
  <c r="EL498" i="16"/>
  <c r="EN498" i="16"/>
  <c r="EP498" i="16"/>
  <c r="ER498" i="16"/>
  <c r="ET498" i="16"/>
  <c r="EV498" i="16"/>
  <c r="EX498" i="16"/>
  <c r="EZ498" i="16"/>
  <c r="FB498" i="16"/>
  <c r="FD498" i="16"/>
  <c r="FF498" i="16"/>
  <c r="FH498" i="16"/>
  <c r="FJ498" i="16"/>
  <c r="FL498" i="16"/>
  <c r="FN498" i="16"/>
  <c r="FP498" i="16"/>
  <c r="FR498" i="16"/>
  <c r="FT498" i="16"/>
  <c r="FV498" i="16"/>
  <c r="FX498" i="16"/>
  <c r="FZ498" i="16"/>
  <c r="GB498" i="16"/>
  <c r="GD498" i="16"/>
  <c r="CY500" i="16"/>
  <c r="DA500" i="16"/>
  <c r="DC500" i="16"/>
  <c r="DE500" i="16"/>
  <c r="DG500" i="16"/>
  <c r="DI500" i="16"/>
  <c r="DK500" i="16"/>
  <c r="DM500" i="16"/>
  <c r="DO500" i="16"/>
  <c r="DQ500" i="16"/>
  <c r="DS500" i="16"/>
  <c r="DU500" i="16"/>
  <c r="DW500" i="16"/>
  <c r="DY500" i="16"/>
  <c r="EA500" i="16"/>
  <c r="EC500" i="16"/>
  <c r="EE500" i="16"/>
  <c r="EG500" i="16"/>
  <c r="EI500" i="16"/>
  <c r="EK500" i="16"/>
  <c r="EM500" i="16"/>
  <c r="EO500" i="16"/>
  <c r="EQ500" i="16"/>
  <c r="ES500" i="16"/>
  <c r="EU500" i="16"/>
  <c r="EW500" i="16"/>
  <c r="EY500" i="16"/>
  <c r="FA500" i="16"/>
  <c r="FC500" i="16"/>
  <c r="FE500" i="16"/>
  <c r="FG500" i="16"/>
  <c r="FI500" i="16"/>
  <c r="FK500" i="16"/>
  <c r="FM500" i="16"/>
  <c r="FO500" i="16"/>
  <c r="FQ500" i="16"/>
  <c r="FS500" i="16"/>
  <c r="FU500" i="16"/>
  <c r="FW500" i="16"/>
  <c r="FY500" i="16"/>
  <c r="GA500" i="16"/>
  <c r="GC500" i="16"/>
  <c r="CZ500" i="16"/>
  <c r="DB500" i="16"/>
  <c r="DD500" i="16"/>
  <c r="DF500" i="16"/>
  <c r="DH500" i="16"/>
  <c r="DJ500" i="16"/>
  <c r="DL500" i="16"/>
  <c r="DN500" i="16"/>
  <c r="DP500" i="16"/>
  <c r="DR500" i="16"/>
  <c r="DT500" i="16"/>
  <c r="DV500" i="16"/>
  <c r="DX500" i="16"/>
  <c r="DZ500" i="16"/>
  <c r="EB500" i="16"/>
  <c r="ED500" i="16"/>
  <c r="EF500" i="16"/>
  <c r="EH500" i="16"/>
  <c r="EJ500" i="16"/>
  <c r="EL500" i="16"/>
  <c r="EN500" i="16"/>
  <c r="EP500" i="16"/>
  <c r="ER500" i="16"/>
  <c r="ET500" i="16"/>
  <c r="EV500" i="16"/>
  <c r="EX500" i="16"/>
  <c r="EZ500" i="16"/>
  <c r="FB500" i="16"/>
  <c r="FD500" i="16"/>
  <c r="FF500" i="16"/>
  <c r="FH500" i="16"/>
  <c r="FJ500" i="16"/>
  <c r="FL500" i="16"/>
  <c r="FN500" i="16"/>
  <c r="FP500" i="16"/>
  <c r="FR500" i="16"/>
  <c r="FT500" i="16"/>
  <c r="FV500" i="16"/>
  <c r="FX500" i="16"/>
  <c r="FZ500" i="16"/>
  <c r="GB500" i="16"/>
  <c r="GD500" i="16"/>
  <c r="CY5" i="16"/>
  <c r="CZ5" i="16"/>
  <c r="DB5" i="16"/>
  <c r="DD5" i="16"/>
  <c r="DF5" i="16"/>
  <c r="DH5" i="16"/>
  <c r="DJ5" i="16"/>
  <c r="DL5" i="16"/>
  <c r="DN5" i="16"/>
  <c r="DP5" i="16"/>
  <c r="DR5" i="16"/>
  <c r="DT5" i="16"/>
  <c r="DV5" i="16"/>
  <c r="DX5" i="16"/>
  <c r="DZ5" i="16"/>
  <c r="EB5" i="16"/>
  <c r="ED5" i="16"/>
  <c r="EF5" i="16"/>
  <c r="EH5" i="16"/>
  <c r="EJ5" i="16"/>
  <c r="EL5" i="16"/>
  <c r="EN5" i="16"/>
  <c r="EP5" i="16"/>
  <c r="ER5" i="16"/>
  <c r="ET5" i="16"/>
  <c r="EV5" i="16"/>
  <c r="EX5" i="16"/>
  <c r="EZ5" i="16"/>
  <c r="FB5" i="16"/>
  <c r="FD5" i="16"/>
  <c r="FF5" i="16"/>
  <c r="FH5" i="16"/>
  <c r="FJ5" i="16"/>
  <c r="FL5" i="16"/>
  <c r="FN5" i="16"/>
  <c r="FP5" i="16"/>
  <c r="FR5" i="16"/>
  <c r="FT5" i="16"/>
  <c r="FV5" i="16"/>
  <c r="FX5" i="16"/>
  <c r="FZ5" i="16"/>
  <c r="GB5" i="16"/>
  <c r="GD5" i="16"/>
  <c r="DA5" i="16"/>
  <c r="DC5" i="16"/>
  <c r="DE5" i="16"/>
  <c r="DG5" i="16"/>
  <c r="DI5" i="16"/>
  <c r="DK5" i="16"/>
  <c r="DM5" i="16"/>
  <c r="DO5" i="16"/>
  <c r="DQ5" i="16"/>
  <c r="DS5" i="16"/>
  <c r="DU5" i="16"/>
  <c r="DW5" i="16"/>
  <c r="DY5" i="16"/>
  <c r="EA5" i="16"/>
  <c r="EC5" i="16"/>
  <c r="EE5" i="16"/>
  <c r="EG5" i="16"/>
  <c r="EI5" i="16"/>
  <c r="EK5" i="16"/>
  <c r="EM5" i="16"/>
  <c r="EO5" i="16"/>
  <c r="EQ5" i="16"/>
  <c r="ES5" i="16"/>
  <c r="EU5" i="16"/>
  <c r="EW5" i="16"/>
  <c r="EY5" i="16"/>
  <c r="FA5" i="16"/>
  <c r="FC5" i="16"/>
  <c r="FE5" i="16"/>
  <c r="FG5" i="16"/>
  <c r="FI5" i="16"/>
  <c r="FK5" i="16"/>
  <c r="FM5" i="16"/>
  <c r="FO5" i="16"/>
  <c r="FQ5" i="16"/>
  <c r="FS5" i="16"/>
  <c r="FU5" i="16"/>
  <c r="FW5" i="16"/>
  <c r="FY5" i="16"/>
  <c r="GA5" i="16"/>
  <c r="GC5" i="16"/>
  <c r="CY8" i="16"/>
  <c r="DA8" i="16"/>
  <c r="DC8" i="16"/>
  <c r="DE8" i="16"/>
  <c r="DG8" i="16"/>
  <c r="DI8" i="16"/>
  <c r="DK8" i="16"/>
  <c r="DM8" i="16"/>
  <c r="DO8" i="16"/>
  <c r="DQ8" i="16"/>
  <c r="DS8" i="16"/>
  <c r="DU8" i="16"/>
  <c r="DW8" i="16"/>
  <c r="DY8" i="16"/>
  <c r="EA8" i="16"/>
  <c r="EC8" i="16"/>
  <c r="EE8" i="16"/>
  <c r="EG8" i="16"/>
  <c r="EI8" i="16"/>
  <c r="EK8" i="16"/>
  <c r="EM8" i="16"/>
  <c r="EO8" i="16"/>
  <c r="EQ8" i="16"/>
  <c r="ES8" i="16"/>
  <c r="EU8" i="16"/>
  <c r="EW8" i="16"/>
  <c r="CZ8" i="16"/>
  <c r="DB8" i="16"/>
  <c r="DD8" i="16"/>
  <c r="DF8" i="16"/>
  <c r="DH8" i="16"/>
  <c r="DJ8" i="16"/>
  <c r="DL8" i="16"/>
  <c r="DN8" i="16"/>
  <c r="DP8" i="16"/>
  <c r="DR8" i="16"/>
  <c r="DT8" i="16"/>
  <c r="DV8" i="16"/>
  <c r="DX8" i="16"/>
  <c r="DZ8" i="16"/>
  <c r="EB8" i="16"/>
  <c r="ED8" i="16"/>
  <c r="EF8" i="16"/>
  <c r="EH8" i="16"/>
  <c r="EJ8" i="16"/>
  <c r="EL8" i="16"/>
  <c r="EN8" i="16"/>
  <c r="EP8" i="16"/>
  <c r="ER8" i="16"/>
  <c r="ET8" i="16"/>
  <c r="EV8" i="16"/>
  <c r="EX8" i="16"/>
  <c r="EZ8" i="16"/>
  <c r="FB8" i="16"/>
  <c r="FD8" i="16"/>
  <c r="FF8" i="16"/>
  <c r="FH8" i="16"/>
  <c r="FJ8" i="16"/>
  <c r="FL8" i="16"/>
  <c r="FN8" i="16"/>
  <c r="FP8" i="16"/>
  <c r="FR8" i="16"/>
  <c r="FT8" i="16"/>
  <c r="FV8" i="16"/>
  <c r="FX8" i="16"/>
  <c r="FZ8" i="16"/>
  <c r="GB8" i="16"/>
  <c r="GD8" i="16"/>
  <c r="EY8" i="16"/>
  <c r="FC8" i="16"/>
  <c r="FG8" i="16"/>
  <c r="FK8" i="16"/>
  <c r="FO8" i="16"/>
  <c r="FS8" i="16"/>
  <c r="FW8" i="16"/>
  <c r="GA8" i="16"/>
  <c r="FA8" i="16"/>
  <c r="FE8" i="16"/>
  <c r="FI8" i="16"/>
  <c r="FM8" i="16"/>
  <c r="FQ8" i="16"/>
  <c r="FU8" i="16"/>
  <c r="FY8" i="16"/>
  <c r="GC8" i="16"/>
  <c r="CZ10" i="16"/>
  <c r="DB10" i="16"/>
  <c r="DD10" i="16"/>
  <c r="DF10" i="16"/>
  <c r="DH10" i="16"/>
  <c r="DJ10" i="16"/>
  <c r="DL10" i="16"/>
  <c r="DN10" i="16"/>
  <c r="DP10" i="16"/>
  <c r="DR10" i="16"/>
  <c r="DT10" i="16"/>
  <c r="DV10" i="16"/>
  <c r="DX10" i="16"/>
  <c r="DZ10" i="16"/>
  <c r="EB10" i="16"/>
  <c r="ED10" i="16"/>
  <c r="EF10" i="16"/>
  <c r="EH10" i="16"/>
  <c r="EJ10" i="16"/>
  <c r="EL10" i="16"/>
  <c r="EN10" i="16"/>
  <c r="EP10" i="16"/>
  <c r="ER10" i="16"/>
  <c r="ET10" i="16"/>
  <c r="EV10" i="16"/>
  <c r="EX10" i="16"/>
  <c r="EZ10" i="16"/>
  <c r="FB10" i="16"/>
  <c r="FD10" i="16"/>
  <c r="FF10" i="16"/>
  <c r="FH10" i="16"/>
  <c r="FJ10" i="16"/>
  <c r="FL10" i="16"/>
  <c r="FN10" i="16"/>
  <c r="FP10" i="16"/>
  <c r="FR10" i="16"/>
  <c r="FT10" i="16"/>
  <c r="FV10" i="16"/>
  <c r="FX10" i="16"/>
  <c r="FZ10" i="16"/>
  <c r="GB10" i="16"/>
  <c r="GD10" i="16"/>
  <c r="CY10" i="16"/>
  <c r="DA10" i="16"/>
  <c r="DC10" i="16"/>
  <c r="DE10" i="16"/>
  <c r="DG10" i="16"/>
  <c r="DI10" i="16"/>
  <c r="DK10" i="16"/>
  <c r="DM10" i="16"/>
  <c r="DO10" i="16"/>
  <c r="DQ10" i="16"/>
  <c r="DS10" i="16"/>
  <c r="DU10" i="16"/>
  <c r="DW10" i="16"/>
  <c r="DY10" i="16"/>
  <c r="EA10" i="16"/>
  <c r="EC10" i="16"/>
  <c r="EE10" i="16"/>
  <c r="EG10" i="16"/>
  <c r="EI10" i="16"/>
  <c r="EK10" i="16"/>
  <c r="EM10" i="16"/>
  <c r="EO10" i="16"/>
  <c r="EQ10" i="16"/>
  <c r="ES10" i="16"/>
  <c r="EU10" i="16"/>
  <c r="EW10" i="16"/>
  <c r="EY10" i="16"/>
  <c r="FA10" i="16"/>
  <c r="FC10" i="16"/>
  <c r="FE10" i="16"/>
  <c r="FG10" i="16"/>
  <c r="FI10" i="16"/>
  <c r="FK10" i="16"/>
  <c r="FM10" i="16"/>
  <c r="FO10" i="16"/>
  <c r="FQ10" i="16"/>
  <c r="FS10" i="16"/>
  <c r="FU10" i="16"/>
  <c r="FW10" i="16"/>
  <c r="FY10" i="16"/>
  <c r="GA10" i="16"/>
  <c r="GC10" i="16"/>
  <c r="CZ12" i="16"/>
  <c r="DB12" i="16"/>
  <c r="DD12" i="16"/>
  <c r="DF12" i="16"/>
  <c r="DH12" i="16"/>
  <c r="DJ12" i="16"/>
  <c r="DL12" i="16"/>
  <c r="DN12" i="16"/>
  <c r="DP12" i="16"/>
  <c r="DR12" i="16"/>
  <c r="DT12" i="16"/>
  <c r="DV12" i="16"/>
  <c r="DX12" i="16"/>
  <c r="DZ12" i="16"/>
  <c r="EB12" i="16"/>
  <c r="ED12" i="16"/>
  <c r="EF12" i="16"/>
  <c r="EH12" i="16"/>
  <c r="EJ12" i="16"/>
  <c r="EL12" i="16"/>
  <c r="CY12" i="16"/>
  <c r="DA12" i="16"/>
  <c r="DC12" i="16"/>
  <c r="DE12" i="16"/>
  <c r="DG12" i="16"/>
  <c r="DI12" i="16"/>
  <c r="DK12" i="16"/>
  <c r="DM12" i="16"/>
  <c r="DO12" i="16"/>
  <c r="DQ12" i="16"/>
  <c r="DS12" i="16"/>
  <c r="DU12" i="16"/>
  <c r="DW12" i="16"/>
  <c r="DY12" i="16"/>
  <c r="EA12" i="16"/>
  <c r="EC12" i="16"/>
  <c r="EE12" i="16"/>
  <c r="EG12" i="16"/>
  <c r="EI12" i="16"/>
  <c r="EK12" i="16"/>
  <c r="EM12" i="16"/>
  <c r="EO12" i="16"/>
  <c r="EQ12" i="16"/>
  <c r="ES12" i="16"/>
  <c r="EU12" i="16"/>
  <c r="EW12" i="16"/>
  <c r="EY12" i="16"/>
  <c r="FA12" i="16"/>
  <c r="FC12" i="16"/>
  <c r="FE12" i="16"/>
  <c r="FG12" i="16"/>
  <c r="FI12" i="16"/>
  <c r="FK12" i="16"/>
  <c r="FM12" i="16"/>
  <c r="FO12" i="16"/>
  <c r="FQ12" i="16"/>
  <c r="EN12" i="16"/>
  <c r="ER12" i="16"/>
  <c r="EV12" i="16"/>
  <c r="EZ12" i="16"/>
  <c r="FD12" i="16"/>
  <c r="FH12" i="16"/>
  <c r="FL12" i="16"/>
  <c r="FP12" i="16"/>
  <c r="FS12" i="16"/>
  <c r="FU12" i="16"/>
  <c r="FW12" i="16"/>
  <c r="FY12" i="16"/>
  <c r="GA12" i="16"/>
  <c r="GC12" i="16"/>
  <c r="EP12" i="16"/>
  <c r="ET12" i="16"/>
  <c r="EX12" i="16"/>
  <c r="FB12" i="16"/>
  <c r="FF12" i="16"/>
  <c r="FJ12" i="16"/>
  <c r="FN12" i="16"/>
  <c r="FR12" i="16"/>
  <c r="FT12" i="16"/>
  <c r="FV12" i="16"/>
  <c r="FX12" i="16"/>
  <c r="FZ12" i="16"/>
  <c r="GB12" i="16"/>
  <c r="GD12" i="16"/>
  <c r="CY14" i="16"/>
  <c r="DA14" i="16"/>
  <c r="DC14" i="16"/>
  <c r="DE14" i="16"/>
  <c r="DG14" i="16"/>
  <c r="DI14" i="16"/>
  <c r="DK14" i="16"/>
  <c r="DM14" i="16"/>
  <c r="DO14" i="16"/>
  <c r="DQ14" i="16"/>
  <c r="DS14" i="16"/>
  <c r="DU14" i="16"/>
  <c r="DW14" i="16"/>
  <c r="DY14" i="16"/>
  <c r="EA14" i="16"/>
  <c r="EC14" i="16"/>
  <c r="EE14" i="16"/>
  <c r="EG14" i="16"/>
  <c r="EI14" i="16"/>
  <c r="EK14" i="16"/>
  <c r="EM14" i="16"/>
  <c r="EO14" i="16"/>
  <c r="EQ14" i="16"/>
  <c r="ES14" i="16"/>
  <c r="EU14" i="16"/>
  <c r="EW14" i="16"/>
  <c r="EY14" i="16"/>
  <c r="FA14" i="16"/>
  <c r="FC14" i="16"/>
  <c r="FE14" i="16"/>
  <c r="FG14" i="16"/>
  <c r="FI14" i="16"/>
  <c r="FK14" i="16"/>
  <c r="FM14" i="16"/>
  <c r="FO14" i="16"/>
  <c r="FQ14" i="16"/>
  <c r="FS14" i="16"/>
  <c r="FU14" i="16"/>
  <c r="FW14" i="16"/>
  <c r="FY14" i="16"/>
  <c r="GA14" i="16"/>
  <c r="GC14" i="16"/>
  <c r="CZ14" i="16"/>
  <c r="DB14" i="16"/>
  <c r="DD14" i="16"/>
  <c r="DF14" i="16"/>
  <c r="DH14" i="16"/>
  <c r="DJ14" i="16"/>
  <c r="DL14" i="16"/>
  <c r="DN14" i="16"/>
  <c r="DP14" i="16"/>
  <c r="DR14" i="16"/>
  <c r="DT14" i="16"/>
  <c r="DV14" i="16"/>
  <c r="DX14" i="16"/>
  <c r="DZ14" i="16"/>
  <c r="EB14" i="16"/>
  <c r="ED14" i="16"/>
  <c r="EF14" i="16"/>
  <c r="EH14" i="16"/>
  <c r="EJ14" i="16"/>
  <c r="EL14" i="16"/>
  <c r="EN14" i="16"/>
  <c r="EP14" i="16"/>
  <c r="ER14" i="16"/>
  <c r="ET14" i="16"/>
  <c r="EV14" i="16"/>
  <c r="EX14" i="16"/>
  <c r="EZ14" i="16"/>
  <c r="FB14" i="16"/>
  <c r="FD14" i="16"/>
  <c r="FF14" i="16"/>
  <c r="FH14" i="16"/>
  <c r="FJ14" i="16"/>
  <c r="FL14" i="16"/>
  <c r="FN14" i="16"/>
  <c r="FP14" i="16"/>
  <c r="FR14" i="16"/>
  <c r="FT14" i="16"/>
  <c r="FV14" i="16"/>
  <c r="FX14" i="16"/>
  <c r="FZ14" i="16"/>
  <c r="GB14" i="16"/>
  <c r="GD14" i="16"/>
  <c r="CY16" i="16"/>
  <c r="DA16" i="16"/>
  <c r="DC16" i="16"/>
  <c r="DE16" i="16"/>
  <c r="DG16" i="16"/>
  <c r="DI16" i="16"/>
  <c r="DK16" i="16"/>
  <c r="DM16" i="16"/>
  <c r="DO16" i="16"/>
  <c r="DQ16" i="16"/>
  <c r="DS16" i="16"/>
  <c r="DU16" i="16"/>
  <c r="DW16" i="16"/>
  <c r="DY16" i="16"/>
  <c r="EA16" i="16"/>
  <c r="EC16" i="16"/>
  <c r="EE16" i="16"/>
  <c r="EG16" i="16"/>
  <c r="EI16" i="16"/>
  <c r="EK16" i="16"/>
  <c r="EM16" i="16"/>
  <c r="EO16" i="16"/>
  <c r="EQ16" i="16"/>
  <c r="ES16" i="16"/>
  <c r="EU16" i="16"/>
  <c r="EW16" i="16"/>
  <c r="EY16" i="16"/>
  <c r="FA16" i="16"/>
  <c r="FC16" i="16"/>
  <c r="FE16" i="16"/>
  <c r="CZ16" i="16"/>
  <c r="DB16" i="16"/>
  <c r="DD16" i="16"/>
  <c r="DF16" i="16"/>
  <c r="DH16" i="16"/>
  <c r="DJ16" i="16"/>
  <c r="DL16" i="16"/>
  <c r="DN16" i="16"/>
  <c r="DP16" i="16"/>
  <c r="DR16" i="16"/>
  <c r="DT16" i="16"/>
  <c r="DV16" i="16"/>
  <c r="DX16" i="16"/>
  <c r="DZ16" i="16"/>
  <c r="EB16" i="16"/>
  <c r="ED16" i="16"/>
  <c r="EF16" i="16"/>
  <c r="EH16" i="16"/>
  <c r="EJ16" i="16"/>
  <c r="EL16" i="16"/>
  <c r="EN16" i="16"/>
  <c r="EP16" i="16"/>
  <c r="ER16" i="16"/>
  <c r="ET16" i="16"/>
  <c r="EV16" i="16"/>
  <c r="EX16" i="16"/>
  <c r="EZ16" i="16"/>
  <c r="FB16" i="16"/>
  <c r="FD16" i="16"/>
  <c r="FF16" i="16"/>
  <c r="FH16" i="16"/>
  <c r="FJ16" i="16"/>
  <c r="FL16" i="16"/>
  <c r="FN16" i="16"/>
  <c r="FP16" i="16"/>
  <c r="FR16" i="16"/>
  <c r="FT16" i="16"/>
  <c r="FV16" i="16"/>
  <c r="FX16" i="16"/>
  <c r="FZ16" i="16"/>
  <c r="GB16" i="16"/>
  <c r="FG16" i="16"/>
  <c r="FK16" i="16"/>
  <c r="FO16" i="16"/>
  <c r="FS16" i="16"/>
  <c r="FW16" i="16"/>
  <c r="GA16" i="16"/>
  <c r="GD16" i="16"/>
  <c r="FI16" i="16"/>
  <c r="FM16" i="16"/>
  <c r="FQ16" i="16"/>
  <c r="FU16" i="16"/>
  <c r="FY16" i="16"/>
  <c r="GC16" i="16"/>
  <c r="CY19" i="16"/>
  <c r="DA19" i="16"/>
  <c r="DC19" i="16"/>
  <c r="DE19" i="16"/>
  <c r="DG19" i="16"/>
  <c r="DI19" i="16"/>
  <c r="DK19" i="16"/>
  <c r="DM19" i="16"/>
  <c r="DO19" i="16"/>
  <c r="DQ19" i="16"/>
  <c r="DS19" i="16"/>
  <c r="DU19" i="16"/>
  <c r="DW19" i="16"/>
  <c r="DY19" i="16"/>
  <c r="EA19" i="16"/>
  <c r="EC19" i="16"/>
  <c r="EE19" i="16"/>
  <c r="EG19" i="16"/>
  <c r="EI19" i="16"/>
  <c r="EK19" i="16"/>
  <c r="EM19" i="16"/>
  <c r="EO19" i="16"/>
  <c r="EQ19" i="16"/>
  <c r="ES19" i="16"/>
  <c r="EU19" i="16"/>
  <c r="EW19" i="16"/>
  <c r="EY19" i="16"/>
  <c r="FA19" i="16"/>
  <c r="FC19" i="16"/>
  <c r="FE19" i="16"/>
  <c r="FG19" i="16"/>
  <c r="FI19" i="16"/>
  <c r="FK19" i="16"/>
  <c r="FM19" i="16"/>
  <c r="FO19" i="16"/>
  <c r="FQ19" i="16"/>
  <c r="FS19" i="16"/>
  <c r="FU19" i="16"/>
  <c r="FW19" i="16"/>
  <c r="FY19" i="16"/>
  <c r="GA19" i="16"/>
  <c r="GC19" i="16"/>
  <c r="CZ19" i="16"/>
  <c r="DB19" i="16"/>
  <c r="DD19" i="16"/>
  <c r="DF19" i="16"/>
  <c r="DH19" i="16"/>
  <c r="DJ19" i="16"/>
  <c r="DL19" i="16"/>
  <c r="DN19" i="16"/>
  <c r="DP19" i="16"/>
  <c r="DR19" i="16"/>
  <c r="DT19" i="16"/>
  <c r="DV19" i="16"/>
  <c r="DX19" i="16"/>
  <c r="DZ19" i="16"/>
  <c r="EB19" i="16"/>
  <c r="ED19" i="16"/>
  <c r="EF19" i="16"/>
  <c r="EH19" i="16"/>
  <c r="EJ19" i="16"/>
  <c r="EL19" i="16"/>
  <c r="EN19" i="16"/>
  <c r="EP19" i="16"/>
  <c r="ER19" i="16"/>
  <c r="ET19" i="16"/>
  <c r="EV19" i="16"/>
  <c r="EX19" i="16"/>
  <c r="EZ19" i="16"/>
  <c r="FB19" i="16"/>
  <c r="FD19" i="16"/>
  <c r="FF19" i="16"/>
  <c r="FH19" i="16"/>
  <c r="FJ19" i="16"/>
  <c r="FL19" i="16"/>
  <c r="FN19" i="16"/>
  <c r="FP19" i="16"/>
  <c r="FR19" i="16"/>
  <c r="FT19" i="16"/>
  <c r="FV19" i="16"/>
  <c r="FX19" i="16"/>
  <c r="FZ19" i="16"/>
  <c r="GB19" i="16"/>
  <c r="GD19" i="16"/>
  <c r="CY21" i="16"/>
  <c r="DA21" i="16"/>
  <c r="DC21" i="16"/>
  <c r="DE21" i="16"/>
  <c r="DG21" i="16"/>
  <c r="DI21" i="16"/>
  <c r="DK21" i="16"/>
  <c r="DM21" i="16"/>
  <c r="DO21" i="16"/>
  <c r="DQ21" i="16"/>
  <c r="DS21" i="16"/>
  <c r="DU21" i="16"/>
  <c r="DW21" i="16"/>
  <c r="DY21" i="16"/>
  <c r="EA21" i="16"/>
  <c r="EC21" i="16"/>
  <c r="EE21" i="16"/>
  <c r="EG21" i="16"/>
  <c r="EI21" i="16"/>
  <c r="EK21" i="16"/>
  <c r="EM21" i="16"/>
  <c r="EO21" i="16"/>
  <c r="EQ21" i="16"/>
  <c r="ES21" i="16"/>
  <c r="EU21" i="16"/>
  <c r="EW21" i="16"/>
  <c r="EY21" i="16"/>
  <c r="FA21" i="16"/>
  <c r="FC21" i="16"/>
  <c r="FE21" i="16"/>
  <c r="FG21" i="16"/>
  <c r="FI21" i="16"/>
  <c r="FK21" i="16"/>
  <c r="FM21" i="16"/>
  <c r="FO21" i="16"/>
  <c r="FQ21" i="16"/>
  <c r="FS21" i="16"/>
  <c r="FU21" i="16"/>
  <c r="FW21" i="16"/>
  <c r="FY21" i="16"/>
  <c r="GA21" i="16"/>
  <c r="GC21" i="16"/>
  <c r="CZ21" i="16"/>
  <c r="DB21" i="16"/>
  <c r="DD21" i="16"/>
  <c r="DF21" i="16"/>
  <c r="DH21" i="16"/>
  <c r="DJ21" i="16"/>
  <c r="DL21" i="16"/>
  <c r="DN21" i="16"/>
  <c r="DP21" i="16"/>
  <c r="DR21" i="16"/>
  <c r="DT21" i="16"/>
  <c r="DV21" i="16"/>
  <c r="DX21" i="16"/>
  <c r="DZ21" i="16"/>
  <c r="EB21" i="16"/>
  <c r="ED21" i="16"/>
  <c r="EF21" i="16"/>
  <c r="EH21" i="16"/>
  <c r="EJ21" i="16"/>
  <c r="EL21" i="16"/>
  <c r="EN21" i="16"/>
  <c r="EP21" i="16"/>
  <c r="ER21" i="16"/>
  <c r="ET21" i="16"/>
  <c r="EV21" i="16"/>
  <c r="EX21" i="16"/>
  <c r="EZ21" i="16"/>
  <c r="FB21" i="16"/>
  <c r="FD21" i="16"/>
  <c r="FF21" i="16"/>
  <c r="FH21" i="16"/>
  <c r="FJ21" i="16"/>
  <c r="FL21" i="16"/>
  <c r="FN21" i="16"/>
  <c r="FP21" i="16"/>
  <c r="FR21" i="16"/>
  <c r="FT21" i="16"/>
  <c r="FV21" i="16"/>
  <c r="FX21" i="16"/>
  <c r="FZ21" i="16"/>
  <c r="GB21" i="16"/>
  <c r="GD21" i="16"/>
  <c r="CZ24" i="16"/>
  <c r="DB24" i="16"/>
  <c r="DD24" i="16"/>
  <c r="DF24" i="16"/>
  <c r="DH24" i="16"/>
  <c r="DJ24" i="16"/>
  <c r="DL24" i="16"/>
  <c r="DN24" i="16"/>
  <c r="DP24" i="16"/>
  <c r="DR24" i="16"/>
  <c r="DT24" i="16"/>
  <c r="DV24" i="16"/>
  <c r="DX24" i="16"/>
  <c r="DZ24" i="16"/>
  <c r="EB24" i="16"/>
  <c r="ED24" i="16"/>
  <c r="EF24" i="16"/>
  <c r="EH24" i="16"/>
  <c r="EJ24" i="16"/>
  <c r="EL24" i="16"/>
  <c r="EN24" i="16"/>
  <c r="EP24" i="16"/>
  <c r="ER24" i="16"/>
  <c r="ET24" i="16"/>
  <c r="EV24" i="16"/>
  <c r="EX24" i="16"/>
  <c r="EZ24" i="16"/>
  <c r="FB24" i="16"/>
  <c r="FD24" i="16"/>
  <c r="FF24" i="16"/>
  <c r="FH24" i="16"/>
  <c r="FJ24" i="16"/>
  <c r="FL24" i="16"/>
  <c r="FN24" i="16"/>
  <c r="FP24" i="16"/>
  <c r="FR24" i="16"/>
  <c r="FT24" i="16"/>
  <c r="FV24" i="16"/>
  <c r="FX24" i="16"/>
  <c r="FZ24" i="16"/>
  <c r="CY24" i="16"/>
  <c r="DA24" i="16"/>
  <c r="DC24" i="16"/>
  <c r="DE24" i="16"/>
  <c r="DG24" i="16"/>
  <c r="DI24" i="16"/>
  <c r="DK24" i="16"/>
  <c r="DM24" i="16"/>
  <c r="DO24" i="16"/>
  <c r="DQ24" i="16"/>
  <c r="DS24" i="16"/>
  <c r="DU24" i="16"/>
  <c r="DW24" i="16"/>
  <c r="DY24" i="16"/>
  <c r="EA24" i="16"/>
  <c r="EC24" i="16"/>
  <c r="EE24" i="16"/>
  <c r="EG24" i="16"/>
  <c r="EI24" i="16"/>
  <c r="EK24" i="16"/>
  <c r="EM24" i="16"/>
  <c r="EO24" i="16"/>
  <c r="EQ24" i="16"/>
  <c r="ES24" i="16"/>
  <c r="EU24" i="16"/>
  <c r="EW24" i="16"/>
  <c r="EY24" i="16"/>
  <c r="FA24" i="16"/>
  <c r="FC24" i="16"/>
  <c r="FE24" i="16"/>
  <c r="FG24" i="16"/>
  <c r="FI24" i="16"/>
  <c r="FK24" i="16"/>
  <c r="FM24" i="16"/>
  <c r="FO24" i="16"/>
  <c r="FQ24" i="16"/>
  <c r="FS24" i="16"/>
  <c r="FU24" i="16"/>
  <c r="FW24" i="16"/>
  <c r="FY24" i="16"/>
  <c r="GA24" i="16"/>
  <c r="GB24" i="16"/>
  <c r="GD24" i="16"/>
  <c r="GC24" i="16"/>
  <c r="CZ26" i="16"/>
  <c r="DB26" i="16"/>
  <c r="DD26" i="16"/>
  <c r="DF26" i="16"/>
  <c r="DH26" i="16"/>
  <c r="DJ26" i="16"/>
  <c r="DL26" i="16"/>
  <c r="DN26" i="16"/>
  <c r="DP26" i="16"/>
  <c r="DR26" i="16"/>
  <c r="DT26" i="16"/>
  <c r="DV26" i="16"/>
  <c r="DX26" i="16"/>
  <c r="DZ26" i="16"/>
  <c r="EB26" i="16"/>
  <c r="ED26" i="16"/>
  <c r="EF26" i="16"/>
  <c r="EH26" i="16"/>
  <c r="EJ26" i="16"/>
  <c r="EL26" i="16"/>
  <c r="EN26" i="16"/>
  <c r="EP26" i="16"/>
  <c r="ER26" i="16"/>
  <c r="ET26" i="16"/>
  <c r="EV26" i="16"/>
  <c r="EX26" i="16"/>
  <c r="EZ26" i="16"/>
  <c r="FB26" i="16"/>
  <c r="FD26" i="16"/>
  <c r="FF26" i="16"/>
  <c r="FH26" i="16"/>
  <c r="FJ26" i="16"/>
  <c r="FL26" i="16"/>
  <c r="FN26" i="16"/>
  <c r="FP26" i="16"/>
  <c r="FR26" i="16"/>
  <c r="FT26" i="16"/>
  <c r="FV26" i="16"/>
  <c r="FX26" i="16"/>
  <c r="FZ26" i="16"/>
  <c r="GB26" i="16"/>
  <c r="GD26" i="16"/>
  <c r="CY26" i="16"/>
  <c r="DA26" i="16"/>
  <c r="DC26" i="16"/>
  <c r="DE26" i="16"/>
  <c r="DG26" i="16"/>
  <c r="DI26" i="16"/>
  <c r="DK26" i="16"/>
  <c r="DM26" i="16"/>
  <c r="DO26" i="16"/>
  <c r="DQ26" i="16"/>
  <c r="DS26" i="16"/>
  <c r="DU26" i="16"/>
  <c r="DW26" i="16"/>
  <c r="DY26" i="16"/>
  <c r="EA26" i="16"/>
  <c r="EC26" i="16"/>
  <c r="EE26" i="16"/>
  <c r="EG26" i="16"/>
  <c r="EI26" i="16"/>
  <c r="EK26" i="16"/>
  <c r="EM26" i="16"/>
  <c r="EO26" i="16"/>
  <c r="EQ26" i="16"/>
  <c r="ES26" i="16"/>
  <c r="EU26" i="16"/>
  <c r="EW26" i="16"/>
  <c r="EY26" i="16"/>
  <c r="FA26" i="16"/>
  <c r="FC26" i="16"/>
  <c r="FE26" i="16"/>
  <c r="FG26" i="16"/>
  <c r="FI26" i="16"/>
  <c r="FK26" i="16"/>
  <c r="FM26" i="16"/>
  <c r="FO26" i="16"/>
  <c r="FQ26" i="16"/>
  <c r="FS26" i="16"/>
  <c r="FU26" i="16"/>
  <c r="FW26" i="16"/>
  <c r="FY26" i="16"/>
  <c r="GA26" i="16"/>
  <c r="GC26" i="16"/>
  <c r="CZ28" i="16"/>
  <c r="DB28" i="16"/>
  <c r="DD28" i="16"/>
  <c r="DF28" i="16"/>
  <c r="DH28" i="16"/>
  <c r="DJ28" i="16"/>
  <c r="DL28" i="16"/>
  <c r="DN28" i="16"/>
  <c r="DP28" i="16"/>
  <c r="DR28" i="16"/>
  <c r="DT28" i="16"/>
  <c r="DV28" i="16"/>
  <c r="DX28" i="16"/>
  <c r="DZ28" i="16"/>
  <c r="EB28" i="16"/>
  <c r="ED28" i="16"/>
  <c r="EF28" i="16"/>
  <c r="EH28" i="16"/>
  <c r="EJ28" i="16"/>
  <c r="EL28" i="16"/>
  <c r="EN28" i="16"/>
  <c r="EP28" i="16"/>
  <c r="ER28" i="16"/>
  <c r="ET28" i="16"/>
  <c r="EV28" i="16"/>
  <c r="EX28" i="16"/>
  <c r="EZ28" i="16"/>
  <c r="FB28" i="16"/>
  <c r="FD28" i="16"/>
  <c r="FF28" i="16"/>
  <c r="FH28" i="16"/>
  <c r="FJ28" i="16"/>
  <c r="FL28" i="16"/>
  <c r="FN28" i="16"/>
  <c r="FP28" i="16"/>
  <c r="FR28" i="16"/>
  <c r="FT28" i="16"/>
  <c r="FV28" i="16"/>
  <c r="FX28" i="16"/>
  <c r="FZ28" i="16"/>
  <c r="GB28" i="16"/>
  <c r="GD28" i="16"/>
  <c r="CY28" i="16"/>
  <c r="DA28" i="16"/>
  <c r="DC28" i="16"/>
  <c r="DE28" i="16"/>
  <c r="DG28" i="16"/>
  <c r="DI28" i="16"/>
  <c r="DK28" i="16"/>
  <c r="DM28" i="16"/>
  <c r="DO28" i="16"/>
  <c r="DQ28" i="16"/>
  <c r="DS28" i="16"/>
  <c r="DU28" i="16"/>
  <c r="DW28" i="16"/>
  <c r="DY28" i="16"/>
  <c r="EA28" i="16"/>
  <c r="EC28" i="16"/>
  <c r="EE28" i="16"/>
  <c r="EG28" i="16"/>
  <c r="EI28" i="16"/>
  <c r="EK28" i="16"/>
  <c r="EM28" i="16"/>
  <c r="EO28" i="16"/>
  <c r="EQ28" i="16"/>
  <c r="ES28" i="16"/>
  <c r="EU28" i="16"/>
  <c r="EW28" i="16"/>
  <c r="EY28" i="16"/>
  <c r="FA28" i="16"/>
  <c r="FC28" i="16"/>
  <c r="FE28" i="16"/>
  <c r="FG28" i="16"/>
  <c r="FI28" i="16"/>
  <c r="FK28" i="16"/>
  <c r="FM28" i="16"/>
  <c r="FO28" i="16"/>
  <c r="FQ28" i="16"/>
  <c r="FS28" i="16"/>
  <c r="FU28" i="16"/>
  <c r="FW28" i="16"/>
  <c r="FY28" i="16"/>
  <c r="GA28" i="16"/>
  <c r="GC28" i="16"/>
  <c r="CZ30" i="16"/>
  <c r="DB30" i="16"/>
  <c r="DD30" i="16"/>
  <c r="DF30" i="16"/>
  <c r="DH30" i="16"/>
  <c r="DJ30" i="16"/>
  <c r="DL30" i="16"/>
  <c r="DN30" i="16"/>
  <c r="DP30" i="16"/>
  <c r="DR30" i="16"/>
  <c r="DT30" i="16"/>
  <c r="DV30" i="16"/>
  <c r="DX30" i="16"/>
  <c r="DZ30" i="16"/>
  <c r="EB30" i="16"/>
  <c r="ED30" i="16"/>
  <c r="EF30" i="16"/>
  <c r="EH30" i="16"/>
  <c r="EJ30" i="16"/>
  <c r="EL30" i="16"/>
  <c r="EN30" i="16"/>
  <c r="EP30" i="16"/>
  <c r="ER30" i="16"/>
  <c r="ET30" i="16"/>
  <c r="EV30" i="16"/>
  <c r="EX30" i="16"/>
  <c r="EZ30" i="16"/>
  <c r="FB30" i="16"/>
  <c r="FD30" i="16"/>
  <c r="FF30" i="16"/>
  <c r="FH30" i="16"/>
  <c r="FJ30" i="16"/>
  <c r="FL30" i="16"/>
  <c r="FN30" i="16"/>
  <c r="FP30" i="16"/>
  <c r="FR30" i="16"/>
  <c r="FT30" i="16"/>
  <c r="FV30" i="16"/>
  <c r="FX30" i="16"/>
  <c r="FZ30" i="16"/>
  <c r="GB30" i="16"/>
  <c r="GD30" i="16"/>
  <c r="CY30" i="16"/>
  <c r="DA30" i="16"/>
  <c r="DC30" i="16"/>
  <c r="DE30" i="16"/>
  <c r="DG30" i="16"/>
  <c r="DI30" i="16"/>
  <c r="DK30" i="16"/>
  <c r="DM30" i="16"/>
  <c r="DO30" i="16"/>
  <c r="DQ30" i="16"/>
  <c r="DS30" i="16"/>
  <c r="DU30" i="16"/>
  <c r="DW30" i="16"/>
  <c r="DY30" i="16"/>
  <c r="EA30" i="16"/>
  <c r="EC30" i="16"/>
  <c r="EE30" i="16"/>
  <c r="EG30" i="16"/>
  <c r="EI30" i="16"/>
  <c r="EK30" i="16"/>
  <c r="EM30" i="16"/>
  <c r="EO30" i="16"/>
  <c r="EQ30" i="16"/>
  <c r="ES30" i="16"/>
  <c r="EU30" i="16"/>
  <c r="EW30" i="16"/>
  <c r="EY30" i="16"/>
  <c r="FA30" i="16"/>
  <c r="FC30" i="16"/>
  <c r="FE30" i="16"/>
  <c r="FG30" i="16"/>
  <c r="FI30" i="16"/>
  <c r="FK30" i="16"/>
  <c r="FM30" i="16"/>
  <c r="FO30" i="16"/>
  <c r="FQ30" i="16"/>
  <c r="FS30" i="16"/>
  <c r="FU30" i="16"/>
  <c r="FW30" i="16"/>
  <c r="FY30" i="16"/>
  <c r="GA30" i="16"/>
  <c r="GC30" i="16"/>
  <c r="CZ32" i="16"/>
  <c r="DB32" i="16"/>
  <c r="DD32" i="16"/>
  <c r="DF32" i="16"/>
  <c r="DH32" i="16"/>
  <c r="DJ32" i="16"/>
  <c r="DL32" i="16"/>
  <c r="DN32" i="16"/>
  <c r="DP32" i="16"/>
  <c r="DR32" i="16"/>
  <c r="DT32" i="16"/>
  <c r="DV32" i="16"/>
  <c r="DX32" i="16"/>
  <c r="DZ32" i="16"/>
  <c r="EB32" i="16"/>
  <c r="ED32" i="16"/>
  <c r="EF32" i="16"/>
  <c r="EH32" i="16"/>
  <c r="EJ32" i="16"/>
  <c r="EL32" i="16"/>
  <c r="EN32" i="16"/>
  <c r="EP32" i="16"/>
  <c r="ER32" i="16"/>
  <c r="ET32" i="16"/>
  <c r="EV32" i="16"/>
  <c r="EX32" i="16"/>
  <c r="EZ32" i="16"/>
  <c r="FB32" i="16"/>
  <c r="FD32" i="16"/>
  <c r="FF32" i="16"/>
  <c r="FH32" i="16"/>
  <c r="FJ32" i="16"/>
  <c r="FL32" i="16"/>
  <c r="FN32" i="16"/>
  <c r="FP32" i="16"/>
  <c r="FR32" i="16"/>
  <c r="FT32" i="16"/>
  <c r="FV32" i="16"/>
  <c r="FX32" i="16"/>
  <c r="FZ32" i="16"/>
  <c r="GB32" i="16"/>
  <c r="GD32" i="16"/>
  <c r="CY32" i="16"/>
  <c r="DA32" i="16"/>
  <c r="DC32" i="16"/>
  <c r="DE32" i="16"/>
  <c r="DG32" i="16"/>
  <c r="DI32" i="16"/>
  <c r="DK32" i="16"/>
  <c r="DM32" i="16"/>
  <c r="DO32" i="16"/>
  <c r="DQ32" i="16"/>
  <c r="DS32" i="16"/>
  <c r="DU32" i="16"/>
  <c r="DW32" i="16"/>
  <c r="DY32" i="16"/>
  <c r="EA32" i="16"/>
  <c r="EC32" i="16"/>
  <c r="EE32" i="16"/>
  <c r="EG32" i="16"/>
  <c r="EI32" i="16"/>
  <c r="EK32" i="16"/>
  <c r="EM32" i="16"/>
  <c r="EO32" i="16"/>
  <c r="EQ32" i="16"/>
  <c r="ES32" i="16"/>
  <c r="EU32" i="16"/>
  <c r="EW32" i="16"/>
  <c r="EY32" i="16"/>
  <c r="FA32" i="16"/>
  <c r="FC32" i="16"/>
  <c r="FE32" i="16"/>
  <c r="FG32" i="16"/>
  <c r="FI32" i="16"/>
  <c r="FK32" i="16"/>
  <c r="FM32" i="16"/>
  <c r="FO32" i="16"/>
  <c r="FQ32" i="16"/>
  <c r="FS32" i="16"/>
  <c r="FU32" i="16"/>
  <c r="FW32" i="16"/>
  <c r="FY32" i="16"/>
  <c r="GA32" i="16"/>
  <c r="GC32" i="16"/>
  <c r="CY34" i="16"/>
  <c r="DA34" i="16"/>
  <c r="DC34" i="16"/>
  <c r="DE34" i="16"/>
  <c r="DG34" i="16"/>
  <c r="DI34" i="16"/>
  <c r="DK34" i="16"/>
  <c r="DM34" i="16"/>
  <c r="DO34" i="16"/>
  <c r="DQ34" i="16"/>
  <c r="DS34" i="16"/>
  <c r="DU34" i="16"/>
  <c r="DW34" i="16"/>
  <c r="DY34" i="16"/>
  <c r="EA34" i="16"/>
  <c r="EC34" i="16"/>
  <c r="EE34" i="16"/>
  <c r="EG34" i="16"/>
  <c r="EI34" i="16"/>
  <c r="EK34" i="16"/>
  <c r="EM34" i="16"/>
  <c r="EO34" i="16"/>
  <c r="EQ34" i="16"/>
  <c r="ES34" i="16"/>
  <c r="EU34" i="16"/>
  <c r="EW34" i="16"/>
  <c r="EY34" i="16"/>
  <c r="FA34" i="16"/>
  <c r="FC34" i="16"/>
  <c r="FE34" i="16"/>
  <c r="FG34" i="16"/>
  <c r="FI34" i="16"/>
  <c r="FK34" i="16"/>
  <c r="FM34" i="16"/>
  <c r="FO34" i="16"/>
  <c r="FQ34" i="16"/>
  <c r="FS34" i="16"/>
  <c r="FU34" i="16"/>
  <c r="FW34" i="16"/>
  <c r="FY34" i="16"/>
  <c r="GA34" i="16"/>
  <c r="GC34" i="16"/>
  <c r="CZ34" i="16"/>
  <c r="DB34" i="16"/>
  <c r="DD34" i="16"/>
  <c r="DF34" i="16"/>
  <c r="DH34" i="16"/>
  <c r="DJ34" i="16"/>
  <c r="DL34" i="16"/>
  <c r="DN34" i="16"/>
  <c r="DP34" i="16"/>
  <c r="DR34" i="16"/>
  <c r="DT34" i="16"/>
  <c r="DV34" i="16"/>
  <c r="DX34" i="16"/>
  <c r="DZ34" i="16"/>
  <c r="EB34" i="16"/>
  <c r="ED34" i="16"/>
  <c r="EF34" i="16"/>
  <c r="EH34" i="16"/>
  <c r="EJ34" i="16"/>
  <c r="EL34" i="16"/>
  <c r="EN34" i="16"/>
  <c r="EP34" i="16"/>
  <c r="ER34" i="16"/>
  <c r="ET34" i="16"/>
  <c r="EV34" i="16"/>
  <c r="EX34" i="16"/>
  <c r="EZ34" i="16"/>
  <c r="FB34" i="16"/>
  <c r="FD34" i="16"/>
  <c r="FF34" i="16"/>
  <c r="FH34" i="16"/>
  <c r="FJ34" i="16"/>
  <c r="FL34" i="16"/>
  <c r="FN34" i="16"/>
  <c r="FP34" i="16"/>
  <c r="FR34" i="16"/>
  <c r="FT34" i="16"/>
  <c r="FV34" i="16"/>
  <c r="FX34" i="16"/>
  <c r="FZ34" i="16"/>
  <c r="GB34" i="16"/>
  <c r="GD34" i="16"/>
  <c r="CY36" i="16"/>
  <c r="DA36" i="16"/>
  <c r="DC36" i="16"/>
  <c r="DE36" i="16"/>
  <c r="DG36" i="16"/>
  <c r="DI36" i="16"/>
  <c r="DK36" i="16"/>
  <c r="DM36" i="16"/>
  <c r="DO36" i="16"/>
  <c r="DQ36" i="16"/>
  <c r="DS36" i="16"/>
  <c r="DU36" i="16"/>
  <c r="DW36" i="16"/>
  <c r="DY36" i="16"/>
  <c r="EA36" i="16"/>
  <c r="EC36" i="16"/>
  <c r="EE36" i="16"/>
  <c r="EG36" i="16"/>
  <c r="EI36" i="16"/>
  <c r="EK36" i="16"/>
  <c r="EM36" i="16"/>
  <c r="EO36" i="16"/>
  <c r="EQ36" i="16"/>
  <c r="ES36" i="16"/>
  <c r="EU36" i="16"/>
  <c r="EW36" i="16"/>
  <c r="EY36" i="16"/>
  <c r="FA36" i="16"/>
  <c r="FC36" i="16"/>
  <c r="FE36" i="16"/>
  <c r="FG36" i="16"/>
  <c r="FI36" i="16"/>
  <c r="FK36" i="16"/>
  <c r="FM36" i="16"/>
  <c r="FO36" i="16"/>
  <c r="FQ36" i="16"/>
  <c r="FS36" i="16"/>
  <c r="FU36" i="16"/>
  <c r="FW36" i="16"/>
  <c r="FY36" i="16"/>
  <c r="GA36" i="16"/>
  <c r="GC36" i="16"/>
  <c r="CZ36" i="16"/>
  <c r="DB36" i="16"/>
  <c r="DD36" i="16"/>
  <c r="DF36" i="16"/>
  <c r="DH36" i="16"/>
  <c r="DJ36" i="16"/>
  <c r="DL36" i="16"/>
  <c r="DN36" i="16"/>
  <c r="DP36" i="16"/>
  <c r="DR36" i="16"/>
  <c r="DT36" i="16"/>
  <c r="DV36" i="16"/>
  <c r="DX36" i="16"/>
  <c r="DZ36" i="16"/>
  <c r="EB36" i="16"/>
  <c r="ED36" i="16"/>
  <c r="EF36" i="16"/>
  <c r="EH36" i="16"/>
  <c r="EJ36" i="16"/>
  <c r="EL36" i="16"/>
  <c r="EN36" i="16"/>
  <c r="EP36" i="16"/>
  <c r="ER36" i="16"/>
  <c r="ET36" i="16"/>
  <c r="EV36" i="16"/>
  <c r="EX36" i="16"/>
  <c r="EZ36" i="16"/>
  <c r="FB36" i="16"/>
  <c r="FD36" i="16"/>
  <c r="FF36" i="16"/>
  <c r="FH36" i="16"/>
  <c r="FJ36" i="16"/>
  <c r="FL36" i="16"/>
  <c r="FN36" i="16"/>
  <c r="FP36" i="16"/>
  <c r="FR36" i="16"/>
  <c r="FT36" i="16"/>
  <c r="FV36" i="16"/>
  <c r="FX36" i="16"/>
  <c r="FZ36" i="16"/>
  <c r="GB36" i="16"/>
  <c r="GD36" i="16"/>
  <c r="CY38" i="16"/>
  <c r="DA38" i="16"/>
  <c r="DC38" i="16"/>
  <c r="DE38" i="16"/>
  <c r="DG38" i="16"/>
  <c r="DI38" i="16"/>
  <c r="DK38" i="16"/>
  <c r="DM38" i="16"/>
  <c r="DO38" i="16"/>
  <c r="DQ38" i="16"/>
  <c r="DS38" i="16"/>
  <c r="DU38" i="16"/>
  <c r="DW38" i="16"/>
  <c r="DY38" i="16"/>
  <c r="EA38" i="16"/>
  <c r="EC38" i="16"/>
  <c r="EE38" i="16"/>
  <c r="EG38" i="16"/>
  <c r="EI38" i="16"/>
  <c r="EK38" i="16"/>
  <c r="EM38" i="16"/>
  <c r="EO38" i="16"/>
  <c r="EQ38" i="16"/>
  <c r="ES38" i="16"/>
  <c r="EU38" i="16"/>
  <c r="EW38" i="16"/>
  <c r="EY38" i="16"/>
  <c r="FA38" i="16"/>
  <c r="FC38" i="16"/>
  <c r="FE38" i="16"/>
  <c r="FG38" i="16"/>
  <c r="FI38" i="16"/>
  <c r="FK38" i="16"/>
  <c r="FM38" i="16"/>
  <c r="FO38" i="16"/>
  <c r="FQ38" i="16"/>
  <c r="FS38" i="16"/>
  <c r="FU38" i="16"/>
  <c r="FW38" i="16"/>
  <c r="FY38" i="16"/>
  <c r="GA38" i="16"/>
  <c r="GC38" i="16"/>
  <c r="CZ38" i="16"/>
  <c r="DB38" i="16"/>
  <c r="DD38" i="16"/>
  <c r="DF38" i="16"/>
  <c r="DH38" i="16"/>
  <c r="DJ38" i="16"/>
  <c r="DL38" i="16"/>
  <c r="DN38" i="16"/>
  <c r="DP38" i="16"/>
  <c r="DR38" i="16"/>
  <c r="DT38" i="16"/>
  <c r="DV38" i="16"/>
  <c r="DX38" i="16"/>
  <c r="DZ38" i="16"/>
  <c r="EB38" i="16"/>
  <c r="ED38" i="16"/>
  <c r="EF38" i="16"/>
  <c r="EH38" i="16"/>
  <c r="EJ38" i="16"/>
  <c r="EL38" i="16"/>
  <c r="EN38" i="16"/>
  <c r="EP38" i="16"/>
  <c r="ER38" i="16"/>
  <c r="ET38" i="16"/>
  <c r="EV38" i="16"/>
  <c r="EX38" i="16"/>
  <c r="EZ38" i="16"/>
  <c r="FB38" i="16"/>
  <c r="FD38" i="16"/>
  <c r="FF38" i="16"/>
  <c r="FH38" i="16"/>
  <c r="FJ38" i="16"/>
  <c r="FL38" i="16"/>
  <c r="FN38" i="16"/>
  <c r="FP38" i="16"/>
  <c r="FR38" i="16"/>
  <c r="FT38" i="16"/>
  <c r="FV38" i="16"/>
  <c r="FX38" i="16"/>
  <c r="FZ38" i="16"/>
  <c r="GB38" i="16"/>
  <c r="GD38" i="16"/>
  <c r="CY40" i="16"/>
  <c r="DA40" i="16"/>
  <c r="DC40" i="16"/>
  <c r="DE40" i="16"/>
  <c r="DG40" i="16"/>
  <c r="DI40" i="16"/>
  <c r="DK40" i="16"/>
  <c r="DM40" i="16"/>
  <c r="DO40" i="16"/>
  <c r="DQ40" i="16"/>
  <c r="DS40" i="16"/>
  <c r="DU40" i="16"/>
  <c r="DW40" i="16"/>
  <c r="DY40" i="16"/>
  <c r="EA40" i="16"/>
  <c r="EC40" i="16"/>
  <c r="EE40" i="16"/>
  <c r="EG40" i="16"/>
  <c r="EI40" i="16"/>
  <c r="EK40" i="16"/>
  <c r="EM40" i="16"/>
  <c r="EO40" i="16"/>
  <c r="EQ40" i="16"/>
  <c r="ES40" i="16"/>
  <c r="EU40" i="16"/>
  <c r="EW40" i="16"/>
  <c r="EY40" i="16"/>
  <c r="FA40" i="16"/>
  <c r="FC40" i="16"/>
  <c r="FE40" i="16"/>
  <c r="FG40" i="16"/>
  <c r="FI40" i="16"/>
  <c r="FK40" i="16"/>
  <c r="FM40" i="16"/>
  <c r="FO40" i="16"/>
  <c r="FQ40" i="16"/>
  <c r="FS40" i="16"/>
  <c r="FU40" i="16"/>
  <c r="FW40" i="16"/>
  <c r="FY40" i="16"/>
  <c r="GA40" i="16"/>
  <c r="GC40" i="16"/>
  <c r="CZ40" i="16"/>
  <c r="DB40" i="16"/>
  <c r="DD40" i="16"/>
  <c r="DF40" i="16"/>
  <c r="DH40" i="16"/>
  <c r="DJ40" i="16"/>
  <c r="DL40" i="16"/>
  <c r="DN40" i="16"/>
  <c r="DP40" i="16"/>
  <c r="DR40" i="16"/>
  <c r="DT40" i="16"/>
  <c r="DV40" i="16"/>
  <c r="DX40" i="16"/>
  <c r="DZ40" i="16"/>
  <c r="EB40" i="16"/>
  <c r="ED40" i="16"/>
  <c r="EF40" i="16"/>
  <c r="EH40" i="16"/>
  <c r="EJ40" i="16"/>
  <c r="EL40" i="16"/>
  <c r="EN40" i="16"/>
  <c r="EP40" i="16"/>
  <c r="ER40" i="16"/>
  <c r="ET40" i="16"/>
  <c r="EV40" i="16"/>
  <c r="EX40" i="16"/>
  <c r="EZ40" i="16"/>
  <c r="FB40" i="16"/>
  <c r="FD40" i="16"/>
  <c r="FF40" i="16"/>
  <c r="FH40" i="16"/>
  <c r="FJ40" i="16"/>
  <c r="FL40" i="16"/>
  <c r="FN40" i="16"/>
  <c r="FP40" i="16"/>
  <c r="FR40" i="16"/>
  <c r="FT40" i="16"/>
  <c r="FV40" i="16"/>
  <c r="FX40" i="16"/>
  <c r="FZ40" i="16"/>
  <c r="GB40" i="16"/>
  <c r="GD40" i="16"/>
  <c r="CZ41" i="16"/>
  <c r="DB41" i="16"/>
  <c r="DD41" i="16"/>
  <c r="DF41" i="16"/>
  <c r="DH41" i="16"/>
  <c r="DJ41" i="16"/>
  <c r="DL41" i="16"/>
  <c r="DN41" i="16"/>
  <c r="DP41" i="16"/>
  <c r="DR41" i="16"/>
  <c r="DT41" i="16"/>
  <c r="DV41" i="16"/>
  <c r="DX41" i="16"/>
  <c r="DZ41" i="16"/>
  <c r="EB41" i="16"/>
  <c r="ED41" i="16"/>
  <c r="EF41" i="16"/>
  <c r="EH41" i="16"/>
  <c r="EJ41" i="16"/>
  <c r="EL41" i="16"/>
  <c r="EN41" i="16"/>
  <c r="EP41" i="16"/>
  <c r="ER41" i="16"/>
  <c r="ET41" i="16"/>
  <c r="EV41" i="16"/>
  <c r="EX41" i="16"/>
  <c r="EZ41" i="16"/>
  <c r="FB41" i="16"/>
  <c r="FD41" i="16"/>
  <c r="FF41" i="16"/>
  <c r="FH41" i="16"/>
  <c r="FJ41" i="16"/>
  <c r="FL41" i="16"/>
  <c r="FN41" i="16"/>
  <c r="FP41" i="16"/>
  <c r="FR41" i="16"/>
  <c r="FT41" i="16"/>
  <c r="FV41" i="16"/>
  <c r="FX41" i="16"/>
  <c r="FZ41" i="16"/>
  <c r="GB41" i="16"/>
  <c r="GD41" i="16"/>
  <c r="CY41" i="16"/>
  <c r="DA41" i="16"/>
  <c r="DC41" i="16"/>
  <c r="DE41" i="16"/>
  <c r="DG41" i="16"/>
  <c r="DI41" i="16"/>
  <c r="DK41" i="16"/>
  <c r="DM41" i="16"/>
  <c r="DO41" i="16"/>
  <c r="DQ41" i="16"/>
  <c r="DS41" i="16"/>
  <c r="DU41" i="16"/>
  <c r="DW41" i="16"/>
  <c r="DY41" i="16"/>
  <c r="EA41" i="16"/>
  <c r="EC41" i="16"/>
  <c r="EE41" i="16"/>
  <c r="EG41" i="16"/>
  <c r="EI41" i="16"/>
  <c r="EK41" i="16"/>
  <c r="EM41" i="16"/>
  <c r="EO41" i="16"/>
  <c r="EQ41" i="16"/>
  <c r="ES41" i="16"/>
  <c r="EU41" i="16"/>
  <c r="EW41" i="16"/>
  <c r="EY41" i="16"/>
  <c r="FA41" i="16"/>
  <c r="FC41" i="16"/>
  <c r="FE41" i="16"/>
  <c r="FG41" i="16"/>
  <c r="FI41" i="16"/>
  <c r="FK41" i="16"/>
  <c r="FM41" i="16"/>
  <c r="FO41" i="16"/>
  <c r="FQ41" i="16"/>
  <c r="FS41" i="16"/>
  <c r="FU41" i="16"/>
  <c r="FW41" i="16"/>
  <c r="FY41" i="16"/>
  <c r="GA41" i="16"/>
  <c r="GC41" i="16"/>
  <c r="CZ43" i="16"/>
  <c r="DB43" i="16"/>
  <c r="DD43" i="16"/>
  <c r="DF43" i="16"/>
  <c r="DH43" i="16"/>
  <c r="DJ43" i="16"/>
  <c r="DL43" i="16"/>
  <c r="DN43" i="16"/>
  <c r="DP43" i="16"/>
  <c r="DR43" i="16"/>
  <c r="DT43" i="16"/>
  <c r="DV43" i="16"/>
  <c r="DX43" i="16"/>
  <c r="DZ43" i="16"/>
  <c r="EB43" i="16"/>
  <c r="ED43" i="16"/>
  <c r="EF43" i="16"/>
  <c r="EH43" i="16"/>
  <c r="EJ43" i="16"/>
  <c r="EL43" i="16"/>
  <c r="EN43" i="16"/>
  <c r="EP43" i="16"/>
  <c r="ER43" i="16"/>
  <c r="ET43" i="16"/>
  <c r="EV43" i="16"/>
  <c r="EX43" i="16"/>
  <c r="EZ43" i="16"/>
  <c r="FB43" i="16"/>
  <c r="FD43" i="16"/>
  <c r="FF43" i="16"/>
  <c r="FH43" i="16"/>
  <c r="FJ43" i="16"/>
  <c r="FL43" i="16"/>
  <c r="FN43" i="16"/>
  <c r="FP43" i="16"/>
  <c r="FR43" i="16"/>
  <c r="FT43" i="16"/>
  <c r="FV43" i="16"/>
  <c r="FX43" i="16"/>
  <c r="FZ43" i="16"/>
  <c r="GB43" i="16"/>
  <c r="GD43" i="16"/>
  <c r="CY43" i="16"/>
  <c r="DA43" i="16"/>
  <c r="DC43" i="16"/>
  <c r="DE43" i="16"/>
  <c r="DG43" i="16"/>
  <c r="DI43" i="16"/>
  <c r="DK43" i="16"/>
  <c r="DM43" i="16"/>
  <c r="DO43" i="16"/>
  <c r="DQ43" i="16"/>
  <c r="DS43" i="16"/>
  <c r="DU43" i="16"/>
  <c r="DW43" i="16"/>
  <c r="DY43" i="16"/>
  <c r="EA43" i="16"/>
  <c r="EC43" i="16"/>
  <c r="EE43" i="16"/>
  <c r="EG43" i="16"/>
  <c r="EI43" i="16"/>
  <c r="EK43" i="16"/>
  <c r="EM43" i="16"/>
  <c r="EO43" i="16"/>
  <c r="EQ43" i="16"/>
  <c r="ES43" i="16"/>
  <c r="EU43" i="16"/>
  <c r="EW43" i="16"/>
  <c r="EY43" i="16"/>
  <c r="FA43" i="16"/>
  <c r="FC43" i="16"/>
  <c r="FE43" i="16"/>
  <c r="FG43" i="16"/>
  <c r="FI43" i="16"/>
  <c r="FK43" i="16"/>
  <c r="FM43" i="16"/>
  <c r="FO43" i="16"/>
  <c r="FQ43" i="16"/>
  <c r="FS43" i="16"/>
  <c r="FU43" i="16"/>
  <c r="FW43" i="16"/>
  <c r="FY43" i="16"/>
  <c r="GA43" i="16"/>
  <c r="GC43" i="16"/>
  <c r="CZ45" i="16"/>
  <c r="DB45" i="16"/>
  <c r="DD45" i="16"/>
  <c r="DF45" i="16"/>
  <c r="DH45" i="16"/>
  <c r="DJ45" i="16"/>
  <c r="DL45" i="16"/>
  <c r="DN45" i="16"/>
  <c r="DP45" i="16"/>
  <c r="DR45" i="16"/>
  <c r="DT45" i="16"/>
  <c r="DV45" i="16"/>
  <c r="DX45" i="16"/>
  <c r="DZ45" i="16"/>
  <c r="EB45" i="16"/>
  <c r="ED45" i="16"/>
  <c r="EF45" i="16"/>
  <c r="EH45" i="16"/>
  <c r="EJ45" i="16"/>
  <c r="EL45" i="16"/>
  <c r="EN45" i="16"/>
  <c r="EP45" i="16"/>
  <c r="ER45" i="16"/>
  <c r="ET45" i="16"/>
  <c r="EV45" i="16"/>
  <c r="EX45" i="16"/>
  <c r="EZ45" i="16"/>
  <c r="FB45" i="16"/>
  <c r="FD45" i="16"/>
  <c r="FF45" i="16"/>
  <c r="FH45" i="16"/>
  <c r="FJ45" i="16"/>
  <c r="FL45" i="16"/>
  <c r="FN45" i="16"/>
  <c r="FP45" i="16"/>
  <c r="FR45" i="16"/>
  <c r="FT45" i="16"/>
  <c r="FV45" i="16"/>
  <c r="FX45" i="16"/>
  <c r="FZ45" i="16"/>
  <c r="GB45" i="16"/>
  <c r="GD45" i="16"/>
  <c r="CY45" i="16"/>
  <c r="DA45" i="16"/>
  <c r="DC45" i="16"/>
  <c r="DE45" i="16"/>
  <c r="DG45" i="16"/>
  <c r="DI45" i="16"/>
  <c r="DK45" i="16"/>
  <c r="DM45" i="16"/>
  <c r="DO45" i="16"/>
  <c r="DQ45" i="16"/>
  <c r="DS45" i="16"/>
  <c r="DU45" i="16"/>
  <c r="DW45" i="16"/>
  <c r="DY45" i="16"/>
  <c r="EA45" i="16"/>
  <c r="EC45" i="16"/>
  <c r="EE45" i="16"/>
  <c r="EG45" i="16"/>
  <c r="EI45" i="16"/>
  <c r="EK45" i="16"/>
  <c r="EM45" i="16"/>
  <c r="EO45" i="16"/>
  <c r="EQ45" i="16"/>
  <c r="ES45" i="16"/>
  <c r="EU45" i="16"/>
  <c r="EW45" i="16"/>
  <c r="EY45" i="16"/>
  <c r="FA45" i="16"/>
  <c r="FC45" i="16"/>
  <c r="FE45" i="16"/>
  <c r="FG45" i="16"/>
  <c r="FI45" i="16"/>
  <c r="FK45" i="16"/>
  <c r="FM45" i="16"/>
  <c r="FO45" i="16"/>
  <c r="FQ45" i="16"/>
  <c r="FS45" i="16"/>
  <c r="FU45" i="16"/>
  <c r="FW45" i="16"/>
  <c r="FY45" i="16"/>
  <c r="GA45" i="16"/>
  <c r="GC45" i="16"/>
  <c r="CY48" i="16"/>
  <c r="DA48" i="16"/>
  <c r="DC48" i="16"/>
  <c r="DE48" i="16"/>
  <c r="DG48" i="16"/>
  <c r="DI48" i="16"/>
  <c r="DK48" i="16"/>
  <c r="DM48" i="16"/>
  <c r="DO48" i="16"/>
  <c r="DQ48" i="16"/>
  <c r="DS48" i="16"/>
  <c r="DU48" i="16"/>
  <c r="DW48" i="16"/>
  <c r="DY48" i="16"/>
  <c r="EA48" i="16"/>
  <c r="EC48" i="16"/>
  <c r="EE48" i="16"/>
  <c r="EG48" i="16"/>
  <c r="EI48" i="16"/>
  <c r="EK48" i="16"/>
  <c r="EM48" i="16"/>
  <c r="EO48" i="16"/>
  <c r="EQ48" i="16"/>
  <c r="ES48" i="16"/>
  <c r="EU48" i="16"/>
  <c r="EW48" i="16"/>
  <c r="EY48" i="16"/>
  <c r="FA48" i="16"/>
  <c r="FC48" i="16"/>
  <c r="FE48" i="16"/>
  <c r="FG48" i="16"/>
  <c r="FI48" i="16"/>
  <c r="FK48" i="16"/>
  <c r="FM48" i="16"/>
  <c r="FO48" i="16"/>
  <c r="FQ48" i="16"/>
  <c r="FS48" i="16"/>
  <c r="FU48" i="16"/>
  <c r="FW48" i="16"/>
  <c r="FY48" i="16"/>
  <c r="GA48" i="16"/>
  <c r="GC48" i="16"/>
  <c r="CZ48" i="16"/>
  <c r="DB48" i="16"/>
  <c r="DD48" i="16"/>
  <c r="DF48" i="16"/>
  <c r="DH48" i="16"/>
  <c r="DJ48" i="16"/>
  <c r="DL48" i="16"/>
  <c r="DN48" i="16"/>
  <c r="DP48" i="16"/>
  <c r="DR48" i="16"/>
  <c r="DT48" i="16"/>
  <c r="DV48" i="16"/>
  <c r="DX48" i="16"/>
  <c r="DZ48" i="16"/>
  <c r="EB48" i="16"/>
  <c r="ED48" i="16"/>
  <c r="EF48" i="16"/>
  <c r="EH48" i="16"/>
  <c r="EJ48" i="16"/>
  <c r="EL48" i="16"/>
  <c r="EN48" i="16"/>
  <c r="EP48" i="16"/>
  <c r="ER48" i="16"/>
  <c r="ET48" i="16"/>
  <c r="EV48" i="16"/>
  <c r="EX48" i="16"/>
  <c r="EZ48" i="16"/>
  <c r="FB48" i="16"/>
  <c r="FD48" i="16"/>
  <c r="FF48" i="16"/>
  <c r="FH48" i="16"/>
  <c r="FJ48" i="16"/>
  <c r="FL48" i="16"/>
  <c r="FN48" i="16"/>
  <c r="FP48" i="16"/>
  <c r="FR48" i="16"/>
  <c r="FT48" i="16"/>
  <c r="FV48" i="16"/>
  <c r="FX48" i="16"/>
  <c r="FZ48" i="16"/>
  <c r="GB48" i="16"/>
  <c r="GD48" i="16"/>
  <c r="CY50" i="16"/>
  <c r="DA50" i="16"/>
  <c r="DC50" i="16"/>
  <c r="DE50" i="16"/>
  <c r="DG50" i="16"/>
  <c r="DI50" i="16"/>
  <c r="DK50" i="16"/>
  <c r="DM50" i="16"/>
  <c r="DO50" i="16"/>
  <c r="DQ50" i="16"/>
  <c r="DS50" i="16"/>
  <c r="DU50" i="16"/>
  <c r="DW50" i="16"/>
  <c r="DY50" i="16"/>
  <c r="EA50" i="16"/>
  <c r="EC50" i="16"/>
  <c r="EE50" i="16"/>
  <c r="EG50" i="16"/>
  <c r="EI50" i="16"/>
  <c r="EK50" i="16"/>
  <c r="EM50" i="16"/>
  <c r="EO50" i="16"/>
  <c r="EQ50" i="16"/>
  <c r="ES50" i="16"/>
  <c r="EU50" i="16"/>
  <c r="EW50" i="16"/>
  <c r="EY50" i="16"/>
  <c r="FA50" i="16"/>
  <c r="FC50" i="16"/>
  <c r="FE50" i="16"/>
  <c r="FG50" i="16"/>
  <c r="FI50" i="16"/>
  <c r="FK50" i="16"/>
  <c r="FM50" i="16"/>
  <c r="FO50" i="16"/>
  <c r="FQ50" i="16"/>
  <c r="FS50" i="16"/>
  <c r="FU50" i="16"/>
  <c r="FW50" i="16"/>
  <c r="FY50" i="16"/>
  <c r="GA50" i="16"/>
  <c r="GC50" i="16"/>
  <c r="CZ50" i="16"/>
  <c r="DB50" i="16"/>
  <c r="DD50" i="16"/>
  <c r="DF50" i="16"/>
  <c r="DH50" i="16"/>
  <c r="DJ50" i="16"/>
  <c r="DL50" i="16"/>
  <c r="DN50" i="16"/>
  <c r="DP50" i="16"/>
  <c r="DR50" i="16"/>
  <c r="DT50" i="16"/>
  <c r="DV50" i="16"/>
  <c r="DX50" i="16"/>
  <c r="DZ50" i="16"/>
  <c r="EB50" i="16"/>
  <c r="ED50" i="16"/>
  <c r="EF50" i="16"/>
  <c r="EH50" i="16"/>
  <c r="EJ50" i="16"/>
  <c r="EL50" i="16"/>
  <c r="EN50" i="16"/>
  <c r="EP50" i="16"/>
  <c r="ER50" i="16"/>
  <c r="ET50" i="16"/>
  <c r="EV50" i="16"/>
  <c r="EX50" i="16"/>
  <c r="EZ50" i="16"/>
  <c r="FB50" i="16"/>
  <c r="FD50" i="16"/>
  <c r="FF50" i="16"/>
  <c r="FH50" i="16"/>
  <c r="FJ50" i="16"/>
  <c r="FL50" i="16"/>
  <c r="FN50" i="16"/>
  <c r="FP50" i="16"/>
  <c r="FR50" i="16"/>
  <c r="FT50" i="16"/>
  <c r="FV50" i="16"/>
  <c r="FX50" i="16"/>
  <c r="FZ50" i="16"/>
  <c r="GB50" i="16"/>
  <c r="GD50" i="16"/>
  <c r="CY52" i="16"/>
  <c r="DA52" i="16"/>
  <c r="DC52" i="16"/>
  <c r="DE52" i="16"/>
  <c r="DG52" i="16"/>
  <c r="DI52" i="16"/>
  <c r="DK52" i="16"/>
  <c r="DM52" i="16"/>
  <c r="DO52" i="16"/>
  <c r="DQ52" i="16"/>
  <c r="DS52" i="16"/>
  <c r="DU52" i="16"/>
  <c r="DW52" i="16"/>
  <c r="DY52" i="16"/>
  <c r="EA52" i="16"/>
  <c r="EC52" i="16"/>
  <c r="EE52" i="16"/>
  <c r="EG52" i="16"/>
  <c r="EI52" i="16"/>
  <c r="EK52" i="16"/>
  <c r="EM52" i="16"/>
  <c r="EO52" i="16"/>
  <c r="EQ52" i="16"/>
  <c r="ES52" i="16"/>
  <c r="EU52" i="16"/>
  <c r="EW52" i="16"/>
  <c r="EY52" i="16"/>
  <c r="FA52" i="16"/>
  <c r="FC52" i="16"/>
  <c r="FE52" i="16"/>
  <c r="FG52" i="16"/>
  <c r="FI52" i="16"/>
  <c r="FK52" i="16"/>
  <c r="FM52" i="16"/>
  <c r="FO52" i="16"/>
  <c r="FQ52" i="16"/>
  <c r="FS52" i="16"/>
  <c r="FU52" i="16"/>
  <c r="FW52" i="16"/>
  <c r="FY52" i="16"/>
  <c r="GA52" i="16"/>
  <c r="GC52" i="16"/>
  <c r="CZ52" i="16"/>
  <c r="DB52" i="16"/>
  <c r="DD52" i="16"/>
  <c r="DF52" i="16"/>
  <c r="DH52" i="16"/>
  <c r="DJ52" i="16"/>
  <c r="DL52" i="16"/>
  <c r="DN52" i="16"/>
  <c r="DP52" i="16"/>
  <c r="DR52" i="16"/>
  <c r="DT52" i="16"/>
  <c r="DV52" i="16"/>
  <c r="DX52" i="16"/>
  <c r="DZ52" i="16"/>
  <c r="EB52" i="16"/>
  <c r="ED52" i="16"/>
  <c r="EF52" i="16"/>
  <c r="EH52" i="16"/>
  <c r="EJ52" i="16"/>
  <c r="EL52" i="16"/>
  <c r="EN52" i="16"/>
  <c r="EP52" i="16"/>
  <c r="ER52" i="16"/>
  <c r="ET52" i="16"/>
  <c r="EV52" i="16"/>
  <c r="EX52" i="16"/>
  <c r="EZ52" i="16"/>
  <c r="FB52" i="16"/>
  <c r="FD52" i="16"/>
  <c r="FF52" i="16"/>
  <c r="FH52" i="16"/>
  <c r="FJ52" i="16"/>
  <c r="FL52" i="16"/>
  <c r="FN52" i="16"/>
  <c r="FP52" i="16"/>
  <c r="FR52" i="16"/>
  <c r="FT52" i="16"/>
  <c r="FV52" i="16"/>
  <c r="FX52" i="16"/>
  <c r="FZ52" i="16"/>
  <c r="GB52" i="16"/>
  <c r="GD52" i="16"/>
  <c r="CY54" i="16"/>
  <c r="DA54" i="16"/>
  <c r="DC54" i="16"/>
  <c r="DE54" i="16"/>
  <c r="DG54" i="16"/>
  <c r="DI54" i="16"/>
  <c r="DK54" i="16"/>
  <c r="DM54" i="16"/>
  <c r="DO54" i="16"/>
  <c r="DQ54" i="16"/>
  <c r="DS54" i="16"/>
  <c r="DU54" i="16"/>
  <c r="DW54" i="16"/>
  <c r="DY54" i="16"/>
  <c r="EA54" i="16"/>
  <c r="EC54" i="16"/>
  <c r="EE54" i="16"/>
  <c r="EG54" i="16"/>
  <c r="EI54" i="16"/>
  <c r="EK54" i="16"/>
  <c r="EM54" i="16"/>
  <c r="EO54" i="16"/>
  <c r="EQ54" i="16"/>
  <c r="ES54" i="16"/>
  <c r="EU54" i="16"/>
  <c r="EW54" i="16"/>
  <c r="EY54" i="16"/>
  <c r="FA54" i="16"/>
  <c r="FC54" i="16"/>
  <c r="FE54" i="16"/>
  <c r="FG54" i="16"/>
  <c r="FI54" i="16"/>
  <c r="FK54" i="16"/>
  <c r="FM54" i="16"/>
  <c r="FO54" i="16"/>
  <c r="FQ54" i="16"/>
  <c r="FS54" i="16"/>
  <c r="FU54" i="16"/>
  <c r="FW54" i="16"/>
  <c r="FY54" i="16"/>
  <c r="GA54" i="16"/>
  <c r="GC54" i="16"/>
  <c r="CZ54" i="16"/>
  <c r="DB54" i="16"/>
  <c r="DD54" i="16"/>
  <c r="DF54" i="16"/>
  <c r="DH54" i="16"/>
  <c r="DJ54" i="16"/>
  <c r="DL54" i="16"/>
  <c r="DN54" i="16"/>
  <c r="DP54" i="16"/>
  <c r="DR54" i="16"/>
  <c r="DT54" i="16"/>
  <c r="DV54" i="16"/>
  <c r="DX54" i="16"/>
  <c r="DZ54" i="16"/>
  <c r="EB54" i="16"/>
  <c r="ED54" i="16"/>
  <c r="EF54" i="16"/>
  <c r="EH54" i="16"/>
  <c r="EJ54" i="16"/>
  <c r="EL54" i="16"/>
  <c r="EN54" i="16"/>
  <c r="EP54" i="16"/>
  <c r="ER54" i="16"/>
  <c r="ET54" i="16"/>
  <c r="EV54" i="16"/>
  <c r="EX54" i="16"/>
  <c r="EZ54" i="16"/>
  <c r="FB54" i="16"/>
  <c r="FD54" i="16"/>
  <c r="FF54" i="16"/>
  <c r="FH54" i="16"/>
  <c r="FJ54" i="16"/>
  <c r="FL54" i="16"/>
  <c r="FN54" i="16"/>
  <c r="FP54" i="16"/>
  <c r="FR54" i="16"/>
  <c r="FT54" i="16"/>
  <c r="FV54" i="16"/>
  <c r="FX54" i="16"/>
  <c r="FZ54" i="16"/>
  <c r="GB54" i="16"/>
  <c r="GD54" i="16"/>
  <c r="CY56" i="16"/>
  <c r="DA56" i="16"/>
  <c r="DC56" i="16"/>
  <c r="DE56" i="16"/>
  <c r="DG56" i="16"/>
  <c r="DI56" i="16"/>
  <c r="DK56" i="16"/>
  <c r="DM56" i="16"/>
  <c r="DO56" i="16"/>
  <c r="DQ56" i="16"/>
  <c r="DS56" i="16"/>
  <c r="DU56" i="16"/>
  <c r="DW56" i="16"/>
  <c r="DY56" i="16"/>
  <c r="EA56" i="16"/>
  <c r="EC56" i="16"/>
  <c r="EE56" i="16"/>
  <c r="EG56" i="16"/>
  <c r="EI56" i="16"/>
  <c r="EK56" i="16"/>
  <c r="EM56" i="16"/>
  <c r="EO56" i="16"/>
  <c r="EQ56" i="16"/>
  <c r="ES56" i="16"/>
  <c r="EU56" i="16"/>
  <c r="EW56" i="16"/>
  <c r="EY56" i="16"/>
  <c r="FA56" i="16"/>
  <c r="FC56" i="16"/>
  <c r="FE56" i="16"/>
  <c r="FG56" i="16"/>
  <c r="FI56" i="16"/>
  <c r="FK56" i="16"/>
  <c r="FM56" i="16"/>
  <c r="FO56" i="16"/>
  <c r="FQ56" i="16"/>
  <c r="FS56" i="16"/>
  <c r="FU56" i="16"/>
  <c r="FW56" i="16"/>
  <c r="FY56" i="16"/>
  <c r="GA56" i="16"/>
  <c r="GC56" i="16"/>
  <c r="CZ56" i="16"/>
  <c r="DB56" i="16"/>
  <c r="DD56" i="16"/>
  <c r="DF56" i="16"/>
  <c r="DH56" i="16"/>
  <c r="DJ56" i="16"/>
  <c r="DL56" i="16"/>
  <c r="DN56" i="16"/>
  <c r="DP56" i="16"/>
  <c r="DR56" i="16"/>
  <c r="DT56" i="16"/>
  <c r="DV56" i="16"/>
  <c r="DX56" i="16"/>
  <c r="DZ56" i="16"/>
  <c r="EB56" i="16"/>
  <c r="ED56" i="16"/>
  <c r="EF56" i="16"/>
  <c r="EH56" i="16"/>
  <c r="EJ56" i="16"/>
  <c r="EL56" i="16"/>
  <c r="EN56" i="16"/>
  <c r="EP56" i="16"/>
  <c r="ER56" i="16"/>
  <c r="ET56" i="16"/>
  <c r="EV56" i="16"/>
  <c r="EX56" i="16"/>
  <c r="EZ56" i="16"/>
  <c r="FB56" i="16"/>
  <c r="FD56" i="16"/>
  <c r="FF56" i="16"/>
  <c r="FH56" i="16"/>
  <c r="FJ56" i="16"/>
  <c r="FL56" i="16"/>
  <c r="FN56" i="16"/>
  <c r="FP56" i="16"/>
  <c r="FR56" i="16"/>
  <c r="FT56" i="16"/>
  <c r="FV56" i="16"/>
  <c r="FX56" i="16"/>
  <c r="FZ56" i="16"/>
  <c r="GB56" i="16"/>
  <c r="GD56" i="16"/>
  <c r="CZ57" i="16"/>
  <c r="DB57" i="16"/>
  <c r="DD57" i="16"/>
  <c r="DF57" i="16"/>
  <c r="DH57" i="16"/>
  <c r="DJ57" i="16"/>
  <c r="DL57" i="16"/>
  <c r="DN57" i="16"/>
  <c r="DP57" i="16"/>
  <c r="DR57" i="16"/>
  <c r="DT57" i="16"/>
  <c r="DV57" i="16"/>
  <c r="DX57" i="16"/>
  <c r="DZ57" i="16"/>
  <c r="EB57" i="16"/>
  <c r="ED57" i="16"/>
  <c r="EF57" i="16"/>
  <c r="EH57" i="16"/>
  <c r="EJ57" i="16"/>
  <c r="EL57" i="16"/>
  <c r="EN57" i="16"/>
  <c r="EP57" i="16"/>
  <c r="ER57" i="16"/>
  <c r="ET57" i="16"/>
  <c r="EV57" i="16"/>
  <c r="EX57" i="16"/>
  <c r="EZ57" i="16"/>
  <c r="FB57" i="16"/>
  <c r="FD57" i="16"/>
  <c r="FF57" i="16"/>
  <c r="FH57" i="16"/>
  <c r="FJ57" i="16"/>
  <c r="FL57" i="16"/>
  <c r="FN57" i="16"/>
  <c r="FP57" i="16"/>
  <c r="FR57" i="16"/>
  <c r="FT57" i="16"/>
  <c r="FV57" i="16"/>
  <c r="FX57" i="16"/>
  <c r="FZ57" i="16"/>
  <c r="GB57" i="16"/>
  <c r="GD57" i="16"/>
  <c r="CY57" i="16"/>
  <c r="DA57" i="16"/>
  <c r="DC57" i="16"/>
  <c r="DE57" i="16"/>
  <c r="DG57" i="16"/>
  <c r="DI57" i="16"/>
  <c r="DK57" i="16"/>
  <c r="DM57" i="16"/>
  <c r="DO57" i="16"/>
  <c r="DQ57" i="16"/>
  <c r="DS57" i="16"/>
  <c r="DU57" i="16"/>
  <c r="DW57" i="16"/>
  <c r="DY57" i="16"/>
  <c r="EA57" i="16"/>
  <c r="EC57" i="16"/>
  <c r="EE57" i="16"/>
  <c r="EG57" i="16"/>
  <c r="EI57" i="16"/>
  <c r="EK57" i="16"/>
  <c r="EM57" i="16"/>
  <c r="EO57" i="16"/>
  <c r="EQ57" i="16"/>
  <c r="ES57" i="16"/>
  <c r="EU57" i="16"/>
  <c r="EW57" i="16"/>
  <c r="EY57" i="16"/>
  <c r="FA57" i="16"/>
  <c r="FC57" i="16"/>
  <c r="FE57" i="16"/>
  <c r="FG57" i="16"/>
  <c r="FI57" i="16"/>
  <c r="FK57" i="16"/>
  <c r="FM57" i="16"/>
  <c r="FO57" i="16"/>
  <c r="FQ57" i="16"/>
  <c r="FS57" i="16"/>
  <c r="FU57" i="16"/>
  <c r="FW57" i="16"/>
  <c r="FY57" i="16"/>
  <c r="GA57" i="16"/>
  <c r="GC57" i="16"/>
  <c r="CZ59" i="16"/>
  <c r="DB59" i="16"/>
  <c r="DD59" i="16"/>
  <c r="DF59" i="16"/>
  <c r="DH59" i="16"/>
  <c r="DJ59" i="16"/>
  <c r="DL59" i="16"/>
  <c r="DN59" i="16"/>
  <c r="DP59" i="16"/>
  <c r="DR59" i="16"/>
  <c r="DT59" i="16"/>
  <c r="DV59" i="16"/>
  <c r="DX59" i="16"/>
  <c r="DZ59" i="16"/>
  <c r="EB59" i="16"/>
  <c r="ED59" i="16"/>
  <c r="EF59" i="16"/>
  <c r="EH59" i="16"/>
  <c r="EJ59" i="16"/>
  <c r="EL59" i="16"/>
  <c r="EN59" i="16"/>
  <c r="EP59" i="16"/>
  <c r="ER59" i="16"/>
  <c r="ET59" i="16"/>
  <c r="EV59" i="16"/>
  <c r="EX59" i="16"/>
  <c r="EZ59" i="16"/>
  <c r="FB59" i="16"/>
  <c r="FD59" i="16"/>
  <c r="FF59" i="16"/>
  <c r="FH59" i="16"/>
  <c r="FJ59" i="16"/>
  <c r="FL59" i="16"/>
  <c r="FN59" i="16"/>
  <c r="FP59" i="16"/>
  <c r="FR59" i="16"/>
  <c r="FT59" i="16"/>
  <c r="FV59" i="16"/>
  <c r="FX59" i="16"/>
  <c r="FZ59" i="16"/>
  <c r="GB59" i="16"/>
  <c r="GD59" i="16"/>
  <c r="CY59" i="16"/>
  <c r="DA59" i="16"/>
  <c r="DC59" i="16"/>
  <c r="DE59" i="16"/>
  <c r="DG59" i="16"/>
  <c r="DI59" i="16"/>
  <c r="DK59" i="16"/>
  <c r="DM59" i="16"/>
  <c r="DO59" i="16"/>
  <c r="DQ59" i="16"/>
  <c r="DS59" i="16"/>
  <c r="DU59" i="16"/>
  <c r="DW59" i="16"/>
  <c r="DY59" i="16"/>
  <c r="EA59" i="16"/>
  <c r="EC59" i="16"/>
  <c r="EE59" i="16"/>
  <c r="EG59" i="16"/>
  <c r="EI59" i="16"/>
  <c r="EK59" i="16"/>
  <c r="EM59" i="16"/>
  <c r="EO59" i="16"/>
  <c r="EQ59" i="16"/>
  <c r="ES59" i="16"/>
  <c r="EU59" i="16"/>
  <c r="EW59" i="16"/>
  <c r="EY59" i="16"/>
  <c r="FA59" i="16"/>
  <c r="FC59" i="16"/>
  <c r="FE59" i="16"/>
  <c r="FG59" i="16"/>
  <c r="FI59" i="16"/>
  <c r="FK59" i="16"/>
  <c r="FM59" i="16"/>
  <c r="FO59" i="16"/>
  <c r="FQ59" i="16"/>
  <c r="FS59" i="16"/>
  <c r="FU59" i="16"/>
  <c r="FW59" i="16"/>
  <c r="FY59" i="16"/>
  <c r="GA59" i="16"/>
  <c r="GC59" i="16"/>
  <c r="CZ61" i="16"/>
  <c r="DB61" i="16"/>
  <c r="DD61" i="16"/>
  <c r="DF61" i="16"/>
  <c r="DH61" i="16"/>
  <c r="DJ61" i="16"/>
  <c r="DL61" i="16"/>
  <c r="DN61" i="16"/>
  <c r="DP61" i="16"/>
  <c r="DR61" i="16"/>
  <c r="DT61" i="16"/>
  <c r="DV61" i="16"/>
  <c r="DX61" i="16"/>
  <c r="DZ61" i="16"/>
  <c r="EB61" i="16"/>
  <c r="ED61" i="16"/>
  <c r="EF61" i="16"/>
  <c r="EH61" i="16"/>
  <c r="EJ61" i="16"/>
  <c r="EL61" i="16"/>
  <c r="EN61" i="16"/>
  <c r="EP61" i="16"/>
  <c r="ER61" i="16"/>
  <c r="ET61" i="16"/>
  <c r="EV61" i="16"/>
  <c r="EX61" i="16"/>
  <c r="EZ61" i="16"/>
  <c r="FB61" i="16"/>
  <c r="FD61" i="16"/>
  <c r="FF61" i="16"/>
  <c r="FH61" i="16"/>
  <c r="FJ61" i="16"/>
  <c r="FL61" i="16"/>
  <c r="FN61" i="16"/>
  <c r="FP61" i="16"/>
  <c r="FR61" i="16"/>
  <c r="FT61" i="16"/>
  <c r="FV61" i="16"/>
  <c r="FX61" i="16"/>
  <c r="FZ61" i="16"/>
  <c r="GB61" i="16"/>
  <c r="GD61" i="16"/>
  <c r="CY61" i="16"/>
  <c r="DA61" i="16"/>
  <c r="DC61" i="16"/>
  <c r="DE61" i="16"/>
  <c r="DG61" i="16"/>
  <c r="DI61" i="16"/>
  <c r="DK61" i="16"/>
  <c r="DM61" i="16"/>
  <c r="DO61" i="16"/>
  <c r="DQ61" i="16"/>
  <c r="DS61" i="16"/>
  <c r="DU61" i="16"/>
  <c r="DW61" i="16"/>
  <c r="DY61" i="16"/>
  <c r="EA61" i="16"/>
  <c r="EC61" i="16"/>
  <c r="EE61" i="16"/>
  <c r="EG61" i="16"/>
  <c r="EI61" i="16"/>
  <c r="EK61" i="16"/>
  <c r="EM61" i="16"/>
  <c r="EO61" i="16"/>
  <c r="EQ61" i="16"/>
  <c r="ES61" i="16"/>
  <c r="EU61" i="16"/>
  <c r="EW61" i="16"/>
  <c r="EY61" i="16"/>
  <c r="FA61" i="16"/>
  <c r="FC61" i="16"/>
  <c r="FE61" i="16"/>
  <c r="FG61" i="16"/>
  <c r="FI61" i="16"/>
  <c r="FK61" i="16"/>
  <c r="FM61" i="16"/>
  <c r="FO61" i="16"/>
  <c r="FQ61" i="16"/>
  <c r="FS61" i="16"/>
  <c r="FU61" i="16"/>
  <c r="FW61" i="16"/>
  <c r="FY61" i="16"/>
  <c r="GA61" i="16"/>
  <c r="GC61" i="16"/>
  <c r="CZ63" i="16"/>
  <c r="DB63" i="16"/>
  <c r="DD63" i="16"/>
  <c r="DF63" i="16"/>
  <c r="DH63" i="16"/>
  <c r="DJ63" i="16"/>
  <c r="DL63" i="16"/>
  <c r="DN63" i="16"/>
  <c r="DP63" i="16"/>
  <c r="DR63" i="16"/>
  <c r="DT63" i="16"/>
  <c r="DV63" i="16"/>
  <c r="DX63" i="16"/>
  <c r="DZ63" i="16"/>
  <c r="EB63" i="16"/>
  <c r="ED63" i="16"/>
  <c r="EF63" i="16"/>
  <c r="EH63" i="16"/>
  <c r="EJ63" i="16"/>
  <c r="EL63" i="16"/>
  <c r="EN63" i="16"/>
  <c r="EP63" i="16"/>
  <c r="ER63" i="16"/>
  <c r="ET63" i="16"/>
  <c r="EV63" i="16"/>
  <c r="EX63" i="16"/>
  <c r="EZ63" i="16"/>
  <c r="FB63" i="16"/>
  <c r="FD63" i="16"/>
  <c r="FF63" i="16"/>
  <c r="FH63" i="16"/>
  <c r="FJ63" i="16"/>
  <c r="FL63" i="16"/>
  <c r="FN63" i="16"/>
  <c r="FP63" i="16"/>
  <c r="FR63" i="16"/>
  <c r="FT63" i="16"/>
  <c r="FV63" i="16"/>
  <c r="FX63" i="16"/>
  <c r="FZ63" i="16"/>
  <c r="GB63" i="16"/>
  <c r="GD63" i="16"/>
  <c r="CY63" i="16"/>
  <c r="DA63" i="16"/>
  <c r="DC63" i="16"/>
  <c r="DE63" i="16"/>
  <c r="DG63" i="16"/>
  <c r="DI63" i="16"/>
  <c r="DK63" i="16"/>
  <c r="DM63" i="16"/>
  <c r="DO63" i="16"/>
  <c r="DQ63" i="16"/>
  <c r="DS63" i="16"/>
  <c r="DU63" i="16"/>
  <c r="DW63" i="16"/>
  <c r="DY63" i="16"/>
  <c r="EA63" i="16"/>
  <c r="EC63" i="16"/>
  <c r="EE63" i="16"/>
  <c r="EG63" i="16"/>
  <c r="EI63" i="16"/>
  <c r="EK63" i="16"/>
  <c r="EM63" i="16"/>
  <c r="EO63" i="16"/>
  <c r="EQ63" i="16"/>
  <c r="ES63" i="16"/>
  <c r="EU63" i="16"/>
  <c r="EW63" i="16"/>
  <c r="EY63" i="16"/>
  <c r="FA63" i="16"/>
  <c r="FC63" i="16"/>
  <c r="FE63" i="16"/>
  <c r="FG63" i="16"/>
  <c r="FI63" i="16"/>
  <c r="FK63" i="16"/>
  <c r="FM63" i="16"/>
  <c r="FO63" i="16"/>
  <c r="FQ63" i="16"/>
  <c r="FS63" i="16"/>
  <c r="FU63" i="16"/>
  <c r="FW63" i="16"/>
  <c r="FY63" i="16"/>
  <c r="GA63" i="16"/>
  <c r="GC63" i="16"/>
  <c r="CZ65" i="16"/>
  <c r="DB65" i="16"/>
  <c r="DD65" i="16"/>
  <c r="DF65" i="16"/>
  <c r="DH65" i="16"/>
  <c r="DJ65" i="16"/>
  <c r="DL65" i="16"/>
  <c r="DN65" i="16"/>
  <c r="DP65" i="16"/>
  <c r="DR65" i="16"/>
  <c r="DT65" i="16"/>
  <c r="DV65" i="16"/>
  <c r="DX65" i="16"/>
  <c r="DZ65" i="16"/>
  <c r="EB65" i="16"/>
  <c r="ED65" i="16"/>
  <c r="EF65" i="16"/>
  <c r="EH65" i="16"/>
  <c r="EJ65" i="16"/>
  <c r="EL65" i="16"/>
  <c r="EN65" i="16"/>
  <c r="EP65" i="16"/>
  <c r="ER65" i="16"/>
  <c r="ET65" i="16"/>
  <c r="EV65" i="16"/>
  <c r="CY65" i="16"/>
  <c r="DA65" i="16"/>
  <c r="DC65" i="16"/>
  <c r="DE65" i="16"/>
  <c r="DG65" i="16"/>
  <c r="DI65" i="16"/>
  <c r="DK65" i="16"/>
  <c r="DM65" i="16"/>
  <c r="DO65" i="16"/>
  <c r="DQ65" i="16"/>
  <c r="DS65" i="16"/>
  <c r="DU65" i="16"/>
  <c r="DW65" i="16"/>
  <c r="DY65" i="16"/>
  <c r="EA65" i="16"/>
  <c r="EC65" i="16"/>
  <c r="EE65" i="16"/>
  <c r="EG65" i="16"/>
  <c r="EI65" i="16"/>
  <c r="EK65" i="16"/>
  <c r="EM65" i="16"/>
  <c r="EO65" i="16"/>
  <c r="EQ65" i="16"/>
  <c r="ES65" i="16"/>
  <c r="EW65" i="16"/>
  <c r="EY65" i="16"/>
  <c r="FA65" i="16"/>
  <c r="FC65" i="16"/>
  <c r="FE65" i="16"/>
  <c r="FG65" i="16"/>
  <c r="FI65" i="16"/>
  <c r="FK65" i="16"/>
  <c r="FM65" i="16"/>
  <c r="FO65" i="16"/>
  <c r="FQ65" i="16"/>
  <c r="FS65" i="16"/>
  <c r="FU65" i="16"/>
  <c r="FW65" i="16"/>
  <c r="FY65" i="16"/>
  <c r="GA65" i="16"/>
  <c r="GC65" i="16"/>
  <c r="EU65" i="16"/>
  <c r="EX65" i="16"/>
  <c r="EZ65" i="16"/>
  <c r="FB65" i="16"/>
  <c r="FD65" i="16"/>
  <c r="FF65" i="16"/>
  <c r="FH65" i="16"/>
  <c r="FJ65" i="16"/>
  <c r="FL65" i="16"/>
  <c r="FN65" i="16"/>
  <c r="FP65" i="16"/>
  <c r="FR65" i="16"/>
  <c r="FT65" i="16"/>
  <c r="FV65" i="16"/>
  <c r="FX65" i="16"/>
  <c r="FZ65" i="16"/>
  <c r="GB65" i="16"/>
  <c r="GD65" i="16"/>
  <c r="CY67" i="16"/>
  <c r="DA67" i="16"/>
  <c r="DC67" i="16"/>
  <c r="DE67" i="16"/>
  <c r="DG67" i="16"/>
  <c r="DI67" i="16"/>
  <c r="DK67" i="16"/>
  <c r="DM67" i="16"/>
  <c r="DO67" i="16"/>
  <c r="DQ67" i="16"/>
  <c r="DS67" i="16"/>
  <c r="DU67" i="16"/>
  <c r="DW67" i="16"/>
  <c r="DY67" i="16"/>
  <c r="EA67" i="16"/>
  <c r="EC67" i="16"/>
  <c r="EE67" i="16"/>
  <c r="EG67" i="16"/>
  <c r="EI67" i="16"/>
  <c r="EK67" i="16"/>
  <c r="EM67" i="16"/>
  <c r="EO67" i="16"/>
  <c r="EQ67" i="16"/>
  <c r="ES67" i="16"/>
  <c r="EU67" i="16"/>
  <c r="EW67" i="16"/>
  <c r="EY67" i="16"/>
  <c r="FA67" i="16"/>
  <c r="FC67" i="16"/>
  <c r="FE67" i="16"/>
  <c r="FG67" i="16"/>
  <c r="FI67" i="16"/>
  <c r="FK67" i="16"/>
  <c r="FM67" i="16"/>
  <c r="FO67" i="16"/>
  <c r="FQ67" i="16"/>
  <c r="FS67" i="16"/>
  <c r="FU67" i="16"/>
  <c r="FW67" i="16"/>
  <c r="FY67" i="16"/>
  <c r="GA67" i="16"/>
  <c r="GC67" i="16"/>
  <c r="CZ67" i="16"/>
  <c r="DB67" i="16"/>
  <c r="DD67" i="16"/>
  <c r="DF67" i="16"/>
  <c r="DH67" i="16"/>
  <c r="DJ67" i="16"/>
  <c r="DL67" i="16"/>
  <c r="DN67" i="16"/>
  <c r="DP67" i="16"/>
  <c r="DR67" i="16"/>
  <c r="DT67" i="16"/>
  <c r="DV67" i="16"/>
  <c r="DX67" i="16"/>
  <c r="DZ67" i="16"/>
  <c r="EB67" i="16"/>
  <c r="ED67" i="16"/>
  <c r="EF67" i="16"/>
  <c r="EH67" i="16"/>
  <c r="EJ67" i="16"/>
  <c r="EL67" i="16"/>
  <c r="EN67" i="16"/>
  <c r="EP67" i="16"/>
  <c r="ER67" i="16"/>
  <c r="ET67" i="16"/>
  <c r="EV67" i="16"/>
  <c r="EX67" i="16"/>
  <c r="EZ67" i="16"/>
  <c r="FB67" i="16"/>
  <c r="FD67" i="16"/>
  <c r="FF67" i="16"/>
  <c r="FH67" i="16"/>
  <c r="FJ67" i="16"/>
  <c r="FL67" i="16"/>
  <c r="FN67" i="16"/>
  <c r="FP67" i="16"/>
  <c r="FR67" i="16"/>
  <c r="FT67" i="16"/>
  <c r="FV67" i="16"/>
  <c r="FX67" i="16"/>
  <c r="FZ67" i="16"/>
  <c r="GB67" i="16"/>
  <c r="GD67" i="16"/>
  <c r="CZ70" i="16"/>
  <c r="DB70" i="16"/>
  <c r="DD70" i="16"/>
  <c r="DF70" i="16"/>
  <c r="DH70" i="16"/>
  <c r="DJ70" i="16"/>
  <c r="DL70" i="16"/>
  <c r="DN70" i="16"/>
  <c r="DP70" i="16"/>
  <c r="DR70" i="16"/>
  <c r="DT70" i="16"/>
  <c r="DV70" i="16"/>
  <c r="DX70" i="16"/>
  <c r="DZ70" i="16"/>
  <c r="EB70" i="16"/>
  <c r="ED70" i="16"/>
  <c r="EF70" i="16"/>
  <c r="EH70" i="16"/>
  <c r="EJ70" i="16"/>
  <c r="EL70" i="16"/>
  <c r="EN70" i="16"/>
  <c r="EP70" i="16"/>
  <c r="ER70" i="16"/>
  <c r="ET70" i="16"/>
  <c r="EV70" i="16"/>
  <c r="EX70" i="16"/>
  <c r="EZ70" i="16"/>
  <c r="FB70" i="16"/>
  <c r="FD70" i="16"/>
  <c r="FF70" i="16"/>
  <c r="FH70" i="16"/>
  <c r="FJ70" i="16"/>
  <c r="FL70" i="16"/>
  <c r="FN70" i="16"/>
  <c r="FP70" i="16"/>
  <c r="FR70" i="16"/>
  <c r="FT70" i="16"/>
  <c r="FV70" i="16"/>
  <c r="FX70" i="16"/>
  <c r="FZ70" i="16"/>
  <c r="GB70" i="16"/>
  <c r="GD70" i="16"/>
  <c r="CY70" i="16"/>
  <c r="DA70" i="16"/>
  <c r="DC70" i="16"/>
  <c r="DE70" i="16"/>
  <c r="DG70" i="16"/>
  <c r="DI70" i="16"/>
  <c r="DK70" i="16"/>
  <c r="DM70" i="16"/>
  <c r="DO70" i="16"/>
  <c r="DQ70" i="16"/>
  <c r="DS70" i="16"/>
  <c r="DU70" i="16"/>
  <c r="DW70" i="16"/>
  <c r="DY70" i="16"/>
  <c r="EA70" i="16"/>
  <c r="EC70" i="16"/>
  <c r="EE70" i="16"/>
  <c r="EG70" i="16"/>
  <c r="EI70" i="16"/>
  <c r="EK70" i="16"/>
  <c r="EM70" i="16"/>
  <c r="EO70" i="16"/>
  <c r="EQ70" i="16"/>
  <c r="ES70" i="16"/>
  <c r="EU70" i="16"/>
  <c r="EW70" i="16"/>
  <c r="EY70" i="16"/>
  <c r="FA70" i="16"/>
  <c r="FC70" i="16"/>
  <c r="FE70" i="16"/>
  <c r="FG70" i="16"/>
  <c r="FI70" i="16"/>
  <c r="FK70" i="16"/>
  <c r="FM70" i="16"/>
  <c r="FO70" i="16"/>
  <c r="FQ70" i="16"/>
  <c r="FS70" i="16"/>
  <c r="FU70" i="16"/>
  <c r="FW70" i="16"/>
  <c r="FY70" i="16"/>
  <c r="GA70" i="16"/>
  <c r="GC70" i="16"/>
  <c r="CZ72" i="16"/>
  <c r="DB72" i="16"/>
  <c r="DD72" i="16"/>
  <c r="DF72" i="16"/>
  <c r="DH72" i="16"/>
  <c r="DJ72" i="16"/>
  <c r="DL72" i="16"/>
  <c r="DN72" i="16"/>
  <c r="DP72" i="16"/>
  <c r="DR72" i="16"/>
  <c r="DT72" i="16"/>
  <c r="DV72" i="16"/>
  <c r="DX72" i="16"/>
  <c r="DZ72" i="16"/>
  <c r="EB72" i="16"/>
  <c r="ED72" i="16"/>
  <c r="EF72" i="16"/>
  <c r="EH72" i="16"/>
  <c r="EJ72" i="16"/>
  <c r="EL72" i="16"/>
  <c r="EN72" i="16"/>
  <c r="EP72" i="16"/>
  <c r="ER72" i="16"/>
  <c r="ET72" i="16"/>
  <c r="EV72" i="16"/>
  <c r="EX72" i="16"/>
  <c r="EZ72" i="16"/>
  <c r="FB72" i="16"/>
  <c r="FD72" i="16"/>
  <c r="FF72" i="16"/>
  <c r="FH72" i="16"/>
  <c r="FJ72" i="16"/>
  <c r="FL72" i="16"/>
  <c r="FN72" i="16"/>
  <c r="FP72" i="16"/>
  <c r="FR72" i="16"/>
  <c r="FT72" i="16"/>
  <c r="FV72" i="16"/>
  <c r="FX72" i="16"/>
  <c r="FZ72" i="16"/>
  <c r="GB72" i="16"/>
  <c r="GD72" i="16"/>
  <c r="CY72" i="16"/>
  <c r="DA72" i="16"/>
  <c r="DC72" i="16"/>
  <c r="DE72" i="16"/>
  <c r="DG72" i="16"/>
  <c r="DI72" i="16"/>
  <c r="DK72" i="16"/>
  <c r="DM72" i="16"/>
  <c r="DO72" i="16"/>
  <c r="DQ72" i="16"/>
  <c r="DS72" i="16"/>
  <c r="DU72" i="16"/>
  <c r="DW72" i="16"/>
  <c r="DY72" i="16"/>
  <c r="EA72" i="16"/>
  <c r="EC72" i="16"/>
  <c r="EE72" i="16"/>
  <c r="EG72" i="16"/>
  <c r="EI72" i="16"/>
  <c r="EK72" i="16"/>
  <c r="EM72" i="16"/>
  <c r="EO72" i="16"/>
  <c r="EQ72" i="16"/>
  <c r="ES72" i="16"/>
  <c r="EU72" i="16"/>
  <c r="EW72" i="16"/>
  <c r="EY72" i="16"/>
  <c r="FA72" i="16"/>
  <c r="FC72" i="16"/>
  <c r="FE72" i="16"/>
  <c r="FG72" i="16"/>
  <c r="FI72" i="16"/>
  <c r="FK72" i="16"/>
  <c r="FM72" i="16"/>
  <c r="FO72" i="16"/>
  <c r="FQ72" i="16"/>
  <c r="FS72" i="16"/>
  <c r="FU72" i="16"/>
  <c r="FW72" i="16"/>
  <c r="FY72" i="16"/>
  <c r="GA72" i="16"/>
  <c r="GC72" i="16"/>
  <c r="CZ74" i="16"/>
  <c r="DB74" i="16"/>
  <c r="DD74" i="16"/>
  <c r="DF74" i="16"/>
  <c r="DH74" i="16"/>
  <c r="DJ74" i="16"/>
  <c r="DL74" i="16"/>
  <c r="DN74" i="16"/>
  <c r="DP74" i="16"/>
  <c r="DR74" i="16"/>
  <c r="DT74" i="16"/>
  <c r="DV74" i="16"/>
  <c r="DX74" i="16"/>
  <c r="DZ74" i="16"/>
  <c r="EB74" i="16"/>
  <c r="ED74" i="16"/>
  <c r="EF74" i="16"/>
  <c r="EH74" i="16"/>
  <c r="EJ74" i="16"/>
  <c r="EL74" i="16"/>
  <c r="EN74" i="16"/>
  <c r="EP74" i="16"/>
  <c r="ER74" i="16"/>
  <c r="ET74" i="16"/>
  <c r="EV74" i="16"/>
  <c r="EX74" i="16"/>
  <c r="EZ74" i="16"/>
  <c r="FB74" i="16"/>
  <c r="FD74" i="16"/>
  <c r="FF74" i="16"/>
  <c r="FH74" i="16"/>
  <c r="FJ74" i="16"/>
  <c r="FL74" i="16"/>
  <c r="FN74" i="16"/>
  <c r="FP74" i="16"/>
  <c r="FR74" i="16"/>
  <c r="FT74" i="16"/>
  <c r="FV74" i="16"/>
  <c r="FX74" i="16"/>
  <c r="FZ74" i="16"/>
  <c r="GB74" i="16"/>
  <c r="GD74" i="16"/>
  <c r="CY74" i="16"/>
  <c r="DA74" i="16"/>
  <c r="DC74" i="16"/>
  <c r="DE74" i="16"/>
  <c r="DG74" i="16"/>
  <c r="DI74" i="16"/>
  <c r="DK74" i="16"/>
  <c r="DM74" i="16"/>
  <c r="DO74" i="16"/>
  <c r="DQ74" i="16"/>
  <c r="DS74" i="16"/>
  <c r="DU74" i="16"/>
  <c r="DW74" i="16"/>
  <c r="DY74" i="16"/>
  <c r="EA74" i="16"/>
  <c r="EC74" i="16"/>
  <c r="EE74" i="16"/>
  <c r="EG74" i="16"/>
  <c r="EI74" i="16"/>
  <c r="EK74" i="16"/>
  <c r="EM74" i="16"/>
  <c r="EO74" i="16"/>
  <c r="EQ74" i="16"/>
  <c r="ES74" i="16"/>
  <c r="EU74" i="16"/>
  <c r="EW74" i="16"/>
  <c r="EY74" i="16"/>
  <c r="FA74" i="16"/>
  <c r="FC74" i="16"/>
  <c r="FE74" i="16"/>
  <c r="FG74" i="16"/>
  <c r="FI74" i="16"/>
  <c r="FK74" i="16"/>
  <c r="FM74" i="16"/>
  <c r="FO74" i="16"/>
  <c r="FQ74" i="16"/>
  <c r="FS74" i="16"/>
  <c r="FU74" i="16"/>
  <c r="FW74" i="16"/>
  <c r="FY74" i="16"/>
  <c r="GA74" i="16"/>
  <c r="GC74" i="16"/>
  <c r="CZ76" i="16"/>
  <c r="DB76" i="16"/>
  <c r="DD76" i="16"/>
  <c r="DF76" i="16"/>
  <c r="DH76" i="16"/>
  <c r="DJ76" i="16"/>
  <c r="DL76" i="16"/>
  <c r="DN76" i="16"/>
  <c r="DP76" i="16"/>
  <c r="DR76" i="16"/>
  <c r="DT76" i="16"/>
  <c r="DV76" i="16"/>
  <c r="DX76" i="16"/>
  <c r="DZ76" i="16"/>
  <c r="EB76" i="16"/>
  <c r="ED76" i="16"/>
  <c r="EF76" i="16"/>
  <c r="EH76" i="16"/>
  <c r="EJ76" i="16"/>
  <c r="EL76" i="16"/>
  <c r="EN76" i="16"/>
  <c r="EP76" i="16"/>
  <c r="ER76" i="16"/>
  <c r="ET76" i="16"/>
  <c r="EV76" i="16"/>
  <c r="EX76" i="16"/>
  <c r="EZ76" i="16"/>
  <c r="FB76" i="16"/>
  <c r="FD76" i="16"/>
  <c r="FF76" i="16"/>
  <c r="FH76" i="16"/>
  <c r="FJ76" i="16"/>
  <c r="FL76" i="16"/>
  <c r="FN76" i="16"/>
  <c r="FP76" i="16"/>
  <c r="FR76" i="16"/>
  <c r="FT76" i="16"/>
  <c r="FV76" i="16"/>
  <c r="FX76" i="16"/>
  <c r="FZ76" i="16"/>
  <c r="GB76" i="16"/>
  <c r="GD76" i="16"/>
  <c r="CY76" i="16"/>
  <c r="DA76" i="16"/>
  <c r="DC76" i="16"/>
  <c r="DE76" i="16"/>
  <c r="DG76" i="16"/>
  <c r="DI76" i="16"/>
  <c r="DK76" i="16"/>
  <c r="DM76" i="16"/>
  <c r="DO76" i="16"/>
  <c r="DQ76" i="16"/>
  <c r="DS76" i="16"/>
  <c r="DU76" i="16"/>
  <c r="DW76" i="16"/>
  <c r="DY76" i="16"/>
  <c r="EA76" i="16"/>
  <c r="EC76" i="16"/>
  <c r="EE76" i="16"/>
  <c r="EG76" i="16"/>
  <c r="EI76" i="16"/>
  <c r="EK76" i="16"/>
  <c r="EM76" i="16"/>
  <c r="EO76" i="16"/>
  <c r="EQ76" i="16"/>
  <c r="ES76" i="16"/>
  <c r="EU76" i="16"/>
  <c r="EW76" i="16"/>
  <c r="EY76" i="16"/>
  <c r="FA76" i="16"/>
  <c r="FC76" i="16"/>
  <c r="FE76" i="16"/>
  <c r="FG76" i="16"/>
  <c r="FI76" i="16"/>
  <c r="FK76" i="16"/>
  <c r="FM76" i="16"/>
  <c r="FO76" i="16"/>
  <c r="FQ76" i="16"/>
  <c r="FS76" i="16"/>
  <c r="FU76" i="16"/>
  <c r="FW76" i="16"/>
  <c r="FY76" i="16"/>
  <c r="GA76" i="16"/>
  <c r="GC76" i="16"/>
  <c r="CY79" i="16"/>
  <c r="DA79" i="16"/>
  <c r="DC79" i="16"/>
  <c r="DE79" i="16"/>
  <c r="DG79" i="16"/>
  <c r="DI79" i="16"/>
  <c r="DK79" i="16"/>
  <c r="DM79" i="16"/>
  <c r="DO79" i="16"/>
  <c r="DQ79" i="16"/>
  <c r="DS79" i="16"/>
  <c r="DU79" i="16"/>
  <c r="DW79" i="16"/>
  <c r="DY79" i="16"/>
  <c r="EA79" i="16"/>
  <c r="EC79" i="16"/>
  <c r="EE79" i="16"/>
  <c r="EG79" i="16"/>
  <c r="EI79" i="16"/>
  <c r="EK79" i="16"/>
  <c r="EM79" i="16"/>
  <c r="EO79" i="16"/>
  <c r="EQ79" i="16"/>
  <c r="ES79" i="16"/>
  <c r="EU79" i="16"/>
  <c r="EW79" i="16"/>
  <c r="EY79" i="16"/>
  <c r="FA79" i="16"/>
  <c r="FC79" i="16"/>
  <c r="FE79" i="16"/>
  <c r="FG79" i="16"/>
  <c r="FI79" i="16"/>
  <c r="FK79" i="16"/>
  <c r="FM79" i="16"/>
  <c r="FO79" i="16"/>
  <c r="FQ79" i="16"/>
  <c r="FS79" i="16"/>
  <c r="FU79" i="16"/>
  <c r="FW79" i="16"/>
  <c r="FY79" i="16"/>
  <c r="GA79" i="16"/>
  <c r="GC79" i="16"/>
  <c r="CZ79" i="16"/>
  <c r="DB79" i="16"/>
  <c r="DD79" i="16"/>
  <c r="DF79" i="16"/>
  <c r="DH79" i="16"/>
  <c r="DJ79" i="16"/>
  <c r="DL79" i="16"/>
  <c r="DN79" i="16"/>
  <c r="DP79" i="16"/>
  <c r="DR79" i="16"/>
  <c r="DT79" i="16"/>
  <c r="DV79" i="16"/>
  <c r="DX79" i="16"/>
  <c r="DZ79" i="16"/>
  <c r="EB79" i="16"/>
  <c r="ED79" i="16"/>
  <c r="EF79" i="16"/>
  <c r="EH79" i="16"/>
  <c r="EJ79" i="16"/>
  <c r="EL79" i="16"/>
  <c r="EN79" i="16"/>
  <c r="EP79" i="16"/>
  <c r="ER79" i="16"/>
  <c r="ET79" i="16"/>
  <c r="EV79" i="16"/>
  <c r="EX79" i="16"/>
  <c r="EZ79" i="16"/>
  <c r="FB79" i="16"/>
  <c r="FD79" i="16"/>
  <c r="FF79" i="16"/>
  <c r="FH79" i="16"/>
  <c r="FJ79" i="16"/>
  <c r="FL79" i="16"/>
  <c r="FN79" i="16"/>
  <c r="FP79" i="16"/>
  <c r="FR79" i="16"/>
  <c r="FT79" i="16"/>
  <c r="FV79" i="16"/>
  <c r="FX79" i="16"/>
  <c r="FZ79" i="16"/>
  <c r="GB79" i="16"/>
  <c r="GD79" i="16"/>
  <c r="CY81" i="16"/>
  <c r="DA81" i="16"/>
  <c r="DC81" i="16"/>
  <c r="DE81" i="16"/>
  <c r="DG81" i="16"/>
  <c r="DI81" i="16"/>
  <c r="DK81" i="16"/>
  <c r="DM81" i="16"/>
  <c r="DO81" i="16"/>
  <c r="DQ81" i="16"/>
  <c r="DS81" i="16"/>
  <c r="DU81" i="16"/>
  <c r="DW81" i="16"/>
  <c r="DY81" i="16"/>
  <c r="EA81" i="16"/>
  <c r="EC81" i="16"/>
  <c r="EE81" i="16"/>
  <c r="EG81" i="16"/>
  <c r="EI81" i="16"/>
  <c r="EK81" i="16"/>
  <c r="EM81" i="16"/>
  <c r="EO81" i="16"/>
  <c r="EQ81" i="16"/>
  <c r="ES81" i="16"/>
  <c r="EU81" i="16"/>
  <c r="EW81" i="16"/>
  <c r="EY81" i="16"/>
  <c r="FA81" i="16"/>
  <c r="FC81" i="16"/>
  <c r="FE81" i="16"/>
  <c r="FG81" i="16"/>
  <c r="FI81" i="16"/>
  <c r="FK81" i="16"/>
  <c r="FM81" i="16"/>
  <c r="FO81" i="16"/>
  <c r="FQ81" i="16"/>
  <c r="FS81" i="16"/>
  <c r="FU81" i="16"/>
  <c r="FW81" i="16"/>
  <c r="FY81" i="16"/>
  <c r="GA81" i="16"/>
  <c r="GC81" i="16"/>
  <c r="CZ81" i="16"/>
  <c r="DB81" i="16"/>
  <c r="DD81" i="16"/>
  <c r="DF81" i="16"/>
  <c r="DH81" i="16"/>
  <c r="DJ81" i="16"/>
  <c r="DL81" i="16"/>
  <c r="DN81" i="16"/>
  <c r="DP81" i="16"/>
  <c r="DR81" i="16"/>
  <c r="DT81" i="16"/>
  <c r="DV81" i="16"/>
  <c r="DX81" i="16"/>
  <c r="DZ81" i="16"/>
  <c r="EB81" i="16"/>
  <c r="ED81" i="16"/>
  <c r="EF81" i="16"/>
  <c r="EH81" i="16"/>
  <c r="EJ81" i="16"/>
  <c r="EL81" i="16"/>
  <c r="EN81" i="16"/>
  <c r="EP81" i="16"/>
  <c r="ER81" i="16"/>
  <c r="ET81" i="16"/>
  <c r="EV81" i="16"/>
  <c r="EX81" i="16"/>
  <c r="EZ81" i="16"/>
  <c r="FB81" i="16"/>
  <c r="FD81" i="16"/>
  <c r="FF81" i="16"/>
  <c r="FH81" i="16"/>
  <c r="FJ81" i="16"/>
  <c r="FL81" i="16"/>
  <c r="FN81" i="16"/>
  <c r="FP81" i="16"/>
  <c r="FR81" i="16"/>
  <c r="FT81" i="16"/>
  <c r="FV81" i="16"/>
  <c r="FX81" i="16"/>
  <c r="FZ81" i="16"/>
  <c r="GB81" i="16"/>
  <c r="GD81" i="16"/>
  <c r="CY83" i="16"/>
  <c r="DA83" i="16"/>
  <c r="DC83" i="16"/>
  <c r="DE83" i="16"/>
  <c r="DG83" i="16"/>
  <c r="DI83" i="16"/>
  <c r="DK83" i="16"/>
  <c r="DM83" i="16"/>
  <c r="DO83" i="16"/>
  <c r="DQ83" i="16"/>
  <c r="DS83" i="16"/>
  <c r="DU83" i="16"/>
  <c r="DW83" i="16"/>
  <c r="DY83" i="16"/>
  <c r="EA83" i="16"/>
  <c r="EC83" i="16"/>
  <c r="EE83" i="16"/>
  <c r="EG83" i="16"/>
  <c r="EI83" i="16"/>
  <c r="EK83" i="16"/>
  <c r="EM83" i="16"/>
  <c r="EO83" i="16"/>
  <c r="EQ83" i="16"/>
  <c r="ES83" i="16"/>
  <c r="EU83" i="16"/>
  <c r="EW83" i="16"/>
  <c r="EY83" i="16"/>
  <c r="FA83" i="16"/>
  <c r="FC83" i="16"/>
  <c r="FE83" i="16"/>
  <c r="FG83" i="16"/>
  <c r="FI83" i="16"/>
  <c r="FK83" i="16"/>
  <c r="FM83" i="16"/>
  <c r="FO83" i="16"/>
  <c r="FQ83" i="16"/>
  <c r="FS83" i="16"/>
  <c r="FU83" i="16"/>
  <c r="FW83" i="16"/>
  <c r="FY83" i="16"/>
  <c r="GA83" i="16"/>
  <c r="GC83" i="16"/>
  <c r="CZ83" i="16"/>
  <c r="DB83" i="16"/>
  <c r="DD83" i="16"/>
  <c r="DF83" i="16"/>
  <c r="DH83" i="16"/>
  <c r="DJ83" i="16"/>
  <c r="DL83" i="16"/>
  <c r="DN83" i="16"/>
  <c r="DP83" i="16"/>
  <c r="DR83" i="16"/>
  <c r="DT83" i="16"/>
  <c r="DV83" i="16"/>
  <c r="DX83" i="16"/>
  <c r="DZ83" i="16"/>
  <c r="EB83" i="16"/>
  <c r="ED83" i="16"/>
  <c r="EF83" i="16"/>
  <c r="EH83" i="16"/>
  <c r="EJ83" i="16"/>
  <c r="EL83" i="16"/>
  <c r="EN83" i="16"/>
  <c r="EP83" i="16"/>
  <c r="ER83" i="16"/>
  <c r="ET83" i="16"/>
  <c r="EV83" i="16"/>
  <c r="EX83" i="16"/>
  <c r="EZ83" i="16"/>
  <c r="FB83" i="16"/>
  <c r="FD83" i="16"/>
  <c r="FF83" i="16"/>
  <c r="FH83" i="16"/>
  <c r="FJ83" i="16"/>
  <c r="FL83" i="16"/>
  <c r="FN83" i="16"/>
  <c r="FP83" i="16"/>
  <c r="FR83" i="16"/>
  <c r="FT83" i="16"/>
  <c r="FV83" i="16"/>
  <c r="FX83" i="16"/>
  <c r="FZ83" i="16"/>
  <c r="GB83" i="16"/>
  <c r="GD83" i="16"/>
  <c r="CZ86" i="16"/>
  <c r="DB86" i="16"/>
  <c r="DD86" i="16"/>
  <c r="DF86" i="16"/>
  <c r="DH86" i="16"/>
  <c r="DJ86" i="16"/>
  <c r="DL86" i="16"/>
  <c r="DN86" i="16"/>
  <c r="DP86" i="16"/>
  <c r="DR86" i="16"/>
  <c r="DT86" i="16"/>
  <c r="DV86" i="16"/>
  <c r="DX86" i="16"/>
  <c r="DZ86" i="16"/>
  <c r="EB86" i="16"/>
  <c r="ED86" i="16"/>
  <c r="EF86" i="16"/>
  <c r="EH86" i="16"/>
  <c r="EJ86" i="16"/>
  <c r="EL86" i="16"/>
  <c r="EN86" i="16"/>
  <c r="EP86" i="16"/>
  <c r="ER86" i="16"/>
  <c r="ET86" i="16"/>
  <c r="EV86" i="16"/>
  <c r="EX86" i="16"/>
  <c r="EZ86" i="16"/>
  <c r="FB86" i="16"/>
  <c r="FD86" i="16"/>
  <c r="FF86" i="16"/>
  <c r="FH86" i="16"/>
  <c r="FJ86" i="16"/>
  <c r="FL86" i="16"/>
  <c r="FN86" i="16"/>
  <c r="FP86" i="16"/>
  <c r="FR86" i="16"/>
  <c r="FT86" i="16"/>
  <c r="FV86" i="16"/>
  <c r="FX86" i="16"/>
  <c r="FZ86" i="16"/>
  <c r="GB86" i="16"/>
  <c r="GD86" i="16"/>
  <c r="CY86" i="16"/>
  <c r="DA86" i="16"/>
  <c r="DC86" i="16"/>
  <c r="DE86" i="16"/>
  <c r="DG86" i="16"/>
  <c r="DI86" i="16"/>
  <c r="DK86" i="16"/>
  <c r="DM86" i="16"/>
  <c r="DO86" i="16"/>
  <c r="DQ86" i="16"/>
  <c r="DS86" i="16"/>
  <c r="DU86" i="16"/>
  <c r="DW86" i="16"/>
  <c r="DY86" i="16"/>
  <c r="EA86" i="16"/>
  <c r="EC86" i="16"/>
  <c r="EE86" i="16"/>
  <c r="EG86" i="16"/>
  <c r="EI86" i="16"/>
  <c r="EK86" i="16"/>
  <c r="EM86" i="16"/>
  <c r="EO86" i="16"/>
  <c r="EQ86" i="16"/>
  <c r="ES86" i="16"/>
  <c r="EU86" i="16"/>
  <c r="EW86" i="16"/>
  <c r="EY86" i="16"/>
  <c r="FA86" i="16"/>
  <c r="FC86" i="16"/>
  <c r="FE86" i="16"/>
  <c r="FG86" i="16"/>
  <c r="FI86" i="16"/>
  <c r="FK86" i="16"/>
  <c r="FM86" i="16"/>
  <c r="FO86" i="16"/>
  <c r="FQ86" i="16"/>
  <c r="FS86" i="16"/>
  <c r="FU86" i="16"/>
  <c r="FW86" i="16"/>
  <c r="FY86" i="16"/>
  <c r="GA86" i="16"/>
  <c r="GC86" i="16"/>
  <c r="CZ88" i="16"/>
  <c r="DB88" i="16"/>
  <c r="DD88" i="16"/>
  <c r="DF88" i="16"/>
  <c r="DH88" i="16"/>
  <c r="DJ88" i="16"/>
  <c r="DL88" i="16"/>
  <c r="DN88" i="16"/>
  <c r="DP88" i="16"/>
  <c r="DR88" i="16"/>
  <c r="DT88" i="16"/>
  <c r="DV88" i="16"/>
  <c r="DX88" i="16"/>
  <c r="DZ88" i="16"/>
  <c r="EB88" i="16"/>
  <c r="ED88" i="16"/>
  <c r="EF88" i="16"/>
  <c r="EH88" i="16"/>
  <c r="EJ88" i="16"/>
  <c r="EL88" i="16"/>
  <c r="EN88" i="16"/>
  <c r="EP88" i="16"/>
  <c r="ER88" i="16"/>
  <c r="ET88" i="16"/>
  <c r="EV88" i="16"/>
  <c r="EX88" i="16"/>
  <c r="EZ88" i="16"/>
  <c r="FB88" i="16"/>
  <c r="FD88" i="16"/>
  <c r="FF88" i="16"/>
  <c r="FH88" i="16"/>
  <c r="FJ88" i="16"/>
  <c r="FL88" i="16"/>
  <c r="FN88" i="16"/>
  <c r="FP88" i="16"/>
  <c r="FR88" i="16"/>
  <c r="FT88" i="16"/>
  <c r="FV88" i="16"/>
  <c r="FX88" i="16"/>
  <c r="FZ88" i="16"/>
  <c r="GB88" i="16"/>
  <c r="GD88" i="16"/>
  <c r="CY88" i="16"/>
  <c r="DA88" i="16"/>
  <c r="DC88" i="16"/>
  <c r="DE88" i="16"/>
  <c r="DG88" i="16"/>
  <c r="DI88" i="16"/>
  <c r="DK88" i="16"/>
  <c r="DM88" i="16"/>
  <c r="DO88" i="16"/>
  <c r="DQ88" i="16"/>
  <c r="DS88" i="16"/>
  <c r="DU88" i="16"/>
  <c r="DW88" i="16"/>
  <c r="DY88" i="16"/>
  <c r="EA88" i="16"/>
  <c r="EC88" i="16"/>
  <c r="EE88" i="16"/>
  <c r="EG88" i="16"/>
  <c r="EI88" i="16"/>
  <c r="EK88" i="16"/>
  <c r="EM88" i="16"/>
  <c r="EO88" i="16"/>
  <c r="EQ88" i="16"/>
  <c r="ES88" i="16"/>
  <c r="EU88" i="16"/>
  <c r="EW88" i="16"/>
  <c r="EY88" i="16"/>
  <c r="FA88" i="16"/>
  <c r="FC88" i="16"/>
  <c r="FE88" i="16"/>
  <c r="FG88" i="16"/>
  <c r="FI88" i="16"/>
  <c r="FK88" i="16"/>
  <c r="FM88" i="16"/>
  <c r="FO88" i="16"/>
  <c r="FQ88" i="16"/>
  <c r="FS88" i="16"/>
  <c r="FU88" i="16"/>
  <c r="FW88" i="16"/>
  <c r="FY88" i="16"/>
  <c r="GA88" i="16"/>
  <c r="GC88" i="16"/>
  <c r="CZ90" i="16"/>
  <c r="DB90" i="16"/>
  <c r="DD90" i="16"/>
  <c r="DF90" i="16"/>
  <c r="DH90" i="16"/>
  <c r="DJ90" i="16"/>
  <c r="DL90" i="16"/>
  <c r="DN90" i="16"/>
  <c r="DP90" i="16"/>
  <c r="DR90" i="16"/>
  <c r="DT90" i="16"/>
  <c r="DV90" i="16"/>
  <c r="DX90" i="16"/>
  <c r="DZ90" i="16"/>
  <c r="EB90" i="16"/>
  <c r="ED90" i="16"/>
  <c r="EF90" i="16"/>
  <c r="EH90" i="16"/>
  <c r="EJ90" i="16"/>
  <c r="EL90" i="16"/>
  <c r="EN90" i="16"/>
  <c r="EP90" i="16"/>
  <c r="ER90" i="16"/>
  <c r="ET90" i="16"/>
  <c r="EV90" i="16"/>
  <c r="EX90" i="16"/>
  <c r="EZ90" i="16"/>
  <c r="FB90" i="16"/>
  <c r="FD90" i="16"/>
  <c r="FF90" i="16"/>
  <c r="FH90" i="16"/>
  <c r="FJ90" i="16"/>
  <c r="FL90" i="16"/>
  <c r="FN90" i="16"/>
  <c r="FP90" i="16"/>
  <c r="FR90" i="16"/>
  <c r="FT90" i="16"/>
  <c r="FV90" i="16"/>
  <c r="FX90" i="16"/>
  <c r="FZ90" i="16"/>
  <c r="GB90" i="16"/>
  <c r="GD90" i="16"/>
  <c r="CY90" i="16"/>
  <c r="DA90" i="16"/>
  <c r="DC90" i="16"/>
  <c r="DE90" i="16"/>
  <c r="DG90" i="16"/>
  <c r="DI90" i="16"/>
  <c r="DK90" i="16"/>
  <c r="DM90" i="16"/>
  <c r="DO90" i="16"/>
  <c r="DQ90" i="16"/>
  <c r="DS90" i="16"/>
  <c r="DU90" i="16"/>
  <c r="DW90" i="16"/>
  <c r="DY90" i="16"/>
  <c r="EA90" i="16"/>
  <c r="EC90" i="16"/>
  <c r="EE90" i="16"/>
  <c r="EG90" i="16"/>
  <c r="EI90" i="16"/>
  <c r="EK90" i="16"/>
  <c r="EM90" i="16"/>
  <c r="EO90" i="16"/>
  <c r="EQ90" i="16"/>
  <c r="ES90" i="16"/>
  <c r="EU90" i="16"/>
  <c r="EW90" i="16"/>
  <c r="EY90" i="16"/>
  <c r="FA90" i="16"/>
  <c r="FC90" i="16"/>
  <c r="FE90" i="16"/>
  <c r="FG90" i="16"/>
  <c r="FI90" i="16"/>
  <c r="FK90" i="16"/>
  <c r="FM90" i="16"/>
  <c r="FO90" i="16"/>
  <c r="FQ90" i="16"/>
  <c r="FS90" i="16"/>
  <c r="FU90" i="16"/>
  <c r="FW90" i="16"/>
  <c r="FY90" i="16"/>
  <c r="GA90" i="16"/>
  <c r="GC90" i="16"/>
  <c r="CZ92" i="16"/>
  <c r="DB92" i="16"/>
  <c r="DD92" i="16"/>
  <c r="DF92" i="16"/>
  <c r="DH92" i="16"/>
  <c r="DJ92" i="16"/>
  <c r="DL92" i="16"/>
  <c r="DN92" i="16"/>
  <c r="DP92" i="16"/>
  <c r="DR92" i="16"/>
  <c r="DT92" i="16"/>
  <c r="DV92" i="16"/>
  <c r="DX92" i="16"/>
  <c r="DZ92" i="16"/>
  <c r="EB92" i="16"/>
  <c r="ED92" i="16"/>
  <c r="EF92" i="16"/>
  <c r="EH92" i="16"/>
  <c r="EJ92" i="16"/>
  <c r="EL92" i="16"/>
  <c r="EN92" i="16"/>
  <c r="EP92" i="16"/>
  <c r="ER92" i="16"/>
  <c r="ET92" i="16"/>
  <c r="EV92" i="16"/>
  <c r="EX92" i="16"/>
  <c r="EZ92" i="16"/>
  <c r="FB92" i="16"/>
  <c r="FD92" i="16"/>
  <c r="FF92" i="16"/>
  <c r="FH92" i="16"/>
  <c r="FJ92" i="16"/>
  <c r="FL92" i="16"/>
  <c r="FN92" i="16"/>
  <c r="FP92" i="16"/>
  <c r="FR92" i="16"/>
  <c r="FT92" i="16"/>
  <c r="FV92" i="16"/>
  <c r="FX92" i="16"/>
  <c r="FZ92" i="16"/>
  <c r="GB92" i="16"/>
  <c r="GD92" i="16"/>
  <c r="CY92" i="16"/>
  <c r="DA92" i="16"/>
  <c r="DC92" i="16"/>
  <c r="DE92" i="16"/>
  <c r="DG92" i="16"/>
  <c r="DI92" i="16"/>
  <c r="DK92" i="16"/>
  <c r="DM92" i="16"/>
  <c r="DO92" i="16"/>
  <c r="DQ92" i="16"/>
  <c r="DS92" i="16"/>
  <c r="DU92" i="16"/>
  <c r="DW92" i="16"/>
  <c r="DY92" i="16"/>
  <c r="EA92" i="16"/>
  <c r="EC92" i="16"/>
  <c r="EE92" i="16"/>
  <c r="EG92" i="16"/>
  <c r="EI92" i="16"/>
  <c r="EK92" i="16"/>
  <c r="EM92" i="16"/>
  <c r="EO92" i="16"/>
  <c r="EQ92" i="16"/>
  <c r="ES92" i="16"/>
  <c r="EU92" i="16"/>
  <c r="EW92" i="16"/>
  <c r="EY92" i="16"/>
  <c r="FA92" i="16"/>
  <c r="FC92" i="16"/>
  <c r="FE92" i="16"/>
  <c r="FG92" i="16"/>
  <c r="FI92" i="16"/>
  <c r="FK92" i="16"/>
  <c r="FM92" i="16"/>
  <c r="FO92" i="16"/>
  <c r="FQ92" i="16"/>
  <c r="FS92" i="16"/>
  <c r="FU92" i="16"/>
  <c r="FW92" i="16"/>
  <c r="FY92" i="16"/>
  <c r="GA92" i="16"/>
  <c r="GC92" i="16"/>
  <c r="CZ94" i="16"/>
  <c r="DB94" i="16"/>
  <c r="DD94" i="16"/>
  <c r="DF94" i="16"/>
  <c r="DH94" i="16"/>
  <c r="DJ94" i="16"/>
  <c r="DL94" i="16"/>
  <c r="DN94" i="16"/>
  <c r="DP94" i="16"/>
  <c r="DR94" i="16"/>
  <c r="DT94" i="16"/>
  <c r="DV94" i="16"/>
  <c r="DX94" i="16"/>
  <c r="DZ94" i="16"/>
  <c r="EB94" i="16"/>
  <c r="ED94" i="16"/>
  <c r="EF94" i="16"/>
  <c r="EH94" i="16"/>
  <c r="EJ94" i="16"/>
  <c r="EL94" i="16"/>
  <c r="EN94" i="16"/>
  <c r="EP94" i="16"/>
  <c r="ER94" i="16"/>
  <c r="ET94" i="16"/>
  <c r="EV94" i="16"/>
  <c r="EX94" i="16"/>
  <c r="EZ94" i="16"/>
  <c r="FB94" i="16"/>
  <c r="FD94" i="16"/>
  <c r="FF94" i="16"/>
  <c r="FH94" i="16"/>
  <c r="FJ94" i="16"/>
  <c r="FL94" i="16"/>
  <c r="FN94" i="16"/>
  <c r="FP94" i="16"/>
  <c r="FR94" i="16"/>
  <c r="FT94" i="16"/>
  <c r="FV94" i="16"/>
  <c r="FX94" i="16"/>
  <c r="FZ94" i="16"/>
  <c r="GB94" i="16"/>
  <c r="GD94" i="16"/>
  <c r="CY94" i="16"/>
  <c r="DA94" i="16"/>
  <c r="DC94" i="16"/>
  <c r="DE94" i="16"/>
  <c r="DG94" i="16"/>
  <c r="DI94" i="16"/>
  <c r="DK94" i="16"/>
  <c r="DM94" i="16"/>
  <c r="DO94" i="16"/>
  <c r="DQ94" i="16"/>
  <c r="DS94" i="16"/>
  <c r="DU94" i="16"/>
  <c r="DW94" i="16"/>
  <c r="DY94" i="16"/>
  <c r="EA94" i="16"/>
  <c r="EC94" i="16"/>
  <c r="EE94" i="16"/>
  <c r="EG94" i="16"/>
  <c r="EI94" i="16"/>
  <c r="EK94" i="16"/>
  <c r="EM94" i="16"/>
  <c r="EO94" i="16"/>
  <c r="EQ94" i="16"/>
  <c r="ES94" i="16"/>
  <c r="EU94" i="16"/>
  <c r="EW94" i="16"/>
  <c r="EY94" i="16"/>
  <c r="FA94" i="16"/>
  <c r="FC94" i="16"/>
  <c r="FE94" i="16"/>
  <c r="FG94" i="16"/>
  <c r="FI94" i="16"/>
  <c r="FK94" i="16"/>
  <c r="FM94" i="16"/>
  <c r="FO94" i="16"/>
  <c r="FQ94" i="16"/>
  <c r="FS94" i="16"/>
  <c r="FU94" i="16"/>
  <c r="FW94" i="16"/>
  <c r="FY94" i="16"/>
  <c r="GA94" i="16"/>
  <c r="GC94" i="16"/>
  <c r="CZ96" i="16"/>
  <c r="DB96" i="16"/>
  <c r="DD96" i="16"/>
  <c r="DF96" i="16"/>
  <c r="DH96" i="16"/>
  <c r="DJ96" i="16"/>
  <c r="DL96" i="16"/>
  <c r="DN96" i="16"/>
  <c r="DP96" i="16"/>
  <c r="DR96" i="16"/>
  <c r="DT96" i="16"/>
  <c r="DV96" i="16"/>
  <c r="DX96" i="16"/>
  <c r="DZ96" i="16"/>
  <c r="EB96" i="16"/>
  <c r="ED96" i="16"/>
  <c r="EF96" i="16"/>
  <c r="EH96" i="16"/>
  <c r="EJ96" i="16"/>
  <c r="EL96" i="16"/>
  <c r="EN96" i="16"/>
  <c r="EP96" i="16"/>
  <c r="ER96" i="16"/>
  <c r="ET96" i="16"/>
  <c r="EV96" i="16"/>
  <c r="EX96" i="16"/>
  <c r="EZ96" i="16"/>
  <c r="FB96" i="16"/>
  <c r="FD96" i="16"/>
  <c r="FF96" i="16"/>
  <c r="FH96" i="16"/>
  <c r="FJ96" i="16"/>
  <c r="FL96" i="16"/>
  <c r="FN96" i="16"/>
  <c r="FP96" i="16"/>
  <c r="FR96" i="16"/>
  <c r="FT96" i="16"/>
  <c r="FV96" i="16"/>
  <c r="FX96" i="16"/>
  <c r="FZ96" i="16"/>
  <c r="GB96" i="16"/>
  <c r="GD96" i="16"/>
  <c r="CY96" i="16"/>
  <c r="DA96" i="16"/>
  <c r="DC96" i="16"/>
  <c r="DE96" i="16"/>
  <c r="DG96" i="16"/>
  <c r="DI96" i="16"/>
  <c r="DK96" i="16"/>
  <c r="DM96" i="16"/>
  <c r="DO96" i="16"/>
  <c r="DQ96" i="16"/>
  <c r="DS96" i="16"/>
  <c r="DU96" i="16"/>
  <c r="DW96" i="16"/>
  <c r="DY96" i="16"/>
  <c r="EA96" i="16"/>
  <c r="EC96" i="16"/>
  <c r="EE96" i="16"/>
  <c r="EG96" i="16"/>
  <c r="EI96" i="16"/>
  <c r="EK96" i="16"/>
  <c r="EM96" i="16"/>
  <c r="EO96" i="16"/>
  <c r="EQ96" i="16"/>
  <c r="ES96" i="16"/>
  <c r="EU96" i="16"/>
  <c r="EW96" i="16"/>
  <c r="EY96" i="16"/>
  <c r="FA96" i="16"/>
  <c r="FC96" i="16"/>
  <c r="FE96" i="16"/>
  <c r="FG96" i="16"/>
  <c r="FI96" i="16"/>
  <c r="FK96" i="16"/>
  <c r="FM96" i="16"/>
  <c r="FO96" i="16"/>
  <c r="FQ96" i="16"/>
  <c r="FS96" i="16"/>
  <c r="FU96" i="16"/>
  <c r="FW96" i="16"/>
  <c r="FY96" i="16"/>
  <c r="GA96" i="16"/>
  <c r="GC96" i="16"/>
  <c r="CZ98" i="16"/>
  <c r="DB98" i="16"/>
  <c r="DD98" i="16"/>
  <c r="DF98" i="16"/>
  <c r="CY98" i="16"/>
  <c r="DA98" i="16"/>
  <c r="DC98" i="16"/>
  <c r="DE98" i="16"/>
  <c r="DH98" i="16"/>
  <c r="DJ98" i="16"/>
  <c r="DL98" i="16"/>
  <c r="DN98" i="16"/>
  <c r="DP98" i="16"/>
  <c r="DR98" i="16"/>
  <c r="DT98" i="16"/>
  <c r="DV98" i="16"/>
  <c r="DX98" i="16"/>
  <c r="DZ98" i="16"/>
  <c r="EB98" i="16"/>
  <c r="ED98" i="16"/>
  <c r="EF98" i="16"/>
  <c r="EH98" i="16"/>
  <c r="EJ98" i="16"/>
  <c r="EL98" i="16"/>
  <c r="EN98" i="16"/>
  <c r="EP98" i="16"/>
  <c r="ER98" i="16"/>
  <c r="ET98" i="16"/>
  <c r="EV98" i="16"/>
  <c r="EX98" i="16"/>
  <c r="EZ98" i="16"/>
  <c r="FB98" i="16"/>
  <c r="FD98" i="16"/>
  <c r="FF98" i="16"/>
  <c r="FH98" i="16"/>
  <c r="FJ98" i="16"/>
  <c r="FL98" i="16"/>
  <c r="FN98" i="16"/>
  <c r="FP98" i="16"/>
  <c r="FR98" i="16"/>
  <c r="FT98" i="16"/>
  <c r="FV98" i="16"/>
  <c r="FX98" i="16"/>
  <c r="FZ98" i="16"/>
  <c r="GB98" i="16"/>
  <c r="GD98" i="16"/>
  <c r="DG98" i="16"/>
  <c r="DI98" i="16"/>
  <c r="DK98" i="16"/>
  <c r="DM98" i="16"/>
  <c r="DO98" i="16"/>
  <c r="DQ98" i="16"/>
  <c r="DS98" i="16"/>
  <c r="DU98" i="16"/>
  <c r="DW98" i="16"/>
  <c r="DY98" i="16"/>
  <c r="EA98" i="16"/>
  <c r="EC98" i="16"/>
  <c r="EE98" i="16"/>
  <c r="EG98" i="16"/>
  <c r="EI98" i="16"/>
  <c r="EK98" i="16"/>
  <c r="EM98" i="16"/>
  <c r="EO98" i="16"/>
  <c r="EQ98" i="16"/>
  <c r="ES98" i="16"/>
  <c r="EU98" i="16"/>
  <c r="EW98" i="16"/>
  <c r="EY98" i="16"/>
  <c r="FA98" i="16"/>
  <c r="FC98" i="16"/>
  <c r="FE98" i="16"/>
  <c r="FG98" i="16"/>
  <c r="FI98" i="16"/>
  <c r="FK98" i="16"/>
  <c r="FM98" i="16"/>
  <c r="FO98" i="16"/>
  <c r="FQ98" i="16"/>
  <c r="FS98" i="16"/>
  <c r="FU98" i="16"/>
  <c r="FW98" i="16"/>
  <c r="FY98" i="16"/>
  <c r="GA98" i="16"/>
  <c r="GC98" i="16"/>
  <c r="CZ100" i="16"/>
  <c r="DB100" i="16"/>
  <c r="DD100" i="16"/>
  <c r="DF100" i="16"/>
  <c r="DH100" i="16"/>
  <c r="DJ100" i="16"/>
  <c r="DL100" i="16"/>
  <c r="DN100" i="16"/>
  <c r="DP100" i="16"/>
  <c r="DR100" i="16"/>
  <c r="DT100" i="16"/>
  <c r="DV100" i="16"/>
  <c r="DX100" i="16"/>
  <c r="DZ100" i="16"/>
  <c r="EB100" i="16"/>
  <c r="ED100" i="16"/>
  <c r="EF100" i="16"/>
  <c r="EH100" i="16"/>
  <c r="EJ100" i="16"/>
  <c r="EL100" i="16"/>
  <c r="EN100" i="16"/>
  <c r="EP100" i="16"/>
  <c r="ER100" i="16"/>
  <c r="ET100" i="16"/>
  <c r="EV100" i="16"/>
  <c r="EX100" i="16"/>
  <c r="EZ100" i="16"/>
  <c r="FB100" i="16"/>
  <c r="FD100" i="16"/>
  <c r="FF100" i="16"/>
  <c r="FH100" i="16"/>
  <c r="FJ100" i="16"/>
  <c r="FL100" i="16"/>
  <c r="FN100" i="16"/>
  <c r="FP100" i="16"/>
  <c r="FR100" i="16"/>
  <c r="FT100" i="16"/>
  <c r="FV100" i="16"/>
  <c r="FX100" i="16"/>
  <c r="FZ100" i="16"/>
  <c r="GB100" i="16"/>
  <c r="GD100" i="16"/>
  <c r="CY100" i="16"/>
  <c r="DA100" i="16"/>
  <c r="DC100" i="16"/>
  <c r="DE100" i="16"/>
  <c r="DG100" i="16"/>
  <c r="DI100" i="16"/>
  <c r="DK100" i="16"/>
  <c r="DM100" i="16"/>
  <c r="DO100" i="16"/>
  <c r="DQ100" i="16"/>
  <c r="DS100" i="16"/>
  <c r="DU100" i="16"/>
  <c r="DW100" i="16"/>
  <c r="DY100" i="16"/>
  <c r="EA100" i="16"/>
  <c r="EC100" i="16"/>
  <c r="EE100" i="16"/>
  <c r="EG100" i="16"/>
  <c r="EI100" i="16"/>
  <c r="EK100" i="16"/>
  <c r="EM100" i="16"/>
  <c r="EO100" i="16"/>
  <c r="EQ100" i="16"/>
  <c r="ES100" i="16"/>
  <c r="EU100" i="16"/>
  <c r="EW100" i="16"/>
  <c r="EY100" i="16"/>
  <c r="FA100" i="16"/>
  <c r="FC100" i="16"/>
  <c r="FE100" i="16"/>
  <c r="FG100" i="16"/>
  <c r="FI100" i="16"/>
  <c r="FK100" i="16"/>
  <c r="FM100" i="16"/>
  <c r="FO100" i="16"/>
  <c r="FQ100" i="16"/>
  <c r="FS100" i="16"/>
  <c r="FU100" i="16"/>
  <c r="FW100" i="16"/>
  <c r="FY100" i="16"/>
  <c r="GA100" i="16"/>
  <c r="GC100" i="16"/>
  <c r="CZ102" i="16"/>
  <c r="DB102" i="16"/>
  <c r="DD102" i="16"/>
  <c r="DF102" i="16"/>
  <c r="DH102" i="16"/>
  <c r="DJ102" i="16"/>
  <c r="DL102" i="16"/>
  <c r="DN102" i="16"/>
  <c r="DP102" i="16"/>
  <c r="DR102" i="16"/>
  <c r="DT102" i="16"/>
  <c r="DV102" i="16"/>
  <c r="DX102" i="16"/>
  <c r="DZ102" i="16"/>
  <c r="EB102" i="16"/>
  <c r="ED102" i="16"/>
  <c r="EF102" i="16"/>
  <c r="EH102" i="16"/>
  <c r="EJ102" i="16"/>
  <c r="EL102" i="16"/>
  <c r="EN102" i="16"/>
  <c r="EP102" i="16"/>
  <c r="ER102" i="16"/>
  <c r="ET102" i="16"/>
  <c r="EV102" i="16"/>
  <c r="EX102" i="16"/>
  <c r="EZ102" i="16"/>
  <c r="FB102" i="16"/>
  <c r="FD102" i="16"/>
  <c r="FF102" i="16"/>
  <c r="FH102" i="16"/>
  <c r="FJ102" i="16"/>
  <c r="FL102" i="16"/>
  <c r="FN102" i="16"/>
  <c r="FP102" i="16"/>
  <c r="FR102" i="16"/>
  <c r="FT102" i="16"/>
  <c r="FV102" i="16"/>
  <c r="FX102" i="16"/>
  <c r="FZ102" i="16"/>
  <c r="GB102" i="16"/>
  <c r="GD102" i="16"/>
  <c r="CY102" i="16"/>
  <c r="DA102" i="16"/>
  <c r="DC102" i="16"/>
  <c r="DE102" i="16"/>
  <c r="DG102" i="16"/>
  <c r="DI102" i="16"/>
  <c r="DK102" i="16"/>
  <c r="DM102" i="16"/>
  <c r="DO102" i="16"/>
  <c r="DQ102" i="16"/>
  <c r="DS102" i="16"/>
  <c r="DU102" i="16"/>
  <c r="DW102" i="16"/>
  <c r="DY102" i="16"/>
  <c r="EA102" i="16"/>
  <c r="EC102" i="16"/>
  <c r="EE102" i="16"/>
  <c r="EG102" i="16"/>
  <c r="EI102" i="16"/>
  <c r="EK102" i="16"/>
  <c r="EM102" i="16"/>
  <c r="EO102" i="16"/>
  <c r="EQ102" i="16"/>
  <c r="ES102" i="16"/>
  <c r="EU102" i="16"/>
  <c r="EW102" i="16"/>
  <c r="EY102" i="16"/>
  <c r="FA102" i="16"/>
  <c r="FC102" i="16"/>
  <c r="FE102" i="16"/>
  <c r="FG102" i="16"/>
  <c r="FI102" i="16"/>
  <c r="FK102" i="16"/>
  <c r="FM102" i="16"/>
  <c r="FO102" i="16"/>
  <c r="FQ102" i="16"/>
  <c r="FS102" i="16"/>
  <c r="FU102" i="16"/>
  <c r="FW102" i="16"/>
  <c r="FY102" i="16"/>
  <c r="GA102" i="16"/>
  <c r="GC102" i="16"/>
  <c r="CZ104" i="16"/>
  <c r="DB104" i="16"/>
  <c r="DD104" i="16"/>
  <c r="DF104" i="16"/>
  <c r="DH104" i="16"/>
  <c r="DJ104" i="16"/>
  <c r="DL104" i="16"/>
  <c r="DN104" i="16"/>
  <c r="DP104" i="16"/>
  <c r="DR104" i="16"/>
  <c r="DT104" i="16"/>
  <c r="DV104" i="16"/>
  <c r="DX104" i="16"/>
  <c r="DZ104" i="16"/>
  <c r="EB104" i="16"/>
  <c r="ED104" i="16"/>
  <c r="EF104" i="16"/>
  <c r="EH104" i="16"/>
  <c r="EJ104" i="16"/>
  <c r="EL104" i="16"/>
  <c r="EN104" i="16"/>
  <c r="EP104" i="16"/>
  <c r="ER104" i="16"/>
  <c r="ET104" i="16"/>
  <c r="EV104" i="16"/>
  <c r="EX104" i="16"/>
  <c r="EZ104" i="16"/>
  <c r="FB104" i="16"/>
  <c r="FD104" i="16"/>
  <c r="FF104" i="16"/>
  <c r="FH104" i="16"/>
  <c r="FJ104" i="16"/>
  <c r="FL104" i="16"/>
  <c r="FN104" i="16"/>
  <c r="FP104" i="16"/>
  <c r="FR104" i="16"/>
  <c r="FT104" i="16"/>
  <c r="FV104" i="16"/>
  <c r="FX104" i="16"/>
  <c r="FZ104" i="16"/>
  <c r="GB104" i="16"/>
  <c r="GD104" i="16"/>
  <c r="CY104" i="16"/>
  <c r="DA104" i="16"/>
  <c r="DC104" i="16"/>
  <c r="DE104" i="16"/>
  <c r="DG104" i="16"/>
  <c r="DI104" i="16"/>
  <c r="DK104" i="16"/>
  <c r="DM104" i="16"/>
  <c r="DO104" i="16"/>
  <c r="DQ104" i="16"/>
  <c r="DS104" i="16"/>
  <c r="DU104" i="16"/>
  <c r="DW104" i="16"/>
  <c r="DY104" i="16"/>
  <c r="EA104" i="16"/>
  <c r="EC104" i="16"/>
  <c r="EE104" i="16"/>
  <c r="EG104" i="16"/>
  <c r="EI104" i="16"/>
  <c r="EK104" i="16"/>
  <c r="EM104" i="16"/>
  <c r="EO104" i="16"/>
  <c r="EQ104" i="16"/>
  <c r="ES104" i="16"/>
  <c r="EU104" i="16"/>
  <c r="EW104" i="16"/>
  <c r="EY104" i="16"/>
  <c r="FA104" i="16"/>
  <c r="FC104" i="16"/>
  <c r="FE104" i="16"/>
  <c r="FG104" i="16"/>
  <c r="FI104" i="16"/>
  <c r="FK104" i="16"/>
  <c r="FM104" i="16"/>
  <c r="FO104" i="16"/>
  <c r="FQ104" i="16"/>
  <c r="FS104" i="16"/>
  <c r="FU104" i="16"/>
  <c r="FW104" i="16"/>
  <c r="FY104" i="16"/>
  <c r="GA104" i="16"/>
  <c r="GC104" i="16"/>
  <c r="CY105" i="16"/>
  <c r="DA105" i="16"/>
  <c r="DC105" i="16"/>
  <c r="DE105" i="16"/>
  <c r="DG105" i="16"/>
  <c r="DI105" i="16"/>
  <c r="DK105" i="16"/>
  <c r="DM105" i="16"/>
  <c r="DO105" i="16"/>
  <c r="DQ105" i="16"/>
  <c r="DS105" i="16"/>
  <c r="DU105" i="16"/>
  <c r="DW105" i="16"/>
  <c r="DY105" i="16"/>
  <c r="EA105" i="16"/>
  <c r="EC105" i="16"/>
  <c r="EE105" i="16"/>
  <c r="EG105" i="16"/>
  <c r="EI105" i="16"/>
  <c r="EK105" i="16"/>
  <c r="EM105" i="16"/>
  <c r="EO105" i="16"/>
  <c r="EQ105" i="16"/>
  <c r="ES105" i="16"/>
  <c r="EU105" i="16"/>
  <c r="EW105" i="16"/>
  <c r="EY105" i="16"/>
  <c r="FA105" i="16"/>
  <c r="FC105" i="16"/>
  <c r="FE105" i="16"/>
  <c r="FG105" i="16"/>
  <c r="FI105" i="16"/>
  <c r="FK105" i="16"/>
  <c r="FM105" i="16"/>
  <c r="FO105" i="16"/>
  <c r="FQ105" i="16"/>
  <c r="FS105" i="16"/>
  <c r="FU105" i="16"/>
  <c r="FW105" i="16"/>
  <c r="FY105" i="16"/>
  <c r="GA105" i="16"/>
  <c r="GC105" i="16"/>
  <c r="CZ105" i="16"/>
  <c r="DB105" i="16"/>
  <c r="DD105" i="16"/>
  <c r="DF105" i="16"/>
  <c r="DH105" i="16"/>
  <c r="DJ105" i="16"/>
  <c r="DL105" i="16"/>
  <c r="DN105" i="16"/>
  <c r="DP105" i="16"/>
  <c r="DR105" i="16"/>
  <c r="DT105" i="16"/>
  <c r="DV105" i="16"/>
  <c r="DX105" i="16"/>
  <c r="DZ105" i="16"/>
  <c r="EB105" i="16"/>
  <c r="ED105" i="16"/>
  <c r="EF105" i="16"/>
  <c r="EH105" i="16"/>
  <c r="EJ105" i="16"/>
  <c r="EL105" i="16"/>
  <c r="EN105" i="16"/>
  <c r="EP105" i="16"/>
  <c r="ER105" i="16"/>
  <c r="ET105" i="16"/>
  <c r="EV105" i="16"/>
  <c r="EX105" i="16"/>
  <c r="EZ105" i="16"/>
  <c r="FB105" i="16"/>
  <c r="FD105" i="16"/>
  <c r="FF105" i="16"/>
  <c r="FH105" i="16"/>
  <c r="FJ105" i="16"/>
  <c r="FL105" i="16"/>
  <c r="FN105" i="16"/>
  <c r="FP105" i="16"/>
  <c r="FR105" i="16"/>
  <c r="FT105" i="16"/>
  <c r="FV105" i="16"/>
  <c r="FX105" i="16"/>
  <c r="FZ105" i="16"/>
  <c r="GB105" i="16"/>
  <c r="GD105" i="16"/>
  <c r="CY107" i="16"/>
  <c r="DA107" i="16"/>
  <c r="DC107" i="16"/>
  <c r="DE107" i="16"/>
  <c r="DG107" i="16"/>
  <c r="DI107" i="16"/>
  <c r="DK107" i="16"/>
  <c r="DM107" i="16"/>
  <c r="DO107" i="16"/>
  <c r="DQ107" i="16"/>
  <c r="DS107" i="16"/>
  <c r="DU107" i="16"/>
  <c r="DW107" i="16"/>
  <c r="DY107" i="16"/>
  <c r="EA107" i="16"/>
  <c r="EC107" i="16"/>
  <c r="EE107" i="16"/>
  <c r="EG107" i="16"/>
  <c r="EI107" i="16"/>
  <c r="EK107" i="16"/>
  <c r="EM107" i="16"/>
  <c r="EO107" i="16"/>
  <c r="EQ107" i="16"/>
  <c r="ES107" i="16"/>
  <c r="EU107" i="16"/>
  <c r="EW107" i="16"/>
  <c r="EY107" i="16"/>
  <c r="FA107" i="16"/>
  <c r="FC107" i="16"/>
  <c r="FE107" i="16"/>
  <c r="FG107" i="16"/>
  <c r="FI107" i="16"/>
  <c r="FK107" i="16"/>
  <c r="FM107" i="16"/>
  <c r="FO107" i="16"/>
  <c r="FQ107" i="16"/>
  <c r="FS107" i="16"/>
  <c r="FU107" i="16"/>
  <c r="FW107" i="16"/>
  <c r="FY107" i="16"/>
  <c r="GA107" i="16"/>
  <c r="GC107" i="16"/>
  <c r="CZ107" i="16"/>
  <c r="DB107" i="16"/>
  <c r="DD107" i="16"/>
  <c r="DF107" i="16"/>
  <c r="DH107" i="16"/>
  <c r="DJ107" i="16"/>
  <c r="DL107" i="16"/>
  <c r="DN107" i="16"/>
  <c r="DP107" i="16"/>
  <c r="DR107" i="16"/>
  <c r="DT107" i="16"/>
  <c r="DV107" i="16"/>
  <c r="DX107" i="16"/>
  <c r="DZ107" i="16"/>
  <c r="EB107" i="16"/>
  <c r="ED107" i="16"/>
  <c r="EF107" i="16"/>
  <c r="EH107" i="16"/>
  <c r="EJ107" i="16"/>
  <c r="EL107" i="16"/>
  <c r="EN107" i="16"/>
  <c r="EP107" i="16"/>
  <c r="ER107" i="16"/>
  <c r="ET107" i="16"/>
  <c r="EV107" i="16"/>
  <c r="EX107" i="16"/>
  <c r="EZ107" i="16"/>
  <c r="FB107" i="16"/>
  <c r="FD107" i="16"/>
  <c r="FF107" i="16"/>
  <c r="FH107" i="16"/>
  <c r="FJ107" i="16"/>
  <c r="FL107" i="16"/>
  <c r="FN107" i="16"/>
  <c r="FP107" i="16"/>
  <c r="FR107" i="16"/>
  <c r="FT107" i="16"/>
  <c r="FV107" i="16"/>
  <c r="FX107" i="16"/>
  <c r="FZ107" i="16"/>
  <c r="GB107" i="16"/>
  <c r="GD107" i="16"/>
  <c r="CZ110" i="16"/>
  <c r="DB110" i="16"/>
  <c r="DD110" i="16"/>
  <c r="DF110" i="16"/>
  <c r="DH110" i="16"/>
  <c r="DJ110" i="16"/>
  <c r="DL110" i="16"/>
  <c r="DN110" i="16"/>
  <c r="DP110" i="16"/>
  <c r="DR110" i="16"/>
  <c r="DT110" i="16"/>
  <c r="DV110" i="16"/>
  <c r="DX110" i="16"/>
  <c r="DZ110" i="16"/>
  <c r="EB110" i="16"/>
  <c r="ED110" i="16"/>
  <c r="EF110" i="16"/>
  <c r="EH110" i="16"/>
  <c r="EJ110" i="16"/>
  <c r="EL110" i="16"/>
  <c r="EN110" i="16"/>
  <c r="EP110" i="16"/>
  <c r="ER110" i="16"/>
  <c r="ET110" i="16"/>
  <c r="EV110" i="16"/>
  <c r="EX110" i="16"/>
  <c r="EZ110" i="16"/>
  <c r="FB110" i="16"/>
  <c r="FD110" i="16"/>
  <c r="FF110" i="16"/>
  <c r="FH110" i="16"/>
  <c r="FJ110" i="16"/>
  <c r="FL110" i="16"/>
  <c r="FN110" i="16"/>
  <c r="FP110" i="16"/>
  <c r="FR110" i="16"/>
  <c r="FT110" i="16"/>
  <c r="FV110" i="16"/>
  <c r="FX110" i="16"/>
  <c r="FZ110" i="16"/>
  <c r="GB110" i="16"/>
  <c r="GD110" i="16"/>
  <c r="CY110" i="16"/>
  <c r="DA110" i="16"/>
  <c r="DC110" i="16"/>
  <c r="DE110" i="16"/>
  <c r="DG110" i="16"/>
  <c r="DI110" i="16"/>
  <c r="DK110" i="16"/>
  <c r="DM110" i="16"/>
  <c r="DO110" i="16"/>
  <c r="DQ110" i="16"/>
  <c r="DS110" i="16"/>
  <c r="DU110" i="16"/>
  <c r="DW110" i="16"/>
  <c r="DY110" i="16"/>
  <c r="EA110" i="16"/>
  <c r="EC110" i="16"/>
  <c r="EE110" i="16"/>
  <c r="EG110" i="16"/>
  <c r="EI110" i="16"/>
  <c r="EK110" i="16"/>
  <c r="EM110" i="16"/>
  <c r="EO110" i="16"/>
  <c r="EQ110" i="16"/>
  <c r="ES110" i="16"/>
  <c r="EU110" i="16"/>
  <c r="EW110" i="16"/>
  <c r="EY110" i="16"/>
  <c r="FA110" i="16"/>
  <c r="FC110" i="16"/>
  <c r="FE110" i="16"/>
  <c r="FG110" i="16"/>
  <c r="FI110" i="16"/>
  <c r="FK110" i="16"/>
  <c r="FM110" i="16"/>
  <c r="FO110" i="16"/>
  <c r="FQ110" i="16"/>
  <c r="FS110" i="16"/>
  <c r="FU110" i="16"/>
  <c r="FW110" i="16"/>
  <c r="FY110" i="16"/>
  <c r="GA110" i="16"/>
  <c r="GC110" i="16"/>
  <c r="CZ112" i="16"/>
  <c r="DB112" i="16"/>
  <c r="DD112" i="16"/>
  <c r="DF112" i="16"/>
  <c r="DH112" i="16"/>
  <c r="DJ112" i="16"/>
  <c r="DL112" i="16"/>
  <c r="DN112" i="16"/>
  <c r="DP112" i="16"/>
  <c r="DR112" i="16"/>
  <c r="DT112" i="16"/>
  <c r="DV112" i="16"/>
  <c r="DX112" i="16"/>
  <c r="DZ112" i="16"/>
  <c r="EB112" i="16"/>
  <c r="ED112" i="16"/>
  <c r="EF112" i="16"/>
  <c r="EH112" i="16"/>
  <c r="EJ112" i="16"/>
  <c r="EL112" i="16"/>
  <c r="EN112" i="16"/>
  <c r="EP112" i="16"/>
  <c r="ER112" i="16"/>
  <c r="ET112" i="16"/>
  <c r="EV112" i="16"/>
  <c r="EX112" i="16"/>
  <c r="EZ112" i="16"/>
  <c r="FB112" i="16"/>
  <c r="FD112" i="16"/>
  <c r="FF112" i="16"/>
  <c r="FH112" i="16"/>
  <c r="FJ112" i="16"/>
  <c r="FL112" i="16"/>
  <c r="FN112" i="16"/>
  <c r="FP112" i="16"/>
  <c r="FR112" i="16"/>
  <c r="FT112" i="16"/>
  <c r="FV112" i="16"/>
  <c r="FX112" i="16"/>
  <c r="FZ112" i="16"/>
  <c r="GB112" i="16"/>
  <c r="GD112" i="16"/>
  <c r="CY112" i="16"/>
  <c r="DA112" i="16"/>
  <c r="DC112" i="16"/>
  <c r="DE112" i="16"/>
  <c r="DG112" i="16"/>
  <c r="DI112" i="16"/>
  <c r="DK112" i="16"/>
  <c r="DM112" i="16"/>
  <c r="DO112" i="16"/>
  <c r="DQ112" i="16"/>
  <c r="DS112" i="16"/>
  <c r="DU112" i="16"/>
  <c r="DW112" i="16"/>
  <c r="DY112" i="16"/>
  <c r="EA112" i="16"/>
  <c r="EC112" i="16"/>
  <c r="EE112" i="16"/>
  <c r="EG112" i="16"/>
  <c r="EI112" i="16"/>
  <c r="EK112" i="16"/>
  <c r="EM112" i="16"/>
  <c r="EO112" i="16"/>
  <c r="EQ112" i="16"/>
  <c r="ES112" i="16"/>
  <c r="EU112" i="16"/>
  <c r="EW112" i="16"/>
  <c r="EY112" i="16"/>
  <c r="FA112" i="16"/>
  <c r="FC112" i="16"/>
  <c r="FE112" i="16"/>
  <c r="FG112" i="16"/>
  <c r="FI112" i="16"/>
  <c r="FK112" i="16"/>
  <c r="FM112" i="16"/>
  <c r="FO112" i="16"/>
  <c r="FQ112" i="16"/>
  <c r="FS112" i="16"/>
  <c r="FU112" i="16"/>
  <c r="FW112" i="16"/>
  <c r="FY112" i="16"/>
  <c r="GA112" i="16"/>
  <c r="GC112" i="16"/>
  <c r="CZ114" i="16"/>
  <c r="DB114" i="16"/>
  <c r="DD114" i="16"/>
  <c r="DF114" i="16"/>
  <c r="DH114" i="16"/>
  <c r="DJ114" i="16"/>
  <c r="DL114" i="16"/>
  <c r="DN114" i="16"/>
  <c r="DP114" i="16"/>
  <c r="DR114" i="16"/>
  <c r="DT114" i="16"/>
  <c r="DV114" i="16"/>
  <c r="DX114" i="16"/>
  <c r="DZ114" i="16"/>
  <c r="EB114" i="16"/>
  <c r="ED114" i="16"/>
  <c r="EF114" i="16"/>
  <c r="EH114" i="16"/>
  <c r="EJ114" i="16"/>
  <c r="EL114" i="16"/>
  <c r="EN114" i="16"/>
  <c r="EP114" i="16"/>
  <c r="ER114" i="16"/>
  <c r="ET114" i="16"/>
  <c r="EV114" i="16"/>
  <c r="EX114" i="16"/>
  <c r="EZ114" i="16"/>
  <c r="FB114" i="16"/>
  <c r="FD114" i="16"/>
  <c r="FF114" i="16"/>
  <c r="FH114" i="16"/>
  <c r="FJ114" i="16"/>
  <c r="FL114" i="16"/>
  <c r="FN114" i="16"/>
  <c r="FP114" i="16"/>
  <c r="FR114" i="16"/>
  <c r="FT114" i="16"/>
  <c r="FV114" i="16"/>
  <c r="FX114" i="16"/>
  <c r="FZ114" i="16"/>
  <c r="GB114" i="16"/>
  <c r="GD114" i="16"/>
  <c r="CY114" i="16"/>
  <c r="DA114" i="16"/>
  <c r="DC114" i="16"/>
  <c r="DE114" i="16"/>
  <c r="DG114" i="16"/>
  <c r="DI114" i="16"/>
  <c r="DK114" i="16"/>
  <c r="DM114" i="16"/>
  <c r="DO114" i="16"/>
  <c r="DQ114" i="16"/>
  <c r="DS114" i="16"/>
  <c r="DU114" i="16"/>
  <c r="DW114" i="16"/>
  <c r="DY114" i="16"/>
  <c r="EA114" i="16"/>
  <c r="EC114" i="16"/>
  <c r="EE114" i="16"/>
  <c r="EG114" i="16"/>
  <c r="EI114" i="16"/>
  <c r="EK114" i="16"/>
  <c r="EM114" i="16"/>
  <c r="EO114" i="16"/>
  <c r="EQ114" i="16"/>
  <c r="ES114" i="16"/>
  <c r="EU114" i="16"/>
  <c r="EW114" i="16"/>
  <c r="EY114" i="16"/>
  <c r="FA114" i="16"/>
  <c r="FC114" i="16"/>
  <c r="FE114" i="16"/>
  <c r="FG114" i="16"/>
  <c r="FI114" i="16"/>
  <c r="FK114" i="16"/>
  <c r="FM114" i="16"/>
  <c r="FO114" i="16"/>
  <c r="FQ114" i="16"/>
  <c r="FS114" i="16"/>
  <c r="FU114" i="16"/>
  <c r="FW114" i="16"/>
  <c r="FY114" i="16"/>
  <c r="GA114" i="16"/>
  <c r="GC114" i="16"/>
  <c r="CZ116" i="16"/>
  <c r="DB116" i="16"/>
  <c r="DD116" i="16"/>
  <c r="DF116" i="16"/>
  <c r="DH116" i="16"/>
  <c r="DJ116" i="16"/>
  <c r="DL116" i="16"/>
  <c r="DN116" i="16"/>
  <c r="DP116" i="16"/>
  <c r="DR116" i="16"/>
  <c r="DT116" i="16"/>
  <c r="DV116" i="16"/>
  <c r="DX116" i="16"/>
  <c r="DZ116" i="16"/>
  <c r="EB116" i="16"/>
  <c r="ED116" i="16"/>
  <c r="EF116" i="16"/>
  <c r="EH116" i="16"/>
  <c r="EJ116" i="16"/>
  <c r="EL116" i="16"/>
  <c r="EN116" i="16"/>
  <c r="EP116" i="16"/>
  <c r="ER116" i="16"/>
  <c r="ET116" i="16"/>
  <c r="EV116" i="16"/>
  <c r="EX116" i="16"/>
  <c r="EZ116" i="16"/>
  <c r="FB116" i="16"/>
  <c r="FD116" i="16"/>
  <c r="FF116" i="16"/>
  <c r="FH116" i="16"/>
  <c r="FJ116" i="16"/>
  <c r="FL116" i="16"/>
  <c r="FN116" i="16"/>
  <c r="FP116" i="16"/>
  <c r="FR116" i="16"/>
  <c r="FT116" i="16"/>
  <c r="FV116" i="16"/>
  <c r="FX116" i="16"/>
  <c r="FZ116" i="16"/>
  <c r="GB116" i="16"/>
  <c r="GD116" i="16"/>
  <c r="CY116" i="16"/>
  <c r="DA116" i="16"/>
  <c r="DC116" i="16"/>
  <c r="DE116" i="16"/>
  <c r="DG116" i="16"/>
  <c r="DI116" i="16"/>
  <c r="DK116" i="16"/>
  <c r="DM116" i="16"/>
  <c r="DO116" i="16"/>
  <c r="DQ116" i="16"/>
  <c r="DS116" i="16"/>
  <c r="DU116" i="16"/>
  <c r="DW116" i="16"/>
  <c r="DY116" i="16"/>
  <c r="EA116" i="16"/>
  <c r="EC116" i="16"/>
  <c r="EE116" i="16"/>
  <c r="EG116" i="16"/>
  <c r="EI116" i="16"/>
  <c r="EK116" i="16"/>
  <c r="EM116" i="16"/>
  <c r="EO116" i="16"/>
  <c r="EQ116" i="16"/>
  <c r="ES116" i="16"/>
  <c r="EU116" i="16"/>
  <c r="EW116" i="16"/>
  <c r="EY116" i="16"/>
  <c r="FA116" i="16"/>
  <c r="FC116" i="16"/>
  <c r="FE116" i="16"/>
  <c r="FG116" i="16"/>
  <c r="FI116" i="16"/>
  <c r="FK116" i="16"/>
  <c r="FM116" i="16"/>
  <c r="FO116" i="16"/>
  <c r="FQ116" i="16"/>
  <c r="FS116" i="16"/>
  <c r="FU116" i="16"/>
  <c r="FW116" i="16"/>
  <c r="FY116" i="16"/>
  <c r="GA116" i="16"/>
  <c r="GC116" i="16"/>
  <c r="CZ118" i="16"/>
  <c r="DB118" i="16"/>
  <c r="DD118" i="16"/>
  <c r="DF118" i="16"/>
  <c r="DH118" i="16"/>
  <c r="DJ118" i="16"/>
  <c r="DL118" i="16"/>
  <c r="DN118" i="16"/>
  <c r="DP118" i="16"/>
  <c r="DR118" i="16"/>
  <c r="DT118" i="16"/>
  <c r="DV118" i="16"/>
  <c r="DX118" i="16"/>
  <c r="DZ118" i="16"/>
  <c r="EB118" i="16"/>
  <c r="ED118" i="16"/>
  <c r="EF118" i="16"/>
  <c r="EH118" i="16"/>
  <c r="EJ118" i="16"/>
  <c r="EL118" i="16"/>
  <c r="EN118" i="16"/>
  <c r="EP118" i="16"/>
  <c r="ER118" i="16"/>
  <c r="ET118" i="16"/>
  <c r="EV118" i="16"/>
  <c r="EX118" i="16"/>
  <c r="EZ118" i="16"/>
  <c r="FB118" i="16"/>
  <c r="FD118" i="16"/>
  <c r="FF118" i="16"/>
  <c r="FH118" i="16"/>
  <c r="FJ118" i="16"/>
  <c r="FL118" i="16"/>
  <c r="FN118" i="16"/>
  <c r="FP118" i="16"/>
  <c r="FR118" i="16"/>
  <c r="FT118" i="16"/>
  <c r="FV118" i="16"/>
  <c r="FX118" i="16"/>
  <c r="FZ118" i="16"/>
  <c r="GB118" i="16"/>
  <c r="GD118" i="16"/>
  <c r="CY118" i="16"/>
  <c r="DA118" i="16"/>
  <c r="DC118" i="16"/>
  <c r="DE118" i="16"/>
  <c r="DG118" i="16"/>
  <c r="DI118" i="16"/>
  <c r="DK118" i="16"/>
  <c r="DM118" i="16"/>
  <c r="DO118" i="16"/>
  <c r="DQ118" i="16"/>
  <c r="DS118" i="16"/>
  <c r="DU118" i="16"/>
  <c r="DW118" i="16"/>
  <c r="DY118" i="16"/>
  <c r="EA118" i="16"/>
  <c r="EC118" i="16"/>
  <c r="EE118" i="16"/>
  <c r="EG118" i="16"/>
  <c r="EI118" i="16"/>
  <c r="EK118" i="16"/>
  <c r="EM118" i="16"/>
  <c r="EO118" i="16"/>
  <c r="EQ118" i="16"/>
  <c r="ES118" i="16"/>
  <c r="EU118" i="16"/>
  <c r="EW118" i="16"/>
  <c r="EY118" i="16"/>
  <c r="FA118" i="16"/>
  <c r="FC118" i="16"/>
  <c r="FE118" i="16"/>
  <c r="FG118" i="16"/>
  <c r="FI118" i="16"/>
  <c r="FK118" i="16"/>
  <c r="FM118" i="16"/>
  <c r="FO118" i="16"/>
  <c r="FQ118" i="16"/>
  <c r="FS118" i="16"/>
  <c r="FU118" i="16"/>
  <c r="FW118" i="16"/>
  <c r="FY118" i="16"/>
  <c r="GA118" i="16"/>
  <c r="GC118" i="16"/>
  <c r="CZ120" i="16"/>
  <c r="DB120" i="16"/>
  <c r="DD120" i="16"/>
  <c r="DF120" i="16"/>
  <c r="DH120" i="16"/>
  <c r="DJ120" i="16"/>
  <c r="DL120" i="16"/>
  <c r="DN120" i="16"/>
  <c r="DP120" i="16"/>
  <c r="DR120" i="16"/>
  <c r="DT120" i="16"/>
  <c r="DV120" i="16"/>
  <c r="DX120" i="16"/>
  <c r="DZ120" i="16"/>
  <c r="EB120" i="16"/>
  <c r="ED120" i="16"/>
  <c r="EF120" i="16"/>
  <c r="EH120" i="16"/>
  <c r="EJ120" i="16"/>
  <c r="EL120" i="16"/>
  <c r="EN120" i="16"/>
  <c r="EP120" i="16"/>
  <c r="ER120" i="16"/>
  <c r="ET120" i="16"/>
  <c r="EV120" i="16"/>
  <c r="EX120" i="16"/>
  <c r="EZ120" i="16"/>
  <c r="FB120" i="16"/>
  <c r="FD120" i="16"/>
  <c r="FF120" i="16"/>
  <c r="FH120" i="16"/>
  <c r="FJ120" i="16"/>
  <c r="FL120" i="16"/>
  <c r="FN120" i="16"/>
  <c r="FP120" i="16"/>
  <c r="FR120" i="16"/>
  <c r="FT120" i="16"/>
  <c r="FV120" i="16"/>
  <c r="FX120" i="16"/>
  <c r="FZ120" i="16"/>
  <c r="GB120" i="16"/>
  <c r="GD120" i="16"/>
  <c r="CY120" i="16"/>
  <c r="DA120" i="16"/>
  <c r="DC120" i="16"/>
  <c r="DE120" i="16"/>
  <c r="DG120" i="16"/>
  <c r="DI120" i="16"/>
  <c r="DK120" i="16"/>
  <c r="DM120" i="16"/>
  <c r="DO120" i="16"/>
  <c r="DQ120" i="16"/>
  <c r="DS120" i="16"/>
  <c r="DU120" i="16"/>
  <c r="DW120" i="16"/>
  <c r="DY120" i="16"/>
  <c r="EA120" i="16"/>
  <c r="EC120" i="16"/>
  <c r="EE120" i="16"/>
  <c r="EG120" i="16"/>
  <c r="EI120" i="16"/>
  <c r="EK120" i="16"/>
  <c r="EM120" i="16"/>
  <c r="EO120" i="16"/>
  <c r="EQ120" i="16"/>
  <c r="ES120" i="16"/>
  <c r="EU120" i="16"/>
  <c r="EW120" i="16"/>
  <c r="EY120" i="16"/>
  <c r="FA120" i="16"/>
  <c r="FC120" i="16"/>
  <c r="FE120" i="16"/>
  <c r="FG120" i="16"/>
  <c r="FI120" i="16"/>
  <c r="FK120" i="16"/>
  <c r="FM120" i="16"/>
  <c r="FO120" i="16"/>
  <c r="FQ120" i="16"/>
  <c r="FS120" i="16"/>
  <c r="FU120" i="16"/>
  <c r="FW120" i="16"/>
  <c r="FY120" i="16"/>
  <c r="GA120" i="16"/>
  <c r="GC120" i="16"/>
  <c r="CY125" i="16"/>
  <c r="DA125" i="16"/>
  <c r="DC125" i="16"/>
  <c r="DE125" i="16"/>
  <c r="DG125" i="16"/>
  <c r="DI125" i="16"/>
  <c r="DK125" i="16"/>
  <c r="DM125" i="16"/>
  <c r="DO125" i="16"/>
  <c r="DQ125" i="16"/>
  <c r="DS125" i="16"/>
  <c r="DU125" i="16"/>
  <c r="DW125" i="16"/>
  <c r="DY125" i="16"/>
  <c r="EA125" i="16"/>
  <c r="EC125" i="16"/>
  <c r="EE125" i="16"/>
  <c r="EG125" i="16"/>
  <c r="EI125" i="16"/>
  <c r="EK125" i="16"/>
  <c r="EM125" i="16"/>
  <c r="EO125" i="16"/>
  <c r="EQ125" i="16"/>
  <c r="ES125" i="16"/>
  <c r="EU125" i="16"/>
  <c r="EW125" i="16"/>
  <c r="EY125" i="16"/>
  <c r="FA125" i="16"/>
  <c r="FC125" i="16"/>
  <c r="FE125" i="16"/>
  <c r="FG125" i="16"/>
  <c r="FI125" i="16"/>
  <c r="FK125" i="16"/>
  <c r="FM125" i="16"/>
  <c r="FO125" i="16"/>
  <c r="FQ125" i="16"/>
  <c r="FS125" i="16"/>
  <c r="FU125" i="16"/>
  <c r="FW125" i="16"/>
  <c r="FY125" i="16"/>
  <c r="GA125" i="16"/>
  <c r="GC125" i="16"/>
  <c r="CZ125" i="16"/>
  <c r="DB125" i="16"/>
  <c r="DD125" i="16"/>
  <c r="DF125" i="16"/>
  <c r="DH125" i="16"/>
  <c r="DJ125" i="16"/>
  <c r="DL125" i="16"/>
  <c r="DN125" i="16"/>
  <c r="DP125" i="16"/>
  <c r="DR125" i="16"/>
  <c r="DT125" i="16"/>
  <c r="DV125" i="16"/>
  <c r="DX125" i="16"/>
  <c r="DZ125" i="16"/>
  <c r="EB125" i="16"/>
  <c r="ED125" i="16"/>
  <c r="EF125" i="16"/>
  <c r="EH125" i="16"/>
  <c r="EJ125" i="16"/>
  <c r="EL125" i="16"/>
  <c r="EN125" i="16"/>
  <c r="EP125" i="16"/>
  <c r="ER125" i="16"/>
  <c r="ET125" i="16"/>
  <c r="EV125" i="16"/>
  <c r="EX125" i="16"/>
  <c r="EZ125" i="16"/>
  <c r="FB125" i="16"/>
  <c r="FD125" i="16"/>
  <c r="FF125" i="16"/>
  <c r="FH125" i="16"/>
  <c r="FJ125" i="16"/>
  <c r="FL125" i="16"/>
  <c r="FN125" i="16"/>
  <c r="FP125" i="16"/>
  <c r="FR125" i="16"/>
  <c r="FT125" i="16"/>
  <c r="FV125" i="16"/>
  <c r="FX125" i="16"/>
  <c r="FZ125" i="16"/>
  <c r="GB125" i="16"/>
  <c r="GD125" i="16"/>
  <c r="CY127" i="16"/>
  <c r="DA127" i="16"/>
  <c r="DC127" i="16"/>
  <c r="DE127" i="16"/>
  <c r="DG127" i="16"/>
  <c r="DI127" i="16"/>
  <c r="DK127" i="16"/>
  <c r="DM127" i="16"/>
  <c r="DO127" i="16"/>
  <c r="DQ127" i="16"/>
  <c r="DS127" i="16"/>
  <c r="DU127" i="16"/>
  <c r="DW127" i="16"/>
  <c r="DY127" i="16"/>
  <c r="EA127" i="16"/>
  <c r="EC127" i="16"/>
  <c r="EE127" i="16"/>
  <c r="EG127" i="16"/>
  <c r="EI127" i="16"/>
  <c r="EK127" i="16"/>
  <c r="EM127" i="16"/>
  <c r="EO127" i="16"/>
  <c r="EQ127" i="16"/>
  <c r="ES127" i="16"/>
  <c r="EU127" i="16"/>
  <c r="EW127" i="16"/>
  <c r="EY127" i="16"/>
  <c r="FA127" i="16"/>
  <c r="FC127" i="16"/>
  <c r="FE127" i="16"/>
  <c r="FG127" i="16"/>
  <c r="FI127" i="16"/>
  <c r="FK127" i="16"/>
  <c r="FM127" i="16"/>
  <c r="FO127" i="16"/>
  <c r="FQ127" i="16"/>
  <c r="FS127" i="16"/>
  <c r="FU127" i="16"/>
  <c r="FW127" i="16"/>
  <c r="FY127" i="16"/>
  <c r="GA127" i="16"/>
  <c r="GC127" i="16"/>
  <c r="CZ127" i="16"/>
  <c r="DB127" i="16"/>
  <c r="DD127" i="16"/>
  <c r="DF127" i="16"/>
  <c r="DH127" i="16"/>
  <c r="DJ127" i="16"/>
  <c r="DL127" i="16"/>
  <c r="DN127" i="16"/>
  <c r="DP127" i="16"/>
  <c r="DR127" i="16"/>
  <c r="DT127" i="16"/>
  <c r="DV127" i="16"/>
  <c r="DX127" i="16"/>
  <c r="DZ127" i="16"/>
  <c r="EB127" i="16"/>
  <c r="ED127" i="16"/>
  <c r="EF127" i="16"/>
  <c r="EH127" i="16"/>
  <c r="EJ127" i="16"/>
  <c r="EL127" i="16"/>
  <c r="EN127" i="16"/>
  <c r="EP127" i="16"/>
  <c r="ER127" i="16"/>
  <c r="ET127" i="16"/>
  <c r="EV127" i="16"/>
  <c r="EX127" i="16"/>
  <c r="EZ127" i="16"/>
  <c r="FB127" i="16"/>
  <c r="FD127" i="16"/>
  <c r="FF127" i="16"/>
  <c r="FH127" i="16"/>
  <c r="FJ127" i="16"/>
  <c r="FL127" i="16"/>
  <c r="FN127" i="16"/>
  <c r="FP127" i="16"/>
  <c r="FR127" i="16"/>
  <c r="FT127" i="16"/>
  <c r="FV127" i="16"/>
  <c r="FX127" i="16"/>
  <c r="FZ127" i="16"/>
  <c r="GB127" i="16"/>
  <c r="GD127" i="16"/>
  <c r="CY129" i="16"/>
  <c r="DA129" i="16"/>
  <c r="DC129" i="16"/>
  <c r="DE129" i="16"/>
  <c r="DG129" i="16"/>
  <c r="DI129" i="16"/>
  <c r="DK129" i="16"/>
  <c r="DM129" i="16"/>
  <c r="DO129" i="16"/>
  <c r="DQ129" i="16"/>
  <c r="DS129" i="16"/>
  <c r="DU129" i="16"/>
  <c r="DW129" i="16"/>
  <c r="DY129" i="16"/>
  <c r="EA129" i="16"/>
  <c r="EC129" i="16"/>
  <c r="EE129" i="16"/>
  <c r="EG129" i="16"/>
  <c r="EI129" i="16"/>
  <c r="EK129" i="16"/>
  <c r="EM129" i="16"/>
  <c r="EO129" i="16"/>
  <c r="EQ129" i="16"/>
  <c r="ES129" i="16"/>
  <c r="EU129" i="16"/>
  <c r="EW129" i="16"/>
  <c r="EY129" i="16"/>
  <c r="FA129" i="16"/>
  <c r="FC129" i="16"/>
  <c r="FE129" i="16"/>
  <c r="FG129" i="16"/>
  <c r="FI129" i="16"/>
  <c r="FK129" i="16"/>
  <c r="FM129" i="16"/>
  <c r="FO129" i="16"/>
  <c r="FQ129" i="16"/>
  <c r="FS129" i="16"/>
  <c r="FU129" i="16"/>
  <c r="FW129" i="16"/>
  <c r="FY129" i="16"/>
  <c r="GA129" i="16"/>
  <c r="GC129" i="16"/>
  <c r="CZ129" i="16"/>
  <c r="DB129" i="16"/>
  <c r="DD129" i="16"/>
  <c r="DF129" i="16"/>
  <c r="DH129" i="16"/>
  <c r="DJ129" i="16"/>
  <c r="DL129" i="16"/>
  <c r="DN129" i="16"/>
  <c r="DP129" i="16"/>
  <c r="DR129" i="16"/>
  <c r="DT129" i="16"/>
  <c r="DV129" i="16"/>
  <c r="DX129" i="16"/>
  <c r="DZ129" i="16"/>
  <c r="EB129" i="16"/>
  <c r="ED129" i="16"/>
  <c r="EF129" i="16"/>
  <c r="EH129" i="16"/>
  <c r="EJ129" i="16"/>
  <c r="EL129" i="16"/>
  <c r="EN129" i="16"/>
  <c r="EP129" i="16"/>
  <c r="ER129" i="16"/>
  <c r="ET129" i="16"/>
  <c r="EX129" i="16"/>
  <c r="FB129" i="16"/>
  <c r="FF129" i="16"/>
  <c r="FJ129" i="16"/>
  <c r="FN129" i="16"/>
  <c r="FR129" i="16"/>
  <c r="FV129" i="16"/>
  <c r="FZ129" i="16"/>
  <c r="GD129" i="16"/>
  <c r="EV129" i="16"/>
  <c r="EZ129" i="16"/>
  <c r="FD129" i="16"/>
  <c r="FH129" i="16"/>
  <c r="FL129" i="16"/>
  <c r="FP129" i="16"/>
  <c r="FT129" i="16"/>
  <c r="FX129" i="16"/>
  <c r="GB129" i="16"/>
  <c r="CZ130" i="16"/>
  <c r="DB130" i="16"/>
  <c r="DD130" i="16"/>
  <c r="DF130" i="16"/>
  <c r="DH130" i="16"/>
  <c r="DJ130" i="16"/>
  <c r="DL130" i="16"/>
  <c r="DN130" i="16"/>
  <c r="DP130" i="16"/>
  <c r="DR130" i="16"/>
  <c r="DT130" i="16"/>
  <c r="DV130" i="16"/>
  <c r="DX130" i="16"/>
  <c r="DZ130" i="16"/>
  <c r="EB130" i="16"/>
  <c r="ED130" i="16"/>
  <c r="EF130" i="16"/>
  <c r="EH130" i="16"/>
  <c r="EJ130" i="16"/>
  <c r="EL130" i="16"/>
  <c r="EN130" i="16"/>
  <c r="EP130" i="16"/>
  <c r="ER130" i="16"/>
  <c r="ET130" i="16"/>
  <c r="CY130" i="16"/>
  <c r="DC130" i="16"/>
  <c r="DG130" i="16"/>
  <c r="DK130" i="16"/>
  <c r="DO130" i="16"/>
  <c r="DS130" i="16"/>
  <c r="DW130" i="16"/>
  <c r="EA130" i="16"/>
  <c r="EE130" i="16"/>
  <c r="EI130" i="16"/>
  <c r="EM130" i="16"/>
  <c r="EQ130" i="16"/>
  <c r="EU130" i="16"/>
  <c r="EW130" i="16"/>
  <c r="EY130" i="16"/>
  <c r="FA130" i="16"/>
  <c r="FC130" i="16"/>
  <c r="FE130" i="16"/>
  <c r="FG130" i="16"/>
  <c r="FI130" i="16"/>
  <c r="FK130" i="16"/>
  <c r="FM130" i="16"/>
  <c r="FO130" i="16"/>
  <c r="FQ130" i="16"/>
  <c r="FS130" i="16"/>
  <c r="FU130" i="16"/>
  <c r="FW130" i="16"/>
  <c r="FY130" i="16"/>
  <c r="GA130" i="16"/>
  <c r="GC130" i="16"/>
  <c r="DA130" i="16"/>
  <c r="DE130" i="16"/>
  <c r="DI130" i="16"/>
  <c r="DM130" i="16"/>
  <c r="DQ130" i="16"/>
  <c r="DU130" i="16"/>
  <c r="DY130" i="16"/>
  <c r="EC130" i="16"/>
  <c r="EG130" i="16"/>
  <c r="EK130" i="16"/>
  <c r="EO130" i="16"/>
  <c r="ES130" i="16"/>
  <c r="EV130" i="16"/>
  <c r="EX130" i="16"/>
  <c r="EZ130" i="16"/>
  <c r="FB130" i="16"/>
  <c r="FD130" i="16"/>
  <c r="FF130" i="16"/>
  <c r="FH130" i="16"/>
  <c r="FJ130" i="16"/>
  <c r="FL130" i="16"/>
  <c r="FN130" i="16"/>
  <c r="FP130" i="16"/>
  <c r="FR130" i="16"/>
  <c r="FT130" i="16"/>
  <c r="FV130" i="16"/>
  <c r="FX130" i="16"/>
  <c r="FZ130" i="16"/>
  <c r="GB130" i="16"/>
  <c r="GD130" i="16"/>
  <c r="CZ133" i="16"/>
  <c r="DB133" i="16"/>
  <c r="DD133" i="16"/>
  <c r="DF133" i="16"/>
  <c r="DH133" i="16"/>
  <c r="DJ133" i="16"/>
  <c r="DL133" i="16"/>
  <c r="DN133" i="16"/>
  <c r="DP133" i="16"/>
  <c r="DR133" i="16"/>
  <c r="DT133" i="16"/>
  <c r="DV133" i="16"/>
  <c r="DX133" i="16"/>
  <c r="DZ133" i="16"/>
  <c r="EB133" i="16"/>
  <c r="ED133" i="16"/>
  <c r="EF133" i="16"/>
  <c r="EH133" i="16"/>
  <c r="EJ133" i="16"/>
  <c r="EL133" i="16"/>
  <c r="EN133" i="16"/>
  <c r="EP133" i="16"/>
  <c r="ER133" i="16"/>
  <c r="ET133" i="16"/>
  <c r="EV133" i="16"/>
  <c r="EX133" i="16"/>
  <c r="EZ133" i="16"/>
  <c r="FB133" i="16"/>
  <c r="FD133" i="16"/>
  <c r="FF133" i="16"/>
  <c r="FH133" i="16"/>
  <c r="FJ133" i="16"/>
  <c r="FL133" i="16"/>
  <c r="FN133" i="16"/>
  <c r="FP133" i="16"/>
  <c r="FR133" i="16"/>
  <c r="FT133" i="16"/>
  <c r="FV133" i="16"/>
  <c r="FX133" i="16"/>
  <c r="FZ133" i="16"/>
  <c r="GB133" i="16"/>
  <c r="GD133" i="16"/>
  <c r="CY133" i="16"/>
  <c r="DA133" i="16"/>
  <c r="DC133" i="16"/>
  <c r="DE133" i="16"/>
  <c r="DG133" i="16"/>
  <c r="DI133" i="16"/>
  <c r="DK133" i="16"/>
  <c r="DM133" i="16"/>
  <c r="DO133" i="16"/>
  <c r="DQ133" i="16"/>
  <c r="DS133" i="16"/>
  <c r="DU133" i="16"/>
  <c r="DW133" i="16"/>
  <c r="DY133" i="16"/>
  <c r="EA133" i="16"/>
  <c r="EC133" i="16"/>
  <c r="EE133" i="16"/>
  <c r="EG133" i="16"/>
  <c r="EI133" i="16"/>
  <c r="EK133" i="16"/>
  <c r="EM133" i="16"/>
  <c r="EO133" i="16"/>
  <c r="EQ133" i="16"/>
  <c r="ES133" i="16"/>
  <c r="EU133" i="16"/>
  <c r="EW133" i="16"/>
  <c r="EY133" i="16"/>
  <c r="FA133" i="16"/>
  <c r="FC133" i="16"/>
  <c r="FE133" i="16"/>
  <c r="FG133" i="16"/>
  <c r="FI133" i="16"/>
  <c r="FK133" i="16"/>
  <c r="FM133" i="16"/>
  <c r="FO133" i="16"/>
  <c r="FQ133" i="16"/>
  <c r="FS133" i="16"/>
  <c r="FU133" i="16"/>
  <c r="FW133" i="16"/>
  <c r="FY133" i="16"/>
  <c r="GA133" i="16"/>
  <c r="GC133" i="16"/>
  <c r="CZ135" i="16"/>
  <c r="DB135" i="16"/>
  <c r="DD135" i="16"/>
  <c r="DF135" i="16"/>
  <c r="DH135" i="16"/>
  <c r="DJ135" i="16"/>
  <c r="DL135" i="16"/>
  <c r="DN135" i="16"/>
  <c r="DP135" i="16"/>
  <c r="DR135" i="16"/>
  <c r="DT135" i="16"/>
  <c r="DV135" i="16"/>
  <c r="DX135" i="16"/>
  <c r="DZ135" i="16"/>
  <c r="EB135" i="16"/>
  <c r="ED135" i="16"/>
  <c r="EF135" i="16"/>
  <c r="EH135" i="16"/>
  <c r="EJ135" i="16"/>
  <c r="EL135" i="16"/>
  <c r="EN135" i="16"/>
  <c r="EP135" i="16"/>
  <c r="ER135" i="16"/>
  <c r="ET135" i="16"/>
  <c r="EV135" i="16"/>
  <c r="EX135" i="16"/>
  <c r="EZ135" i="16"/>
  <c r="FB135" i="16"/>
  <c r="FD135" i="16"/>
  <c r="FF135" i="16"/>
  <c r="FH135" i="16"/>
  <c r="FJ135" i="16"/>
  <c r="FL135" i="16"/>
  <c r="FN135" i="16"/>
  <c r="FP135" i="16"/>
  <c r="FR135" i="16"/>
  <c r="FT135" i="16"/>
  <c r="FV135" i="16"/>
  <c r="FX135" i="16"/>
  <c r="FZ135" i="16"/>
  <c r="GB135" i="16"/>
  <c r="GD135" i="16"/>
  <c r="CY135" i="16"/>
  <c r="DA135" i="16"/>
  <c r="DC135" i="16"/>
  <c r="DE135" i="16"/>
  <c r="DG135" i="16"/>
  <c r="DI135" i="16"/>
  <c r="DK135" i="16"/>
  <c r="DM135" i="16"/>
  <c r="DO135" i="16"/>
  <c r="DQ135" i="16"/>
  <c r="DS135" i="16"/>
  <c r="DU135" i="16"/>
  <c r="DW135" i="16"/>
  <c r="DY135" i="16"/>
  <c r="EA135" i="16"/>
  <c r="EC135" i="16"/>
  <c r="EE135" i="16"/>
  <c r="EG135" i="16"/>
  <c r="EI135" i="16"/>
  <c r="EK135" i="16"/>
  <c r="EM135" i="16"/>
  <c r="EO135" i="16"/>
  <c r="EQ135" i="16"/>
  <c r="ES135" i="16"/>
  <c r="EU135" i="16"/>
  <c r="EW135" i="16"/>
  <c r="EY135" i="16"/>
  <c r="FA135" i="16"/>
  <c r="FC135" i="16"/>
  <c r="FE135" i="16"/>
  <c r="FG135" i="16"/>
  <c r="FI135" i="16"/>
  <c r="FK135" i="16"/>
  <c r="FM135" i="16"/>
  <c r="FO135" i="16"/>
  <c r="FQ135" i="16"/>
  <c r="FS135" i="16"/>
  <c r="FU135" i="16"/>
  <c r="FW135" i="16"/>
  <c r="FY135" i="16"/>
  <c r="GA135" i="16"/>
  <c r="GC135" i="16"/>
  <c r="CZ137" i="16"/>
  <c r="DB137" i="16"/>
  <c r="DD137" i="16"/>
  <c r="DF137" i="16"/>
  <c r="DH137" i="16"/>
  <c r="DJ137" i="16"/>
  <c r="DL137" i="16"/>
  <c r="DN137" i="16"/>
  <c r="DP137" i="16"/>
  <c r="DR137" i="16"/>
  <c r="DT137" i="16"/>
  <c r="DV137" i="16"/>
  <c r="DX137" i="16"/>
  <c r="DZ137" i="16"/>
  <c r="EB137" i="16"/>
  <c r="ED137" i="16"/>
  <c r="EF137" i="16"/>
  <c r="EH137" i="16"/>
  <c r="EJ137" i="16"/>
  <c r="EL137" i="16"/>
  <c r="EN137" i="16"/>
  <c r="EP137" i="16"/>
  <c r="ER137" i="16"/>
  <c r="ET137" i="16"/>
  <c r="EV137" i="16"/>
  <c r="EX137" i="16"/>
  <c r="EZ137" i="16"/>
  <c r="FB137" i="16"/>
  <c r="FD137" i="16"/>
  <c r="FF137" i="16"/>
  <c r="FH137" i="16"/>
  <c r="FJ137" i="16"/>
  <c r="FL137" i="16"/>
  <c r="FN137" i="16"/>
  <c r="FP137" i="16"/>
  <c r="FR137" i="16"/>
  <c r="FT137" i="16"/>
  <c r="FV137" i="16"/>
  <c r="FX137" i="16"/>
  <c r="FZ137" i="16"/>
  <c r="GB137" i="16"/>
  <c r="GD137" i="16"/>
  <c r="CY137" i="16"/>
  <c r="DA137" i="16"/>
  <c r="DC137" i="16"/>
  <c r="DE137" i="16"/>
  <c r="DG137" i="16"/>
  <c r="DI137" i="16"/>
  <c r="DK137" i="16"/>
  <c r="DM137" i="16"/>
  <c r="DO137" i="16"/>
  <c r="DQ137" i="16"/>
  <c r="DS137" i="16"/>
  <c r="DU137" i="16"/>
  <c r="DW137" i="16"/>
  <c r="DY137" i="16"/>
  <c r="EA137" i="16"/>
  <c r="EC137" i="16"/>
  <c r="EE137" i="16"/>
  <c r="EG137" i="16"/>
  <c r="EI137" i="16"/>
  <c r="EK137" i="16"/>
  <c r="EM137" i="16"/>
  <c r="EO137" i="16"/>
  <c r="EQ137" i="16"/>
  <c r="ES137" i="16"/>
  <c r="EU137" i="16"/>
  <c r="EW137" i="16"/>
  <c r="EY137" i="16"/>
  <c r="FA137" i="16"/>
  <c r="FC137" i="16"/>
  <c r="FE137" i="16"/>
  <c r="FG137" i="16"/>
  <c r="FI137" i="16"/>
  <c r="FK137" i="16"/>
  <c r="FM137" i="16"/>
  <c r="FO137" i="16"/>
  <c r="FQ137" i="16"/>
  <c r="FS137" i="16"/>
  <c r="FU137" i="16"/>
  <c r="FW137" i="16"/>
  <c r="FY137" i="16"/>
  <c r="GA137" i="16"/>
  <c r="GC137" i="16"/>
  <c r="CZ139" i="16"/>
  <c r="DB139" i="16"/>
  <c r="DD139" i="16"/>
  <c r="DF139" i="16"/>
  <c r="DH139" i="16"/>
  <c r="DJ139" i="16"/>
  <c r="DL139" i="16"/>
  <c r="DN139" i="16"/>
  <c r="DP139" i="16"/>
  <c r="DR139" i="16"/>
  <c r="DT139" i="16"/>
  <c r="DV139" i="16"/>
  <c r="DX139" i="16"/>
  <c r="DZ139" i="16"/>
  <c r="EB139" i="16"/>
  <c r="ED139" i="16"/>
  <c r="EF139" i="16"/>
  <c r="EH139" i="16"/>
  <c r="EJ139" i="16"/>
  <c r="EL139" i="16"/>
  <c r="EN139" i="16"/>
  <c r="EP139" i="16"/>
  <c r="ER139" i="16"/>
  <c r="ET139" i="16"/>
  <c r="EV139" i="16"/>
  <c r="EX139" i="16"/>
  <c r="EZ139" i="16"/>
  <c r="FB139" i="16"/>
  <c r="FD139" i="16"/>
  <c r="FF139" i="16"/>
  <c r="FH139" i="16"/>
  <c r="FJ139" i="16"/>
  <c r="FL139" i="16"/>
  <c r="FN139" i="16"/>
  <c r="FP139" i="16"/>
  <c r="FR139" i="16"/>
  <c r="FT139" i="16"/>
  <c r="FV139" i="16"/>
  <c r="FX139" i="16"/>
  <c r="FZ139" i="16"/>
  <c r="GB139" i="16"/>
  <c r="GD139" i="16"/>
  <c r="CY139" i="16"/>
  <c r="DA139" i="16"/>
  <c r="DC139" i="16"/>
  <c r="DE139" i="16"/>
  <c r="DG139" i="16"/>
  <c r="DI139" i="16"/>
  <c r="DK139" i="16"/>
  <c r="DM139" i="16"/>
  <c r="DO139" i="16"/>
  <c r="DQ139" i="16"/>
  <c r="DS139" i="16"/>
  <c r="DU139" i="16"/>
  <c r="DW139" i="16"/>
  <c r="DY139" i="16"/>
  <c r="EA139" i="16"/>
  <c r="EC139" i="16"/>
  <c r="EE139" i="16"/>
  <c r="EG139" i="16"/>
  <c r="EI139" i="16"/>
  <c r="EK139" i="16"/>
  <c r="EM139" i="16"/>
  <c r="EO139" i="16"/>
  <c r="EQ139" i="16"/>
  <c r="ES139" i="16"/>
  <c r="EU139" i="16"/>
  <c r="EW139" i="16"/>
  <c r="EY139" i="16"/>
  <c r="FA139" i="16"/>
  <c r="FC139" i="16"/>
  <c r="FE139" i="16"/>
  <c r="FG139" i="16"/>
  <c r="FI139" i="16"/>
  <c r="FK139" i="16"/>
  <c r="FM139" i="16"/>
  <c r="FO139" i="16"/>
  <c r="FQ139" i="16"/>
  <c r="FS139" i="16"/>
  <c r="FU139" i="16"/>
  <c r="FW139" i="16"/>
  <c r="FY139" i="16"/>
  <c r="GA139" i="16"/>
  <c r="GC139" i="16"/>
  <c r="CY142" i="16"/>
  <c r="DA142" i="16"/>
  <c r="DC142" i="16"/>
  <c r="DE142" i="16"/>
  <c r="DG142" i="16"/>
  <c r="DI142" i="16"/>
  <c r="DK142" i="16"/>
  <c r="DM142" i="16"/>
  <c r="DO142" i="16"/>
  <c r="DQ142" i="16"/>
  <c r="DS142" i="16"/>
  <c r="DU142" i="16"/>
  <c r="DW142" i="16"/>
  <c r="DY142" i="16"/>
  <c r="EA142" i="16"/>
  <c r="EC142" i="16"/>
  <c r="EE142" i="16"/>
  <c r="EG142" i="16"/>
  <c r="EI142" i="16"/>
  <c r="EK142" i="16"/>
  <c r="EM142" i="16"/>
  <c r="EO142" i="16"/>
  <c r="EQ142" i="16"/>
  <c r="ES142" i="16"/>
  <c r="EU142" i="16"/>
  <c r="EW142" i="16"/>
  <c r="EY142" i="16"/>
  <c r="FA142" i="16"/>
  <c r="FC142" i="16"/>
  <c r="FE142" i="16"/>
  <c r="FG142" i="16"/>
  <c r="FI142" i="16"/>
  <c r="FK142" i="16"/>
  <c r="FM142" i="16"/>
  <c r="FO142" i="16"/>
  <c r="FQ142" i="16"/>
  <c r="FS142" i="16"/>
  <c r="FU142" i="16"/>
  <c r="FW142" i="16"/>
  <c r="FY142" i="16"/>
  <c r="GA142" i="16"/>
  <c r="GC142" i="16"/>
  <c r="CZ142" i="16"/>
  <c r="DB142" i="16"/>
  <c r="DD142" i="16"/>
  <c r="DF142" i="16"/>
  <c r="DH142" i="16"/>
  <c r="DJ142" i="16"/>
  <c r="DL142" i="16"/>
  <c r="DN142" i="16"/>
  <c r="DP142" i="16"/>
  <c r="DR142" i="16"/>
  <c r="DT142" i="16"/>
  <c r="DV142" i="16"/>
  <c r="DX142" i="16"/>
  <c r="DZ142" i="16"/>
  <c r="EB142" i="16"/>
  <c r="ED142" i="16"/>
  <c r="EF142" i="16"/>
  <c r="EH142" i="16"/>
  <c r="EJ142" i="16"/>
  <c r="EL142" i="16"/>
  <c r="EN142" i="16"/>
  <c r="EP142" i="16"/>
  <c r="ER142" i="16"/>
  <c r="ET142" i="16"/>
  <c r="EV142" i="16"/>
  <c r="EX142" i="16"/>
  <c r="EZ142" i="16"/>
  <c r="FB142" i="16"/>
  <c r="FD142" i="16"/>
  <c r="FF142" i="16"/>
  <c r="FH142" i="16"/>
  <c r="FJ142" i="16"/>
  <c r="FL142" i="16"/>
  <c r="FN142" i="16"/>
  <c r="FP142" i="16"/>
  <c r="FR142" i="16"/>
  <c r="FT142" i="16"/>
  <c r="FV142" i="16"/>
  <c r="FX142" i="16"/>
  <c r="FZ142" i="16"/>
  <c r="GB142" i="16"/>
  <c r="GD142" i="16"/>
  <c r="CZ143" i="16"/>
  <c r="DB143" i="16"/>
  <c r="DD143" i="16"/>
  <c r="DF143" i="16"/>
  <c r="DH143" i="16"/>
  <c r="DJ143" i="16"/>
  <c r="DL143" i="16"/>
  <c r="DN143" i="16"/>
  <c r="DP143" i="16"/>
  <c r="DR143" i="16"/>
  <c r="DT143" i="16"/>
  <c r="DV143" i="16"/>
  <c r="DX143" i="16"/>
  <c r="DZ143" i="16"/>
  <c r="EB143" i="16"/>
  <c r="ED143" i="16"/>
  <c r="EF143" i="16"/>
  <c r="EH143" i="16"/>
  <c r="EJ143" i="16"/>
  <c r="EL143" i="16"/>
  <c r="EN143" i="16"/>
  <c r="EP143" i="16"/>
  <c r="ER143" i="16"/>
  <c r="ET143" i="16"/>
  <c r="EV143" i="16"/>
  <c r="EX143" i="16"/>
  <c r="EZ143" i="16"/>
  <c r="FB143" i="16"/>
  <c r="FD143" i="16"/>
  <c r="FF143" i="16"/>
  <c r="FH143" i="16"/>
  <c r="FJ143" i="16"/>
  <c r="FL143" i="16"/>
  <c r="FN143" i="16"/>
  <c r="FP143" i="16"/>
  <c r="FR143" i="16"/>
  <c r="FT143" i="16"/>
  <c r="FV143" i="16"/>
  <c r="FX143" i="16"/>
  <c r="FZ143" i="16"/>
  <c r="GB143" i="16"/>
  <c r="GD143" i="16"/>
  <c r="CY143" i="16"/>
  <c r="DA143" i="16"/>
  <c r="DC143" i="16"/>
  <c r="DE143" i="16"/>
  <c r="DG143" i="16"/>
  <c r="DI143" i="16"/>
  <c r="DK143" i="16"/>
  <c r="DM143" i="16"/>
  <c r="DO143" i="16"/>
  <c r="DQ143" i="16"/>
  <c r="DS143" i="16"/>
  <c r="DU143" i="16"/>
  <c r="DW143" i="16"/>
  <c r="DY143" i="16"/>
  <c r="EA143" i="16"/>
  <c r="EC143" i="16"/>
  <c r="EE143" i="16"/>
  <c r="EG143" i="16"/>
  <c r="EI143" i="16"/>
  <c r="EK143" i="16"/>
  <c r="EM143" i="16"/>
  <c r="EO143" i="16"/>
  <c r="EQ143" i="16"/>
  <c r="ES143" i="16"/>
  <c r="EU143" i="16"/>
  <c r="EW143" i="16"/>
  <c r="EY143" i="16"/>
  <c r="FA143" i="16"/>
  <c r="FC143" i="16"/>
  <c r="FE143" i="16"/>
  <c r="FG143" i="16"/>
  <c r="FI143" i="16"/>
  <c r="FK143" i="16"/>
  <c r="FM143" i="16"/>
  <c r="FO143" i="16"/>
  <c r="FQ143" i="16"/>
  <c r="FS143" i="16"/>
  <c r="FU143" i="16"/>
  <c r="FW143" i="16"/>
  <c r="FY143" i="16"/>
  <c r="GA143" i="16"/>
  <c r="GC143" i="16"/>
  <c r="CY146" i="16"/>
  <c r="DA146" i="16"/>
  <c r="DC146" i="16"/>
  <c r="DE146" i="16"/>
  <c r="DG146" i="16"/>
  <c r="DI146" i="16"/>
  <c r="DK146" i="16"/>
  <c r="DM146" i="16"/>
  <c r="DO146" i="16"/>
  <c r="DQ146" i="16"/>
  <c r="DS146" i="16"/>
  <c r="DU146" i="16"/>
  <c r="DW146" i="16"/>
  <c r="DY146" i="16"/>
  <c r="EA146" i="16"/>
  <c r="EC146" i="16"/>
  <c r="EE146" i="16"/>
  <c r="EG146" i="16"/>
  <c r="EI146" i="16"/>
  <c r="EK146" i="16"/>
  <c r="EM146" i="16"/>
  <c r="EO146" i="16"/>
  <c r="EQ146" i="16"/>
  <c r="ES146" i="16"/>
  <c r="EU146" i="16"/>
  <c r="EW146" i="16"/>
  <c r="EY146" i="16"/>
  <c r="FA146" i="16"/>
  <c r="FC146" i="16"/>
  <c r="FE146" i="16"/>
  <c r="FG146" i="16"/>
  <c r="FI146" i="16"/>
  <c r="FK146" i="16"/>
  <c r="FM146" i="16"/>
  <c r="FO146" i="16"/>
  <c r="FQ146" i="16"/>
  <c r="FS146" i="16"/>
  <c r="FU146" i="16"/>
  <c r="FW146" i="16"/>
  <c r="FY146" i="16"/>
  <c r="GA146" i="16"/>
  <c r="GC146" i="16"/>
  <c r="CZ146" i="16"/>
  <c r="DB146" i="16"/>
  <c r="DD146" i="16"/>
  <c r="DF146" i="16"/>
  <c r="DH146" i="16"/>
  <c r="DJ146" i="16"/>
  <c r="DL146" i="16"/>
  <c r="DN146" i="16"/>
  <c r="DP146" i="16"/>
  <c r="DR146" i="16"/>
  <c r="DT146" i="16"/>
  <c r="DV146" i="16"/>
  <c r="DX146" i="16"/>
  <c r="DZ146" i="16"/>
  <c r="EB146" i="16"/>
  <c r="ED146" i="16"/>
  <c r="EF146" i="16"/>
  <c r="EH146" i="16"/>
  <c r="EJ146" i="16"/>
  <c r="EL146" i="16"/>
  <c r="EN146" i="16"/>
  <c r="EP146" i="16"/>
  <c r="ER146" i="16"/>
  <c r="ET146" i="16"/>
  <c r="EV146" i="16"/>
  <c r="EX146" i="16"/>
  <c r="EZ146" i="16"/>
  <c r="FB146" i="16"/>
  <c r="FD146" i="16"/>
  <c r="FF146" i="16"/>
  <c r="FH146" i="16"/>
  <c r="FJ146" i="16"/>
  <c r="FL146" i="16"/>
  <c r="FN146" i="16"/>
  <c r="FP146" i="16"/>
  <c r="FR146" i="16"/>
  <c r="FT146" i="16"/>
  <c r="FV146" i="16"/>
  <c r="FX146" i="16"/>
  <c r="FZ146" i="16"/>
  <c r="GB146" i="16"/>
  <c r="GD146" i="16"/>
  <c r="CY148" i="16"/>
  <c r="DA148" i="16"/>
  <c r="DC148" i="16"/>
  <c r="DE148" i="16"/>
  <c r="DG148" i="16"/>
  <c r="DI148" i="16"/>
  <c r="DK148" i="16"/>
  <c r="DM148" i="16"/>
  <c r="DO148" i="16"/>
  <c r="DQ148" i="16"/>
  <c r="DS148" i="16"/>
  <c r="DU148" i="16"/>
  <c r="DW148" i="16"/>
  <c r="DY148" i="16"/>
  <c r="EA148" i="16"/>
  <c r="EC148" i="16"/>
  <c r="EE148" i="16"/>
  <c r="EG148" i="16"/>
  <c r="EI148" i="16"/>
  <c r="EK148" i="16"/>
  <c r="EM148" i="16"/>
  <c r="EO148" i="16"/>
  <c r="EQ148" i="16"/>
  <c r="ES148" i="16"/>
  <c r="EU148" i="16"/>
  <c r="EW148" i="16"/>
  <c r="EY148" i="16"/>
  <c r="FA148" i="16"/>
  <c r="FC148" i="16"/>
  <c r="FE148" i="16"/>
  <c r="FG148" i="16"/>
  <c r="FI148" i="16"/>
  <c r="FK148" i="16"/>
  <c r="FM148" i="16"/>
  <c r="FO148" i="16"/>
  <c r="FQ148" i="16"/>
  <c r="FS148" i="16"/>
  <c r="FU148" i="16"/>
  <c r="FW148" i="16"/>
  <c r="FY148" i="16"/>
  <c r="GA148" i="16"/>
  <c r="GC148" i="16"/>
  <c r="CZ148" i="16"/>
  <c r="DB148" i="16"/>
  <c r="DD148" i="16"/>
  <c r="DF148" i="16"/>
  <c r="DH148" i="16"/>
  <c r="DJ148" i="16"/>
  <c r="DL148" i="16"/>
  <c r="DN148" i="16"/>
  <c r="DP148" i="16"/>
  <c r="DR148" i="16"/>
  <c r="DT148" i="16"/>
  <c r="DV148" i="16"/>
  <c r="DX148" i="16"/>
  <c r="DZ148" i="16"/>
  <c r="EB148" i="16"/>
  <c r="ED148" i="16"/>
  <c r="EF148" i="16"/>
  <c r="EH148" i="16"/>
  <c r="EJ148" i="16"/>
  <c r="EL148" i="16"/>
  <c r="EN148" i="16"/>
  <c r="EP148" i="16"/>
  <c r="ER148" i="16"/>
  <c r="ET148" i="16"/>
  <c r="EV148" i="16"/>
  <c r="EX148" i="16"/>
  <c r="EZ148" i="16"/>
  <c r="FB148" i="16"/>
  <c r="FD148" i="16"/>
  <c r="FF148" i="16"/>
  <c r="FH148" i="16"/>
  <c r="FJ148" i="16"/>
  <c r="FL148" i="16"/>
  <c r="FN148" i="16"/>
  <c r="FP148" i="16"/>
  <c r="FR148" i="16"/>
  <c r="FT148" i="16"/>
  <c r="FV148" i="16"/>
  <c r="FX148" i="16"/>
  <c r="FZ148" i="16"/>
  <c r="GB148" i="16"/>
  <c r="GD148" i="16"/>
  <c r="CY150" i="16"/>
  <c r="DA150" i="16"/>
  <c r="DC150" i="16"/>
  <c r="DE150" i="16"/>
  <c r="DG150" i="16"/>
  <c r="DI150" i="16"/>
  <c r="DK150" i="16"/>
  <c r="DM150" i="16"/>
  <c r="DO150" i="16"/>
  <c r="DQ150" i="16"/>
  <c r="DS150" i="16"/>
  <c r="DU150" i="16"/>
  <c r="DW150" i="16"/>
  <c r="DY150" i="16"/>
  <c r="EA150" i="16"/>
  <c r="EC150" i="16"/>
  <c r="EE150" i="16"/>
  <c r="EG150" i="16"/>
  <c r="EI150" i="16"/>
  <c r="EK150" i="16"/>
  <c r="EM150" i="16"/>
  <c r="EO150" i="16"/>
  <c r="EQ150" i="16"/>
  <c r="ES150" i="16"/>
  <c r="EU150" i="16"/>
  <c r="EW150" i="16"/>
  <c r="EY150" i="16"/>
  <c r="FA150" i="16"/>
  <c r="FC150" i="16"/>
  <c r="FE150" i="16"/>
  <c r="FG150" i="16"/>
  <c r="FI150" i="16"/>
  <c r="FK150" i="16"/>
  <c r="FM150" i="16"/>
  <c r="FO150" i="16"/>
  <c r="FQ150" i="16"/>
  <c r="FS150" i="16"/>
  <c r="FU150" i="16"/>
  <c r="FW150" i="16"/>
  <c r="FY150" i="16"/>
  <c r="GA150" i="16"/>
  <c r="GC150" i="16"/>
  <c r="CZ150" i="16"/>
  <c r="DB150" i="16"/>
  <c r="DD150" i="16"/>
  <c r="DF150" i="16"/>
  <c r="DH150" i="16"/>
  <c r="DJ150" i="16"/>
  <c r="DL150" i="16"/>
  <c r="DN150" i="16"/>
  <c r="DP150" i="16"/>
  <c r="DR150" i="16"/>
  <c r="DT150" i="16"/>
  <c r="DV150" i="16"/>
  <c r="DX150" i="16"/>
  <c r="DZ150" i="16"/>
  <c r="EB150" i="16"/>
  <c r="ED150" i="16"/>
  <c r="EF150" i="16"/>
  <c r="EH150" i="16"/>
  <c r="EJ150" i="16"/>
  <c r="EL150" i="16"/>
  <c r="EN150" i="16"/>
  <c r="EP150" i="16"/>
  <c r="ER150" i="16"/>
  <c r="ET150" i="16"/>
  <c r="EV150" i="16"/>
  <c r="EX150" i="16"/>
  <c r="EZ150" i="16"/>
  <c r="FB150" i="16"/>
  <c r="FD150" i="16"/>
  <c r="FF150" i="16"/>
  <c r="FH150" i="16"/>
  <c r="FJ150" i="16"/>
  <c r="FL150" i="16"/>
  <c r="FN150" i="16"/>
  <c r="FP150" i="16"/>
  <c r="FR150" i="16"/>
  <c r="FT150" i="16"/>
  <c r="FV150" i="16"/>
  <c r="FX150" i="16"/>
  <c r="FZ150" i="16"/>
  <c r="GB150" i="16"/>
  <c r="GD150" i="16"/>
  <c r="CY152" i="16"/>
  <c r="DA152" i="16"/>
  <c r="DC152" i="16"/>
  <c r="DE152" i="16"/>
  <c r="DG152" i="16"/>
  <c r="DI152" i="16"/>
  <c r="DK152" i="16"/>
  <c r="DM152" i="16"/>
  <c r="DO152" i="16"/>
  <c r="DQ152" i="16"/>
  <c r="DS152" i="16"/>
  <c r="DU152" i="16"/>
  <c r="DW152" i="16"/>
  <c r="DY152" i="16"/>
  <c r="EA152" i="16"/>
  <c r="EC152" i="16"/>
  <c r="EE152" i="16"/>
  <c r="EG152" i="16"/>
  <c r="EI152" i="16"/>
  <c r="EK152" i="16"/>
  <c r="EM152" i="16"/>
  <c r="EO152" i="16"/>
  <c r="EQ152" i="16"/>
  <c r="ES152" i="16"/>
  <c r="EU152" i="16"/>
  <c r="EW152" i="16"/>
  <c r="EY152" i="16"/>
  <c r="FA152" i="16"/>
  <c r="FC152" i="16"/>
  <c r="FE152" i="16"/>
  <c r="FG152" i="16"/>
  <c r="FI152" i="16"/>
  <c r="FK152" i="16"/>
  <c r="FM152" i="16"/>
  <c r="FO152" i="16"/>
  <c r="FQ152" i="16"/>
  <c r="FS152" i="16"/>
  <c r="FU152" i="16"/>
  <c r="FW152" i="16"/>
  <c r="FY152" i="16"/>
  <c r="GA152" i="16"/>
  <c r="GC152" i="16"/>
  <c r="CZ152" i="16"/>
  <c r="DB152" i="16"/>
  <c r="DD152" i="16"/>
  <c r="DF152" i="16"/>
  <c r="DH152" i="16"/>
  <c r="DJ152" i="16"/>
  <c r="DL152" i="16"/>
  <c r="DN152" i="16"/>
  <c r="DP152" i="16"/>
  <c r="DR152" i="16"/>
  <c r="DT152" i="16"/>
  <c r="DV152" i="16"/>
  <c r="DX152" i="16"/>
  <c r="DZ152" i="16"/>
  <c r="EB152" i="16"/>
  <c r="ED152" i="16"/>
  <c r="EF152" i="16"/>
  <c r="EH152" i="16"/>
  <c r="EJ152" i="16"/>
  <c r="EL152" i="16"/>
  <c r="EN152" i="16"/>
  <c r="EP152" i="16"/>
  <c r="ER152" i="16"/>
  <c r="ET152" i="16"/>
  <c r="EV152" i="16"/>
  <c r="EX152" i="16"/>
  <c r="EZ152" i="16"/>
  <c r="FB152" i="16"/>
  <c r="FD152" i="16"/>
  <c r="FF152" i="16"/>
  <c r="FH152" i="16"/>
  <c r="FJ152" i="16"/>
  <c r="FL152" i="16"/>
  <c r="FN152" i="16"/>
  <c r="FP152" i="16"/>
  <c r="FR152" i="16"/>
  <c r="FT152" i="16"/>
  <c r="FV152" i="16"/>
  <c r="FX152" i="16"/>
  <c r="FZ152" i="16"/>
  <c r="GB152" i="16"/>
  <c r="GD152" i="16"/>
  <c r="CZ155" i="16"/>
  <c r="DB155" i="16"/>
  <c r="DD155" i="16"/>
  <c r="DF155" i="16"/>
  <c r="DH155" i="16"/>
  <c r="DJ155" i="16"/>
  <c r="DL155" i="16"/>
  <c r="DN155" i="16"/>
  <c r="DP155" i="16"/>
  <c r="DR155" i="16"/>
  <c r="DT155" i="16"/>
  <c r="DV155" i="16"/>
  <c r="DX155" i="16"/>
  <c r="DZ155" i="16"/>
  <c r="EB155" i="16"/>
  <c r="ED155" i="16"/>
  <c r="EF155" i="16"/>
  <c r="EH155" i="16"/>
  <c r="EJ155" i="16"/>
  <c r="EL155" i="16"/>
  <c r="EN155" i="16"/>
  <c r="EP155" i="16"/>
  <c r="ER155" i="16"/>
  <c r="ET155" i="16"/>
  <c r="EV155" i="16"/>
  <c r="EX155" i="16"/>
  <c r="EZ155" i="16"/>
  <c r="FB155" i="16"/>
  <c r="FD155" i="16"/>
  <c r="FF155" i="16"/>
  <c r="FH155" i="16"/>
  <c r="FJ155" i="16"/>
  <c r="FL155" i="16"/>
  <c r="FN155" i="16"/>
  <c r="FP155" i="16"/>
  <c r="FR155" i="16"/>
  <c r="FT155" i="16"/>
  <c r="FV155" i="16"/>
  <c r="FX155" i="16"/>
  <c r="FZ155" i="16"/>
  <c r="GB155" i="16"/>
  <c r="GD155" i="16"/>
  <c r="CY155" i="16"/>
  <c r="DA155" i="16"/>
  <c r="DC155" i="16"/>
  <c r="DE155" i="16"/>
  <c r="DG155" i="16"/>
  <c r="DI155" i="16"/>
  <c r="DK155" i="16"/>
  <c r="DM155" i="16"/>
  <c r="DO155" i="16"/>
  <c r="DQ155" i="16"/>
  <c r="DS155" i="16"/>
  <c r="DU155" i="16"/>
  <c r="DW155" i="16"/>
  <c r="DY155" i="16"/>
  <c r="EA155" i="16"/>
  <c r="EC155" i="16"/>
  <c r="EE155" i="16"/>
  <c r="EG155" i="16"/>
  <c r="EI155" i="16"/>
  <c r="EK155" i="16"/>
  <c r="EM155" i="16"/>
  <c r="EO155" i="16"/>
  <c r="EQ155" i="16"/>
  <c r="ES155" i="16"/>
  <c r="EU155" i="16"/>
  <c r="EW155" i="16"/>
  <c r="EY155" i="16"/>
  <c r="FA155" i="16"/>
  <c r="FC155" i="16"/>
  <c r="FE155" i="16"/>
  <c r="FG155" i="16"/>
  <c r="FI155" i="16"/>
  <c r="FK155" i="16"/>
  <c r="FM155" i="16"/>
  <c r="FO155" i="16"/>
  <c r="FQ155" i="16"/>
  <c r="FS155" i="16"/>
  <c r="FU155" i="16"/>
  <c r="FW155" i="16"/>
  <c r="FY155" i="16"/>
  <c r="GA155" i="16"/>
  <c r="GC155" i="16"/>
  <c r="CZ157" i="16"/>
  <c r="DB157" i="16"/>
  <c r="DD157" i="16"/>
  <c r="DF157" i="16"/>
  <c r="DH157" i="16"/>
  <c r="DJ157" i="16"/>
  <c r="DL157" i="16"/>
  <c r="DN157" i="16"/>
  <c r="DP157" i="16"/>
  <c r="DR157" i="16"/>
  <c r="DT157" i="16"/>
  <c r="DV157" i="16"/>
  <c r="DX157" i="16"/>
  <c r="DZ157" i="16"/>
  <c r="EB157" i="16"/>
  <c r="ED157" i="16"/>
  <c r="EF157" i="16"/>
  <c r="EH157" i="16"/>
  <c r="EJ157" i="16"/>
  <c r="EL157" i="16"/>
  <c r="EN157" i="16"/>
  <c r="EP157" i="16"/>
  <c r="ER157" i="16"/>
  <c r="ET157" i="16"/>
  <c r="EV157" i="16"/>
  <c r="EX157" i="16"/>
  <c r="EZ157" i="16"/>
  <c r="FB157" i="16"/>
  <c r="FD157" i="16"/>
  <c r="FF157" i="16"/>
  <c r="FH157" i="16"/>
  <c r="FJ157" i="16"/>
  <c r="FL157" i="16"/>
  <c r="FN157" i="16"/>
  <c r="FP157" i="16"/>
  <c r="FR157" i="16"/>
  <c r="FT157" i="16"/>
  <c r="FV157" i="16"/>
  <c r="FX157" i="16"/>
  <c r="FZ157" i="16"/>
  <c r="GB157" i="16"/>
  <c r="GD157" i="16"/>
  <c r="CY157" i="16"/>
  <c r="DA157" i="16"/>
  <c r="DC157" i="16"/>
  <c r="DE157" i="16"/>
  <c r="DG157" i="16"/>
  <c r="DI157" i="16"/>
  <c r="DK157" i="16"/>
  <c r="DM157" i="16"/>
  <c r="DO157" i="16"/>
  <c r="DQ157" i="16"/>
  <c r="DS157" i="16"/>
  <c r="DU157" i="16"/>
  <c r="DW157" i="16"/>
  <c r="DY157" i="16"/>
  <c r="EA157" i="16"/>
  <c r="EC157" i="16"/>
  <c r="EE157" i="16"/>
  <c r="EG157" i="16"/>
  <c r="EI157" i="16"/>
  <c r="EK157" i="16"/>
  <c r="EM157" i="16"/>
  <c r="EO157" i="16"/>
  <c r="EQ157" i="16"/>
  <c r="ES157" i="16"/>
  <c r="EU157" i="16"/>
  <c r="EW157" i="16"/>
  <c r="EY157" i="16"/>
  <c r="FA157" i="16"/>
  <c r="FC157" i="16"/>
  <c r="FE157" i="16"/>
  <c r="FG157" i="16"/>
  <c r="FI157" i="16"/>
  <c r="FK157" i="16"/>
  <c r="FM157" i="16"/>
  <c r="FO157" i="16"/>
  <c r="FQ157" i="16"/>
  <c r="FS157" i="16"/>
  <c r="FU157" i="16"/>
  <c r="FW157" i="16"/>
  <c r="FY157" i="16"/>
  <c r="GA157" i="16"/>
  <c r="GC157" i="16"/>
  <c r="CY160" i="16"/>
  <c r="DA160" i="16"/>
  <c r="DC160" i="16"/>
  <c r="DE160" i="16"/>
  <c r="DG160" i="16"/>
  <c r="DI160" i="16"/>
  <c r="DK160" i="16"/>
  <c r="DM160" i="16"/>
  <c r="DO160" i="16"/>
  <c r="DQ160" i="16"/>
  <c r="DS160" i="16"/>
  <c r="DU160" i="16"/>
  <c r="DW160" i="16"/>
  <c r="DY160" i="16"/>
  <c r="EA160" i="16"/>
  <c r="EC160" i="16"/>
  <c r="EE160" i="16"/>
  <c r="EG160" i="16"/>
  <c r="EI160" i="16"/>
  <c r="EK160" i="16"/>
  <c r="EM160" i="16"/>
  <c r="EO160" i="16"/>
  <c r="EQ160" i="16"/>
  <c r="ES160" i="16"/>
  <c r="EU160" i="16"/>
  <c r="EW160" i="16"/>
  <c r="EY160" i="16"/>
  <c r="FA160" i="16"/>
  <c r="FC160" i="16"/>
  <c r="FE160" i="16"/>
  <c r="FG160" i="16"/>
  <c r="FI160" i="16"/>
  <c r="FK160" i="16"/>
  <c r="FM160" i="16"/>
  <c r="FO160" i="16"/>
  <c r="FQ160" i="16"/>
  <c r="FS160" i="16"/>
  <c r="FU160" i="16"/>
  <c r="FW160" i="16"/>
  <c r="FY160" i="16"/>
  <c r="GA160" i="16"/>
  <c r="GC160" i="16"/>
  <c r="CZ160" i="16"/>
  <c r="DB160" i="16"/>
  <c r="DD160" i="16"/>
  <c r="DF160" i="16"/>
  <c r="DH160" i="16"/>
  <c r="DJ160" i="16"/>
  <c r="DL160" i="16"/>
  <c r="DN160" i="16"/>
  <c r="DP160" i="16"/>
  <c r="DR160" i="16"/>
  <c r="DT160" i="16"/>
  <c r="DV160" i="16"/>
  <c r="DX160" i="16"/>
  <c r="DZ160" i="16"/>
  <c r="EB160" i="16"/>
  <c r="ED160" i="16"/>
  <c r="EF160" i="16"/>
  <c r="EH160" i="16"/>
  <c r="EJ160" i="16"/>
  <c r="EL160" i="16"/>
  <c r="EN160" i="16"/>
  <c r="EP160" i="16"/>
  <c r="ER160" i="16"/>
  <c r="ET160" i="16"/>
  <c r="EV160" i="16"/>
  <c r="EX160" i="16"/>
  <c r="EZ160" i="16"/>
  <c r="FB160" i="16"/>
  <c r="FD160" i="16"/>
  <c r="FF160" i="16"/>
  <c r="FH160" i="16"/>
  <c r="FJ160" i="16"/>
  <c r="FL160" i="16"/>
  <c r="FN160" i="16"/>
  <c r="FP160" i="16"/>
  <c r="FR160" i="16"/>
  <c r="FT160" i="16"/>
  <c r="FV160" i="16"/>
  <c r="FX160" i="16"/>
  <c r="FZ160" i="16"/>
  <c r="GB160" i="16"/>
  <c r="GD160" i="16"/>
  <c r="CZ161" i="16"/>
  <c r="DB161" i="16"/>
  <c r="DD161" i="16"/>
  <c r="DF161" i="16"/>
  <c r="DH161" i="16"/>
  <c r="DJ161" i="16"/>
  <c r="DL161" i="16"/>
  <c r="DN161" i="16"/>
  <c r="DP161" i="16"/>
  <c r="DR161" i="16"/>
  <c r="DT161" i="16"/>
  <c r="DV161" i="16"/>
  <c r="DX161" i="16"/>
  <c r="DZ161" i="16"/>
  <c r="EB161" i="16"/>
  <c r="ED161" i="16"/>
  <c r="EF161" i="16"/>
  <c r="EH161" i="16"/>
  <c r="EJ161" i="16"/>
  <c r="EL161" i="16"/>
  <c r="EN161" i="16"/>
  <c r="EP161" i="16"/>
  <c r="ER161" i="16"/>
  <c r="ET161" i="16"/>
  <c r="EV161" i="16"/>
  <c r="EX161" i="16"/>
  <c r="EZ161" i="16"/>
  <c r="FB161" i="16"/>
  <c r="FD161" i="16"/>
  <c r="FF161" i="16"/>
  <c r="FH161" i="16"/>
  <c r="FJ161" i="16"/>
  <c r="FL161" i="16"/>
  <c r="FN161" i="16"/>
  <c r="FP161" i="16"/>
  <c r="FR161" i="16"/>
  <c r="FT161" i="16"/>
  <c r="FV161" i="16"/>
  <c r="FX161" i="16"/>
  <c r="FZ161" i="16"/>
  <c r="GB161" i="16"/>
  <c r="GD161" i="16"/>
  <c r="CY161" i="16"/>
  <c r="DA161" i="16"/>
  <c r="DC161" i="16"/>
  <c r="DE161" i="16"/>
  <c r="DG161" i="16"/>
  <c r="DI161" i="16"/>
  <c r="DK161" i="16"/>
  <c r="DM161" i="16"/>
  <c r="DO161" i="16"/>
  <c r="DQ161" i="16"/>
  <c r="DS161" i="16"/>
  <c r="DU161" i="16"/>
  <c r="DW161" i="16"/>
  <c r="DY161" i="16"/>
  <c r="EA161" i="16"/>
  <c r="EC161" i="16"/>
  <c r="EE161" i="16"/>
  <c r="EG161" i="16"/>
  <c r="EI161" i="16"/>
  <c r="EK161" i="16"/>
  <c r="EM161" i="16"/>
  <c r="EO161" i="16"/>
  <c r="EQ161" i="16"/>
  <c r="ES161" i="16"/>
  <c r="EU161" i="16"/>
  <c r="EW161" i="16"/>
  <c r="EY161" i="16"/>
  <c r="FA161" i="16"/>
  <c r="FC161" i="16"/>
  <c r="FE161" i="16"/>
  <c r="FG161" i="16"/>
  <c r="FI161" i="16"/>
  <c r="FK161" i="16"/>
  <c r="FM161" i="16"/>
  <c r="FO161" i="16"/>
  <c r="FQ161" i="16"/>
  <c r="FS161" i="16"/>
  <c r="FU161" i="16"/>
  <c r="FW161" i="16"/>
  <c r="FY161" i="16"/>
  <c r="GA161" i="16"/>
  <c r="GC161" i="16"/>
  <c r="CY164" i="16"/>
  <c r="DA164" i="16"/>
  <c r="DC164" i="16"/>
  <c r="DE164" i="16"/>
  <c r="DG164" i="16"/>
  <c r="DI164" i="16"/>
  <c r="DK164" i="16"/>
  <c r="DM164" i="16"/>
  <c r="DO164" i="16"/>
  <c r="DQ164" i="16"/>
  <c r="DS164" i="16"/>
  <c r="DU164" i="16"/>
  <c r="DW164" i="16"/>
  <c r="DY164" i="16"/>
  <c r="EA164" i="16"/>
  <c r="EC164" i="16"/>
  <c r="EE164" i="16"/>
  <c r="EG164" i="16"/>
  <c r="EI164" i="16"/>
  <c r="EK164" i="16"/>
  <c r="EM164" i="16"/>
  <c r="EO164" i="16"/>
  <c r="EQ164" i="16"/>
  <c r="ES164" i="16"/>
  <c r="EU164" i="16"/>
  <c r="EW164" i="16"/>
  <c r="EY164" i="16"/>
  <c r="FA164" i="16"/>
  <c r="FC164" i="16"/>
  <c r="FE164" i="16"/>
  <c r="FG164" i="16"/>
  <c r="FI164" i="16"/>
  <c r="FK164" i="16"/>
  <c r="FM164" i="16"/>
  <c r="FO164" i="16"/>
  <c r="FQ164" i="16"/>
  <c r="FS164" i="16"/>
  <c r="FU164" i="16"/>
  <c r="FW164" i="16"/>
  <c r="FY164" i="16"/>
  <c r="GA164" i="16"/>
  <c r="GC164" i="16"/>
  <c r="CZ164" i="16"/>
  <c r="DB164" i="16"/>
  <c r="DD164" i="16"/>
  <c r="DF164" i="16"/>
  <c r="DH164" i="16"/>
  <c r="DJ164" i="16"/>
  <c r="DL164" i="16"/>
  <c r="DN164" i="16"/>
  <c r="DP164" i="16"/>
  <c r="DR164" i="16"/>
  <c r="DT164" i="16"/>
  <c r="DV164" i="16"/>
  <c r="DX164" i="16"/>
  <c r="DZ164" i="16"/>
  <c r="EB164" i="16"/>
  <c r="ED164" i="16"/>
  <c r="EF164" i="16"/>
  <c r="EH164" i="16"/>
  <c r="EJ164" i="16"/>
  <c r="EL164" i="16"/>
  <c r="EN164" i="16"/>
  <c r="EP164" i="16"/>
  <c r="ER164" i="16"/>
  <c r="ET164" i="16"/>
  <c r="EV164" i="16"/>
  <c r="EX164" i="16"/>
  <c r="EZ164" i="16"/>
  <c r="FB164" i="16"/>
  <c r="FD164" i="16"/>
  <c r="FF164" i="16"/>
  <c r="FH164" i="16"/>
  <c r="FJ164" i="16"/>
  <c r="FL164" i="16"/>
  <c r="FN164" i="16"/>
  <c r="FP164" i="16"/>
  <c r="FR164" i="16"/>
  <c r="FT164" i="16"/>
  <c r="FV164" i="16"/>
  <c r="FX164" i="16"/>
  <c r="FZ164" i="16"/>
  <c r="GB164" i="16"/>
  <c r="GD164" i="16"/>
  <c r="CY166" i="16"/>
  <c r="DA166" i="16"/>
  <c r="DC166" i="16"/>
  <c r="DE166" i="16"/>
  <c r="DG166" i="16"/>
  <c r="DI166" i="16"/>
  <c r="DK166" i="16"/>
  <c r="DM166" i="16"/>
  <c r="DO166" i="16"/>
  <c r="DQ166" i="16"/>
  <c r="DS166" i="16"/>
  <c r="DU166" i="16"/>
  <c r="DW166" i="16"/>
  <c r="DY166" i="16"/>
  <c r="EA166" i="16"/>
  <c r="EC166" i="16"/>
  <c r="EE166" i="16"/>
  <c r="EG166" i="16"/>
  <c r="EI166" i="16"/>
  <c r="EK166" i="16"/>
  <c r="EM166" i="16"/>
  <c r="EO166" i="16"/>
  <c r="EQ166" i="16"/>
  <c r="ES166" i="16"/>
  <c r="EU166" i="16"/>
  <c r="EW166" i="16"/>
  <c r="EY166" i="16"/>
  <c r="FA166" i="16"/>
  <c r="FC166" i="16"/>
  <c r="FE166" i="16"/>
  <c r="FG166" i="16"/>
  <c r="FI166" i="16"/>
  <c r="FK166" i="16"/>
  <c r="FM166" i="16"/>
  <c r="FO166" i="16"/>
  <c r="FQ166" i="16"/>
  <c r="FS166" i="16"/>
  <c r="FU166" i="16"/>
  <c r="FW166" i="16"/>
  <c r="FY166" i="16"/>
  <c r="GA166" i="16"/>
  <c r="GC166" i="16"/>
  <c r="CZ166" i="16"/>
  <c r="DB166" i="16"/>
  <c r="DD166" i="16"/>
  <c r="DF166" i="16"/>
  <c r="DH166" i="16"/>
  <c r="DJ166" i="16"/>
  <c r="DL166" i="16"/>
  <c r="DN166" i="16"/>
  <c r="DP166" i="16"/>
  <c r="DR166" i="16"/>
  <c r="DT166" i="16"/>
  <c r="DV166" i="16"/>
  <c r="DX166" i="16"/>
  <c r="DZ166" i="16"/>
  <c r="EB166" i="16"/>
  <c r="ED166" i="16"/>
  <c r="EF166" i="16"/>
  <c r="EH166" i="16"/>
  <c r="EJ166" i="16"/>
  <c r="EL166" i="16"/>
  <c r="EN166" i="16"/>
  <c r="EP166" i="16"/>
  <c r="ER166" i="16"/>
  <c r="ET166" i="16"/>
  <c r="EV166" i="16"/>
  <c r="EX166" i="16"/>
  <c r="EZ166" i="16"/>
  <c r="FB166" i="16"/>
  <c r="FD166" i="16"/>
  <c r="FF166" i="16"/>
  <c r="FH166" i="16"/>
  <c r="FJ166" i="16"/>
  <c r="FL166" i="16"/>
  <c r="FN166" i="16"/>
  <c r="FP166" i="16"/>
  <c r="FR166" i="16"/>
  <c r="FT166" i="16"/>
  <c r="FV166" i="16"/>
  <c r="FX166" i="16"/>
  <c r="FZ166" i="16"/>
  <c r="GB166" i="16"/>
  <c r="GD166" i="16"/>
  <c r="CZ167" i="16"/>
  <c r="DB167" i="16"/>
  <c r="DD167" i="16"/>
  <c r="DF167" i="16"/>
  <c r="DH167" i="16"/>
  <c r="DJ167" i="16"/>
  <c r="DL167" i="16"/>
  <c r="DN167" i="16"/>
  <c r="DP167" i="16"/>
  <c r="DR167" i="16"/>
  <c r="DT167" i="16"/>
  <c r="DV167" i="16"/>
  <c r="DX167" i="16"/>
  <c r="DZ167" i="16"/>
  <c r="EB167" i="16"/>
  <c r="ED167" i="16"/>
  <c r="EF167" i="16"/>
  <c r="EH167" i="16"/>
  <c r="EJ167" i="16"/>
  <c r="EL167" i="16"/>
  <c r="EN167" i="16"/>
  <c r="EP167" i="16"/>
  <c r="ER167" i="16"/>
  <c r="ET167" i="16"/>
  <c r="EV167" i="16"/>
  <c r="EX167" i="16"/>
  <c r="EZ167" i="16"/>
  <c r="FB167" i="16"/>
  <c r="FD167" i="16"/>
  <c r="FF167" i="16"/>
  <c r="FH167" i="16"/>
  <c r="FJ167" i="16"/>
  <c r="FL167" i="16"/>
  <c r="FN167" i="16"/>
  <c r="FP167" i="16"/>
  <c r="FR167" i="16"/>
  <c r="FT167" i="16"/>
  <c r="FV167" i="16"/>
  <c r="FX167" i="16"/>
  <c r="FZ167" i="16"/>
  <c r="GB167" i="16"/>
  <c r="GD167" i="16"/>
  <c r="CY167" i="16"/>
  <c r="DA167" i="16"/>
  <c r="DC167" i="16"/>
  <c r="DE167" i="16"/>
  <c r="DG167" i="16"/>
  <c r="DI167" i="16"/>
  <c r="DK167" i="16"/>
  <c r="DM167" i="16"/>
  <c r="DO167" i="16"/>
  <c r="DQ167" i="16"/>
  <c r="DS167" i="16"/>
  <c r="DU167" i="16"/>
  <c r="DW167" i="16"/>
  <c r="DY167" i="16"/>
  <c r="EA167" i="16"/>
  <c r="EC167" i="16"/>
  <c r="EE167" i="16"/>
  <c r="EG167" i="16"/>
  <c r="EI167" i="16"/>
  <c r="EK167" i="16"/>
  <c r="EM167" i="16"/>
  <c r="EO167" i="16"/>
  <c r="EQ167" i="16"/>
  <c r="ES167" i="16"/>
  <c r="EU167" i="16"/>
  <c r="EW167" i="16"/>
  <c r="EY167" i="16"/>
  <c r="FA167" i="16"/>
  <c r="FC167" i="16"/>
  <c r="FE167" i="16"/>
  <c r="FG167" i="16"/>
  <c r="FI167" i="16"/>
  <c r="FK167" i="16"/>
  <c r="FM167" i="16"/>
  <c r="FO167" i="16"/>
  <c r="FQ167" i="16"/>
  <c r="FS167" i="16"/>
  <c r="FU167" i="16"/>
  <c r="FW167" i="16"/>
  <c r="FY167" i="16"/>
  <c r="GA167" i="16"/>
  <c r="GC167" i="16"/>
  <c r="CZ169" i="16"/>
  <c r="DB169" i="16"/>
  <c r="DD169" i="16"/>
  <c r="DF169" i="16"/>
  <c r="DH169" i="16"/>
  <c r="DJ169" i="16"/>
  <c r="DL169" i="16"/>
  <c r="DN169" i="16"/>
  <c r="DP169" i="16"/>
  <c r="DR169" i="16"/>
  <c r="DT169" i="16"/>
  <c r="DV169" i="16"/>
  <c r="DX169" i="16"/>
  <c r="DZ169" i="16"/>
  <c r="EB169" i="16"/>
  <c r="ED169" i="16"/>
  <c r="EF169" i="16"/>
  <c r="EH169" i="16"/>
  <c r="EJ169" i="16"/>
  <c r="EL169" i="16"/>
  <c r="EN169" i="16"/>
  <c r="EP169" i="16"/>
  <c r="ER169" i="16"/>
  <c r="ET169" i="16"/>
  <c r="EV169" i="16"/>
  <c r="EX169" i="16"/>
  <c r="EZ169" i="16"/>
  <c r="FB169" i="16"/>
  <c r="FD169" i="16"/>
  <c r="FF169" i="16"/>
  <c r="FH169" i="16"/>
  <c r="FJ169" i="16"/>
  <c r="FL169" i="16"/>
  <c r="FN169" i="16"/>
  <c r="FP169" i="16"/>
  <c r="FR169" i="16"/>
  <c r="FT169" i="16"/>
  <c r="FV169" i="16"/>
  <c r="FX169" i="16"/>
  <c r="FZ169" i="16"/>
  <c r="GB169" i="16"/>
  <c r="GD169" i="16"/>
  <c r="CY169" i="16"/>
  <c r="DA169" i="16"/>
  <c r="DC169" i="16"/>
  <c r="DE169" i="16"/>
  <c r="DG169" i="16"/>
  <c r="DI169" i="16"/>
  <c r="DK169" i="16"/>
  <c r="DM169" i="16"/>
  <c r="DO169" i="16"/>
  <c r="DQ169" i="16"/>
  <c r="DS169" i="16"/>
  <c r="DU169" i="16"/>
  <c r="DW169" i="16"/>
  <c r="DY169" i="16"/>
  <c r="EA169" i="16"/>
  <c r="EC169" i="16"/>
  <c r="EE169" i="16"/>
  <c r="EG169" i="16"/>
  <c r="EI169" i="16"/>
  <c r="EK169" i="16"/>
  <c r="EM169" i="16"/>
  <c r="EO169" i="16"/>
  <c r="EQ169" i="16"/>
  <c r="ES169" i="16"/>
  <c r="EU169" i="16"/>
  <c r="EW169" i="16"/>
  <c r="EY169" i="16"/>
  <c r="FA169" i="16"/>
  <c r="FC169" i="16"/>
  <c r="FE169" i="16"/>
  <c r="FG169" i="16"/>
  <c r="FI169" i="16"/>
  <c r="FK169" i="16"/>
  <c r="FM169" i="16"/>
  <c r="FO169" i="16"/>
  <c r="FQ169" i="16"/>
  <c r="FS169" i="16"/>
  <c r="FU169" i="16"/>
  <c r="FW169" i="16"/>
  <c r="FY169" i="16"/>
  <c r="GA169" i="16"/>
  <c r="GC169" i="16"/>
  <c r="CZ171" i="16"/>
  <c r="DB171" i="16"/>
  <c r="DD171" i="16"/>
  <c r="DF171" i="16"/>
  <c r="DH171" i="16"/>
  <c r="DJ171" i="16"/>
  <c r="DL171" i="16"/>
  <c r="DN171" i="16"/>
  <c r="DP171" i="16"/>
  <c r="DR171" i="16"/>
  <c r="DT171" i="16"/>
  <c r="DV171" i="16"/>
  <c r="DX171" i="16"/>
  <c r="DZ171" i="16"/>
  <c r="EB171" i="16"/>
  <c r="ED171" i="16"/>
  <c r="EF171" i="16"/>
  <c r="EH171" i="16"/>
  <c r="EJ171" i="16"/>
  <c r="EL171" i="16"/>
  <c r="EN171" i="16"/>
  <c r="EP171" i="16"/>
  <c r="ER171" i="16"/>
  <c r="ET171" i="16"/>
  <c r="EV171" i="16"/>
  <c r="EX171" i="16"/>
  <c r="EZ171" i="16"/>
  <c r="FB171" i="16"/>
  <c r="FD171" i="16"/>
  <c r="FF171" i="16"/>
  <c r="FH171" i="16"/>
  <c r="FJ171" i="16"/>
  <c r="FL171" i="16"/>
  <c r="FN171" i="16"/>
  <c r="FP171" i="16"/>
  <c r="FR171" i="16"/>
  <c r="FT171" i="16"/>
  <c r="FV171" i="16"/>
  <c r="FX171" i="16"/>
  <c r="FZ171" i="16"/>
  <c r="GB171" i="16"/>
  <c r="GD171" i="16"/>
  <c r="CY171" i="16"/>
  <c r="DA171" i="16"/>
  <c r="DC171" i="16"/>
  <c r="DE171" i="16"/>
  <c r="DG171" i="16"/>
  <c r="DI171" i="16"/>
  <c r="DK171" i="16"/>
  <c r="DM171" i="16"/>
  <c r="DO171" i="16"/>
  <c r="DQ171" i="16"/>
  <c r="DS171" i="16"/>
  <c r="DU171" i="16"/>
  <c r="DW171" i="16"/>
  <c r="DY171" i="16"/>
  <c r="EA171" i="16"/>
  <c r="EC171" i="16"/>
  <c r="EE171" i="16"/>
  <c r="EG171" i="16"/>
  <c r="EI171" i="16"/>
  <c r="EK171" i="16"/>
  <c r="EM171" i="16"/>
  <c r="EO171" i="16"/>
  <c r="EQ171" i="16"/>
  <c r="ES171" i="16"/>
  <c r="EU171" i="16"/>
  <c r="EW171" i="16"/>
  <c r="EY171" i="16"/>
  <c r="FA171" i="16"/>
  <c r="FC171" i="16"/>
  <c r="FE171" i="16"/>
  <c r="FG171" i="16"/>
  <c r="FI171" i="16"/>
  <c r="FK171" i="16"/>
  <c r="FM171" i="16"/>
  <c r="FO171" i="16"/>
  <c r="FQ171" i="16"/>
  <c r="FS171" i="16"/>
  <c r="FU171" i="16"/>
  <c r="FW171" i="16"/>
  <c r="FY171" i="16"/>
  <c r="GA171" i="16"/>
  <c r="GC171" i="16"/>
  <c r="CZ173" i="16"/>
  <c r="DB173" i="16"/>
  <c r="DD173" i="16"/>
  <c r="DF173" i="16"/>
  <c r="DH173" i="16"/>
  <c r="DJ173" i="16"/>
  <c r="DL173" i="16"/>
  <c r="DN173" i="16"/>
  <c r="DP173" i="16"/>
  <c r="DR173" i="16"/>
  <c r="DT173" i="16"/>
  <c r="DV173" i="16"/>
  <c r="DX173" i="16"/>
  <c r="DZ173" i="16"/>
  <c r="EB173" i="16"/>
  <c r="ED173" i="16"/>
  <c r="EF173" i="16"/>
  <c r="EH173" i="16"/>
  <c r="EJ173" i="16"/>
  <c r="EL173" i="16"/>
  <c r="EN173" i="16"/>
  <c r="EP173" i="16"/>
  <c r="ER173" i="16"/>
  <c r="ET173" i="16"/>
  <c r="EV173" i="16"/>
  <c r="EX173" i="16"/>
  <c r="EZ173" i="16"/>
  <c r="FB173" i="16"/>
  <c r="FD173" i="16"/>
  <c r="FF173" i="16"/>
  <c r="FH173" i="16"/>
  <c r="FJ173" i="16"/>
  <c r="FL173" i="16"/>
  <c r="FN173" i="16"/>
  <c r="FP173" i="16"/>
  <c r="FR173" i="16"/>
  <c r="FT173" i="16"/>
  <c r="FV173" i="16"/>
  <c r="FX173" i="16"/>
  <c r="FZ173" i="16"/>
  <c r="GB173" i="16"/>
  <c r="GD173" i="16"/>
  <c r="CY173" i="16"/>
  <c r="DA173" i="16"/>
  <c r="DC173" i="16"/>
  <c r="DE173" i="16"/>
  <c r="DG173" i="16"/>
  <c r="DI173" i="16"/>
  <c r="DK173" i="16"/>
  <c r="DM173" i="16"/>
  <c r="DO173" i="16"/>
  <c r="DQ173" i="16"/>
  <c r="DS173" i="16"/>
  <c r="DU173" i="16"/>
  <c r="DW173" i="16"/>
  <c r="DY173" i="16"/>
  <c r="EA173" i="16"/>
  <c r="EC173" i="16"/>
  <c r="EE173" i="16"/>
  <c r="EG173" i="16"/>
  <c r="EI173" i="16"/>
  <c r="EK173" i="16"/>
  <c r="EM173" i="16"/>
  <c r="EO173" i="16"/>
  <c r="EQ173" i="16"/>
  <c r="ES173" i="16"/>
  <c r="EU173" i="16"/>
  <c r="EW173" i="16"/>
  <c r="EY173" i="16"/>
  <c r="FA173" i="16"/>
  <c r="FC173" i="16"/>
  <c r="FE173" i="16"/>
  <c r="FG173" i="16"/>
  <c r="FI173" i="16"/>
  <c r="FK173" i="16"/>
  <c r="FM173" i="16"/>
  <c r="FO173" i="16"/>
  <c r="FQ173" i="16"/>
  <c r="FS173" i="16"/>
  <c r="FU173" i="16"/>
  <c r="FW173" i="16"/>
  <c r="FY173" i="16"/>
  <c r="GA173" i="16"/>
  <c r="GC173" i="16"/>
  <c r="CZ175" i="16"/>
  <c r="DB175" i="16"/>
  <c r="DD175" i="16"/>
  <c r="DF175" i="16"/>
  <c r="DH175" i="16"/>
  <c r="DJ175" i="16"/>
  <c r="DL175" i="16"/>
  <c r="DN175" i="16"/>
  <c r="DP175" i="16"/>
  <c r="DR175" i="16"/>
  <c r="DT175" i="16"/>
  <c r="DV175" i="16"/>
  <c r="DX175" i="16"/>
  <c r="DZ175" i="16"/>
  <c r="EB175" i="16"/>
  <c r="ED175" i="16"/>
  <c r="EF175" i="16"/>
  <c r="EH175" i="16"/>
  <c r="EJ175" i="16"/>
  <c r="EL175" i="16"/>
  <c r="EN175" i="16"/>
  <c r="EP175" i="16"/>
  <c r="ER175" i="16"/>
  <c r="ET175" i="16"/>
  <c r="EV175" i="16"/>
  <c r="EX175" i="16"/>
  <c r="EZ175" i="16"/>
  <c r="FB175" i="16"/>
  <c r="FD175" i="16"/>
  <c r="FF175" i="16"/>
  <c r="FH175" i="16"/>
  <c r="FJ175" i="16"/>
  <c r="FL175" i="16"/>
  <c r="FN175" i="16"/>
  <c r="FP175" i="16"/>
  <c r="FR175" i="16"/>
  <c r="FT175" i="16"/>
  <c r="FV175" i="16"/>
  <c r="FX175" i="16"/>
  <c r="FZ175" i="16"/>
  <c r="GB175" i="16"/>
  <c r="GD175" i="16"/>
  <c r="CY175" i="16"/>
  <c r="DA175" i="16"/>
  <c r="DC175" i="16"/>
  <c r="DE175" i="16"/>
  <c r="DG175" i="16"/>
  <c r="DI175" i="16"/>
  <c r="DK175" i="16"/>
  <c r="DM175" i="16"/>
  <c r="DO175" i="16"/>
  <c r="DQ175" i="16"/>
  <c r="DS175" i="16"/>
  <c r="DU175" i="16"/>
  <c r="DW175" i="16"/>
  <c r="DY175" i="16"/>
  <c r="EA175" i="16"/>
  <c r="EC175" i="16"/>
  <c r="EE175" i="16"/>
  <c r="EG175" i="16"/>
  <c r="EI175" i="16"/>
  <c r="EK175" i="16"/>
  <c r="EM175" i="16"/>
  <c r="EO175" i="16"/>
  <c r="EQ175" i="16"/>
  <c r="ES175" i="16"/>
  <c r="EU175" i="16"/>
  <c r="EW175" i="16"/>
  <c r="EY175" i="16"/>
  <c r="FA175" i="16"/>
  <c r="FC175" i="16"/>
  <c r="FE175" i="16"/>
  <c r="FG175" i="16"/>
  <c r="FI175" i="16"/>
  <c r="FK175" i="16"/>
  <c r="FM175" i="16"/>
  <c r="FO175" i="16"/>
  <c r="FQ175" i="16"/>
  <c r="FS175" i="16"/>
  <c r="FU175" i="16"/>
  <c r="FW175" i="16"/>
  <c r="FY175" i="16"/>
  <c r="GA175" i="16"/>
  <c r="GC175" i="16"/>
  <c r="CZ177" i="16"/>
  <c r="DB177" i="16"/>
  <c r="DD177" i="16"/>
  <c r="DF177" i="16"/>
  <c r="DH177" i="16"/>
  <c r="DJ177" i="16"/>
  <c r="DL177" i="16"/>
  <c r="DN177" i="16"/>
  <c r="DP177" i="16"/>
  <c r="DR177" i="16"/>
  <c r="DT177" i="16"/>
  <c r="DV177" i="16"/>
  <c r="DX177" i="16"/>
  <c r="DZ177" i="16"/>
  <c r="EB177" i="16"/>
  <c r="ED177" i="16"/>
  <c r="EF177" i="16"/>
  <c r="EH177" i="16"/>
  <c r="EJ177" i="16"/>
  <c r="EL177" i="16"/>
  <c r="EN177" i="16"/>
  <c r="EP177" i="16"/>
  <c r="ER177" i="16"/>
  <c r="ET177" i="16"/>
  <c r="EV177" i="16"/>
  <c r="EX177" i="16"/>
  <c r="EZ177" i="16"/>
  <c r="FB177" i="16"/>
  <c r="FD177" i="16"/>
  <c r="FF177" i="16"/>
  <c r="FH177" i="16"/>
  <c r="FJ177" i="16"/>
  <c r="FL177" i="16"/>
  <c r="FN177" i="16"/>
  <c r="FP177" i="16"/>
  <c r="FR177" i="16"/>
  <c r="FT177" i="16"/>
  <c r="FV177" i="16"/>
  <c r="FX177" i="16"/>
  <c r="FZ177" i="16"/>
  <c r="GB177" i="16"/>
  <c r="GD177" i="16"/>
  <c r="CY177" i="16"/>
  <c r="DA177" i="16"/>
  <c r="DC177" i="16"/>
  <c r="DE177" i="16"/>
  <c r="DG177" i="16"/>
  <c r="DI177" i="16"/>
  <c r="DK177" i="16"/>
  <c r="DM177" i="16"/>
  <c r="DO177" i="16"/>
  <c r="DQ177" i="16"/>
  <c r="DS177" i="16"/>
  <c r="DU177" i="16"/>
  <c r="DW177" i="16"/>
  <c r="DY177" i="16"/>
  <c r="EA177" i="16"/>
  <c r="EC177" i="16"/>
  <c r="EE177" i="16"/>
  <c r="EG177" i="16"/>
  <c r="EI177" i="16"/>
  <c r="EK177" i="16"/>
  <c r="EM177" i="16"/>
  <c r="EO177" i="16"/>
  <c r="EQ177" i="16"/>
  <c r="ES177" i="16"/>
  <c r="EU177" i="16"/>
  <c r="EW177" i="16"/>
  <c r="EY177" i="16"/>
  <c r="FA177" i="16"/>
  <c r="FC177" i="16"/>
  <c r="FE177" i="16"/>
  <c r="FG177" i="16"/>
  <c r="FI177" i="16"/>
  <c r="FK177" i="16"/>
  <c r="FM177" i="16"/>
  <c r="FO177" i="16"/>
  <c r="FQ177" i="16"/>
  <c r="FS177" i="16"/>
  <c r="FU177" i="16"/>
  <c r="FW177" i="16"/>
  <c r="FY177" i="16"/>
  <c r="GA177" i="16"/>
  <c r="GC177" i="16"/>
  <c r="CZ179" i="16"/>
  <c r="DB179" i="16"/>
  <c r="DD179" i="16"/>
  <c r="DF179" i="16"/>
  <c r="DH179" i="16"/>
  <c r="DJ179" i="16"/>
  <c r="DL179" i="16"/>
  <c r="DN179" i="16"/>
  <c r="DP179" i="16"/>
  <c r="DR179" i="16"/>
  <c r="DT179" i="16"/>
  <c r="DV179" i="16"/>
  <c r="DX179" i="16"/>
  <c r="DZ179" i="16"/>
  <c r="EB179" i="16"/>
  <c r="ED179" i="16"/>
  <c r="EF179" i="16"/>
  <c r="EH179" i="16"/>
  <c r="EJ179" i="16"/>
  <c r="EL179" i="16"/>
  <c r="EN179" i="16"/>
  <c r="EP179" i="16"/>
  <c r="ER179" i="16"/>
  <c r="ET179" i="16"/>
  <c r="EV179" i="16"/>
  <c r="EX179" i="16"/>
  <c r="EZ179" i="16"/>
  <c r="FB179" i="16"/>
  <c r="FD179" i="16"/>
  <c r="FF179" i="16"/>
  <c r="FH179" i="16"/>
  <c r="FJ179" i="16"/>
  <c r="FL179" i="16"/>
  <c r="FN179" i="16"/>
  <c r="FP179" i="16"/>
  <c r="FR179" i="16"/>
  <c r="FT179" i="16"/>
  <c r="FV179" i="16"/>
  <c r="FX179" i="16"/>
  <c r="FZ179" i="16"/>
  <c r="GB179" i="16"/>
  <c r="GD179" i="16"/>
  <c r="CY179" i="16"/>
  <c r="DA179" i="16"/>
  <c r="DC179" i="16"/>
  <c r="DE179" i="16"/>
  <c r="DG179" i="16"/>
  <c r="DI179" i="16"/>
  <c r="DK179" i="16"/>
  <c r="DM179" i="16"/>
  <c r="DO179" i="16"/>
  <c r="DQ179" i="16"/>
  <c r="DS179" i="16"/>
  <c r="DU179" i="16"/>
  <c r="DW179" i="16"/>
  <c r="DY179" i="16"/>
  <c r="EA179" i="16"/>
  <c r="EC179" i="16"/>
  <c r="EE179" i="16"/>
  <c r="EG179" i="16"/>
  <c r="EI179" i="16"/>
  <c r="EK179" i="16"/>
  <c r="EM179" i="16"/>
  <c r="EO179" i="16"/>
  <c r="EQ179" i="16"/>
  <c r="ES179" i="16"/>
  <c r="EU179" i="16"/>
  <c r="EW179" i="16"/>
  <c r="EY179" i="16"/>
  <c r="FA179" i="16"/>
  <c r="FC179" i="16"/>
  <c r="FE179" i="16"/>
  <c r="FG179" i="16"/>
  <c r="FI179" i="16"/>
  <c r="FK179" i="16"/>
  <c r="FM179" i="16"/>
  <c r="FO179" i="16"/>
  <c r="FQ179" i="16"/>
  <c r="FS179" i="16"/>
  <c r="FU179" i="16"/>
  <c r="FW179" i="16"/>
  <c r="FY179" i="16"/>
  <c r="GA179" i="16"/>
  <c r="GC179" i="16"/>
  <c r="CZ181" i="16"/>
  <c r="DB181" i="16"/>
  <c r="DD181" i="16"/>
  <c r="DF181" i="16"/>
  <c r="DH181" i="16"/>
  <c r="DJ181" i="16"/>
  <c r="DL181" i="16"/>
  <c r="DN181" i="16"/>
  <c r="DP181" i="16"/>
  <c r="DR181" i="16"/>
  <c r="DT181" i="16"/>
  <c r="DV181" i="16"/>
  <c r="DX181" i="16"/>
  <c r="DZ181" i="16"/>
  <c r="EB181" i="16"/>
  <c r="ED181" i="16"/>
  <c r="EF181" i="16"/>
  <c r="EH181" i="16"/>
  <c r="EJ181" i="16"/>
  <c r="EL181" i="16"/>
  <c r="EN181" i="16"/>
  <c r="EP181" i="16"/>
  <c r="ER181" i="16"/>
  <c r="ET181" i="16"/>
  <c r="EV181" i="16"/>
  <c r="EX181" i="16"/>
  <c r="EZ181" i="16"/>
  <c r="FB181" i="16"/>
  <c r="FD181" i="16"/>
  <c r="FF181" i="16"/>
  <c r="FH181" i="16"/>
  <c r="FJ181" i="16"/>
  <c r="FL181" i="16"/>
  <c r="FN181" i="16"/>
  <c r="FP181" i="16"/>
  <c r="FR181" i="16"/>
  <c r="FT181" i="16"/>
  <c r="FV181" i="16"/>
  <c r="FX181" i="16"/>
  <c r="FZ181" i="16"/>
  <c r="GB181" i="16"/>
  <c r="GD181" i="16"/>
  <c r="CY181" i="16"/>
  <c r="DA181" i="16"/>
  <c r="DC181" i="16"/>
  <c r="DE181" i="16"/>
  <c r="DG181" i="16"/>
  <c r="DI181" i="16"/>
  <c r="DK181" i="16"/>
  <c r="DM181" i="16"/>
  <c r="DO181" i="16"/>
  <c r="DQ181" i="16"/>
  <c r="DS181" i="16"/>
  <c r="DU181" i="16"/>
  <c r="DW181" i="16"/>
  <c r="DY181" i="16"/>
  <c r="EA181" i="16"/>
  <c r="EC181" i="16"/>
  <c r="EE181" i="16"/>
  <c r="EG181" i="16"/>
  <c r="EI181" i="16"/>
  <c r="EK181" i="16"/>
  <c r="EM181" i="16"/>
  <c r="EO181" i="16"/>
  <c r="EQ181" i="16"/>
  <c r="ES181" i="16"/>
  <c r="EU181" i="16"/>
  <c r="EW181" i="16"/>
  <c r="EY181" i="16"/>
  <c r="FA181" i="16"/>
  <c r="FC181" i="16"/>
  <c r="FE181" i="16"/>
  <c r="FG181" i="16"/>
  <c r="FI181" i="16"/>
  <c r="FK181" i="16"/>
  <c r="FM181" i="16"/>
  <c r="FO181" i="16"/>
  <c r="FQ181" i="16"/>
  <c r="FS181" i="16"/>
  <c r="FU181" i="16"/>
  <c r="FW181" i="16"/>
  <c r="FY181" i="16"/>
  <c r="GA181" i="16"/>
  <c r="GC181" i="16"/>
  <c r="CZ183" i="16"/>
  <c r="DB183" i="16"/>
  <c r="DD183" i="16"/>
  <c r="DF183" i="16"/>
  <c r="DH183" i="16"/>
  <c r="DJ183" i="16"/>
  <c r="DL183" i="16"/>
  <c r="DN183" i="16"/>
  <c r="DP183" i="16"/>
  <c r="DR183" i="16"/>
  <c r="DT183" i="16"/>
  <c r="DV183" i="16"/>
  <c r="DX183" i="16"/>
  <c r="DZ183" i="16"/>
  <c r="EB183" i="16"/>
  <c r="ED183" i="16"/>
  <c r="EF183" i="16"/>
  <c r="EH183" i="16"/>
  <c r="EJ183" i="16"/>
  <c r="EL183" i="16"/>
  <c r="EN183" i="16"/>
  <c r="EP183" i="16"/>
  <c r="ER183" i="16"/>
  <c r="ET183" i="16"/>
  <c r="EV183" i="16"/>
  <c r="EX183" i="16"/>
  <c r="EZ183" i="16"/>
  <c r="FB183" i="16"/>
  <c r="FD183" i="16"/>
  <c r="FF183" i="16"/>
  <c r="FH183" i="16"/>
  <c r="FJ183" i="16"/>
  <c r="FL183" i="16"/>
  <c r="FN183" i="16"/>
  <c r="FP183" i="16"/>
  <c r="FR183" i="16"/>
  <c r="FT183" i="16"/>
  <c r="FV183" i="16"/>
  <c r="FX183" i="16"/>
  <c r="FZ183" i="16"/>
  <c r="GB183" i="16"/>
  <c r="GD183" i="16"/>
  <c r="CY183" i="16"/>
  <c r="DA183" i="16"/>
  <c r="DC183" i="16"/>
  <c r="DE183" i="16"/>
  <c r="DG183" i="16"/>
  <c r="DI183" i="16"/>
  <c r="DK183" i="16"/>
  <c r="DM183" i="16"/>
  <c r="DO183" i="16"/>
  <c r="DQ183" i="16"/>
  <c r="DS183" i="16"/>
  <c r="DU183" i="16"/>
  <c r="DW183" i="16"/>
  <c r="DY183" i="16"/>
  <c r="EA183" i="16"/>
  <c r="EC183" i="16"/>
  <c r="EE183" i="16"/>
  <c r="EG183" i="16"/>
  <c r="EI183" i="16"/>
  <c r="EK183" i="16"/>
  <c r="EM183" i="16"/>
  <c r="EO183" i="16"/>
  <c r="EQ183" i="16"/>
  <c r="ES183" i="16"/>
  <c r="EU183" i="16"/>
  <c r="EW183" i="16"/>
  <c r="EY183" i="16"/>
  <c r="FA183" i="16"/>
  <c r="FC183" i="16"/>
  <c r="FE183" i="16"/>
  <c r="FG183" i="16"/>
  <c r="FI183" i="16"/>
  <c r="FK183" i="16"/>
  <c r="FM183" i="16"/>
  <c r="FO183" i="16"/>
  <c r="FQ183" i="16"/>
  <c r="FS183" i="16"/>
  <c r="FU183" i="16"/>
  <c r="FW183" i="16"/>
  <c r="FY183" i="16"/>
  <c r="GA183" i="16"/>
  <c r="GC183" i="16"/>
  <c r="CZ185" i="16"/>
  <c r="DB185" i="16"/>
  <c r="DD185" i="16"/>
  <c r="DF185" i="16"/>
  <c r="DH185" i="16"/>
  <c r="DJ185" i="16"/>
  <c r="DL185" i="16"/>
  <c r="DN185" i="16"/>
  <c r="DP185" i="16"/>
  <c r="DR185" i="16"/>
  <c r="DT185" i="16"/>
  <c r="DV185" i="16"/>
  <c r="DX185" i="16"/>
  <c r="DZ185" i="16"/>
  <c r="EB185" i="16"/>
  <c r="ED185" i="16"/>
  <c r="EF185" i="16"/>
  <c r="EH185" i="16"/>
  <c r="EJ185" i="16"/>
  <c r="EL185" i="16"/>
  <c r="EN185" i="16"/>
  <c r="EP185" i="16"/>
  <c r="ER185" i="16"/>
  <c r="ET185" i="16"/>
  <c r="EV185" i="16"/>
  <c r="EX185" i="16"/>
  <c r="EZ185" i="16"/>
  <c r="FB185" i="16"/>
  <c r="FD185" i="16"/>
  <c r="FF185" i="16"/>
  <c r="FH185" i="16"/>
  <c r="FJ185" i="16"/>
  <c r="FL185" i="16"/>
  <c r="FN185" i="16"/>
  <c r="FP185" i="16"/>
  <c r="FR185" i="16"/>
  <c r="FT185" i="16"/>
  <c r="FV185" i="16"/>
  <c r="FX185" i="16"/>
  <c r="FZ185" i="16"/>
  <c r="GB185" i="16"/>
  <c r="GD185" i="16"/>
  <c r="CY185" i="16"/>
  <c r="DA185" i="16"/>
  <c r="DC185" i="16"/>
  <c r="DE185" i="16"/>
  <c r="DG185" i="16"/>
  <c r="DI185" i="16"/>
  <c r="DK185" i="16"/>
  <c r="DM185" i="16"/>
  <c r="DO185" i="16"/>
  <c r="DQ185" i="16"/>
  <c r="DS185" i="16"/>
  <c r="DU185" i="16"/>
  <c r="DW185" i="16"/>
  <c r="DY185" i="16"/>
  <c r="EA185" i="16"/>
  <c r="EC185" i="16"/>
  <c r="EE185" i="16"/>
  <c r="EG185" i="16"/>
  <c r="EI185" i="16"/>
  <c r="EK185" i="16"/>
  <c r="EM185" i="16"/>
  <c r="EO185" i="16"/>
  <c r="EQ185" i="16"/>
  <c r="ES185" i="16"/>
  <c r="EU185" i="16"/>
  <c r="EW185" i="16"/>
  <c r="EY185" i="16"/>
  <c r="FA185" i="16"/>
  <c r="FC185" i="16"/>
  <c r="FE185" i="16"/>
  <c r="FG185" i="16"/>
  <c r="FI185" i="16"/>
  <c r="FK185" i="16"/>
  <c r="FM185" i="16"/>
  <c r="FO185" i="16"/>
  <c r="FQ185" i="16"/>
  <c r="FS185" i="16"/>
  <c r="FU185" i="16"/>
  <c r="FW185" i="16"/>
  <c r="FY185" i="16"/>
  <c r="GA185" i="16"/>
  <c r="GC185" i="16"/>
  <c r="CY188" i="16"/>
  <c r="DA188" i="16"/>
  <c r="DC188" i="16"/>
  <c r="DE188" i="16"/>
  <c r="DG188" i="16"/>
  <c r="DI188" i="16"/>
  <c r="DK188" i="16"/>
  <c r="DM188" i="16"/>
  <c r="DO188" i="16"/>
  <c r="DQ188" i="16"/>
  <c r="DS188" i="16"/>
  <c r="DU188" i="16"/>
  <c r="DW188" i="16"/>
  <c r="DY188" i="16"/>
  <c r="EA188" i="16"/>
  <c r="EC188" i="16"/>
  <c r="EE188" i="16"/>
  <c r="EG188" i="16"/>
  <c r="EI188" i="16"/>
  <c r="EK188" i="16"/>
  <c r="EM188" i="16"/>
  <c r="EO188" i="16"/>
  <c r="EQ188" i="16"/>
  <c r="ES188" i="16"/>
  <c r="EU188" i="16"/>
  <c r="EW188" i="16"/>
  <c r="EY188" i="16"/>
  <c r="FA188" i="16"/>
  <c r="FC188" i="16"/>
  <c r="FE188" i="16"/>
  <c r="FG188" i="16"/>
  <c r="FI188" i="16"/>
  <c r="FK188" i="16"/>
  <c r="FM188" i="16"/>
  <c r="FO188" i="16"/>
  <c r="FQ188" i="16"/>
  <c r="FS188" i="16"/>
  <c r="FU188" i="16"/>
  <c r="FW188" i="16"/>
  <c r="FY188" i="16"/>
  <c r="GA188" i="16"/>
  <c r="GC188" i="16"/>
  <c r="CZ188" i="16"/>
  <c r="DB188" i="16"/>
  <c r="DD188" i="16"/>
  <c r="DF188" i="16"/>
  <c r="DH188" i="16"/>
  <c r="DJ188" i="16"/>
  <c r="DL188" i="16"/>
  <c r="DN188" i="16"/>
  <c r="DP188" i="16"/>
  <c r="DR188" i="16"/>
  <c r="DT188" i="16"/>
  <c r="DV188" i="16"/>
  <c r="DX188" i="16"/>
  <c r="DZ188" i="16"/>
  <c r="EB188" i="16"/>
  <c r="ED188" i="16"/>
  <c r="EF188" i="16"/>
  <c r="EH188" i="16"/>
  <c r="EJ188" i="16"/>
  <c r="EL188" i="16"/>
  <c r="EN188" i="16"/>
  <c r="EP188" i="16"/>
  <c r="ER188" i="16"/>
  <c r="ET188" i="16"/>
  <c r="EV188" i="16"/>
  <c r="EX188" i="16"/>
  <c r="EZ188" i="16"/>
  <c r="FB188" i="16"/>
  <c r="FD188" i="16"/>
  <c r="FF188" i="16"/>
  <c r="FH188" i="16"/>
  <c r="FJ188" i="16"/>
  <c r="FL188" i="16"/>
  <c r="FN188" i="16"/>
  <c r="FP188" i="16"/>
  <c r="FR188" i="16"/>
  <c r="FT188" i="16"/>
  <c r="FV188" i="16"/>
  <c r="FX188" i="16"/>
  <c r="FZ188" i="16"/>
  <c r="GB188" i="16"/>
  <c r="GD188" i="16"/>
  <c r="CY190" i="16"/>
  <c r="DA190" i="16"/>
  <c r="DC190" i="16"/>
  <c r="DE190" i="16"/>
  <c r="DG190" i="16"/>
  <c r="DI190" i="16"/>
  <c r="DK190" i="16"/>
  <c r="DM190" i="16"/>
  <c r="DO190" i="16"/>
  <c r="DQ190" i="16"/>
  <c r="DS190" i="16"/>
  <c r="DU190" i="16"/>
  <c r="DW190" i="16"/>
  <c r="DY190" i="16"/>
  <c r="EA190" i="16"/>
  <c r="EC190" i="16"/>
  <c r="EE190" i="16"/>
  <c r="EG190" i="16"/>
  <c r="EI190" i="16"/>
  <c r="EK190" i="16"/>
  <c r="EM190" i="16"/>
  <c r="EO190" i="16"/>
  <c r="EQ190" i="16"/>
  <c r="ES190" i="16"/>
  <c r="EU190" i="16"/>
  <c r="EW190" i="16"/>
  <c r="EY190" i="16"/>
  <c r="FA190" i="16"/>
  <c r="FC190" i="16"/>
  <c r="FE190" i="16"/>
  <c r="FG190" i="16"/>
  <c r="FI190" i="16"/>
  <c r="FK190" i="16"/>
  <c r="FM190" i="16"/>
  <c r="FO190" i="16"/>
  <c r="FQ190" i="16"/>
  <c r="FS190" i="16"/>
  <c r="FU190" i="16"/>
  <c r="FW190" i="16"/>
  <c r="FY190" i="16"/>
  <c r="GA190" i="16"/>
  <c r="GC190" i="16"/>
  <c r="CZ190" i="16"/>
  <c r="DB190" i="16"/>
  <c r="DD190" i="16"/>
  <c r="DF190" i="16"/>
  <c r="DH190" i="16"/>
  <c r="DJ190" i="16"/>
  <c r="DL190" i="16"/>
  <c r="DN190" i="16"/>
  <c r="DP190" i="16"/>
  <c r="DR190" i="16"/>
  <c r="DT190" i="16"/>
  <c r="DV190" i="16"/>
  <c r="DX190" i="16"/>
  <c r="DZ190" i="16"/>
  <c r="EB190" i="16"/>
  <c r="ED190" i="16"/>
  <c r="EF190" i="16"/>
  <c r="EH190" i="16"/>
  <c r="EJ190" i="16"/>
  <c r="EL190" i="16"/>
  <c r="EN190" i="16"/>
  <c r="EP190" i="16"/>
  <c r="ER190" i="16"/>
  <c r="ET190" i="16"/>
  <c r="EV190" i="16"/>
  <c r="EX190" i="16"/>
  <c r="EZ190" i="16"/>
  <c r="FB190" i="16"/>
  <c r="FD190" i="16"/>
  <c r="FF190" i="16"/>
  <c r="FH190" i="16"/>
  <c r="FJ190" i="16"/>
  <c r="FL190" i="16"/>
  <c r="FN190" i="16"/>
  <c r="FP190" i="16"/>
  <c r="FR190" i="16"/>
  <c r="FT190" i="16"/>
  <c r="FV190" i="16"/>
  <c r="FX190" i="16"/>
  <c r="FZ190" i="16"/>
  <c r="GB190" i="16"/>
  <c r="GD190" i="16"/>
  <c r="CZ191" i="16"/>
  <c r="DB191" i="16"/>
  <c r="DD191" i="16"/>
  <c r="DF191" i="16"/>
  <c r="DH191" i="16"/>
  <c r="DJ191" i="16"/>
  <c r="DL191" i="16"/>
  <c r="DN191" i="16"/>
  <c r="DP191" i="16"/>
  <c r="DR191" i="16"/>
  <c r="DT191" i="16"/>
  <c r="DV191" i="16"/>
  <c r="DX191" i="16"/>
  <c r="DZ191" i="16"/>
  <c r="EB191" i="16"/>
  <c r="ED191" i="16"/>
  <c r="EF191" i="16"/>
  <c r="EH191" i="16"/>
  <c r="EJ191" i="16"/>
  <c r="EL191" i="16"/>
  <c r="EN191" i="16"/>
  <c r="EP191" i="16"/>
  <c r="ER191" i="16"/>
  <c r="ET191" i="16"/>
  <c r="EV191" i="16"/>
  <c r="EX191" i="16"/>
  <c r="EZ191" i="16"/>
  <c r="FB191" i="16"/>
  <c r="FD191" i="16"/>
  <c r="FF191" i="16"/>
  <c r="FH191" i="16"/>
  <c r="FJ191" i="16"/>
  <c r="FL191" i="16"/>
  <c r="FN191" i="16"/>
  <c r="FP191" i="16"/>
  <c r="FR191" i="16"/>
  <c r="FT191" i="16"/>
  <c r="FV191" i="16"/>
  <c r="FX191" i="16"/>
  <c r="FZ191" i="16"/>
  <c r="GB191" i="16"/>
  <c r="GD191" i="16"/>
  <c r="CY191" i="16"/>
  <c r="DA191" i="16"/>
  <c r="DC191" i="16"/>
  <c r="DE191" i="16"/>
  <c r="DG191" i="16"/>
  <c r="DI191" i="16"/>
  <c r="DK191" i="16"/>
  <c r="DM191" i="16"/>
  <c r="DO191" i="16"/>
  <c r="DQ191" i="16"/>
  <c r="DS191" i="16"/>
  <c r="DU191" i="16"/>
  <c r="DW191" i="16"/>
  <c r="DY191" i="16"/>
  <c r="EA191" i="16"/>
  <c r="EC191" i="16"/>
  <c r="EE191" i="16"/>
  <c r="EG191" i="16"/>
  <c r="EI191" i="16"/>
  <c r="EK191" i="16"/>
  <c r="EM191" i="16"/>
  <c r="EO191" i="16"/>
  <c r="EQ191" i="16"/>
  <c r="ES191" i="16"/>
  <c r="EU191" i="16"/>
  <c r="EW191" i="16"/>
  <c r="EY191" i="16"/>
  <c r="FA191" i="16"/>
  <c r="FC191" i="16"/>
  <c r="FE191" i="16"/>
  <c r="FG191" i="16"/>
  <c r="FI191" i="16"/>
  <c r="FK191" i="16"/>
  <c r="FM191" i="16"/>
  <c r="FO191" i="16"/>
  <c r="FQ191" i="16"/>
  <c r="FS191" i="16"/>
  <c r="FU191" i="16"/>
  <c r="FW191" i="16"/>
  <c r="FY191" i="16"/>
  <c r="GA191" i="16"/>
  <c r="GC191" i="16"/>
  <c r="CZ193" i="16"/>
  <c r="DB193" i="16"/>
  <c r="DD193" i="16"/>
  <c r="DF193" i="16"/>
  <c r="DH193" i="16"/>
  <c r="DJ193" i="16"/>
  <c r="DL193" i="16"/>
  <c r="DN193" i="16"/>
  <c r="DP193" i="16"/>
  <c r="DR193" i="16"/>
  <c r="DT193" i="16"/>
  <c r="DV193" i="16"/>
  <c r="DX193" i="16"/>
  <c r="DZ193" i="16"/>
  <c r="EB193" i="16"/>
  <c r="ED193" i="16"/>
  <c r="EF193" i="16"/>
  <c r="EH193" i="16"/>
  <c r="EJ193" i="16"/>
  <c r="EL193" i="16"/>
  <c r="EN193" i="16"/>
  <c r="EP193" i="16"/>
  <c r="ER193" i="16"/>
  <c r="ET193" i="16"/>
  <c r="EV193" i="16"/>
  <c r="EX193" i="16"/>
  <c r="EZ193" i="16"/>
  <c r="FB193" i="16"/>
  <c r="FD193" i="16"/>
  <c r="FF193" i="16"/>
  <c r="FH193" i="16"/>
  <c r="FJ193" i="16"/>
  <c r="FL193" i="16"/>
  <c r="FN193" i="16"/>
  <c r="FP193" i="16"/>
  <c r="FR193" i="16"/>
  <c r="FT193" i="16"/>
  <c r="FV193" i="16"/>
  <c r="FX193" i="16"/>
  <c r="FZ193" i="16"/>
  <c r="GB193" i="16"/>
  <c r="GD193" i="16"/>
  <c r="CY193" i="16"/>
  <c r="DA193" i="16"/>
  <c r="DC193" i="16"/>
  <c r="DE193" i="16"/>
  <c r="DG193" i="16"/>
  <c r="DI193" i="16"/>
  <c r="DK193" i="16"/>
  <c r="DM193" i="16"/>
  <c r="DO193" i="16"/>
  <c r="DQ193" i="16"/>
  <c r="DS193" i="16"/>
  <c r="DU193" i="16"/>
  <c r="DW193" i="16"/>
  <c r="DY193" i="16"/>
  <c r="EA193" i="16"/>
  <c r="EC193" i="16"/>
  <c r="EE193" i="16"/>
  <c r="EG193" i="16"/>
  <c r="EI193" i="16"/>
  <c r="EK193" i="16"/>
  <c r="EM193" i="16"/>
  <c r="EO193" i="16"/>
  <c r="EQ193" i="16"/>
  <c r="ES193" i="16"/>
  <c r="EU193" i="16"/>
  <c r="EW193" i="16"/>
  <c r="EY193" i="16"/>
  <c r="FA193" i="16"/>
  <c r="FC193" i="16"/>
  <c r="FE193" i="16"/>
  <c r="FG193" i="16"/>
  <c r="FI193" i="16"/>
  <c r="FK193" i="16"/>
  <c r="FM193" i="16"/>
  <c r="FO193" i="16"/>
  <c r="FQ193" i="16"/>
  <c r="FS193" i="16"/>
  <c r="FU193" i="16"/>
  <c r="FW193" i="16"/>
  <c r="FY193" i="16"/>
  <c r="GA193" i="16"/>
  <c r="GC193" i="16"/>
  <c r="CZ195" i="16"/>
  <c r="DB195" i="16"/>
  <c r="DD195" i="16"/>
  <c r="CY195" i="16"/>
  <c r="DC195" i="16"/>
  <c r="DF195" i="16"/>
  <c r="DH195" i="16"/>
  <c r="DJ195" i="16"/>
  <c r="DL195" i="16"/>
  <c r="DN195" i="16"/>
  <c r="DP195" i="16"/>
  <c r="DR195" i="16"/>
  <c r="DT195" i="16"/>
  <c r="DV195" i="16"/>
  <c r="DX195" i="16"/>
  <c r="DZ195" i="16"/>
  <c r="EB195" i="16"/>
  <c r="ED195" i="16"/>
  <c r="EF195" i="16"/>
  <c r="EH195" i="16"/>
  <c r="EJ195" i="16"/>
  <c r="EL195" i="16"/>
  <c r="EN195" i="16"/>
  <c r="EP195" i="16"/>
  <c r="ER195" i="16"/>
  <c r="ET195" i="16"/>
  <c r="EV195" i="16"/>
  <c r="EX195" i="16"/>
  <c r="EZ195" i="16"/>
  <c r="FB195" i="16"/>
  <c r="FD195" i="16"/>
  <c r="FF195" i="16"/>
  <c r="FH195" i="16"/>
  <c r="FJ195" i="16"/>
  <c r="FL195" i="16"/>
  <c r="FN195" i="16"/>
  <c r="FP195" i="16"/>
  <c r="FR195" i="16"/>
  <c r="FT195" i="16"/>
  <c r="FV195" i="16"/>
  <c r="FX195" i="16"/>
  <c r="FZ195" i="16"/>
  <c r="GB195" i="16"/>
  <c r="GD195" i="16"/>
  <c r="DA195" i="16"/>
  <c r="DE195" i="16"/>
  <c r="DG195" i="16"/>
  <c r="DI195" i="16"/>
  <c r="DK195" i="16"/>
  <c r="DM195" i="16"/>
  <c r="DO195" i="16"/>
  <c r="DQ195" i="16"/>
  <c r="DS195" i="16"/>
  <c r="DU195" i="16"/>
  <c r="DW195" i="16"/>
  <c r="DY195" i="16"/>
  <c r="EA195" i="16"/>
  <c r="EC195" i="16"/>
  <c r="EE195" i="16"/>
  <c r="EG195" i="16"/>
  <c r="EI195" i="16"/>
  <c r="EK195" i="16"/>
  <c r="EM195" i="16"/>
  <c r="EO195" i="16"/>
  <c r="EQ195" i="16"/>
  <c r="ES195" i="16"/>
  <c r="EU195" i="16"/>
  <c r="EW195" i="16"/>
  <c r="EY195" i="16"/>
  <c r="FA195" i="16"/>
  <c r="FC195" i="16"/>
  <c r="FE195" i="16"/>
  <c r="FG195" i="16"/>
  <c r="FI195" i="16"/>
  <c r="FK195" i="16"/>
  <c r="FM195" i="16"/>
  <c r="FO195" i="16"/>
  <c r="FQ195" i="16"/>
  <c r="FS195" i="16"/>
  <c r="FU195" i="16"/>
  <c r="FW195" i="16"/>
  <c r="FY195" i="16"/>
  <c r="GA195" i="16"/>
  <c r="GC195" i="16"/>
  <c r="CY196" i="16"/>
  <c r="DA196" i="16"/>
  <c r="DC196" i="16"/>
  <c r="DE196" i="16"/>
  <c r="DG196" i="16"/>
  <c r="DI196" i="16"/>
  <c r="DK196" i="16"/>
  <c r="DM196" i="16"/>
  <c r="DO196" i="16"/>
  <c r="DQ196" i="16"/>
  <c r="DS196" i="16"/>
  <c r="DU196" i="16"/>
  <c r="DW196" i="16"/>
  <c r="DY196" i="16"/>
  <c r="EA196" i="16"/>
  <c r="EC196" i="16"/>
  <c r="EE196" i="16"/>
  <c r="EG196" i="16"/>
  <c r="EI196" i="16"/>
  <c r="EK196" i="16"/>
  <c r="EM196" i="16"/>
  <c r="EO196" i="16"/>
  <c r="EQ196" i="16"/>
  <c r="ES196" i="16"/>
  <c r="EU196" i="16"/>
  <c r="EW196" i="16"/>
  <c r="EY196" i="16"/>
  <c r="FA196" i="16"/>
  <c r="FC196" i="16"/>
  <c r="FE196" i="16"/>
  <c r="FG196" i="16"/>
  <c r="FI196" i="16"/>
  <c r="FK196" i="16"/>
  <c r="FM196" i="16"/>
  <c r="FO196" i="16"/>
  <c r="FQ196" i="16"/>
  <c r="FS196" i="16"/>
  <c r="FU196" i="16"/>
  <c r="FW196" i="16"/>
  <c r="FY196" i="16"/>
  <c r="GA196" i="16"/>
  <c r="GC196" i="16"/>
  <c r="CZ196" i="16"/>
  <c r="DB196" i="16"/>
  <c r="DD196" i="16"/>
  <c r="DF196" i="16"/>
  <c r="DH196" i="16"/>
  <c r="DJ196" i="16"/>
  <c r="DL196" i="16"/>
  <c r="DN196" i="16"/>
  <c r="DP196" i="16"/>
  <c r="DR196" i="16"/>
  <c r="DT196" i="16"/>
  <c r="DV196" i="16"/>
  <c r="DX196" i="16"/>
  <c r="DZ196" i="16"/>
  <c r="EB196" i="16"/>
  <c r="ED196" i="16"/>
  <c r="EF196" i="16"/>
  <c r="EH196" i="16"/>
  <c r="EJ196" i="16"/>
  <c r="EL196" i="16"/>
  <c r="EN196" i="16"/>
  <c r="EP196" i="16"/>
  <c r="ER196" i="16"/>
  <c r="ET196" i="16"/>
  <c r="EV196" i="16"/>
  <c r="EX196" i="16"/>
  <c r="EZ196" i="16"/>
  <c r="FB196" i="16"/>
  <c r="FD196" i="16"/>
  <c r="FF196" i="16"/>
  <c r="FH196" i="16"/>
  <c r="FJ196" i="16"/>
  <c r="FL196" i="16"/>
  <c r="FN196" i="16"/>
  <c r="FP196" i="16"/>
  <c r="FR196" i="16"/>
  <c r="FT196" i="16"/>
  <c r="FV196" i="16"/>
  <c r="FX196" i="16"/>
  <c r="FZ196" i="16"/>
  <c r="GB196" i="16"/>
  <c r="GD196" i="16"/>
  <c r="CZ199" i="16"/>
  <c r="DB199" i="16"/>
  <c r="DD199" i="16"/>
  <c r="DF199" i="16"/>
  <c r="DH199" i="16"/>
  <c r="DJ199" i="16"/>
  <c r="DL199" i="16"/>
  <c r="DN199" i="16"/>
  <c r="DP199" i="16"/>
  <c r="DR199" i="16"/>
  <c r="DT199" i="16"/>
  <c r="DV199" i="16"/>
  <c r="DX199" i="16"/>
  <c r="DZ199" i="16"/>
  <c r="EB199" i="16"/>
  <c r="ED199" i="16"/>
  <c r="EF199" i="16"/>
  <c r="EH199" i="16"/>
  <c r="EJ199" i="16"/>
  <c r="EL199" i="16"/>
  <c r="EN199" i="16"/>
  <c r="EP199" i="16"/>
  <c r="ER199" i="16"/>
  <c r="ET199" i="16"/>
  <c r="EV199" i="16"/>
  <c r="EX199" i="16"/>
  <c r="EZ199" i="16"/>
  <c r="FB199" i="16"/>
  <c r="FD199" i="16"/>
  <c r="FF199" i="16"/>
  <c r="FH199" i="16"/>
  <c r="FJ199" i="16"/>
  <c r="FL199" i="16"/>
  <c r="FN199" i="16"/>
  <c r="FP199" i="16"/>
  <c r="FR199" i="16"/>
  <c r="FT199" i="16"/>
  <c r="FV199" i="16"/>
  <c r="FX199" i="16"/>
  <c r="FZ199" i="16"/>
  <c r="GB199" i="16"/>
  <c r="GD199" i="16"/>
  <c r="CY199" i="16"/>
  <c r="DA199" i="16"/>
  <c r="DC199" i="16"/>
  <c r="DE199" i="16"/>
  <c r="DG199" i="16"/>
  <c r="DI199" i="16"/>
  <c r="DK199" i="16"/>
  <c r="DM199" i="16"/>
  <c r="DO199" i="16"/>
  <c r="DQ199" i="16"/>
  <c r="DS199" i="16"/>
  <c r="DU199" i="16"/>
  <c r="DW199" i="16"/>
  <c r="DY199" i="16"/>
  <c r="EA199" i="16"/>
  <c r="EC199" i="16"/>
  <c r="EE199" i="16"/>
  <c r="EG199" i="16"/>
  <c r="EI199" i="16"/>
  <c r="EK199" i="16"/>
  <c r="EM199" i="16"/>
  <c r="EO199" i="16"/>
  <c r="EQ199" i="16"/>
  <c r="ES199" i="16"/>
  <c r="EU199" i="16"/>
  <c r="EW199" i="16"/>
  <c r="EY199" i="16"/>
  <c r="FA199" i="16"/>
  <c r="FC199" i="16"/>
  <c r="FE199" i="16"/>
  <c r="FG199" i="16"/>
  <c r="FI199" i="16"/>
  <c r="FK199" i="16"/>
  <c r="FM199" i="16"/>
  <c r="FO199" i="16"/>
  <c r="FQ199" i="16"/>
  <c r="FS199" i="16"/>
  <c r="FU199" i="16"/>
  <c r="FW199" i="16"/>
  <c r="FY199" i="16"/>
  <c r="GA199" i="16"/>
  <c r="GC199" i="16"/>
  <c r="CZ201" i="16"/>
  <c r="DB201" i="16"/>
  <c r="DD201" i="16"/>
  <c r="DF201" i="16"/>
  <c r="DH201" i="16"/>
  <c r="DJ201" i="16"/>
  <c r="DL201" i="16"/>
  <c r="DN201" i="16"/>
  <c r="DP201" i="16"/>
  <c r="DR201" i="16"/>
  <c r="DT201" i="16"/>
  <c r="DV201" i="16"/>
  <c r="DX201" i="16"/>
  <c r="DZ201" i="16"/>
  <c r="EB201" i="16"/>
  <c r="ED201" i="16"/>
  <c r="EF201" i="16"/>
  <c r="EH201" i="16"/>
  <c r="EJ201" i="16"/>
  <c r="EL201" i="16"/>
  <c r="EN201" i="16"/>
  <c r="EP201" i="16"/>
  <c r="ER201" i="16"/>
  <c r="ET201" i="16"/>
  <c r="EV201" i="16"/>
  <c r="EX201" i="16"/>
  <c r="EZ201" i="16"/>
  <c r="FB201" i="16"/>
  <c r="FD201" i="16"/>
  <c r="FF201" i="16"/>
  <c r="FH201" i="16"/>
  <c r="FJ201" i="16"/>
  <c r="FL201" i="16"/>
  <c r="FN201" i="16"/>
  <c r="FP201" i="16"/>
  <c r="FR201" i="16"/>
  <c r="FT201" i="16"/>
  <c r="FV201" i="16"/>
  <c r="FX201" i="16"/>
  <c r="FZ201" i="16"/>
  <c r="GB201" i="16"/>
  <c r="GD201" i="16"/>
  <c r="CY201" i="16"/>
  <c r="DA201" i="16"/>
  <c r="DC201" i="16"/>
  <c r="DE201" i="16"/>
  <c r="DG201" i="16"/>
  <c r="DI201" i="16"/>
  <c r="DK201" i="16"/>
  <c r="DM201" i="16"/>
  <c r="DO201" i="16"/>
  <c r="DQ201" i="16"/>
  <c r="DS201" i="16"/>
  <c r="DU201" i="16"/>
  <c r="DW201" i="16"/>
  <c r="DY201" i="16"/>
  <c r="EA201" i="16"/>
  <c r="EC201" i="16"/>
  <c r="EE201" i="16"/>
  <c r="EG201" i="16"/>
  <c r="EI201" i="16"/>
  <c r="EK201" i="16"/>
  <c r="EM201" i="16"/>
  <c r="EO201" i="16"/>
  <c r="EQ201" i="16"/>
  <c r="ES201" i="16"/>
  <c r="EU201" i="16"/>
  <c r="EW201" i="16"/>
  <c r="EY201" i="16"/>
  <c r="FA201" i="16"/>
  <c r="FC201" i="16"/>
  <c r="FE201" i="16"/>
  <c r="FG201" i="16"/>
  <c r="FI201" i="16"/>
  <c r="FK201" i="16"/>
  <c r="FM201" i="16"/>
  <c r="FO201" i="16"/>
  <c r="FQ201" i="16"/>
  <c r="FS201" i="16"/>
  <c r="FU201" i="16"/>
  <c r="FW201" i="16"/>
  <c r="FY201" i="16"/>
  <c r="GA201" i="16"/>
  <c r="GC201" i="16"/>
  <c r="CZ203" i="16"/>
  <c r="DB203" i="16"/>
  <c r="DD203" i="16"/>
  <c r="DF203" i="16"/>
  <c r="DH203" i="16"/>
  <c r="DJ203" i="16"/>
  <c r="DL203" i="16"/>
  <c r="DN203" i="16"/>
  <c r="DP203" i="16"/>
  <c r="DR203" i="16"/>
  <c r="DT203" i="16"/>
  <c r="DV203" i="16"/>
  <c r="DX203" i="16"/>
  <c r="DZ203" i="16"/>
  <c r="EB203" i="16"/>
  <c r="ED203" i="16"/>
  <c r="EF203" i="16"/>
  <c r="EH203" i="16"/>
  <c r="EJ203" i="16"/>
  <c r="EL203" i="16"/>
  <c r="EN203" i="16"/>
  <c r="EP203" i="16"/>
  <c r="ER203" i="16"/>
  <c r="ET203" i="16"/>
  <c r="EV203" i="16"/>
  <c r="EX203" i="16"/>
  <c r="EZ203" i="16"/>
  <c r="FB203" i="16"/>
  <c r="FD203" i="16"/>
  <c r="FF203" i="16"/>
  <c r="FH203" i="16"/>
  <c r="FJ203" i="16"/>
  <c r="FL203" i="16"/>
  <c r="FN203" i="16"/>
  <c r="FP203" i="16"/>
  <c r="FR203" i="16"/>
  <c r="FT203" i="16"/>
  <c r="FV203" i="16"/>
  <c r="FX203" i="16"/>
  <c r="FZ203" i="16"/>
  <c r="GB203" i="16"/>
  <c r="GD203" i="16"/>
  <c r="CY203" i="16"/>
  <c r="DA203" i="16"/>
  <c r="DC203" i="16"/>
  <c r="DE203" i="16"/>
  <c r="DG203" i="16"/>
  <c r="DI203" i="16"/>
  <c r="DK203" i="16"/>
  <c r="DM203" i="16"/>
  <c r="DO203" i="16"/>
  <c r="DQ203" i="16"/>
  <c r="DS203" i="16"/>
  <c r="DU203" i="16"/>
  <c r="DW203" i="16"/>
  <c r="DY203" i="16"/>
  <c r="EA203" i="16"/>
  <c r="EC203" i="16"/>
  <c r="EE203" i="16"/>
  <c r="EG203" i="16"/>
  <c r="EI203" i="16"/>
  <c r="EK203" i="16"/>
  <c r="EM203" i="16"/>
  <c r="EO203" i="16"/>
  <c r="EQ203" i="16"/>
  <c r="ES203" i="16"/>
  <c r="EU203" i="16"/>
  <c r="EW203" i="16"/>
  <c r="EY203" i="16"/>
  <c r="FA203" i="16"/>
  <c r="FC203" i="16"/>
  <c r="FE203" i="16"/>
  <c r="FG203" i="16"/>
  <c r="FI203" i="16"/>
  <c r="FK203" i="16"/>
  <c r="FM203" i="16"/>
  <c r="FO203" i="16"/>
  <c r="FQ203" i="16"/>
  <c r="FS203" i="16"/>
  <c r="FU203" i="16"/>
  <c r="FW203" i="16"/>
  <c r="FY203" i="16"/>
  <c r="GA203" i="16"/>
  <c r="GC203" i="16"/>
  <c r="CY204" i="16"/>
  <c r="DA204" i="16"/>
  <c r="DC204" i="16"/>
  <c r="DE204" i="16"/>
  <c r="DG204" i="16"/>
  <c r="DI204" i="16"/>
  <c r="DK204" i="16"/>
  <c r="DM204" i="16"/>
  <c r="DO204" i="16"/>
  <c r="DQ204" i="16"/>
  <c r="DS204" i="16"/>
  <c r="DU204" i="16"/>
  <c r="DW204" i="16"/>
  <c r="DY204" i="16"/>
  <c r="EA204" i="16"/>
  <c r="EC204" i="16"/>
  <c r="EE204" i="16"/>
  <c r="EG204" i="16"/>
  <c r="EI204" i="16"/>
  <c r="EK204" i="16"/>
  <c r="EM204" i="16"/>
  <c r="EO204" i="16"/>
  <c r="EQ204" i="16"/>
  <c r="ES204" i="16"/>
  <c r="EU204" i="16"/>
  <c r="EW204" i="16"/>
  <c r="EY204" i="16"/>
  <c r="FA204" i="16"/>
  <c r="FC204" i="16"/>
  <c r="FE204" i="16"/>
  <c r="FG204" i="16"/>
  <c r="FI204" i="16"/>
  <c r="FK204" i="16"/>
  <c r="FM204" i="16"/>
  <c r="FO204" i="16"/>
  <c r="FQ204" i="16"/>
  <c r="FS204" i="16"/>
  <c r="FU204" i="16"/>
  <c r="FW204" i="16"/>
  <c r="FY204" i="16"/>
  <c r="GA204" i="16"/>
  <c r="GC204" i="16"/>
  <c r="CZ204" i="16"/>
  <c r="DB204" i="16"/>
  <c r="DD204" i="16"/>
  <c r="DF204" i="16"/>
  <c r="DH204" i="16"/>
  <c r="DJ204" i="16"/>
  <c r="DL204" i="16"/>
  <c r="DN204" i="16"/>
  <c r="DP204" i="16"/>
  <c r="DR204" i="16"/>
  <c r="DT204" i="16"/>
  <c r="DV204" i="16"/>
  <c r="DX204" i="16"/>
  <c r="DZ204" i="16"/>
  <c r="EB204" i="16"/>
  <c r="ED204" i="16"/>
  <c r="EF204" i="16"/>
  <c r="EH204" i="16"/>
  <c r="EJ204" i="16"/>
  <c r="EL204" i="16"/>
  <c r="EN204" i="16"/>
  <c r="EP204" i="16"/>
  <c r="ER204" i="16"/>
  <c r="ET204" i="16"/>
  <c r="EV204" i="16"/>
  <c r="EX204" i="16"/>
  <c r="EZ204" i="16"/>
  <c r="FB204" i="16"/>
  <c r="FD204" i="16"/>
  <c r="FF204" i="16"/>
  <c r="FH204" i="16"/>
  <c r="FJ204" i="16"/>
  <c r="FL204" i="16"/>
  <c r="FN204" i="16"/>
  <c r="FP204" i="16"/>
  <c r="FR204" i="16"/>
  <c r="FT204" i="16"/>
  <c r="FV204" i="16"/>
  <c r="FX204" i="16"/>
  <c r="FZ204" i="16"/>
  <c r="GB204" i="16"/>
  <c r="GD204" i="16"/>
  <c r="CY206" i="16"/>
  <c r="DA206" i="16"/>
  <c r="DC206" i="16"/>
  <c r="DE206" i="16"/>
  <c r="DG206" i="16"/>
  <c r="DI206" i="16"/>
  <c r="DK206" i="16"/>
  <c r="DM206" i="16"/>
  <c r="DO206" i="16"/>
  <c r="DQ206" i="16"/>
  <c r="DS206" i="16"/>
  <c r="DU206" i="16"/>
  <c r="DW206" i="16"/>
  <c r="DY206" i="16"/>
  <c r="EA206" i="16"/>
  <c r="EC206" i="16"/>
  <c r="EE206" i="16"/>
  <c r="EG206" i="16"/>
  <c r="EI206" i="16"/>
  <c r="EK206" i="16"/>
  <c r="EM206" i="16"/>
  <c r="EO206" i="16"/>
  <c r="EQ206" i="16"/>
  <c r="ES206" i="16"/>
  <c r="EU206" i="16"/>
  <c r="EW206" i="16"/>
  <c r="EY206" i="16"/>
  <c r="FA206" i="16"/>
  <c r="FC206" i="16"/>
  <c r="FE206" i="16"/>
  <c r="FG206" i="16"/>
  <c r="FI206" i="16"/>
  <c r="FK206" i="16"/>
  <c r="FM206" i="16"/>
  <c r="FO206" i="16"/>
  <c r="FQ206" i="16"/>
  <c r="FS206" i="16"/>
  <c r="FU206" i="16"/>
  <c r="FW206" i="16"/>
  <c r="FY206" i="16"/>
  <c r="GA206" i="16"/>
  <c r="GC206" i="16"/>
  <c r="CZ206" i="16"/>
  <c r="DB206" i="16"/>
  <c r="DD206" i="16"/>
  <c r="DF206" i="16"/>
  <c r="DH206" i="16"/>
  <c r="DJ206" i="16"/>
  <c r="DL206" i="16"/>
  <c r="DN206" i="16"/>
  <c r="DP206" i="16"/>
  <c r="DR206" i="16"/>
  <c r="DT206" i="16"/>
  <c r="DV206" i="16"/>
  <c r="DX206" i="16"/>
  <c r="DZ206" i="16"/>
  <c r="EB206" i="16"/>
  <c r="ED206" i="16"/>
  <c r="EF206" i="16"/>
  <c r="EH206" i="16"/>
  <c r="EJ206" i="16"/>
  <c r="EL206" i="16"/>
  <c r="EN206" i="16"/>
  <c r="EP206" i="16"/>
  <c r="ER206" i="16"/>
  <c r="ET206" i="16"/>
  <c r="EV206" i="16"/>
  <c r="EX206" i="16"/>
  <c r="EZ206" i="16"/>
  <c r="FB206" i="16"/>
  <c r="FD206" i="16"/>
  <c r="FF206" i="16"/>
  <c r="FH206" i="16"/>
  <c r="FJ206" i="16"/>
  <c r="FL206" i="16"/>
  <c r="FN206" i="16"/>
  <c r="FP206" i="16"/>
  <c r="FR206" i="16"/>
  <c r="FT206" i="16"/>
  <c r="FV206" i="16"/>
  <c r="FX206" i="16"/>
  <c r="FZ206" i="16"/>
  <c r="GB206" i="16"/>
  <c r="GD206" i="16"/>
  <c r="CY208" i="16"/>
  <c r="DA208" i="16"/>
  <c r="DC208" i="16"/>
  <c r="DE208" i="16"/>
  <c r="DG208" i="16"/>
  <c r="DI208" i="16"/>
  <c r="DK208" i="16"/>
  <c r="DM208" i="16"/>
  <c r="DO208" i="16"/>
  <c r="DQ208" i="16"/>
  <c r="DS208" i="16"/>
  <c r="DU208" i="16"/>
  <c r="DW208" i="16"/>
  <c r="DY208" i="16"/>
  <c r="EA208" i="16"/>
  <c r="EC208" i="16"/>
  <c r="EE208" i="16"/>
  <c r="EG208" i="16"/>
  <c r="EI208" i="16"/>
  <c r="EK208" i="16"/>
  <c r="EM208" i="16"/>
  <c r="EO208" i="16"/>
  <c r="EQ208" i="16"/>
  <c r="ES208" i="16"/>
  <c r="EU208" i="16"/>
  <c r="EW208" i="16"/>
  <c r="EY208" i="16"/>
  <c r="FA208" i="16"/>
  <c r="FC208" i="16"/>
  <c r="FE208" i="16"/>
  <c r="FG208" i="16"/>
  <c r="FI208" i="16"/>
  <c r="FK208" i="16"/>
  <c r="FM208" i="16"/>
  <c r="FO208" i="16"/>
  <c r="FQ208" i="16"/>
  <c r="FS208" i="16"/>
  <c r="FU208" i="16"/>
  <c r="FW208" i="16"/>
  <c r="FY208" i="16"/>
  <c r="GA208" i="16"/>
  <c r="GC208" i="16"/>
  <c r="CZ208" i="16"/>
  <c r="DB208" i="16"/>
  <c r="DD208" i="16"/>
  <c r="DF208" i="16"/>
  <c r="DH208" i="16"/>
  <c r="DJ208" i="16"/>
  <c r="DL208" i="16"/>
  <c r="DN208" i="16"/>
  <c r="DP208" i="16"/>
  <c r="DR208" i="16"/>
  <c r="DT208" i="16"/>
  <c r="DV208" i="16"/>
  <c r="DX208" i="16"/>
  <c r="DZ208" i="16"/>
  <c r="EB208" i="16"/>
  <c r="ED208" i="16"/>
  <c r="EF208" i="16"/>
  <c r="EH208" i="16"/>
  <c r="EJ208" i="16"/>
  <c r="EL208" i="16"/>
  <c r="EN208" i="16"/>
  <c r="EP208" i="16"/>
  <c r="ER208" i="16"/>
  <c r="ET208" i="16"/>
  <c r="EV208" i="16"/>
  <c r="EX208" i="16"/>
  <c r="EZ208" i="16"/>
  <c r="FB208" i="16"/>
  <c r="FD208" i="16"/>
  <c r="FF208" i="16"/>
  <c r="FH208" i="16"/>
  <c r="FJ208" i="16"/>
  <c r="FL208" i="16"/>
  <c r="FN208" i="16"/>
  <c r="FP208" i="16"/>
  <c r="FR208" i="16"/>
  <c r="FT208" i="16"/>
  <c r="FV208" i="16"/>
  <c r="FX208" i="16"/>
  <c r="FZ208" i="16"/>
  <c r="GB208" i="16"/>
  <c r="GD208" i="16"/>
  <c r="CY210" i="16"/>
  <c r="DA210" i="16"/>
  <c r="DC210" i="16"/>
  <c r="DE210" i="16"/>
  <c r="DG210" i="16"/>
  <c r="DI210" i="16"/>
  <c r="DK210" i="16"/>
  <c r="DM210" i="16"/>
  <c r="DO210" i="16"/>
  <c r="DQ210" i="16"/>
  <c r="DS210" i="16"/>
  <c r="DU210" i="16"/>
  <c r="DW210" i="16"/>
  <c r="DY210" i="16"/>
  <c r="EA210" i="16"/>
  <c r="EC210" i="16"/>
  <c r="EE210" i="16"/>
  <c r="EG210" i="16"/>
  <c r="EI210" i="16"/>
  <c r="EK210" i="16"/>
  <c r="EM210" i="16"/>
  <c r="EO210" i="16"/>
  <c r="EQ210" i="16"/>
  <c r="ES210" i="16"/>
  <c r="EU210" i="16"/>
  <c r="EW210" i="16"/>
  <c r="EY210" i="16"/>
  <c r="FA210" i="16"/>
  <c r="FC210" i="16"/>
  <c r="FE210" i="16"/>
  <c r="FG210" i="16"/>
  <c r="FI210" i="16"/>
  <c r="FK210" i="16"/>
  <c r="FM210" i="16"/>
  <c r="FO210" i="16"/>
  <c r="FQ210" i="16"/>
  <c r="FS210" i="16"/>
  <c r="FU210" i="16"/>
  <c r="FW210" i="16"/>
  <c r="FY210" i="16"/>
  <c r="GA210" i="16"/>
  <c r="GC210" i="16"/>
  <c r="CZ210" i="16"/>
  <c r="DB210" i="16"/>
  <c r="DD210" i="16"/>
  <c r="DF210" i="16"/>
  <c r="DH210" i="16"/>
  <c r="DJ210" i="16"/>
  <c r="DL210" i="16"/>
  <c r="DN210" i="16"/>
  <c r="DP210" i="16"/>
  <c r="DR210" i="16"/>
  <c r="DT210" i="16"/>
  <c r="DV210" i="16"/>
  <c r="DX210" i="16"/>
  <c r="DZ210" i="16"/>
  <c r="EB210" i="16"/>
  <c r="ED210" i="16"/>
  <c r="EF210" i="16"/>
  <c r="EH210" i="16"/>
  <c r="EJ210" i="16"/>
  <c r="EL210" i="16"/>
  <c r="EN210" i="16"/>
  <c r="EP210" i="16"/>
  <c r="ER210" i="16"/>
  <c r="ET210" i="16"/>
  <c r="EV210" i="16"/>
  <c r="EX210" i="16"/>
  <c r="EZ210" i="16"/>
  <c r="FB210" i="16"/>
  <c r="FD210" i="16"/>
  <c r="FF210" i="16"/>
  <c r="FH210" i="16"/>
  <c r="FJ210" i="16"/>
  <c r="FL210" i="16"/>
  <c r="FN210" i="16"/>
  <c r="FP210" i="16"/>
  <c r="FR210" i="16"/>
  <c r="FT210" i="16"/>
  <c r="FV210" i="16"/>
  <c r="FX210" i="16"/>
  <c r="FZ210" i="16"/>
  <c r="GB210" i="16"/>
  <c r="GD210" i="16"/>
  <c r="CZ213" i="16"/>
  <c r="DB213" i="16"/>
  <c r="DD213" i="16"/>
  <c r="DF213" i="16"/>
  <c r="DH213" i="16"/>
  <c r="DJ213" i="16"/>
  <c r="DL213" i="16"/>
  <c r="DN213" i="16"/>
  <c r="DP213" i="16"/>
  <c r="DR213" i="16"/>
  <c r="DT213" i="16"/>
  <c r="DV213" i="16"/>
  <c r="DX213" i="16"/>
  <c r="DZ213" i="16"/>
  <c r="EB213" i="16"/>
  <c r="ED213" i="16"/>
  <c r="EF213" i="16"/>
  <c r="EH213" i="16"/>
  <c r="EJ213" i="16"/>
  <c r="EL213" i="16"/>
  <c r="EN213" i="16"/>
  <c r="EP213" i="16"/>
  <c r="ER213" i="16"/>
  <c r="ET213" i="16"/>
  <c r="EV213" i="16"/>
  <c r="EX213" i="16"/>
  <c r="EZ213" i="16"/>
  <c r="FB213" i="16"/>
  <c r="FD213" i="16"/>
  <c r="FF213" i="16"/>
  <c r="FH213" i="16"/>
  <c r="FJ213" i="16"/>
  <c r="FL213" i="16"/>
  <c r="FN213" i="16"/>
  <c r="FP213" i="16"/>
  <c r="FR213" i="16"/>
  <c r="FT213" i="16"/>
  <c r="FV213" i="16"/>
  <c r="FX213" i="16"/>
  <c r="FZ213" i="16"/>
  <c r="GB213" i="16"/>
  <c r="GD213" i="16"/>
  <c r="CY213" i="16"/>
  <c r="DA213" i="16"/>
  <c r="DC213" i="16"/>
  <c r="DE213" i="16"/>
  <c r="DG213" i="16"/>
  <c r="DI213" i="16"/>
  <c r="DK213" i="16"/>
  <c r="DM213" i="16"/>
  <c r="DO213" i="16"/>
  <c r="DQ213" i="16"/>
  <c r="DS213" i="16"/>
  <c r="DU213" i="16"/>
  <c r="DW213" i="16"/>
  <c r="DY213" i="16"/>
  <c r="EA213" i="16"/>
  <c r="EC213" i="16"/>
  <c r="EE213" i="16"/>
  <c r="EG213" i="16"/>
  <c r="EI213" i="16"/>
  <c r="EK213" i="16"/>
  <c r="EM213" i="16"/>
  <c r="EO213" i="16"/>
  <c r="EQ213" i="16"/>
  <c r="ES213" i="16"/>
  <c r="EU213" i="16"/>
  <c r="EW213" i="16"/>
  <c r="EY213" i="16"/>
  <c r="FA213" i="16"/>
  <c r="FC213" i="16"/>
  <c r="FE213" i="16"/>
  <c r="FG213" i="16"/>
  <c r="FI213" i="16"/>
  <c r="FK213" i="16"/>
  <c r="FM213" i="16"/>
  <c r="FO213" i="16"/>
  <c r="FQ213" i="16"/>
  <c r="FS213" i="16"/>
  <c r="FU213" i="16"/>
  <c r="FW213" i="16"/>
  <c r="FY213" i="16"/>
  <c r="GA213" i="16"/>
  <c r="GC213" i="16"/>
  <c r="CY216" i="16"/>
  <c r="DA216" i="16"/>
  <c r="DC216" i="16"/>
  <c r="DE216" i="16"/>
  <c r="DG216" i="16"/>
  <c r="DI216" i="16"/>
  <c r="DK216" i="16"/>
  <c r="DM216" i="16"/>
  <c r="DO216" i="16"/>
  <c r="DQ216" i="16"/>
  <c r="DS216" i="16"/>
  <c r="DU216" i="16"/>
  <c r="DW216" i="16"/>
  <c r="DY216" i="16"/>
  <c r="EA216" i="16"/>
  <c r="EC216" i="16"/>
  <c r="EE216" i="16"/>
  <c r="EG216" i="16"/>
  <c r="EI216" i="16"/>
  <c r="EK216" i="16"/>
  <c r="EM216" i="16"/>
  <c r="EO216" i="16"/>
  <c r="EQ216" i="16"/>
  <c r="ES216" i="16"/>
  <c r="EU216" i="16"/>
  <c r="EW216" i="16"/>
  <c r="EY216" i="16"/>
  <c r="FA216" i="16"/>
  <c r="FC216" i="16"/>
  <c r="FE216" i="16"/>
  <c r="FG216" i="16"/>
  <c r="FI216" i="16"/>
  <c r="FK216" i="16"/>
  <c r="FM216" i="16"/>
  <c r="FO216" i="16"/>
  <c r="FQ216" i="16"/>
  <c r="FS216" i="16"/>
  <c r="FU216" i="16"/>
  <c r="FW216" i="16"/>
  <c r="FY216" i="16"/>
  <c r="GA216" i="16"/>
  <c r="GC216" i="16"/>
  <c r="CZ216" i="16"/>
  <c r="DB216" i="16"/>
  <c r="DD216" i="16"/>
  <c r="DF216" i="16"/>
  <c r="DH216" i="16"/>
  <c r="DJ216" i="16"/>
  <c r="DL216" i="16"/>
  <c r="DN216" i="16"/>
  <c r="DP216" i="16"/>
  <c r="DR216" i="16"/>
  <c r="DT216" i="16"/>
  <c r="DV216" i="16"/>
  <c r="DX216" i="16"/>
  <c r="DZ216" i="16"/>
  <c r="EB216" i="16"/>
  <c r="ED216" i="16"/>
  <c r="EF216" i="16"/>
  <c r="EH216" i="16"/>
  <c r="EJ216" i="16"/>
  <c r="EL216" i="16"/>
  <c r="EN216" i="16"/>
  <c r="EP216" i="16"/>
  <c r="ER216" i="16"/>
  <c r="ET216" i="16"/>
  <c r="EV216" i="16"/>
  <c r="EX216" i="16"/>
  <c r="EZ216" i="16"/>
  <c r="FB216" i="16"/>
  <c r="FD216" i="16"/>
  <c r="FF216" i="16"/>
  <c r="FH216" i="16"/>
  <c r="FJ216" i="16"/>
  <c r="FL216" i="16"/>
  <c r="FN216" i="16"/>
  <c r="FP216" i="16"/>
  <c r="FR216" i="16"/>
  <c r="FT216" i="16"/>
  <c r="FV216" i="16"/>
  <c r="FX216" i="16"/>
  <c r="FZ216" i="16"/>
  <c r="GB216" i="16"/>
  <c r="GD216" i="16"/>
  <c r="CY218" i="16"/>
  <c r="DA218" i="16"/>
  <c r="DC218" i="16"/>
  <c r="DE218" i="16"/>
  <c r="DG218" i="16"/>
  <c r="DI218" i="16"/>
  <c r="DK218" i="16"/>
  <c r="DM218" i="16"/>
  <c r="DO218" i="16"/>
  <c r="DQ218" i="16"/>
  <c r="DS218" i="16"/>
  <c r="DU218" i="16"/>
  <c r="DW218" i="16"/>
  <c r="DY218" i="16"/>
  <c r="EA218" i="16"/>
  <c r="EC218" i="16"/>
  <c r="EE218" i="16"/>
  <c r="EG218" i="16"/>
  <c r="EI218" i="16"/>
  <c r="EK218" i="16"/>
  <c r="EM218" i="16"/>
  <c r="EO218" i="16"/>
  <c r="EQ218" i="16"/>
  <c r="ES218" i="16"/>
  <c r="EU218" i="16"/>
  <c r="EW218" i="16"/>
  <c r="EY218" i="16"/>
  <c r="FA218" i="16"/>
  <c r="FC218" i="16"/>
  <c r="FE218" i="16"/>
  <c r="FG218" i="16"/>
  <c r="FI218" i="16"/>
  <c r="FK218" i="16"/>
  <c r="FM218" i="16"/>
  <c r="FO218" i="16"/>
  <c r="FQ218" i="16"/>
  <c r="FS218" i="16"/>
  <c r="FU218" i="16"/>
  <c r="FW218" i="16"/>
  <c r="FY218" i="16"/>
  <c r="GA218" i="16"/>
  <c r="GC218" i="16"/>
  <c r="CZ218" i="16"/>
  <c r="DB218" i="16"/>
  <c r="DD218" i="16"/>
  <c r="DF218" i="16"/>
  <c r="DH218" i="16"/>
  <c r="DJ218" i="16"/>
  <c r="DL218" i="16"/>
  <c r="DN218" i="16"/>
  <c r="DP218" i="16"/>
  <c r="DR218" i="16"/>
  <c r="DT218" i="16"/>
  <c r="DV218" i="16"/>
  <c r="DX218" i="16"/>
  <c r="DZ218" i="16"/>
  <c r="EB218" i="16"/>
  <c r="ED218" i="16"/>
  <c r="EF218" i="16"/>
  <c r="EH218" i="16"/>
  <c r="EJ218" i="16"/>
  <c r="EL218" i="16"/>
  <c r="EN218" i="16"/>
  <c r="EP218" i="16"/>
  <c r="ER218" i="16"/>
  <c r="ET218" i="16"/>
  <c r="EV218" i="16"/>
  <c r="EX218" i="16"/>
  <c r="EZ218" i="16"/>
  <c r="FB218" i="16"/>
  <c r="FD218" i="16"/>
  <c r="FF218" i="16"/>
  <c r="FH218" i="16"/>
  <c r="FJ218" i="16"/>
  <c r="FL218" i="16"/>
  <c r="FN218" i="16"/>
  <c r="FP218" i="16"/>
  <c r="FR218" i="16"/>
  <c r="FT218" i="16"/>
  <c r="FV218" i="16"/>
  <c r="FX218" i="16"/>
  <c r="FZ218" i="16"/>
  <c r="GB218" i="16"/>
  <c r="GD218" i="16"/>
  <c r="CY220" i="16"/>
  <c r="DA220" i="16"/>
  <c r="DC220" i="16"/>
  <c r="DE220" i="16"/>
  <c r="DG220" i="16"/>
  <c r="DI220" i="16"/>
  <c r="DK220" i="16"/>
  <c r="DM220" i="16"/>
  <c r="DO220" i="16"/>
  <c r="DQ220" i="16"/>
  <c r="DS220" i="16"/>
  <c r="DU220" i="16"/>
  <c r="DW220" i="16"/>
  <c r="DY220" i="16"/>
  <c r="EA220" i="16"/>
  <c r="EC220" i="16"/>
  <c r="EE220" i="16"/>
  <c r="EG220" i="16"/>
  <c r="EI220" i="16"/>
  <c r="EK220" i="16"/>
  <c r="EM220" i="16"/>
  <c r="EO220" i="16"/>
  <c r="EQ220" i="16"/>
  <c r="ES220" i="16"/>
  <c r="EU220" i="16"/>
  <c r="EW220" i="16"/>
  <c r="EY220" i="16"/>
  <c r="FA220" i="16"/>
  <c r="FC220" i="16"/>
  <c r="FE220" i="16"/>
  <c r="FG220" i="16"/>
  <c r="FI220" i="16"/>
  <c r="FK220" i="16"/>
  <c r="FM220" i="16"/>
  <c r="FO220" i="16"/>
  <c r="FQ220" i="16"/>
  <c r="FS220" i="16"/>
  <c r="FU220" i="16"/>
  <c r="FW220" i="16"/>
  <c r="FY220" i="16"/>
  <c r="GA220" i="16"/>
  <c r="GC220" i="16"/>
  <c r="CZ220" i="16"/>
  <c r="DB220" i="16"/>
  <c r="DD220" i="16"/>
  <c r="DF220" i="16"/>
  <c r="DH220" i="16"/>
  <c r="DJ220" i="16"/>
  <c r="DL220" i="16"/>
  <c r="DN220" i="16"/>
  <c r="DP220" i="16"/>
  <c r="DR220" i="16"/>
  <c r="DT220" i="16"/>
  <c r="DV220" i="16"/>
  <c r="DX220" i="16"/>
  <c r="DZ220" i="16"/>
  <c r="EB220" i="16"/>
  <c r="ED220" i="16"/>
  <c r="EF220" i="16"/>
  <c r="EH220" i="16"/>
  <c r="EJ220" i="16"/>
  <c r="EL220" i="16"/>
  <c r="EN220" i="16"/>
  <c r="EP220" i="16"/>
  <c r="ER220" i="16"/>
  <c r="ET220" i="16"/>
  <c r="EV220" i="16"/>
  <c r="EX220" i="16"/>
  <c r="EZ220" i="16"/>
  <c r="FB220" i="16"/>
  <c r="FD220" i="16"/>
  <c r="FF220" i="16"/>
  <c r="FH220" i="16"/>
  <c r="FJ220" i="16"/>
  <c r="FL220" i="16"/>
  <c r="FN220" i="16"/>
  <c r="FP220" i="16"/>
  <c r="FR220" i="16"/>
  <c r="FT220" i="16"/>
  <c r="FV220" i="16"/>
  <c r="FX220" i="16"/>
  <c r="FZ220" i="16"/>
  <c r="GB220" i="16"/>
  <c r="GD220" i="16"/>
  <c r="CY222" i="16"/>
  <c r="DA222" i="16"/>
  <c r="DC222" i="16"/>
  <c r="DE222" i="16"/>
  <c r="DG222" i="16"/>
  <c r="DI222" i="16"/>
  <c r="DK222" i="16"/>
  <c r="DM222" i="16"/>
  <c r="DO222" i="16"/>
  <c r="DQ222" i="16"/>
  <c r="DS222" i="16"/>
  <c r="DU222" i="16"/>
  <c r="DW222" i="16"/>
  <c r="DY222" i="16"/>
  <c r="EA222" i="16"/>
  <c r="EC222" i="16"/>
  <c r="EE222" i="16"/>
  <c r="EG222" i="16"/>
  <c r="EI222" i="16"/>
  <c r="EK222" i="16"/>
  <c r="EM222" i="16"/>
  <c r="EO222" i="16"/>
  <c r="EQ222" i="16"/>
  <c r="ES222" i="16"/>
  <c r="EU222" i="16"/>
  <c r="EW222" i="16"/>
  <c r="EY222" i="16"/>
  <c r="FA222" i="16"/>
  <c r="FC222" i="16"/>
  <c r="FE222" i="16"/>
  <c r="FG222" i="16"/>
  <c r="FI222" i="16"/>
  <c r="FK222" i="16"/>
  <c r="FM222" i="16"/>
  <c r="FO222" i="16"/>
  <c r="FQ222" i="16"/>
  <c r="FS222" i="16"/>
  <c r="FU222" i="16"/>
  <c r="FW222" i="16"/>
  <c r="FY222" i="16"/>
  <c r="GA222" i="16"/>
  <c r="GC222" i="16"/>
  <c r="CZ222" i="16"/>
  <c r="DB222" i="16"/>
  <c r="DD222" i="16"/>
  <c r="DF222" i="16"/>
  <c r="DH222" i="16"/>
  <c r="DJ222" i="16"/>
  <c r="DL222" i="16"/>
  <c r="DN222" i="16"/>
  <c r="DP222" i="16"/>
  <c r="DR222" i="16"/>
  <c r="DT222" i="16"/>
  <c r="DV222" i="16"/>
  <c r="DX222" i="16"/>
  <c r="DZ222" i="16"/>
  <c r="EB222" i="16"/>
  <c r="ED222" i="16"/>
  <c r="EF222" i="16"/>
  <c r="EH222" i="16"/>
  <c r="EJ222" i="16"/>
  <c r="EL222" i="16"/>
  <c r="EN222" i="16"/>
  <c r="EP222" i="16"/>
  <c r="ER222" i="16"/>
  <c r="ET222" i="16"/>
  <c r="EV222" i="16"/>
  <c r="EX222" i="16"/>
  <c r="EZ222" i="16"/>
  <c r="FB222" i="16"/>
  <c r="FD222" i="16"/>
  <c r="FF222" i="16"/>
  <c r="FH222" i="16"/>
  <c r="FJ222" i="16"/>
  <c r="FL222" i="16"/>
  <c r="FN222" i="16"/>
  <c r="FP222" i="16"/>
  <c r="FR222" i="16"/>
  <c r="FT222" i="16"/>
  <c r="FV222" i="16"/>
  <c r="FX222" i="16"/>
  <c r="FZ222" i="16"/>
  <c r="GB222" i="16"/>
  <c r="GD222" i="16"/>
  <c r="CZ223" i="16"/>
  <c r="DB223" i="16"/>
  <c r="DD223" i="16"/>
  <c r="DF223" i="16"/>
  <c r="DH223" i="16"/>
  <c r="DJ223" i="16"/>
  <c r="DL223" i="16"/>
  <c r="DN223" i="16"/>
  <c r="DP223" i="16"/>
  <c r="DR223" i="16"/>
  <c r="DT223" i="16"/>
  <c r="DV223" i="16"/>
  <c r="DX223" i="16"/>
  <c r="DZ223" i="16"/>
  <c r="EB223" i="16"/>
  <c r="ED223" i="16"/>
  <c r="EF223" i="16"/>
  <c r="EH223" i="16"/>
  <c r="EJ223" i="16"/>
  <c r="EL223" i="16"/>
  <c r="EN223" i="16"/>
  <c r="EP223" i="16"/>
  <c r="ER223" i="16"/>
  <c r="ET223" i="16"/>
  <c r="EV223" i="16"/>
  <c r="EX223" i="16"/>
  <c r="EZ223" i="16"/>
  <c r="FB223" i="16"/>
  <c r="FD223" i="16"/>
  <c r="FF223" i="16"/>
  <c r="FH223" i="16"/>
  <c r="FJ223" i="16"/>
  <c r="FL223" i="16"/>
  <c r="FN223" i="16"/>
  <c r="FP223" i="16"/>
  <c r="FR223" i="16"/>
  <c r="FT223" i="16"/>
  <c r="FV223" i="16"/>
  <c r="FX223" i="16"/>
  <c r="FZ223" i="16"/>
  <c r="GB223" i="16"/>
  <c r="GD223" i="16"/>
  <c r="CY223" i="16"/>
  <c r="DA223" i="16"/>
  <c r="DC223" i="16"/>
  <c r="DE223" i="16"/>
  <c r="DG223" i="16"/>
  <c r="DI223" i="16"/>
  <c r="DK223" i="16"/>
  <c r="DM223" i="16"/>
  <c r="DO223" i="16"/>
  <c r="DQ223" i="16"/>
  <c r="DS223" i="16"/>
  <c r="DU223" i="16"/>
  <c r="DW223" i="16"/>
  <c r="DY223" i="16"/>
  <c r="EA223" i="16"/>
  <c r="EC223" i="16"/>
  <c r="EE223" i="16"/>
  <c r="EG223" i="16"/>
  <c r="EI223" i="16"/>
  <c r="EK223" i="16"/>
  <c r="EM223" i="16"/>
  <c r="EO223" i="16"/>
  <c r="EQ223" i="16"/>
  <c r="ES223" i="16"/>
  <c r="EU223" i="16"/>
  <c r="EW223" i="16"/>
  <c r="EY223" i="16"/>
  <c r="FA223" i="16"/>
  <c r="FC223" i="16"/>
  <c r="FE223" i="16"/>
  <c r="FG223" i="16"/>
  <c r="FI223" i="16"/>
  <c r="FK223" i="16"/>
  <c r="FM223" i="16"/>
  <c r="FO223" i="16"/>
  <c r="FQ223" i="16"/>
  <c r="FS223" i="16"/>
  <c r="FU223" i="16"/>
  <c r="FW223" i="16"/>
  <c r="FY223" i="16"/>
  <c r="GA223" i="16"/>
  <c r="GC223" i="16"/>
  <c r="CZ225" i="16"/>
  <c r="DB225" i="16"/>
  <c r="DD225" i="16"/>
  <c r="DF225" i="16"/>
  <c r="DH225" i="16"/>
  <c r="DJ225" i="16"/>
  <c r="DL225" i="16"/>
  <c r="DN225" i="16"/>
  <c r="DP225" i="16"/>
  <c r="DR225" i="16"/>
  <c r="DT225" i="16"/>
  <c r="DV225" i="16"/>
  <c r="DX225" i="16"/>
  <c r="DZ225" i="16"/>
  <c r="EB225" i="16"/>
  <c r="ED225" i="16"/>
  <c r="EF225" i="16"/>
  <c r="EH225" i="16"/>
  <c r="EJ225" i="16"/>
  <c r="EL225" i="16"/>
  <c r="EN225" i="16"/>
  <c r="EP225" i="16"/>
  <c r="ER225" i="16"/>
  <c r="ET225" i="16"/>
  <c r="EV225" i="16"/>
  <c r="EX225" i="16"/>
  <c r="EZ225" i="16"/>
  <c r="FB225" i="16"/>
  <c r="FD225" i="16"/>
  <c r="FF225" i="16"/>
  <c r="FH225" i="16"/>
  <c r="FJ225" i="16"/>
  <c r="FL225" i="16"/>
  <c r="FN225" i="16"/>
  <c r="FP225" i="16"/>
  <c r="FR225" i="16"/>
  <c r="FT225" i="16"/>
  <c r="FV225" i="16"/>
  <c r="FX225" i="16"/>
  <c r="FZ225" i="16"/>
  <c r="GB225" i="16"/>
  <c r="GD225" i="16"/>
  <c r="CY225" i="16"/>
  <c r="DA225" i="16"/>
  <c r="DC225" i="16"/>
  <c r="DE225" i="16"/>
  <c r="DG225" i="16"/>
  <c r="DI225" i="16"/>
  <c r="DK225" i="16"/>
  <c r="DM225" i="16"/>
  <c r="DO225" i="16"/>
  <c r="DQ225" i="16"/>
  <c r="DS225" i="16"/>
  <c r="DU225" i="16"/>
  <c r="DW225" i="16"/>
  <c r="DY225" i="16"/>
  <c r="EA225" i="16"/>
  <c r="EC225" i="16"/>
  <c r="EE225" i="16"/>
  <c r="EG225" i="16"/>
  <c r="EI225" i="16"/>
  <c r="EK225" i="16"/>
  <c r="EM225" i="16"/>
  <c r="EO225" i="16"/>
  <c r="EQ225" i="16"/>
  <c r="ES225" i="16"/>
  <c r="EU225" i="16"/>
  <c r="EW225" i="16"/>
  <c r="EY225" i="16"/>
  <c r="FA225" i="16"/>
  <c r="FC225" i="16"/>
  <c r="FE225" i="16"/>
  <c r="FG225" i="16"/>
  <c r="FI225" i="16"/>
  <c r="FK225" i="16"/>
  <c r="FM225" i="16"/>
  <c r="FO225" i="16"/>
  <c r="FQ225" i="16"/>
  <c r="FS225" i="16"/>
  <c r="FU225" i="16"/>
  <c r="FW225" i="16"/>
  <c r="FY225" i="16"/>
  <c r="GA225" i="16"/>
  <c r="GC225" i="16"/>
  <c r="CY228" i="16"/>
  <c r="DA228" i="16"/>
  <c r="DC228" i="16"/>
  <c r="DE228" i="16"/>
  <c r="DG228" i="16"/>
  <c r="DI228" i="16"/>
  <c r="DK228" i="16"/>
  <c r="DM228" i="16"/>
  <c r="DO228" i="16"/>
  <c r="DQ228" i="16"/>
  <c r="DS228" i="16"/>
  <c r="DU228" i="16"/>
  <c r="DW228" i="16"/>
  <c r="DY228" i="16"/>
  <c r="EA228" i="16"/>
  <c r="EC228" i="16"/>
  <c r="EE228" i="16"/>
  <c r="EG228" i="16"/>
  <c r="EI228" i="16"/>
  <c r="EK228" i="16"/>
  <c r="EM228" i="16"/>
  <c r="EO228" i="16"/>
  <c r="EQ228" i="16"/>
  <c r="ES228" i="16"/>
  <c r="EU228" i="16"/>
  <c r="EW228" i="16"/>
  <c r="EY228" i="16"/>
  <c r="FA228" i="16"/>
  <c r="FC228" i="16"/>
  <c r="FE228" i="16"/>
  <c r="FG228" i="16"/>
  <c r="FI228" i="16"/>
  <c r="FK228" i="16"/>
  <c r="FM228" i="16"/>
  <c r="FO228" i="16"/>
  <c r="FQ228" i="16"/>
  <c r="FS228" i="16"/>
  <c r="FU228" i="16"/>
  <c r="FW228" i="16"/>
  <c r="FY228" i="16"/>
  <c r="GA228" i="16"/>
  <c r="GC228" i="16"/>
  <c r="CZ228" i="16"/>
  <c r="DB228" i="16"/>
  <c r="DD228" i="16"/>
  <c r="DF228" i="16"/>
  <c r="DH228" i="16"/>
  <c r="DJ228" i="16"/>
  <c r="DL228" i="16"/>
  <c r="DN228" i="16"/>
  <c r="DP228" i="16"/>
  <c r="DR228" i="16"/>
  <c r="DT228" i="16"/>
  <c r="DV228" i="16"/>
  <c r="DX228" i="16"/>
  <c r="DZ228" i="16"/>
  <c r="EB228" i="16"/>
  <c r="ED228" i="16"/>
  <c r="EF228" i="16"/>
  <c r="EH228" i="16"/>
  <c r="EJ228" i="16"/>
  <c r="EL228" i="16"/>
  <c r="EN228" i="16"/>
  <c r="EP228" i="16"/>
  <c r="ER228" i="16"/>
  <c r="ET228" i="16"/>
  <c r="EV228" i="16"/>
  <c r="EX228" i="16"/>
  <c r="EZ228" i="16"/>
  <c r="FB228" i="16"/>
  <c r="FD228" i="16"/>
  <c r="FF228" i="16"/>
  <c r="FH228" i="16"/>
  <c r="FJ228" i="16"/>
  <c r="FL228" i="16"/>
  <c r="FN228" i="16"/>
  <c r="FP228" i="16"/>
  <c r="FR228" i="16"/>
  <c r="FT228" i="16"/>
  <c r="FV228" i="16"/>
  <c r="FX228" i="16"/>
  <c r="FZ228" i="16"/>
  <c r="GB228" i="16"/>
  <c r="GD228" i="16"/>
  <c r="CZ229" i="16"/>
  <c r="DB229" i="16"/>
  <c r="DD229" i="16"/>
  <c r="DF229" i="16"/>
  <c r="DH229" i="16"/>
  <c r="DJ229" i="16"/>
  <c r="DL229" i="16"/>
  <c r="DN229" i="16"/>
  <c r="DP229" i="16"/>
  <c r="DR229" i="16"/>
  <c r="DT229" i="16"/>
  <c r="DV229" i="16"/>
  <c r="DX229" i="16"/>
  <c r="DZ229" i="16"/>
  <c r="EB229" i="16"/>
  <c r="ED229" i="16"/>
  <c r="EF229" i="16"/>
  <c r="EH229" i="16"/>
  <c r="EJ229" i="16"/>
  <c r="EL229" i="16"/>
  <c r="EN229" i="16"/>
  <c r="EP229" i="16"/>
  <c r="ER229" i="16"/>
  <c r="ET229" i="16"/>
  <c r="EV229" i="16"/>
  <c r="EX229" i="16"/>
  <c r="EZ229" i="16"/>
  <c r="FB229" i="16"/>
  <c r="FD229" i="16"/>
  <c r="FF229" i="16"/>
  <c r="FH229" i="16"/>
  <c r="FJ229" i="16"/>
  <c r="FL229" i="16"/>
  <c r="FN229" i="16"/>
  <c r="FP229" i="16"/>
  <c r="FR229" i="16"/>
  <c r="FT229" i="16"/>
  <c r="FV229" i="16"/>
  <c r="FX229" i="16"/>
  <c r="FZ229" i="16"/>
  <c r="GB229" i="16"/>
  <c r="GD229" i="16"/>
  <c r="CY229" i="16"/>
  <c r="DA229" i="16"/>
  <c r="DC229" i="16"/>
  <c r="DE229" i="16"/>
  <c r="DG229" i="16"/>
  <c r="DI229" i="16"/>
  <c r="DK229" i="16"/>
  <c r="DM229" i="16"/>
  <c r="DO229" i="16"/>
  <c r="DQ229" i="16"/>
  <c r="DS229" i="16"/>
  <c r="DU229" i="16"/>
  <c r="DW229" i="16"/>
  <c r="DY229" i="16"/>
  <c r="EA229" i="16"/>
  <c r="EC229" i="16"/>
  <c r="EE229" i="16"/>
  <c r="EG229" i="16"/>
  <c r="EI229" i="16"/>
  <c r="EK229" i="16"/>
  <c r="EM229" i="16"/>
  <c r="EO229" i="16"/>
  <c r="EQ229" i="16"/>
  <c r="ES229" i="16"/>
  <c r="EU229" i="16"/>
  <c r="EW229" i="16"/>
  <c r="EY229" i="16"/>
  <c r="FA229" i="16"/>
  <c r="FC229" i="16"/>
  <c r="FE229" i="16"/>
  <c r="FG229" i="16"/>
  <c r="FI229" i="16"/>
  <c r="FK229" i="16"/>
  <c r="FM229" i="16"/>
  <c r="FO229" i="16"/>
  <c r="FQ229" i="16"/>
  <c r="FS229" i="16"/>
  <c r="FU229" i="16"/>
  <c r="FW229" i="16"/>
  <c r="FY229" i="16"/>
  <c r="GA229" i="16"/>
  <c r="GC229" i="16"/>
  <c r="CZ231" i="16"/>
  <c r="DB231" i="16"/>
  <c r="DD231" i="16"/>
  <c r="DF231" i="16"/>
  <c r="DH231" i="16"/>
  <c r="DJ231" i="16"/>
  <c r="DL231" i="16"/>
  <c r="DN231" i="16"/>
  <c r="DP231" i="16"/>
  <c r="DR231" i="16"/>
  <c r="DT231" i="16"/>
  <c r="DV231" i="16"/>
  <c r="DX231" i="16"/>
  <c r="DZ231" i="16"/>
  <c r="EB231" i="16"/>
  <c r="ED231" i="16"/>
  <c r="EF231" i="16"/>
  <c r="EH231" i="16"/>
  <c r="EJ231" i="16"/>
  <c r="EL231" i="16"/>
  <c r="EN231" i="16"/>
  <c r="EP231" i="16"/>
  <c r="ER231" i="16"/>
  <c r="ET231" i="16"/>
  <c r="EV231" i="16"/>
  <c r="EX231" i="16"/>
  <c r="EZ231" i="16"/>
  <c r="FB231" i="16"/>
  <c r="FD231" i="16"/>
  <c r="FF231" i="16"/>
  <c r="FH231" i="16"/>
  <c r="FJ231" i="16"/>
  <c r="FL231" i="16"/>
  <c r="FN231" i="16"/>
  <c r="FP231" i="16"/>
  <c r="FR231" i="16"/>
  <c r="FT231" i="16"/>
  <c r="FV231" i="16"/>
  <c r="FX231" i="16"/>
  <c r="FZ231" i="16"/>
  <c r="GB231" i="16"/>
  <c r="GD231" i="16"/>
  <c r="CY231" i="16"/>
  <c r="DA231" i="16"/>
  <c r="DC231" i="16"/>
  <c r="DE231" i="16"/>
  <c r="DG231" i="16"/>
  <c r="DI231" i="16"/>
  <c r="DK231" i="16"/>
  <c r="DM231" i="16"/>
  <c r="DO231" i="16"/>
  <c r="DQ231" i="16"/>
  <c r="DS231" i="16"/>
  <c r="DU231" i="16"/>
  <c r="DW231" i="16"/>
  <c r="DY231" i="16"/>
  <c r="EA231" i="16"/>
  <c r="EC231" i="16"/>
  <c r="EE231" i="16"/>
  <c r="EG231" i="16"/>
  <c r="EI231" i="16"/>
  <c r="EK231" i="16"/>
  <c r="EM231" i="16"/>
  <c r="EO231" i="16"/>
  <c r="EQ231" i="16"/>
  <c r="ES231" i="16"/>
  <c r="EU231" i="16"/>
  <c r="EW231" i="16"/>
  <c r="EY231" i="16"/>
  <c r="FA231" i="16"/>
  <c r="FC231" i="16"/>
  <c r="FE231" i="16"/>
  <c r="FG231" i="16"/>
  <c r="FI231" i="16"/>
  <c r="FK231" i="16"/>
  <c r="FM231" i="16"/>
  <c r="FO231" i="16"/>
  <c r="FQ231" i="16"/>
  <c r="FS231" i="16"/>
  <c r="FU231" i="16"/>
  <c r="FW231" i="16"/>
  <c r="FY231" i="16"/>
  <c r="GA231" i="16"/>
  <c r="GC231" i="16"/>
  <c r="CZ233" i="16"/>
  <c r="DB233" i="16"/>
  <c r="DD233" i="16"/>
  <c r="DF233" i="16"/>
  <c r="DH233" i="16"/>
  <c r="DJ233" i="16"/>
  <c r="DL233" i="16"/>
  <c r="DN233" i="16"/>
  <c r="DP233" i="16"/>
  <c r="DR233" i="16"/>
  <c r="DT233" i="16"/>
  <c r="DV233" i="16"/>
  <c r="DX233" i="16"/>
  <c r="DZ233" i="16"/>
  <c r="EB233" i="16"/>
  <c r="ED233" i="16"/>
  <c r="EF233" i="16"/>
  <c r="EH233" i="16"/>
  <c r="EJ233" i="16"/>
  <c r="EL233" i="16"/>
  <c r="EN233" i="16"/>
  <c r="EP233" i="16"/>
  <c r="ER233" i="16"/>
  <c r="ET233" i="16"/>
  <c r="EV233" i="16"/>
  <c r="EX233" i="16"/>
  <c r="EZ233" i="16"/>
  <c r="FB233" i="16"/>
  <c r="FD233" i="16"/>
  <c r="FF233" i="16"/>
  <c r="FH233" i="16"/>
  <c r="FJ233" i="16"/>
  <c r="FL233" i="16"/>
  <c r="FN233" i="16"/>
  <c r="FP233" i="16"/>
  <c r="FR233" i="16"/>
  <c r="FT233" i="16"/>
  <c r="FV233" i="16"/>
  <c r="FX233" i="16"/>
  <c r="FZ233" i="16"/>
  <c r="GB233" i="16"/>
  <c r="GD233" i="16"/>
  <c r="CY233" i="16"/>
  <c r="DA233" i="16"/>
  <c r="DC233" i="16"/>
  <c r="DE233" i="16"/>
  <c r="DG233" i="16"/>
  <c r="DI233" i="16"/>
  <c r="DK233" i="16"/>
  <c r="DM233" i="16"/>
  <c r="DO233" i="16"/>
  <c r="DQ233" i="16"/>
  <c r="DS233" i="16"/>
  <c r="DU233" i="16"/>
  <c r="DW233" i="16"/>
  <c r="DY233" i="16"/>
  <c r="EA233" i="16"/>
  <c r="EC233" i="16"/>
  <c r="EE233" i="16"/>
  <c r="EG233" i="16"/>
  <c r="EI233" i="16"/>
  <c r="EK233" i="16"/>
  <c r="EM233" i="16"/>
  <c r="EO233" i="16"/>
  <c r="EQ233" i="16"/>
  <c r="ES233" i="16"/>
  <c r="EU233" i="16"/>
  <c r="EW233" i="16"/>
  <c r="EY233" i="16"/>
  <c r="FA233" i="16"/>
  <c r="FC233" i="16"/>
  <c r="FE233" i="16"/>
  <c r="FG233" i="16"/>
  <c r="FI233" i="16"/>
  <c r="FK233" i="16"/>
  <c r="FM233" i="16"/>
  <c r="FO233" i="16"/>
  <c r="FQ233" i="16"/>
  <c r="FS233" i="16"/>
  <c r="FU233" i="16"/>
  <c r="FW233" i="16"/>
  <c r="FY233" i="16"/>
  <c r="GA233" i="16"/>
  <c r="GC233" i="16"/>
  <c r="CZ235" i="16"/>
  <c r="DB235" i="16"/>
  <c r="DD235" i="16"/>
  <c r="DF235" i="16"/>
  <c r="DH235" i="16"/>
  <c r="DJ235" i="16"/>
  <c r="DL235" i="16"/>
  <c r="DN235" i="16"/>
  <c r="DP235" i="16"/>
  <c r="DR235" i="16"/>
  <c r="DT235" i="16"/>
  <c r="DV235" i="16"/>
  <c r="DX235" i="16"/>
  <c r="DZ235" i="16"/>
  <c r="EB235" i="16"/>
  <c r="ED235" i="16"/>
  <c r="EF235" i="16"/>
  <c r="EH235" i="16"/>
  <c r="EJ235" i="16"/>
  <c r="EL235" i="16"/>
  <c r="EN235" i="16"/>
  <c r="EP235" i="16"/>
  <c r="ER235" i="16"/>
  <c r="ET235" i="16"/>
  <c r="EV235" i="16"/>
  <c r="EX235" i="16"/>
  <c r="EZ235" i="16"/>
  <c r="FB235" i="16"/>
  <c r="FD235" i="16"/>
  <c r="FF235" i="16"/>
  <c r="FH235" i="16"/>
  <c r="FJ235" i="16"/>
  <c r="FL235" i="16"/>
  <c r="FN235" i="16"/>
  <c r="FP235" i="16"/>
  <c r="FR235" i="16"/>
  <c r="FT235" i="16"/>
  <c r="FV235" i="16"/>
  <c r="FX235" i="16"/>
  <c r="FZ235" i="16"/>
  <c r="GB235" i="16"/>
  <c r="GD235" i="16"/>
  <c r="CY235" i="16"/>
  <c r="DA235" i="16"/>
  <c r="DC235" i="16"/>
  <c r="DE235" i="16"/>
  <c r="DG235" i="16"/>
  <c r="DI235" i="16"/>
  <c r="DK235" i="16"/>
  <c r="DM235" i="16"/>
  <c r="DO235" i="16"/>
  <c r="DQ235" i="16"/>
  <c r="DS235" i="16"/>
  <c r="DU235" i="16"/>
  <c r="DW235" i="16"/>
  <c r="DY235" i="16"/>
  <c r="EA235" i="16"/>
  <c r="EC235" i="16"/>
  <c r="EE235" i="16"/>
  <c r="EG235" i="16"/>
  <c r="EI235" i="16"/>
  <c r="EK235" i="16"/>
  <c r="EM235" i="16"/>
  <c r="EO235" i="16"/>
  <c r="EQ235" i="16"/>
  <c r="ES235" i="16"/>
  <c r="EU235" i="16"/>
  <c r="EW235" i="16"/>
  <c r="EY235" i="16"/>
  <c r="FA235" i="16"/>
  <c r="FC235" i="16"/>
  <c r="FE235" i="16"/>
  <c r="FG235" i="16"/>
  <c r="FI235" i="16"/>
  <c r="FK235" i="16"/>
  <c r="FM235" i="16"/>
  <c r="FO235" i="16"/>
  <c r="FQ235" i="16"/>
  <c r="FS235" i="16"/>
  <c r="FU235" i="16"/>
  <c r="FW235" i="16"/>
  <c r="FY235" i="16"/>
  <c r="GA235" i="16"/>
  <c r="GC235" i="16"/>
  <c r="CZ237" i="16"/>
  <c r="DB237" i="16"/>
  <c r="DD237" i="16"/>
  <c r="DF237" i="16"/>
  <c r="DH237" i="16"/>
  <c r="DJ237" i="16"/>
  <c r="DL237" i="16"/>
  <c r="DN237" i="16"/>
  <c r="DP237" i="16"/>
  <c r="DR237" i="16"/>
  <c r="DT237" i="16"/>
  <c r="DV237" i="16"/>
  <c r="DX237" i="16"/>
  <c r="DZ237" i="16"/>
  <c r="EB237" i="16"/>
  <c r="ED237" i="16"/>
  <c r="EF237" i="16"/>
  <c r="EH237" i="16"/>
  <c r="EJ237" i="16"/>
  <c r="EL237" i="16"/>
  <c r="EN237" i="16"/>
  <c r="EP237" i="16"/>
  <c r="ER237" i="16"/>
  <c r="ET237" i="16"/>
  <c r="EV237" i="16"/>
  <c r="EX237" i="16"/>
  <c r="EZ237" i="16"/>
  <c r="FB237" i="16"/>
  <c r="FD237" i="16"/>
  <c r="FF237" i="16"/>
  <c r="FH237" i="16"/>
  <c r="FJ237" i="16"/>
  <c r="FL237" i="16"/>
  <c r="FN237" i="16"/>
  <c r="FP237" i="16"/>
  <c r="FR237" i="16"/>
  <c r="FT237" i="16"/>
  <c r="FV237" i="16"/>
  <c r="FX237" i="16"/>
  <c r="FZ237" i="16"/>
  <c r="GB237" i="16"/>
  <c r="GD237" i="16"/>
  <c r="CY237" i="16"/>
  <c r="DA237" i="16"/>
  <c r="DC237" i="16"/>
  <c r="DE237" i="16"/>
  <c r="DG237" i="16"/>
  <c r="DI237" i="16"/>
  <c r="DK237" i="16"/>
  <c r="DM237" i="16"/>
  <c r="DO237" i="16"/>
  <c r="DQ237" i="16"/>
  <c r="DS237" i="16"/>
  <c r="DU237" i="16"/>
  <c r="DW237" i="16"/>
  <c r="DY237" i="16"/>
  <c r="EA237" i="16"/>
  <c r="EC237" i="16"/>
  <c r="EE237" i="16"/>
  <c r="EG237" i="16"/>
  <c r="EI237" i="16"/>
  <c r="EK237" i="16"/>
  <c r="EM237" i="16"/>
  <c r="EO237" i="16"/>
  <c r="EQ237" i="16"/>
  <c r="ES237" i="16"/>
  <c r="EU237" i="16"/>
  <c r="EW237" i="16"/>
  <c r="EY237" i="16"/>
  <c r="FA237" i="16"/>
  <c r="FC237" i="16"/>
  <c r="FE237" i="16"/>
  <c r="FG237" i="16"/>
  <c r="FI237" i="16"/>
  <c r="FK237" i="16"/>
  <c r="FM237" i="16"/>
  <c r="FO237" i="16"/>
  <c r="FQ237" i="16"/>
  <c r="FS237" i="16"/>
  <c r="FU237" i="16"/>
  <c r="FW237" i="16"/>
  <c r="FY237" i="16"/>
  <c r="GA237" i="16"/>
  <c r="GC237" i="16"/>
  <c r="CZ239" i="16"/>
  <c r="DB239" i="16"/>
  <c r="DD239" i="16"/>
  <c r="DF239" i="16"/>
  <c r="DH239" i="16"/>
  <c r="DJ239" i="16"/>
  <c r="DL239" i="16"/>
  <c r="DN239" i="16"/>
  <c r="DP239" i="16"/>
  <c r="DR239" i="16"/>
  <c r="DT239" i="16"/>
  <c r="DV239" i="16"/>
  <c r="DX239" i="16"/>
  <c r="DZ239" i="16"/>
  <c r="EB239" i="16"/>
  <c r="ED239" i="16"/>
  <c r="EF239" i="16"/>
  <c r="EH239" i="16"/>
  <c r="EJ239" i="16"/>
  <c r="EL239" i="16"/>
  <c r="EN239" i="16"/>
  <c r="EP239" i="16"/>
  <c r="ER239" i="16"/>
  <c r="ET239" i="16"/>
  <c r="EV239" i="16"/>
  <c r="EX239" i="16"/>
  <c r="EZ239" i="16"/>
  <c r="FB239" i="16"/>
  <c r="FD239" i="16"/>
  <c r="FF239" i="16"/>
  <c r="FH239" i="16"/>
  <c r="FJ239" i="16"/>
  <c r="FL239" i="16"/>
  <c r="FN239" i="16"/>
  <c r="FP239" i="16"/>
  <c r="FR239" i="16"/>
  <c r="FT239" i="16"/>
  <c r="FV239" i="16"/>
  <c r="FX239" i="16"/>
  <c r="FZ239" i="16"/>
  <c r="GB239" i="16"/>
  <c r="GD239" i="16"/>
  <c r="CY239" i="16"/>
  <c r="DA239" i="16"/>
  <c r="DC239" i="16"/>
  <c r="DE239" i="16"/>
  <c r="DG239" i="16"/>
  <c r="DI239" i="16"/>
  <c r="DK239" i="16"/>
  <c r="DM239" i="16"/>
  <c r="DO239" i="16"/>
  <c r="DQ239" i="16"/>
  <c r="DS239" i="16"/>
  <c r="DU239" i="16"/>
  <c r="DW239" i="16"/>
  <c r="DY239" i="16"/>
  <c r="EA239" i="16"/>
  <c r="EC239" i="16"/>
  <c r="EE239" i="16"/>
  <c r="EG239" i="16"/>
  <c r="EI239" i="16"/>
  <c r="EK239" i="16"/>
  <c r="EM239" i="16"/>
  <c r="EO239" i="16"/>
  <c r="EQ239" i="16"/>
  <c r="ES239" i="16"/>
  <c r="EU239" i="16"/>
  <c r="EW239" i="16"/>
  <c r="EY239" i="16"/>
  <c r="FA239" i="16"/>
  <c r="FC239" i="16"/>
  <c r="FE239" i="16"/>
  <c r="FG239" i="16"/>
  <c r="FI239" i="16"/>
  <c r="FK239" i="16"/>
  <c r="FM239" i="16"/>
  <c r="FO239" i="16"/>
  <c r="FQ239" i="16"/>
  <c r="FS239" i="16"/>
  <c r="FU239" i="16"/>
  <c r="FW239" i="16"/>
  <c r="FY239" i="16"/>
  <c r="GA239" i="16"/>
  <c r="GC239" i="16"/>
  <c r="CZ241" i="16"/>
  <c r="DB241" i="16"/>
  <c r="DD241" i="16"/>
  <c r="DF241" i="16"/>
  <c r="DH241" i="16"/>
  <c r="DJ241" i="16"/>
  <c r="DL241" i="16"/>
  <c r="DN241" i="16"/>
  <c r="DP241" i="16"/>
  <c r="DR241" i="16"/>
  <c r="DT241" i="16"/>
  <c r="DV241" i="16"/>
  <c r="DX241" i="16"/>
  <c r="DZ241" i="16"/>
  <c r="EB241" i="16"/>
  <c r="ED241" i="16"/>
  <c r="EF241" i="16"/>
  <c r="EH241" i="16"/>
  <c r="EJ241" i="16"/>
  <c r="EL241" i="16"/>
  <c r="EN241" i="16"/>
  <c r="EP241" i="16"/>
  <c r="ER241" i="16"/>
  <c r="ET241" i="16"/>
  <c r="EV241" i="16"/>
  <c r="EX241" i="16"/>
  <c r="EZ241" i="16"/>
  <c r="FB241" i="16"/>
  <c r="FD241" i="16"/>
  <c r="FF241" i="16"/>
  <c r="FH241" i="16"/>
  <c r="FJ241" i="16"/>
  <c r="FL241" i="16"/>
  <c r="FN241" i="16"/>
  <c r="FP241" i="16"/>
  <c r="FR241" i="16"/>
  <c r="FT241" i="16"/>
  <c r="FV241" i="16"/>
  <c r="FX241" i="16"/>
  <c r="FZ241" i="16"/>
  <c r="GB241" i="16"/>
  <c r="GD241" i="16"/>
  <c r="CY241" i="16"/>
  <c r="DA241" i="16"/>
  <c r="DC241" i="16"/>
  <c r="DE241" i="16"/>
  <c r="DG241" i="16"/>
  <c r="DI241" i="16"/>
  <c r="DK241" i="16"/>
  <c r="DM241" i="16"/>
  <c r="DO241" i="16"/>
  <c r="DQ241" i="16"/>
  <c r="DS241" i="16"/>
  <c r="DU241" i="16"/>
  <c r="DW241" i="16"/>
  <c r="DY241" i="16"/>
  <c r="EA241" i="16"/>
  <c r="EC241" i="16"/>
  <c r="EE241" i="16"/>
  <c r="EG241" i="16"/>
  <c r="EI241" i="16"/>
  <c r="EK241" i="16"/>
  <c r="EM241" i="16"/>
  <c r="EO241" i="16"/>
  <c r="EQ241" i="16"/>
  <c r="ES241" i="16"/>
  <c r="EU241" i="16"/>
  <c r="EW241" i="16"/>
  <c r="EY241" i="16"/>
  <c r="FA241" i="16"/>
  <c r="FC241" i="16"/>
  <c r="FE241" i="16"/>
  <c r="FG241" i="16"/>
  <c r="FI241" i="16"/>
  <c r="FK241" i="16"/>
  <c r="FM241" i="16"/>
  <c r="FO241" i="16"/>
  <c r="FQ241" i="16"/>
  <c r="FS241" i="16"/>
  <c r="FU241" i="16"/>
  <c r="FW241" i="16"/>
  <c r="FY241" i="16"/>
  <c r="GA241" i="16"/>
  <c r="GC241" i="16"/>
  <c r="CZ243" i="16"/>
  <c r="DB243" i="16"/>
  <c r="DD243" i="16"/>
  <c r="DF243" i="16"/>
  <c r="DH243" i="16"/>
  <c r="DJ243" i="16"/>
  <c r="DL243" i="16"/>
  <c r="DN243" i="16"/>
  <c r="DP243" i="16"/>
  <c r="DR243" i="16"/>
  <c r="DT243" i="16"/>
  <c r="DV243" i="16"/>
  <c r="DX243" i="16"/>
  <c r="DZ243" i="16"/>
  <c r="EB243" i="16"/>
  <c r="ED243" i="16"/>
  <c r="EF243" i="16"/>
  <c r="EH243" i="16"/>
  <c r="EJ243" i="16"/>
  <c r="EL243" i="16"/>
  <c r="EN243" i="16"/>
  <c r="EP243" i="16"/>
  <c r="ER243" i="16"/>
  <c r="ET243" i="16"/>
  <c r="EV243" i="16"/>
  <c r="EX243" i="16"/>
  <c r="EZ243" i="16"/>
  <c r="FB243" i="16"/>
  <c r="FD243" i="16"/>
  <c r="FF243" i="16"/>
  <c r="FH243" i="16"/>
  <c r="FJ243" i="16"/>
  <c r="FL243" i="16"/>
  <c r="FN243" i="16"/>
  <c r="FP243" i="16"/>
  <c r="FR243" i="16"/>
  <c r="FT243" i="16"/>
  <c r="FV243" i="16"/>
  <c r="FX243" i="16"/>
  <c r="FZ243" i="16"/>
  <c r="GB243" i="16"/>
  <c r="GD243" i="16"/>
  <c r="CY243" i="16"/>
  <c r="DA243" i="16"/>
  <c r="DC243" i="16"/>
  <c r="DE243" i="16"/>
  <c r="DG243" i="16"/>
  <c r="DI243" i="16"/>
  <c r="DK243" i="16"/>
  <c r="DM243" i="16"/>
  <c r="DO243" i="16"/>
  <c r="DQ243" i="16"/>
  <c r="DS243" i="16"/>
  <c r="DU243" i="16"/>
  <c r="DW243" i="16"/>
  <c r="DY243" i="16"/>
  <c r="EA243" i="16"/>
  <c r="EC243" i="16"/>
  <c r="EE243" i="16"/>
  <c r="EG243" i="16"/>
  <c r="EI243" i="16"/>
  <c r="EK243" i="16"/>
  <c r="EM243" i="16"/>
  <c r="EO243" i="16"/>
  <c r="EQ243" i="16"/>
  <c r="ES243" i="16"/>
  <c r="EU243" i="16"/>
  <c r="EW243" i="16"/>
  <c r="EY243" i="16"/>
  <c r="FA243" i="16"/>
  <c r="FC243" i="16"/>
  <c r="FE243" i="16"/>
  <c r="FG243" i="16"/>
  <c r="FI243" i="16"/>
  <c r="FK243" i="16"/>
  <c r="FM243" i="16"/>
  <c r="FO243" i="16"/>
  <c r="FQ243" i="16"/>
  <c r="FS243" i="16"/>
  <c r="FU243" i="16"/>
  <c r="FW243" i="16"/>
  <c r="FY243" i="16"/>
  <c r="GA243" i="16"/>
  <c r="GC243" i="16"/>
  <c r="CY246" i="16"/>
  <c r="DA246" i="16"/>
  <c r="DC246" i="16"/>
  <c r="DE246" i="16"/>
  <c r="DG246" i="16"/>
  <c r="DI246" i="16"/>
  <c r="DK246" i="16"/>
  <c r="DM246" i="16"/>
  <c r="DO246" i="16"/>
  <c r="DQ246" i="16"/>
  <c r="DS246" i="16"/>
  <c r="DU246" i="16"/>
  <c r="DW246" i="16"/>
  <c r="DY246" i="16"/>
  <c r="EA246" i="16"/>
  <c r="EC246" i="16"/>
  <c r="EE246" i="16"/>
  <c r="EG246" i="16"/>
  <c r="EI246" i="16"/>
  <c r="EK246" i="16"/>
  <c r="EM246" i="16"/>
  <c r="EO246" i="16"/>
  <c r="EQ246" i="16"/>
  <c r="ES246" i="16"/>
  <c r="EU246" i="16"/>
  <c r="EW246" i="16"/>
  <c r="EY246" i="16"/>
  <c r="FA246" i="16"/>
  <c r="FC246" i="16"/>
  <c r="FE246" i="16"/>
  <c r="FG246" i="16"/>
  <c r="FI246" i="16"/>
  <c r="FK246" i="16"/>
  <c r="FM246" i="16"/>
  <c r="FO246" i="16"/>
  <c r="FQ246" i="16"/>
  <c r="FS246" i="16"/>
  <c r="FU246" i="16"/>
  <c r="FW246" i="16"/>
  <c r="FY246" i="16"/>
  <c r="GA246" i="16"/>
  <c r="GC246" i="16"/>
  <c r="CZ246" i="16"/>
  <c r="DB246" i="16"/>
  <c r="DD246" i="16"/>
  <c r="DF246" i="16"/>
  <c r="DH246" i="16"/>
  <c r="DJ246" i="16"/>
  <c r="DL246" i="16"/>
  <c r="DN246" i="16"/>
  <c r="DP246" i="16"/>
  <c r="DR246" i="16"/>
  <c r="DT246" i="16"/>
  <c r="DV246" i="16"/>
  <c r="DX246" i="16"/>
  <c r="DZ246" i="16"/>
  <c r="EB246" i="16"/>
  <c r="ED246" i="16"/>
  <c r="EF246" i="16"/>
  <c r="EH246" i="16"/>
  <c r="EJ246" i="16"/>
  <c r="EL246" i="16"/>
  <c r="EN246" i="16"/>
  <c r="EP246" i="16"/>
  <c r="ER246" i="16"/>
  <c r="ET246" i="16"/>
  <c r="EV246" i="16"/>
  <c r="EX246" i="16"/>
  <c r="EZ246" i="16"/>
  <c r="FB246" i="16"/>
  <c r="FD246" i="16"/>
  <c r="FF246" i="16"/>
  <c r="FH246" i="16"/>
  <c r="FJ246" i="16"/>
  <c r="FL246" i="16"/>
  <c r="FN246" i="16"/>
  <c r="FP246" i="16"/>
  <c r="FR246" i="16"/>
  <c r="FT246" i="16"/>
  <c r="FV246" i="16"/>
  <c r="FX246" i="16"/>
  <c r="FZ246" i="16"/>
  <c r="GB246" i="16"/>
  <c r="GD246" i="16"/>
  <c r="CZ247" i="16"/>
  <c r="DB247" i="16"/>
  <c r="DD247" i="16"/>
  <c r="DF247" i="16"/>
  <c r="DH247" i="16"/>
  <c r="DJ247" i="16"/>
  <c r="DL247" i="16"/>
  <c r="DN247" i="16"/>
  <c r="DP247" i="16"/>
  <c r="DR247" i="16"/>
  <c r="DT247" i="16"/>
  <c r="DV247" i="16"/>
  <c r="DX247" i="16"/>
  <c r="DZ247" i="16"/>
  <c r="EB247" i="16"/>
  <c r="ED247" i="16"/>
  <c r="EF247" i="16"/>
  <c r="EH247" i="16"/>
  <c r="EJ247" i="16"/>
  <c r="EL247" i="16"/>
  <c r="EN247" i="16"/>
  <c r="EP247" i="16"/>
  <c r="ER247" i="16"/>
  <c r="ET247" i="16"/>
  <c r="EV247" i="16"/>
  <c r="EX247" i="16"/>
  <c r="EZ247" i="16"/>
  <c r="FB247" i="16"/>
  <c r="FD247" i="16"/>
  <c r="FF247" i="16"/>
  <c r="FH247" i="16"/>
  <c r="FJ247" i="16"/>
  <c r="FL247" i="16"/>
  <c r="FN247" i="16"/>
  <c r="FP247" i="16"/>
  <c r="FR247" i="16"/>
  <c r="FT247" i="16"/>
  <c r="FV247" i="16"/>
  <c r="FX247" i="16"/>
  <c r="FZ247" i="16"/>
  <c r="GB247" i="16"/>
  <c r="GD247" i="16"/>
  <c r="CY247" i="16"/>
  <c r="DA247" i="16"/>
  <c r="DC247" i="16"/>
  <c r="DE247" i="16"/>
  <c r="DG247" i="16"/>
  <c r="DI247" i="16"/>
  <c r="DK247" i="16"/>
  <c r="DM247" i="16"/>
  <c r="DO247" i="16"/>
  <c r="DQ247" i="16"/>
  <c r="DS247" i="16"/>
  <c r="DU247" i="16"/>
  <c r="DW247" i="16"/>
  <c r="DY247" i="16"/>
  <c r="EA247" i="16"/>
  <c r="EC247" i="16"/>
  <c r="EE247" i="16"/>
  <c r="EG247" i="16"/>
  <c r="EI247" i="16"/>
  <c r="EK247" i="16"/>
  <c r="EM247" i="16"/>
  <c r="EO247" i="16"/>
  <c r="EQ247" i="16"/>
  <c r="ES247" i="16"/>
  <c r="EU247" i="16"/>
  <c r="EW247" i="16"/>
  <c r="EY247" i="16"/>
  <c r="FA247" i="16"/>
  <c r="FC247" i="16"/>
  <c r="FE247" i="16"/>
  <c r="FG247" i="16"/>
  <c r="FI247" i="16"/>
  <c r="FK247" i="16"/>
  <c r="FM247" i="16"/>
  <c r="FO247" i="16"/>
  <c r="FQ247" i="16"/>
  <c r="FS247" i="16"/>
  <c r="FU247" i="16"/>
  <c r="FW247" i="16"/>
  <c r="FY247" i="16"/>
  <c r="GA247" i="16"/>
  <c r="GC247" i="16"/>
  <c r="CZ249" i="16"/>
  <c r="DB249" i="16"/>
  <c r="DD249" i="16"/>
  <c r="DF249" i="16"/>
  <c r="DH249" i="16"/>
  <c r="DJ249" i="16"/>
  <c r="DL249" i="16"/>
  <c r="DN249" i="16"/>
  <c r="DP249" i="16"/>
  <c r="DR249" i="16"/>
  <c r="DT249" i="16"/>
  <c r="DV249" i="16"/>
  <c r="DX249" i="16"/>
  <c r="DZ249" i="16"/>
  <c r="EB249" i="16"/>
  <c r="ED249" i="16"/>
  <c r="EF249" i="16"/>
  <c r="EH249" i="16"/>
  <c r="EJ249" i="16"/>
  <c r="EL249" i="16"/>
  <c r="EN249" i="16"/>
  <c r="EP249" i="16"/>
  <c r="ER249" i="16"/>
  <c r="ET249" i="16"/>
  <c r="EV249" i="16"/>
  <c r="EX249" i="16"/>
  <c r="EZ249" i="16"/>
  <c r="FB249" i="16"/>
  <c r="FD249" i="16"/>
  <c r="FF249" i="16"/>
  <c r="FH249" i="16"/>
  <c r="FJ249" i="16"/>
  <c r="FL249" i="16"/>
  <c r="FN249" i="16"/>
  <c r="FP249" i="16"/>
  <c r="FR249" i="16"/>
  <c r="FT249" i="16"/>
  <c r="FV249" i="16"/>
  <c r="FX249" i="16"/>
  <c r="FZ249" i="16"/>
  <c r="GB249" i="16"/>
  <c r="GD249" i="16"/>
  <c r="CY249" i="16"/>
  <c r="DA249" i="16"/>
  <c r="DC249" i="16"/>
  <c r="DE249" i="16"/>
  <c r="DG249" i="16"/>
  <c r="DI249" i="16"/>
  <c r="DK249" i="16"/>
  <c r="DM249" i="16"/>
  <c r="DO249" i="16"/>
  <c r="DQ249" i="16"/>
  <c r="DS249" i="16"/>
  <c r="DU249" i="16"/>
  <c r="DW249" i="16"/>
  <c r="DY249" i="16"/>
  <c r="EA249" i="16"/>
  <c r="EC249" i="16"/>
  <c r="EE249" i="16"/>
  <c r="EG249" i="16"/>
  <c r="EI249" i="16"/>
  <c r="EK249" i="16"/>
  <c r="EM249" i="16"/>
  <c r="EO249" i="16"/>
  <c r="EQ249" i="16"/>
  <c r="ES249" i="16"/>
  <c r="EU249" i="16"/>
  <c r="EW249" i="16"/>
  <c r="EY249" i="16"/>
  <c r="FA249" i="16"/>
  <c r="FC249" i="16"/>
  <c r="FE249" i="16"/>
  <c r="FG249" i="16"/>
  <c r="FI249" i="16"/>
  <c r="FK249" i="16"/>
  <c r="FM249" i="16"/>
  <c r="FO249" i="16"/>
  <c r="FQ249" i="16"/>
  <c r="FS249" i="16"/>
  <c r="FU249" i="16"/>
  <c r="FW249" i="16"/>
  <c r="FY249" i="16"/>
  <c r="GA249" i="16"/>
  <c r="GC249" i="16"/>
  <c r="CZ251" i="16"/>
  <c r="DB251" i="16"/>
  <c r="DD251" i="16"/>
  <c r="DF251" i="16"/>
  <c r="DH251" i="16"/>
  <c r="DJ251" i="16"/>
  <c r="DL251" i="16"/>
  <c r="DN251" i="16"/>
  <c r="DP251" i="16"/>
  <c r="DR251" i="16"/>
  <c r="DT251" i="16"/>
  <c r="DV251" i="16"/>
  <c r="DX251" i="16"/>
  <c r="DZ251" i="16"/>
  <c r="EB251" i="16"/>
  <c r="ED251" i="16"/>
  <c r="EF251" i="16"/>
  <c r="EH251" i="16"/>
  <c r="EJ251" i="16"/>
  <c r="EL251" i="16"/>
  <c r="EN251" i="16"/>
  <c r="EP251" i="16"/>
  <c r="ER251" i="16"/>
  <c r="ET251" i="16"/>
  <c r="EV251" i="16"/>
  <c r="EX251" i="16"/>
  <c r="EZ251" i="16"/>
  <c r="FB251" i="16"/>
  <c r="FD251" i="16"/>
  <c r="FF251" i="16"/>
  <c r="FH251" i="16"/>
  <c r="FJ251" i="16"/>
  <c r="FL251" i="16"/>
  <c r="FN251" i="16"/>
  <c r="FP251" i="16"/>
  <c r="FR251" i="16"/>
  <c r="FT251" i="16"/>
  <c r="FV251" i="16"/>
  <c r="FX251" i="16"/>
  <c r="FZ251" i="16"/>
  <c r="GB251" i="16"/>
  <c r="GD251" i="16"/>
  <c r="CY251" i="16"/>
  <c r="DA251" i="16"/>
  <c r="DC251" i="16"/>
  <c r="DE251" i="16"/>
  <c r="DG251" i="16"/>
  <c r="DI251" i="16"/>
  <c r="DK251" i="16"/>
  <c r="DM251" i="16"/>
  <c r="DO251" i="16"/>
  <c r="DQ251" i="16"/>
  <c r="DS251" i="16"/>
  <c r="DU251" i="16"/>
  <c r="DW251" i="16"/>
  <c r="DY251" i="16"/>
  <c r="EA251" i="16"/>
  <c r="EC251" i="16"/>
  <c r="EE251" i="16"/>
  <c r="EG251" i="16"/>
  <c r="EI251" i="16"/>
  <c r="EK251" i="16"/>
  <c r="EM251" i="16"/>
  <c r="EO251" i="16"/>
  <c r="EQ251" i="16"/>
  <c r="ES251" i="16"/>
  <c r="EU251" i="16"/>
  <c r="EW251" i="16"/>
  <c r="EY251" i="16"/>
  <c r="FA251" i="16"/>
  <c r="FC251" i="16"/>
  <c r="FE251" i="16"/>
  <c r="FG251" i="16"/>
  <c r="FI251" i="16"/>
  <c r="FK251" i="16"/>
  <c r="FM251" i="16"/>
  <c r="FO251" i="16"/>
  <c r="FQ251" i="16"/>
  <c r="FS251" i="16"/>
  <c r="FU251" i="16"/>
  <c r="FW251" i="16"/>
  <c r="FY251" i="16"/>
  <c r="GA251" i="16"/>
  <c r="GC251" i="16"/>
  <c r="CY254" i="16"/>
  <c r="DA254" i="16"/>
  <c r="DC254" i="16"/>
  <c r="DE254" i="16"/>
  <c r="DG254" i="16"/>
  <c r="DI254" i="16"/>
  <c r="DK254" i="16"/>
  <c r="DM254" i="16"/>
  <c r="DO254" i="16"/>
  <c r="DQ254" i="16"/>
  <c r="DS254" i="16"/>
  <c r="DU254" i="16"/>
  <c r="DW254" i="16"/>
  <c r="DY254" i="16"/>
  <c r="EA254" i="16"/>
  <c r="EC254" i="16"/>
  <c r="EE254" i="16"/>
  <c r="EG254" i="16"/>
  <c r="EI254" i="16"/>
  <c r="EK254" i="16"/>
  <c r="EM254" i="16"/>
  <c r="EO254" i="16"/>
  <c r="EQ254" i="16"/>
  <c r="ES254" i="16"/>
  <c r="EU254" i="16"/>
  <c r="EW254" i="16"/>
  <c r="EY254" i="16"/>
  <c r="FA254" i="16"/>
  <c r="FC254" i="16"/>
  <c r="FE254" i="16"/>
  <c r="FG254" i="16"/>
  <c r="FI254" i="16"/>
  <c r="FK254" i="16"/>
  <c r="FM254" i="16"/>
  <c r="FO254" i="16"/>
  <c r="FQ254" i="16"/>
  <c r="FS254" i="16"/>
  <c r="FU254" i="16"/>
  <c r="FW254" i="16"/>
  <c r="FY254" i="16"/>
  <c r="GA254" i="16"/>
  <c r="GC254" i="16"/>
  <c r="CZ254" i="16"/>
  <c r="DB254" i="16"/>
  <c r="DD254" i="16"/>
  <c r="DF254" i="16"/>
  <c r="DH254" i="16"/>
  <c r="DJ254" i="16"/>
  <c r="DL254" i="16"/>
  <c r="DN254" i="16"/>
  <c r="DP254" i="16"/>
  <c r="DR254" i="16"/>
  <c r="DT254" i="16"/>
  <c r="DV254" i="16"/>
  <c r="DX254" i="16"/>
  <c r="DZ254" i="16"/>
  <c r="EB254" i="16"/>
  <c r="ED254" i="16"/>
  <c r="EF254" i="16"/>
  <c r="EH254" i="16"/>
  <c r="EJ254" i="16"/>
  <c r="EL254" i="16"/>
  <c r="EN254" i="16"/>
  <c r="EP254" i="16"/>
  <c r="ER254" i="16"/>
  <c r="ET254" i="16"/>
  <c r="EV254" i="16"/>
  <c r="EX254" i="16"/>
  <c r="EZ254" i="16"/>
  <c r="FB254" i="16"/>
  <c r="FD254" i="16"/>
  <c r="FF254" i="16"/>
  <c r="FH254" i="16"/>
  <c r="FJ254" i="16"/>
  <c r="FL254" i="16"/>
  <c r="FN254" i="16"/>
  <c r="FP254" i="16"/>
  <c r="FR254" i="16"/>
  <c r="FT254" i="16"/>
  <c r="FV254" i="16"/>
  <c r="FX254" i="16"/>
  <c r="FZ254" i="16"/>
  <c r="GB254" i="16"/>
  <c r="GD254" i="16"/>
  <c r="CY256" i="16"/>
  <c r="DA256" i="16"/>
  <c r="DC256" i="16"/>
  <c r="DE256" i="16"/>
  <c r="DG256" i="16"/>
  <c r="DI256" i="16"/>
  <c r="DK256" i="16"/>
  <c r="DM256" i="16"/>
  <c r="DO256" i="16"/>
  <c r="DQ256" i="16"/>
  <c r="DS256" i="16"/>
  <c r="DU256" i="16"/>
  <c r="DW256" i="16"/>
  <c r="DY256" i="16"/>
  <c r="EA256" i="16"/>
  <c r="EC256" i="16"/>
  <c r="EE256" i="16"/>
  <c r="EG256" i="16"/>
  <c r="EI256" i="16"/>
  <c r="EK256" i="16"/>
  <c r="EM256" i="16"/>
  <c r="EO256" i="16"/>
  <c r="EQ256" i="16"/>
  <c r="ES256" i="16"/>
  <c r="EU256" i="16"/>
  <c r="EW256" i="16"/>
  <c r="EY256" i="16"/>
  <c r="FA256" i="16"/>
  <c r="FC256" i="16"/>
  <c r="FE256" i="16"/>
  <c r="FG256" i="16"/>
  <c r="FI256" i="16"/>
  <c r="FK256" i="16"/>
  <c r="FM256" i="16"/>
  <c r="FO256" i="16"/>
  <c r="FQ256" i="16"/>
  <c r="FS256" i="16"/>
  <c r="FU256" i="16"/>
  <c r="FW256" i="16"/>
  <c r="FY256" i="16"/>
  <c r="GA256" i="16"/>
  <c r="GC256" i="16"/>
  <c r="CZ256" i="16"/>
  <c r="DB256" i="16"/>
  <c r="DD256" i="16"/>
  <c r="DF256" i="16"/>
  <c r="DH256" i="16"/>
  <c r="DJ256" i="16"/>
  <c r="DL256" i="16"/>
  <c r="DN256" i="16"/>
  <c r="DP256" i="16"/>
  <c r="DR256" i="16"/>
  <c r="DT256" i="16"/>
  <c r="DV256" i="16"/>
  <c r="DX256" i="16"/>
  <c r="DZ256" i="16"/>
  <c r="EB256" i="16"/>
  <c r="ED256" i="16"/>
  <c r="EF256" i="16"/>
  <c r="EH256" i="16"/>
  <c r="EJ256" i="16"/>
  <c r="EL256" i="16"/>
  <c r="EN256" i="16"/>
  <c r="EP256" i="16"/>
  <c r="ER256" i="16"/>
  <c r="ET256" i="16"/>
  <c r="EV256" i="16"/>
  <c r="EX256" i="16"/>
  <c r="EZ256" i="16"/>
  <c r="FB256" i="16"/>
  <c r="FD256" i="16"/>
  <c r="FF256" i="16"/>
  <c r="FH256" i="16"/>
  <c r="FJ256" i="16"/>
  <c r="FL256" i="16"/>
  <c r="FN256" i="16"/>
  <c r="FP256" i="16"/>
  <c r="FR256" i="16"/>
  <c r="FT256" i="16"/>
  <c r="FV256" i="16"/>
  <c r="FX256" i="16"/>
  <c r="FZ256" i="16"/>
  <c r="GB256" i="16"/>
  <c r="GD256" i="16"/>
  <c r="CZ257" i="16"/>
  <c r="DB257" i="16"/>
  <c r="DD257" i="16"/>
  <c r="DF257" i="16"/>
  <c r="DH257" i="16"/>
  <c r="DJ257" i="16"/>
  <c r="DL257" i="16"/>
  <c r="DN257" i="16"/>
  <c r="DP257" i="16"/>
  <c r="DR257" i="16"/>
  <c r="DT257" i="16"/>
  <c r="DV257" i="16"/>
  <c r="DX257" i="16"/>
  <c r="DZ257" i="16"/>
  <c r="EB257" i="16"/>
  <c r="ED257" i="16"/>
  <c r="EF257" i="16"/>
  <c r="EH257" i="16"/>
  <c r="EJ257" i="16"/>
  <c r="EL257" i="16"/>
  <c r="EN257" i="16"/>
  <c r="EP257" i="16"/>
  <c r="ER257" i="16"/>
  <c r="ET257" i="16"/>
  <c r="EV257" i="16"/>
  <c r="EX257" i="16"/>
  <c r="EZ257" i="16"/>
  <c r="FB257" i="16"/>
  <c r="FD257" i="16"/>
  <c r="FF257" i="16"/>
  <c r="FH257" i="16"/>
  <c r="FJ257" i="16"/>
  <c r="FL257" i="16"/>
  <c r="FN257" i="16"/>
  <c r="FP257" i="16"/>
  <c r="FR257" i="16"/>
  <c r="FT257" i="16"/>
  <c r="FV257" i="16"/>
  <c r="FX257" i="16"/>
  <c r="FZ257" i="16"/>
  <c r="GB257" i="16"/>
  <c r="GD257" i="16"/>
  <c r="CY257" i="16"/>
  <c r="DA257" i="16"/>
  <c r="DC257" i="16"/>
  <c r="DE257" i="16"/>
  <c r="DG257" i="16"/>
  <c r="DI257" i="16"/>
  <c r="DK257" i="16"/>
  <c r="DM257" i="16"/>
  <c r="DO257" i="16"/>
  <c r="DQ257" i="16"/>
  <c r="DS257" i="16"/>
  <c r="DU257" i="16"/>
  <c r="DW257" i="16"/>
  <c r="DY257" i="16"/>
  <c r="EA257" i="16"/>
  <c r="EC257" i="16"/>
  <c r="EE257" i="16"/>
  <c r="EG257" i="16"/>
  <c r="EI257" i="16"/>
  <c r="EK257" i="16"/>
  <c r="EM257" i="16"/>
  <c r="EO257" i="16"/>
  <c r="EQ257" i="16"/>
  <c r="ES257" i="16"/>
  <c r="EU257" i="16"/>
  <c r="EW257" i="16"/>
  <c r="EY257" i="16"/>
  <c r="FA257" i="16"/>
  <c r="FC257" i="16"/>
  <c r="FE257" i="16"/>
  <c r="FG257" i="16"/>
  <c r="FI257" i="16"/>
  <c r="FK257" i="16"/>
  <c r="FM257" i="16"/>
  <c r="FO257" i="16"/>
  <c r="FQ257" i="16"/>
  <c r="FS257" i="16"/>
  <c r="FU257" i="16"/>
  <c r="FW257" i="16"/>
  <c r="FY257" i="16"/>
  <c r="GA257" i="16"/>
  <c r="GC257" i="16"/>
  <c r="CZ259" i="16"/>
  <c r="DB259" i="16"/>
  <c r="DD259" i="16"/>
  <c r="DF259" i="16"/>
  <c r="DH259" i="16"/>
  <c r="DJ259" i="16"/>
  <c r="DL259" i="16"/>
  <c r="DN259" i="16"/>
  <c r="DP259" i="16"/>
  <c r="DR259" i="16"/>
  <c r="DT259" i="16"/>
  <c r="DV259" i="16"/>
  <c r="DX259" i="16"/>
  <c r="DZ259" i="16"/>
  <c r="EB259" i="16"/>
  <c r="ED259" i="16"/>
  <c r="EF259" i="16"/>
  <c r="EH259" i="16"/>
  <c r="EJ259" i="16"/>
  <c r="EL259" i="16"/>
  <c r="EN259" i="16"/>
  <c r="EP259" i="16"/>
  <c r="ER259" i="16"/>
  <c r="CY259" i="16"/>
  <c r="DA259" i="16"/>
  <c r="DC259" i="16"/>
  <c r="DE259" i="16"/>
  <c r="DG259" i="16"/>
  <c r="DI259" i="16"/>
  <c r="DK259" i="16"/>
  <c r="DM259" i="16"/>
  <c r="DO259" i="16"/>
  <c r="DQ259" i="16"/>
  <c r="DS259" i="16"/>
  <c r="DU259" i="16"/>
  <c r="DW259" i="16"/>
  <c r="DY259" i="16"/>
  <c r="EA259" i="16"/>
  <c r="EC259" i="16"/>
  <c r="EE259" i="16"/>
  <c r="EG259" i="16"/>
  <c r="EI259" i="16"/>
  <c r="EK259" i="16"/>
  <c r="EM259" i="16"/>
  <c r="EO259" i="16"/>
  <c r="EQ259" i="16"/>
  <c r="ES259" i="16"/>
  <c r="EU259" i="16"/>
  <c r="EW259" i="16"/>
  <c r="EY259" i="16"/>
  <c r="FA259" i="16"/>
  <c r="FC259" i="16"/>
  <c r="FE259" i="16"/>
  <c r="FG259" i="16"/>
  <c r="FI259" i="16"/>
  <c r="FK259" i="16"/>
  <c r="FM259" i="16"/>
  <c r="FO259" i="16"/>
  <c r="FQ259" i="16"/>
  <c r="FS259" i="16"/>
  <c r="FU259" i="16"/>
  <c r="FW259" i="16"/>
  <c r="FY259" i="16"/>
  <c r="GA259" i="16"/>
  <c r="GC259" i="16"/>
  <c r="ET259" i="16"/>
  <c r="EV259" i="16"/>
  <c r="EX259" i="16"/>
  <c r="EZ259" i="16"/>
  <c r="FB259" i="16"/>
  <c r="FD259" i="16"/>
  <c r="FF259" i="16"/>
  <c r="FH259" i="16"/>
  <c r="FJ259" i="16"/>
  <c r="FL259" i="16"/>
  <c r="FN259" i="16"/>
  <c r="FP259" i="16"/>
  <c r="FR259" i="16"/>
  <c r="FT259" i="16"/>
  <c r="FV259" i="16"/>
  <c r="FX259" i="16"/>
  <c r="FZ259" i="16"/>
  <c r="GB259" i="16"/>
  <c r="GD259" i="16"/>
  <c r="CY261" i="16"/>
  <c r="DA261" i="16"/>
  <c r="DC261" i="16"/>
  <c r="DE261" i="16"/>
  <c r="DG261" i="16"/>
  <c r="DI261" i="16"/>
  <c r="DK261" i="16"/>
  <c r="DM261" i="16"/>
  <c r="DO261" i="16"/>
  <c r="DQ261" i="16"/>
  <c r="DS261" i="16"/>
  <c r="DU261" i="16"/>
  <c r="DW261" i="16"/>
  <c r="DY261" i="16"/>
  <c r="EA261" i="16"/>
  <c r="EC261" i="16"/>
  <c r="EE261" i="16"/>
  <c r="EG261" i="16"/>
  <c r="EI261" i="16"/>
  <c r="EK261" i="16"/>
  <c r="EM261" i="16"/>
  <c r="EO261" i="16"/>
  <c r="EQ261" i="16"/>
  <c r="ES261" i="16"/>
  <c r="EU261" i="16"/>
  <c r="EW261" i="16"/>
  <c r="EY261" i="16"/>
  <c r="FA261" i="16"/>
  <c r="FC261" i="16"/>
  <c r="FE261" i="16"/>
  <c r="FG261" i="16"/>
  <c r="FI261" i="16"/>
  <c r="FK261" i="16"/>
  <c r="FM261" i="16"/>
  <c r="FO261" i="16"/>
  <c r="FQ261" i="16"/>
  <c r="FS261" i="16"/>
  <c r="FU261" i="16"/>
  <c r="FW261" i="16"/>
  <c r="FY261" i="16"/>
  <c r="GA261" i="16"/>
  <c r="GC261" i="16"/>
  <c r="CZ261" i="16"/>
  <c r="DB261" i="16"/>
  <c r="DD261" i="16"/>
  <c r="DF261" i="16"/>
  <c r="DH261" i="16"/>
  <c r="DJ261" i="16"/>
  <c r="DL261" i="16"/>
  <c r="DN261" i="16"/>
  <c r="DP261" i="16"/>
  <c r="DR261" i="16"/>
  <c r="DT261" i="16"/>
  <c r="DV261" i="16"/>
  <c r="DX261" i="16"/>
  <c r="DZ261" i="16"/>
  <c r="EB261" i="16"/>
  <c r="ED261" i="16"/>
  <c r="EF261" i="16"/>
  <c r="EH261" i="16"/>
  <c r="EJ261" i="16"/>
  <c r="EL261" i="16"/>
  <c r="EN261" i="16"/>
  <c r="EP261" i="16"/>
  <c r="ER261" i="16"/>
  <c r="ET261" i="16"/>
  <c r="EV261" i="16"/>
  <c r="EX261" i="16"/>
  <c r="EZ261" i="16"/>
  <c r="FB261" i="16"/>
  <c r="FD261" i="16"/>
  <c r="FF261" i="16"/>
  <c r="FH261" i="16"/>
  <c r="FJ261" i="16"/>
  <c r="FL261" i="16"/>
  <c r="FN261" i="16"/>
  <c r="FP261" i="16"/>
  <c r="FR261" i="16"/>
  <c r="FT261" i="16"/>
  <c r="FV261" i="16"/>
  <c r="FX261" i="16"/>
  <c r="FZ261" i="16"/>
  <c r="GB261" i="16"/>
  <c r="GD261" i="16"/>
  <c r="CZ264" i="16"/>
  <c r="DB264" i="16"/>
  <c r="DD264" i="16"/>
  <c r="DF264" i="16"/>
  <c r="DH264" i="16"/>
  <c r="DJ264" i="16"/>
  <c r="DL264" i="16"/>
  <c r="DN264" i="16"/>
  <c r="DP264" i="16"/>
  <c r="DR264" i="16"/>
  <c r="DT264" i="16"/>
  <c r="DV264" i="16"/>
  <c r="DX264" i="16"/>
  <c r="DZ264" i="16"/>
  <c r="EB264" i="16"/>
  <c r="ED264" i="16"/>
  <c r="EF264" i="16"/>
  <c r="EH264" i="16"/>
  <c r="EJ264" i="16"/>
  <c r="EL264" i="16"/>
  <c r="EN264" i="16"/>
  <c r="EP264" i="16"/>
  <c r="ER264" i="16"/>
  <c r="ET264" i="16"/>
  <c r="EV264" i="16"/>
  <c r="EX264" i="16"/>
  <c r="EZ264" i="16"/>
  <c r="FB264" i="16"/>
  <c r="FD264" i="16"/>
  <c r="FF264" i="16"/>
  <c r="FH264" i="16"/>
  <c r="FJ264" i="16"/>
  <c r="FL264" i="16"/>
  <c r="FN264" i="16"/>
  <c r="FP264" i="16"/>
  <c r="FR264" i="16"/>
  <c r="FT264" i="16"/>
  <c r="FV264" i="16"/>
  <c r="FX264" i="16"/>
  <c r="FZ264" i="16"/>
  <c r="GB264" i="16"/>
  <c r="GD264" i="16"/>
  <c r="CY264" i="16"/>
  <c r="DA264" i="16"/>
  <c r="DC264" i="16"/>
  <c r="DE264" i="16"/>
  <c r="DG264" i="16"/>
  <c r="DI264" i="16"/>
  <c r="DK264" i="16"/>
  <c r="DM264" i="16"/>
  <c r="DO264" i="16"/>
  <c r="DQ264" i="16"/>
  <c r="DS264" i="16"/>
  <c r="DU264" i="16"/>
  <c r="DW264" i="16"/>
  <c r="DY264" i="16"/>
  <c r="EA264" i="16"/>
  <c r="EC264" i="16"/>
  <c r="EE264" i="16"/>
  <c r="EG264" i="16"/>
  <c r="EI264" i="16"/>
  <c r="EK264" i="16"/>
  <c r="EM264" i="16"/>
  <c r="EO264" i="16"/>
  <c r="EQ264" i="16"/>
  <c r="ES264" i="16"/>
  <c r="EU264" i="16"/>
  <c r="EW264" i="16"/>
  <c r="EY264" i="16"/>
  <c r="FA264" i="16"/>
  <c r="FC264" i="16"/>
  <c r="FE264" i="16"/>
  <c r="FG264" i="16"/>
  <c r="FI264" i="16"/>
  <c r="FK264" i="16"/>
  <c r="FM264" i="16"/>
  <c r="FO264" i="16"/>
  <c r="FQ264" i="16"/>
  <c r="FS264" i="16"/>
  <c r="FU264" i="16"/>
  <c r="FW264" i="16"/>
  <c r="FY264" i="16"/>
  <c r="GA264" i="16"/>
  <c r="GC264" i="16"/>
  <c r="CZ266" i="16"/>
  <c r="DB266" i="16"/>
  <c r="DD266" i="16"/>
  <c r="DF266" i="16"/>
  <c r="DH266" i="16"/>
  <c r="DJ266" i="16"/>
  <c r="DL266" i="16"/>
  <c r="DN266" i="16"/>
  <c r="DP266" i="16"/>
  <c r="DR266" i="16"/>
  <c r="DT266" i="16"/>
  <c r="DV266" i="16"/>
  <c r="DX266" i="16"/>
  <c r="DZ266" i="16"/>
  <c r="EB266" i="16"/>
  <c r="ED266" i="16"/>
  <c r="EF266" i="16"/>
  <c r="EH266" i="16"/>
  <c r="EJ266" i="16"/>
  <c r="EL266" i="16"/>
  <c r="EN266" i="16"/>
  <c r="EP266" i="16"/>
  <c r="ER266" i="16"/>
  <c r="ET266" i="16"/>
  <c r="EV266" i="16"/>
  <c r="EX266" i="16"/>
  <c r="EZ266" i="16"/>
  <c r="FB266" i="16"/>
  <c r="FD266" i="16"/>
  <c r="FF266" i="16"/>
  <c r="FH266" i="16"/>
  <c r="FJ266" i="16"/>
  <c r="FL266" i="16"/>
  <c r="FN266" i="16"/>
  <c r="FP266" i="16"/>
  <c r="FR266" i="16"/>
  <c r="FT266" i="16"/>
  <c r="FV266" i="16"/>
  <c r="FX266" i="16"/>
  <c r="FZ266" i="16"/>
  <c r="GB266" i="16"/>
  <c r="GD266" i="16"/>
  <c r="CY266" i="16"/>
  <c r="DA266" i="16"/>
  <c r="DC266" i="16"/>
  <c r="DE266" i="16"/>
  <c r="DG266" i="16"/>
  <c r="DI266" i="16"/>
  <c r="DK266" i="16"/>
  <c r="DM266" i="16"/>
  <c r="DO266" i="16"/>
  <c r="DQ266" i="16"/>
  <c r="DS266" i="16"/>
  <c r="DU266" i="16"/>
  <c r="DW266" i="16"/>
  <c r="DY266" i="16"/>
  <c r="EA266" i="16"/>
  <c r="EC266" i="16"/>
  <c r="EE266" i="16"/>
  <c r="EG266" i="16"/>
  <c r="EI266" i="16"/>
  <c r="EK266" i="16"/>
  <c r="EM266" i="16"/>
  <c r="EO266" i="16"/>
  <c r="EQ266" i="16"/>
  <c r="ES266" i="16"/>
  <c r="EU266" i="16"/>
  <c r="EW266" i="16"/>
  <c r="EY266" i="16"/>
  <c r="FA266" i="16"/>
  <c r="FC266" i="16"/>
  <c r="FE266" i="16"/>
  <c r="FG266" i="16"/>
  <c r="FI266" i="16"/>
  <c r="FK266" i="16"/>
  <c r="FM266" i="16"/>
  <c r="FO266" i="16"/>
  <c r="FQ266" i="16"/>
  <c r="FS266" i="16"/>
  <c r="FU266" i="16"/>
  <c r="FW266" i="16"/>
  <c r="FY266" i="16"/>
  <c r="GA266" i="16"/>
  <c r="GC266" i="16"/>
  <c r="CZ268" i="16"/>
  <c r="DB268" i="16"/>
  <c r="DD268" i="16"/>
  <c r="DF268" i="16"/>
  <c r="DH268" i="16"/>
  <c r="DJ268" i="16"/>
  <c r="DL268" i="16"/>
  <c r="DN268" i="16"/>
  <c r="DP268" i="16"/>
  <c r="DR268" i="16"/>
  <c r="DT268" i="16"/>
  <c r="DV268" i="16"/>
  <c r="DX268" i="16"/>
  <c r="DZ268" i="16"/>
  <c r="EB268" i="16"/>
  <c r="ED268" i="16"/>
  <c r="EF268" i="16"/>
  <c r="EH268" i="16"/>
  <c r="EJ268" i="16"/>
  <c r="EL268" i="16"/>
  <c r="EN268" i="16"/>
  <c r="EP268" i="16"/>
  <c r="ER268" i="16"/>
  <c r="ET268" i="16"/>
  <c r="EV268" i="16"/>
  <c r="EX268" i="16"/>
  <c r="EZ268" i="16"/>
  <c r="FB268" i="16"/>
  <c r="FD268" i="16"/>
  <c r="FF268" i="16"/>
  <c r="FH268" i="16"/>
  <c r="FJ268" i="16"/>
  <c r="FL268" i="16"/>
  <c r="FN268" i="16"/>
  <c r="FP268" i="16"/>
  <c r="FR268" i="16"/>
  <c r="FT268" i="16"/>
  <c r="FV268" i="16"/>
  <c r="FX268" i="16"/>
  <c r="FZ268" i="16"/>
  <c r="GB268" i="16"/>
  <c r="GD268" i="16"/>
  <c r="CY268" i="16"/>
  <c r="DA268" i="16"/>
  <c r="DC268" i="16"/>
  <c r="DE268" i="16"/>
  <c r="DG268" i="16"/>
  <c r="DI268" i="16"/>
  <c r="DK268" i="16"/>
  <c r="DM268" i="16"/>
  <c r="DO268" i="16"/>
  <c r="DQ268" i="16"/>
  <c r="DS268" i="16"/>
  <c r="DU268" i="16"/>
  <c r="DW268" i="16"/>
  <c r="DY268" i="16"/>
  <c r="EA268" i="16"/>
  <c r="EC268" i="16"/>
  <c r="EE268" i="16"/>
  <c r="EG268" i="16"/>
  <c r="EI268" i="16"/>
  <c r="EK268" i="16"/>
  <c r="EM268" i="16"/>
  <c r="EO268" i="16"/>
  <c r="EQ268" i="16"/>
  <c r="ES268" i="16"/>
  <c r="EU268" i="16"/>
  <c r="EW268" i="16"/>
  <c r="EY268" i="16"/>
  <c r="FA268" i="16"/>
  <c r="FC268" i="16"/>
  <c r="FE268" i="16"/>
  <c r="FG268" i="16"/>
  <c r="FI268" i="16"/>
  <c r="FK268" i="16"/>
  <c r="FM268" i="16"/>
  <c r="FO268" i="16"/>
  <c r="FQ268" i="16"/>
  <c r="FS268" i="16"/>
  <c r="FU268" i="16"/>
  <c r="FW268" i="16"/>
  <c r="FY268" i="16"/>
  <c r="GA268" i="16"/>
  <c r="GC268" i="16"/>
  <c r="CY269" i="16"/>
  <c r="DA269" i="16"/>
  <c r="DC269" i="16"/>
  <c r="DE269" i="16"/>
  <c r="DG269" i="16"/>
  <c r="DI269" i="16"/>
  <c r="DK269" i="16"/>
  <c r="DM269" i="16"/>
  <c r="DO269" i="16"/>
  <c r="DQ269" i="16"/>
  <c r="DS269" i="16"/>
  <c r="DU269" i="16"/>
  <c r="DW269" i="16"/>
  <c r="DY269" i="16"/>
  <c r="EA269" i="16"/>
  <c r="EC269" i="16"/>
  <c r="EE269" i="16"/>
  <c r="EG269" i="16"/>
  <c r="EI269" i="16"/>
  <c r="EK269" i="16"/>
  <c r="EM269" i="16"/>
  <c r="EO269" i="16"/>
  <c r="EQ269" i="16"/>
  <c r="ES269" i="16"/>
  <c r="EU269" i="16"/>
  <c r="EW269" i="16"/>
  <c r="EY269" i="16"/>
  <c r="FA269" i="16"/>
  <c r="FC269" i="16"/>
  <c r="FE269" i="16"/>
  <c r="FG269" i="16"/>
  <c r="FI269" i="16"/>
  <c r="FK269" i="16"/>
  <c r="FM269" i="16"/>
  <c r="FO269" i="16"/>
  <c r="FQ269" i="16"/>
  <c r="FS269" i="16"/>
  <c r="FU269" i="16"/>
  <c r="FW269" i="16"/>
  <c r="FY269" i="16"/>
  <c r="GA269" i="16"/>
  <c r="GC269" i="16"/>
  <c r="CZ269" i="16"/>
  <c r="DB269" i="16"/>
  <c r="DD269" i="16"/>
  <c r="DF269" i="16"/>
  <c r="DH269" i="16"/>
  <c r="DJ269" i="16"/>
  <c r="DL269" i="16"/>
  <c r="DN269" i="16"/>
  <c r="DP269" i="16"/>
  <c r="DR269" i="16"/>
  <c r="DT269" i="16"/>
  <c r="DV269" i="16"/>
  <c r="DX269" i="16"/>
  <c r="DZ269" i="16"/>
  <c r="EB269" i="16"/>
  <c r="ED269" i="16"/>
  <c r="EF269" i="16"/>
  <c r="EH269" i="16"/>
  <c r="EJ269" i="16"/>
  <c r="EL269" i="16"/>
  <c r="EN269" i="16"/>
  <c r="EP269" i="16"/>
  <c r="ER269" i="16"/>
  <c r="ET269" i="16"/>
  <c r="EV269" i="16"/>
  <c r="EX269" i="16"/>
  <c r="EZ269" i="16"/>
  <c r="FB269" i="16"/>
  <c r="FD269" i="16"/>
  <c r="FF269" i="16"/>
  <c r="FH269" i="16"/>
  <c r="FJ269" i="16"/>
  <c r="FL269" i="16"/>
  <c r="FN269" i="16"/>
  <c r="FP269" i="16"/>
  <c r="FR269" i="16"/>
  <c r="FT269" i="16"/>
  <c r="FV269" i="16"/>
  <c r="FX269" i="16"/>
  <c r="FZ269" i="16"/>
  <c r="GB269" i="16"/>
  <c r="GD269" i="16"/>
  <c r="CY271" i="16"/>
  <c r="DA271" i="16"/>
  <c r="DC271" i="16"/>
  <c r="DE271" i="16"/>
  <c r="DG271" i="16"/>
  <c r="DI271" i="16"/>
  <c r="DK271" i="16"/>
  <c r="DM271" i="16"/>
  <c r="DO271" i="16"/>
  <c r="DQ271" i="16"/>
  <c r="DS271" i="16"/>
  <c r="DU271" i="16"/>
  <c r="DW271" i="16"/>
  <c r="DY271" i="16"/>
  <c r="EA271" i="16"/>
  <c r="EC271" i="16"/>
  <c r="EE271" i="16"/>
  <c r="EG271" i="16"/>
  <c r="EI271" i="16"/>
  <c r="EK271" i="16"/>
  <c r="EM271" i="16"/>
  <c r="EO271" i="16"/>
  <c r="EQ271" i="16"/>
  <c r="ES271" i="16"/>
  <c r="EU271" i="16"/>
  <c r="EW271" i="16"/>
  <c r="EY271" i="16"/>
  <c r="FA271" i="16"/>
  <c r="FC271" i="16"/>
  <c r="FE271" i="16"/>
  <c r="FG271" i="16"/>
  <c r="FI271" i="16"/>
  <c r="FK271" i="16"/>
  <c r="FM271" i="16"/>
  <c r="FO271" i="16"/>
  <c r="FQ271" i="16"/>
  <c r="FS271" i="16"/>
  <c r="FU271" i="16"/>
  <c r="FW271" i="16"/>
  <c r="FY271" i="16"/>
  <c r="GA271" i="16"/>
  <c r="GC271" i="16"/>
  <c r="CZ271" i="16"/>
  <c r="DB271" i="16"/>
  <c r="DD271" i="16"/>
  <c r="DF271" i="16"/>
  <c r="DH271" i="16"/>
  <c r="DJ271" i="16"/>
  <c r="DL271" i="16"/>
  <c r="DN271" i="16"/>
  <c r="DP271" i="16"/>
  <c r="DR271" i="16"/>
  <c r="DT271" i="16"/>
  <c r="DV271" i="16"/>
  <c r="DX271" i="16"/>
  <c r="DZ271" i="16"/>
  <c r="EB271" i="16"/>
  <c r="ED271" i="16"/>
  <c r="EF271" i="16"/>
  <c r="EH271" i="16"/>
  <c r="EJ271" i="16"/>
  <c r="EL271" i="16"/>
  <c r="EN271" i="16"/>
  <c r="EP271" i="16"/>
  <c r="ER271" i="16"/>
  <c r="ET271" i="16"/>
  <c r="EV271" i="16"/>
  <c r="EX271" i="16"/>
  <c r="EZ271" i="16"/>
  <c r="FB271" i="16"/>
  <c r="FD271" i="16"/>
  <c r="FF271" i="16"/>
  <c r="FH271" i="16"/>
  <c r="FJ271" i="16"/>
  <c r="FL271" i="16"/>
  <c r="FN271" i="16"/>
  <c r="FP271" i="16"/>
  <c r="FR271" i="16"/>
  <c r="FT271" i="16"/>
  <c r="FV271" i="16"/>
  <c r="FX271" i="16"/>
  <c r="FZ271" i="16"/>
  <c r="GB271" i="16"/>
  <c r="GD271" i="16"/>
  <c r="CY273" i="16"/>
  <c r="DA273" i="16"/>
  <c r="DC273" i="16"/>
  <c r="DE273" i="16"/>
  <c r="DG273" i="16"/>
  <c r="DI273" i="16"/>
  <c r="DK273" i="16"/>
  <c r="DM273" i="16"/>
  <c r="DO273" i="16"/>
  <c r="DQ273" i="16"/>
  <c r="DS273" i="16"/>
  <c r="DU273" i="16"/>
  <c r="DW273" i="16"/>
  <c r="DY273" i="16"/>
  <c r="EA273" i="16"/>
  <c r="EC273" i="16"/>
  <c r="EE273" i="16"/>
  <c r="EG273" i="16"/>
  <c r="EI273" i="16"/>
  <c r="EK273" i="16"/>
  <c r="EM273" i="16"/>
  <c r="EO273" i="16"/>
  <c r="EQ273" i="16"/>
  <c r="ES273" i="16"/>
  <c r="EU273" i="16"/>
  <c r="EW273" i="16"/>
  <c r="EY273" i="16"/>
  <c r="FA273" i="16"/>
  <c r="FC273" i="16"/>
  <c r="FE273" i="16"/>
  <c r="FG273" i="16"/>
  <c r="FI273" i="16"/>
  <c r="FK273" i="16"/>
  <c r="FM273" i="16"/>
  <c r="FO273" i="16"/>
  <c r="FQ273" i="16"/>
  <c r="FS273" i="16"/>
  <c r="FU273" i="16"/>
  <c r="FW273" i="16"/>
  <c r="FY273" i="16"/>
  <c r="GA273" i="16"/>
  <c r="GC273" i="16"/>
  <c r="CZ273" i="16"/>
  <c r="DB273" i="16"/>
  <c r="DD273" i="16"/>
  <c r="DF273" i="16"/>
  <c r="DH273" i="16"/>
  <c r="DJ273" i="16"/>
  <c r="DL273" i="16"/>
  <c r="DN273" i="16"/>
  <c r="DP273" i="16"/>
  <c r="DR273" i="16"/>
  <c r="DT273" i="16"/>
  <c r="DV273" i="16"/>
  <c r="DX273" i="16"/>
  <c r="DZ273" i="16"/>
  <c r="EB273" i="16"/>
  <c r="ED273" i="16"/>
  <c r="EF273" i="16"/>
  <c r="EH273" i="16"/>
  <c r="EJ273" i="16"/>
  <c r="EL273" i="16"/>
  <c r="EN273" i="16"/>
  <c r="EP273" i="16"/>
  <c r="ER273" i="16"/>
  <c r="ET273" i="16"/>
  <c r="EV273" i="16"/>
  <c r="EX273" i="16"/>
  <c r="EZ273" i="16"/>
  <c r="FB273" i="16"/>
  <c r="FD273" i="16"/>
  <c r="FF273" i="16"/>
  <c r="FH273" i="16"/>
  <c r="FJ273" i="16"/>
  <c r="FL273" i="16"/>
  <c r="FN273" i="16"/>
  <c r="FP273" i="16"/>
  <c r="FR273" i="16"/>
  <c r="FT273" i="16"/>
  <c r="FV273" i="16"/>
  <c r="FX273" i="16"/>
  <c r="FZ273" i="16"/>
  <c r="GB273" i="16"/>
  <c r="GD273" i="16"/>
  <c r="CY275" i="16"/>
  <c r="DA275" i="16"/>
  <c r="DC275" i="16"/>
  <c r="DE275" i="16"/>
  <c r="DG275" i="16"/>
  <c r="DI275" i="16"/>
  <c r="DK275" i="16"/>
  <c r="DM275" i="16"/>
  <c r="DO275" i="16"/>
  <c r="DQ275" i="16"/>
  <c r="DS275" i="16"/>
  <c r="DU275" i="16"/>
  <c r="DW275" i="16"/>
  <c r="DY275" i="16"/>
  <c r="EA275" i="16"/>
  <c r="EC275" i="16"/>
  <c r="EE275" i="16"/>
  <c r="EG275" i="16"/>
  <c r="EI275" i="16"/>
  <c r="EK275" i="16"/>
  <c r="EM275" i="16"/>
  <c r="EO275" i="16"/>
  <c r="EQ275" i="16"/>
  <c r="ES275" i="16"/>
  <c r="EU275" i="16"/>
  <c r="EW275" i="16"/>
  <c r="EY275" i="16"/>
  <c r="FA275" i="16"/>
  <c r="FC275" i="16"/>
  <c r="FE275" i="16"/>
  <c r="FG275" i="16"/>
  <c r="FI275" i="16"/>
  <c r="FK275" i="16"/>
  <c r="FM275" i="16"/>
  <c r="FO275" i="16"/>
  <c r="FQ275" i="16"/>
  <c r="FS275" i="16"/>
  <c r="FU275" i="16"/>
  <c r="FW275" i="16"/>
  <c r="FY275" i="16"/>
  <c r="GA275" i="16"/>
  <c r="GC275" i="16"/>
  <c r="CZ275" i="16"/>
  <c r="DB275" i="16"/>
  <c r="DD275" i="16"/>
  <c r="DF275" i="16"/>
  <c r="DH275" i="16"/>
  <c r="DJ275" i="16"/>
  <c r="DL275" i="16"/>
  <c r="DN275" i="16"/>
  <c r="DP275" i="16"/>
  <c r="DR275" i="16"/>
  <c r="DT275" i="16"/>
  <c r="DV275" i="16"/>
  <c r="DX275" i="16"/>
  <c r="DZ275" i="16"/>
  <c r="EB275" i="16"/>
  <c r="ED275" i="16"/>
  <c r="EF275" i="16"/>
  <c r="EH275" i="16"/>
  <c r="EJ275" i="16"/>
  <c r="EL275" i="16"/>
  <c r="EN275" i="16"/>
  <c r="EP275" i="16"/>
  <c r="ER275" i="16"/>
  <c r="ET275" i="16"/>
  <c r="EV275" i="16"/>
  <c r="EX275" i="16"/>
  <c r="EZ275" i="16"/>
  <c r="FB275" i="16"/>
  <c r="FD275" i="16"/>
  <c r="FF275" i="16"/>
  <c r="FH275" i="16"/>
  <c r="FJ275" i="16"/>
  <c r="FL275" i="16"/>
  <c r="FN275" i="16"/>
  <c r="FP275" i="16"/>
  <c r="FR275" i="16"/>
  <c r="FT275" i="16"/>
  <c r="FV275" i="16"/>
  <c r="FX275" i="16"/>
  <c r="FZ275" i="16"/>
  <c r="GB275" i="16"/>
  <c r="GD275" i="16"/>
  <c r="CZ278" i="16"/>
  <c r="DB278" i="16"/>
  <c r="DD278" i="16"/>
  <c r="DF278" i="16"/>
  <c r="DH278" i="16"/>
  <c r="DJ278" i="16"/>
  <c r="DL278" i="16"/>
  <c r="DN278" i="16"/>
  <c r="DP278" i="16"/>
  <c r="DR278" i="16"/>
  <c r="DT278" i="16"/>
  <c r="DV278" i="16"/>
  <c r="DX278" i="16"/>
  <c r="DZ278" i="16"/>
  <c r="EB278" i="16"/>
  <c r="ED278" i="16"/>
  <c r="EF278" i="16"/>
  <c r="EH278" i="16"/>
  <c r="EJ278" i="16"/>
  <c r="EL278" i="16"/>
  <c r="EN278" i="16"/>
  <c r="EP278" i="16"/>
  <c r="ER278" i="16"/>
  <c r="ET278" i="16"/>
  <c r="EV278" i="16"/>
  <c r="EX278" i="16"/>
  <c r="EZ278" i="16"/>
  <c r="FB278" i="16"/>
  <c r="FD278" i="16"/>
  <c r="FF278" i="16"/>
  <c r="FH278" i="16"/>
  <c r="FJ278" i="16"/>
  <c r="FL278" i="16"/>
  <c r="FN278" i="16"/>
  <c r="FP278" i="16"/>
  <c r="FR278" i="16"/>
  <c r="FT278" i="16"/>
  <c r="FV278" i="16"/>
  <c r="FX278" i="16"/>
  <c r="FZ278" i="16"/>
  <c r="GB278" i="16"/>
  <c r="GD278" i="16"/>
  <c r="CY278" i="16"/>
  <c r="DA278" i="16"/>
  <c r="DC278" i="16"/>
  <c r="DE278" i="16"/>
  <c r="DG278" i="16"/>
  <c r="DI278" i="16"/>
  <c r="DK278" i="16"/>
  <c r="DM278" i="16"/>
  <c r="DO278" i="16"/>
  <c r="DQ278" i="16"/>
  <c r="DS278" i="16"/>
  <c r="DU278" i="16"/>
  <c r="DW278" i="16"/>
  <c r="DY278" i="16"/>
  <c r="EA278" i="16"/>
  <c r="EC278" i="16"/>
  <c r="EE278" i="16"/>
  <c r="EG278" i="16"/>
  <c r="EI278" i="16"/>
  <c r="EK278" i="16"/>
  <c r="EM278" i="16"/>
  <c r="EO278" i="16"/>
  <c r="EQ278" i="16"/>
  <c r="ES278" i="16"/>
  <c r="EU278" i="16"/>
  <c r="EW278" i="16"/>
  <c r="EY278" i="16"/>
  <c r="FA278" i="16"/>
  <c r="FC278" i="16"/>
  <c r="FE278" i="16"/>
  <c r="FG278" i="16"/>
  <c r="FI278" i="16"/>
  <c r="FK278" i="16"/>
  <c r="FM278" i="16"/>
  <c r="FO278" i="16"/>
  <c r="FQ278" i="16"/>
  <c r="FS278" i="16"/>
  <c r="FU278" i="16"/>
  <c r="FW278" i="16"/>
  <c r="FY278" i="16"/>
  <c r="GA278" i="16"/>
  <c r="GC278" i="16"/>
  <c r="CY279" i="16"/>
  <c r="DA279" i="16"/>
  <c r="DC279" i="16"/>
  <c r="DE279" i="16"/>
  <c r="DG279" i="16"/>
  <c r="DI279" i="16"/>
  <c r="DK279" i="16"/>
  <c r="DM279" i="16"/>
  <c r="DO279" i="16"/>
  <c r="DQ279" i="16"/>
  <c r="DS279" i="16"/>
  <c r="DU279" i="16"/>
  <c r="DW279" i="16"/>
  <c r="DY279" i="16"/>
  <c r="EA279" i="16"/>
  <c r="EC279" i="16"/>
  <c r="EE279" i="16"/>
  <c r="EG279" i="16"/>
  <c r="EI279" i="16"/>
  <c r="EK279" i="16"/>
  <c r="EM279" i="16"/>
  <c r="EO279" i="16"/>
  <c r="EQ279" i="16"/>
  <c r="ES279" i="16"/>
  <c r="EU279" i="16"/>
  <c r="EW279" i="16"/>
  <c r="EY279" i="16"/>
  <c r="FA279" i="16"/>
  <c r="FC279" i="16"/>
  <c r="FE279" i="16"/>
  <c r="FG279" i="16"/>
  <c r="FI279" i="16"/>
  <c r="FK279" i="16"/>
  <c r="FM279" i="16"/>
  <c r="FO279" i="16"/>
  <c r="FQ279" i="16"/>
  <c r="FS279" i="16"/>
  <c r="FU279" i="16"/>
  <c r="FW279" i="16"/>
  <c r="FY279" i="16"/>
  <c r="GA279" i="16"/>
  <c r="GC279" i="16"/>
  <c r="CZ279" i="16"/>
  <c r="DB279" i="16"/>
  <c r="DD279" i="16"/>
  <c r="DF279" i="16"/>
  <c r="DH279" i="16"/>
  <c r="DJ279" i="16"/>
  <c r="DL279" i="16"/>
  <c r="DN279" i="16"/>
  <c r="DP279" i="16"/>
  <c r="DR279" i="16"/>
  <c r="DT279" i="16"/>
  <c r="DV279" i="16"/>
  <c r="DX279" i="16"/>
  <c r="DZ279" i="16"/>
  <c r="EB279" i="16"/>
  <c r="ED279" i="16"/>
  <c r="EF279" i="16"/>
  <c r="EH279" i="16"/>
  <c r="EJ279" i="16"/>
  <c r="EL279" i="16"/>
  <c r="EN279" i="16"/>
  <c r="EP279" i="16"/>
  <c r="ER279" i="16"/>
  <c r="ET279" i="16"/>
  <c r="EV279" i="16"/>
  <c r="EX279" i="16"/>
  <c r="EZ279" i="16"/>
  <c r="FB279" i="16"/>
  <c r="FD279" i="16"/>
  <c r="FF279" i="16"/>
  <c r="FH279" i="16"/>
  <c r="FJ279" i="16"/>
  <c r="FL279" i="16"/>
  <c r="FN279" i="16"/>
  <c r="FP279" i="16"/>
  <c r="FR279" i="16"/>
  <c r="FT279" i="16"/>
  <c r="FV279" i="16"/>
  <c r="FX279" i="16"/>
  <c r="FZ279" i="16"/>
  <c r="GB279" i="16"/>
  <c r="GD279" i="16"/>
  <c r="CY281" i="16"/>
  <c r="DA281" i="16"/>
  <c r="DC281" i="16"/>
  <c r="DE281" i="16"/>
  <c r="DG281" i="16"/>
  <c r="DI281" i="16"/>
  <c r="DK281" i="16"/>
  <c r="DM281" i="16"/>
  <c r="DO281" i="16"/>
  <c r="DQ281" i="16"/>
  <c r="DS281" i="16"/>
  <c r="DU281" i="16"/>
  <c r="DW281" i="16"/>
  <c r="DY281" i="16"/>
  <c r="EA281" i="16"/>
  <c r="EC281" i="16"/>
  <c r="EE281" i="16"/>
  <c r="EG281" i="16"/>
  <c r="EI281" i="16"/>
  <c r="EK281" i="16"/>
  <c r="EM281" i="16"/>
  <c r="EO281" i="16"/>
  <c r="EQ281" i="16"/>
  <c r="ES281" i="16"/>
  <c r="EU281" i="16"/>
  <c r="EW281" i="16"/>
  <c r="EY281" i="16"/>
  <c r="FA281" i="16"/>
  <c r="FC281" i="16"/>
  <c r="FE281" i="16"/>
  <c r="FG281" i="16"/>
  <c r="FI281" i="16"/>
  <c r="FK281" i="16"/>
  <c r="FM281" i="16"/>
  <c r="FO281" i="16"/>
  <c r="FQ281" i="16"/>
  <c r="FS281" i="16"/>
  <c r="FU281" i="16"/>
  <c r="FW281" i="16"/>
  <c r="FY281" i="16"/>
  <c r="GA281" i="16"/>
  <c r="GC281" i="16"/>
  <c r="CZ281" i="16"/>
  <c r="DB281" i="16"/>
  <c r="DD281" i="16"/>
  <c r="DF281" i="16"/>
  <c r="DH281" i="16"/>
  <c r="DJ281" i="16"/>
  <c r="DL281" i="16"/>
  <c r="DN281" i="16"/>
  <c r="DP281" i="16"/>
  <c r="DR281" i="16"/>
  <c r="DT281" i="16"/>
  <c r="DV281" i="16"/>
  <c r="DX281" i="16"/>
  <c r="DZ281" i="16"/>
  <c r="EB281" i="16"/>
  <c r="ED281" i="16"/>
  <c r="EF281" i="16"/>
  <c r="EH281" i="16"/>
  <c r="EJ281" i="16"/>
  <c r="EL281" i="16"/>
  <c r="EN281" i="16"/>
  <c r="EP281" i="16"/>
  <c r="ER281" i="16"/>
  <c r="ET281" i="16"/>
  <c r="EV281" i="16"/>
  <c r="EX281" i="16"/>
  <c r="EZ281" i="16"/>
  <c r="FB281" i="16"/>
  <c r="FD281" i="16"/>
  <c r="FF281" i="16"/>
  <c r="FH281" i="16"/>
  <c r="FJ281" i="16"/>
  <c r="FL281" i="16"/>
  <c r="FN281" i="16"/>
  <c r="FP281" i="16"/>
  <c r="FR281" i="16"/>
  <c r="FT281" i="16"/>
  <c r="FV281" i="16"/>
  <c r="FX281" i="16"/>
  <c r="FZ281" i="16"/>
  <c r="GB281" i="16"/>
  <c r="GD281" i="16"/>
  <c r="CY283" i="16"/>
  <c r="DA283" i="16"/>
  <c r="DC283" i="16"/>
  <c r="DE283" i="16"/>
  <c r="DG283" i="16"/>
  <c r="DI283" i="16"/>
  <c r="DK283" i="16"/>
  <c r="DM283" i="16"/>
  <c r="DO283" i="16"/>
  <c r="DQ283" i="16"/>
  <c r="DS283" i="16"/>
  <c r="DU283" i="16"/>
  <c r="DW283" i="16"/>
  <c r="DY283" i="16"/>
  <c r="EA283" i="16"/>
  <c r="EC283" i="16"/>
  <c r="EE283" i="16"/>
  <c r="EG283" i="16"/>
  <c r="EI283" i="16"/>
  <c r="EK283" i="16"/>
  <c r="EM283" i="16"/>
  <c r="EO283" i="16"/>
  <c r="EQ283" i="16"/>
  <c r="ES283" i="16"/>
  <c r="EU283" i="16"/>
  <c r="EW283" i="16"/>
  <c r="EY283" i="16"/>
  <c r="FA283" i="16"/>
  <c r="FC283" i="16"/>
  <c r="FE283" i="16"/>
  <c r="FG283" i="16"/>
  <c r="FI283" i="16"/>
  <c r="FK283" i="16"/>
  <c r="FM283" i="16"/>
  <c r="FO283" i="16"/>
  <c r="FQ283" i="16"/>
  <c r="FS283" i="16"/>
  <c r="FU283" i="16"/>
  <c r="FW283" i="16"/>
  <c r="FY283" i="16"/>
  <c r="GA283" i="16"/>
  <c r="GC283" i="16"/>
  <c r="CZ283" i="16"/>
  <c r="DB283" i="16"/>
  <c r="DD283" i="16"/>
  <c r="DF283" i="16"/>
  <c r="DH283" i="16"/>
  <c r="DJ283" i="16"/>
  <c r="DL283" i="16"/>
  <c r="DN283" i="16"/>
  <c r="DP283" i="16"/>
  <c r="DR283" i="16"/>
  <c r="DT283" i="16"/>
  <c r="DV283" i="16"/>
  <c r="DX283" i="16"/>
  <c r="DZ283" i="16"/>
  <c r="EB283" i="16"/>
  <c r="ED283" i="16"/>
  <c r="EF283" i="16"/>
  <c r="EH283" i="16"/>
  <c r="EJ283" i="16"/>
  <c r="EL283" i="16"/>
  <c r="EN283" i="16"/>
  <c r="EP283" i="16"/>
  <c r="ER283" i="16"/>
  <c r="ET283" i="16"/>
  <c r="EV283" i="16"/>
  <c r="EX283" i="16"/>
  <c r="EZ283" i="16"/>
  <c r="FB283" i="16"/>
  <c r="FD283" i="16"/>
  <c r="FF283" i="16"/>
  <c r="FH283" i="16"/>
  <c r="FJ283" i="16"/>
  <c r="FL283" i="16"/>
  <c r="FN283" i="16"/>
  <c r="FP283" i="16"/>
  <c r="FR283" i="16"/>
  <c r="FT283" i="16"/>
  <c r="FV283" i="16"/>
  <c r="FX283" i="16"/>
  <c r="FZ283" i="16"/>
  <c r="GB283" i="16"/>
  <c r="GD283" i="16"/>
  <c r="CY285" i="16"/>
  <c r="DA285" i="16"/>
  <c r="DC285" i="16"/>
  <c r="DE285" i="16"/>
  <c r="DG285" i="16"/>
  <c r="DI285" i="16"/>
  <c r="DK285" i="16"/>
  <c r="DM285" i="16"/>
  <c r="DO285" i="16"/>
  <c r="DQ285" i="16"/>
  <c r="DS285" i="16"/>
  <c r="DU285" i="16"/>
  <c r="DW285" i="16"/>
  <c r="DY285" i="16"/>
  <c r="EA285" i="16"/>
  <c r="EC285" i="16"/>
  <c r="EE285" i="16"/>
  <c r="EG285" i="16"/>
  <c r="EI285" i="16"/>
  <c r="EK285" i="16"/>
  <c r="EM285" i="16"/>
  <c r="EO285" i="16"/>
  <c r="EQ285" i="16"/>
  <c r="ES285" i="16"/>
  <c r="EU285" i="16"/>
  <c r="EW285" i="16"/>
  <c r="EY285" i="16"/>
  <c r="FA285" i="16"/>
  <c r="FC285" i="16"/>
  <c r="FE285" i="16"/>
  <c r="FG285" i="16"/>
  <c r="FI285" i="16"/>
  <c r="FK285" i="16"/>
  <c r="FM285" i="16"/>
  <c r="FO285" i="16"/>
  <c r="FQ285" i="16"/>
  <c r="FS285" i="16"/>
  <c r="FU285" i="16"/>
  <c r="FW285" i="16"/>
  <c r="FY285" i="16"/>
  <c r="GA285" i="16"/>
  <c r="GC285" i="16"/>
  <c r="CZ285" i="16"/>
  <c r="DB285" i="16"/>
  <c r="DD285" i="16"/>
  <c r="DF285" i="16"/>
  <c r="DH285" i="16"/>
  <c r="DJ285" i="16"/>
  <c r="DL285" i="16"/>
  <c r="DN285" i="16"/>
  <c r="DP285" i="16"/>
  <c r="DR285" i="16"/>
  <c r="DT285" i="16"/>
  <c r="DV285" i="16"/>
  <c r="DX285" i="16"/>
  <c r="DZ285" i="16"/>
  <c r="EB285" i="16"/>
  <c r="ED285" i="16"/>
  <c r="EF285" i="16"/>
  <c r="EH285" i="16"/>
  <c r="EJ285" i="16"/>
  <c r="EL285" i="16"/>
  <c r="EN285" i="16"/>
  <c r="EP285" i="16"/>
  <c r="ER285" i="16"/>
  <c r="ET285" i="16"/>
  <c r="EV285" i="16"/>
  <c r="EX285" i="16"/>
  <c r="EZ285" i="16"/>
  <c r="FB285" i="16"/>
  <c r="FD285" i="16"/>
  <c r="FF285" i="16"/>
  <c r="FH285" i="16"/>
  <c r="FJ285" i="16"/>
  <c r="FL285" i="16"/>
  <c r="FN285" i="16"/>
  <c r="FP285" i="16"/>
  <c r="FR285" i="16"/>
  <c r="FT285" i="16"/>
  <c r="FV285" i="16"/>
  <c r="FX285" i="16"/>
  <c r="FZ285" i="16"/>
  <c r="GB285" i="16"/>
  <c r="GD285" i="16"/>
  <c r="CY287" i="16"/>
  <c r="DA287" i="16"/>
  <c r="DC287" i="16"/>
  <c r="DE287" i="16"/>
  <c r="DG287" i="16"/>
  <c r="DI287" i="16"/>
  <c r="DK287" i="16"/>
  <c r="DM287" i="16"/>
  <c r="DO287" i="16"/>
  <c r="DQ287" i="16"/>
  <c r="DS287" i="16"/>
  <c r="DU287" i="16"/>
  <c r="DW287" i="16"/>
  <c r="DY287" i="16"/>
  <c r="EA287" i="16"/>
  <c r="EC287" i="16"/>
  <c r="EE287" i="16"/>
  <c r="EG287" i="16"/>
  <c r="EI287" i="16"/>
  <c r="EK287" i="16"/>
  <c r="EM287" i="16"/>
  <c r="EO287" i="16"/>
  <c r="EQ287" i="16"/>
  <c r="ES287" i="16"/>
  <c r="EU287" i="16"/>
  <c r="EW287" i="16"/>
  <c r="EY287" i="16"/>
  <c r="FA287" i="16"/>
  <c r="FC287" i="16"/>
  <c r="FE287" i="16"/>
  <c r="FG287" i="16"/>
  <c r="FI287" i="16"/>
  <c r="FK287" i="16"/>
  <c r="FM287" i="16"/>
  <c r="FO287" i="16"/>
  <c r="FQ287" i="16"/>
  <c r="FS287" i="16"/>
  <c r="FU287" i="16"/>
  <c r="FW287" i="16"/>
  <c r="FY287" i="16"/>
  <c r="GA287" i="16"/>
  <c r="GC287" i="16"/>
  <c r="CZ287" i="16"/>
  <c r="DB287" i="16"/>
  <c r="DD287" i="16"/>
  <c r="DF287" i="16"/>
  <c r="DH287" i="16"/>
  <c r="DJ287" i="16"/>
  <c r="DL287" i="16"/>
  <c r="DN287" i="16"/>
  <c r="DP287" i="16"/>
  <c r="DR287" i="16"/>
  <c r="DT287" i="16"/>
  <c r="DV287" i="16"/>
  <c r="DX287" i="16"/>
  <c r="DZ287" i="16"/>
  <c r="EB287" i="16"/>
  <c r="ED287" i="16"/>
  <c r="EF287" i="16"/>
  <c r="EH287" i="16"/>
  <c r="EJ287" i="16"/>
  <c r="EL287" i="16"/>
  <c r="EN287" i="16"/>
  <c r="EP287" i="16"/>
  <c r="ER287" i="16"/>
  <c r="ET287" i="16"/>
  <c r="EV287" i="16"/>
  <c r="EX287" i="16"/>
  <c r="EZ287" i="16"/>
  <c r="FB287" i="16"/>
  <c r="FD287" i="16"/>
  <c r="FF287" i="16"/>
  <c r="FH287" i="16"/>
  <c r="FJ287" i="16"/>
  <c r="FL287" i="16"/>
  <c r="FN287" i="16"/>
  <c r="FP287" i="16"/>
  <c r="FR287" i="16"/>
  <c r="FT287" i="16"/>
  <c r="FV287" i="16"/>
  <c r="FX287" i="16"/>
  <c r="FZ287" i="16"/>
  <c r="GB287" i="16"/>
  <c r="GD287" i="16"/>
  <c r="CY289" i="16"/>
  <c r="DA289" i="16"/>
  <c r="DC289" i="16"/>
  <c r="DE289" i="16"/>
  <c r="DG289" i="16"/>
  <c r="DI289" i="16"/>
  <c r="DK289" i="16"/>
  <c r="DM289" i="16"/>
  <c r="DO289" i="16"/>
  <c r="DQ289" i="16"/>
  <c r="DS289" i="16"/>
  <c r="DU289" i="16"/>
  <c r="DW289" i="16"/>
  <c r="DY289" i="16"/>
  <c r="EA289" i="16"/>
  <c r="EC289" i="16"/>
  <c r="EE289" i="16"/>
  <c r="EG289" i="16"/>
  <c r="EI289" i="16"/>
  <c r="EK289" i="16"/>
  <c r="EM289" i="16"/>
  <c r="EO289" i="16"/>
  <c r="EQ289" i="16"/>
  <c r="ES289" i="16"/>
  <c r="EU289" i="16"/>
  <c r="EW289" i="16"/>
  <c r="EY289" i="16"/>
  <c r="FA289" i="16"/>
  <c r="FC289" i="16"/>
  <c r="FE289" i="16"/>
  <c r="FG289" i="16"/>
  <c r="FI289" i="16"/>
  <c r="FK289" i="16"/>
  <c r="FM289" i="16"/>
  <c r="FO289" i="16"/>
  <c r="FQ289" i="16"/>
  <c r="FS289" i="16"/>
  <c r="FU289" i="16"/>
  <c r="FW289" i="16"/>
  <c r="FY289" i="16"/>
  <c r="GA289" i="16"/>
  <c r="GC289" i="16"/>
  <c r="CZ289" i="16"/>
  <c r="DB289" i="16"/>
  <c r="DD289" i="16"/>
  <c r="DF289" i="16"/>
  <c r="DH289" i="16"/>
  <c r="DJ289" i="16"/>
  <c r="DL289" i="16"/>
  <c r="DN289" i="16"/>
  <c r="DP289" i="16"/>
  <c r="DR289" i="16"/>
  <c r="DT289" i="16"/>
  <c r="DV289" i="16"/>
  <c r="DX289" i="16"/>
  <c r="DZ289" i="16"/>
  <c r="EB289" i="16"/>
  <c r="ED289" i="16"/>
  <c r="EF289" i="16"/>
  <c r="EH289" i="16"/>
  <c r="EJ289" i="16"/>
  <c r="EL289" i="16"/>
  <c r="EN289" i="16"/>
  <c r="EP289" i="16"/>
  <c r="ER289" i="16"/>
  <c r="ET289" i="16"/>
  <c r="EV289" i="16"/>
  <c r="EX289" i="16"/>
  <c r="EZ289" i="16"/>
  <c r="FB289" i="16"/>
  <c r="FD289" i="16"/>
  <c r="FF289" i="16"/>
  <c r="FH289" i="16"/>
  <c r="FJ289" i="16"/>
  <c r="FL289" i="16"/>
  <c r="FN289" i="16"/>
  <c r="FP289" i="16"/>
  <c r="FR289" i="16"/>
  <c r="FT289" i="16"/>
  <c r="FV289" i="16"/>
  <c r="FX289" i="16"/>
  <c r="FZ289" i="16"/>
  <c r="GB289" i="16"/>
  <c r="GD289" i="16"/>
  <c r="CY291" i="16"/>
  <c r="DA291" i="16"/>
  <c r="DC291" i="16"/>
  <c r="DE291" i="16"/>
  <c r="DG291" i="16"/>
  <c r="DI291" i="16"/>
  <c r="DK291" i="16"/>
  <c r="DM291" i="16"/>
  <c r="DO291" i="16"/>
  <c r="DQ291" i="16"/>
  <c r="DS291" i="16"/>
  <c r="DU291" i="16"/>
  <c r="DW291" i="16"/>
  <c r="DY291" i="16"/>
  <c r="EA291" i="16"/>
  <c r="EC291" i="16"/>
  <c r="EE291" i="16"/>
  <c r="EG291" i="16"/>
  <c r="EI291" i="16"/>
  <c r="EK291" i="16"/>
  <c r="EM291" i="16"/>
  <c r="EO291" i="16"/>
  <c r="EQ291" i="16"/>
  <c r="ES291" i="16"/>
  <c r="EU291" i="16"/>
  <c r="EW291" i="16"/>
  <c r="EY291" i="16"/>
  <c r="FA291" i="16"/>
  <c r="FC291" i="16"/>
  <c r="FE291" i="16"/>
  <c r="FG291" i="16"/>
  <c r="FI291" i="16"/>
  <c r="FK291" i="16"/>
  <c r="FM291" i="16"/>
  <c r="FO291" i="16"/>
  <c r="FQ291" i="16"/>
  <c r="FS291" i="16"/>
  <c r="FU291" i="16"/>
  <c r="FW291" i="16"/>
  <c r="FY291" i="16"/>
  <c r="GA291" i="16"/>
  <c r="GC291" i="16"/>
  <c r="CZ291" i="16"/>
  <c r="DB291" i="16"/>
  <c r="DD291" i="16"/>
  <c r="DF291" i="16"/>
  <c r="DH291" i="16"/>
  <c r="DJ291" i="16"/>
  <c r="DL291" i="16"/>
  <c r="DN291" i="16"/>
  <c r="DP291" i="16"/>
  <c r="DR291" i="16"/>
  <c r="DT291" i="16"/>
  <c r="DV291" i="16"/>
  <c r="DX291" i="16"/>
  <c r="DZ291" i="16"/>
  <c r="EB291" i="16"/>
  <c r="ED291" i="16"/>
  <c r="EF291" i="16"/>
  <c r="EH291" i="16"/>
  <c r="EJ291" i="16"/>
  <c r="EL291" i="16"/>
  <c r="EN291" i="16"/>
  <c r="EP291" i="16"/>
  <c r="ER291" i="16"/>
  <c r="ET291" i="16"/>
  <c r="EV291" i="16"/>
  <c r="EX291" i="16"/>
  <c r="EZ291" i="16"/>
  <c r="FB291" i="16"/>
  <c r="FD291" i="16"/>
  <c r="FF291" i="16"/>
  <c r="FH291" i="16"/>
  <c r="FJ291" i="16"/>
  <c r="FL291" i="16"/>
  <c r="FN291" i="16"/>
  <c r="FP291" i="16"/>
  <c r="FR291" i="16"/>
  <c r="FT291" i="16"/>
  <c r="FV291" i="16"/>
  <c r="FX291" i="16"/>
  <c r="FZ291" i="16"/>
  <c r="GB291" i="16"/>
  <c r="GD291" i="16"/>
  <c r="CY293" i="16"/>
  <c r="DA293" i="16"/>
  <c r="DC293" i="16"/>
  <c r="DE293" i="16"/>
  <c r="DG293" i="16"/>
  <c r="DI293" i="16"/>
  <c r="DK293" i="16"/>
  <c r="DM293" i="16"/>
  <c r="DO293" i="16"/>
  <c r="DQ293" i="16"/>
  <c r="DS293" i="16"/>
  <c r="DU293" i="16"/>
  <c r="DW293" i="16"/>
  <c r="DY293" i="16"/>
  <c r="EA293" i="16"/>
  <c r="EC293" i="16"/>
  <c r="EE293" i="16"/>
  <c r="EG293" i="16"/>
  <c r="EI293" i="16"/>
  <c r="EK293" i="16"/>
  <c r="EM293" i="16"/>
  <c r="EO293" i="16"/>
  <c r="EQ293" i="16"/>
  <c r="ES293" i="16"/>
  <c r="EU293" i="16"/>
  <c r="EW293" i="16"/>
  <c r="EY293" i="16"/>
  <c r="FA293" i="16"/>
  <c r="FC293" i="16"/>
  <c r="FE293" i="16"/>
  <c r="FG293" i="16"/>
  <c r="FI293" i="16"/>
  <c r="FK293" i="16"/>
  <c r="FM293" i="16"/>
  <c r="FO293" i="16"/>
  <c r="FQ293" i="16"/>
  <c r="FS293" i="16"/>
  <c r="FU293" i="16"/>
  <c r="FW293" i="16"/>
  <c r="FY293" i="16"/>
  <c r="GA293" i="16"/>
  <c r="GC293" i="16"/>
  <c r="CZ293" i="16"/>
  <c r="DB293" i="16"/>
  <c r="DD293" i="16"/>
  <c r="DF293" i="16"/>
  <c r="DH293" i="16"/>
  <c r="DJ293" i="16"/>
  <c r="DL293" i="16"/>
  <c r="DN293" i="16"/>
  <c r="DP293" i="16"/>
  <c r="DR293" i="16"/>
  <c r="DT293" i="16"/>
  <c r="DV293" i="16"/>
  <c r="DX293" i="16"/>
  <c r="DZ293" i="16"/>
  <c r="EB293" i="16"/>
  <c r="ED293" i="16"/>
  <c r="EF293" i="16"/>
  <c r="EH293" i="16"/>
  <c r="EJ293" i="16"/>
  <c r="EL293" i="16"/>
  <c r="EN293" i="16"/>
  <c r="EP293" i="16"/>
  <c r="ER293" i="16"/>
  <c r="ET293" i="16"/>
  <c r="EV293" i="16"/>
  <c r="EX293" i="16"/>
  <c r="EZ293" i="16"/>
  <c r="FB293" i="16"/>
  <c r="FD293" i="16"/>
  <c r="FF293" i="16"/>
  <c r="FH293" i="16"/>
  <c r="FJ293" i="16"/>
  <c r="FL293" i="16"/>
  <c r="FN293" i="16"/>
  <c r="FP293" i="16"/>
  <c r="FR293" i="16"/>
  <c r="FT293" i="16"/>
  <c r="FV293" i="16"/>
  <c r="FX293" i="16"/>
  <c r="FZ293" i="16"/>
  <c r="GB293" i="16"/>
  <c r="GD293" i="16"/>
  <c r="CY295" i="16"/>
  <c r="DA295" i="16"/>
  <c r="DC295" i="16"/>
  <c r="DE295" i="16"/>
  <c r="DG295" i="16"/>
  <c r="DI295" i="16"/>
  <c r="DK295" i="16"/>
  <c r="DM295" i="16"/>
  <c r="DO295" i="16"/>
  <c r="DQ295" i="16"/>
  <c r="DS295" i="16"/>
  <c r="DU295" i="16"/>
  <c r="DW295" i="16"/>
  <c r="DY295" i="16"/>
  <c r="EA295" i="16"/>
  <c r="EC295" i="16"/>
  <c r="EE295" i="16"/>
  <c r="EG295" i="16"/>
  <c r="EI295" i="16"/>
  <c r="EK295" i="16"/>
  <c r="EM295" i="16"/>
  <c r="EO295" i="16"/>
  <c r="EQ295" i="16"/>
  <c r="ES295" i="16"/>
  <c r="EU295" i="16"/>
  <c r="EW295" i="16"/>
  <c r="EY295" i="16"/>
  <c r="FA295" i="16"/>
  <c r="FC295" i="16"/>
  <c r="FE295" i="16"/>
  <c r="FG295" i="16"/>
  <c r="FI295" i="16"/>
  <c r="FK295" i="16"/>
  <c r="FM295" i="16"/>
  <c r="FO295" i="16"/>
  <c r="FQ295" i="16"/>
  <c r="FS295" i="16"/>
  <c r="FU295" i="16"/>
  <c r="FW295" i="16"/>
  <c r="FY295" i="16"/>
  <c r="GA295" i="16"/>
  <c r="GC295" i="16"/>
  <c r="CZ295" i="16"/>
  <c r="DB295" i="16"/>
  <c r="DD295" i="16"/>
  <c r="DF295" i="16"/>
  <c r="DH295" i="16"/>
  <c r="DJ295" i="16"/>
  <c r="DL295" i="16"/>
  <c r="DN295" i="16"/>
  <c r="DP295" i="16"/>
  <c r="DR295" i="16"/>
  <c r="DT295" i="16"/>
  <c r="DV295" i="16"/>
  <c r="DX295" i="16"/>
  <c r="DZ295" i="16"/>
  <c r="EB295" i="16"/>
  <c r="ED295" i="16"/>
  <c r="EF295" i="16"/>
  <c r="EH295" i="16"/>
  <c r="EJ295" i="16"/>
  <c r="EL295" i="16"/>
  <c r="EN295" i="16"/>
  <c r="EP295" i="16"/>
  <c r="ER295" i="16"/>
  <c r="ET295" i="16"/>
  <c r="EV295" i="16"/>
  <c r="EX295" i="16"/>
  <c r="EZ295" i="16"/>
  <c r="FB295" i="16"/>
  <c r="FD295" i="16"/>
  <c r="FF295" i="16"/>
  <c r="FH295" i="16"/>
  <c r="FJ295" i="16"/>
  <c r="FL295" i="16"/>
  <c r="FN295" i="16"/>
  <c r="FP295" i="16"/>
  <c r="FR295" i="16"/>
  <c r="FT295" i="16"/>
  <c r="FV295" i="16"/>
  <c r="FX295" i="16"/>
  <c r="FZ295" i="16"/>
  <c r="GB295" i="16"/>
  <c r="GD295" i="16"/>
  <c r="CY297" i="16"/>
  <c r="DA297" i="16"/>
  <c r="DC297" i="16"/>
  <c r="DE297" i="16"/>
  <c r="DG297" i="16"/>
  <c r="DI297" i="16"/>
  <c r="DK297" i="16"/>
  <c r="DM297" i="16"/>
  <c r="DO297" i="16"/>
  <c r="DQ297" i="16"/>
  <c r="DS297" i="16"/>
  <c r="DU297" i="16"/>
  <c r="DW297" i="16"/>
  <c r="DY297" i="16"/>
  <c r="EA297" i="16"/>
  <c r="EC297" i="16"/>
  <c r="EE297" i="16"/>
  <c r="EG297" i="16"/>
  <c r="EI297" i="16"/>
  <c r="EK297" i="16"/>
  <c r="EM297" i="16"/>
  <c r="EO297" i="16"/>
  <c r="EQ297" i="16"/>
  <c r="ES297" i="16"/>
  <c r="EU297" i="16"/>
  <c r="EW297" i="16"/>
  <c r="EY297" i="16"/>
  <c r="FA297" i="16"/>
  <c r="FC297" i="16"/>
  <c r="FE297" i="16"/>
  <c r="FG297" i="16"/>
  <c r="FI297" i="16"/>
  <c r="FK297" i="16"/>
  <c r="FM297" i="16"/>
  <c r="FO297" i="16"/>
  <c r="FQ297" i="16"/>
  <c r="FS297" i="16"/>
  <c r="FU297" i="16"/>
  <c r="FW297" i="16"/>
  <c r="FY297" i="16"/>
  <c r="GA297" i="16"/>
  <c r="GC297" i="16"/>
  <c r="CZ297" i="16"/>
  <c r="DB297" i="16"/>
  <c r="DD297" i="16"/>
  <c r="DF297" i="16"/>
  <c r="DH297" i="16"/>
  <c r="DJ297" i="16"/>
  <c r="DL297" i="16"/>
  <c r="DN297" i="16"/>
  <c r="DP297" i="16"/>
  <c r="DR297" i="16"/>
  <c r="DT297" i="16"/>
  <c r="DV297" i="16"/>
  <c r="DX297" i="16"/>
  <c r="DZ297" i="16"/>
  <c r="EB297" i="16"/>
  <c r="ED297" i="16"/>
  <c r="EF297" i="16"/>
  <c r="EH297" i="16"/>
  <c r="EJ297" i="16"/>
  <c r="EL297" i="16"/>
  <c r="EN297" i="16"/>
  <c r="EP297" i="16"/>
  <c r="ER297" i="16"/>
  <c r="ET297" i="16"/>
  <c r="EV297" i="16"/>
  <c r="EX297" i="16"/>
  <c r="EZ297" i="16"/>
  <c r="FB297" i="16"/>
  <c r="FD297" i="16"/>
  <c r="FF297" i="16"/>
  <c r="FH297" i="16"/>
  <c r="FJ297" i="16"/>
  <c r="FL297" i="16"/>
  <c r="FN297" i="16"/>
  <c r="FP297" i="16"/>
  <c r="FR297" i="16"/>
  <c r="FT297" i="16"/>
  <c r="FV297" i="16"/>
  <c r="FX297" i="16"/>
  <c r="FZ297" i="16"/>
  <c r="GB297" i="16"/>
  <c r="GD297" i="16"/>
  <c r="CY299" i="16"/>
  <c r="DA299" i="16"/>
  <c r="DC299" i="16"/>
  <c r="DE299" i="16"/>
  <c r="DG299" i="16"/>
  <c r="DI299" i="16"/>
  <c r="DK299" i="16"/>
  <c r="DM299" i="16"/>
  <c r="DO299" i="16"/>
  <c r="DQ299" i="16"/>
  <c r="DS299" i="16"/>
  <c r="DU299" i="16"/>
  <c r="DW299" i="16"/>
  <c r="DY299" i="16"/>
  <c r="EA299" i="16"/>
  <c r="EC299" i="16"/>
  <c r="EE299" i="16"/>
  <c r="EG299" i="16"/>
  <c r="EI299" i="16"/>
  <c r="EK299" i="16"/>
  <c r="EM299" i="16"/>
  <c r="EO299" i="16"/>
  <c r="EQ299" i="16"/>
  <c r="ES299" i="16"/>
  <c r="EU299" i="16"/>
  <c r="EW299" i="16"/>
  <c r="EY299" i="16"/>
  <c r="FA299" i="16"/>
  <c r="FC299" i="16"/>
  <c r="FE299" i="16"/>
  <c r="FG299" i="16"/>
  <c r="FI299" i="16"/>
  <c r="FK299" i="16"/>
  <c r="FM299" i="16"/>
  <c r="FO299" i="16"/>
  <c r="FQ299" i="16"/>
  <c r="FS299" i="16"/>
  <c r="FU299" i="16"/>
  <c r="FW299" i="16"/>
  <c r="FY299" i="16"/>
  <c r="GA299" i="16"/>
  <c r="GC299" i="16"/>
  <c r="CZ299" i="16"/>
  <c r="DB299" i="16"/>
  <c r="DD299" i="16"/>
  <c r="DF299" i="16"/>
  <c r="DH299" i="16"/>
  <c r="DJ299" i="16"/>
  <c r="DL299" i="16"/>
  <c r="DN299" i="16"/>
  <c r="DP299" i="16"/>
  <c r="DR299" i="16"/>
  <c r="DT299" i="16"/>
  <c r="DV299" i="16"/>
  <c r="DX299" i="16"/>
  <c r="DZ299" i="16"/>
  <c r="EB299" i="16"/>
  <c r="ED299" i="16"/>
  <c r="EF299" i="16"/>
  <c r="EH299" i="16"/>
  <c r="EJ299" i="16"/>
  <c r="EL299" i="16"/>
  <c r="EN299" i="16"/>
  <c r="EP299" i="16"/>
  <c r="ER299" i="16"/>
  <c r="ET299" i="16"/>
  <c r="EV299" i="16"/>
  <c r="EX299" i="16"/>
  <c r="EZ299" i="16"/>
  <c r="FB299" i="16"/>
  <c r="FD299" i="16"/>
  <c r="FF299" i="16"/>
  <c r="FH299" i="16"/>
  <c r="FJ299" i="16"/>
  <c r="FL299" i="16"/>
  <c r="FN299" i="16"/>
  <c r="FP299" i="16"/>
  <c r="FR299" i="16"/>
  <c r="FT299" i="16"/>
  <c r="FV299" i="16"/>
  <c r="FX299" i="16"/>
  <c r="FZ299" i="16"/>
  <c r="GB299" i="16"/>
  <c r="GD299" i="16"/>
  <c r="CZ300" i="16"/>
  <c r="DB300" i="16"/>
  <c r="DD300" i="16"/>
  <c r="DF300" i="16"/>
  <c r="DH300" i="16"/>
  <c r="DJ300" i="16"/>
  <c r="DL300" i="16"/>
  <c r="DN300" i="16"/>
  <c r="DP300" i="16"/>
  <c r="DR300" i="16"/>
  <c r="DT300" i="16"/>
  <c r="DV300" i="16"/>
  <c r="DX300" i="16"/>
  <c r="DZ300" i="16"/>
  <c r="EB300" i="16"/>
  <c r="ED300" i="16"/>
  <c r="EF300" i="16"/>
  <c r="EH300" i="16"/>
  <c r="EJ300" i="16"/>
  <c r="EL300" i="16"/>
  <c r="EN300" i="16"/>
  <c r="EP300" i="16"/>
  <c r="ER300" i="16"/>
  <c r="ET300" i="16"/>
  <c r="EV300" i="16"/>
  <c r="EX300" i="16"/>
  <c r="EZ300" i="16"/>
  <c r="FB300" i="16"/>
  <c r="FD300" i="16"/>
  <c r="FF300" i="16"/>
  <c r="FH300" i="16"/>
  <c r="FJ300" i="16"/>
  <c r="FL300" i="16"/>
  <c r="FN300" i="16"/>
  <c r="FP300" i="16"/>
  <c r="FR300" i="16"/>
  <c r="FT300" i="16"/>
  <c r="FV300" i="16"/>
  <c r="FX300" i="16"/>
  <c r="FZ300" i="16"/>
  <c r="GB300" i="16"/>
  <c r="GD300" i="16"/>
  <c r="CY300" i="16"/>
  <c r="DA300" i="16"/>
  <c r="DC300" i="16"/>
  <c r="DE300" i="16"/>
  <c r="DG300" i="16"/>
  <c r="DI300" i="16"/>
  <c r="DK300" i="16"/>
  <c r="DM300" i="16"/>
  <c r="DO300" i="16"/>
  <c r="DQ300" i="16"/>
  <c r="DS300" i="16"/>
  <c r="DU300" i="16"/>
  <c r="DW300" i="16"/>
  <c r="DY300" i="16"/>
  <c r="EA300" i="16"/>
  <c r="EC300" i="16"/>
  <c r="EE300" i="16"/>
  <c r="EG300" i="16"/>
  <c r="EI300" i="16"/>
  <c r="EK300" i="16"/>
  <c r="EM300" i="16"/>
  <c r="EO300" i="16"/>
  <c r="EQ300" i="16"/>
  <c r="ES300" i="16"/>
  <c r="EU300" i="16"/>
  <c r="EW300" i="16"/>
  <c r="EY300" i="16"/>
  <c r="FA300" i="16"/>
  <c r="FC300" i="16"/>
  <c r="FE300" i="16"/>
  <c r="FG300" i="16"/>
  <c r="FI300" i="16"/>
  <c r="FK300" i="16"/>
  <c r="FM300" i="16"/>
  <c r="FO300" i="16"/>
  <c r="FQ300" i="16"/>
  <c r="FS300" i="16"/>
  <c r="FU300" i="16"/>
  <c r="FW300" i="16"/>
  <c r="FY300" i="16"/>
  <c r="GA300" i="16"/>
  <c r="GC300" i="16"/>
  <c r="CZ302" i="16"/>
  <c r="DB302" i="16"/>
  <c r="DD302" i="16"/>
  <c r="DF302" i="16"/>
  <c r="DH302" i="16"/>
  <c r="DJ302" i="16"/>
  <c r="DL302" i="16"/>
  <c r="DN302" i="16"/>
  <c r="DP302" i="16"/>
  <c r="DR302" i="16"/>
  <c r="DT302" i="16"/>
  <c r="DV302" i="16"/>
  <c r="DX302" i="16"/>
  <c r="DZ302" i="16"/>
  <c r="EB302" i="16"/>
  <c r="ED302" i="16"/>
  <c r="EF302" i="16"/>
  <c r="EH302" i="16"/>
  <c r="EJ302" i="16"/>
  <c r="EL302" i="16"/>
  <c r="EN302" i="16"/>
  <c r="EP302" i="16"/>
  <c r="ER302" i="16"/>
  <c r="ET302" i="16"/>
  <c r="EV302" i="16"/>
  <c r="EX302" i="16"/>
  <c r="EZ302" i="16"/>
  <c r="FB302" i="16"/>
  <c r="FD302" i="16"/>
  <c r="FF302" i="16"/>
  <c r="FH302" i="16"/>
  <c r="FJ302" i="16"/>
  <c r="FL302" i="16"/>
  <c r="FN302" i="16"/>
  <c r="FP302" i="16"/>
  <c r="FR302" i="16"/>
  <c r="FT302" i="16"/>
  <c r="FV302" i="16"/>
  <c r="FX302" i="16"/>
  <c r="FZ302" i="16"/>
  <c r="GB302" i="16"/>
  <c r="GD302" i="16"/>
  <c r="CY302" i="16"/>
  <c r="DA302" i="16"/>
  <c r="DC302" i="16"/>
  <c r="DE302" i="16"/>
  <c r="DG302" i="16"/>
  <c r="DI302" i="16"/>
  <c r="DK302" i="16"/>
  <c r="DM302" i="16"/>
  <c r="DO302" i="16"/>
  <c r="DQ302" i="16"/>
  <c r="DS302" i="16"/>
  <c r="DU302" i="16"/>
  <c r="DW302" i="16"/>
  <c r="DY302" i="16"/>
  <c r="EA302" i="16"/>
  <c r="EC302" i="16"/>
  <c r="EE302" i="16"/>
  <c r="EG302" i="16"/>
  <c r="EI302" i="16"/>
  <c r="EK302" i="16"/>
  <c r="EM302" i="16"/>
  <c r="EO302" i="16"/>
  <c r="EQ302" i="16"/>
  <c r="ES302" i="16"/>
  <c r="EU302" i="16"/>
  <c r="EW302" i="16"/>
  <c r="EY302" i="16"/>
  <c r="FA302" i="16"/>
  <c r="FC302" i="16"/>
  <c r="FE302" i="16"/>
  <c r="FG302" i="16"/>
  <c r="FI302" i="16"/>
  <c r="FK302" i="16"/>
  <c r="FM302" i="16"/>
  <c r="FO302" i="16"/>
  <c r="FQ302" i="16"/>
  <c r="FS302" i="16"/>
  <c r="FU302" i="16"/>
  <c r="FW302" i="16"/>
  <c r="FY302" i="16"/>
  <c r="GA302" i="16"/>
  <c r="GC302" i="16"/>
  <c r="CZ304" i="16"/>
  <c r="DB304" i="16"/>
  <c r="DD304" i="16"/>
  <c r="DF304" i="16"/>
  <c r="DH304" i="16"/>
  <c r="DJ304" i="16"/>
  <c r="DL304" i="16"/>
  <c r="DN304" i="16"/>
  <c r="DP304" i="16"/>
  <c r="DR304" i="16"/>
  <c r="DT304" i="16"/>
  <c r="DV304" i="16"/>
  <c r="DX304" i="16"/>
  <c r="DZ304" i="16"/>
  <c r="EB304" i="16"/>
  <c r="ED304" i="16"/>
  <c r="EF304" i="16"/>
  <c r="EH304" i="16"/>
  <c r="EJ304" i="16"/>
  <c r="EL304" i="16"/>
  <c r="EN304" i="16"/>
  <c r="EP304" i="16"/>
  <c r="ER304" i="16"/>
  <c r="ET304" i="16"/>
  <c r="EV304" i="16"/>
  <c r="EX304" i="16"/>
  <c r="EZ304" i="16"/>
  <c r="FB304" i="16"/>
  <c r="FD304" i="16"/>
  <c r="FF304" i="16"/>
  <c r="FH304" i="16"/>
  <c r="FJ304" i="16"/>
  <c r="FL304" i="16"/>
  <c r="FN304" i="16"/>
  <c r="FP304" i="16"/>
  <c r="FR304" i="16"/>
  <c r="FT304" i="16"/>
  <c r="FV304" i="16"/>
  <c r="FX304" i="16"/>
  <c r="FZ304" i="16"/>
  <c r="GB304" i="16"/>
  <c r="GD304" i="16"/>
  <c r="CY304" i="16"/>
  <c r="DA304" i="16"/>
  <c r="DC304" i="16"/>
  <c r="DE304" i="16"/>
  <c r="DG304" i="16"/>
  <c r="DI304" i="16"/>
  <c r="DK304" i="16"/>
  <c r="DM304" i="16"/>
  <c r="DO304" i="16"/>
  <c r="DQ304" i="16"/>
  <c r="DS304" i="16"/>
  <c r="DU304" i="16"/>
  <c r="DW304" i="16"/>
  <c r="DY304" i="16"/>
  <c r="EA304" i="16"/>
  <c r="EC304" i="16"/>
  <c r="EE304" i="16"/>
  <c r="EG304" i="16"/>
  <c r="EI304" i="16"/>
  <c r="EK304" i="16"/>
  <c r="EM304" i="16"/>
  <c r="EO304" i="16"/>
  <c r="EQ304" i="16"/>
  <c r="ES304" i="16"/>
  <c r="EU304" i="16"/>
  <c r="EW304" i="16"/>
  <c r="EY304" i="16"/>
  <c r="FA304" i="16"/>
  <c r="FC304" i="16"/>
  <c r="FE304" i="16"/>
  <c r="FG304" i="16"/>
  <c r="FI304" i="16"/>
  <c r="FK304" i="16"/>
  <c r="FM304" i="16"/>
  <c r="FO304" i="16"/>
  <c r="FQ304" i="16"/>
  <c r="FS304" i="16"/>
  <c r="FU304" i="16"/>
  <c r="FW304" i="16"/>
  <c r="FY304" i="16"/>
  <c r="GA304" i="16"/>
  <c r="GC304" i="16"/>
  <c r="CZ306" i="16"/>
  <c r="DB306" i="16"/>
  <c r="DD306" i="16"/>
  <c r="DF306" i="16"/>
  <c r="DH306" i="16"/>
  <c r="DJ306" i="16"/>
  <c r="DL306" i="16"/>
  <c r="DN306" i="16"/>
  <c r="DP306" i="16"/>
  <c r="DR306" i="16"/>
  <c r="DT306" i="16"/>
  <c r="DV306" i="16"/>
  <c r="DX306" i="16"/>
  <c r="DZ306" i="16"/>
  <c r="EB306" i="16"/>
  <c r="ED306" i="16"/>
  <c r="EF306" i="16"/>
  <c r="EH306" i="16"/>
  <c r="EJ306" i="16"/>
  <c r="EL306" i="16"/>
  <c r="EN306" i="16"/>
  <c r="EP306" i="16"/>
  <c r="ER306" i="16"/>
  <c r="ET306" i="16"/>
  <c r="EV306" i="16"/>
  <c r="EX306" i="16"/>
  <c r="EZ306" i="16"/>
  <c r="FB306" i="16"/>
  <c r="FD306" i="16"/>
  <c r="FF306" i="16"/>
  <c r="FH306" i="16"/>
  <c r="FJ306" i="16"/>
  <c r="FL306" i="16"/>
  <c r="FN306" i="16"/>
  <c r="FP306" i="16"/>
  <c r="FR306" i="16"/>
  <c r="FT306" i="16"/>
  <c r="FV306" i="16"/>
  <c r="FX306" i="16"/>
  <c r="FZ306" i="16"/>
  <c r="GB306" i="16"/>
  <c r="GD306" i="16"/>
  <c r="CY306" i="16"/>
  <c r="DA306" i="16"/>
  <c r="DC306" i="16"/>
  <c r="DE306" i="16"/>
  <c r="DG306" i="16"/>
  <c r="DI306" i="16"/>
  <c r="DK306" i="16"/>
  <c r="DM306" i="16"/>
  <c r="DO306" i="16"/>
  <c r="DQ306" i="16"/>
  <c r="DS306" i="16"/>
  <c r="DU306" i="16"/>
  <c r="DW306" i="16"/>
  <c r="DY306" i="16"/>
  <c r="EA306" i="16"/>
  <c r="EC306" i="16"/>
  <c r="EE306" i="16"/>
  <c r="EG306" i="16"/>
  <c r="EI306" i="16"/>
  <c r="EK306" i="16"/>
  <c r="EM306" i="16"/>
  <c r="EO306" i="16"/>
  <c r="EQ306" i="16"/>
  <c r="ES306" i="16"/>
  <c r="EU306" i="16"/>
  <c r="EW306" i="16"/>
  <c r="EY306" i="16"/>
  <c r="FA306" i="16"/>
  <c r="FC306" i="16"/>
  <c r="FE306" i="16"/>
  <c r="FG306" i="16"/>
  <c r="FI306" i="16"/>
  <c r="FK306" i="16"/>
  <c r="FM306" i="16"/>
  <c r="FO306" i="16"/>
  <c r="FQ306" i="16"/>
  <c r="FS306" i="16"/>
  <c r="FU306" i="16"/>
  <c r="FW306" i="16"/>
  <c r="FY306" i="16"/>
  <c r="GA306" i="16"/>
  <c r="GC306" i="16"/>
  <c r="CZ308" i="16"/>
  <c r="DB308" i="16"/>
  <c r="DD308" i="16"/>
  <c r="DF308" i="16"/>
  <c r="DH308" i="16"/>
  <c r="DJ308" i="16"/>
  <c r="DL308" i="16"/>
  <c r="DN308" i="16"/>
  <c r="DP308" i="16"/>
  <c r="DR308" i="16"/>
  <c r="DT308" i="16"/>
  <c r="DV308" i="16"/>
  <c r="DX308" i="16"/>
  <c r="DZ308" i="16"/>
  <c r="EB308" i="16"/>
  <c r="ED308" i="16"/>
  <c r="EF308" i="16"/>
  <c r="EH308" i="16"/>
  <c r="EJ308" i="16"/>
  <c r="EL308" i="16"/>
  <c r="EN308" i="16"/>
  <c r="EP308" i="16"/>
  <c r="ER308" i="16"/>
  <c r="ET308" i="16"/>
  <c r="EV308" i="16"/>
  <c r="EX308" i="16"/>
  <c r="EZ308" i="16"/>
  <c r="FB308" i="16"/>
  <c r="FD308" i="16"/>
  <c r="FF308" i="16"/>
  <c r="FH308" i="16"/>
  <c r="FJ308" i="16"/>
  <c r="FL308" i="16"/>
  <c r="FN308" i="16"/>
  <c r="FP308" i="16"/>
  <c r="FR308" i="16"/>
  <c r="FT308" i="16"/>
  <c r="FV308" i="16"/>
  <c r="FX308" i="16"/>
  <c r="FZ308" i="16"/>
  <c r="GB308" i="16"/>
  <c r="GD308" i="16"/>
  <c r="CY308" i="16"/>
  <c r="DA308" i="16"/>
  <c r="DC308" i="16"/>
  <c r="DE308" i="16"/>
  <c r="DG308" i="16"/>
  <c r="DI308" i="16"/>
  <c r="DK308" i="16"/>
  <c r="DM308" i="16"/>
  <c r="DO308" i="16"/>
  <c r="DQ308" i="16"/>
  <c r="DS308" i="16"/>
  <c r="DU308" i="16"/>
  <c r="DW308" i="16"/>
  <c r="DY308" i="16"/>
  <c r="EA308" i="16"/>
  <c r="EC308" i="16"/>
  <c r="EE308" i="16"/>
  <c r="EG308" i="16"/>
  <c r="EI308" i="16"/>
  <c r="EK308" i="16"/>
  <c r="EM308" i="16"/>
  <c r="EO308" i="16"/>
  <c r="EQ308" i="16"/>
  <c r="ES308" i="16"/>
  <c r="EU308" i="16"/>
  <c r="EW308" i="16"/>
  <c r="EY308" i="16"/>
  <c r="FA308" i="16"/>
  <c r="FC308" i="16"/>
  <c r="FE308" i="16"/>
  <c r="FG308" i="16"/>
  <c r="FI308" i="16"/>
  <c r="FK308" i="16"/>
  <c r="FM308" i="16"/>
  <c r="FO308" i="16"/>
  <c r="FQ308" i="16"/>
  <c r="FS308" i="16"/>
  <c r="FU308" i="16"/>
  <c r="FW308" i="16"/>
  <c r="FY308" i="16"/>
  <c r="GA308" i="16"/>
  <c r="GC308" i="16"/>
  <c r="CZ310" i="16"/>
  <c r="DB310" i="16"/>
  <c r="DD310" i="16"/>
  <c r="DF310" i="16"/>
  <c r="DH310" i="16"/>
  <c r="DJ310" i="16"/>
  <c r="DL310" i="16"/>
  <c r="DN310" i="16"/>
  <c r="DP310" i="16"/>
  <c r="DR310" i="16"/>
  <c r="DT310" i="16"/>
  <c r="DV310" i="16"/>
  <c r="DX310" i="16"/>
  <c r="DZ310" i="16"/>
  <c r="EB310" i="16"/>
  <c r="ED310" i="16"/>
  <c r="EF310" i="16"/>
  <c r="EH310" i="16"/>
  <c r="EJ310" i="16"/>
  <c r="EL310" i="16"/>
  <c r="EN310" i="16"/>
  <c r="EP310" i="16"/>
  <c r="ER310" i="16"/>
  <c r="ET310" i="16"/>
  <c r="EV310" i="16"/>
  <c r="EX310" i="16"/>
  <c r="EZ310" i="16"/>
  <c r="FB310" i="16"/>
  <c r="FD310" i="16"/>
  <c r="FF310" i="16"/>
  <c r="FH310" i="16"/>
  <c r="FJ310" i="16"/>
  <c r="FL310" i="16"/>
  <c r="FN310" i="16"/>
  <c r="FP310" i="16"/>
  <c r="FR310" i="16"/>
  <c r="FT310" i="16"/>
  <c r="FV310" i="16"/>
  <c r="FX310" i="16"/>
  <c r="FZ310" i="16"/>
  <c r="GB310" i="16"/>
  <c r="GD310" i="16"/>
  <c r="CY310" i="16"/>
  <c r="DA310" i="16"/>
  <c r="DC310" i="16"/>
  <c r="DE310" i="16"/>
  <c r="DG310" i="16"/>
  <c r="DI310" i="16"/>
  <c r="DK310" i="16"/>
  <c r="DM310" i="16"/>
  <c r="DO310" i="16"/>
  <c r="DQ310" i="16"/>
  <c r="DS310" i="16"/>
  <c r="DU310" i="16"/>
  <c r="DW310" i="16"/>
  <c r="DY310" i="16"/>
  <c r="EA310" i="16"/>
  <c r="EC310" i="16"/>
  <c r="EE310" i="16"/>
  <c r="EG310" i="16"/>
  <c r="EI310" i="16"/>
  <c r="EK310" i="16"/>
  <c r="EM310" i="16"/>
  <c r="EO310" i="16"/>
  <c r="EQ310" i="16"/>
  <c r="ES310" i="16"/>
  <c r="EU310" i="16"/>
  <c r="EW310" i="16"/>
  <c r="EY310" i="16"/>
  <c r="FA310" i="16"/>
  <c r="FC310" i="16"/>
  <c r="FE310" i="16"/>
  <c r="FG310" i="16"/>
  <c r="FI310" i="16"/>
  <c r="FK310" i="16"/>
  <c r="FM310" i="16"/>
  <c r="FO310" i="16"/>
  <c r="FQ310" i="16"/>
  <c r="FS310" i="16"/>
  <c r="FU310" i="16"/>
  <c r="FW310" i="16"/>
  <c r="FY310" i="16"/>
  <c r="GA310" i="16"/>
  <c r="GC310" i="16"/>
  <c r="CZ312" i="16"/>
  <c r="DB312" i="16"/>
  <c r="DD312" i="16"/>
  <c r="DF312" i="16"/>
  <c r="DH312" i="16"/>
  <c r="DJ312" i="16"/>
  <c r="DL312" i="16"/>
  <c r="DN312" i="16"/>
  <c r="DP312" i="16"/>
  <c r="DR312" i="16"/>
  <c r="DT312" i="16"/>
  <c r="DV312" i="16"/>
  <c r="DX312" i="16"/>
  <c r="DZ312" i="16"/>
  <c r="EB312" i="16"/>
  <c r="ED312" i="16"/>
  <c r="EF312" i="16"/>
  <c r="EH312" i="16"/>
  <c r="EJ312" i="16"/>
  <c r="EL312" i="16"/>
  <c r="EN312" i="16"/>
  <c r="EP312" i="16"/>
  <c r="ER312" i="16"/>
  <c r="ET312" i="16"/>
  <c r="EV312" i="16"/>
  <c r="EX312" i="16"/>
  <c r="EZ312" i="16"/>
  <c r="FB312" i="16"/>
  <c r="FD312" i="16"/>
  <c r="FF312" i="16"/>
  <c r="FH312" i="16"/>
  <c r="FJ312" i="16"/>
  <c r="FL312" i="16"/>
  <c r="FN312" i="16"/>
  <c r="FP312" i="16"/>
  <c r="FR312" i="16"/>
  <c r="FT312" i="16"/>
  <c r="FV312" i="16"/>
  <c r="FX312" i="16"/>
  <c r="FZ312" i="16"/>
  <c r="GB312" i="16"/>
  <c r="GD312" i="16"/>
  <c r="CY312" i="16"/>
  <c r="DA312" i="16"/>
  <c r="DC312" i="16"/>
  <c r="DE312" i="16"/>
  <c r="DG312" i="16"/>
  <c r="DI312" i="16"/>
  <c r="DK312" i="16"/>
  <c r="DM312" i="16"/>
  <c r="DO312" i="16"/>
  <c r="DQ312" i="16"/>
  <c r="DS312" i="16"/>
  <c r="DU312" i="16"/>
  <c r="DW312" i="16"/>
  <c r="DY312" i="16"/>
  <c r="EA312" i="16"/>
  <c r="EC312" i="16"/>
  <c r="EE312" i="16"/>
  <c r="EG312" i="16"/>
  <c r="EI312" i="16"/>
  <c r="EK312" i="16"/>
  <c r="EM312" i="16"/>
  <c r="EO312" i="16"/>
  <c r="EQ312" i="16"/>
  <c r="ES312" i="16"/>
  <c r="EU312" i="16"/>
  <c r="EW312" i="16"/>
  <c r="EY312" i="16"/>
  <c r="FA312" i="16"/>
  <c r="FC312" i="16"/>
  <c r="FE312" i="16"/>
  <c r="FG312" i="16"/>
  <c r="FI312" i="16"/>
  <c r="FK312" i="16"/>
  <c r="FM312" i="16"/>
  <c r="FO312" i="16"/>
  <c r="FQ312" i="16"/>
  <c r="FS312" i="16"/>
  <c r="FU312" i="16"/>
  <c r="FW312" i="16"/>
  <c r="FY312" i="16"/>
  <c r="GA312" i="16"/>
  <c r="GC312" i="16"/>
  <c r="CY315" i="16"/>
  <c r="DA315" i="16"/>
  <c r="DC315" i="16"/>
  <c r="DE315" i="16"/>
  <c r="DG315" i="16"/>
  <c r="DI315" i="16"/>
  <c r="DK315" i="16"/>
  <c r="DM315" i="16"/>
  <c r="DO315" i="16"/>
  <c r="DQ315" i="16"/>
  <c r="DS315" i="16"/>
  <c r="DU315" i="16"/>
  <c r="DW315" i="16"/>
  <c r="DY315" i="16"/>
  <c r="EA315" i="16"/>
  <c r="EC315" i="16"/>
  <c r="EE315" i="16"/>
  <c r="EG315" i="16"/>
  <c r="EI315" i="16"/>
  <c r="EK315" i="16"/>
  <c r="EM315" i="16"/>
  <c r="EO315" i="16"/>
  <c r="EQ315" i="16"/>
  <c r="ES315" i="16"/>
  <c r="EU315" i="16"/>
  <c r="EW315" i="16"/>
  <c r="EY315" i="16"/>
  <c r="FA315" i="16"/>
  <c r="FC315" i="16"/>
  <c r="FE315" i="16"/>
  <c r="FG315" i="16"/>
  <c r="FI315" i="16"/>
  <c r="FK315" i="16"/>
  <c r="FM315" i="16"/>
  <c r="FO315" i="16"/>
  <c r="FQ315" i="16"/>
  <c r="FS315" i="16"/>
  <c r="FU315" i="16"/>
  <c r="FW315" i="16"/>
  <c r="FY315" i="16"/>
  <c r="GA315" i="16"/>
  <c r="GC315" i="16"/>
  <c r="CZ315" i="16"/>
  <c r="DB315" i="16"/>
  <c r="DD315" i="16"/>
  <c r="DF315" i="16"/>
  <c r="DH315" i="16"/>
  <c r="DJ315" i="16"/>
  <c r="DL315" i="16"/>
  <c r="DN315" i="16"/>
  <c r="DP315" i="16"/>
  <c r="DR315" i="16"/>
  <c r="DT315" i="16"/>
  <c r="DV315" i="16"/>
  <c r="DX315" i="16"/>
  <c r="DZ315" i="16"/>
  <c r="EB315" i="16"/>
  <c r="ED315" i="16"/>
  <c r="EF315" i="16"/>
  <c r="EH315" i="16"/>
  <c r="EJ315" i="16"/>
  <c r="EL315" i="16"/>
  <c r="EN315" i="16"/>
  <c r="EP315" i="16"/>
  <c r="ER315" i="16"/>
  <c r="ET315" i="16"/>
  <c r="EV315" i="16"/>
  <c r="EX315" i="16"/>
  <c r="EZ315" i="16"/>
  <c r="FB315" i="16"/>
  <c r="FD315" i="16"/>
  <c r="FF315" i="16"/>
  <c r="FH315" i="16"/>
  <c r="FJ315" i="16"/>
  <c r="FL315" i="16"/>
  <c r="FN315" i="16"/>
  <c r="FP315" i="16"/>
  <c r="FR315" i="16"/>
  <c r="FT315" i="16"/>
  <c r="FV315" i="16"/>
  <c r="FX315" i="16"/>
  <c r="FZ315" i="16"/>
  <c r="GB315" i="16"/>
  <c r="GD315" i="16"/>
  <c r="CZ318" i="16"/>
  <c r="DB318" i="16"/>
  <c r="DD318" i="16"/>
  <c r="DF318" i="16"/>
  <c r="DH318" i="16"/>
  <c r="DJ318" i="16"/>
  <c r="DL318" i="16"/>
  <c r="DN318" i="16"/>
  <c r="DP318" i="16"/>
  <c r="DR318" i="16"/>
  <c r="DT318" i="16"/>
  <c r="DV318" i="16"/>
  <c r="DX318" i="16"/>
  <c r="DZ318" i="16"/>
  <c r="EB318" i="16"/>
  <c r="ED318" i="16"/>
  <c r="EF318" i="16"/>
  <c r="EH318" i="16"/>
  <c r="EJ318" i="16"/>
  <c r="EL318" i="16"/>
  <c r="EN318" i="16"/>
  <c r="EP318" i="16"/>
  <c r="ER318" i="16"/>
  <c r="ET318" i="16"/>
  <c r="EV318" i="16"/>
  <c r="EX318" i="16"/>
  <c r="EZ318" i="16"/>
  <c r="FB318" i="16"/>
  <c r="FD318" i="16"/>
  <c r="FF318" i="16"/>
  <c r="FH318" i="16"/>
  <c r="FJ318" i="16"/>
  <c r="FL318" i="16"/>
  <c r="FN318" i="16"/>
  <c r="FP318" i="16"/>
  <c r="FR318" i="16"/>
  <c r="FT318" i="16"/>
  <c r="FV318" i="16"/>
  <c r="FX318" i="16"/>
  <c r="FZ318" i="16"/>
  <c r="GB318" i="16"/>
  <c r="GD318" i="16"/>
  <c r="CY318" i="16"/>
  <c r="DA318" i="16"/>
  <c r="DC318" i="16"/>
  <c r="DE318" i="16"/>
  <c r="DG318" i="16"/>
  <c r="DI318" i="16"/>
  <c r="DK318" i="16"/>
  <c r="DM318" i="16"/>
  <c r="DO318" i="16"/>
  <c r="DQ318" i="16"/>
  <c r="DS318" i="16"/>
  <c r="DU318" i="16"/>
  <c r="DW318" i="16"/>
  <c r="DY318" i="16"/>
  <c r="EA318" i="16"/>
  <c r="EC318" i="16"/>
  <c r="EE318" i="16"/>
  <c r="EG318" i="16"/>
  <c r="EI318" i="16"/>
  <c r="EK318" i="16"/>
  <c r="EM318" i="16"/>
  <c r="EO318" i="16"/>
  <c r="EQ318" i="16"/>
  <c r="ES318" i="16"/>
  <c r="EU318" i="16"/>
  <c r="EW318" i="16"/>
  <c r="EY318" i="16"/>
  <c r="FA318" i="16"/>
  <c r="FC318" i="16"/>
  <c r="FE318" i="16"/>
  <c r="FG318" i="16"/>
  <c r="FI318" i="16"/>
  <c r="FK318" i="16"/>
  <c r="FM318" i="16"/>
  <c r="FO318" i="16"/>
  <c r="FQ318" i="16"/>
  <c r="FS318" i="16"/>
  <c r="FU318" i="16"/>
  <c r="FW318" i="16"/>
  <c r="FY318" i="16"/>
  <c r="GA318" i="16"/>
  <c r="GC318" i="16"/>
  <c r="CZ320" i="16"/>
  <c r="DB320" i="16"/>
  <c r="DD320" i="16"/>
  <c r="DF320" i="16"/>
  <c r="DH320" i="16"/>
  <c r="DJ320" i="16"/>
  <c r="DL320" i="16"/>
  <c r="DN320" i="16"/>
  <c r="DP320" i="16"/>
  <c r="DR320" i="16"/>
  <c r="DT320" i="16"/>
  <c r="DV320" i="16"/>
  <c r="DX320" i="16"/>
  <c r="DZ320" i="16"/>
  <c r="EB320" i="16"/>
  <c r="ED320" i="16"/>
  <c r="EF320" i="16"/>
  <c r="EH320" i="16"/>
  <c r="EJ320" i="16"/>
  <c r="EL320" i="16"/>
  <c r="EN320" i="16"/>
  <c r="EP320" i="16"/>
  <c r="ER320" i="16"/>
  <c r="ET320" i="16"/>
  <c r="EV320" i="16"/>
  <c r="EX320" i="16"/>
  <c r="EZ320" i="16"/>
  <c r="FB320" i="16"/>
  <c r="FD320" i="16"/>
  <c r="FF320" i="16"/>
  <c r="FH320" i="16"/>
  <c r="FJ320" i="16"/>
  <c r="FL320" i="16"/>
  <c r="FN320" i="16"/>
  <c r="FP320" i="16"/>
  <c r="FR320" i="16"/>
  <c r="FT320" i="16"/>
  <c r="FV320" i="16"/>
  <c r="FX320" i="16"/>
  <c r="FZ320" i="16"/>
  <c r="GB320" i="16"/>
  <c r="GD320" i="16"/>
  <c r="CY320" i="16"/>
  <c r="DA320" i="16"/>
  <c r="DC320" i="16"/>
  <c r="DE320" i="16"/>
  <c r="DG320" i="16"/>
  <c r="DI320" i="16"/>
  <c r="DK320" i="16"/>
  <c r="DM320" i="16"/>
  <c r="DO320" i="16"/>
  <c r="DQ320" i="16"/>
  <c r="DS320" i="16"/>
  <c r="DU320" i="16"/>
  <c r="DW320" i="16"/>
  <c r="DY320" i="16"/>
  <c r="EA320" i="16"/>
  <c r="EC320" i="16"/>
  <c r="EE320" i="16"/>
  <c r="EG320" i="16"/>
  <c r="EI320" i="16"/>
  <c r="EK320" i="16"/>
  <c r="EM320" i="16"/>
  <c r="EO320" i="16"/>
  <c r="EQ320" i="16"/>
  <c r="ES320" i="16"/>
  <c r="EU320" i="16"/>
  <c r="EW320" i="16"/>
  <c r="EY320" i="16"/>
  <c r="FA320" i="16"/>
  <c r="FC320" i="16"/>
  <c r="FE320" i="16"/>
  <c r="FG320" i="16"/>
  <c r="FI320" i="16"/>
  <c r="FK320" i="16"/>
  <c r="FM320" i="16"/>
  <c r="FO320" i="16"/>
  <c r="FQ320" i="16"/>
  <c r="FS320" i="16"/>
  <c r="FU320" i="16"/>
  <c r="FW320" i="16"/>
  <c r="FY320" i="16"/>
  <c r="GA320" i="16"/>
  <c r="GC320" i="16"/>
  <c r="CY321" i="16"/>
  <c r="DA321" i="16"/>
  <c r="DC321" i="16"/>
  <c r="DE321" i="16"/>
  <c r="DG321" i="16"/>
  <c r="DI321" i="16"/>
  <c r="DK321" i="16"/>
  <c r="DM321" i="16"/>
  <c r="DO321" i="16"/>
  <c r="DQ321" i="16"/>
  <c r="DS321" i="16"/>
  <c r="DU321" i="16"/>
  <c r="DW321" i="16"/>
  <c r="DY321" i="16"/>
  <c r="EA321" i="16"/>
  <c r="EC321" i="16"/>
  <c r="EE321" i="16"/>
  <c r="EG321" i="16"/>
  <c r="EI321" i="16"/>
  <c r="EK321" i="16"/>
  <c r="EM321" i="16"/>
  <c r="EO321" i="16"/>
  <c r="EQ321" i="16"/>
  <c r="ES321" i="16"/>
  <c r="EU321" i="16"/>
  <c r="EW321" i="16"/>
  <c r="EY321" i="16"/>
  <c r="FA321" i="16"/>
  <c r="FC321" i="16"/>
  <c r="FE321" i="16"/>
  <c r="FG321" i="16"/>
  <c r="FI321" i="16"/>
  <c r="FK321" i="16"/>
  <c r="FM321" i="16"/>
  <c r="FO321" i="16"/>
  <c r="FQ321" i="16"/>
  <c r="FS321" i="16"/>
  <c r="FU321" i="16"/>
  <c r="FW321" i="16"/>
  <c r="FY321" i="16"/>
  <c r="GA321" i="16"/>
  <c r="GC321" i="16"/>
  <c r="CZ321" i="16"/>
  <c r="DB321" i="16"/>
  <c r="DD321" i="16"/>
  <c r="DF321" i="16"/>
  <c r="DH321" i="16"/>
  <c r="DJ321" i="16"/>
  <c r="DL321" i="16"/>
  <c r="DN321" i="16"/>
  <c r="DP321" i="16"/>
  <c r="DR321" i="16"/>
  <c r="DT321" i="16"/>
  <c r="DV321" i="16"/>
  <c r="DX321" i="16"/>
  <c r="DZ321" i="16"/>
  <c r="EB321" i="16"/>
  <c r="ED321" i="16"/>
  <c r="EF321" i="16"/>
  <c r="EH321" i="16"/>
  <c r="EJ321" i="16"/>
  <c r="EL321" i="16"/>
  <c r="EN321" i="16"/>
  <c r="EP321" i="16"/>
  <c r="ER321" i="16"/>
  <c r="ET321" i="16"/>
  <c r="EV321" i="16"/>
  <c r="EX321" i="16"/>
  <c r="EZ321" i="16"/>
  <c r="FB321" i="16"/>
  <c r="FD321" i="16"/>
  <c r="FF321" i="16"/>
  <c r="FH321" i="16"/>
  <c r="FJ321" i="16"/>
  <c r="FL321" i="16"/>
  <c r="FN321" i="16"/>
  <c r="FP321" i="16"/>
  <c r="FR321" i="16"/>
  <c r="FT321" i="16"/>
  <c r="FV321" i="16"/>
  <c r="FX321" i="16"/>
  <c r="FZ321" i="16"/>
  <c r="GB321" i="16"/>
  <c r="GD321" i="16"/>
  <c r="CY323" i="16"/>
  <c r="DA323" i="16"/>
  <c r="DC323" i="16"/>
  <c r="DE323" i="16"/>
  <c r="DG323" i="16"/>
  <c r="DI323" i="16"/>
  <c r="DK323" i="16"/>
  <c r="DM323" i="16"/>
  <c r="DO323" i="16"/>
  <c r="DQ323" i="16"/>
  <c r="DS323" i="16"/>
  <c r="DU323" i="16"/>
  <c r="DW323" i="16"/>
  <c r="DY323" i="16"/>
  <c r="EA323" i="16"/>
  <c r="EC323" i="16"/>
  <c r="EE323" i="16"/>
  <c r="EG323" i="16"/>
  <c r="EI323" i="16"/>
  <c r="EK323" i="16"/>
  <c r="EM323" i="16"/>
  <c r="EO323" i="16"/>
  <c r="EQ323" i="16"/>
  <c r="ES323" i="16"/>
  <c r="EU323" i="16"/>
  <c r="EW323" i="16"/>
  <c r="EY323" i="16"/>
  <c r="FA323" i="16"/>
  <c r="FC323" i="16"/>
  <c r="FE323" i="16"/>
  <c r="FG323" i="16"/>
  <c r="FI323" i="16"/>
  <c r="FK323" i="16"/>
  <c r="FM323" i="16"/>
  <c r="FO323" i="16"/>
  <c r="FQ323" i="16"/>
  <c r="FS323" i="16"/>
  <c r="FU323" i="16"/>
  <c r="FW323" i="16"/>
  <c r="FY323" i="16"/>
  <c r="GA323" i="16"/>
  <c r="GC323" i="16"/>
  <c r="CZ323" i="16"/>
  <c r="DB323" i="16"/>
  <c r="DD323" i="16"/>
  <c r="DF323" i="16"/>
  <c r="DH323" i="16"/>
  <c r="DJ323" i="16"/>
  <c r="DL323" i="16"/>
  <c r="DN323" i="16"/>
  <c r="DP323" i="16"/>
  <c r="DR323" i="16"/>
  <c r="DT323" i="16"/>
  <c r="DV323" i="16"/>
  <c r="DX323" i="16"/>
  <c r="DZ323" i="16"/>
  <c r="EB323" i="16"/>
  <c r="ED323" i="16"/>
  <c r="EF323" i="16"/>
  <c r="EH323" i="16"/>
  <c r="EJ323" i="16"/>
  <c r="EL323" i="16"/>
  <c r="EN323" i="16"/>
  <c r="EP323" i="16"/>
  <c r="ER323" i="16"/>
  <c r="ET323" i="16"/>
  <c r="EV323" i="16"/>
  <c r="EX323" i="16"/>
  <c r="EZ323" i="16"/>
  <c r="FB323" i="16"/>
  <c r="FD323" i="16"/>
  <c r="FF323" i="16"/>
  <c r="FH323" i="16"/>
  <c r="FJ323" i="16"/>
  <c r="FL323" i="16"/>
  <c r="FN323" i="16"/>
  <c r="FP323" i="16"/>
  <c r="FR323" i="16"/>
  <c r="FT323" i="16"/>
  <c r="FV323" i="16"/>
  <c r="FX323" i="16"/>
  <c r="FZ323" i="16"/>
  <c r="GB323" i="16"/>
  <c r="GD323" i="16"/>
  <c r="CY325" i="16"/>
  <c r="DA325" i="16"/>
  <c r="DC325" i="16"/>
  <c r="DE325" i="16"/>
  <c r="DG325" i="16"/>
  <c r="DI325" i="16"/>
  <c r="DK325" i="16"/>
  <c r="DM325" i="16"/>
  <c r="DO325" i="16"/>
  <c r="DQ325" i="16"/>
  <c r="DS325" i="16"/>
  <c r="DU325" i="16"/>
  <c r="DW325" i="16"/>
  <c r="DY325" i="16"/>
  <c r="EA325" i="16"/>
  <c r="EC325" i="16"/>
  <c r="EE325" i="16"/>
  <c r="EG325" i="16"/>
  <c r="EI325" i="16"/>
  <c r="EK325" i="16"/>
  <c r="EM325" i="16"/>
  <c r="EO325" i="16"/>
  <c r="EQ325" i="16"/>
  <c r="ES325" i="16"/>
  <c r="EU325" i="16"/>
  <c r="EW325" i="16"/>
  <c r="EY325" i="16"/>
  <c r="FA325" i="16"/>
  <c r="FC325" i="16"/>
  <c r="FE325" i="16"/>
  <c r="FG325" i="16"/>
  <c r="FI325" i="16"/>
  <c r="FK325" i="16"/>
  <c r="FM325" i="16"/>
  <c r="FO325" i="16"/>
  <c r="FQ325" i="16"/>
  <c r="FS325" i="16"/>
  <c r="FU325" i="16"/>
  <c r="FW325" i="16"/>
  <c r="FY325" i="16"/>
  <c r="GA325" i="16"/>
  <c r="GC325" i="16"/>
  <c r="CZ325" i="16"/>
  <c r="DB325" i="16"/>
  <c r="DD325" i="16"/>
  <c r="DF325" i="16"/>
  <c r="DH325" i="16"/>
  <c r="DJ325" i="16"/>
  <c r="DL325" i="16"/>
  <c r="DN325" i="16"/>
  <c r="DP325" i="16"/>
  <c r="DR325" i="16"/>
  <c r="DT325" i="16"/>
  <c r="DV325" i="16"/>
  <c r="DX325" i="16"/>
  <c r="DZ325" i="16"/>
  <c r="EB325" i="16"/>
  <c r="ED325" i="16"/>
  <c r="EF325" i="16"/>
  <c r="EH325" i="16"/>
  <c r="EJ325" i="16"/>
  <c r="EL325" i="16"/>
  <c r="EN325" i="16"/>
  <c r="EP325" i="16"/>
  <c r="ER325" i="16"/>
  <c r="ET325" i="16"/>
  <c r="EV325" i="16"/>
  <c r="EX325" i="16"/>
  <c r="EZ325" i="16"/>
  <c r="FB325" i="16"/>
  <c r="FD325" i="16"/>
  <c r="FF325" i="16"/>
  <c r="FH325" i="16"/>
  <c r="FJ325" i="16"/>
  <c r="FL325" i="16"/>
  <c r="FN325" i="16"/>
  <c r="FP325" i="16"/>
  <c r="FR325" i="16"/>
  <c r="FT325" i="16"/>
  <c r="FV325" i="16"/>
  <c r="FX325" i="16"/>
  <c r="FZ325" i="16"/>
  <c r="GB325" i="16"/>
  <c r="GD325" i="16"/>
  <c r="CZ328" i="16"/>
  <c r="DB328" i="16"/>
  <c r="DD328" i="16"/>
  <c r="DF328" i="16"/>
  <c r="DH328" i="16"/>
  <c r="DJ328" i="16"/>
  <c r="DL328" i="16"/>
  <c r="DN328" i="16"/>
  <c r="DP328" i="16"/>
  <c r="DR328" i="16"/>
  <c r="DT328" i="16"/>
  <c r="DV328" i="16"/>
  <c r="DX328" i="16"/>
  <c r="DZ328" i="16"/>
  <c r="EB328" i="16"/>
  <c r="ED328" i="16"/>
  <c r="EF328" i="16"/>
  <c r="EH328" i="16"/>
  <c r="EJ328" i="16"/>
  <c r="EL328" i="16"/>
  <c r="EN328" i="16"/>
  <c r="EP328" i="16"/>
  <c r="ER328" i="16"/>
  <c r="ET328" i="16"/>
  <c r="EV328" i="16"/>
  <c r="EX328" i="16"/>
  <c r="EZ328" i="16"/>
  <c r="FB328" i="16"/>
  <c r="FD328" i="16"/>
  <c r="FF328" i="16"/>
  <c r="FH328" i="16"/>
  <c r="FJ328" i="16"/>
  <c r="FL328" i="16"/>
  <c r="FN328" i="16"/>
  <c r="FP328" i="16"/>
  <c r="FR328" i="16"/>
  <c r="FT328" i="16"/>
  <c r="FV328" i="16"/>
  <c r="FX328" i="16"/>
  <c r="FZ328" i="16"/>
  <c r="GB328" i="16"/>
  <c r="GD328" i="16"/>
  <c r="CY328" i="16"/>
  <c r="DA328" i="16"/>
  <c r="DC328" i="16"/>
  <c r="DE328" i="16"/>
  <c r="DG328" i="16"/>
  <c r="DI328" i="16"/>
  <c r="DK328" i="16"/>
  <c r="DM328" i="16"/>
  <c r="DO328" i="16"/>
  <c r="DQ328" i="16"/>
  <c r="DS328" i="16"/>
  <c r="DU328" i="16"/>
  <c r="DW328" i="16"/>
  <c r="DY328" i="16"/>
  <c r="EA328" i="16"/>
  <c r="EC328" i="16"/>
  <c r="EE328" i="16"/>
  <c r="EG328" i="16"/>
  <c r="EI328" i="16"/>
  <c r="EK328" i="16"/>
  <c r="EM328" i="16"/>
  <c r="EO328" i="16"/>
  <c r="EQ328" i="16"/>
  <c r="ES328" i="16"/>
  <c r="EU328" i="16"/>
  <c r="EW328" i="16"/>
  <c r="EY328" i="16"/>
  <c r="FA328" i="16"/>
  <c r="FC328" i="16"/>
  <c r="FE328" i="16"/>
  <c r="FG328" i="16"/>
  <c r="FI328" i="16"/>
  <c r="FK328" i="16"/>
  <c r="FM328" i="16"/>
  <c r="FO328" i="16"/>
  <c r="FQ328" i="16"/>
  <c r="FS328" i="16"/>
  <c r="FU328" i="16"/>
  <c r="FW328" i="16"/>
  <c r="FY328" i="16"/>
  <c r="GA328" i="16"/>
  <c r="GC328" i="16"/>
  <c r="CY329" i="16"/>
  <c r="DA329" i="16"/>
  <c r="DC329" i="16"/>
  <c r="DE329" i="16"/>
  <c r="DG329" i="16"/>
  <c r="DI329" i="16"/>
  <c r="DK329" i="16"/>
  <c r="DM329" i="16"/>
  <c r="DO329" i="16"/>
  <c r="DQ329" i="16"/>
  <c r="DS329" i="16"/>
  <c r="DU329" i="16"/>
  <c r="DW329" i="16"/>
  <c r="DY329" i="16"/>
  <c r="EA329" i="16"/>
  <c r="EC329" i="16"/>
  <c r="EE329" i="16"/>
  <c r="EG329" i="16"/>
  <c r="EI329" i="16"/>
  <c r="EK329" i="16"/>
  <c r="EM329" i="16"/>
  <c r="EO329" i="16"/>
  <c r="EQ329" i="16"/>
  <c r="ES329" i="16"/>
  <c r="EU329" i="16"/>
  <c r="EW329" i="16"/>
  <c r="EY329" i="16"/>
  <c r="FA329" i="16"/>
  <c r="FC329" i="16"/>
  <c r="FE329" i="16"/>
  <c r="FG329" i="16"/>
  <c r="FI329" i="16"/>
  <c r="FK329" i="16"/>
  <c r="FM329" i="16"/>
  <c r="FO329" i="16"/>
  <c r="FQ329" i="16"/>
  <c r="FS329" i="16"/>
  <c r="FU329" i="16"/>
  <c r="FW329" i="16"/>
  <c r="FY329" i="16"/>
  <c r="GA329" i="16"/>
  <c r="GC329" i="16"/>
  <c r="CZ329" i="16"/>
  <c r="DB329" i="16"/>
  <c r="DD329" i="16"/>
  <c r="DF329" i="16"/>
  <c r="DH329" i="16"/>
  <c r="DJ329" i="16"/>
  <c r="DL329" i="16"/>
  <c r="DN329" i="16"/>
  <c r="DP329" i="16"/>
  <c r="DR329" i="16"/>
  <c r="DT329" i="16"/>
  <c r="DV329" i="16"/>
  <c r="DX329" i="16"/>
  <c r="DZ329" i="16"/>
  <c r="EB329" i="16"/>
  <c r="ED329" i="16"/>
  <c r="EF329" i="16"/>
  <c r="EH329" i="16"/>
  <c r="EJ329" i="16"/>
  <c r="EL329" i="16"/>
  <c r="EN329" i="16"/>
  <c r="EP329" i="16"/>
  <c r="ER329" i="16"/>
  <c r="ET329" i="16"/>
  <c r="EV329" i="16"/>
  <c r="EX329" i="16"/>
  <c r="EZ329" i="16"/>
  <c r="FB329" i="16"/>
  <c r="FD329" i="16"/>
  <c r="FF329" i="16"/>
  <c r="FH329" i="16"/>
  <c r="FJ329" i="16"/>
  <c r="FL329" i="16"/>
  <c r="FN329" i="16"/>
  <c r="FP329" i="16"/>
  <c r="FR329" i="16"/>
  <c r="FT329" i="16"/>
  <c r="FV329" i="16"/>
  <c r="FX329" i="16"/>
  <c r="FZ329" i="16"/>
  <c r="GB329" i="16"/>
  <c r="GD329" i="16"/>
  <c r="CY331" i="16"/>
  <c r="DA331" i="16"/>
  <c r="DC331" i="16"/>
  <c r="DE331" i="16"/>
  <c r="DG331" i="16"/>
  <c r="DI331" i="16"/>
  <c r="DK331" i="16"/>
  <c r="DM331" i="16"/>
  <c r="DO331" i="16"/>
  <c r="DQ331" i="16"/>
  <c r="DS331" i="16"/>
  <c r="DU331" i="16"/>
  <c r="DW331" i="16"/>
  <c r="DY331" i="16"/>
  <c r="EA331" i="16"/>
  <c r="EC331" i="16"/>
  <c r="EE331" i="16"/>
  <c r="EG331" i="16"/>
  <c r="EI331" i="16"/>
  <c r="EK331" i="16"/>
  <c r="EM331" i="16"/>
  <c r="EO331" i="16"/>
  <c r="EQ331" i="16"/>
  <c r="ES331" i="16"/>
  <c r="EU331" i="16"/>
  <c r="EW331" i="16"/>
  <c r="EY331" i="16"/>
  <c r="FA331" i="16"/>
  <c r="FC331" i="16"/>
  <c r="FE331" i="16"/>
  <c r="FG331" i="16"/>
  <c r="FI331" i="16"/>
  <c r="FK331" i="16"/>
  <c r="FM331" i="16"/>
  <c r="FO331" i="16"/>
  <c r="FQ331" i="16"/>
  <c r="FS331" i="16"/>
  <c r="FU331" i="16"/>
  <c r="FW331" i="16"/>
  <c r="FY331" i="16"/>
  <c r="GA331" i="16"/>
  <c r="GC331" i="16"/>
  <c r="CZ331" i="16"/>
  <c r="DB331" i="16"/>
  <c r="DD331" i="16"/>
  <c r="DF331" i="16"/>
  <c r="DH331" i="16"/>
  <c r="DJ331" i="16"/>
  <c r="DL331" i="16"/>
  <c r="DN331" i="16"/>
  <c r="DP331" i="16"/>
  <c r="DR331" i="16"/>
  <c r="DT331" i="16"/>
  <c r="DV331" i="16"/>
  <c r="DX331" i="16"/>
  <c r="DZ331" i="16"/>
  <c r="EB331" i="16"/>
  <c r="ED331" i="16"/>
  <c r="EF331" i="16"/>
  <c r="EH331" i="16"/>
  <c r="EJ331" i="16"/>
  <c r="EL331" i="16"/>
  <c r="EN331" i="16"/>
  <c r="EP331" i="16"/>
  <c r="ER331" i="16"/>
  <c r="ET331" i="16"/>
  <c r="EV331" i="16"/>
  <c r="EX331" i="16"/>
  <c r="EZ331" i="16"/>
  <c r="FB331" i="16"/>
  <c r="FD331" i="16"/>
  <c r="FF331" i="16"/>
  <c r="FH331" i="16"/>
  <c r="FJ331" i="16"/>
  <c r="FL331" i="16"/>
  <c r="FN331" i="16"/>
  <c r="FP331" i="16"/>
  <c r="FR331" i="16"/>
  <c r="FT331" i="16"/>
  <c r="FV331" i="16"/>
  <c r="FX331" i="16"/>
  <c r="FZ331" i="16"/>
  <c r="GB331" i="16"/>
  <c r="GD331" i="16"/>
  <c r="CY333" i="16"/>
  <c r="DA333" i="16"/>
  <c r="DC333" i="16"/>
  <c r="DE333" i="16"/>
  <c r="DG333" i="16"/>
  <c r="DI333" i="16"/>
  <c r="DK333" i="16"/>
  <c r="DM333" i="16"/>
  <c r="DO333" i="16"/>
  <c r="DQ333" i="16"/>
  <c r="DS333" i="16"/>
  <c r="DU333" i="16"/>
  <c r="DW333" i="16"/>
  <c r="DY333" i="16"/>
  <c r="EA333" i="16"/>
  <c r="EC333" i="16"/>
  <c r="EE333" i="16"/>
  <c r="EG333" i="16"/>
  <c r="EI333" i="16"/>
  <c r="EK333" i="16"/>
  <c r="EM333" i="16"/>
  <c r="EO333" i="16"/>
  <c r="EQ333" i="16"/>
  <c r="ES333" i="16"/>
  <c r="EU333" i="16"/>
  <c r="EW333" i="16"/>
  <c r="EY333" i="16"/>
  <c r="FA333" i="16"/>
  <c r="FC333" i="16"/>
  <c r="FE333" i="16"/>
  <c r="FG333" i="16"/>
  <c r="FI333" i="16"/>
  <c r="FK333" i="16"/>
  <c r="FM333" i="16"/>
  <c r="FO333" i="16"/>
  <c r="FQ333" i="16"/>
  <c r="FS333" i="16"/>
  <c r="FU333" i="16"/>
  <c r="FW333" i="16"/>
  <c r="FY333" i="16"/>
  <c r="GA333" i="16"/>
  <c r="GC333" i="16"/>
  <c r="CZ333" i="16"/>
  <c r="DB333" i="16"/>
  <c r="DD333" i="16"/>
  <c r="DF333" i="16"/>
  <c r="DH333" i="16"/>
  <c r="DJ333" i="16"/>
  <c r="DL333" i="16"/>
  <c r="DN333" i="16"/>
  <c r="DP333" i="16"/>
  <c r="DR333" i="16"/>
  <c r="DT333" i="16"/>
  <c r="DV333" i="16"/>
  <c r="DX333" i="16"/>
  <c r="DZ333" i="16"/>
  <c r="EB333" i="16"/>
  <c r="ED333" i="16"/>
  <c r="EF333" i="16"/>
  <c r="EH333" i="16"/>
  <c r="EJ333" i="16"/>
  <c r="EL333" i="16"/>
  <c r="EN333" i="16"/>
  <c r="EP333" i="16"/>
  <c r="ER333" i="16"/>
  <c r="ET333" i="16"/>
  <c r="EV333" i="16"/>
  <c r="EX333" i="16"/>
  <c r="EZ333" i="16"/>
  <c r="FB333" i="16"/>
  <c r="FD333" i="16"/>
  <c r="FF333" i="16"/>
  <c r="FH333" i="16"/>
  <c r="FJ333" i="16"/>
  <c r="FL333" i="16"/>
  <c r="FN333" i="16"/>
  <c r="FP333" i="16"/>
  <c r="FR333" i="16"/>
  <c r="FT333" i="16"/>
  <c r="FV333" i="16"/>
  <c r="FX333" i="16"/>
  <c r="FZ333" i="16"/>
  <c r="GB333" i="16"/>
  <c r="GD333" i="16"/>
  <c r="CY335" i="16"/>
  <c r="DA335" i="16"/>
  <c r="DC335" i="16"/>
  <c r="DE335" i="16"/>
  <c r="DG335" i="16"/>
  <c r="DI335" i="16"/>
  <c r="DK335" i="16"/>
  <c r="DM335" i="16"/>
  <c r="DO335" i="16"/>
  <c r="DQ335" i="16"/>
  <c r="DS335" i="16"/>
  <c r="DU335" i="16"/>
  <c r="DW335" i="16"/>
  <c r="DY335" i="16"/>
  <c r="EA335" i="16"/>
  <c r="EC335" i="16"/>
  <c r="EE335" i="16"/>
  <c r="EG335" i="16"/>
  <c r="EI335" i="16"/>
  <c r="EK335" i="16"/>
  <c r="EM335" i="16"/>
  <c r="EO335" i="16"/>
  <c r="EQ335" i="16"/>
  <c r="ES335" i="16"/>
  <c r="EU335" i="16"/>
  <c r="EW335" i="16"/>
  <c r="EY335" i="16"/>
  <c r="FA335" i="16"/>
  <c r="FC335" i="16"/>
  <c r="FE335" i="16"/>
  <c r="FG335" i="16"/>
  <c r="FI335" i="16"/>
  <c r="FK335" i="16"/>
  <c r="FM335" i="16"/>
  <c r="FO335" i="16"/>
  <c r="FQ335" i="16"/>
  <c r="FS335" i="16"/>
  <c r="FU335" i="16"/>
  <c r="FW335" i="16"/>
  <c r="FY335" i="16"/>
  <c r="GA335" i="16"/>
  <c r="GC335" i="16"/>
  <c r="CZ335" i="16"/>
  <c r="DB335" i="16"/>
  <c r="DD335" i="16"/>
  <c r="DF335" i="16"/>
  <c r="DH335" i="16"/>
  <c r="DJ335" i="16"/>
  <c r="DL335" i="16"/>
  <c r="DN335" i="16"/>
  <c r="DP335" i="16"/>
  <c r="DR335" i="16"/>
  <c r="DT335" i="16"/>
  <c r="DV335" i="16"/>
  <c r="DX335" i="16"/>
  <c r="DZ335" i="16"/>
  <c r="EB335" i="16"/>
  <c r="ED335" i="16"/>
  <c r="EF335" i="16"/>
  <c r="EH335" i="16"/>
  <c r="EJ335" i="16"/>
  <c r="EL335" i="16"/>
  <c r="EN335" i="16"/>
  <c r="EP335" i="16"/>
  <c r="ER335" i="16"/>
  <c r="ET335" i="16"/>
  <c r="EV335" i="16"/>
  <c r="EX335" i="16"/>
  <c r="EZ335" i="16"/>
  <c r="FB335" i="16"/>
  <c r="FD335" i="16"/>
  <c r="FF335" i="16"/>
  <c r="FH335" i="16"/>
  <c r="FJ335" i="16"/>
  <c r="FL335" i="16"/>
  <c r="FN335" i="16"/>
  <c r="FP335" i="16"/>
  <c r="FR335" i="16"/>
  <c r="FT335" i="16"/>
  <c r="FV335" i="16"/>
  <c r="FX335" i="16"/>
  <c r="FZ335" i="16"/>
  <c r="GB335" i="16"/>
  <c r="GD335" i="16"/>
  <c r="CY337" i="16"/>
  <c r="DA337" i="16"/>
  <c r="DC337" i="16"/>
  <c r="DE337" i="16"/>
  <c r="DG337" i="16"/>
  <c r="DI337" i="16"/>
  <c r="DK337" i="16"/>
  <c r="DM337" i="16"/>
  <c r="DO337" i="16"/>
  <c r="DQ337" i="16"/>
  <c r="DS337" i="16"/>
  <c r="DU337" i="16"/>
  <c r="DW337" i="16"/>
  <c r="DY337" i="16"/>
  <c r="EA337" i="16"/>
  <c r="EC337" i="16"/>
  <c r="EE337" i="16"/>
  <c r="EG337" i="16"/>
  <c r="EI337" i="16"/>
  <c r="EK337" i="16"/>
  <c r="EM337" i="16"/>
  <c r="EO337" i="16"/>
  <c r="EQ337" i="16"/>
  <c r="ES337" i="16"/>
  <c r="EU337" i="16"/>
  <c r="EW337" i="16"/>
  <c r="EY337" i="16"/>
  <c r="FA337" i="16"/>
  <c r="FC337" i="16"/>
  <c r="FE337" i="16"/>
  <c r="FG337" i="16"/>
  <c r="FI337" i="16"/>
  <c r="FK337" i="16"/>
  <c r="FM337" i="16"/>
  <c r="FO337" i="16"/>
  <c r="FQ337" i="16"/>
  <c r="FS337" i="16"/>
  <c r="FU337" i="16"/>
  <c r="FW337" i="16"/>
  <c r="FY337" i="16"/>
  <c r="GA337" i="16"/>
  <c r="GC337" i="16"/>
  <c r="CZ337" i="16"/>
  <c r="DB337" i="16"/>
  <c r="DD337" i="16"/>
  <c r="DF337" i="16"/>
  <c r="DH337" i="16"/>
  <c r="DJ337" i="16"/>
  <c r="DL337" i="16"/>
  <c r="DN337" i="16"/>
  <c r="DP337" i="16"/>
  <c r="DR337" i="16"/>
  <c r="DT337" i="16"/>
  <c r="DV337" i="16"/>
  <c r="DX337" i="16"/>
  <c r="DZ337" i="16"/>
  <c r="EB337" i="16"/>
  <c r="ED337" i="16"/>
  <c r="EF337" i="16"/>
  <c r="EH337" i="16"/>
  <c r="EJ337" i="16"/>
  <c r="EL337" i="16"/>
  <c r="EN337" i="16"/>
  <c r="EP337" i="16"/>
  <c r="ER337" i="16"/>
  <c r="ET337" i="16"/>
  <c r="EV337" i="16"/>
  <c r="EX337" i="16"/>
  <c r="EZ337" i="16"/>
  <c r="FB337" i="16"/>
  <c r="FD337" i="16"/>
  <c r="FF337" i="16"/>
  <c r="FH337" i="16"/>
  <c r="FJ337" i="16"/>
  <c r="FL337" i="16"/>
  <c r="FN337" i="16"/>
  <c r="FP337" i="16"/>
  <c r="FR337" i="16"/>
  <c r="FT337" i="16"/>
  <c r="FV337" i="16"/>
  <c r="FX337" i="16"/>
  <c r="FZ337" i="16"/>
  <c r="GB337" i="16"/>
  <c r="GD337" i="16"/>
  <c r="CZ338" i="16"/>
  <c r="DB338" i="16"/>
  <c r="DD338" i="16"/>
  <c r="DF338" i="16"/>
  <c r="DH338" i="16"/>
  <c r="DJ338" i="16"/>
  <c r="DL338" i="16"/>
  <c r="DN338" i="16"/>
  <c r="DP338" i="16"/>
  <c r="DR338" i="16"/>
  <c r="DT338" i="16"/>
  <c r="DV338" i="16"/>
  <c r="DX338" i="16"/>
  <c r="DZ338" i="16"/>
  <c r="EB338" i="16"/>
  <c r="ED338" i="16"/>
  <c r="EF338" i="16"/>
  <c r="EH338" i="16"/>
  <c r="EJ338" i="16"/>
  <c r="EL338" i="16"/>
  <c r="EN338" i="16"/>
  <c r="EP338" i="16"/>
  <c r="ER338" i="16"/>
  <c r="ET338" i="16"/>
  <c r="EV338" i="16"/>
  <c r="EX338" i="16"/>
  <c r="EZ338" i="16"/>
  <c r="FB338" i="16"/>
  <c r="FD338" i="16"/>
  <c r="FF338" i="16"/>
  <c r="FH338" i="16"/>
  <c r="FJ338" i="16"/>
  <c r="FL338" i="16"/>
  <c r="FN338" i="16"/>
  <c r="FP338" i="16"/>
  <c r="FR338" i="16"/>
  <c r="FT338" i="16"/>
  <c r="FV338" i="16"/>
  <c r="FX338" i="16"/>
  <c r="FZ338" i="16"/>
  <c r="GB338" i="16"/>
  <c r="GD338" i="16"/>
  <c r="CY338" i="16"/>
  <c r="DA338" i="16"/>
  <c r="DC338" i="16"/>
  <c r="DE338" i="16"/>
  <c r="DG338" i="16"/>
  <c r="DI338" i="16"/>
  <c r="DK338" i="16"/>
  <c r="DM338" i="16"/>
  <c r="DO338" i="16"/>
  <c r="DQ338" i="16"/>
  <c r="DS338" i="16"/>
  <c r="DU338" i="16"/>
  <c r="DW338" i="16"/>
  <c r="DY338" i="16"/>
  <c r="EA338" i="16"/>
  <c r="EC338" i="16"/>
  <c r="EE338" i="16"/>
  <c r="EG338" i="16"/>
  <c r="EI338" i="16"/>
  <c r="EK338" i="16"/>
  <c r="EM338" i="16"/>
  <c r="EO338" i="16"/>
  <c r="EQ338" i="16"/>
  <c r="ES338" i="16"/>
  <c r="EU338" i="16"/>
  <c r="EW338" i="16"/>
  <c r="EY338" i="16"/>
  <c r="FA338" i="16"/>
  <c r="FC338" i="16"/>
  <c r="FE338" i="16"/>
  <c r="FG338" i="16"/>
  <c r="FI338" i="16"/>
  <c r="FK338" i="16"/>
  <c r="FM338" i="16"/>
  <c r="FO338" i="16"/>
  <c r="FQ338" i="16"/>
  <c r="FS338" i="16"/>
  <c r="FU338" i="16"/>
  <c r="FW338" i="16"/>
  <c r="FY338" i="16"/>
  <c r="GA338" i="16"/>
  <c r="GC338" i="16"/>
  <c r="CY341" i="16"/>
  <c r="DA341" i="16"/>
  <c r="DC341" i="16"/>
  <c r="DE341" i="16"/>
  <c r="DG341" i="16"/>
  <c r="DI341" i="16"/>
  <c r="DK341" i="16"/>
  <c r="DM341" i="16"/>
  <c r="DO341" i="16"/>
  <c r="DQ341" i="16"/>
  <c r="DS341" i="16"/>
  <c r="DU341" i="16"/>
  <c r="DW341" i="16"/>
  <c r="DY341" i="16"/>
  <c r="EA341" i="16"/>
  <c r="EC341" i="16"/>
  <c r="EE341" i="16"/>
  <c r="EG341" i="16"/>
  <c r="EI341" i="16"/>
  <c r="EK341" i="16"/>
  <c r="EM341" i="16"/>
  <c r="EO341" i="16"/>
  <c r="EQ341" i="16"/>
  <c r="ES341" i="16"/>
  <c r="EU341" i="16"/>
  <c r="EW341" i="16"/>
  <c r="EY341" i="16"/>
  <c r="FA341" i="16"/>
  <c r="FC341" i="16"/>
  <c r="FE341" i="16"/>
  <c r="FG341" i="16"/>
  <c r="FI341" i="16"/>
  <c r="FK341" i="16"/>
  <c r="FM341" i="16"/>
  <c r="FO341" i="16"/>
  <c r="FQ341" i="16"/>
  <c r="FS341" i="16"/>
  <c r="FU341" i="16"/>
  <c r="FW341" i="16"/>
  <c r="FY341" i="16"/>
  <c r="GA341" i="16"/>
  <c r="GC341" i="16"/>
  <c r="CZ341" i="16"/>
  <c r="DB341" i="16"/>
  <c r="DD341" i="16"/>
  <c r="DF341" i="16"/>
  <c r="DH341" i="16"/>
  <c r="DJ341" i="16"/>
  <c r="DL341" i="16"/>
  <c r="DN341" i="16"/>
  <c r="DP341" i="16"/>
  <c r="DR341" i="16"/>
  <c r="DT341" i="16"/>
  <c r="DV341" i="16"/>
  <c r="DX341" i="16"/>
  <c r="DZ341" i="16"/>
  <c r="EB341" i="16"/>
  <c r="ED341" i="16"/>
  <c r="EF341" i="16"/>
  <c r="EH341" i="16"/>
  <c r="EJ341" i="16"/>
  <c r="EL341" i="16"/>
  <c r="EN341" i="16"/>
  <c r="EP341" i="16"/>
  <c r="ER341" i="16"/>
  <c r="ET341" i="16"/>
  <c r="EV341" i="16"/>
  <c r="EX341" i="16"/>
  <c r="EZ341" i="16"/>
  <c r="FB341" i="16"/>
  <c r="FD341" i="16"/>
  <c r="FF341" i="16"/>
  <c r="FH341" i="16"/>
  <c r="FJ341" i="16"/>
  <c r="FL341" i="16"/>
  <c r="FN341" i="16"/>
  <c r="FP341" i="16"/>
  <c r="FR341" i="16"/>
  <c r="FT341" i="16"/>
  <c r="FV341" i="16"/>
  <c r="FX341" i="16"/>
  <c r="FZ341" i="16"/>
  <c r="GB341" i="16"/>
  <c r="GD341" i="16"/>
  <c r="CZ342" i="16"/>
  <c r="DB342" i="16"/>
  <c r="DD342" i="16"/>
  <c r="DF342" i="16"/>
  <c r="DH342" i="16"/>
  <c r="DJ342" i="16"/>
  <c r="DL342" i="16"/>
  <c r="DN342" i="16"/>
  <c r="DP342" i="16"/>
  <c r="DR342" i="16"/>
  <c r="DT342" i="16"/>
  <c r="DV342" i="16"/>
  <c r="DX342" i="16"/>
  <c r="DZ342" i="16"/>
  <c r="EB342" i="16"/>
  <c r="ED342" i="16"/>
  <c r="EF342" i="16"/>
  <c r="EH342" i="16"/>
  <c r="EJ342" i="16"/>
  <c r="EL342" i="16"/>
  <c r="EN342" i="16"/>
  <c r="EP342" i="16"/>
  <c r="ER342" i="16"/>
  <c r="ET342" i="16"/>
  <c r="EV342" i="16"/>
  <c r="EX342" i="16"/>
  <c r="EZ342" i="16"/>
  <c r="FB342" i="16"/>
  <c r="FD342" i="16"/>
  <c r="FF342" i="16"/>
  <c r="FH342" i="16"/>
  <c r="FJ342" i="16"/>
  <c r="FL342" i="16"/>
  <c r="FN342" i="16"/>
  <c r="FP342" i="16"/>
  <c r="FR342" i="16"/>
  <c r="FT342" i="16"/>
  <c r="FV342" i="16"/>
  <c r="FX342" i="16"/>
  <c r="FZ342" i="16"/>
  <c r="GB342" i="16"/>
  <c r="GD342" i="16"/>
  <c r="CY342" i="16"/>
  <c r="DA342" i="16"/>
  <c r="DC342" i="16"/>
  <c r="DE342" i="16"/>
  <c r="DG342" i="16"/>
  <c r="DI342" i="16"/>
  <c r="DK342" i="16"/>
  <c r="DM342" i="16"/>
  <c r="DO342" i="16"/>
  <c r="DQ342" i="16"/>
  <c r="DS342" i="16"/>
  <c r="DU342" i="16"/>
  <c r="DW342" i="16"/>
  <c r="DY342" i="16"/>
  <c r="EA342" i="16"/>
  <c r="EC342" i="16"/>
  <c r="EE342" i="16"/>
  <c r="EG342" i="16"/>
  <c r="EI342" i="16"/>
  <c r="EK342" i="16"/>
  <c r="EM342" i="16"/>
  <c r="EO342" i="16"/>
  <c r="EQ342" i="16"/>
  <c r="ES342" i="16"/>
  <c r="EU342" i="16"/>
  <c r="EW342" i="16"/>
  <c r="EY342" i="16"/>
  <c r="FA342" i="16"/>
  <c r="FC342" i="16"/>
  <c r="FE342" i="16"/>
  <c r="FG342" i="16"/>
  <c r="FI342" i="16"/>
  <c r="FK342" i="16"/>
  <c r="FM342" i="16"/>
  <c r="FO342" i="16"/>
  <c r="FQ342" i="16"/>
  <c r="FS342" i="16"/>
  <c r="FU342" i="16"/>
  <c r="FW342" i="16"/>
  <c r="FY342" i="16"/>
  <c r="GA342" i="16"/>
  <c r="GC342" i="16"/>
  <c r="CY345" i="16"/>
  <c r="DA345" i="16"/>
  <c r="DC345" i="16"/>
  <c r="DE345" i="16"/>
  <c r="DG345" i="16"/>
  <c r="DI345" i="16"/>
  <c r="DK345" i="16"/>
  <c r="DM345" i="16"/>
  <c r="DO345" i="16"/>
  <c r="DQ345" i="16"/>
  <c r="DS345" i="16"/>
  <c r="DU345" i="16"/>
  <c r="DW345" i="16"/>
  <c r="DY345" i="16"/>
  <c r="EA345" i="16"/>
  <c r="EC345" i="16"/>
  <c r="EE345" i="16"/>
  <c r="EG345" i="16"/>
  <c r="EI345" i="16"/>
  <c r="EK345" i="16"/>
  <c r="EM345" i="16"/>
  <c r="EO345" i="16"/>
  <c r="EQ345" i="16"/>
  <c r="ES345" i="16"/>
  <c r="EU345" i="16"/>
  <c r="EW345" i="16"/>
  <c r="EY345" i="16"/>
  <c r="FA345" i="16"/>
  <c r="FC345" i="16"/>
  <c r="FE345" i="16"/>
  <c r="FG345" i="16"/>
  <c r="FI345" i="16"/>
  <c r="FK345" i="16"/>
  <c r="FM345" i="16"/>
  <c r="FO345" i="16"/>
  <c r="FQ345" i="16"/>
  <c r="FS345" i="16"/>
  <c r="FU345" i="16"/>
  <c r="FW345" i="16"/>
  <c r="FY345" i="16"/>
  <c r="GA345" i="16"/>
  <c r="GC345" i="16"/>
  <c r="CZ345" i="16"/>
  <c r="DB345" i="16"/>
  <c r="DD345" i="16"/>
  <c r="DF345" i="16"/>
  <c r="DH345" i="16"/>
  <c r="DJ345" i="16"/>
  <c r="DL345" i="16"/>
  <c r="DN345" i="16"/>
  <c r="DP345" i="16"/>
  <c r="DR345" i="16"/>
  <c r="DT345" i="16"/>
  <c r="DV345" i="16"/>
  <c r="DX345" i="16"/>
  <c r="DZ345" i="16"/>
  <c r="EB345" i="16"/>
  <c r="ED345" i="16"/>
  <c r="EF345" i="16"/>
  <c r="EH345" i="16"/>
  <c r="EJ345" i="16"/>
  <c r="EL345" i="16"/>
  <c r="EN345" i="16"/>
  <c r="EP345" i="16"/>
  <c r="ER345" i="16"/>
  <c r="ET345" i="16"/>
  <c r="EV345" i="16"/>
  <c r="EX345" i="16"/>
  <c r="EZ345" i="16"/>
  <c r="FB345" i="16"/>
  <c r="FD345" i="16"/>
  <c r="FF345" i="16"/>
  <c r="FH345" i="16"/>
  <c r="FJ345" i="16"/>
  <c r="FL345" i="16"/>
  <c r="FN345" i="16"/>
  <c r="FP345" i="16"/>
  <c r="FR345" i="16"/>
  <c r="FT345" i="16"/>
  <c r="FV345" i="16"/>
  <c r="FX345" i="16"/>
  <c r="FZ345" i="16"/>
  <c r="GB345" i="16"/>
  <c r="GD345" i="16"/>
  <c r="CY347" i="16"/>
  <c r="DA347" i="16"/>
  <c r="DC347" i="16"/>
  <c r="DE347" i="16"/>
  <c r="DG347" i="16"/>
  <c r="DI347" i="16"/>
  <c r="DK347" i="16"/>
  <c r="DM347" i="16"/>
  <c r="DO347" i="16"/>
  <c r="DQ347" i="16"/>
  <c r="DS347" i="16"/>
  <c r="DU347" i="16"/>
  <c r="DW347" i="16"/>
  <c r="DY347" i="16"/>
  <c r="EA347" i="16"/>
  <c r="EC347" i="16"/>
  <c r="EE347" i="16"/>
  <c r="EG347" i="16"/>
  <c r="EI347" i="16"/>
  <c r="EK347" i="16"/>
  <c r="EM347" i="16"/>
  <c r="EO347" i="16"/>
  <c r="EQ347" i="16"/>
  <c r="ES347" i="16"/>
  <c r="EU347" i="16"/>
  <c r="EW347" i="16"/>
  <c r="EY347" i="16"/>
  <c r="FA347" i="16"/>
  <c r="FC347" i="16"/>
  <c r="FE347" i="16"/>
  <c r="FG347" i="16"/>
  <c r="FI347" i="16"/>
  <c r="FK347" i="16"/>
  <c r="FM347" i="16"/>
  <c r="FO347" i="16"/>
  <c r="FQ347" i="16"/>
  <c r="FS347" i="16"/>
  <c r="FU347" i="16"/>
  <c r="FW347" i="16"/>
  <c r="FY347" i="16"/>
  <c r="GA347" i="16"/>
  <c r="GC347" i="16"/>
  <c r="CZ347" i="16"/>
  <c r="DB347" i="16"/>
  <c r="DD347" i="16"/>
  <c r="DF347" i="16"/>
  <c r="DH347" i="16"/>
  <c r="DJ347" i="16"/>
  <c r="DL347" i="16"/>
  <c r="DN347" i="16"/>
  <c r="DP347" i="16"/>
  <c r="DR347" i="16"/>
  <c r="DT347" i="16"/>
  <c r="DV347" i="16"/>
  <c r="DX347" i="16"/>
  <c r="DZ347" i="16"/>
  <c r="EB347" i="16"/>
  <c r="ED347" i="16"/>
  <c r="EF347" i="16"/>
  <c r="EH347" i="16"/>
  <c r="EJ347" i="16"/>
  <c r="EL347" i="16"/>
  <c r="EN347" i="16"/>
  <c r="EP347" i="16"/>
  <c r="ER347" i="16"/>
  <c r="ET347" i="16"/>
  <c r="EV347" i="16"/>
  <c r="EX347" i="16"/>
  <c r="EZ347" i="16"/>
  <c r="FB347" i="16"/>
  <c r="FD347" i="16"/>
  <c r="FF347" i="16"/>
  <c r="FH347" i="16"/>
  <c r="FJ347" i="16"/>
  <c r="FL347" i="16"/>
  <c r="FN347" i="16"/>
  <c r="FP347" i="16"/>
  <c r="FR347" i="16"/>
  <c r="FT347" i="16"/>
  <c r="FV347" i="16"/>
  <c r="FX347" i="16"/>
  <c r="FZ347" i="16"/>
  <c r="GB347" i="16"/>
  <c r="GD347" i="16"/>
  <c r="CZ350" i="16"/>
  <c r="DB350" i="16"/>
  <c r="DD350" i="16"/>
  <c r="DF350" i="16"/>
  <c r="DH350" i="16"/>
  <c r="DJ350" i="16"/>
  <c r="DL350" i="16"/>
  <c r="DN350" i="16"/>
  <c r="DP350" i="16"/>
  <c r="DR350" i="16"/>
  <c r="DT350" i="16"/>
  <c r="DV350" i="16"/>
  <c r="DX350" i="16"/>
  <c r="DZ350" i="16"/>
  <c r="EB350" i="16"/>
  <c r="ED350" i="16"/>
  <c r="EF350" i="16"/>
  <c r="EH350" i="16"/>
  <c r="EJ350" i="16"/>
  <c r="EL350" i="16"/>
  <c r="EN350" i="16"/>
  <c r="EP350" i="16"/>
  <c r="ER350" i="16"/>
  <c r="ET350" i="16"/>
  <c r="EV350" i="16"/>
  <c r="EX350" i="16"/>
  <c r="EZ350" i="16"/>
  <c r="FB350" i="16"/>
  <c r="FD350" i="16"/>
  <c r="FF350" i="16"/>
  <c r="FH350" i="16"/>
  <c r="FJ350" i="16"/>
  <c r="FL350" i="16"/>
  <c r="FN350" i="16"/>
  <c r="FP350" i="16"/>
  <c r="FR350" i="16"/>
  <c r="FT350" i="16"/>
  <c r="FV350" i="16"/>
  <c r="FX350" i="16"/>
  <c r="FZ350" i="16"/>
  <c r="GB350" i="16"/>
  <c r="GD350" i="16"/>
  <c r="CY350" i="16"/>
  <c r="DA350" i="16"/>
  <c r="DC350" i="16"/>
  <c r="DE350" i="16"/>
  <c r="DG350" i="16"/>
  <c r="DI350" i="16"/>
  <c r="DK350" i="16"/>
  <c r="DM350" i="16"/>
  <c r="DO350" i="16"/>
  <c r="DQ350" i="16"/>
  <c r="DS350" i="16"/>
  <c r="DU350" i="16"/>
  <c r="DW350" i="16"/>
  <c r="DY350" i="16"/>
  <c r="EA350" i="16"/>
  <c r="EC350" i="16"/>
  <c r="EE350" i="16"/>
  <c r="EG350" i="16"/>
  <c r="EI350" i="16"/>
  <c r="EK350" i="16"/>
  <c r="EM350" i="16"/>
  <c r="EO350" i="16"/>
  <c r="EQ350" i="16"/>
  <c r="ES350" i="16"/>
  <c r="EU350" i="16"/>
  <c r="EW350" i="16"/>
  <c r="EY350" i="16"/>
  <c r="FA350" i="16"/>
  <c r="FC350" i="16"/>
  <c r="FE350" i="16"/>
  <c r="FG350" i="16"/>
  <c r="FI350" i="16"/>
  <c r="FK350" i="16"/>
  <c r="FM350" i="16"/>
  <c r="FO350" i="16"/>
  <c r="FQ350" i="16"/>
  <c r="FS350" i="16"/>
  <c r="FU350" i="16"/>
  <c r="FW350" i="16"/>
  <c r="FY350" i="16"/>
  <c r="GA350" i="16"/>
  <c r="GC350" i="16"/>
  <c r="CZ352" i="16"/>
  <c r="DB352" i="16"/>
  <c r="DD352" i="16"/>
  <c r="DF352" i="16"/>
  <c r="DH352" i="16"/>
  <c r="DJ352" i="16"/>
  <c r="DL352" i="16"/>
  <c r="DN352" i="16"/>
  <c r="DP352" i="16"/>
  <c r="DR352" i="16"/>
  <c r="DT352" i="16"/>
  <c r="DV352" i="16"/>
  <c r="DX352" i="16"/>
  <c r="DZ352" i="16"/>
  <c r="EB352" i="16"/>
  <c r="ED352" i="16"/>
  <c r="EF352" i="16"/>
  <c r="EH352" i="16"/>
  <c r="EJ352" i="16"/>
  <c r="EL352" i="16"/>
  <c r="EN352" i="16"/>
  <c r="EP352" i="16"/>
  <c r="ER352" i="16"/>
  <c r="ET352" i="16"/>
  <c r="EV352" i="16"/>
  <c r="EX352" i="16"/>
  <c r="EZ352" i="16"/>
  <c r="FB352" i="16"/>
  <c r="FD352" i="16"/>
  <c r="FF352" i="16"/>
  <c r="FH352" i="16"/>
  <c r="FJ352" i="16"/>
  <c r="FL352" i="16"/>
  <c r="FN352" i="16"/>
  <c r="FP352" i="16"/>
  <c r="FR352" i="16"/>
  <c r="FT352" i="16"/>
  <c r="FV352" i="16"/>
  <c r="FX352" i="16"/>
  <c r="FZ352" i="16"/>
  <c r="GB352" i="16"/>
  <c r="GD352" i="16"/>
  <c r="CY352" i="16"/>
  <c r="DA352" i="16"/>
  <c r="DC352" i="16"/>
  <c r="DE352" i="16"/>
  <c r="DG352" i="16"/>
  <c r="DI352" i="16"/>
  <c r="DK352" i="16"/>
  <c r="DM352" i="16"/>
  <c r="DO352" i="16"/>
  <c r="DQ352" i="16"/>
  <c r="DS352" i="16"/>
  <c r="DU352" i="16"/>
  <c r="DW352" i="16"/>
  <c r="DY352" i="16"/>
  <c r="EA352" i="16"/>
  <c r="EC352" i="16"/>
  <c r="EE352" i="16"/>
  <c r="EG352" i="16"/>
  <c r="EI352" i="16"/>
  <c r="EK352" i="16"/>
  <c r="EM352" i="16"/>
  <c r="EO352" i="16"/>
  <c r="EQ352" i="16"/>
  <c r="ES352" i="16"/>
  <c r="EU352" i="16"/>
  <c r="EW352" i="16"/>
  <c r="EY352" i="16"/>
  <c r="FA352" i="16"/>
  <c r="FC352" i="16"/>
  <c r="FE352" i="16"/>
  <c r="FG352" i="16"/>
  <c r="FI352" i="16"/>
  <c r="FK352" i="16"/>
  <c r="FM352" i="16"/>
  <c r="FO352" i="16"/>
  <c r="FQ352" i="16"/>
  <c r="FS352" i="16"/>
  <c r="FU352" i="16"/>
  <c r="FW352" i="16"/>
  <c r="FY352" i="16"/>
  <c r="GA352" i="16"/>
  <c r="GC352" i="16"/>
  <c r="CZ354" i="16"/>
  <c r="DB354" i="16"/>
  <c r="DD354" i="16"/>
  <c r="DF354" i="16"/>
  <c r="DH354" i="16"/>
  <c r="DJ354" i="16"/>
  <c r="DL354" i="16"/>
  <c r="DN354" i="16"/>
  <c r="DP354" i="16"/>
  <c r="DR354" i="16"/>
  <c r="DT354" i="16"/>
  <c r="DV354" i="16"/>
  <c r="DX354" i="16"/>
  <c r="DZ354" i="16"/>
  <c r="EB354" i="16"/>
  <c r="ED354" i="16"/>
  <c r="EF354" i="16"/>
  <c r="EH354" i="16"/>
  <c r="EJ354" i="16"/>
  <c r="EL354" i="16"/>
  <c r="EN354" i="16"/>
  <c r="EP354" i="16"/>
  <c r="ER354" i="16"/>
  <c r="ET354" i="16"/>
  <c r="EV354" i="16"/>
  <c r="EX354" i="16"/>
  <c r="EZ354" i="16"/>
  <c r="FB354" i="16"/>
  <c r="FD354" i="16"/>
  <c r="FF354" i="16"/>
  <c r="FH354" i="16"/>
  <c r="FJ354" i="16"/>
  <c r="FL354" i="16"/>
  <c r="FN354" i="16"/>
  <c r="FP354" i="16"/>
  <c r="FR354" i="16"/>
  <c r="FT354" i="16"/>
  <c r="FV354" i="16"/>
  <c r="FX354" i="16"/>
  <c r="FZ354" i="16"/>
  <c r="GB354" i="16"/>
  <c r="GD354" i="16"/>
  <c r="CY354" i="16"/>
  <c r="DA354" i="16"/>
  <c r="DC354" i="16"/>
  <c r="DE354" i="16"/>
  <c r="DG354" i="16"/>
  <c r="DI354" i="16"/>
  <c r="DK354" i="16"/>
  <c r="DM354" i="16"/>
  <c r="DO354" i="16"/>
  <c r="DQ354" i="16"/>
  <c r="DS354" i="16"/>
  <c r="DU354" i="16"/>
  <c r="DW354" i="16"/>
  <c r="DY354" i="16"/>
  <c r="EA354" i="16"/>
  <c r="EC354" i="16"/>
  <c r="EE354" i="16"/>
  <c r="EG354" i="16"/>
  <c r="EI354" i="16"/>
  <c r="EK354" i="16"/>
  <c r="EM354" i="16"/>
  <c r="EO354" i="16"/>
  <c r="EQ354" i="16"/>
  <c r="ES354" i="16"/>
  <c r="EU354" i="16"/>
  <c r="EW354" i="16"/>
  <c r="EY354" i="16"/>
  <c r="FA354" i="16"/>
  <c r="FC354" i="16"/>
  <c r="FE354" i="16"/>
  <c r="FG354" i="16"/>
  <c r="FI354" i="16"/>
  <c r="FK354" i="16"/>
  <c r="FM354" i="16"/>
  <c r="FO354" i="16"/>
  <c r="FQ354" i="16"/>
  <c r="FS354" i="16"/>
  <c r="FU354" i="16"/>
  <c r="FW354" i="16"/>
  <c r="FY354" i="16"/>
  <c r="GA354" i="16"/>
  <c r="GC354" i="16"/>
  <c r="CZ356" i="16"/>
  <c r="DB356" i="16"/>
  <c r="DD356" i="16"/>
  <c r="DF356" i="16"/>
  <c r="DH356" i="16"/>
  <c r="DJ356" i="16"/>
  <c r="DL356" i="16"/>
  <c r="DN356" i="16"/>
  <c r="DP356" i="16"/>
  <c r="DR356" i="16"/>
  <c r="DT356" i="16"/>
  <c r="DV356" i="16"/>
  <c r="DX356" i="16"/>
  <c r="DZ356" i="16"/>
  <c r="EB356" i="16"/>
  <c r="ED356" i="16"/>
  <c r="EF356" i="16"/>
  <c r="EH356" i="16"/>
  <c r="EJ356" i="16"/>
  <c r="EL356" i="16"/>
  <c r="EN356" i="16"/>
  <c r="EP356" i="16"/>
  <c r="ER356" i="16"/>
  <c r="ET356" i="16"/>
  <c r="EV356" i="16"/>
  <c r="EX356" i="16"/>
  <c r="EZ356" i="16"/>
  <c r="FB356" i="16"/>
  <c r="FD356" i="16"/>
  <c r="FF356" i="16"/>
  <c r="FH356" i="16"/>
  <c r="FJ356" i="16"/>
  <c r="FL356" i="16"/>
  <c r="FN356" i="16"/>
  <c r="FP356" i="16"/>
  <c r="FR356" i="16"/>
  <c r="FT356" i="16"/>
  <c r="FV356" i="16"/>
  <c r="FX356" i="16"/>
  <c r="FZ356" i="16"/>
  <c r="GB356" i="16"/>
  <c r="GD356" i="16"/>
  <c r="CY356" i="16"/>
  <c r="DA356" i="16"/>
  <c r="DC356" i="16"/>
  <c r="DE356" i="16"/>
  <c r="DG356" i="16"/>
  <c r="DI356" i="16"/>
  <c r="DK356" i="16"/>
  <c r="DM356" i="16"/>
  <c r="DO356" i="16"/>
  <c r="DQ356" i="16"/>
  <c r="DS356" i="16"/>
  <c r="DU356" i="16"/>
  <c r="DW356" i="16"/>
  <c r="DY356" i="16"/>
  <c r="EA356" i="16"/>
  <c r="EC356" i="16"/>
  <c r="EE356" i="16"/>
  <c r="EG356" i="16"/>
  <c r="EI356" i="16"/>
  <c r="EK356" i="16"/>
  <c r="EM356" i="16"/>
  <c r="EO356" i="16"/>
  <c r="EQ356" i="16"/>
  <c r="ES356" i="16"/>
  <c r="EU356" i="16"/>
  <c r="EW356" i="16"/>
  <c r="EY356" i="16"/>
  <c r="FA356" i="16"/>
  <c r="FC356" i="16"/>
  <c r="FE356" i="16"/>
  <c r="FG356" i="16"/>
  <c r="FI356" i="16"/>
  <c r="FK356" i="16"/>
  <c r="FM356" i="16"/>
  <c r="FO356" i="16"/>
  <c r="FQ356" i="16"/>
  <c r="FS356" i="16"/>
  <c r="FU356" i="16"/>
  <c r="FW356" i="16"/>
  <c r="FY356" i="16"/>
  <c r="GA356" i="16"/>
  <c r="GC356" i="16"/>
  <c r="CZ358" i="16"/>
  <c r="DB358" i="16"/>
  <c r="DD358" i="16"/>
  <c r="DF358" i="16"/>
  <c r="DH358" i="16"/>
  <c r="DJ358" i="16"/>
  <c r="DL358" i="16"/>
  <c r="DN358" i="16"/>
  <c r="DP358" i="16"/>
  <c r="DR358" i="16"/>
  <c r="DT358" i="16"/>
  <c r="DV358" i="16"/>
  <c r="DX358" i="16"/>
  <c r="DZ358" i="16"/>
  <c r="EB358" i="16"/>
  <c r="ED358" i="16"/>
  <c r="EF358" i="16"/>
  <c r="EH358" i="16"/>
  <c r="EJ358" i="16"/>
  <c r="EL358" i="16"/>
  <c r="EN358" i="16"/>
  <c r="EP358" i="16"/>
  <c r="ER358" i="16"/>
  <c r="ET358" i="16"/>
  <c r="EV358" i="16"/>
  <c r="EX358" i="16"/>
  <c r="EZ358" i="16"/>
  <c r="FB358" i="16"/>
  <c r="FD358" i="16"/>
  <c r="FF358" i="16"/>
  <c r="FH358" i="16"/>
  <c r="FJ358" i="16"/>
  <c r="FL358" i="16"/>
  <c r="FN358" i="16"/>
  <c r="FP358" i="16"/>
  <c r="FR358" i="16"/>
  <c r="FT358" i="16"/>
  <c r="FV358" i="16"/>
  <c r="FX358" i="16"/>
  <c r="FZ358" i="16"/>
  <c r="GB358" i="16"/>
  <c r="GD358" i="16"/>
  <c r="CY358" i="16"/>
  <c r="DA358" i="16"/>
  <c r="DC358" i="16"/>
  <c r="DE358" i="16"/>
  <c r="DG358" i="16"/>
  <c r="DI358" i="16"/>
  <c r="DK358" i="16"/>
  <c r="DM358" i="16"/>
  <c r="DO358" i="16"/>
  <c r="DQ358" i="16"/>
  <c r="DS358" i="16"/>
  <c r="DU358" i="16"/>
  <c r="DW358" i="16"/>
  <c r="DY358" i="16"/>
  <c r="EA358" i="16"/>
  <c r="EC358" i="16"/>
  <c r="EE358" i="16"/>
  <c r="EG358" i="16"/>
  <c r="EI358" i="16"/>
  <c r="EK358" i="16"/>
  <c r="EM358" i="16"/>
  <c r="EO358" i="16"/>
  <c r="EQ358" i="16"/>
  <c r="ES358" i="16"/>
  <c r="EU358" i="16"/>
  <c r="EW358" i="16"/>
  <c r="EY358" i="16"/>
  <c r="FA358" i="16"/>
  <c r="FC358" i="16"/>
  <c r="FE358" i="16"/>
  <c r="FG358" i="16"/>
  <c r="FI358" i="16"/>
  <c r="FK358" i="16"/>
  <c r="FM358" i="16"/>
  <c r="FO358" i="16"/>
  <c r="FQ358" i="16"/>
  <c r="FS358" i="16"/>
  <c r="FU358" i="16"/>
  <c r="FW358" i="16"/>
  <c r="FY358" i="16"/>
  <c r="GA358" i="16"/>
  <c r="GC358" i="16"/>
  <c r="CZ360" i="16"/>
  <c r="DB360" i="16"/>
  <c r="DD360" i="16"/>
  <c r="DF360" i="16"/>
  <c r="DH360" i="16"/>
  <c r="DJ360" i="16"/>
  <c r="DL360" i="16"/>
  <c r="DN360" i="16"/>
  <c r="DP360" i="16"/>
  <c r="DR360" i="16"/>
  <c r="DT360" i="16"/>
  <c r="DV360" i="16"/>
  <c r="DX360" i="16"/>
  <c r="DZ360" i="16"/>
  <c r="EB360" i="16"/>
  <c r="ED360" i="16"/>
  <c r="EF360" i="16"/>
  <c r="EH360" i="16"/>
  <c r="EJ360" i="16"/>
  <c r="EL360" i="16"/>
  <c r="EN360" i="16"/>
  <c r="EP360" i="16"/>
  <c r="ER360" i="16"/>
  <c r="ET360" i="16"/>
  <c r="EV360" i="16"/>
  <c r="EX360" i="16"/>
  <c r="EZ360" i="16"/>
  <c r="FB360" i="16"/>
  <c r="FD360" i="16"/>
  <c r="FF360" i="16"/>
  <c r="FH360" i="16"/>
  <c r="FJ360" i="16"/>
  <c r="FL360" i="16"/>
  <c r="FN360" i="16"/>
  <c r="FP360" i="16"/>
  <c r="FR360" i="16"/>
  <c r="FT360" i="16"/>
  <c r="FV360" i="16"/>
  <c r="FX360" i="16"/>
  <c r="FZ360" i="16"/>
  <c r="GB360" i="16"/>
  <c r="GD360" i="16"/>
  <c r="CY360" i="16"/>
  <c r="DA360" i="16"/>
  <c r="DC360" i="16"/>
  <c r="DE360" i="16"/>
  <c r="DG360" i="16"/>
  <c r="DI360" i="16"/>
  <c r="DK360" i="16"/>
  <c r="DM360" i="16"/>
  <c r="DO360" i="16"/>
  <c r="DQ360" i="16"/>
  <c r="DS360" i="16"/>
  <c r="DU360" i="16"/>
  <c r="DW360" i="16"/>
  <c r="DY360" i="16"/>
  <c r="EA360" i="16"/>
  <c r="EC360" i="16"/>
  <c r="EE360" i="16"/>
  <c r="EG360" i="16"/>
  <c r="EI360" i="16"/>
  <c r="EK360" i="16"/>
  <c r="EM360" i="16"/>
  <c r="EO360" i="16"/>
  <c r="EQ360" i="16"/>
  <c r="ES360" i="16"/>
  <c r="EU360" i="16"/>
  <c r="EW360" i="16"/>
  <c r="EY360" i="16"/>
  <c r="FA360" i="16"/>
  <c r="FC360" i="16"/>
  <c r="FE360" i="16"/>
  <c r="FG360" i="16"/>
  <c r="FI360" i="16"/>
  <c r="FK360" i="16"/>
  <c r="FM360" i="16"/>
  <c r="FO360" i="16"/>
  <c r="FQ360" i="16"/>
  <c r="FS360" i="16"/>
  <c r="FU360" i="16"/>
  <c r="FW360" i="16"/>
  <c r="FY360" i="16"/>
  <c r="GA360" i="16"/>
  <c r="GC360" i="16"/>
  <c r="CY363" i="16"/>
  <c r="DA363" i="16"/>
  <c r="DC363" i="16"/>
  <c r="DE363" i="16"/>
  <c r="DG363" i="16"/>
  <c r="DI363" i="16"/>
  <c r="DK363" i="16"/>
  <c r="DM363" i="16"/>
  <c r="DO363" i="16"/>
  <c r="DQ363" i="16"/>
  <c r="DS363" i="16"/>
  <c r="DU363" i="16"/>
  <c r="DW363" i="16"/>
  <c r="DY363" i="16"/>
  <c r="EA363" i="16"/>
  <c r="EC363" i="16"/>
  <c r="EE363" i="16"/>
  <c r="EG363" i="16"/>
  <c r="EI363" i="16"/>
  <c r="EK363" i="16"/>
  <c r="EM363" i="16"/>
  <c r="EO363" i="16"/>
  <c r="EQ363" i="16"/>
  <c r="ES363" i="16"/>
  <c r="EU363" i="16"/>
  <c r="EW363" i="16"/>
  <c r="EY363" i="16"/>
  <c r="FA363" i="16"/>
  <c r="FC363" i="16"/>
  <c r="FE363" i="16"/>
  <c r="FG363" i="16"/>
  <c r="FI363" i="16"/>
  <c r="FK363" i="16"/>
  <c r="FM363" i="16"/>
  <c r="FO363" i="16"/>
  <c r="FQ363" i="16"/>
  <c r="FS363" i="16"/>
  <c r="FU363" i="16"/>
  <c r="FW363" i="16"/>
  <c r="FY363" i="16"/>
  <c r="GA363" i="16"/>
  <c r="GC363" i="16"/>
  <c r="CZ363" i="16"/>
  <c r="DB363" i="16"/>
  <c r="DD363" i="16"/>
  <c r="DF363" i="16"/>
  <c r="DH363" i="16"/>
  <c r="DJ363" i="16"/>
  <c r="DL363" i="16"/>
  <c r="DN363" i="16"/>
  <c r="DP363" i="16"/>
  <c r="DR363" i="16"/>
  <c r="DT363" i="16"/>
  <c r="DV363" i="16"/>
  <c r="DX363" i="16"/>
  <c r="DZ363" i="16"/>
  <c r="EB363" i="16"/>
  <c r="ED363" i="16"/>
  <c r="EF363" i="16"/>
  <c r="EH363" i="16"/>
  <c r="EJ363" i="16"/>
  <c r="EL363" i="16"/>
  <c r="EN363" i="16"/>
  <c r="EP363" i="16"/>
  <c r="ER363" i="16"/>
  <c r="ET363" i="16"/>
  <c r="EV363" i="16"/>
  <c r="EX363" i="16"/>
  <c r="EZ363" i="16"/>
  <c r="FB363" i="16"/>
  <c r="FD363" i="16"/>
  <c r="FF363" i="16"/>
  <c r="FH363" i="16"/>
  <c r="FJ363" i="16"/>
  <c r="FL363" i="16"/>
  <c r="FN363" i="16"/>
  <c r="FP363" i="16"/>
  <c r="FR363" i="16"/>
  <c r="FT363" i="16"/>
  <c r="FV363" i="16"/>
  <c r="FX363" i="16"/>
  <c r="FZ363" i="16"/>
  <c r="GB363" i="16"/>
  <c r="GD363" i="16"/>
  <c r="CZ364" i="16"/>
  <c r="DB364" i="16"/>
  <c r="DD364" i="16"/>
  <c r="DF364" i="16"/>
  <c r="DH364" i="16"/>
  <c r="DJ364" i="16"/>
  <c r="DL364" i="16"/>
  <c r="DN364" i="16"/>
  <c r="DP364" i="16"/>
  <c r="DR364" i="16"/>
  <c r="DT364" i="16"/>
  <c r="DV364" i="16"/>
  <c r="DX364" i="16"/>
  <c r="DZ364" i="16"/>
  <c r="EB364" i="16"/>
  <c r="ED364" i="16"/>
  <c r="EF364" i="16"/>
  <c r="EH364" i="16"/>
  <c r="EJ364" i="16"/>
  <c r="EL364" i="16"/>
  <c r="EN364" i="16"/>
  <c r="EP364" i="16"/>
  <c r="ER364" i="16"/>
  <c r="ET364" i="16"/>
  <c r="EV364" i="16"/>
  <c r="EX364" i="16"/>
  <c r="EZ364" i="16"/>
  <c r="FB364" i="16"/>
  <c r="FD364" i="16"/>
  <c r="FF364" i="16"/>
  <c r="FH364" i="16"/>
  <c r="FJ364" i="16"/>
  <c r="FL364" i="16"/>
  <c r="FN364" i="16"/>
  <c r="FP364" i="16"/>
  <c r="FR364" i="16"/>
  <c r="FT364" i="16"/>
  <c r="FV364" i="16"/>
  <c r="FX364" i="16"/>
  <c r="FZ364" i="16"/>
  <c r="GB364" i="16"/>
  <c r="GD364" i="16"/>
  <c r="CY364" i="16"/>
  <c r="DA364" i="16"/>
  <c r="DC364" i="16"/>
  <c r="DE364" i="16"/>
  <c r="DG364" i="16"/>
  <c r="DI364" i="16"/>
  <c r="DK364" i="16"/>
  <c r="DM364" i="16"/>
  <c r="DO364" i="16"/>
  <c r="DQ364" i="16"/>
  <c r="DS364" i="16"/>
  <c r="DU364" i="16"/>
  <c r="DW364" i="16"/>
  <c r="DY364" i="16"/>
  <c r="EA364" i="16"/>
  <c r="EC364" i="16"/>
  <c r="EE364" i="16"/>
  <c r="EG364" i="16"/>
  <c r="EI364" i="16"/>
  <c r="EK364" i="16"/>
  <c r="EM364" i="16"/>
  <c r="EO364" i="16"/>
  <c r="EQ364" i="16"/>
  <c r="ES364" i="16"/>
  <c r="EU364" i="16"/>
  <c r="EW364" i="16"/>
  <c r="EY364" i="16"/>
  <c r="FA364" i="16"/>
  <c r="FC364" i="16"/>
  <c r="FE364" i="16"/>
  <c r="FG364" i="16"/>
  <c r="FI364" i="16"/>
  <c r="FK364" i="16"/>
  <c r="FM364" i="16"/>
  <c r="FO364" i="16"/>
  <c r="FQ364" i="16"/>
  <c r="FS364" i="16"/>
  <c r="FU364" i="16"/>
  <c r="FW364" i="16"/>
  <c r="FY364" i="16"/>
  <c r="GA364" i="16"/>
  <c r="GC364" i="16"/>
  <c r="CZ366" i="16"/>
  <c r="DB366" i="16"/>
  <c r="DD366" i="16"/>
  <c r="DF366" i="16"/>
  <c r="DH366" i="16"/>
  <c r="DJ366" i="16"/>
  <c r="DL366" i="16"/>
  <c r="DN366" i="16"/>
  <c r="DP366" i="16"/>
  <c r="DR366" i="16"/>
  <c r="DT366" i="16"/>
  <c r="DV366" i="16"/>
  <c r="DX366" i="16"/>
  <c r="DZ366" i="16"/>
  <c r="EB366" i="16"/>
  <c r="ED366" i="16"/>
  <c r="EF366" i="16"/>
  <c r="EH366" i="16"/>
  <c r="EJ366" i="16"/>
  <c r="EL366" i="16"/>
  <c r="EN366" i="16"/>
  <c r="EP366" i="16"/>
  <c r="ER366" i="16"/>
  <c r="ET366" i="16"/>
  <c r="EV366" i="16"/>
  <c r="EX366" i="16"/>
  <c r="EZ366" i="16"/>
  <c r="FB366" i="16"/>
  <c r="FD366" i="16"/>
  <c r="FF366" i="16"/>
  <c r="FH366" i="16"/>
  <c r="FJ366" i="16"/>
  <c r="FL366" i="16"/>
  <c r="FN366" i="16"/>
  <c r="FP366" i="16"/>
  <c r="FR366" i="16"/>
  <c r="FT366" i="16"/>
  <c r="FV366" i="16"/>
  <c r="FX366" i="16"/>
  <c r="FZ366" i="16"/>
  <c r="GB366" i="16"/>
  <c r="GD366" i="16"/>
  <c r="CY366" i="16"/>
  <c r="DA366" i="16"/>
  <c r="DC366" i="16"/>
  <c r="DE366" i="16"/>
  <c r="DG366" i="16"/>
  <c r="DI366" i="16"/>
  <c r="DK366" i="16"/>
  <c r="DM366" i="16"/>
  <c r="DO366" i="16"/>
  <c r="DQ366" i="16"/>
  <c r="DS366" i="16"/>
  <c r="DU366" i="16"/>
  <c r="DW366" i="16"/>
  <c r="DY366" i="16"/>
  <c r="EA366" i="16"/>
  <c r="EC366" i="16"/>
  <c r="EE366" i="16"/>
  <c r="EG366" i="16"/>
  <c r="EI366" i="16"/>
  <c r="EK366" i="16"/>
  <c r="EM366" i="16"/>
  <c r="EO366" i="16"/>
  <c r="EQ366" i="16"/>
  <c r="ES366" i="16"/>
  <c r="EU366" i="16"/>
  <c r="EW366" i="16"/>
  <c r="EY366" i="16"/>
  <c r="FA366" i="16"/>
  <c r="FC366" i="16"/>
  <c r="FE366" i="16"/>
  <c r="FG366" i="16"/>
  <c r="FI366" i="16"/>
  <c r="FK366" i="16"/>
  <c r="FM366" i="16"/>
  <c r="FO366" i="16"/>
  <c r="FQ366" i="16"/>
  <c r="FS366" i="16"/>
  <c r="FU366" i="16"/>
  <c r="FW366" i="16"/>
  <c r="FY366" i="16"/>
  <c r="GA366" i="16"/>
  <c r="GC366" i="16"/>
  <c r="CZ368" i="16"/>
  <c r="DB368" i="16"/>
  <c r="DD368" i="16"/>
  <c r="DF368" i="16"/>
  <c r="DH368" i="16"/>
  <c r="DJ368" i="16"/>
  <c r="DL368" i="16"/>
  <c r="DN368" i="16"/>
  <c r="DP368" i="16"/>
  <c r="DR368" i="16"/>
  <c r="DT368" i="16"/>
  <c r="DV368" i="16"/>
  <c r="DX368" i="16"/>
  <c r="DZ368" i="16"/>
  <c r="EB368" i="16"/>
  <c r="ED368" i="16"/>
  <c r="EF368" i="16"/>
  <c r="EH368" i="16"/>
  <c r="EJ368" i="16"/>
  <c r="EL368" i="16"/>
  <c r="EN368" i="16"/>
  <c r="EP368" i="16"/>
  <c r="ER368" i="16"/>
  <c r="ET368" i="16"/>
  <c r="EV368" i="16"/>
  <c r="EX368" i="16"/>
  <c r="EZ368" i="16"/>
  <c r="FB368" i="16"/>
  <c r="FD368" i="16"/>
  <c r="FF368" i="16"/>
  <c r="FH368" i="16"/>
  <c r="FJ368" i="16"/>
  <c r="FL368" i="16"/>
  <c r="FN368" i="16"/>
  <c r="FP368" i="16"/>
  <c r="FR368" i="16"/>
  <c r="FT368" i="16"/>
  <c r="FV368" i="16"/>
  <c r="FX368" i="16"/>
  <c r="FZ368" i="16"/>
  <c r="GB368" i="16"/>
  <c r="GD368" i="16"/>
  <c r="CY368" i="16"/>
  <c r="DA368" i="16"/>
  <c r="DC368" i="16"/>
  <c r="DE368" i="16"/>
  <c r="DG368" i="16"/>
  <c r="DI368" i="16"/>
  <c r="DK368" i="16"/>
  <c r="DM368" i="16"/>
  <c r="DO368" i="16"/>
  <c r="DQ368" i="16"/>
  <c r="DS368" i="16"/>
  <c r="DU368" i="16"/>
  <c r="DW368" i="16"/>
  <c r="DY368" i="16"/>
  <c r="EA368" i="16"/>
  <c r="EC368" i="16"/>
  <c r="EE368" i="16"/>
  <c r="EG368" i="16"/>
  <c r="EI368" i="16"/>
  <c r="EK368" i="16"/>
  <c r="EM368" i="16"/>
  <c r="EO368" i="16"/>
  <c r="EQ368" i="16"/>
  <c r="ES368" i="16"/>
  <c r="EU368" i="16"/>
  <c r="EW368" i="16"/>
  <c r="EY368" i="16"/>
  <c r="FA368" i="16"/>
  <c r="FC368" i="16"/>
  <c r="FE368" i="16"/>
  <c r="FG368" i="16"/>
  <c r="FI368" i="16"/>
  <c r="FK368" i="16"/>
  <c r="FM368" i="16"/>
  <c r="FO368" i="16"/>
  <c r="FQ368" i="16"/>
  <c r="FS368" i="16"/>
  <c r="FU368" i="16"/>
  <c r="FW368" i="16"/>
  <c r="FY368" i="16"/>
  <c r="GA368" i="16"/>
  <c r="GC368" i="16"/>
  <c r="CZ370" i="16"/>
  <c r="DB370" i="16"/>
  <c r="DD370" i="16"/>
  <c r="DF370" i="16"/>
  <c r="DH370" i="16"/>
  <c r="DJ370" i="16"/>
  <c r="DL370" i="16"/>
  <c r="DN370" i="16"/>
  <c r="DP370" i="16"/>
  <c r="DR370" i="16"/>
  <c r="DT370" i="16"/>
  <c r="DV370" i="16"/>
  <c r="DX370" i="16"/>
  <c r="DZ370" i="16"/>
  <c r="EB370" i="16"/>
  <c r="ED370" i="16"/>
  <c r="EF370" i="16"/>
  <c r="EH370" i="16"/>
  <c r="EJ370" i="16"/>
  <c r="EL370" i="16"/>
  <c r="EN370" i="16"/>
  <c r="EP370" i="16"/>
  <c r="ER370" i="16"/>
  <c r="ET370" i="16"/>
  <c r="EV370" i="16"/>
  <c r="EX370" i="16"/>
  <c r="EZ370" i="16"/>
  <c r="FB370" i="16"/>
  <c r="FD370" i="16"/>
  <c r="FF370" i="16"/>
  <c r="FH370" i="16"/>
  <c r="FJ370" i="16"/>
  <c r="FL370" i="16"/>
  <c r="FN370" i="16"/>
  <c r="FP370" i="16"/>
  <c r="FR370" i="16"/>
  <c r="FT370" i="16"/>
  <c r="FV370" i="16"/>
  <c r="FX370" i="16"/>
  <c r="FZ370" i="16"/>
  <c r="GB370" i="16"/>
  <c r="GD370" i="16"/>
  <c r="CY370" i="16"/>
  <c r="DA370" i="16"/>
  <c r="DC370" i="16"/>
  <c r="DE370" i="16"/>
  <c r="DG370" i="16"/>
  <c r="DI370" i="16"/>
  <c r="DK370" i="16"/>
  <c r="DM370" i="16"/>
  <c r="DO370" i="16"/>
  <c r="DQ370" i="16"/>
  <c r="DS370" i="16"/>
  <c r="DU370" i="16"/>
  <c r="DW370" i="16"/>
  <c r="DY370" i="16"/>
  <c r="EA370" i="16"/>
  <c r="EC370" i="16"/>
  <c r="EE370" i="16"/>
  <c r="EG370" i="16"/>
  <c r="EI370" i="16"/>
  <c r="EK370" i="16"/>
  <c r="EM370" i="16"/>
  <c r="EO370" i="16"/>
  <c r="EQ370" i="16"/>
  <c r="ES370" i="16"/>
  <c r="EU370" i="16"/>
  <c r="EW370" i="16"/>
  <c r="EY370" i="16"/>
  <c r="FA370" i="16"/>
  <c r="FC370" i="16"/>
  <c r="FE370" i="16"/>
  <c r="FG370" i="16"/>
  <c r="FI370" i="16"/>
  <c r="FK370" i="16"/>
  <c r="FM370" i="16"/>
  <c r="FO370" i="16"/>
  <c r="FQ370" i="16"/>
  <c r="FS370" i="16"/>
  <c r="FU370" i="16"/>
  <c r="FW370" i="16"/>
  <c r="FY370" i="16"/>
  <c r="GA370" i="16"/>
  <c r="GC370" i="16"/>
  <c r="CZ372" i="16"/>
  <c r="DB372" i="16"/>
  <c r="DD372" i="16"/>
  <c r="DF372" i="16"/>
  <c r="DH372" i="16"/>
  <c r="DJ372" i="16"/>
  <c r="DL372" i="16"/>
  <c r="DN372" i="16"/>
  <c r="DP372" i="16"/>
  <c r="DR372" i="16"/>
  <c r="DT372" i="16"/>
  <c r="DV372" i="16"/>
  <c r="DX372" i="16"/>
  <c r="DZ372" i="16"/>
  <c r="EB372" i="16"/>
  <c r="ED372" i="16"/>
  <c r="EF372" i="16"/>
  <c r="EH372" i="16"/>
  <c r="EJ372" i="16"/>
  <c r="EL372" i="16"/>
  <c r="EN372" i="16"/>
  <c r="EP372" i="16"/>
  <c r="ER372" i="16"/>
  <c r="ET372" i="16"/>
  <c r="EV372" i="16"/>
  <c r="EX372" i="16"/>
  <c r="EZ372" i="16"/>
  <c r="FB372" i="16"/>
  <c r="FD372" i="16"/>
  <c r="FF372" i="16"/>
  <c r="FH372" i="16"/>
  <c r="FJ372" i="16"/>
  <c r="FL372" i="16"/>
  <c r="FN372" i="16"/>
  <c r="FP372" i="16"/>
  <c r="FR372" i="16"/>
  <c r="FT372" i="16"/>
  <c r="FV372" i="16"/>
  <c r="FX372" i="16"/>
  <c r="FZ372" i="16"/>
  <c r="GB372" i="16"/>
  <c r="GD372" i="16"/>
  <c r="CY372" i="16"/>
  <c r="DA372" i="16"/>
  <c r="DC372" i="16"/>
  <c r="DE372" i="16"/>
  <c r="DG372" i="16"/>
  <c r="DI372" i="16"/>
  <c r="DK372" i="16"/>
  <c r="DM372" i="16"/>
  <c r="DO372" i="16"/>
  <c r="DQ372" i="16"/>
  <c r="DS372" i="16"/>
  <c r="DU372" i="16"/>
  <c r="DW372" i="16"/>
  <c r="DY372" i="16"/>
  <c r="EA372" i="16"/>
  <c r="EC372" i="16"/>
  <c r="EE372" i="16"/>
  <c r="EG372" i="16"/>
  <c r="EI372" i="16"/>
  <c r="EK372" i="16"/>
  <c r="EM372" i="16"/>
  <c r="EO372" i="16"/>
  <c r="EQ372" i="16"/>
  <c r="ES372" i="16"/>
  <c r="EU372" i="16"/>
  <c r="EW372" i="16"/>
  <c r="EY372" i="16"/>
  <c r="FA372" i="16"/>
  <c r="FC372" i="16"/>
  <c r="FE372" i="16"/>
  <c r="FG372" i="16"/>
  <c r="FI372" i="16"/>
  <c r="FK372" i="16"/>
  <c r="FM372" i="16"/>
  <c r="FO372" i="16"/>
  <c r="FQ372" i="16"/>
  <c r="FS372" i="16"/>
  <c r="FU372" i="16"/>
  <c r="FW372" i="16"/>
  <c r="FY372" i="16"/>
  <c r="GA372" i="16"/>
  <c r="GC372" i="16"/>
  <c r="CY375" i="16"/>
  <c r="DA375" i="16"/>
  <c r="DC375" i="16"/>
  <c r="DE375" i="16"/>
  <c r="DG375" i="16"/>
  <c r="DI375" i="16"/>
  <c r="DK375" i="16"/>
  <c r="DM375" i="16"/>
  <c r="DO375" i="16"/>
  <c r="DQ375" i="16"/>
  <c r="DS375" i="16"/>
  <c r="DU375" i="16"/>
  <c r="DW375" i="16"/>
  <c r="DY375" i="16"/>
  <c r="EA375" i="16"/>
  <c r="EC375" i="16"/>
  <c r="EE375" i="16"/>
  <c r="EG375" i="16"/>
  <c r="EI375" i="16"/>
  <c r="EK375" i="16"/>
  <c r="EM375" i="16"/>
  <c r="EO375" i="16"/>
  <c r="EQ375" i="16"/>
  <c r="ES375" i="16"/>
  <c r="EU375" i="16"/>
  <c r="EW375" i="16"/>
  <c r="EY375" i="16"/>
  <c r="FA375" i="16"/>
  <c r="FC375" i="16"/>
  <c r="FE375" i="16"/>
  <c r="FG375" i="16"/>
  <c r="FI375" i="16"/>
  <c r="FK375" i="16"/>
  <c r="FM375" i="16"/>
  <c r="FO375" i="16"/>
  <c r="FQ375" i="16"/>
  <c r="FS375" i="16"/>
  <c r="FU375" i="16"/>
  <c r="FW375" i="16"/>
  <c r="FY375" i="16"/>
  <c r="GA375" i="16"/>
  <c r="GC375" i="16"/>
  <c r="CZ375" i="16"/>
  <c r="DB375" i="16"/>
  <c r="DD375" i="16"/>
  <c r="DF375" i="16"/>
  <c r="DH375" i="16"/>
  <c r="DJ375" i="16"/>
  <c r="DL375" i="16"/>
  <c r="DN375" i="16"/>
  <c r="DP375" i="16"/>
  <c r="DR375" i="16"/>
  <c r="DT375" i="16"/>
  <c r="DV375" i="16"/>
  <c r="DX375" i="16"/>
  <c r="DZ375" i="16"/>
  <c r="EB375" i="16"/>
  <c r="ED375" i="16"/>
  <c r="EF375" i="16"/>
  <c r="EH375" i="16"/>
  <c r="EJ375" i="16"/>
  <c r="EL375" i="16"/>
  <c r="EN375" i="16"/>
  <c r="EP375" i="16"/>
  <c r="ER375" i="16"/>
  <c r="ET375" i="16"/>
  <c r="EV375" i="16"/>
  <c r="EX375" i="16"/>
  <c r="EZ375" i="16"/>
  <c r="FB375" i="16"/>
  <c r="FD375" i="16"/>
  <c r="FF375" i="16"/>
  <c r="FH375" i="16"/>
  <c r="FJ375" i="16"/>
  <c r="FL375" i="16"/>
  <c r="FN375" i="16"/>
  <c r="FP375" i="16"/>
  <c r="FR375" i="16"/>
  <c r="FT375" i="16"/>
  <c r="FV375" i="16"/>
  <c r="FX375" i="16"/>
  <c r="FZ375" i="16"/>
  <c r="GB375" i="16"/>
  <c r="GD375" i="16"/>
  <c r="CY381" i="16"/>
  <c r="DA381" i="16"/>
  <c r="DC381" i="16"/>
  <c r="DE381" i="16"/>
  <c r="DG381" i="16"/>
  <c r="DI381" i="16"/>
  <c r="DK381" i="16"/>
  <c r="DM381" i="16"/>
  <c r="DO381" i="16"/>
  <c r="DQ381" i="16"/>
  <c r="DS381" i="16"/>
  <c r="DU381" i="16"/>
  <c r="DW381" i="16"/>
  <c r="DY381" i="16"/>
  <c r="EA381" i="16"/>
  <c r="EC381" i="16"/>
  <c r="EE381" i="16"/>
  <c r="EG381" i="16"/>
  <c r="EI381" i="16"/>
  <c r="EK381" i="16"/>
  <c r="EM381" i="16"/>
  <c r="EO381" i="16"/>
  <c r="EQ381" i="16"/>
  <c r="ES381" i="16"/>
  <c r="EU381" i="16"/>
  <c r="EW381" i="16"/>
  <c r="EY381" i="16"/>
  <c r="FA381" i="16"/>
  <c r="FC381" i="16"/>
  <c r="FE381" i="16"/>
  <c r="FG381" i="16"/>
  <c r="FI381" i="16"/>
  <c r="FK381" i="16"/>
  <c r="FM381" i="16"/>
  <c r="FO381" i="16"/>
  <c r="FQ381" i="16"/>
  <c r="FS381" i="16"/>
  <c r="FU381" i="16"/>
  <c r="FW381" i="16"/>
  <c r="FY381" i="16"/>
  <c r="GA381" i="16"/>
  <c r="GC381" i="16"/>
  <c r="CZ381" i="16"/>
  <c r="DD381" i="16"/>
  <c r="DH381" i="16"/>
  <c r="DL381" i="16"/>
  <c r="DP381" i="16"/>
  <c r="DT381" i="16"/>
  <c r="DX381" i="16"/>
  <c r="EB381" i="16"/>
  <c r="EF381" i="16"/>
  <c r="EJ381" i="16"/>
  <c r="EN381" i="16"/>
  <c r="ER381" i="16"/>
  <c r="EV381" i="16"/>
  <c r="EZ381" i="16"/>
  <c r="FD381" i="16"/>
  <c r="FH381" i="16"/>
  <c r="FL381" i="16"/>
  <c r="FP381" i="16"/>
  <c r="FT381" i="16"/>
  <c r="FX381" i="16"/>
  <c r="GB381" i="16"/>
  <c r="DB381" i="16"/>
  <c r="DF381" i="16"/>
  <c r="DJ381" i="16"/>
  <c r="DN381" i="16"/>
  <c r="DR381" i="16"/>
  <c r="DV381" i="16"/>
  <c r="DZ381" i="16"/>
  <c r="ED381" i="16"/>
  <c r="EH381" i="16"/>
  <c r="EL381" i="16"/>
  <c r="EP381" i="16"/>
  <c r="ET381" i="16"/>
  <c r="EX381" i="16"/>
  <c r="FB381" i="16"/>
  <c r="FF381" i="16"/>
  <c r="FJ381" i="16"/>
  <c r="FN381" i="16"/>
  <c r="FR381" i="16"/>
  <c r="FV381" i="16"/>
  <c r="FZ381" i="16"/>
  <c r="GD381" i="16"/>
  <c r="CZ384" i="16"/>
  <c r="DB384" i="16"/>
  <c r="DD384" i="16"/>
  <c r="DF384" i="16"/>
  <c r="DH384" i="16"/>
  <c r="DJ384" i="16"/>
  <c r="DL384" i="16"/>
  <c r="DN384" i="16"/>
  <c r="DP384" i="16"/>
  <c r="DR384" i="16"/>
  <c r="DT384" i="16"/>
  <c r="DV384" i="16"/>
  <c r="DX384" i="16"/>
  <c r="DZ384" i="16"/>
  <c r="EB384" i="16"/>
  <c r="ED384" i="16"/>
  <c r="EF384" i="16"/>
  <c r="EH384" i="16"/>
  <c r="EJ384" i="16"/>
  <c r="EL384" i="16"/>
  <c r="EN384" i="16"/>
  <c r="EP384" i="16"/>
  <c r="ER384" i="16"/>
  <c r="ET384" i="16"/>
  <c r="EV384" i="16"/>
  <c r="EX384" i="16"/>
  <c r="EZ384" i="16"/>
  <c r="FB384" i="16"/>
  <c r="FD384" i="16"/>
  <c r="FF384" i="16"/>
  <c r="FH384" i="16"/>
  <c r="FJ384" i="16"/>
  <c r="FL384" i="16"/>
  <c r="FN384" i="16"/>
  <c r="FP384" i="16"/>
  <c r="FR384" i="16"/>
  <c r="FT384" i="16"/>
  <c r="FV384" i="16"/>
  <c r="FX384" i="16"/>
  <c r="FZ384" i="16"/>
  <c r="GB384" i="16"/>
  <c r="GD384" i="16"/>
  <c r="DA384" i="16"/>
  <c r="DE384" i="16"/>
  <c r="DI384" i="16"/>
  <c r="DM384" i="16"/>
  <c r="DQ384" i="16"/>
  <c r="DU384" i="16"/>
  <c r="DY384" i="16"/>
  <c r="EC384" i="16"/>
  <c r="EG384" i="16"/>
  <c r="EK384" i="16"/>
  <c r="EO384" i="16"/>
  <c r="ES384" i="16"/>
  <c r="EW384" i="16"/>
  <c r="FA384" i="16"/>
  <c r="FE384" i="16"/>
  <c r="FI384" i="16"/>
  <c r="FM384" i="16"/>
  <c r="FQ384" i="16"/>
  <c r="FU384" i="16"/>
  <c r="FY384" i="16"/>
  <c r="GC384" i="16"/>
  <c r="CY384" i="16"/>
  <c r="DC384" i="16"/>
  <c r="DG384" i="16"/>
  <c r="DK384" i="16"/>
  <c r="DO384" i="16"/>
  <c r="DS384" i="16"/>
  <c r="DW384" i="16"/>
  <c r="EA384" i="16"/>
  <c r="EE384" i="16"/>
  <c r="EI384" i="16"/>
  <c r="EM384" i="16"/>
  <c r="EQ384" i="16"/>
  <c r="EU384" i="16"/>
  <c r="EY384" i="16"/>
  <c r="FC384" i="16"/>
  <c r="FG384" i="16"/>
  <c r="FK384" i="16"/>
  <c r="FO384" i="16"/>
  <c r="FS384" i="16"/>
  <c r="FW384" i="16"/>
  <c r="GA384" i="16"/>
  <c r="CY385" i="16"/>
  <c r="DA385" i="16"/>
  <c r="DC385" i="16"/>
  <c r="DE385" i="16"/>
  <c r="DG385" i="16"/>
  <c r="DI385" i="16"/>
  <c r="DK385" i="16"/>
  <c r="DM385" i="16"/>
  <c r="DO385" i="16"/>
  <c r="DQ385" i="16"/>
  <c r="DS385" i="16"/>
  <c r="DU385" i="16"/>
  <c r="DW385" i="16"/>
  <c r="DY385" i="16"/>
  <c r="EA385" i="16"/>
  <c r="EC385" i="16"/>
  <c r="EE385" i="16"/>
  <c r="EG385" i="16"/>
  <c r="EI385" i="16"/>
  <c r="EK385" i="16"/>
  <c r="EM385" i="16"/>
  <c r="EO385" i="16"/>
  <c r="EQ385" i="16"/>
  <c r="ES385" i="16"/>
  <c r="EU385" i="16"/>
  <c r="EW385" i="16"/>
  <c r="EY385" i="16"/>
  <c r="FA385" i="16"/>
  <c r="FC385" i="16"/>
  <c r="FE385" i="16"/>
  <c r="FG385" i="16"/>
  <c r="FI385" i="16"/>
  <c r="FK385" i="16"/>
  <c r="FM385" i="16"/>
  <c r="FO385" i="16"/>
  <c r="FQ385" i="16"/>
  <c r="FS385" i="16"/>
  <c r="FU385" i="16"/>
  <c r="FW385" i="16"/>
  <c r="FY385" i="16"/>
  <c r="GA385" i="16"/>
  <c r="GC385" i="16"/>
  <c r="CZ385" i="16"/>
  <c r="DD385" i="16"/>
  <c r="DH385" i="16"/>
  <c r="DL385" i="16"/>
  <c r="DP385" i="16"/>
  <c r="DT385" i="16"/>
  <c r="DX385" i="16"/>
  <c r="EB385" i="16"/>
  <c r="EF385" i="16"/>
  <c r="EJ385" i="16"/>
  <c r="EN385" i="16"/>
  <c r="ER385" i="16"/>
  <c r="EV385" i="16"/>
  <c r="EZ385" i="16"/>
  <c r="FD385" i="16"/>
  <c r="FH385" i="16"/>
  <c r="FL385" i="16"/>
  <c r="FP385" i="16"/>
  <c r="FT385" i="16"/>
  <c r="FX385" i="16"/>
  <c r="GB385" i="16"/>
  <c r="DB385" i="16"/>
  <c r="DF385" i="16"/>
  <c r="DJ385" i="16"/>
  <c r="DN385" i="16"/>
  <c r="DR385" i="16"/>
  <c r="DV385" i="16"/>
  <c r="DZ385" i="16"/>
  <c r="ED385" i="16"/>
  <c r="EH385" i="16"/>
  <c r="EL385" i="16"/>
  <c r="EP385" i="16"/>
  <c r="ET385" i="16"/>
  <c r="EX385" i="16"/>
  <c r="FB385" i="16"/>
  <c r="FF385" i="16"/>
  <c r="FJ385" i="16"/>
  <c r="FN385" i="16"/>
  <c r="FR385" i="16"/>
  <c r="FV385" i="16"/>
  <c r="FZ385" i="16"/>
  <c r="GD385" i="16"/>
  <c r="CZ386" i="16"/>
  <c r="DB386" i="16"/>
  <c r="DD386" i="16"/>
  <c r="DF386" i="16"/>
  <c r="DH386" i="16"/>
  <c r="DJ386" i="16"/>
  <c r="DL386" i="16"/>
  <c r="DN386" i="16"/>
  <c r="DP386" i="16"/>
  <c r="DR386" i="16"/>
  <c r="DT386" i="16"/>
  <c r="DV386" i="16"/>
  <c r="DX386" i="16"/>
  <c r="DZ386" i="16"/>
  <c r="EB386" i="16"/>
  <c r="ED386" i="16"/>
  <c r="EF386" i="16"/>
  <c r="EH386" i="16"/>
  <c r="EJ386" i="16"/>
  <c r="EL386" i="16"/>
  <c r="EN386" i="16"/>
  <c r="EP386" i="16"/>
  <c r="ER386" i="16"/>
  <c r="ET386" i="16"/>
  <c r="EV386" i="16"/>
  <c r="EX386" i="16"/>
  <c r="EZ386" i="16"/>
  <c r="FB386" i="16"/>
  <c r="FD386" i="16"/>
  <c r="FF386" i="16"/>
  <c r="FH386" i="16"/>
  <c r="FJ386" i="16"/>
  <c r="FL386" i="16"/>
  <c r="FN386" i="16"/>
  <c r="FP386" i="16"/>
  <c r="FR386" i="16"/>
  <c r="FT386" i="16"/>
  <c r="FV386" i="16"/>
  <c r="FX386" i="16"/>
  <c r="FZ386" i="16"/>
  <c r="GB386" i="16"/>
  <c r="GD386" i="16"/>
  <c r="DA386" i="16"/>
  <c r="DE386" i="16"/>
  <c r="DI386" i="16"/>
  <c r="DM386" i="16"/>
  <c r="DQ386" i="16"/>
  <c r="DU386" i="16"/>
  <c r="DY386" i="16"/>
  <c r="EC386" i="16"/>
  <c r="EG386" i="16"/>
  <c r="EK386" i="16"/>
  <c r="EO386" i="16"/>
  <c r="ES386" i="16"/>
  <c r="EW386" i="16"/>
  <c r="FA386" i="16"/>
  <c r="FE386" i="16"/>
  <c r="FI386" i="16"/>
  <c r="FM386" i="16"/>
  <c r="FQ386" i="16"/>
  <c r="FU386" i="16"/>
  <c r="FY386" i="16"/>
  <c r="GC386" i="16"/>
  <c r="CY386" i="16"/>
  <c r="DC386" i="16"/>
  <c r="DG386" i="16"/>
  <c r="DK386" i="16"/>
  <c r="DO386" i="16"/>
  <c r="DS386" i="16"/>
  <c r="DW386" i="16"/>
  <c r="EA386" i="16"/>
  <c r="EE386" i="16"/>
  <c r="EI386" i="16"/>
  <c r="EM386" i="16"/>
  <c r="EQ386" i="16"/>
  <c r="EU386" i="16"/>
  <c r="EY386" i="16"/>
  <c r="FC386" i="16"/>
  <c r="FG386" i="16"/>
  <c r="FK386" i="16"/>
  <c r="FO386" i="16"/>
  <c r="FS386" i="16"/>
  <c r="FW386" i="16"/>
  <c r="GA386" i="16"/>
  <c r="CZ388" i="16"/>
  <c r="DB388" i="16"/>
  <c r="DD388" i="16"/>
  <c r="DF388" i="16"/>
  <c r="DH388" i="16"/>
  <c r="DJ388" i="16"/>
  <c r="DL388" i="16"/>
  <c r="DN388" i="16"/>
  <c r="DP388" i="16"/>
  <c r="DR388" i="16"/>
  <c r="DT388" i="16"/>
  <c r="DV388" i="16"/>
  <c r="DX388" i="16"/>
  <c r="DZ388" i="16"/>
  <c r="EB388" i="16"/>
  <c r="ED388" i="16"/>
  <c r="EF388" i="16"/>
  <c r="EH388" i="16"/>
  <c r="EJ388" i="16"/>
  <c r="EL388" i="16"/>
  <c r="EN388" i="16"/>
  <c r="EP388" i="16"/>
  <c r="ER388" i="16"/>
  <c r="ET388" i="16"/>
  <c r="EV388" i="16"/>
  <c r="EX388" i="16"/>
  <c r="EZ388" i="16"/>
  <c r="FB388" i="16"/>
  <c r="FD388" i="16"/>
  <c r="FF388" i="16"/>
  <c r="FH388" i="16"/>
  <c r="FJ388" i="16"/>
  <c r="FL388" i="16"/>
  <c r="FN388" i="16"/>
  <c r="FP388" i="16"/>
  <c r="FR388" i="16"/>
  <c r="FT388" i="16"/>
  <c r="FV388" i="16"/>
  <c r="FX388" i="16"/>
  <c r="FZ388" i="16"/>
  <c r="GB388" i="16"/>
  <c r="GD388" i="16"/>
  <c r="DA388" i="16"/>
  <c r="DE388" i="16"/>
  <c r="DI388" i="16"/>
  <c r="DM388" i="16"/>
  <c r="DQ388" i="16"/>
  <c r="DU388" i="16"/>
  <c r="DY388" i="16"/>
  <c r="EC388" i="16"/>
  <c r="EG388" i="16"/>
  <c r="EK388" i="16"/>
  <c r="EO388" i="16"/>
  <c r="ES388" i="16"/>
  <c r="EW388" i="16"/>
  <c r="FA388" i="16"/>
  <c r="FE388" i="16"/>
  <c r="FI388" i="16"/>
  <c r="FM388" i="16"/>
  <c r="FQ388" i="16"/>
  <c r="FU388" i="16"/>
  <c r="FY388" i="16"/>
  <c r="GC388" i="16"/>
  <c r="CY388" i="16"/>
  <c r="DC388" i="16"/>
  <c r="DG388" i="16"/>
  <c r="DK388" i="16"/>
  <c r="DO388" i="16"/>
  <c r="DS388" i="16"/>
  <c r="DW388" i="16"/>
  <c r="EA388" i="16"/>
  <c r="EE388" i="16"/>
  <c r="EI388" i="16"/>
  <c r="EM388" i="16"/>
  <c r="EQ388" i="16"/>
  <c r="EU388" i="16"/>
  <c r="EY388" i="16"/>
  <c r="FC388" i="16"/>
  <c r="FG388" i="16"/>
  <c r="FK388" i="16"/>
  <c r="FO388" i="16"/>
  <c r="FS388" i="16"/>
  <c r="FW388" i="16"/>
  <c r="GA388" i="16"/>
  <c r="CY390" i="16"/>
  <c r="DA390" i="16"/>
  <c r="DC390" i="16"/>
  <c r="DE390" i="16"/>
  <c r="DG390" i="16"/>
  <c r="DI390" i="16"/>
  <c r="DK390" i="16"/>
  <c r="DM390" i="16"/>
  <c r="DO390" i="16"/>
  <c r="DQ390" i="16"/>
  <c r="DS390" i="16"/>
  <c r="DU390" i="16"/>
  <c r="DW390" i="16"/>
  <c r="DY390" i="16"/>
  <c r="EA390" i="16"/>
  <c r="EC390" i="16"/>
  <c r="EE390" i="16"/>
  <c r="EG390" i="16"/>
  <c r="EI390" i="16"/>
  <c r="EK390" i="16"/>
  <c r="EM390" i="16"/>
  <c r="EO390" i="16"/>
  <c r="EQ390" i="16"/>
  <c r="ES390" i="16"/>
  <c r="EU390" i="16"/>
  <c r="EW390" i="16"/>
  <c r="EY390" i="16"/>
  <c r="FA390" i="16"/>
  <c r="FC390" i="16"/>
  <c r="FE390" i="16"/>
  <c r="FG390" i="16"/>
  <c r="FI390" i="16"/>
  <c r="FK390" i="16"/>
  <c r="FM390" i="16"/>
  <c r="FO390" i="16"/>
  <c r="FQ390" i="16"/>
  <c r="FS390" i="16"/>
  <c r="FU390" i="16"/>
  <c r="FW390" i="16"/>
  <c r="FY390" i="16"/>
  <c r="GA390" i="16"/>
  <c r="GC390" i="16"/>
  <c r="CZ390" i="16"/>
  <c r="DB390" i="16"/>
  <c r="DD390" i="16"/>
  <c r="DF390" i="16"/>
  <c r="DH390" i="16"/>
  <c r="DJ390" i="16"/>
  <c r="DL390" i="16"/>
  <c r="DN390" i="16"/>
  <c r="DP390" i="16"/>
  <c r="DR390" i="16"/>
  <c r="DT390" i="16"/>
  <c r="DV390" i="16"/>
  <c r="DX390" i="16"/>
  <c r="DZ390" i="16"/>
  <c r="EB390" i="16"/>
  <c r="ED390" i="16"/>
  <c r="EF390" i="16"/>
  <c r="EH390" i="16"/>
  <c r="EJ390" i="16"/>
  <c r="EL390" i="16"/>
  <c r="EN390" i="16"/>
  <c r="EP390" i="16"/>
  <c r="ER390" i="16"/>
  <c r="ET390" i="16"/>
  <c r="EV390" i="16"/>
  <c r="EX390" i="16"/>
  <c r="EZ390" i="16"/>
  <c r="FB390" i="16"/>
  <c r="FD390" i="16"/>
  <c r="FF390" i="16"/>
  <c r="FH390" i="16"/>
  <c r="FJ390" i="16"/>
  <c r="FL390" i="16"/>
  <c r="FN390" i="16"/>
  <c r="FP390" i="16"/>
  <c r="FR390" i="16"/>
  <c r="FT390" i="16"/>
  <c r="FV390" i="16"/>
  <c r="FX390" i="16"/>
  <c r="FZ390" i="16"/>
  <c r="GB390" i="16"/>
  <c r="GD390" i="16"/>
  <c r="CY392" i="16"/>
  <c r="DA392" i="16"/>
  <c r="DC392" i="16"/>
  <c r="DE392" i="16"/>
  <c r="DG392" i="16"/>
  <c r="DI392" i="16"/>
  <c r="DK392" i="16"/>
  <c r="DM392" i="16"/>
  <c r="DO392" i="16"/>
  <c r="DQ392" i="16"/>
  <c r="DS392" i="16"/>
  <c r="DU392" i="16"/>
  <c r="DW392" i="16"/>
  <c r="DY392" i="16"/>
  <c r="EA392" i="16"/>
  <c r="EC392" i="16"/>
  <c r="EE392" i="16"/>
  <c r="EG392" i="16"/>
  <c r="EI392" i="16"/>
  <c r="EK392" i="16"/>
  <c r="EM392" i="16"/>
  <c r="EO392" i="16"/>
  <c r="EQ392" i="16"/>
  <c r="ES392" i="16"/>
  <c r="EU392" i="16"/>
  <c r="EW392" i="16"/>
  <c r="EY392" i="16"/>
  <c r="FA392" i="16"/>
  <c r="FC392" i="16"/>
  <c r="FE392" i="16"/>
  <c r="FG392" i="16"/>
  <c r="FI392" i="16"/>
  <c r="FK392" i="16"/>
  <c r="FM392" i="16"/>
  <c r="FO392" i="16"/>
  <c r="FQ392" i="16"/>
  <c r="FS392" i="16"/>
  <c r="FU392" i="16"/>
  <c r="FW392" i="16"/>
  <c r="FY392" i="16"/>
  <c r="GA392" i="16"/>
  <c r="GC392" i="16"/>
  <c r="CZ392" i="16"/>
  <c r="DB392" i="16"/>
  <c r="DD392" i="16"/>
  <c r="DF392" i="16"/>
  <c r="DH392" i="16"/>
  <c r="DJ392" i="16"/>
  <c r="DL392" i="16"/>
  <c r="DN392" i="16"/>
  <c r="DP392" i="16"/>
  <c r="DR392" i="16"/>
  <c r="DT392" i="16"/>
  <c r="DV392" i="16"/>
  <c r="DX392" i="16"/>
  <c r="DZ392" i="16"/>
  <c r="EB392" i="16"/>
  <c r="ED392" i="16"/>
  <c r="EF392" i="16"/>
  <c r="EH392" i="16"/>
  <c r="EJ392" i="16"/>
  <c r="EL392" i="16"/>
  <c r="EN392" i="16"/>
  <c r="EP392" i="16"/>
  <c r="ER392" i="16"/>
  <c r="ET392" i="16"/>
  <c r="EV392" i="16"/>
  <c r="EX392" i="16"/>
  <c r="EZ392" i="16"/>
  <c r="FB392" i="16"/>
  <c r="FD392" i="16"/>
  <c r="FF392" i="16"/>
  <c r="FH392" i="16"/>
  <c r="FJ392" i="16"/>
  <c r="FL392" i="16"/>
  <c r="FN392" i="16"/>
  <c r="FP392" i="16"/>
  <c r="FR392" i="16"/>
  <c r="FT392" i="16"/>
  <c r="FV392" i="16"/>
  <c r="FX392" i="16"/>
  <c r="FZ392" i="16"/>
  <c r="GB392" i="16"/>
  <c r="GD392" i="16"/>
  <c r="CY394" i="16"/>
  <c r="DA394" i="16"/>
  <c r="DC394" i="16"/>
  <c r="DE394" i="16"/>
  <c r="DG394" i="16"/>
  <c r="DI394" i="16"/>
  <c r="DK394" i="16"/>
  <c r="DM394" i="16"/>
  <c r="DO394" i="16"/>
  <c r="DQ394" i="16"/>
  <c r="DS394" i="16"/>
  <c r="DU394" i="16"/>
  <c r="DW394" i="16"/>
  <c r="DY394" i="16"/>
  <c r="EA394" i="16"/>
  <c r="EC394" i="16"/>
  <c r="EE394" i="16"/>
  <c r="EG394" i="16"/>
  <c r="EI394" i="16"/>
  <c r="EK394" i="16"/>
  <c r="EM394" i="16"/>
  <c r="EO394" i="16"/>
  <c r="EQ394" i="16"/>
  <c r="ES394" i="16"/>
  <c r="EU394" i="16"/>
  <c r="EW394" i="16"/>
  <c r="EY394" i="16"/>
  <c r="FA394" i="16"/>
  <c r="FC394" i="16"/>
  <c r="FE394" i="16"/>
  <c r="FG394" i="16"/>
  <c r="FI394" i="16"/>
  <c r="FK394" i="16"/>
  <c r="FM394" i="16"/>
  <c r="FO394" i="16"/>
  <c r="FQ394" i="16"/>
  <c r="FS394" i="16"/>
  <c r="FU394" i="16"/>
  <c r="FW394" i="16"/>
  <c r="FY394" i="16"/>
  <c r="GA394" i="16"/>
  <c r="GC394" i="16"/>
  <c r="CZ394" i="16"/>
  <c r="DB394" i="16"/>
  <c r="DD394" i="16"/>
  <c r="DF394" i="16"/>
  <c r="DH394" i="16"/>
  <c r="DJ394" i="16"/>
  <c r="DL394" i="16"/>
  <c r="DN394" i="16"/>
  <c r="DP394" i="16"/>
  <c r="DR394" i="16"/>
  <c r="DT394" i="16"/>
  <c r="DV394" i="16"/>
  <c r="DX394" i="16"/>
  <c r="DZ394" i="16"/>
  <c r="EB394" i="16"/>
  <c r="ED394" i="16"/>
  <c r="EF394" i="16"/>
  <c r="EH394" i="16"/>
  <c r="EJ394" i="16"/>
  <c r="EL394" i="16"/>
  <c r="EN394" i="16"/>
  <c r="EP394" i="16"/>
  <c r="ER394" i="16"/>
  <c r="ET394" i="16"/>
  <c r="EV394" i="16"/>
  <c r="EX394" i="16"/>
  <c r="EZ394" i="16"/>
  <c r="FB394" i="16"/>
  <c r="FD394" i="16"/>
  <c r="FF394" i="16"/>
  <c r="FH394" i="16"/>
  <c r="FJ394" i="16"/>
  <c r="FL394" i="16"/>
  <c r="FN394" i="16"/>
  <c r="FP394" i="16"/>
  <c r="FR394" i="16"/>
  <c r="FT394" i="16"/>
  <c r="FV394" i="16"/>
  <c r="FX394" i="16"/>
  <c r="FZ394" i="16"/>
  <c r="GB394" i="16"/>
  <c r="GD394" i="16"/>
  <c r="CY396" i="16"/>
  <c r="DA396" i="16"/>
  <c r="DC396" i="16"/>
  <c r="DE396" i="16"/>
  <c r="DG396" i="16"/>
  <c r="DI396" i="16"/>
  <c r="DK396" i="16"/>
  <c r="DM396" i="16"/>
  <c r="DO396" i="16"/>
  <c r="DQ396" i="16"/>
  <c r="DS396" i="16"/>
  <c r="DU396" i="16"/>
  <c r="DW396" i="16"/>
  <c r="DY396" i="16"/>
  <c r="EA396" i="16"/>
  <c r="EC396" i="16"/>
  <c r="EE396" i="16"/>
  <c r="EG396" i="16"/>
  <c r="EI396" i="16"/>
  <c r="EK396" i="16"/>
  <c r="EM396" i="16"/>
  <c r="EO396" i="16"/>
  <c r="EQ396" i="16"/>
  <c r="ES396" i="16"/>
  <c r="EU396" i="16"/>
  <c r="EW396" i="16"/>
  <c r="EY396" i="16"/>
  <c r="FA396" i="16"/>
  <c r="FC396" i="16"/>
  <c r="FE396" i="16"/>
  <c r="FG396" i="16"/>
  <c r="FI396" i="16"/>
  <c r="FK396" i="16"/>
  <c r="FM396" i="16"/>
  <c r="FO396" i="16"/>
  <c r="FQ396" i="16"/>
  <c r="FS396" i="16"/>
  <c r="FU396" i="16"/>
  <c r="FW396" i="16"/>
  <c r="FY396" i="16"/>
  <c r="GA396" i="16"/>
  <c r="GC396" i="16"/>
  <c r="CZ396" i="16"/>
  <c r="DB396" i="16"/>
  <c r="DD396" i="16"/>
  <c r="DF396" i="16"/>
  <c r="DH396" i="16"/>
  <c r="DJ396" i="16"/>
  <c r="DL396" i="16"/>
  <c r="DN396" i="16"/>
  <c r="DP396" i="16"/>
  <c r="DR396" i="16"/>
  <c r="DT396" i="16"/>
  <c r="DV396" i="16"/>
  <c r="DX396" i="16"/>
  <c r="DZ396" i="16"/>
  <c r="EB396" i="16"/>
  <c r="ED396" i="16"/>
  <c r="EF396" i="16"/>
  <c r="EH396" i="16"/>
  <c r="EJ396" i="16"/>
  <c r="EL396" i="16"/>
  <c r="EN396" i="16"/>
  <c r="EP396" i="16"/>
  <c r="ER396" i="16"/>
  <c r="ET396" i="16"/>
  <c r="EV396" i="16"/>
  <c r="EX396" i="16"/>
  <c r="EZ396" i="16"/>
  <c r="FB396" i="16"/>
  <c r="FD396" i="16"/>
  <c r="FF396" i="16"/>
  <c r="FH396" i="16"/>
  <c r="FJ396" i="16"/>
  <c r="FL396" i="16"/>
  <c r="FN396" i="16"/>
  <c r="FP396" i="16"/>
  <c r="FR396" i="16"/>
  <c r="FT396" i="16"/>
  <c r="FV396" i="16"/>
  <c r="FX396" i="16"/>
  <c r="FZ396" i="16"/>
  <c r="GB396" i="16"/>
  <c r="GD396" i="16"/>
  <c r="CY398" i="16"/>
  <c r="DA398" i="16"/>
  <c r="DC398" i="16"/>
  <c r="DE398" i="16"/>
  <c r="DG398" i="16"/>
  <c r="DI398" i="16"/>
  <c r="DK398" i="16"/>
  <c r="DM398" i="16"/>
  <c r="DO398" i="16"/>
  <c r="DQ398" i="16"/>
  <c r="DS398" i="16"/>
  <c r="DU398" i="16"/>
  <c r="DW398" i="16"/>
  <c r="DY398" i="16"/>
  <c r="EA398" i="16"/>
  <c r="EC398" i="16"/>
  <c r="EE398" i="16"/>
  <c r="EG398" i="16"/>
  <c r="EI398" i="16"/>
  <c r="EK398" i="16"/>
  <c r="EM398" i="16"/>
  <c r="EO398" i="16"/>
  <c r="EQ398" i="16"/>
  <c r="ES398" i="16"/>
  <c r="EU398" i="16"/>
  <c r="EW398" i="16"/>
  <c r="EY398" i="16"/>
  <c r="FA398" i="16"/>
  <c r="FC398" i="16"/>
  <c r="FE398" i="16"/>
  <c r="FG398" i="16"/>
  <c r="FI398" i="16"/>
  <c r="FK398" i="16"/>
  <c r="FM398" i="16"/>
  <c r="FO398" i="16"/>
  <c r="FQ398" i="16"/>
  <c r="FS398" i="16"/>
  <c r="FU398" i="16"/>
  <c r="FW398" i="16"/>
  <c r="FY398" i="16"/>
  <c r="GA398" i="16"/>
  <c r="GC398" i="16"/>
  <c r="CZ398" i="16"/>
  <c r="DB398" i="16"/>
  <c r="DD398" i="16"/>
  <c r="DF398" i="16"/>
  <c r="DH398" i="16"/>
  <c r="DJ398" i="16"/>
  <c r="DL398" i="16"/>
  <c r="DN398" i="16"/>
  <c r="DP398" i="16"/>
  <c r="DR398" i="16"/>
  <c r="DT398" i="16"/>
  <c r="DV398" i="16"/>
  <c r="DX398" i="16"/>
  <c r="DZ398" i="16"/>
  <c r="EB398" i="16"/>
  <c r="ED398" i="16"/>
  <c r="EF398" i="16"/>
  <c r="EH398" i="16"/>
  <c r="EJ398" i="16"/>
  <c r="EL398" i="16"/>
  <c r="EN398" i="16"/>
  <c r="EP398" i="16"/>
  <c r="ER398" i="16"/>
  <c r="ET398" i="16"/>
  <c r="EV398" i="16"/>
  <c r="EX398" i="16"/>
  <c r="EZ398" i="16"/>
  <c r="FB398" i="16"/>
  <c r="FD398" i="16"/>
  <c r="FF398" i="16"/>
  <c r="FH398" i="16"/>
  <c r="FJ398" i="16"/>
  <c r="FL398" i="16"/>
  <c r="FN398" i="16"/>
  <c r="FP398" i="16"/>
  <c r="FR398" i="16"/>
  <c r="FT398" i="16"/>
  <c r="FV398" i="16"/>
  <c r="FX398" i="16"/>
  <c r="FZ398" i="16"/>
  <c r="GB398" i="16"/>
  <c r="GD398" i="16"/>
  <c r="CZ399" i="16"/>
  <c r="DB399" i="16"/>
  <c r="DD399" i="16"/>
  <c r="DF399" i="16"/>
  <c r="DH399" i="16"/>
  <c r="DJ399" i="16"/>
  <c r="DL399" i="16"/>
  <c r="DN399" i="16"/>
  <c r="DP399" i="16"/>
  <c r="DR399" i="16"/>
  <c r="DT399" i="16"/>
  <c r="DV399" i="16"/>
  <c r="DX399" i="16"/>
  <c r="DZ399" i="16"/>
  <c r="EB399" i="16"/>
  <c r="ED399" i="16"/>
  <c r="EF399" i="16"/>
  <c r="EH399" i="16"/>
  <c r="EJ399" i="16"/>
  <c r="EL399" i="16"/>
  <c r="EN399" i="16"/>
  <c r="EP399" i="16"/>
  <c r="ER399" i="16"/>
  <c r="ET399" i="16"/>
  <c r="EV399" i="16"/>
  <c r="EX399" i="16"/>
  <c r="EZ399" i="16"/>
  <c r="FB399" i="16"/>
  <c r="FD399" i="16"/>
  <c r="FF399" i="16"/>
  <c r="FH399" i="16"/>
  <c r="FJ399" i="16"/>
  <c r="FL399" i="16"/>
  <c r="FN399" i="16"/>
  <c r="FP399" i="16"/>
  <c r="FR399" i="16"/>
  <c r="FT399" i="16"/>
  <c r="FV399" i="16"/>
  <c r="FX399" i="16"/>
  <c r="FZ399" i="16"/>
  <c r="GB399" i="16"/>
  <c r="GD399" i="16"/>
  <c r="CY399" i="16"/>
  <c r="DA399" i="16"/>
  <c r="DC399" i="16"/>
  <c r="DE399" i="16"/>
  <c r="DG399" i="16"/>
  <c r="DI399" i="16"/>
  <c r="DK399" i="16"/>
  <c r="DM399" i="16"/>
  <c r="DO399" i="16"/>
  <c r="DQ399" i="16"/>
  <c r="DS399" i="16"/>
  <c r="DU399" i="16"/>
  <c r="DW399" i="16"/>
  <c r="DY399" i="16"/>
  <c r="EA399" i="16"/>
  <c r="EC399" i="16"/>
  <c r="EE399" i="16"/>
  <c r="EG399" i="16"/>
  <c r="EI399" i="16"/>
  <c r="EK399" i="16"/>
  <c r="EM399" i="16"/>
  <c r="EO399" i="16"/>
  <c r="EQ399" i="16"/>
  <c r="ES399" i="16"/>
  <c r="EU399" i="16"/>
  <c r="EW399" i="16"/>
  <c r="EY399" i="16"/>
  <c r="FA399" i="16"/>
  <c r="FC399" i="16"/>
  <c r="FE399" i="16"/>
  <c r="FG399" i="16"/>
  <c r="FI399" i="16"/>
  <c r="FK399" i="16"/>
  <c r="FM399" i="16"/>
  <c r="FO399" i="16"/>
  <c r="FQ399" i="16"/>
  <c r="FS399" i="16"/>
  <c r="FU399" i="16"/>
  <c r="FW399" i="16"/>
  <c r="FY399" i="16"/>
  <c r="GA399" i="16"/>
  <c r="GC399" i="16"/>
  <c r="CZ401" i="16"/>
  <c r="DB401" i="16"/>
  <c r="DD401" i="16"/>
  <c r="DF401" i="16"/>
  <c r="DH401" i="16"/>
  <c r="DJ401" i="16"/>
  <c r="DL401" i="16"/>
  <c r="DN401" i="16"/>
  <c r="DP401" i="16"/>
  <c r="DR401" i="16"/>
  <c r="DT401" i="16"/>
  <c r="DV401" i="16"/>
  <c r="DX401" i="16"/>
  <c r="DZ401" i="16"/>
  <c r="EB401" i="16"/>
  <c r="ED401" i="16"/>
  <c r="EF401" i="16"/>
  <c r="EH401" i="16"/>
  <c r="EJ401" i="16"/>
  <c r="EL401" i="16"/>
  <c r="EN401" i="16"/>
  <c r="EP401" i="16"/>
  <c r="ER401" i="16"/>
  <c r="ET401" i="16"/>
  <c r="EV401" i="16"/>
  <c r="EX401" i="16"/>
  <c r="EZ401" i="16"/>
  <c r="FB401" i="16"/>
  <c r="FD401" i="16"/>
  <c r="FF401" i="16"/>
  <c r="FH401" i="16"/>
  <c r="FJ401" i="16"/>
  <c r="FL401" i="16"/>
  <c r="FN401" i="16"/>
  <c r="FP401" i="16"/>
  <c r="FR401" i="16"/>
  <c r="FT401" i="16"/>
  <c r="FV401" i="16"/>
  <c r="FX401" i="16"/>
  <c r="FZ401" i="16"/>
  <c r="GB401" i="16"/>
  <c r="GD401" i="16"/>
  <c r="CY401" i="16"/>
  <c r="DA401" i="16"/>
  <c r="DC401" i="16"/>
  <c r="DE401" i="16"/>
  <c r="DG401" i="16"/>
  <c r="DI401" i="16"/>
  <c r="DK401" i="16"/>
  <c r="DM401" i="16"/>
  <c r="DO401" i="16"/>
  <c r="DQ401" i="16"/>
  <c r="DS401" i="16"/>
  <c r="DU401" i="16"/>
  <c r="DW401" i="16"/>
  <c r="DY401" i="16"/>
  <c r="EA401" i="16"/>
  <c r="EC401" i="16"/>
  <c r="EE401" i="16"/>
  <c r="EG401" i="16"/>
  <c r="EI401" i="16"/>
  <c r="EK401" i="16"/>
  <c r="EM401" i="16"/>
  <c r="EO401" i="16"/>
  <c r="EQ401" i="16"/>
  <c r="ES401" i="16"/>
  <c r="EU401" i="16"/>
  <c r="EW401" i="16"/>
  <c r="EY401" i="16"/>
  <c r="FA401" i="16"/>
  <c r="FC401" i="16"/>
  <c r="FE401" i="16"/>
  <c r="FG401" i="16"/>
  <c r="FI401" i="16"/>
  <c r="FK401" i="16"/>
  <c r="FM401" i="16"/>
  <c r="FO401" i="16"/>
  <c r="FQ401" i="16"/>
  <c r="FS401" i="16"/>
  <c r="FU401" i="16"/>
  <c r="FW401" i="16"/>
  <c r="FY401" i="16"/>
  <c r="GA401" i="16"/>
  <c r="GC401" i="16"/>
  <c r="CZ403" i="16"/>
  <c r="DB403" i="16"/>
  <c r="DD403" i="16"/>
  <c r="DF403" i="16"/>
  <c r="DH403" i="16"/>
  <c r="DJ403" i="16"/>
  <c r="DL403" i="16"/>
  <c r="DN403" i="16"/>
  <c r="DP403" i="16"/>
  <c r="DR403" i="16"/>
  <c r="DT403" i="16"/>
  <c r="DV403" i="16"/>
  <c r="DX403" i="16"/>
  <c r="DZ403" i="16"/>
  <c r="EB403" i="16"/>
  <c r="ED403" i="16"/>
  <c r="EF403" i="16"/>
  <c r="EH403" i="16"/>
  <c r="EJ403" i="16"/>
  <c r="EL403" i="16"/>
  <c r="EN403" i="16"/>
  <c r="EP403" i="16"/>
  <c r="ER403" i="16"/>
  <c r="ET403" i="16"/>
  <c r="EV403" i="16"/>
  <c r="EX403" i="16"/>
  <c r="EZ403" i="16"/>
  <c r="FB403" i="16"/>
  <c r="FD403" i="16"/>
  <c r="FF403" i="16"/>
  <c r="FH403" i="16"/>
  <c r="FJ403" i="16"/>
  <c r="FL403" i="16"/>
  <c r="FN403" i="16"/>
  <c r="FP403" i="16"/>
  <c r="FR403" i="16"/>
  <c r="FT403" i="16"/>
  <c r="FV403" i="16"/>
  <c r="FX403" i="16"/>
  <c r="FZ403" i="16"/>
  <c r="GB403" i="16"/>
  <c r="GD403" i="16"/>
  <c r="CY403" i="16"/>
  <c r="DA403" i="16"/>
  <c r="DC403" i="16"/>
  <c r="DE403" i="16"/>
  <c r="DG403" i="16"/>
  <c r="DI403" i="16"/>
  <c r="DK403" i="16"/>
  <c r="DM403" i="16"/>
  <c r="DO403" i="16"/>
  <c r="DQ403" i="16"/>
  <c r="DS403" i="16"/>
  <c r="DU403" i="16"/>
  <c r="DW403" i="16"/>
  <c r="DY403" i="16"/>
  <c r="EA403" i="16"/>
  <c r="EC403" i="16"/>
  <c r="EE403" i="16"/>
  <c r="EG403" i="16"/>
  <c r="EI403" i="16"/>
  <c r="EK403" i="16"/>
  <c r="EM403" i="16"/>
  <c r="EO403" i="16"/>
  <c r="EQ403" i="16"/>
  <c r="ES403" i="16"/>
  <c r="EU403" i="16"/>
  <c r="EW403" i="16"/>
  <c r="EY403" i="16"/>
  <c r="FA403" i="16"/>
  <c r="FC403" i="16"/>
  <c r="FE403" i="16"/>
  <c r="FG403" i="16"/>
  <c r="FI403" i="16"/>
  <c r="FK403" i="16"/>
  <c r="FM403" i="16"/>
  <c r="FO403" i="16"/>
  <c r="FQ403" i="16"/>
  <c r="FS403" i="16"/>
  <c r="FU403" i="16"/>
  <c r="FW403" i="16"/>
  <c r="FY403" i="16"/>
  <c r="GA403" i="16"/>
  <c r="GC403" i="16"/>
  <c r="CZ405" i="16"/>
  <c r="DB405" i="16"/>
  <c r="DD405" i="16"/>
  <c r="DF405" i="16"/>
  <c r="DH405" i="16"/>
  <c r="DJ405" i="16"/>
  <c r="DL405" i="16"/>
  <c r="DN405" i="16"/>
  <c r="DP405" i="16"/>
  <c r="DR405" i="16"/>
  <c r="DT405" i="16"/>
  <c r="DV405" i="16"/>
  <c r="DX405" i="16"/>
  <c r="DZ405" i="16"/>
  <c r="EB405" i="16"/>
  <c r="ED405" i="16"/>
  <c r="EF405" i="16"/>
  <c r="EH405" i="16"/>
  <c r="EJ405" i="16"/>
  <c r="EL405" i="16"/>
  <c r="EN405" i="16"/>
  <c r="EP405" i="16"/>
  <c r="ER405" i="16"/>
  <c r="ET405" i="16"/>
  <c r="EV405" i="16"/>
  <c r="EX405" i="16"/>
  <c r="EZ405" i="16"/>
  <c r="FB405" i="16"/>
  <c r="FD405" i="16"/>
  <c r="FF405" i="16"/>
  <c r="FH405" i="16"/>
  <c r="FJ405" i="16"/>
  <c r="FL405" i="16"/>
  <c r="FN405" i="16"/>
  <c r="FP405" i="16"/>
  <c r="FR405" i="16"/>
  <c r="FT405" i="16"/>
  <c r="FV405" i="16"/>
  <c r="FX405" i="16"/>
  <c r="FZ405" i="16"/>
  <c r="GB405" i="16"/>
  <c r="GD405" i="16"/>
  <c r="CY405" i="16"/>
  <c r="DA405" i="16"/>
  <c r="DC405" i="16"/>
  <c r="DE405" i="16"/>
  <c r="DG405" i="16"/>
  <c r="DI405" i="16"/>
  <c r="DK405" i="16"/>
  <c r="DM405" i="16"/>
  <c r="DO405" i="16"/>
  <c r="DQ405" i="16"/>
  <c r="DS405" i="16"/>
  <c r="DU405" i="16"/>
  <c r="DW405" i="16"/>
  <c r="DY405" i="16"/>
  <c r="EA405" i="16"/>
  <c r="EC405" i="16"/>
  <c r="EE405" i="16"/>
  <c r="EG405" i="16"/>
  <c r="EI405" i="16"/>
  <c r="EK405" i="16"/>
  <c r="EM405" i="16"/>
  <c r="EO405" i="16"/>
  <c r="EQ405" i="16"/>
  <c r="ES405" i="16"/>
  <c r="EU405" i="16"/>
  <c r="EW405" i="16"/>
  <c r="EY405" i="16"/>
  <c r="FA405" i="16"/>
  <c r="FC405" i="16"/>
  <c r="FE405" i="16"/>
  <c r="FG405" i="16"/>
  <c r="FI405" i="16"/>
  <c r="FK405" i="16"/>
  <c r="FM405" i="16"/>
  <c r="FO405" i="16"/>
  <c r="FQ405" i="16"/>
  <c r="FS405" i="16"/>
  <c r="FU405" i="16"/>
  <c r="FW405" i="16"/>
  <c r="FY405" i="16"/>
  <c r="GA405" i="16"/>
  <c r="GC405" i="16"/>
  <c r="CZ407" i="16"/>
  <c r="DB407" i="16"/>
  <c r="DD407" i="16"/>
  <c r="DF407" i="16"/>
  <c r="DH407" i="16"/>
  <c r="DJ407" i="16"/>
  <c r="DL407" i="16"/>
  <c r="DN407" i="16"/>
  <c r="DP407" i="16"/>
  <c r="DR407" i="16"/>
  <c r="DT407" i="16"/>
  <c r="DV407" i="16"/>
  <c r="DX407" i="16"/>
  <c r="DZ407" i="16"/>
  <c r="EB407" i="16"/>
  <c r="ED407" i="16"/>
  <c r="EF407" i="16"/>
  <c r="EH407" i="16"/>
  <c r="EJ407" i="16"/>
  <c r="EL407" i="16"/>
  <c r="EN407" i="16"/>
  <c r="EP407" i="16"/>
  <c r="ER407" i="16"/>
  <c r="ET407" i="16"/>
  <c r="EV407" i="16"/>
  <c r="EX407" i="16"/>
  <c r="EZ407" i="16"/>
  <c r="FB407" i="16"/>
  <c r="FD407" i="16"/>
  <c r="FF407" i="16"/>
  <c r="FH407" i="16"/>
  <c r="FJ407" i="16"/>
  <c r="FL407" i="16"/>
  <c r="FN407" i="16"/>
  <c r="FP407" i="16"/>
  <c r="FR407" i="16"/>
  <c r="FT407" i="16"/>
  <c r="FV407" i="16"/>
  <c r="FX407" i="16"/>
  <c r="FZ407" i="16"/>
  <c r="GB407" i="16"/>
  <c r="GD407" i="16"/>
  <c r="CY407" i="16"/>
  <c r="DA407" i="16"/>
  <c r="DC407" i="16"/>
  <c r="DE407" i="16"/>
  <c r="DG407" i="16"/>
  <c r="DI407" i="16"/>
  <c r="DK407" i="16"/>
  <c r="DM407" i="16"/>
  <c r="DO407" i="16"/>
  <c r="DQ407" i="16"/>
  <c r="DS407" i="16"/>
  <c r="DU407" i="16"/>
  <c r="DW407" i="16"/>
  <c r="DY407" i="16"/>
  <c r="EA407" i="16"/>
  <c r="EC407" i="16"/>
  <c r="EE407" i="16"/>
  <c r="EG407" i="16"/>
  <c r="EI407" i="16"/>
  <c r="EK407" i="16"/>
  <c r="EM407" i="16"/>
  <c r="EO407" i="16"/>
  <c r="EQ407" i="16"/>
  <c r="ES407" i="16"/>
  <c r="EU407" i="16"/>
  <c r="EW407" i="16"/>
  <c r="EY407" i="16"/>
  <c r="FA407" i="16"/>
  <c r="FC407" i="16"/>
  <c r="FE407" i="16"/>
  <c r="FG407" i="16"/>
  <c r="FI407" i="16"/>
  <c r="FK407" i="16"/>
  <c r="FM407" i="16"/>
  <c r="FO407" i="16"/>
  <c r="FQ407" i="16"/>
  <c r="FS407" i="16"/>
  <c r="FU407" i="16"/>
  <c r="FW407" i="16"/>
  <c r="FY407" i="16"/>
  <c r="GA407" i="16"/>
  <c r="GC407" i="16"/>
  <c r="CY410" i="16"/>
  <c r="DA410" i="16"/>
  <c r="DC410" i="16"/>
  <c r="DE410" i="16"/>
  <c r="DG410" i="16"/>
  <c r="DI410" i="16"/>
  <c r="DK410" i="16"/>
  <c r="DM410" i="16"/>
  <c r="DO410" i="16"/>
  <c r="DQ410" i="16"/>
  <c r="DS410" i="16"/>
  <c r="DU410" i="16"/>
  <c r="DW410" i="16"/>
  <c r="DY410" i="16"/>
  <c r="EA410" i="16"/>
  <c r="EC410" i="16"/>
  <c r="EE410" i="16"/>
  <c r="EG410" i="16"/>
  <c r="EI410" i="16"/>
  <c r="EK410" i="16"/>
  <c r="EM410" i="16"/>
  <c r="EO410" i="16"/>
  <c r="EQ410" i="16"/>
  <c r="ES410" i="16"/>
  <c r="EU410" i="16"/>
  <c r="EW410" i="16"/>
  <c r="EY410" i="16"/>
  <c r="FA410" i="16"/>
  <c r="FC410" i="16"/>
  <c r="FE410" i="16"/>
  <c r="FG410" i="16"/>
  <c r="FI410" i="16"/>
  <c r="FK410" i="16"/>
  <c r="FM410" i="16"/>
  <c r="FO410" i="16"/>
  <c r="FQ410" i="16"/>
  <c r="FS410" i="16"/>
  <c r="FU410" i="16"/>
  <c r="FW410" i="16"/>
  <c r="FY410" i="16"/>
  <c r="GA410" i="16"/>
  <c r="GC410" i="16"/>
  <c r="CZ410" i="16"/>
  <c r="DB410" i="16"/>
  <c r="DD410" i="16"/>
  <c r="DF410" i="16"/>
  <c r="DH410" i="16"/>
  <c r="DJ410" i="16"/>
  <c r="DL410" i="16"/>
  <c r="DN410" i="16"/>
  <c r="DP410" i="16"/>
  <c r="DR410" i="16"/>
  <c r="DT410" i="16"/>
  <c r="DV410" i="16"/>
  <c r="DX410" i="16"/>
  <c r="DZ410" i="16"/>
  <c r="EB410" i="16"/>
  <c r="ED410" i="16"/>
  <c r="EF410" i="16"/>
  <c r="EH410" i="16"/>
  <c r="EJ410" i="16"/>
  <c r="EL410" i="16"/>
  <c r="EN410" i="16"/>
  <c r="EP410" i="16"/>
  <c r="ER410" i="16"/>
  <c r="ET410" i="16"/>
  <c r="EV410" i="16"/>
  <c r="EX410" i="16"/>
  <c r="EZ410" i="16"/>
  <c r="FB410" i="16"/>
  <c r="FD410" i="16"/>
  <c r="FF410" i="16"/>
  <c r="FH410" i="16"/>
  <c r="FJ410" i="16"/>
  <c r="FL410" i="16"/>
  <c r="FN410" i="16"/>
  <c r="FP410" i="16"/>
  <c r="FR410" i="16"/>
  <c r="FT410" i="16"/>
  <c r="FV410" i="16"/>
  <c r="FX410" i="16"/>
  <c r="FZ410" i="16"/>
  <c r="GB410" i="16"/>
  <c r="GD410" i="16"/>
  <c r="CZ411" i="16"/>
  <c r="DB411" i="16"/>
  <c r="DD411" i="16"/>
  <c r="DF411" i="16"/>
  <c r="DH411" i="16"/>
  <c r="DJ411" i="16"/>
  <c r="DL411" i="16"/>
  <c r="DN411" i="16"/>
  <c r="DP411" i="16"/>
  <c r="DR411" i="16"/>
  <c r="DT411" i="16"/>
  <c r="DV411" i="16"/>
  <c r="DX411" i="16"/>
  <c r="DZ411" i="16"/>
  <c r="EB411" i="16"/>
  <c r="ED411" i="16"/>
  <c r="EF411" i="16"/>
  <c r="EH411" i="16"/>
  <c r="EJ411" i="16"/>
  <c r="EL411" i="16"/>
  <c r="EN411" i="16"/>
  <c r="EP411" i="16"/>
  <c r="ER411" i="16"/>
  <c r="ET411" i="16"/>
  <c r="EV411" i="16"/>
  <c r="EX411" i="16"/>
  <c r="EZ411" i="16"/>
  <c r="FB411" i="16"/>
  <c r="FD411" i="16"/>
  <c r="FF411" i="16"/>
  <c r="FH411" i="16"/>
  <c r="FJ411" i="16"/>
  <c r="FL411" i="16"/>
  <c r="FN411" i="16"/>
  <c r="FP411" i="16"/>
  <c r="FR411" i="16"/>
  <c r="FT411" i="16"/>
  <c r="FV411" i="16"/>
  <c r="FX411" i="16"/>
  <c r="FZ411" i="16"/>
  <c r="GB411" i="16"/>
  <c r="GD411" i="16"/>
  <c r="CY411" i="16"/>
  <c r="DA411" i="16"/>
  <c r="DC411" i="16"/>
  <c r="DE411" i="16"/>
  <c r="DG411" i="16"/>
  <c r="DI411" i="16"/>
  <c r="DK411" i="16"/>
  <c r="DM411" i="16"/>
  <c r="DO411" i="16"/>
  <c r="DQ411" i="16"/>
  <c r="DS411" i="16"/>
  <c r="DU411" i="16"/>
  <c r="DW411" i="16"/>
  <c r="DY411" i="16"/>
  <c r="EA411" i="16"/>
  <c r="EC411" i="16"/>
  <c r="EE411" i="16"/>
  <c r="EG411" i="16"/>
  <c r="EI411" i="16"/>
  <c r="EK411" i="16"/>
  <c r="EM411" i="16"/>
  <c r="EO411" i="16"/>
  <c r="EQ411" i="16"/>
  <c r="ES411" i="16"/>
  <c r="EU411" i="16"/>
  <c r="EW411" i="16"/>
  <c r="EY411" i="16"/>
  <c r="FA411" i="16"/>
  <c r="FC411" i="16"/>
  <c r="FE411" i="16"/>
  <c r="FG411" i="16"/>
  <c r="FI411" i="16"/>
  <c r="FK411" i="16"/>
  <c r="FM411" i="16"/>
  <c r="FO411" i="16"/>
  <c r="FQ411" i="16"/>
  <c r="FS411" i="16"/>
  <c r="FU411" i="16"/>
  <c r="FW411" i="16"/>
  <c r="FY411" i="16"/>
  <c r="GA411" i="16"/>
  <c r="GC411" i="16"/>
  <c r="CZ413" i="16"/>
  <c r="DB413" i="16"/>
  <c r="DD413" i="16"/>
  <c r="DF413" i="16"/>
  <c r="DH413" i="16"/>
  <c r="DJ413" i="16"/>
  <c r="DL413" i="16"/>
  <c r="DN413" i="16"/>
  <c r="DP413" i="16"/>
  <c r="DR413" i="16"/>
  <c r="DT413" i="16"/>
  <c r="DV413" i="16"/>
  <c r="DX413" i="16"/>
  <c r="DZ413" i="16"/>
  <c r="EB413" i="16"/>
  <c r="ED413" i="16"/>
  <c r="EF413" i="16"/>
  <c r="EH413" i="16"/>
  <c r="EJ413" i="16"/>
  <c r="EL413" i="16"/>
  <c r="EN413" i="16"/>
  <c r="EP413" i="16"/>
  <c r="ER413" i="16"/>
  <c r="ET413" i="16"/>
  <c r="EV413" i="16"/>
  <c r="EX413" i="16"/>
  <c r="EZ413" i="16"/>
  <c r="FB413" i="16"/>
  <c r="FD413" i="16"/>
  <c r="FF413" i="16"/>
  <c r="FH413" i="16"/>
  <c r="FJ413" i="16"/>
  <c r="FL413" i="16"/>
  <c r="FN413" i="16"/>
  <c r="FP413" i="16"/>
  <c r="FR413" i="16"/>
  <c r="FT413" i="16"/>
  <c r="FV413" i="16"/>
  <c r="FX413" i="16"/>
  <c r="FZ413" i="16"/>
  <c r="GB413" i="16"/>
  <c r="GD413" i="16"/>
  <c r="CY413" i="16"/>
  <c r="DA413" i="16"/>
  <c r="DC413" i="16"/>
  <c r="DE413" i="16"/>
  <c r="DG413" i="16"/>
  <c r="DI413" i="16"/>
  <c r="DK413" i="16"/>
  <c r="DM413" i="16"/>
  <c r="DO413" i="16"/>
  <c r="DQ413" i="16"/>
  <c r="DS413" i="16"/>
  <c r="DU413" i="16"/>
  <c r="DW413" i="16"/>
  <c r="DY413" i="16"/>
  <c r="EA413" i="16"/>
  <c r="EC413" i="16"/>
  <c r="EE413" i="16"/>
  <c r="EG413" i="16"/>
  <c r="EI413" i="16"/>
  <c r="EK413" i="16"/>
  <c r="EM413" i="16"/>
  <c r="EO413" i="16"/>
  <c r="EQ413" i="16"/>
  <c r="ES413" i="16"/>
  <c r="EU413" i="16"/>
  <c r="EW413" i="16"/>
  <c r="EY413" i="16"/>
  <c r="FA413" i="16"/>
  <c r="FC413" i="16"/>
  <c r="FE413" i="16"/>
  <c r="FG413" i="16"/>
  <c r="FI413" i="16"/>
  <c r="FK413" i="16"/>
  <c r="FM413" i="16"/>
  <c r="FO413" i="16"/>
  <c r="FQ413" i="16"/>
  <c r="FS413" i="16"/>
  <c r="FU413" i="16"/>
  <c r="FW413" i="16"/>
  <c r="FY413" i="16"/>
  <c r="GA413" i="16"/>
  <c r="GC413" i="16"/>
  <c r="CZ415" i="16"/>
  <c r="DB415" i="16"/>
  <c r="DD415" i="16"/>
  <c r="DF415" i="16"/>
  <c r="DH415" i="16"/>
  <c r="DJ415" i="16"/>
  <c r="DL415" i="16"/>
  <c r="DN415" i="16"/>
  <c r="DP415" i="16"/>
  <c r="DR415" i="16"/>
  <c r="DT415" i="16"/>
  <c r="DV415" i="16"/>
  <c r="DX415" i="16"/>
  <c r="DZ415" i="16"/>
  <c r="EB415" i="16"/>
  <c r="ED415" i="16"/>
  <c r="EF415" i="16"/>
  <c r="EH415" i="16"/>
  <c r="EJ415" i="16"/>
  <c r="EL415" i="16"/>
  <c r="EN415" i="16"/>
  <c r="EP415" i="16"/>
  <c r="ER415" i="16"/>
  <c r="ET415" i="16"/>
  <c r="EV415" i="16"/>
  <c r="EX415" i="16"/>
  <c r="EZ415" i="16"/>
  <c r="FB415" i="16"/>
  <c r="FD415" i="16"/>
  <c r="FF415" i="16"/>
  <c r="FH415" i="16"/>
  <c r="FJ415" i="16"/>
  <c r="FL415" i="16"/>
  <c r="FN415" i="16"/>
  <c r="FP415" i="16"/>
  <c r="FR415" i="16"/>
  <c r="FT415" i="16"/>
  <c r="FV415" i="16"/>
  <c r="FX415" i="16"/>
  <c r="FZ415" i="16"/>
  <c r="GB415" i="16"/>
  <c r="GD415" i="16"/>
  <c r="CY415" i="16"/>
  <c r="DA415" i="16"/>
  <c r="DC415" i="16"/>
  <c r="DE415" i="16"/>
  <c r="DG415" i="16"/>
  <c r="DI415" i="16"/>
  <c r="DK415" i="16"/>
  <c r="DM415" i="16"/>
  <c r="DO415" i="16"/>
  <c r="DQ415" i="16"/>
  <c r="DS415" i="16"/>
  <c r="DU415" i="16"/>
  <c r="DW415" i="16"/>
  <c r="DY415" i="16"/>
  <c r="EA415" i="16"/>
  <c r="EC415" i="16"/>
  <c r="EE415" i="16"/>
  <c r="EG415" i="16"/>
  <c r="EI415" i="16"/>
  <c r="EK415" i="16"/>
  <c r="EM415" i="16"/>
  <c r="EO415" i="16"/>
  <c r="EQ415" i="16"/>
  <c r="ES415" i="16"/>
  <c r="EU415" i="16"/>
  <c r="EW415" i="16"/>
  <c r="EY415" i="16"/>
  <c r="FA415" i="16"/>
  <c r="FC415" i="16"/>
  <c r="FE415" i="16"/>
  <c r="FG415" i="16"/>
  <c r="FI415" i="16"/>
  <c r="FK415" i="16"/>
  <c r="FM415" i="16"/>
  <c r="FO415" i="16"/>
  <c r="FQ415" i="16"/>
  <c r="FS415" i="16"/>
  <c r="FU415" i="16"/>
  <c r="FW415" i="16"/>
  <c r="FY415" i="16"/>
  <c r="GA415" i="16"/>
  <c r="GC415" i="16"/>
  <c r="CZ417" i="16"/>
  <c r="DB417" i="16"/>
  <c r="DD417" i="16"/>
  <c r="DF417" i="16"/>
  <c r="DH417" i="16"/>
  <c r="DJ417" i="16"/>
  <c r="DL417" i="16"/>
  <c r="DN417" i="16"/>
  <c r="DP417" i="16"/>
  <c r="DR417" i="16"/>
  <c r="DT417" i="16"/>
  <c r="DV417" i="16"/>
  <c r="DX417" i="16"/>
  <c r="DZ417" i="16"/>
  <c r="EB417" i="16"/>
  <c r="ED417" i="16"/>
  <c r="EF417" i="16"/>
  <c r="EH417" i="16"/>
  <c r="EJ417" i="16"/>
  <c r="EL417" i="16"/>
  <c r="EN417" i="16"/>
  <c r="EP417" i="16"/>
  <c r="ER417" i="16"/>
  <c r="ET417" i="16"/>
  <c r="EV417" i="16"/>
  <c r="EX417" i="16"/>
  <c r="EZ417" i="16"/>
  <c r="FB417" i="16"/>
  <c r="FD417" i="16"/>
  <c r="FF417" i="16"/>
  <c r="FH417" i="16"/>
  <c r="FJ417" i="16"/>
  <c r="FL417" i="16"/>
  <c r="FN417" i="16"/>
  <c r="FP417" i="16"/>
  <c r="FR417" i="16"/>
  <c r="FT417" i="16"/>
  <c r="FV417" i="16"/>
  <c r="FX417" i="16"/>
  <c r="FZ417" i="16"/>
  <c r="GB417" i="16"/>
  <c r="GD417" i="16"/>
  <c r="CY417" i="16"/>
  <c r="DA417" i="16"/>
  <c r="DC417" i="16"/>
  <c r="DE417" i="16"/>
  <c r="DG417" i="16"/>
  <c r="DI417" i="16"/>
  <c r="DK417" i="16"/>
  <c r="DM417" i="16"/>
  <c r="DO417" i="16"/>
  <c r="DQ417" i="16"/>
  <c r="DS417" i="16"/>
  <c r="DU417" i="16"/>
  <c r="DW417" i="16"/>
  <c r="DY417" i="16"/>
  <c r="EA417" i="16"/>
  <c r="EC417" i="16"/>
  <c r="EE417" i="16"/>
  <c r="EG417" i="16"/>
  <c r="EI417" i="16"/>
  <c r="EK417" i="16"/>
  <c r="EM417" i="16"/>
  <c r="EO417" i="16"/>
  <c r="EQ417" i="16"/>
  <c r="ES417" i="16"/>
  <c r="EU417" i="16"/>
  <c r="EW417" i="16"/>
  <c r="EY417" i="16"/>
  <c r="FA417" i="16"/>
  <c r="FC417" i="16"/>
  <c r="FE417" i="16"/>
  <c r="FG417" i="16"/>
  <c r="FI417" i="16"/>
  <c r="FK417" i="16"/>
  <c r="FM417" i="16"/>
  <c r="FO417" i="16"/>
  <c r="FQ417" i="16"/>
  <c r="FS417" i="16"/>
  <c r="FU417" i="16"/>
  <c r="FW417" i="16"/>
  <c r="FY417" i="16"/>
  <c r="GA417" i="16"/>
  <c r="GC417" i="16"/>
  <c r="CZ419" i="16"/>
  <c r="DB419" i="16"/>
  <c r="DD419" i="16"/>
  <c r="DF419" i="16"/>
  <c r="DH419" i="16"/>
  <c r="DJ419" i="16"/>
  <c r="DL419" i="16"/>
  <c r="DN419" i="16"/>
  <c r="DP419" i="16"/>
  <c r="DR419" i="16"/>
  <c r="DT419" i="16"/>
  <c r="DV419" i="16"/>
  <c r="DX419" i="16"/>
  <c r="DZ419" i="16"/>
  <c r="EB419" i="16"/>
  <c r="ED419" i="16"/>
  <c r="EF419" i="16"/>
  <c r="EH419" i="16"/>
  <c r="EJ419" i="16"/>
  <c r="EL419" i="16"/>
  <c r="EN419" i="16"/>
  <c r="EP419" i="16"/>
  <c r="ER419" i="16"/>
  <c r="ET419" i="16"/>
  <c r="EV419" i="16"/>
  <c r="EX419" i="16"/>
  <c r="EZ419" i="16"/>
  <c r="FB419" i="16"/>
  <c r="FD419" i="16"/>
  <c r="FF419" i="16"/>
  <c r="FH419" i="16"/>
  <c r="FJ419" i="16"/>
  <c r="FL419" i="16"/>
  <c r="FN419" i="16"/>
  <c r="FP419" i="16"/>
  <c r="FR419" i="16"/>
  <c r="FT419" i="16"/>
  <c r="FV419" i="16"/>
  <c r="FX419" i="16"/>
  <c r="FZ419" i="16"/>
  <c r="GB419" i="16"/>
  <c r="GD419" i="16"/>
  <c r="CY419" i="16"/>
  <c r="DA419" i="16"/>
  <c r="DC419" i="16"/>
  <c r="DE419" i="16"/>
  <c r="DG419" i="16"/>
  <c r="DI419" i="16"/>
  <c r="DK419" i="16"/>
  <c r="DM419" i="16"/>
  <c r="DO419" i="16"/>
  <c r="DQ419" i="16"/>
  <c r="DS419" i="16"/>
  <c r="DU419" i="16"/>
  <c r="DW419" i="16"/>
  <c r="DY419" i="16"/>
  <c r="EA419" i="16"/>
  <c r="EC419" i="16"/>
  <c r="EE419" i="16"/>
  <c r="EG419" i="16"/>
  <c r="EI419" i="16"/>
  <c r="EK419" i="16"/>
  <c r="EM419" i="16"/>
  <c r="EO419" i="16"/>
  <c r="EQ419" i="16"/>
  <c r="ES419" i="16"/>
  <c r="EU419" i="16"/>
  <c r="EW419" i="16"/>
  <c r="EY419" i="16"/>
  <c r="FA419" i="16"/>
  <c r="FC419" i="16"/>
  <c r="FE419" i="16"/>
  <c r="FG419" i="16"/>
  <c r="FI419" i="16"/>
  <c r="FK419" i="16"/>
  <c r="FM419" i="16"/>
  <c r="FO419" i="16"/>
  <c r="FQ419" i="16"/>
  <c r="FS419" i="16"/>
  <c r="FU419" i="16"/>
  <c r="FW419" i="16"/>
  <c r="FY419" i="16"/>
  <c r="GA419" i="16"/>
  <c r="GC419" i="16"/>
  <c r="CZ421" i="16"/>
  <c r="DB421" i="16"/>
  <c r="DD421" i="16"/>
  <c r="DF421" i="16"/>
  <c r="DH421" i="16"/>
  <c r="DJ421" i="16"/>
  <c r="DL421" i="16"/>
  <c r="DN421" i="16"/>
  <c r="DP421" i="16"/>
  <c r="DR421" i="16"/>
  <c r="DT421" i="16"/>
  <c r="DV421" i="16"/>
  <c r="DX421" i="16"/>
  <c r="DZ421" i="16"/>
  <c r="EB421" i="16"/>
  <c r="ED421" i="16"/>
  <c r="EF421" i="16"/>
  <c r="EH421" i="16"/>
  <c r="EJ421" i="16"/>
  <c r="EL421" i="16"/>
  <c r="EN421" i="16"/>
  <c r="EP421" i="16"/>
  <c r="ER421" i="16"/>
  <c r="ET421" i="16"/>
  <c r="EV421" i="16"/>
  <c r="EX421" i="16"/>
  <c r="EZ421" i="16"/>
  <c r="FB421" i="16"/>
  <c r="FD421" i="16"/>
  <c r="FF421" i="16"/>
  <c r="FH421" i="16"/>
  <c r="FJ421" i="16"/>
  <c r="FL421" i="16"/>
  <c r="FN421" i="16"/>
  <c r="FP421" i="16"/>
  <c r="FR421" i="16"/>
  <c r="FT421" i="16"/>
  <c r="FV421" i="16"/>
  <c r="FX421" i="16"/>
  <c r="FZ421" i="16"/>
  <c r="GB421" i="16"/>
  <c r="GD421" i="16"/>
  <c r="CY421" i="16"/>
  <c r="DA421" i="16"/>
  <c r="DC421" i="16"/>
  <c r="DE421" i="16"/>
  <c r="DG421" i="16"/>
  <c r="DI421" i="16"/>
  <c r="DK421" i="16"/>
  <c r="DM421" i="16"/>
  <c r="DO421" i="16"/>
  <c r="DQ421" i="16"/>
  <c r="DS421" i="16"/>
  <c r="DU421" i="16"/>
  <c r="DW421" i="16"/>
  <c r="DY421" i="16"/>
  <c r="EA421" i="16"/>
  <c r="EC421" i="16"/>
  <c r="EE421" i="16"/>
  <c r="EG421" i="16"/>
  <c r="EI421" i="16"/>
  <c r="EK421" i="16"/>
  <c r="EM421" i="16"/>
  <c r="EO421" i="16"/>
  <c r="EQ421" i="16"/>
  <c r="ES421" i="16"/>
  <c r="EU421" i="16"/>
  <c r="EW421" i="16"/>
  <c r="EY421" i="16"/>
  <c r="FA421" i="16"/>
  <c r="FC421" i="16"/>
  <c r="FE421" i="16"/>
  <c r="FG421" i="16"/>
  <c r="FI421" i="16"/>
  <c r="FK421" i="16"/>
  <c r="FM421" i="16"/>
  <c r="FO421" i="16"/>
  <c r="FQ421" i="16"/>
  <c r="FS421" i="16"/>
  <c r="FU421" i="16"/>
  <c r="FW421" i="16"/>
  <c r="FY421" i="16"/>
  <c r="GA421" i="16"/>
  <c r="GC421" i="16"/>
  <c r="CY422" i="16"/>
  <c r="DA422" i="16"/>
  <c r="DC422" i="16"/>
  <c r="DE422" i="16"/>
  <c r="DG422" i="16"/>
  <c r="DI422" i="16"/>
  <c r="DK422" i="16"/>
  <c r="DM422" i="16"/>
  <c r="DO422" i="16"/>
  <c r="DQ422" i="16"/>
  <c r="DS422" i="16"/>
  <c r="DU422" i="16"/>
  <c r="DW422" i="16"/>
  <c r="DY422" i="16"/>
  <c r="EA422" i="16"/>
  <c r="EC422" i="16"/>
  <c r="EE422" i="16"/>
  <c r="EG422" i="16"/>
  <c r="EI422" i="16"/>
  <c r="EK422" i="16"/>
  <c r="EM422" i="16"/>
  <c r="EO422" i="16"/>
  <c r="EQ422" i="16"/>
  <c r="ES422" i="16"/>
  <c r="EU422" i="16"/>
  <c r="EW422" i="16"/>
  <c r="EY422" i="16"/>
  <c r="FA422" i="16"/>
  <c r="FC422" i="16"/>
  <c r="FE422" i="16"/>
  <c r="FG422" i="16"/>
  <c r="FI422" i="16"/>
  <c r="FK422" i="16"/>
  <c r="FM422" i="16"/>
  <c r="FO422" i="16"/>
  <c r="FQ422" i="16"/>
  <c r="FS422" i="16"/>
  <c r="FU422" i="16"/>
  <c r="FW422" i="16"/>
  <c r="FY422" i="16"/>
  <c r="GA422" i="16"/>
  <c r="GC422" i="16"/>
  <c r="CZ422" i="16"/>
  <c r="DB422" i="16"/>
  <c r="DD422" i="16"/>
  <c r="DF422" i="16"/>
  <c r="DH422" i="16"/>
  <c r="DJ422" i="16"/>
  <c r="DL422" i="16"/>
  <c r="DN422" i="16"/>
  <c r="DP422" i="16"/>
  <c r="DR422" i="16"/>
  <c r="DT422" i="16"/>
  <c r="DV422" i="16"/>
  <c r="DX422" i="16"/>
  <c r="DZ422" i="16"/>
  <c r="EB422" i="16"/>
  <c r="ED422" i="16"/>
  <c r="EF422" i="16"/>
  <c r="EH422" i="16"/>
  <c r="EJ422" i="16"/>
  <c r="EL422" i="16"/>
  <c r="EN422" i="16"/>
  <c r="EP422" i="16"/>
  <c r="ER422" i="16"/>
  <c r="ET422" i="16"/>
  <c r="EV422" i="16"/>
  <c r="EX422" i="16"/>
  <c r="EZ422" i="16"/>
  <c r="FB422" i="16"/>
  <c r="FD422" i="16"/>
  <c r="FF422" i="16"/>
  <c r="FH422" i="16"/>
  <c r="FJ422" i="16"/>
  <c r="FL422" i="16"/>
  <c r="FN422" i="16"/>
  <c r="FP422" i="16"/>
  <c r="FR422" i="16"/>
  <c r="FT422" i="16"/>
  <c r="FV422" i="16"/>
  <c r="FX422" i="16"/>
  <c r="FZ422" i="16"/>
  <c r="GB422" i="16"/>
  <c r="GD422" i="16"/>
  <c r="CY424" i="16"/>
  <c r="DA424" i="16"/>
  <c r="DC424" i="16"/>
  <c r="DE424" i="16"/>
  <c r="DG424" i="16"/>
  <c r="DI424" i="16"/>
  <c r="DK424" i="16"/>
  <c r="DM424" i="16"/>
  <c r="DO424" i="16"/>
  <c r="DQ424" i="16"/>
  <c r="DS424" i="16"/>
  <c r="DU424" i="16"/>
  <c r="DW424" i="16"/>
  <c r="DY424" i="16"/>
  <c r="EA424" i="16"/>
  <c r="EC424" i="16"/>
  <c r="EE424" i="16"/>
  <c r="EG424" i="16"/>
  <c r="EI424" i="16"/>
  <c r="EK424" i="16"/>
  <c r="EM424" i="16"/>
  <c r="EO424" i="16"/>
  <c r="EQ424" i="16"/>
  <c r="ES424" i="16"/>
  <c r="EU424" i="16"/>
  <c r="EW424" i="16"/>
  <c r="EY424" i="16"/>
  <c r="FA424" i="16"/>
  <c r="FC424" i="16"/>
  <c r="FE424" i="16"/>
  <c r="FG424" i="16"/>
  <c r="FI424" i="16"/>
  <c r="FK424" i="16"/>
  <c r="FM424" i="16"/>
  <c r="FO424" i="16"/>
  <c r="FQ424" i="16"/>
  <c r="FS424" i="16"/>
  <c r="FU424" i="16"/>
  <c r="FW424" i="16"/>
  <c r="FY424" i="16"/>
  <c r="GA424" i="16"/>
  <c r="GC424" i="16"/>
  <c r="CZ424" i="16"/>
  <c r="DB424" i="16"/>
  <c r="DD424" i="16"/>
  <c r="DF424" i="16"/>
  <c r="DH424" i="16"/>
  <c r="DJ424" i="16"/>
  <c r="DL424" i="16"/>
  <c r="DN424" i="16"/>
  <c r="DP424" i="16"/>
  <c r="DR424" i="16"/>
  <c r="DT424" i="16"/>
  <c r="DV424" i="16"/>
  <c r="DX424" i="16"/>
  <c r="DZ424" i="16"/>
  <c r="EB424" i="16"/>
  <c r="ED424" i="16"/>
  <c r="EF424" i="16"/>
  <c r="EH424" i="16"/>
  <c r="EJ424" i="16"/>
  <c r="EL424" i="16"/>
  <c r="EN424" i="16"/>
  <c r="EP424" i="16"/>
  <c r="ER424" i="16"/>
  <c r="ET424" i="16"/>
  <c r="EV424" i="16"/>
  <c r="EX424" i="16"/>
  <c r="EZ424" i="16"/>
  <c r="FB424" i="16"/>
  <c r="FD424" i="16"/>
  <c r="FF424" i="16"/>
  <c r="FH424" i="16"/>
  <c r="FJ424" i="16"/>
  <c r="FL424" i="16"/>
  <c r="FN424" i="16"/>
  <c r="FP424" i="16"/>
  <c r="FR424" i="16"/>
  <c r="FT424" i="16"/>
  <c r="FV424" i="16"/>
  <c r="FX424" i="16"/>
  <c r="FZ424" i="16"/>
  <c r="GB424" i="16"/>
  <c r="GD424" i="16"/>
  <c r="CY426" i="16"/>
  <c r="DA426" i="16"/>
  <c r="DC426" i="16"/>
  <c r="DE426" i="16"/>
  <c r="DG426" i="16"/>
  <c r="DI426" i="16"/>
  <c r="DK426" i="16"/>
  <c r="DM426" i="16"/>
  <c r="DO426" i="16"/>
  <c r="DQ426" i="16"/>
  <c r="DS426" i="16"/>
  <c r="DU426" i="16"/>
  <c r="DW426" i="16"/>
  <c r="DY426" i="16"/>
  <c r="EA426" i="16"/>
  <c r="EC426" i="16"/>
  <c r="EE426" i="16"/>
  <c r="EG426" i="16"/>
  <c r="EI426" i="16"/>
  <c r="EK426" i="16"/>
  <c r="EM426" i="16"/>
  <c r="EO426" i="16"/>
  <c r="EQ426" i="16"/>
  <c r="ES426" i="16"/>
  <c r="EU426" i="16"/>
  <c r="EW426" i="16"/>
  <c r="EY426" i="16"/>
  <c r="FA426" i="16"/>
  <c r="FC426" i="16"/>
  <c r="FE426" i="16"/>
  <c r="FG426" i="16"/>
  <c r="FI426" i="16"/>
  <c r="FK426" i="16"/>
  <c r="FM426" i="16"/>
  <c r="FO426" i="16"/>
  <c r="FQ426" i="16"/>
  <c r="FS426" i="16"/>
  <c r="FU426" i="16"/>
  <c r="FW426" i="16"/>
  <c r="FY426" i="16"/>
  <c r="GA426" i="16"/>
  <c r="GC426" i="16"/>
  <c r="CZ426" i="16"/>
  <c r="DB426" i="16"/>
  <c r="DD426" i="16"/>
  <c r="DF426" i="16"/>
  <c r="DH426" i="16"/>
  <c r="DJ426" i="16"/>
  <c r="DL426" i="16"/>
  <c r="DN426" i="16"/>
  <c r="DP426" i="16"/>
  <c r="DR426" i="16"/>
  <c r="DT426" i="16"/>
  <c r="DV426" i="16"/>
  <c r="DX426" i="16"/>
  <c r="DZ426" i="16"/>
  <c r="EB426" i="16"/>
  <c r="ED426" i="16"/>
  <c r="EF426" i="16"/>
  <c r="EH426" i="16"/>
  <c r="EJ426" i="16"/>
  <c r="EL426" i="16"/>
  <c r="EN426" i="16"/>
  <c r="EP426" i="16"/>
  <c r="ER426" i="16"/>
  <c r="ET426" i="16"/>
  <c r="EV426" i="16"/>
  <c r="EX426" i="16"/>
  <c r="EZ426" i="16"/>
  <c r="FB426" i="16"/>
  <c r="FD426" i="16"/>
  <c r="FF426" i="16"/>
  <c r="FH426" i="16"/>
  <c r="FJ426" i="16"/>
  <c r="FL426" i="16"/>
  <c r="FN426" i="16"/>
  <c r="FP426" i="16"/>
  <c r="FR426" i="16"/>
  <c r="FT426" i="16"/>
  <c r="FV426" i="16"/>
  <c r="FX426" i="16"/>
  <c r="FZ426" i="16"/>
  <c r="GB426" i="16"/>
  <c r="GD426" i="16"/>
  <c r="CY428" i="16"/>
  <c r="DA428" i="16"/>
  <c r="DC428" i="16"/>
  <c r="DE428" i="16"/>
  <c r="DG428" i="16"/>
  <c r="DI428" i="16"/>
  <c r="DK428" i="16"/>
  <c r="DM428" i="16"/>
  <c r="DO428" i="16"/>
  <c r="DQ428" i="16"/>
  <c r="DS428" i="16"/>
  <c r="DU428" i="16"/>
  <c r="DW428" i="16"/>
  <c r="DY428" i="16"/>
  <c r="EA428" i="16"/>
  <c r="EC428" i="16"/>
  <c r="EE428" i="16"/>
  <c r="EG428" i="16"/>
  <c r="EI428" i="16"/>
  <c r="EK428" i="16"/>
  <c r="EM428" i="16"/>
  <c r="EO428" i="16"/>
  <c r="EQ428" i="16"/>
  <c r="ES428" i="16"/>
  <c r="EU428" i="16"/>
  <c r="EW428" i="16"/>
  <c r="EY428" i="16"/>
  <c r="FA428" i="16"/>
  <c r="FC428" i="16"/>
  <c r="FE428" i="16"/>
  <c r="FG428" i="16"/>
  <c r="FI428" i="16"/>
  <c r="FK428" i="16"/>
  <c r="FM428" i="16"/>
  <c r="FO428" i="16"/>
  <c r="FQ428" i="16"/>
  <c r="FS428" i="16"/>
  <c r="FU428" i="16"/>
  <c r="FW428" i="16"/>
  <c r="FY428" i="16"/>
  <c r="GA428" i="16"/>
  <c r="GC428" i="16"/>
  <c r="CZ428" i="16"/>
  <c r="DB428" i="16"/>
  <c r="DD428" i="16"/>
  <c r="DF428" i="16"/>
  <c r="DH428" i="16"/>
  <c r="DJ428" i="16"/>
  <c r="DL428" i="16"/>
  <c r="DN428" i="16"/>
  <c r="DP428" i="16"/>
  <c r="DR428" i="16"/>
  <c r="DT428" i="16"/>
  <c r="DV428" i="16"/>
  <c r="DX428" i="16"/>
  <c r="DZ428" i="16"/>
  <c r="EB428" i="16"/>
  <c r="ED428" i="16"/>
  <c r="EF428" i="16"/>
  <c r="EH428" i="16"/>
  <c r="EJ428" i="16"/>
  <c r="EL428" i="16"/>
  <c r="EN428" i="16"/>
  <c r="EP428" i="16"/>
  <c r="ER428" i="16"/>
  <c r="ET428" i="16"/>
  <c r="EV428" i="16"/>
  <c r="EX428" i="16"/>
  <c r="EZ428" i="16"/>
  <c r="FB428" i="16"/>
  <c r="FD428" i="16"/>
  <c r="FF428" i="16"/>
  <c r="FH428" i="16"/>
  <c r="FJ428" i="16"/>
  <c r="FL428" i="16"/>
  <c r="FN428" i="16"/>
  <c r="FP428" i="16"/>
  <c r="FR428" i="16"/>
  <c r="FT428" i="16"/>
  <c r="FV428" i="16"/>
  <c r="FX428" i="16"/>
  <c r="FZ428" i="16"/>
  <c r="GB428" i="16"/>
  <c r="GD428" i="16"/>
  <c r="CY430" i="16"/>
  <c r="DA430" i="16"/>
  <c r="DC430" i="16"/>
  <c r="DE430" i="16"/>
  <c r="DG430" i="16"/>
  <c r="DI430" i="16"/>
  <c r="DK430" i="16"/>
  <c r="DM430" i="16"/>
  <c r="DO430" i="16"/>
  <c r="DQ430" i="16"/>
  <c r="DS430" i="16"/>
  <c r="DU430" i="16"/>
  <c r="DW430" i="16"/>
  <c r="DY430" i="16"/>
  <c r="EA430" i="16"/>
  <c r="EC430" i="16"/>
  <c r="EE430" i="16"/>
  <c r="EG430" i="16"/>
  <c r="EI430" i="16"/>
  <c r="EK430" i="16"/>
  <c r="EM430" i="16"/>
  <c r="EO430" i="16"/>
  <c r="EQ430" i="16"/>
  <c r="ES430" i="16"/>
  <c r="EU430" i="16"/>
  <c r="EW430" i="16"/>
  <c r="EY430" i="16"/>
  <c r="FA430" i="16"/>
  <c r="FC430" i="16"/>
  <c r="FE430" i="16"/>
  <c r="FG430" i="16"/>
  <c r="FI430" i="16"/>
  <c r="FK430" i="16"/>
  <c r="FM430" i="16"/>
  <c r="FO430" i="16"/>
  <c r="FQ430" i="16"/>
  <c r="FS430" i="16"/>
  <c r="FU430" i="16"/>
  <c r="FW430" i="16"/>
  <c r="FY430" i="16"/>
  <c r="GA430" i="16"/>
  <c r="GC430" i="16"/>
  <c r="CZ430" i="16"/>
  <c r="DB430" i="16"/>
  <c r="DD430" i="16"/>
  <c r="DF430" i="16"/>
  <c r="DH430" i="16"/>
  <c r="DJ430" i="16"/>
  <c r="DL430" i="16"/>
  <c r="DN430" i="16"/>
  <c r="DP430" i="16"/>
  <c r="DR430" i="16"/>
  <c r="DT430" i="16"/>
  <c r="DV430" i="16"/>
  <c r="DX430" i="16"/>
  <c r="DZ430" i="16"/>
  <c r="EB430" i="16"/>
  <c r="ED430" i="16"/>
  <c r="EF430" i="16"/>
  <c r="EH430" i="16"/>
  <c r="EJ430" i="16"/>
  <c r="EL430" i="16"/>
  <c r="EN430" i="16"/>
  <c r="EP430" i="16"/>
  <c r="ER430" i="16"/>
  <c r="ET430" i="16"/>
  <c r="EV430" i="16"/>
  <c r="EX430" i="16"/>
  <c r="EZ430" i="16"/>
  <c r="FB430" i="16"/>
  <c r="FD430" i="16"/>
  <c r="FF430" i="16"/>
  <c r="FH430" i="16"/>
  <c r="FJ430" i="16"/>
  <c r="FL430" i="16"/>
  <c r="FN430" i="16"/>
  <c r="FP430" i="16"/>
  <c r="FR430" i="16"/>
  <c r="FT430" i="16"/>
  <c r="FV430" i="16"/>
  <c r="FX430" i="16"/>
  <c r="FZ430" i="16"/>
  <c r="GB430" i="16"/>
  <c r="GD430" i="16"/>
  <c r="CZ431" i="16"/>
  <c r="DB431" i="16"/>
  <c r="DD431" i="16"/>
  <c r="DF431" i="16"/>
  <c r="DH431" i="16"/>
  <c r="DJ431" i="16"/>
  <c r="DL431" i="16"/>
  <c r="DN431" i="16"/>
  <c r="DP431" i="16"/>
  <c r="DR431" i="16"/>
  <c r="DT431" i="16"/>
  <c r="DV431" i="16"/>
  <c r="DX431" i="16"/>
  <c r="DZ431" i="16"/>
  <c r="EB431" i="16"/>
  <c r="ED431" i="16"/>
  <c r="EF431" i="16"/>
  <c r="EH431" i="16"/>
  <c r="EJ431" i="16"/>
  <c r="EL431" i="16"/>
  <c r="EN431" i="16"/>
  <c r="EP431" i="16"/>
  <c r="ER431" i="16"/>
  <c r="ET431" i="16"/>
  <c r="EV431" i="16"/>
  <c r="EX431" i="16"/>
  <c r="EZ431" i="16"/>
  <c r="FB431" i="16"/>
  <c r="FD431" i="16"/>
  <c r="FF431" i="16"/>
  <c r="FH431" i="16"/>
  <c r="FJ431" i="16"/>
  <c r="FL431" i="16"/>
  <c r="FN431" i="16"/>
  <c r="FP431" i="16"/>
  <c r="FR431" i="16"/>
  <c r="FT431" i="16"/>
  <c r="FV431" i="16"/>
  <c r="FX431" i="16"/>
  <c r="FZ431" i="16"/>
  <c r="GB431" i="16"/>
  <c r="GD431" i="16"/>
  <c r="CY431" i="16"/>
  <c r="DA431" i="16"/>
  <c r="DC431" i="16"/>
  <c r="DE431" i="16"/>
  <c r="DG431" i="16"/>
  <c r="DI431" i="16"/>
  <c r="DK431" i="16"/>
  <c r="DM431" i="16"/>
  <c r="DO431" i="16"/>
  <c r="DQ431" i="16"/>
  <c r="DS431" i="16"/>
  <c r="DU431" i="16"/>
  <c r="DW431" i="16"/>
  <c r="DY431" i="16"/>
  <c r="EA431" i="16"/>
  <c r="EC431" i="16"/>
  <c r="EE431" i="16"/>
  <c r="EG431" i="16"/>
  <c r="EI431" i="16"/>
  <c r="EK431" i="16"/>
  <c r="EM431" i="16"/>
  <c r="EO431" i="16"/>
  <c r="EQ431" i="16"/>
  <c r="ES431" i="16"/>
  <c r="EU431" i="16"/>
  <c r="EW431" i="16"/>
  <c r="EY431" i="16"/>
  <c r="FA431" i="16"/>
  <c r="FC431" i="16"/>
  <c r="FE431" i="16"/>
  <c r="FG431" i="16"/>
  <c r="FI431" i="16"/>
  <c r="FK431" i="16"/>
  <c r="FM431" i="16"/>
  <c r="FO431" i="16"/>
  <c r="FQ431" i="16"/>
  <c r="FS431" i="16"/>
  <c r="FU431" i="16"/>
  <c r="FW431" i="16"/>
  <c r="FY431" i="16"/>
  <c r="GA431" i="16"/>
  <c r="GC431" i="16"/>
  <c r="CZ433" i="16"/>
  <c r="DB433" i="16"/>
  <c r="DD433" i="16"/>
  <c r="DF433" i="16"/>
  <c r="DH433" i="16"/>
  <c r="DJ433" i="16"/>
  <c r="DL433" i="16"/>
  <c r="DN433" i="16"/>
  <c r="DP433" i="16"/>
  <c r="DR433" i="16"/>
  <c r="DT433" i="16"/>
  <c r="DV433" i="16"/>
  <c r="DX433" i="16"/>
  <c r="DZ433" i="16"/>
  <c r="EB433" i="16"/>
  <c r="ED433" i="16"/>
  <c r="EF433" i="16"/>
  <c r="EH433" i="16"/>
  <c r="EJ433" i="16"/>
  <c r="EL433" i="16"/>
  <c r="EN433" i="16"/>
  <c r="EP433" i="16"/>
  <c r="ER433" i="16"/>
  <c r="ET433" i="16"/>
  <c r="EV433" i="16"/>
  <c r="EX433" i="16"/>
  <c r="EZ433" i="16"/>
  <c r="FB433" i="16"/>
  <c r="FD433" i="16"/>
  <c r="FF433" i="16"/>
  <c r="FH433" i="16"/>
  <c r="FJ433" i="16"/>
  <c r="FL433" i="16"/>
  <c r="FN433" i="16"/>
  <c r="FP433" i="16"/>
  <c r="FR433" i="16"/>
  <c r="FT433" i="16"/>
  <c r="FV433" i="16"/>
  <c r="FX433" i="16"/>
  <c r="FZ433" i="16"/>
  <c r="GB433" i="16"/>
  <c r="GD433" i="16"/>
  <c r="CY433" i="16"/>
  <c r="DA433" i="16"/>
  <c r="DC433" i="16"/>
  <c r="DE433" i="16"/>
  <c r="DG433" i="16"/>
  <c r="DI433" i="16"/>
  <c r="DK433" i="16"/>
  <c r="DM433" i="16"/>
  <c r="DO433" i="16"/>
  <c r="DQ433" i="16"/>
  <c r="DS433" i="16"/>
  <c r="DU433" i="16"/>
  <c r="DW433" i="16"/>
  <c r="DY433" i="16"/>
  <c r="EA433" i="16"/>
  <c r="EC433" i="16"/>
  <c r="EE433" i="16"/>
  <c r="EG433" i="16"/>
  <c r="EI433" i="16"/>
  <c r="EK433" i="16"/>
  <c r="EM433" i="16"/>
  <c r="EO433" i="16"/>
  <c r="EQ433" i="16"/>
  <c r="ES433" i="16"/>
  <c r="EU433" i="16"/>
  <c r="EW433" i="16"/>
  <c r="EY433" i="16"/>
  <c r="FA433" i="16"/>
  <c r="FC433" i="16"/>
  <c r="FE433" i="16"/>
  <c r="FG433" i="16"/>
  <c r="FI433" i="16"/>
  <c r="FK433" i="16"/>
  <c r="FM433" i="16"/>
  <c r="FO433" i="16"/>
  <c r="FQ433" i="16"/>
  <c r="FS433" i="16"/>
  <c r="FU433" i="16"/>
  <c r="FW433" i="16"/>
  <c r="FY433" i="16"/>
  <c r="GA433" i="16"/>
  <c r="GC433" i="16"/>
  <c r="CZ435" i="16"/>
  <c r="DB435" i="16"/>
  <c r="DD435" i="16"/>
  <c r="DF435" i="16"/>
  <c r="DH435" i="16"/>
  <c r="DJ435" i="16"/>
  <c r="DL435" i="16"/>
  <c r="DN435" i="16"/>
  <c r="DP435" i="16"/>
  <c r="DR435" i="16"/>
  <c r="DT435" i="16"/>
  <c r="DV435" i="16"/>
  <c r="DX435" i="16"/>
  <c r="DZ435" i="16"/>
  <c r="EB435" i="16"/>
  <c r="ED435" i="16"/>
  <c r="EF435" i="16"/>
  <c r="EH435" i="16"/>
  <c r="EJ435" i="16"/>
  <c r="EL435" i="16"/>
  <c r="EN435" i="16"/>
  <c r="EP435" i="16"/>
  <c r="ER435" i="16"/>
  <c r="ET435" i="16"/>
  <c r="EV435" i="16"/>
  <c r="EX435" i="16"/>
  <c r="EZ435" i="16"/>
  <c r="FB435" i="16"/>
  <c r="FD435" i="16"/>
  <c r="FF435" i="16"/>
  <c r="FH435" i="16"/>
  <c r="FJ435" i="16"/>
  <c r="FL435" i="16"/>
  <c r="FN435" i="16"/>
  <c r="FP435" i="16"/>
  <c r="FR435" i="16"/>
  <c r="FT435" i="16"/>
  <c r="FV435" i="16"/>
  <c r="FX435" i="16"/>
  <c r="FZ435" i="16"/>
  <c r="GB435" i="16"/>
  <c r="GD435" i="16"/>
  <c r="CY435" i="16"/>
  <c r="DA435" i="16"/>
  <c r="DC435" i="16"/>
  <c r="DE435" i="16"/>
  <c r="DG435" i="16"/>
  <c r="DI435" i="16"/>
  <c r="DK435" i="16"/>
  <c r="DM435" i="16"/>
  <c r="DO435" i="16"/>
  <c r="DQ435" i="16"/>
  <c r="DS435" i="16"/>
  <c r="DU435" i="16"/>
  <c r="DW435" i="16"/>
  <c r="DY435" i="16"/>
  <c r="EA435" i="16"/>
  <c r="EC435" i="16"/>
  <c r="EE435" i="16"/>
  <c r="EG435" i="16"/>
  <c r="EI435" i="16"/>
  <c r="EK435" i="16"/>
  <c r="EM435" i="16"/>
  <c r="EO435" i="16"/>
  <c r="EQ435" i="16"/>
  <c r="ES435" i="16"/>
  <c r="EU435" i="16"/>
  <c r="EW435" i="16"/>
  <c r="EY435" i="16"/>
  <c r="FA435" i="16"/>
  <c r="FC435" i="16"/>
  <c r="FE435" i="16"/>
  <c r="FG435" i="16"/>
  <c r="FI435" i="16"/>
  <c r="FK435" i="16"/>
  <c r="FM435" i="16"/>
  <c r="FO435" i="16"/>
  <c r="FQ435" i="16"/>
  <c r="FS435" i="16"/>
  <c r="FU435" i="16"/>
  <c r="FW435" i="16"/>
  <c r="FY435" i="16"/>
  <c r="GA435" i="16"/>
  <c r="GC435" i="16"/>
  <c r="CZ437" i="16"/>
  <c r="DB437" i="16"/>
  <c r="DD437" i="16"/>
  <c r="DF437" i="16"/>
  <c r="DH437" i="16"/>
  <c r="DJ437" i="16"/>
  <c r="DL437" i="16"/>
  <c r="DN437" i="16"/>
  <c r="DP437" i="16"/>
  <c r="DR437" i="16"/>
  <c r="DT437" i="16"/>
  <c r="DV437" i="16"/>
  <c r="DX437" i="16"/>
  <c r="DZ437" i="16"/>
  <c r="EB437" i="16"/>
  <c r="ED437" i="16"/>
  <c r="EF437" i="16"/>
  <c r="EH437" i="16"/>
  <c r="EJ437" i="16"/>
  <c r="EL437" i="16"/>
  <c r="EN437" i="16"/>
  <c r="EP437" i="16"/>
  <c r="ER437" i="16"/>
  <c r="ET437" i="16"/>
  <c r="EV437" i="16"/>
  <c r="EX437" i="16"/>
  <c r="EZ437" i="16"/>
  <c r="FB437" i="16"/>
  <c r="FD437" i="16"/>
  <c r="FF437" i="16"/>
  <c r="FH437" i="16"/>
  <c r="FJ437" i="16"/>
  <c r="FL437" i="16"/>
  <c r="FN437" i="16"/>
  <c r="FP437" i="16"/>
  <c r="FR437" i="16"/>
  <c r="FT437" i="16"/>
  <c r="FV437" i="16"/>
  <c r="FX437" i="16"/>
  <c r="FZ437" i="16"/>
  <c r="GB437" i="16"/>
  <c r="GD437" i="16"/>
  <c r="CY437" i="16"/>
  <c r="DA437" i="16"/>
  <c r="DC437" i="16"/>
  <c r="DE437" i="16"/>
  <c r="DG437" i="16"/>
  <c r="DI437" i="16"/>
  <c r="DK437" i="16"/>
  <c r="DM437" i="16"/>
  <c r="DO437" i="16"/>
  <c r="DQ437" i="16"/>
  <c r="DS437" i="16"/>
  <c r="DU437" i="16"/>
  <c r="DW437" i="16"/>
  <c r="DY437" i="16"/>
  <c r="EA437" i="16"/>
  <c r="EC437" i="16"/>
  <c r="EE437" i="16"/>
  <c r="EG437" i="16"/>
  <c r="EI437" i="16"/>
  <c r="EK437" i="16"/>
  <c r="EM437" i="16"/>
  <c r="EO437" i="16"/>
  <c r="EQ437" i="16"/>
  <c r="ES437" i="16"/>
  <c r="EU437" i="16"/>
  <c r="EW437" i="16"/>
  <c r="EY437" i="16"/>
  <c r="FA437" i="16"/>
  <c r="FC437" i="16"/>
  <c r="FE437" i="16"/>
  <c r="FG437" i="16"/>
  <c r="FI437" i="16"/>
  <c r="FK437" i="16"/>
  <c r="FM437" i="16"/>
  <c r="FO437" i="16"/>
  <c r="FQ437" i="16"/>
  <c r="FS437" i="16"/>
  <c r="FU437" i="16"/>
  <c r="FW437" i="16"/>
  <c r="FY437" i="16"/>
  <c r="GA437" i="16"/>
  <c r="GC437" i="16"/>
  <c r="CZ439" i="16"/>
  <c r="DB439" i="16"/>
  <c r="DD439" i="16"/>
  <c r="DF439" i="16"/>
  <c r="DH439" i="16"/>
  <c r="DJ439" i="16"/>
  <c r="DL439" i="16"/>
  <c r="DN439" i="16"/>
  <c r="DP439" i="16"/>
  <c r="DR439" i="16"/>
  <c r="DT439" i="16"/>
  <c r="DV439" i="16"/>
  <c r="DX439" i="16"/>
  <c r="DZ439" i="16"/>
  <c r="EB439" i="16"/>
  <c r="ED439" i="16"/>
  <c r="EF439" i="16"/>
  <c r="EH439" i="16"/>
  <c r="EJ439" i="16"/>
  <c r="EL439" i="16"/>
  <c r="EN439" i="16"/>
  <c r="EP439" i="16"/>
  <c r="ER439" i="16"/>
  <c r="ET439" i="16"/>
  <c r="EV439" i="16"/>
  <c r="EX439" i="16"/>
  <c r="EZ439" i="16"/>
  <c r="FB439" i="16"/>
  <c r="FD439" i="16"/>
  <c r="FF439" i="16"/>
  <c r="FH439" i="16"/>
  <c r="FJ439" i="16"/>
  <c r="FL439" i="16"/>
  <c r="FN439" i="16"/>
  <c r="FP439" i="16"/>
  <c r="FR439" i="16"/>
  <c r="FT439" i="16"/>
  <c r="FV439" i="16"/>
  <c r="FX439" i="16"/>
  <c r="FZ439" i="16"/>
  <c r="GB439" i="16"/>
  <c r="GD439" i="16"/>
  <c r="CY439" i="16"/>
  <c r="DA439" i="16"/>
  <c r="DC439" i="16"/>
  <c r="DE439" i="16"/>
  <c r="DG439" i="16"/>
  <c r="DI439" i="16"/>
  <c r="DK439" i="16"/>
  <c r="DM439" i="16"/>
  <c r="DO439" i="16"/>
  <c r="DQ439" i="16"/>
  <c r="DS439" i="16"/>
  <c r="DU439" i="16"/>
  <c r="DW439" i="16"/>
  <c r="DY439" i="16"/>
  <c r="EA439" i="16"/>
  <c r="EC439" i="16"/>
  <c r="EE439" i="16"/>
  <c r="EG439" i="16"/>
  <c r="EI439" i="16"/>
  <c r="EK439" i="16"/>
  <c r="EM439" i="16"/>
  <c r="EO439" i="16"/>
  <c r="EQ439" i="16"/>
  <c r="ES439" i="16"/>
  <c r="EU439" i="16"/>
  <c r="EW439" i="16"/>
  <c r="EY439" i="16"/>
  <c r="FA439" i="16"/>
  <c r="FC439" i="16"/>
  <c r="FE439" i="16"/>
  <c r="FG439" i="16"/>
  <c r="FI439" i="16"/>
  <c r="FK439" i="16"/>
  <c r="FM439" i="16"/>
  <c r="FO439" i="16"/>
  <c r="FQ439" i="16"/>
  <c r="FS439" i="16"/>
  <c r="FU439" i="16"/>
  <c r="FW439" i="16"/>
  <c r="FY439" i="16"/>
  <c r="GA439" i="16"/>
  <c r="GC439" i="16"/>
  <c r="CZ441" i="16"/>
  <c r="DB441" i="16"/>
  <c r="DD441" i="16"/>
  <c r="DF441" i="16"/>
  <c r="DH441" i="16"/>
  <c r="DJ441" i="16"/>
  <c r="DL441" i="16"/>
  <c r="DN441" i="16"/>
  <c r="DP441" i="16"/>
  <c r="DR441" i="16"/>
  <c r="DT441" i="16"/>
  <c r="DV441" i="16"/>
  <c r="DX441" i="16"/>
  <c r="DZ441" i="16"/>
  <c r="EB441" i="16"/>
  <c r="ED441" i="16"/>
  <c r="EF441" i="16"/>
  <c r="EH441" i="16"/>
  <c r="EJ441" i="16"/>
  <c r="EL441" i="16"/>
  <c r="EN441" i="16"/>
  <c r="EP441" i="16"/>
  <c r="ER441" i="16"/>
  <c r="ET441" i="16"/>
  <c r="EV441" i="16"/>
  <c r="EX441" i="16"/>
  <c r="EZ441" i="16"/>
  <c r="FB441" i="16"/>
  <c r="FD441" i="16"/>
  <c r="FF441" i="16"/>
  <c r="FH441" i="16"/>
  <c r="FJ441" i="16"/>
  <c r="FL441" i="16"/>
  <c r="FN441" i="16"/>
  <c r="FP441" i="16"/>
  <c r="FR441" i="16"/>
  <c r="FT441" i="16"/>
  <c r="FV441" i="16"/>
  <c r="FX441" i="16"/>
  <c r="FZ441" i="16"/>
  <c r="GB441" i="16"/>
  <c r="GD441" i="16"/>
  <c r="CY441" i="16"/>
  <c r="DA441" i="16"/>
  <c r="DC441" i="16"/>
  <c r="DE441" i="16"/>
  <c r="DG441" i="16"/>
  <c r="DI441" i="16"/>
  <c r="DK441" i="16"/>
  <c r="DM441" i="16"/>
  <c r="DO441" i="16"/>
  <c r="DQ441" i="16"/>
  <c r="DS441" i="16"/>
  <c r="DU441" i="16"/>
  <c r="DW441" i="16"/>
  <c r="DY441" i="16"/>
  <c r="EA441" i="16"/>
  <c r="EC441" i="16"/>
  <c r="EE441" i="16"/>
  <c r="EG441" i="16"/>
  <c r="EI441" i="16"/>
  <c r="EK441" i="16"/>
  <c r="EM441" i="16"/>
  <c r="EO441" i="16"/>
  <c r="EQ441" i="16"/>
  <c r="ES441" i="16"/>
  <c r="EU441" i="16"/>
  <c r="EW441" i="16"/>
  <c r="EY441" i="16"/>
  <c r="FA441" i="16"/>
  <c r="FC441" i="16"/>
  <c r="FE441" i="16"/>
  <c r="FG441" i="16"/>
  <c r="FI441" i="16"/>
  <c r="FK441" i="16"/>
  <c r="FM441" i="16"/>
  <c r="FO441" i="16"/>
  <c r="FQ441" i="16"/>
  <c r="FS441" i="16"/>
  <c r="FU441" i="16"/>
  <c r="FW441" i="16"/>
  <c r="FY441" i="16"/>
  <c r="GA441" i="16"/>
  <c r="GC441" i="16"/>
  <c r="CZ443" i="16"/>
  <c r="DB443" i="16"/>
  <c r="DD443" i="16"/>
  <c r="DF443" i="16"/>
  <c r="DH443" i="16"/>
  <c r="DJ443" i="16"/>
  <c r="DL443" i="16"/>
  <c r="DN443" i="16"/>
  <c r="DP443" i="16"/>
  <c r="DR443" i="16"/>
  <c r="DT443" i="16"/>
  <c r="DV443" i="16"/>
  <c r="DX443" i="16"/>
  <c r="DZ443" i="16"/>
  <c r="EB443" i="16"/>
  <c r="ED443" i="16"/>
  <c r="EF443" i="16"/>
  <c r="EH443" i="16"/>
  <c r="EJ443" i="16"/>
  <c r="EL443" i="16"/>
  <c r="EN443" i="16"/>
  <c r="EP443" i="16"/>
  <c r="ER443" i="16"/>
  <c r="ET443" i="16"/>
  <c r="EV443" i="16"/>
  <c r="EX443" i="16"/>
  <c r="EZ443" i="16"/>
  <c r="FB443" i="16"/>
  <c r="FD443" i="16"/>
  <c r="FF443" i="16"/>
  <c r="FH443" i="16"/>
  <c r="FJ443" i="16"/>
  <c r="FL443" i="16"/>
  <c r="FN443" i="16"/>
  <c r="FP443" i="16"/>
  <c r="FR443" i="16"/>
  <c r="FT443" i="16"/>
  <c r="FV443" i="16"/>
  <c r="FX443" i="16"/>
  <c r="FZ443" i="16"/>
  <c r="GB443" i="16"/>
  <c r="GD443" i="16"/>
  <c r="CY443" i="16"/>
  <c r="DA443" i="16"/>
  <c r="DC443" i="16"/>
  <c r="DE443" i="16"/>
  <c r="DG443" i="16"/>
  <c r="DI443" i="16"/>
  <c r="DK443" i="16"/>
  <c r="DM443" i="16"/>
  <c r="DO443" i="16"/>
  <c r="DQ443" i="16"/>
  <c r="DS443" i="16"/>
  <c r="DU443" i="16"/>
  <c r="DW443" i="16"/>
  <c r="DY443" i="16"/>
  <c r="EA443" i="16"/>
  <c r="EC443" i="16"/>
  <c r="EE443" i="16"/>
  <c r="EG443" i="16"/>
  <c r="EI443" i="16"/>
  <c r="EK443" i="16"/>
  <c r="EM443" i="16"/>
  <c r="EO443" i="16"/>
  <c r="EQ443" i="16"/>
  <c r="ES443" i="16"/>
  <c r="EU443" i="16"/>
  <c r="EW443" i="16"/>
  <c r="EY443" i="16"/>
  <c r="FA443" i="16"/>
  <c r="FC443" i="16"/>
  <c r="FE443" i="16"/>
  <c r="FG443" i="16"/>
  <c r="FI443" i="16"/>
  <c r="FK443" i="16"/>
  <c r="FM443" i="16"/>
  <c r="FO443" i="16"/>
  <c r="FQ443" i="16"/>
  <c r="FS443" i="16"/>
  <c r="FU443" i="16"/>
  <c r="FW443" i="16"/>
  <c r="FY443" i="16"/>
  <c r="GA443" i="16"/>
  <c r="GC443" i="16"/>
  <c r="CY446" i="16"/>
  <c r="DA446" i="16"/>
  <c r="DC446" i="16"/>
  <c r="DE446" i="16"/>
  <c r="DG446" i="16"/>
  <c r="DI446" i="16"/>
  <c r="DK446" i="16"/>
  <c r="DM446" i="16"/>
  <c r="DO446" i="16"/>
  <c r="DQ446" i="16"/>
  <c r="DS446" i="16"/>
  <c r="DU446" i="16"/>
  <c r="DW446" i="16"/>
  <c r="DY446" i="16"/>
  <c r="EA446" i="16"/>
  <c r="EC446" i="16"/>
  <c r="EE446" i="16"/>
  <c r="EG446" i="16"/>
  <c r="EI446" i="16"/>
  <c r="EK446" i="16"/>
  <c r="EM446" i="16"/>
  <c r="EO446" i="16"/>
  <c r="EQ446" i="16"/>
  <c r="ES446" i="16"/>
  <c r="EU446" i="16"/>
  <c r="EW446" i="16"/>
  <c r="EY446" i="16"/>
  <c r="FA446" i="16"/>
  <c r="FC446" i="16"/>
  <c r="FE446" i="16"/>
  <c r="FG446" i="16"/>
  <c r="FI446" i="16"/>
  <c r="FK446" i="16"/>
  <c r="FM446" i="16"/>
  <c r="FO446" i="16"/>
  <c r="FQ446" i="16"/>
  <c r="FS446" i="16"/>
  <c r="FU446" i="16"/>
  <c r="FW446" i="16"/>
  <c r="FY446" i="16"/>
  <c r="GA446" i="16"/>
  <c r="GC446" i="16"/>
  <c r="CZ446" i="16"/>
  <c r="DB446" i="16"/>
  <c r="DD446" i="16"/>
  <c r="DF446" i="16"/>
  <c r="DH446" i="16"/>
  <c r="DJ446" i="16"/>
  <c r="DL446" i="16"/>
  <c r="DN446" i="16"/>
  <c r="DP446" i="16"/>
  <c r="DR446" i="16"/>
  <c r="DT446" i="16"/>
  <c r="DV446" i="16"/>
  <c r="DX446" i="16"/>
  <c r="DZ446" i="16"/>
  <c r="EB446" i="16"/>
  <c r="ED446" i="16"/>
  <c r="EF446" i="16"/>
  <c r="EH446" i="16"/>
  <c r="EJ446" i="16"/>
  <c r="EL446" i="16"/>
  <c r="EN446" i="16"/>
  <c r="EP446" i="16"/>
  <c r="ER446" i="16"/>
  <c r="ET446" i="16"/>
  <c r="EV446" i="16"/>
  <c r="EX446" i="16"/>
  <c r="EZ446" i="16"/>
  <c r="FB446" i="16"/>
  <c r="FD446" i="16"/>
  <c r="FF446" i="16"/>
  <c r="FH446" i="16"/>
  <c r="FJ446" i="16"/>
  <c r="FL446" i="16"/>
  <c r="FN446" i="16"/>
  <c r="FP446" i="16"/>
  <c r="FR446" i="16"/>
  <c r="FT446" i="16"/>
  <c r="FV446" i="16"/>
  <c r="FX446" i="16"/>
  <c r="FZ446" i="16"/>
  <c r="GB446" i="16"/>
  <c r="GD446" i="16"/>
  <c r="CY448" i="16"/>
  <c r="DA448" i="16"/>
  <c r="DC448" i="16"/>
  <c r="DE448" i="16"/>
  <c r="DG448" i="16"/>
  <c r="DI448" i="16"/>
  <c r="DK448" i="16"/>
  <c r="DM448" i="16"/>
  <c r="DO448" i="16"/>
  <c r="DQ448" i="16"/>
  <c r="DS448" i="16"/>
  <c r="DU448" i="16"/>
  <c r="DW448" i="16"/>
  <c r="DY448" i="16"/>
  <c r="EA448" i="16"/>
  <c r="EC448" i="16"/>
  <c r="EE448" i="16"/>
  <c r="EG448" i="16"/>
  <c r="EI448" i="16"/>
  <c r="EK448" i="16"/>
  <c r="EM448" i="16"/>
  <c r="EO448" i="16"/>
  <c r="EQ448" i="16"/>
  <c r="ES448" i="16"/>
  <c r="EU448" i="16"/>
  <c r="EW448" i="16"/>
  <c r="EY448" i="16"/>
  <c r="FA448" i="16"/>
  <c r="FC448" i="16"/>
  <c r="FE448" i="16"/>
  <c r="FG448" i="16"/>
  <c r="FI448" i="16"/>
  <c r="FK448" i="16"/>
  <c r="FM448" i="16"/>
  <c r="FO448" i="16"/>
  <c r="FQ448" i="16"/>
  <c r="FS448" i="16"/>
  <c r="FU448" i="16"/>
  <c r="FW448" i="16"/>
  <c r="FY448" i="16"/>
  <c r="GA448" i="16"/>
  <c r="GC448" i="16"/>
  <c r="CZ448" i="16"/>
  <c r="DB448" i="16"/>
  <c r="DD448" i="16"/>
  <c r="DF448" i="16"/>
  <c r="DH448" i="16"/>
  <c r="DJ448" i="16"/>
  <c r="DL448" i="16"/>
  <c r="DN448" i="16"/>
  <c r="DP448" i="16"/>
  <c r="DR448" i="16"/>
  <c r="DT448" i="16"/>
  <c r="DV448" i="16"/>
  <c r="DX448" i="16"/>
  <c r="DZ448" i="16"/>
  <c r="EB448" i="16"/>
  <c r="ED448" i="16"/>
  <c r="EF448" i="16"/>
  <c r="EH448" i="16"/>
  <c r="EJ448" i="16"/>
  <c r="EL448" i="16"/>
  <c r="EN448" i="16"/>
  <c r="EP448" i="16"/>
  <c r="ER448" i="16"/>
  <c r="ET448" i="16"/>
  <c r="EV448" i="16"/>
  <c r="EX448" i="16"/>
  <c r="EZ448" i="16"/>
  <c r="FB448" i="16"/>
  <c r="FD448" i="16"/>
  <c r="FF448" i="16"/>
  <c r="FH448" i="16"/>
  <c r="FJ448" i="16"/>
  <c r="FL448" i="16"/>
  <c r="FN448" i="16"/>
  <c r="FP448" i="16"/>
  <c r="FR448" i="16"/>
  <c r="FT448" i="16"/>
  <c r="FV448" i="16"/>
  <c r="FX448" i="16"/>
  <c r="FZ448" i="16"/>
  <c r="GB448" i="16"/>
  <c r="GD448" i="16"/>
  <c r="CZ451" i="16"/>
  <c r="DB451" i="16"/>
  <c r="DD451" i="16"/>
  <c r="DF451" i="16"/>
  <c r="DH451" i="16"/>
  <c r="DJ451" i="16"/>
  <c r="DL451" i="16"/>
  <c r="DN451" i="16"/>
  <c r="DP451" i="16"/>
  <c r="DR451" i="16"/>
  <c r="DT451" i="16"/>
  <c r="DV451" i="16"/>
  <c r="DX451" i="16"/>
  <c r="DZ451" i="16"/>
  <c r="EB451" i="16"/>
  <c r="ED451" i="16"/>
  <c r="EF451" i="16"/>
  <c r="EH451" i="16"/>
  <c r="EJ451" i="16"/>
  <c r="EL451" i="16"/>
  <c r="EN451" i="16"/>
  <c r="EP451" i="16"/>
  <c r="ER451" i="16"/>
  <c r="ET451" i="16"/>
  <c r="EV451" i="16"/>
  <c r="EX451" i="16"/>
  <c r="EZ451" i="16"/>
  <c r="FB451" i="16"/>
  <c r="FD451" i="16"/>
  <c r="FF451" i="16"/>
  <c r="FH451" i="16"/>
  <c r="FJ451" i="16"/>
  <c r="FL451" i="16"/>
  <c r="FN451" i="16"/>
  <c r="FP451" i="16"/>
  <c r="FR451" i="16"/>
  <c r="FT451" i="16"/>
  <c r="FV451" i="16"/>
  <c r="FX451" i="16"/>
  <c r="FZ451" i="16"/>
  <c r="GB451" i="16"/>
  <c r="GD451" i="16"/>
  <c r="CY451" i="16"/>
  <c r="DA451" i="16"/>
  <c r="DC451" i="16"/>
  <c r="DE451" i="16"/>
  <c r="DG451" i="16"/>
  <c r="DI451" i="16"/>
  <c r="DK451" i="16"/>
  <c r="DM451" i="16"/>
  <c r="DO451" i="16"/>
  <c r="DQ451" i="16"/>
  <c r="DS451" i="16"/>
  <c r="DU451" i="16"/>
  <c r="DW451" i="16"/>
  <c r="DY451" i="16"/>
  <c r="EA451" i="16"/>
  <c r="EC451" i="16"/>
  <c r="EE451" i="16"/>
  <c r="EG451" i="16"/>
  <c r="EI451" i="16"/>
  <c r="EK451" i="16"/>
  <c r="EM451" i="16"/>
  <c r="EO451" i="16"/>
  <c r="EQ451" i="16"/>
  <c r="ES451" i="16"/>
  <c r="EU451" i="16"/>
  <c r="EW451" i="16"/>
  <c r="EY451" i="16"/>
  <c r="FA451" i="16"/>
  <c r="FC451" i="16"/>
  <c r="FE451" i="16"/>
  <c r="FG451" i="16"/>
  <c r="FI451" i="16"/>
  <c r="FK451" i="16"/>
  <c r="FM451" i="16"/>
  <c r="FO451" i="16"/>
  <c r="FQ451" i="16"/>
  <c r="FS451" i="16"/>
  <c r="FU451" i="16"/>
  <c r="FW451" i="16"/>
  <c r="FY451" i="16"/>
  <c r="GA451" i="16"/>
  <c r="GC451" i="16"/>
  <c r="CZ453" i="16"/>
  <c r="DB453" i="16"/>
  <c r="DD453" i="16"/>
  <c r="DF453" i="16"/>
  <c r="DH453" i="16"/>
  <c r="DJ453" i="16"/>
  <c r="DL453" i="16"/>
  <c r="DN453" i="16"/>
  <c r="DP453" i="16"/>
  <c r="DR453" i="16"/>
  <c r="DT453" i="16"/>
  <c r="DV453" i="16"/>
  <c r="DX453" i="16"/>
  <c r="DZ453" i="16"/>
  <c r="EB453" i="16"/>
  <c r="ED453" i="16"/>
  <c r="EF453" i="16"/>
  <c r="EH453" i="16"/>
  <c r="EJ453" i="16"/>
  <c r="EL453" i="16"/>
  <c r="EN453" i="16"/>
  <c r="EP453" i="16"/>
  <c r="ER453" i="16"/>
  <c r="ET453" i="16"/>
  <c r="EV453" i="16"/>
  <c r="EX453" i="16"/>
  <c r="EZ453" i="16"/>
  <c r="FB453" i="16"/>
  <c r="FD453" i="16"/>
  <c r="FF453" i="16"/>
  <c r="FH453" i="16"/>
  <c r="FJ453" i="16"/>
  <c r="FL453" i="16"/>
  <c r="FN453" i="16"/>
  <c r="FP453" i="16"/>
  <c r="FR453" i="16"/>
  <c r="FT453" i="16"/>
  <c r="FV453" i="16"/>
  <c r="FX453" i="16"/>
  <c r="FZ453" i="16"/>
  <c r="GB453" i="16"/>
  <c r="GD453" i="16"/>
  <c r="CY453" i="16"/>
  <c r="DA453" i="16"/>
  <c r="DC453" i="16"/>
  <c r="DE453" i="16"/>
  <c r="DG453" i="16"/>
  <c r="DI453" i="16"/>
  <c r="DK453" i="16"/>
  <c r="DM453" i="16"/>
  <c r="DO453" i="16"/>
  <c r="DQ453" i="16"/>
  <c r="DS453" i="16"/>
  <c r="DU453" i="16"/>
  <c r="DW453" i="16"/>
  <c r="DY453" i="16"/>
  <c r="EA453" i="16"/>
  <c r="EC453" i="16"/>
  <c r="EE453" i="16"/>
  <c r="EG453" i="16"/>
  <c r="EI453" i="16"/>
  <c r="EK453" i="16"/>
  <c r="EM453" i="16"/>
  <c r="EO453" i="16"/>
  <c r="EQ453" i="16"/>
  <c r="ES453" i="16"/>
  <c r="EU453" i="16"/>
  <c r="EW453" i="16"/>
  <c r="EY453" i="16"/>
  <c r="FA453" i="16"/>
  <c r="FC453" i="16"/>
  <c r="FE453" i="16"/>
  <c r="FG453" i="16"/>
  <c r="FI453" i="16"/>
  <c r="FK453" i="16"/>
  <c r="FM453" i="16"/>
  <c r="FO453" i="16"/>
  <c r="FQ453" i="16"/>
  <c r="FS453" i="16"/>
  <c r="FU453" i="16"/>
  <c r="FW453" i="16"/>
  <c r="FY453" i="16"/>
  <c r="GA453" i="16"/>
  <c r="GC453" i="16"/>
  <c r="CZ455" i="16"/>
  <c r="DB455" i="16"/>
  <c r="DD455" i="16"/>
  <c r="DF455" i="16"/>
  <c r="DH455" i="16"/>
  <c r="DJ455" i="16"/>
  <c r="DL455" i="16"/>
  <c r="DN455" i="16"/>
  <c r="DP455" i="16"/>
  <c r="DR455" i="16"/>
  <c r="DT455" i="16"/>
  <c r="DV455" i="16"/>
  <c r="DX455" i="16"/>
  <c r="DZ455" i="16"/>
  <c r="EB455" i="16"/>
  <c r="ED455" i="16"/>
  <c r="EF455" i="16"/>
  <c r="EH455" i="16"/>
  <c r="EJ455" i="16"/>
  <c r="EL455" i="16"/>
  <c r="EN455" i="16"/>
  <c r="EP455" i="16"/>
  <c r="ER455" i="16"/>
  <c r="ET455" i="16"/>
  <c r="EV455" i="16"/>
  <c r="EX455" i="16"/>
  <c r="EZ455" i="16"/>
  <c r="FB455" i="16"/>
  <c r="FD455" i="16"/>
  <c r="FF455" i="16"/>
  <c r="FH455" i="16"/>
  <c r="FJ455" i="16"/>
  <c r="FL455" i="16"/>
  <c r="FN455" i="16"/>
  <c r="FP455" i="16"/>
  <c r="FR455" i="16"/>
  <c r="FT455" i="16"/>
  <c r="FV455" i="16"/>
  <c r="FX455" i="16"/>
  <c r="FZ455" i="16"/>
  <c r="GB455" i="16"/>
  <c r="GD455" i="16"/>
  <c r="CY455" i="16"/>
  <c r="DA455" i="16"/>
  <c r="DC455" i="16"/>
  <c r="DE455" i="16"/>
  <c r="DG455" i="16"/>
  <c r="DI455" i="16"/>
  <c r="DK455" i="16"/>
  <c r="DM455" i="16"/>
  <c r="DO455" i="16"/>
  <c r="DQ455" i="16"/>
  <c r="DS455" i="16"/>
  <c r="DU455" i="16"/>
  <c r="DW455" i="16"/>
  <c r="DY455" i="16"/>
  <c r="EA455" i="16"/>
  <c r="EC455" i="16"/>
  <c r="EE455" i="16"/>
  <c r="EG455" i="16"/>
  <c r="EI455" i="16"/>
  <c r="EK455" i="16"/>
  <c r="EM455" i="16"/>
  <c r="EO455" i="16"/>
  <c r="EQ455" i="16"/>
  <c r="ES455" i="16"/>
  <c r="EU455" i="16"/>
  <c r="EW455" i="16"/>
  <c r="EY455" i="16"/>
  <c r="FA455" i="16"/>
  <c r="FC455" i="16"/>
  <c r="FE455" i="16"/>
  <c r="FG455" i="16"/>
  <c r="FI455" i="16"/>
  <c r="FK455" i="16"/>
  <c r="FM455" i="16"/>
  <c r="FO455" i="16"/>
  <c r="FQ455" i="16"/>
  <c r="FS455" i="16"/>
  <c r="FU455" i="16"/>
  <c r="FW455" i="16"/>
  <c r="FY455" i="16"/>
  <c r="GA455" i="16"/>
  <c r="GC455" i="16"/>
  <c r="CZ457" i="16"/>
  <c r="DB457" i="16"/>
  <c r="DD457" i="16"/>
  <c r="DF457" i="16"/>
  <c r="DH457" i="16"/>
  <c r="DJ457" i="16"/>
  <c r="DL457" i="16"/>
  <c r="DN457" i="16"/>
  <c r="DP457" i="16"/>
  <c r="DR457" i="16"/>
  <c r="DT457" i="16"/>
  <c r="DV457" i="16"/>
  <c r="DX457" i="16"/>
  <c r="DZ457" i="16"/>
  <c r="EB457" i="16"/>
  <c r="ED457" i="16"/>
  <c r="EF457" i="16"/>
  <c r="EH457" i="16"/>
  <c r="EJ457" i="16"/>
  <c r="EL457" i="16"/>
  <c r="EN457" i="16"/>
  <c r="EP457" i="16"/>
  <c r="ER457" i="16"/>
  <c r="ET457" i="16"/>
  <c r="EV457" i="16"/>
  <c r="EX457" i="16"/>
  <c r="EZ457" i="16"/>
  <c r="FB457" i="16"/>
  <c r="FD457" i="16"/>
  <c r="FF457" i="16"/>
  <c r="FH457" i="16"/>
  <c r="FJ457" i="16"/>
  <c r="FL457" i="16"/>
  <c r="FN457" i="16"/>
  <c r="FP457" i="16"/>
  <c r="FR457" i="16"/>
  <c r="FT457" i="16"/>
  <c r="FV457" i="16"/>
  <c r="FX457" i="16"/>
  <c r="FZ457" i="16"/>
  <c r="GB457" i="16"/>
  <c r="GD457" i="16"/>
  <c r="CY457" i="16"/>
  <c r="DA457" i="16"/>
  <c r="DC457" i="16"/>
  <c r="DE457" i="16"/>
  <c r="DG457" i="16"/>
  <c r="DI457" i="16"/>
  <c r="DK457" i="16"/>
  <c r="DM457" i="16"/>
  <c r="DO457" i="16"/>
  <c r="DQ457" i="16"/>
  <c r="DS457" i="16"/>
  <c r="DU457" i="16"/>
  <c r="DW457" i="16"/>
  <c r="DY457" i="16"/>
  <c r="EA457" i="16"/>
  <c r="EC457" i="16"/>
  <c r="EE457" i="16"/>
  <c r="EG457" i="16"/>
  <c r="EI457" i="16"/>
  <c r="EK457" i="16"/>
  <c r="EM457" i="16"/>
  <c r="EO457" i="16"/>
  <c r="EQ457" i="16"/>
  <c r="ES457" i="16"/>
  <c r="EU457" i="16"/>
  <c r="EW457" i="16"/>
  <c r="EY457" i="16"/>
  <c r="FA457" i="16"/>
  <c r="FC457" i="16"/>
  <c r="FE457" i="16"/>
  <c r="FG457" i="16"/>
  <c r="FI457" i="16"/>
  <c r="FK457" i="16"/>
  <c r="FM457" i="16"/>
  <c r="FO457" i="16"/>
  <c r="FQ457" i="16"/>
  <c r="FS457" i="16"/>
  <c r="FU457" i="16"/>
  <c r="FW457" i="16"/>
  <c r="FY457" i="16"/>
  <c r="GA457" i="16"/>
  <c r="GC457" i="16"/>
  <c r="CZ459" i="16"/>
  <c r="DB459" i="16"/>
  <c r="DD459" i="16"/>
  <c r="DF459" i="16"/>
  <c r="DH459" i="16"/>
  <c r="DJ459" i="16"/>
  <c r="DL459" i="16"/>
  <c r="DN459" i="16"/>
  <c r="DP459" i="16"/>
  <c r="DR459" i="16"/>
  <c r="DT459" i="16"/>
  <c r="DV459" i="16"/>
  <c r="DX459" i="16"/>
  <c r="DZ459" i="16"/>
  <c r="EB459" i="16"/>
  <c r="ED459" i="16"/>
  <c r="EF459" i="16"/>
  <c r="EH459" i="16"/>
  <c r="EJ459" i="16"/>
  <c r="EL459" i="16"/>
  <c r="EN459" i="16"/>
  <c r="EP459" i="16"/>
  <c r="ER459" i="16"/>
  <c r="ET459" i="16"/>
  <c r="EV459" i="16"/>
  <c r="EX459" i="16"/>
  <c r="EZ459" i="16"/>
  <c r="FB459" i="16"/>
  <c r="FD459" i="16"/>
  <c r="FF459" i="16"/>
  <c r="FH459" i="16"/>
  <c r="FJ459" i="16"/>
  <c r="FL459" i="16"/>
  <c r="FN459" i="16"/>
  <c r="FP459" i="16"/>
  <c r="FR459" i="16"/>
  <c r="FT459" i="16"/>
  <c r="FV459" i="16"/>
  <c r="FX459" i="16"/>
  <c r="FZ459" i="16"/>
  <c r="GB459" i="16"/>
  <c r="GD459" i="16"/>
  <c r="CY459" i="16"/>
  <c r="DA459" i="16"/>
  <c r="DC459" i="16"/>
  <c r="DE459" i="16"/>
  <c r="DG459" i="16"/>
  <c r="DI459" i="16"/>
  <c r="DK459" i="16"/>
  <c r="DM459" i="16"/>
  <c r="DO459" i="16"/>
  <c r="DQ459" i="16"/>
  <c r="DS459" i="16"/>
  <c r="DU459" i="16"/>
  <c r="DW459" i="16"/>
  <c r="DY459" i="16"/>
  <c r="EA459" i="16"/>
  <c r="EC459" i="16"/>
  <c r="EE459" i="16"/>
  <c r="EG459" i="16"/>
  <c r="EI459" i="16"/>
  <c r="EK459" i="16"/>
  <c r="EM459" i="16"/>
  <c r="EO459" i="16"/>
  <c r="EQ459" i="16"/>
  <c r="ES459" i="16"/>
  <c r="EU459" i="16"/>
  <c r="EW459" i="16"/>
  <c r="EY459" i="16"/>
  <c r="FA459" i="16"/>
  <c r="FC459" i="16"/>
  <c r="FE459" i="16"/>
  <c r="FG459" i="16"/>
  <c r="FI459" i="16"/>
  <c r="FK459" i="16"/>
  <c r="FM459" i="16"/>
  <c r="FO459" i="16"/>
  <c r="FQ459" i="16"/>
  <c r="FS459" i="16"/>
  <c r="FU459" i="16"/>
  <c r="FW459" i="16"/>
  <c r="FY459" i="16"/>
  <c r="GA459" i="16"/>
  <c r="GC459" i="16"/>
  <c r="CZ461" i="16"/>
  <c r="DB461" i="16"/>
  <c r="DD461" i="16"/>
  <c r="DF461" i="16"/>
  <c r="DH461" i="16"/>
  <c r="DJ461" i="16"/>
  <c r="DL461" i="16"/>
  <c r="DN461" i="16"/>
  <c r="DP461" i="16"/>
  <c r="DR461" i="16"/>
  <c r="DT461" i="16"/>
  <c r="DV461" i="16"/>
  <c r="DX461" i="16"/>
  <c r="DZ461" i="16"/>
  <c r="EB461" i="16"/>
  <c r="ED461" i="16"/>
  <c r="EF461" i="16"/>
  <c r="EH461" i="16"/>
  <c r="EJ461" i="16"/>
  <c r="EL461" i="16"/>
  <c r="EN461" i="16"/>
  <c r="EP461" i="16"/>
  <c r="ER461" i="16"/>
  <c r="ET461" i="16"/>
  <c r="EV461" i="16"/>
  <c r="EX461" i="16"/>
  <c r="EZ461" i="16"/>
  <c r="FB461" i="16"/>
  <c r="FD461" i="16"/>
  <c r="FF461" i="16"/>
  <c r="FH461" i="16"/>
  <c r="FJ461" i="16"/>
  <c r="FL461" i="16"/>
  <c r="FN461" i="16"/>
  <c r="FP461" i="16"/>
  <c r="FR461" i="16"/>
  <c r="FT461" i="16"/>
  <c r="FV461" i="16"/>
  <c r="FX461" i="16"/>
  <c r="FZ461" i="16"/>
  <c r="GB461" i="16"/>
  <c r="GD461" i="16"/>
  <c r="CY461" i="16"/>
  <c r="DA461" i="16"/>
  <c r="DC461" i="16"/>
  <c r="DE461" i="16"/>
  <c r="DG461" i="16"/>
  <c r="DI461" i="16"/>
  <c r="DK461" i="16"/>
  <c r="DM461" i="16"/>
  <c r="DO461" i="16"/>
  <c r="DQ461" i="16"/>
  <c r="DS461" i="16"/>
  <c r="DU461" i="16"/>
  <c r="DW461" i="16"/>
  <c r="DY461" i="16"/>
  <c r="EA461" i="16"/>
  <c r="EC461" i="16"/>
  <c r="EE461" i="16"/>
  <c r="EG461" i="16"/>
  <c r="EI461" i="16"/>
  <c r="EK461" i="16"/>
  <c r="EM461" i="16"/>
  <c r="EO461" i="16"/>
  <c r="EQ461" i="16"/>
  <c r="ES461" i="16"/>
  <c r="EU461" i="16"/>
  <c r="EW461" i="16"/>
  <c r="EY461" i="16"/>
  <c r="FA461" i="16"/>
  <c r="FC461" i="16"/>
  <c r="FE461" i="16"/>
  <c r="FG461" i="16"/>
  <c r="FI461" i="16"/>
  <c r="FK461" i="16"/>
  <c r="FM461" i="16"/>
  <c r="FO461" i="16"/>
  <c r="FQ461" i="16"/>
  <c r="FS461" i="16"/>
  <c r="FU461" i="16"/>
  <c r="FW461" i="16"/>
  <c r="FY461" i="16"/>
  <c r="GA461" i="16"/>
  <c r="GC461" i="16"/>
  <c r="CZ463" i="16"/>
  <c r="DB463" i="16"/>
  <c r="DD463" i="16"/>
  <c r="DF463" i="16"/>
  <c r="DH463" i="16"/>
  <c r="DJ463" i="16"/>
  <c r="DL463" i="16"/>
  <c r="DN463" i="16"/>
  <c r="DP463" i="16"/>
  <c r="DR463" i="16"/>
  <c r="DT463" i="16"/>
  <c r="DV463" i="16"/>
  <c r="DX463" i="16"/>
  <c r="DZ463" i="16"/>
  <c r="EB463" i="16"/>
  <c r="ED463" i="16"/>
  <c r="EF463" i="16"/>
  <c r="EH463" i="16"/>
  <c r="EJ463" i="16"/>
  <c r="EL463" i="16"/>
  <c r="EN463" i="16"/>
  <c r="EP463" i="16"/>
  <c r="ER463" i="16"/>
  <c r="ET463" i="16"/>
  <c r="EV463" i="16"/>
  <c r="EX463" i="16"/>
  <c r="EZ463" i="16"/>
  <c r="FB463" i="16"/>
  <c r="FD463" i="16"/>
  <c r="FF463" i="16"/>
  <c r="FH463" i="16"/>
  <c r="FJ463" i="16"/>
  <c r="FL463" i="16"/>
  <c r="FN463" i="16"/>
  <c r="FP463" i="16"/>
  <c r="FR463" i="16"/>
  <c r="FT463" i="16"/>
  <c r="FV463" i="16"/>
  <c r="FX463" i="16"/>
  <c r="FZ463" i="16"/>
  <c r="GB463" i="16"/>
  <c r="GD463" i="16"/>
  <c r="CY463" i="16"/>
  <c r="DA463" i="16"/>
  <c r="DC463" i="16"/>
  <c r="DE463" i="16"/>
  <c r="DG463" i="16"/>
  <c r="DI463" i="16"/>
  <c r="DK463" i="16"/>
  <c r="DM463" i="16"/>
  <c r="DO463" i="16"/>
  <c r="DQ463" i="16"/>
  <c r="DS463" i="16"/>
  <c r="DU463" i="16"/>
  <c r="DW463" i="16"/>
  <c r="DY463" i="16"/>
  <c r="EA463" i="16"/>
  <c r="EC463" i="16"/>
  <c r="EE463" i="16"/>
  <c r="EG463" i="16"/>
  <c r="EI463" i="16"/>
  <c r="EK463" i="16"/>
  <c r="EM463" i="16"/>
  <c r="EO463" i="16"/>
  <c r="EQ463" i="16"/>
  <c r="ES463" i="16"/>
  <c r="EU463" i="16"/>
  <c r="EW463" i="16"/>
  <c r="EY463" i="16"/>
  <c r="FA463" i="16"/>
  <c r="FC463" i="16"/>
  <c r="FE463" i="16"/>
  <c r="FG463" i="16"/>
  <c r="FI463" i="16"/>
  <c r="FK463" i="16"/>
  <c r="FM463" i="16"/>
  <c r="FO463" i="16"/>
  <c r="FQ463" i="16"/>
  <c r="FS463" i="16"/>
  <c r="FU463" i="16"/>
  <c r="FW463" i="16"/>
  <c r="FY463" i="16"/>
  <c r="GA463" i="16"/>
  <c r="GC463" i="16"/>
  <c r="CZ465" i="16"/>
  <c r="DB465" i="16"/>
  <c r="DD465" i="16"/>
  <c r="DF465" i="16"/>
  <c r="DH465" i="16"/>
  <c r="DJ465" i="16"/>
  <c r="DL465" i="16"/>
  <c r="DN465" i="16"/>
  <c r="DP465" i="16"/>
  <c r="DR465" i="16"/>
  <c r="DT465" i="16"/>
  <c r="DV465" i="16"/>
  <c r="DX465" i="16"/>
  <c r="DZ465" i="16"/>
  <c r="EB465" i="16"/>
  <c r="ED465" i="16"/>
  <c r="EF465" i="16"/>
  <c r="EH465" i="16"/>
  <c r="EJ465" i="16"/>
  <c r="EL465" i="16"/>
  <c r="EN465" i="16"/>
  <c r="EP465" i="16"/>
  <c r="ER465" i="16"/>
  <c r="ET465" i="16"/>
  <c r="EV465" i="16"/>
  <c r="EX465" i="16"/>
  <c r="EZ465" i="16"/>
  <c r="FB465" i="16"/>
  <c r="FD465" i="16"/>
  <c r="FF465" i="16"/>
  <c r="FH465" i="16"/>
  <c r="FJ465" i="16"/>
  <c r="FL465" i="16"/>
  <c r="FN465" i="16"/>
  <c r="FP465" i="16"/>
  <c r="FR465" i="16"/>
  <c r="FT465" i="16"/>
  <c r="FV465" i="16"/>
  <c r="FX465" i="16"/>
  <c r="FZ465" i="16"/>
  <c r="GB465" i="16"/>
  <c r="GD465" i="16"/>
  <c r="CY465" i="16"/>
  <c r="DA465" i="16"/>
  <c r="DC465" i="16"/>
  <c r="DE465" i="16"/>
  <c r="DG465" i="16"/>
  <c r="DI465" i="16"/>
  <c r="DK465" i="16"/>
  <c r="DM465" i="16"/>
  <c r="DO465" i="16"/>
  <c r="DQ465" i="16"/>
  <c r="DS465" i="16"/>
  <c r="DU465" i="16"/>
  <c r="DW465" i="16"/>
  <c r="DY465" i="16"/>
  <c r="EA465" i="16"/>
  <c r="EC465" i="16"/>
  <c r="EE465" i="16"/>
  <c r="EG465" i="16"/>
  <c r="EI465" i="16"/>
  <c r="EK465" i="16"/>
  <c r="EM465" i="16"/>
  <c r="EO465" i="16"/>
  <c r="EQ465" i="16"/>
  <c r="ES465" i="16"/>
  <c r="EU465" i="16"/>
  <c r="EW465" i="16"/>
  <c r="EY465" i="16"/>
  <c r="FA465" i="16"/>
  <c r="FC465" i="16"/>
  <c r="FE465" i="16"/>
  <c r="FG465" i="16"/>
  <c r="FI465" i="16"/>
  <c r="FK465" i="16"/>
  <c r="FM465" i="16"/>
  <c r="FO465" i="16"/>
  <c r="FQ465" i="16"/>
  <c r="FS465" i="16"/>
  <c r="FU465" i="16"/>
  <c r="FW465" i="16"/>
  <c r="FY465" i="16"/>
  <c r="GA465" i="16"/>
  <c r="GC465" i="16"/>
  <c r="CZ467" i="16"/>
  <c r="DB467" i="16"/>
  <c r="DD467" i="16"/>
  <c r="DF467" i="16"/>
  <c r="DH467" i="16"/>
  <c r="DJ467" i="16"/>
  <c r="DL467" i="16"/>
  <c r="DN467" i="16"/>
  <c r="DP467" i="16"/>
  <c r="DR467" i="16"/>
  <c r="DT467" i="16"/>
  <c r="DV467" i="16"/>
  <c r="DX467" i="16"/>
  <c r="DZ467" i="16"/>
  <c r="EB467" i="16"/>
  <c r="ED467" i="16"/>
  <c r="EF467" i="16"/>
  <c r="EH467" i="16"/>
  <c r="EJ467" i="16"/>
  <c r="EL467" i="16"/>
  <c r="EN467" i="16"/>
  <c r="EP467" i="16"/>
  <c r="ER467" i="16"/>
  <c r="ET467" i="16"/>
  <c r="EV467" i="16"/>
  <c r="EX467" i="16"/>
  <c r="EZ467" i="16"/>
  <c r="FB467" i="16"/>
  <c r="FD467" i="16"/>
  <c r="FF467" i="16"/>
  <c r="FH467" i="16"/>
  <c r="FJ467" i="16"/>
  <c r="FL467" i="16"/>
  <c r="FN467" i="16"/>
  <c r="FP467" i="16"/>
  <c r="FR467" i="16"/>
  <c r="FT467" i="16"/>
  <c r="FV467" i="16"/>
  <c r="FX467" i="16"/>
  <c r="FZ467" i="16"/>
  <c r="GB467" i="16"/>
  <c r="GD467" i="16"/>
  <c r="CY467" i="16"/>
  <c r="DA467" i="16"/>
  <c r="DC467" i="16"/>
  <c r="DE467" i="16"/>
  <c r="DG467" i="16"/>
  <c r="DI467" i="16"/>
  <c r="DK467" i="16"/>
  <c r="DM467" i="16"/>
  <c r="DO467" i="16"/>
  <c r="DQ467" i="16"/>
  <c r="DS467" i="16"/>
  <c r="DU467" i="16"/>
  <c r="DW467" i="16"/>
  <c r="DY467" i="16"/>
  <c r="EA467" i="16"/>
  <c r="EC467" i="16"/>
  <c r="EE467" i="16"/>
  <c r="EG467" i="16"/>
  <c r="EI467" i="16"/>
  <c r="EK467" i="16"/>
  <c r="EM467" i="16"/>
  <c r="EO467" i="16"/>
  <c r="EQ467" i="16"/>
  <c r="ES467" i="16"/>
  <c r="EU467" i="16"/>
  <c r="EW467" i="16"/>
  <c r="EY467" i="16"/>
  <c r="FA467" i="16"/>
  <c r="FC467" i="16"/>
  <c r="FE467" i="16"/>
  <c r="FG467" i="16"/>
  <c r="FI467" i="16"/>
  <c r="FK467" i="16"/>
  <c r="FM467" i="16"/>
  <c r="FO467" i="16"/>
  <c r="FQ467" i="16"/>
  <c r="FS467" i="16"/>
  <c r="FU467" i="16"/>
  <c r="FW467" i="16"/>
  <c r="FY467" i="16"/>
  <c r="GA467" i="16"/>
  <c r="GC467" i="16"/>
  <c r="CZ469" i="16"/>
  <c r="DB469" i="16"/>
  <c r="DD469" i="16"/>
  <c r="DF469" i="16"/>
  <c r="DH469" i="16"/>
  <c r="DJ469" i="16"/>
  <c r="DL469" i="16"/>
  <c r="DN469" i="16"/>
  <c r="DP469" i="16"/>
  <c r="DR469" i="16"/>
  <c r="DT469" i="16"/>
  <c r="DV469" i="16"/>
  <c r="DX469" i="16"/>
  <c r="DZ469" i="16"/>
  <c r="EB469" i="16"/>
  <c r="ED469" i="16"/>
  <c r="EF469" i="16"/>
  <c r="EH469" i="16"/>
  <c r="EJ469" i="16"/>
  <c r="EL469" i="16"/>
  <c r="EN469" i="16"/>
  <c r="EP469" i="16"/>
  <c r="ER469" i="16"/>
  <c r="ET469" i="16"/>
  <c r="EV469" i="16"/>
  <c r="EX469" i="16"/>
  <c r="EZ469" i="16"/>
  <c r="FB469" i="16"/>
  <c r="FD469" i="16"/>
  <c r="FF469" i="16"/>
  <c r="FH469" i="16"/>
  <c r="FJ469" i="16"/>
  <c r="FL469" i="16"/>
  <c r="FN469" i="16"/>
  <c r="FP469" i="16"/>
  <c r="FR469" i="16"/>
  <c r="FT469" i="16"/>
  <c r="FV469" i="16"/>
  <c r="FX469" i="16"/>
  <c r="FZ469" i="16"/>
  <c r="GB469" i="16"/>
  <c r="GD469" i="16"/>
  <c r="CY469" i="16"/>
  <c r="DA469" i="16"/>
  <c r="DC469" i="16"/>
  <c r="DE469" i="16"/>
  <c r="DG469" i="16"/>
  <c r="DI469" i="16"/>
  <c r="DK469" i="16"/>
  <c r="DM469" i="16"/>
  <c r="DO469" i="16"/>
  <c r="DQ469" i="16"/>
  <c r="DS469" i="16"/>
  <c r="DU469" i="16"/>
  <c r="DW469" i="16"/>
  <c r="DY469" i="16"/>
  <c r="EA469" i="16"/>
  <c r="EC469" i="16"/>
  <c r="EE469" i="16"/>
  <c r="EG469" i="16"/>
  <c r="EI469" i="16"/>
  <c r="EK469" i="16"/>
  <c r="EM469" i="16"/>
  <c r="EO469" i="16"/>
  <c r="EQ469" i="16"/>
  <c r="ES469" i="16"/>
  <c r="EU469" i="16"/>
  <c r="EW469" i="16"/>
  <c r="EY469" i="16"/>
  <c r="FA469" i="16"/>
  <c r="FC469" i="16"/>
  <c r="FE469" i="16"/>
  <c r="FG469" i="16"/>
  <c r="FI469" i="16"/>
  <c r="FK469" i="16"/>
  <c r="FM469" i="16"/>
  <c r="FO469" i="16"/>
  <c r="FQ469" i="16"/>
  <c r="FS469" i="16"/>
  <c r="FU469" i="16"/>
  <c r="FW469" i="16"/>
  <c r="FY469" i="16"/>
  <c r="GA469" i="16"/>
  <c r="GC469" i="16"/>
  <c r="CZ471" i="16"/>
  <c r="DB471" i="16"/>
  <c r="DD471" i="16"/>
  <c r="DF471" i="16"/>
  <c r="DH471" i="16"/>
  <c r="DJ471" i="16"/>
  <c r="DL471" i="16"/>
  <c r="DN471" i="16"/>
  <c r="DP471" i="16"/>
  <c r="DR471" i="16"/>
  <c r="DT471" i="16"/>
  <c r="DV471" i="16"/>
  <c r="DX471" i="16"/>
  <c r="DZ471" i="16"/>
  <c r="EB471" i="16"/>
  <c r="ED471" i="16"/>
  <c r="EF471" i="16"/>
  <c r="EH471" i="16"/>
  <c r="EJ471" i="16"/>
  <c r="EL471" i="16"/>
  <c r="EN471" i="16"/>
  <c r="EP471" i="16"/>
  <c r="ER471" i="16"/>
  <c r="ET471" i="16"/>
  <c r="EV471" i="16"/>
  <c r="EX471" i="16"/>
  <c r="EZ471" i="16"/>
  <c r="FB471" i="16"/>
  <c r="FD471" i="16"/>
  <c r="FF471" i="16"/>
  <c r="FH471" i="16"/>
  <c r="FJ471" i="16"/>
  <c r="FL471" i="16"/>
  <c r="FN471" i="16"/>
  <c r="FP471" i="16"/>
  <c r="FR471" i="16"/>
  <c r="FT471" i="16"/>
  <c r="FV471" i="16"/>
  <c r="FX471" i="16"/>
  <c r="FZ471" i="16"/>
  <c r="GB471" i="16"/>
  <c r="GD471" i="16"/>
  <c r="CY471" i="16"/>
  <c r="DA471" i="16"/>
  <c r="DC471" i="16"/>
  <c r="DE471" i="16"/>
  <c r="DG471" i="16"/>
  <c r="DI471" i="16"/>
  <c r="DK471" i="16"/>
  <c r="DM471" i="16"/>
  <c r="DO471" i="16"/>
  <c r="DQ471" i="16"/>
  <c r="DS471" i="16"/>
  <c r="DU471" i="16"/>
  <c r="DW471" i="16"/>
  <c r="DY471" i="16"/>
  <c r="EA471" i="16"/>
  <c r="EC471" i="16"/>
  <c r="EE471" i="16"/>
  <c r="EG471" i="16"/>
  <c r="EI471" i="16"/>
  <c r="EK471" i="16"/>
  <c r="EM471" i="16"/>
  <c r="EO471" i="16"/>
  <c r="EQ471" i="16"/>
  <c r="ES471" i="16"/>
  <c r="EU471" i="16"/>
  <c r="EW471" i="16"/>
  <c r="EY471" i="16"/>
  <c r="FA471" i="16"/>
  <c r="FC471" i="16"/>
  <c r="FE471" i="16"/>
  <c r="FG471" i="16"/>
  <c r="FI471" i="16"/>
  <c r="FK471" i="16"/>
  <c r="FM471" i="16"/>
  <c r="FO471" i="16"/>
  <c r="FQ471" i="16"/>
  <c r="FS471" i="16"/>
  <c r="FU471" i="16"/>
  <c r="FW471" i="16"/>
  <c r="FY471" i="16"/>
  <c r="GA471" i="16"/>
  <c r="GC471" i="16"/>
  <c r="CZ473" i="16"/>
  <c r="DB473" i="16"/>
  <c r="DD473" i="16"/>
  <c r="DF473" i="16"/>
  <c r="DH473" i="16"/>
  <c r="DJ473" i="16"/>
  <c r="DL473" i="16"/>
  <c r="DN473" i="16"/>
  <c r="DP473" i="16"/>
  <c r="DR473" i="16"/>
  <c r="DT473" i="16"/>
  <c r="DV473" i="16"/>
  <c r="DX473" i="16"/>
  <c r="DZ473" i="16"/>
  <c r="EB473" i="16"/>
  <c r="ED473" i="16"/>
  <c r="EF473" i="16"/>
  <c r="EH473" i="16"/>
  <c r="EJ473" i="16"/>
  <c r="EL473" i="16"/>
  <c r="EN473" i="16"/>
  <c r="EP473" i="16"/>
  <c r="ER473" i="16"/>
  <c r="ET473" i="16"/>
  <c r="EV473" i="16"/>
  <c r="EX473" i="16"/>
  <c r="EZ473" i="16"/>
  <c r="FB473" i="16"/>
  <c r="FD473" i="16"/>
  <c r="FF473" i="16"/>
  <c r="FH473" i="16"/>
  <c r="FJ473" i="16"/>
  <c r="FL473" i="16"/>
  <c r="FN473" i="16"/>
  <c r="FP473" i="16"/>
  <c r="FR473" i="16"/>
  <c r="FT473" i="16"/>
  <c r="FV473" i="16"/>
  <c r="FX473" i="16"/>
  <c r="FZ473" i="16"/>
  <c r="GB473" i="16"/>
  <c r="GD473" i="16"/>
  <c r="CY473" i="16"/>
  <c r="DA473" i="16"/>
  <c r="DC473" i="16"/>
  <c r="DE473" i="16"/>
  <c r="DG473" i="16"/>
  <c r="DI473" i="16"/>
  <c r="DK473" i="16"/>
  <c r="DM473" i="16"/>
  <c r="DO473" i="16"/>
  <c r="DQ473" i="16"/>
  <c r="DS473" i="16"/>
  <c r="DU473" i="16"/>
  <c r="DW473" i="16"/>
  <c r="DY473" i="16"/>
  <c r="EA473" i="16"/>
  <c r="EC473" i="16"/>
  <c r="EE473" i="16"/>
  <c r="EG473" i="16"/>
  <c r="EI473" i="16"/>
  <c r="EK473" i="16"/>
  <c r="EM473" i="16"/>
  <c r="EO473" i="16"/>
  <c r="EQ473" i="16"/>
  <c r="ES473" i="16"/>
  <c r="EU473" i="16"/>
  <c r="EW473" i="16"/>
  <c r="EY473" i="16"/>
  <c r="FA473" i="16"/>
  <c r="FC473" i="16"/>
  <c r="FE473" i="16"/>
  <c r="FG473" i="16"/>
  <c r="FI473" i="16"/>
  <c r="FK473" i="16"/>
  <c r="FM473" i="16"/>
  <c r="FO473" i="16"/>
  <c r="FQ473" i="16"/>
  <c r="FS473" i="16"/>
  <c r="FU473" i="16"/>
  <c r="FW473" i="16"/>
  <c r="FY473" i="16"/>
  <c r="GA473" i="16"/>
  <c r="GC473" i="16"/>
  <c r="CZ475" i="16"/>
  <c r="DB475" i="16"/>
  <c r="DD475" i="16"/>
  <c r="DF475" i="16"/>
  <c r="DH475" i="16"/>
  <c r="DJ475" i="16"/>
  <c r="DL475" i="16"/>
  <c r="DN475" i="16"/>
  <c r="DP475" i="16"/>
  <c r="DR475" i="16"/>
  <c r="DT475" i="16"/>
  <c r="DV475" i="16"/>
  <c r="DX475" i="16"/>
  <c r="DZ475" i="16"/>
  <c r="EB475" i="16"/>
  <c r="ED475" i="16"/>
  <c r="EF475" i="16"/>
  <c r="EH475" i="16"/>
  <c r="EJ475" i="16"/>
  <c r="EL475" i="16"/>
  <c r="EN475" i="16"/>
  <c r="EP475" i="16"/>
  <c r="ER475" i="16"/>
  <c r="ET475" i="16"/>
  <c r="EV475" i="16"/>
  <c r="EX475" i="16"/>
  <c r="EZ475" i="16"/>
  <c r="FB475" i="16"/>
  <c r="FD475" i="16"/>
  <c r="FF475" i="16"/>
  <c r="FH475" i="16"/>
  <c r="FJ475" i="16"/>
  <c r="FL475" i="16"/>
  <c r="FN475" i="16"/>
  <c r="FP475" i="16"/>
  <c r="FR475" i="16"/>
  <c r="FT475" i="16"/>
  <c r="FV475" i="16"/>
  <c r="FX475" i="16"/>
  <c r="FZ475" i="16"/>
  <c r="GB475" i="16"/>
  <c r="GD475" i="16"/>
  <c r="CY475" i="16"/>
  <c r="DA475" i="16"/>
  <c r="DC475" i="16"/>
  <c r="DE475" i="16"/>
  <c r="DG475" i="16"/>
  <c r="DI475" i="16"/>
  <c r="DK475" i="16"/>
  <c r="DM475" i="16"/>
  <c r="DO475" i="16"/>
  <c r="DQ475" i="16"/>
  <c r="DS475" i="16"/>
  <c r="DU475" i="16"/>
  <c r="DW475" i="16"/>
  <c r="DY475" i="16"/>
  <c r="EA475" i="16"/>
  <c r="EC475" i="16"/>
  <c r="EE475" i="16"/>
  <c r="EG475" i="16"/>
  <c r="EI475" i="16"/>
  <c r="EK475" i="16"/>
  <c r="EM475" i="16"/>
  <c r="EO475" i="16"/>
  <c r="EQ475" i="16"/>
  <c r="ES475" i="16"/>
  <c r="EU475" i="16"/>
  <c r="EW475" i="16"/>
  <c r="EY475" i="16"/>
  <c r="FA475" i="16"/>
  <c r="FC475" i="16"/>
  <c r="FE475" i="16"/>
  <c r="FG475" i="16"/>
  <c r="FI475" i="16"/>
  <c r="FK475" i="16"/>
  <c r="FM475" i="16"/>
  <c r="FO475" i="16"/>
  <c r="FQ475" i="16"/>
  <c r="FS475" i="16"/>
  <c r="FU475" i="16"/>
  <c r="FW475" i="16"/>
  <c r="FY475" i="16"/>
  <c r="GA475" i="16"/>
  <c r="GC475" i="16"/>
  <c r="CZ477" i="16"/>
  <c r="DB477" i="16"/>
  <c r="DD477" i="16"/>
  <c r="DF477" i="16"/>
  <c r="DH477" i="16"/>
  <c r="DJ477" i="16"/>
  <c r="DL477" i="16"/>
  <c r="DN477" i="16"/>
  <c r="DP477" i="16"/>
  <c r="DR477" i="16"/>
  <c r="DT477" i="16"/>
  <c r="DV477" i="16"/>
  <c r="DX477" i="16"/>
  <c r="DZ477" i="16"/>
  <c r="EB477" i="16"/>
  <c r="ED477" i="16"/>
  <c r="EF477" i="16"/>
  <c r="EH477" i="16"/>
  <c r="EJ477" i="16"/>
  <c r="EL477" i="16"/>
  <c r="EN477" i="16"/>
  <c r="EP477" i="16"/>
  <c r="ER477" i="16"/>
  <c r="ET477" i="16"/>
  <c r="EV477" i="16"/>
  <c r="EX477" i="16"/>
  <c r="EZ477" i="16"/>
  <c r="FB477" i="16"/>
  <c r="FD477" i="16"/>
  <c r="FF477" i="16"/>
  <c r="FH477" i="16"/>
  <c r="FJ477" i="16"/>
  <c r="FL477" i="16"/>
  <c r="FN477" i="16"/>
  <c r="FP477" i="16"/>
  <c r="FR477" i="16"/>
  <c r="FT477" i="16"/>
  <c r="FV477" i="16"/>
  <c r="FX477" i="16"/>
  <c r="FZ477" i="16"/>
  <c r="GB477" i="16"/>
  <c r="GD477" i="16"/>
  <c r="CY477" i="16"/>
  <c r="DA477" i="16"/>
  <c r="DC477" i="16"/>
  <c r="DE477" i="16"/>
  <c r="DG477" i="16"/>
  <c r="DI477" i="16"/>
  <c r="DK477" i="16"/>
  <c r="DM477" i="16"/>
  <c r="DO477" i="16"/>
  <c r="DQ477" i="16"/>
  <c r="DS477" i="16"/>
  <c r="DU477" i="16"/>
  <c r="DW477" i="16"/>
  <c r="DY477" i="16"/>
  <c r="EA477" i="16"/>
  <c r="EC477" i="16"/>
  <c r="EE477" i="16"/>
  <c r="EG477" i="16"/>
  <c r="EI477" i="16"/>
  <c r="EK477" i="16"/>
  <c r="EM477" i="16"/>
  <c r="EO477" i="16"/>
  <c r="EQ477" i="16"/>
  <c r="ES477" i="16"/>
  <c r="EU477" i="16"/>
  <c r="EW477" i="16"/>
  <c r="EY477" i="16"/>
  <c r="FA477" i="16"/>
  <c r="FC477" i="16"/>
  <c r="FE477" i="16"/>
  <c r="FG477" i="16"/>
  <c r="FI477" i="16"/>
  <c r="FK477" i="16"/>
  <c r="FM477" i="16"/>
  <c r="FO477" i="16"/>
  <c r="FQ477" i="16"/>
  <c r="FS477" i="16"/>
  <c r="FU477" i="16"/>
  <c r="FW477" i="16"/>
  <c r="FY477" i="16"/>
  <c r="GA477" i="16"/>
  <c r="GC477" i="16"/>
  <c r="CZ479" i="16"/>
  <c r="DB479" i="16"/>
  <c r="DD479" i="16"/>
  <c r="DF479" i="16"/>
  <c r="DH479" i="16"/>
  <c r="DJ479" i="16"/>
  <c r="DL479" i="16"/>
  <c r="DN479" i="16"/>
  <c r="DP479" i="16"/>
  <c r="DR479" i="16"/>
  <c r="DT479" i="16"/>
  <c r="DV479" i="16"/>
  <c r="DX479" i="16"/>
  <c r="DZ479" i="16"/>
  <c r="EB479" i="16"/>
  <c r="ED479" i="16"/>
  <c r="EF479" i="16"/>
  <c r="EH479" i="16"/>
  <c r="EJ479" i="16"/>
  <c r="EL479" i="16"/>
  <c r="EN479" i="16"/>
  <c r="EP479" i="16"/>
  <c r="ER479" i="16"/>
  <c r="ET479" i="16"/>
  <c r="EV479" i="16"/>
  <c r="EX479" i="16"/>
  <c r="EZ479" i="16"/>
  <c r="FB479" i="16"/>
  <c r="FD479" i="16"/>
  <c r="FF479" i="16"/>
  <c r="FH479" i="16"/>
  <c r="FJ479" i="16"/>
  <c r="FL479" i="16"/>
  <c r="FN479" i="16"/>
  <c r="FP479" i="16"/>
  <c r="FR479" i="16"/>
  <c r="FT479" i="16"/>
  <c r="FV479" i="16"/>
  <c r="FX479" i="16"/>
  <c r="FZ479" i="16"/>
  <c r="GB479" i="16"/>
  <c r="GD479" i="16"/>
  <c r="CY479" i="16"/>
  <c r="DA479" i="16"/>
  <c r="DC479" i="16"/>
  <c r="DE479" i="16"/>
  <c r="DG479" i="16"/>
  <c r="DI479" i="16"/>
  <c r="DK479" i="16"/>
  <c r="DM479" i="16"/>
  <c r="DO479" i="16"/>
  <c r="DQ479" i="16"/>
  <c r="DS479" i="16"/>
  <c r="DU479" i="16"/>
  <c r="DW479" i="16"/>
  <c r="DY479" i="16"/>
  <c r="EA479" i="16"/>
  <c r="EC479" i="16"/>
  <c r="EE479" i="16"/>
  <c r="EG479" i="16"/>
  <c r="EI479" i="16"/>
  <c r="EK479" i="16"/>
  <c r="EM479" i="16"/>
  <c r="EO479" i="16"/>
  <c r="EQ479" i="16"/>
  <c r="ES479" i="16"/>
  <c r="EU479" i="16"/>
  <c r="EW479" i="16"/>
  <c r="EY479" i="16"/>
  <c r="FA479" i="16"/>
  <c r="FC479" i="16"/>
  <c r="FE479" i="16"/>
  <c r="FG479" i="16"/>
  <c r="FI479" i="16"/>
  <c r="FK479" i="16"/>
  <c r="FM479" i="16"/>
  <c r="FO479" i="16"/>
  <c r="FQ479" i="16"/>
  <c r="FS479" i="16"/>
  <c r="FU479" i="16"/>
  <c r="FW479" i="16"/>
  <c r="FY479" i="16"/>
  <c r="GA479" i="16"/>
  <c r="GC479" i="16"/>
  <c r="CZ481" i="16"/>
  <c r="DB481" i="16"/>
  <c r="DD481" i="16"/>
  <c r="DF481" i="16"/>
  <c r="DH481" i="16"/>
  <c r="DJ481" i="16"/>
  <c r="DL481" i="16"/>
  <c r="DN481" i="16"/>
  <c r="DP481" i="16"/>
  <c r="DR481" i="16"/>
  <c r="DT481" i="16"/>
  <c r="DV481" i="16"/>
  <c r="DX481" i="16"/>
  <c r="DZ481" i="16"/>
  <c r="EB481" i="16"/>
  <c r="ED481" i="16"/>
  <c r="EF481" i="16"/>
  <c r="EH481" i="16"/>
  <c r="EJ481" i="16"/>
  <c r="EL481" i="16"/>
  <c r="EN481" i="16"/>
  <c r="EP481" i="16"/>
  <c r="ER481" i="16"/>
  <c r="ET481" i="16"/>
  <c r="EV481" i="16"/>
  <c r="EX481" i="16"/>
  <c r="EZ481" i="16"/>
  <c r="FB481" i="16"/>
  <c r="FD481" i="16"/>
  <c r="FF481" i="16"/>
  <c r="FH481" i="16"/>
  <c r="FJ481" i="16"/>
  <c r="FL481" i="16"/>
  <c r="FN481" i="16"/>
  <c r="FP481" i="16"/>
  <c r="FR481" i="16"/>
  <c r="FT481" i="16"/>
  <c r="FV481" i="16"/>
  <c r="FX481" i="16"/>
  <c r="FZ481" i="16"/>
  <c r="GB481" i="16"/>
  <c r="GD481" i="16"/>
  <c r="CY481" i="16"/>
  <c r="DA481" i="16"/>
  <c r="DC481" i="16"/>
  <c r="DE481" i="16"/>
  <c r="DG481" i="16"/>
  <c r="DI481" i="16"/>
  <c r="DK481" i="16"/>
  <c r="DM481" i="16"/>
  <c r="DO481" i="16"/>
  <c r="DQ481" i="16"/>
  <c r="DS481" i="16"/>
  <c r="DU481" i="16"/>
  <c r="DW481" i="16"/>
  <c r="DY481" i="16"/>
  <c r="EA481" i="16"/>
  <c r="EC481" i="16"/>
  <c r="EE481" i="16"/>
  <c r="EG481" i="16"/>
  <c r="EI481" i="16"/>
  <c r="EK481" i="16"/>
  <c r="EM481" i="16"/>
  <c r="EO481" i="16"/>
  <c r="EQ481" i="16"/>
  <c r="ES481" i="16"/>
  <c r="EU481" i="16"/>
  <c r="EW481" i="16"/>
  <c r="EY481" i="16"/>
  <c r="FA481" i="16"/>
  <c r="FC481" i="16"/>
  <c r="FE481" i="16"/>
  <c r="FG481" i="16"/>
  <c r="FI481" i="16"/>
  <c r="FK481" i="16"/>
  <c r="FM481" i="16"/>
  <c r="FO481" i="16"/>
  <c r="FQ481" i="16"/>
  <c r="FS481" i="16"/>
  <c r="FU481" i="16"/>
  <c r="FW481" i="16"/>
  <c r="FY481" i="16"/>
  <c r="GA481" i="16"/>
  <c r="GC481" i="16"/>
  <c r="CY482" i="16"/>
  <c r="DA482" i="16"/>
  <c r="DC482" i="16"/>
  <c r="DE482" i="16"/>
  <c r="DG482" i="16"/>
  <c r="DI482" i="16"/>
  <c r="DK482" i="16"/>
  <c r="DM482" i="16"/>
  <c r="DO482" i="16"/>
  <c r="DQ482" i="16"/>
  <c r="DS482" i="16"/>
  <c r="DU482" i="16"/>
  <c r="DW482" i="16"/>
  <c r="DY482" i="16"/>
  <c r="EA482" i="16"/>
  <c r="EC482" i="16"/>
  <c r="EE482" i="16"/>
  <c r="EG482" i="16"/>
  <c r="EI482" i="16"/>
  <c r="EK482" i="16"/>
  <c r="EM482" i="16"/>
  <c r="EO482" i="16"/>
  <c r="EQ482" i="16"/>
  <c r="ES482" i="16"/>
  <c r="EU482" i="16"/>
  <c r="EW482" i="16"/>
  <c r="EY482" i="16"/>
  <c r="FA482" i="16"/>
  <c r="FC482" i="16"/>
  <c r="FE482" i="16"/>
  <c r="FG482" i="16"/>
  <c r="FI482" i="16"/>
  <c r="FK482" i="16"/>
  <c r="FM482" i="16"/>
  <c r="FO482" i="16"/>
  <c r="FQ482" i="16"/>
  <c r="FS482" i="16"/>
  <c r="FU482" i="16"/>
  <c r="FW482" i="16"/>
  <c r="FY482" i="16"/>
  <c r="GA482" i="16"/>
  <c r="GC482" i="16"/>
  <c r="CZ482" i="16"/>
  <c r="DB482" i="16"/>
  <c r="DD482" i="16"/>
  <c r="DF482" i="16"/>
  <c r="DH482" i="16"/>
  <c r="DJ482" i="16"/>
  <c r="DL482" i="16"/>
  <c r="DN482" i="16"/>
  <c r="DP482" i="16"/>
  <c r="DR482" i="16"/>
  <c r="DT482" i="16"/>
  <c r="DV482" i="16"/>
  <c r="DX482" i="16"/>
  <c r="DZ482" i="16"/>
  <c r="EB482" i="16"/>
  <c r="ED482" i="16"/>
  <c r="EF482" i="16"/>
  <c r="EH482" i="16"/>
  <c r="EJ482" i="16"/>
  <c r="EL482" i="16"/>
  <c r="EN482" i="16"/>
  <c r="EP482" i="16"/>
  <c r="ER482" i="16"/>
  <c r="ET482" i="16"/>
  <c r="EV482" i="16"/>
  <c r="EX482" i="16"/>
  <c r="EZ482" i="16"/>
  <c r="FB482" i="16"/>
  <c r="FD482" i="16"/>
  <c r="FF482" i="16"/>
  <c r="FH482" i="16"/>
  <c r="FJ482" i="16"/>
  <c r="FL482" i="16"/>
  <c r="FN482" i="16"/>
  <c r="FP482" i="16"/>
  <c r="FR482" i="16"/>
  <c r="FT482" i="16"/>
  <c r="FV482" i="16"/>
  <c r="FX482" i="16"/>
  <c r="FZ482" i="16"/>
  <c r="GB482" i="16"/>
  <c r="GD482" i="16"/>
  <c r="CY484" i="16"/>
  <c r="DA484" i="16"/>
  <c r="DC484" i="16"/>
  <c r="DE484" i="16"/>
  <c r="DG484" i="16"/>
  <c r="DI484" i="16"/>
  <c r="DK484" i="16"/>
  <c r="DM484" i="16"/>
  <c r="DO484" i="16"/>
  <c r="DQ484" i="16"/>
  <c r="DS484" i="16"/>
  <c r="DU484" i="16"/>
  <c r="DW484" i="16"/>
  <c r="DY484" i="16"/>
  <c r="EA484" i="16"/>
  <c r="EC484" i="16"/>
  <c r="EE484" i="16"/>
  <c r="EG484" i="16"/>
  <c r="EI484" i="16"/>
  <c r="EK484" i="16"/>
  <c r="EM484" i="16"/>
  <c r="EO484" i="16"/>
  <c r="EQ484" i="16"/>
  <c r="ES484" i="16"/>
  <c r="EU484" i="16"/>
  <c r="EW484" i="16"/>
  <c r="EY484" i="16"/>
  <c r="FA484" i="16"/>
  <c r="FC484" i="16"/>
  <c r="FE484" i="16"/>
  <c r="FG484" i="16"/>
  <c r="FI484" i="16"/>
  <c r="FK484" i="16"/>
  <c r="FM484" i="16"/>
  <c r="FO484" i="16"/>
  <c r="FQ484" i="16"/>
  <c r="FS484" i="16"/>
  <c r="FU484" i="16"/>
  <c r="FW484" i="16"/>
  <c r="FY484" i="16"/>
  <c r="GA484" i="16"/>
  <c r="GC484" i="16"/>
  <c r="CZ484" i="16"/>
  <c r="DB484" i="16"/>
  <c r="DD484" i="16"/>
  <c r="DF484" i="16"/>
  <c r="DH484" i="16"/>
  <c r="DJ484" i="16"/>
  <c r="DL484" i="16"/>
  <c r="DN484" i="16"/>
  <c r="DP484" i="16"/>
  <c r="DR484" i="16"/>
  <c r="DT484" i="16"/>
  <c r="DV484" i="16"/>
  <c r="DX484" i="16"/>
  <c r="DZ484" i="16"/>
  <c r="EB484" i="16"/>
  <c r="ED484" i="16"/>
  <c r="EF484" i="16"/>
  <c r="EH484" i="16"/>
  <c r="EJ484" i="16"/>
  <c r="EL484" i="16"/>
  <c r="EN484" i="16"/>
  <c r="EP484" i="16"/>
  <c r="ER484" i="16"/>
  <c r="ET484" i="16"/>
  <c r="EV484" i="16"/>
  <c r="EX484" i="16"/>
  <c r="EZ484" i="16"/>
  <c r="FB484" i="16"/>
  <c r="FD484" i="16"/>
  <c r="FF484" i="16"/>
  <c r="FH484" i="16"/>
  <c r="FJ484" i="16"/>
  <c r="FL484" i="16"/>
  <c r="FN484" i="16"/>
  <c r="FP484" i="16"/>
  <c r="FR484" i="16"/>
  <c r="FT484" i="16"/>
  <c r="FV484" i="16"/>
  <c r="FX484" i="16"/>
  <c r="FZ484" i="16"/>
  <c r="GB484" i="16"/>
  <c r="GD484" i="16"/>
  <c r="CY486" i="16"/>
  <c r="DA486" i="16"/>
  <c r="DC486" i="16"/>
  <c r="DE486" i="16"/>
  <c r="DG486" i="16"/>
  <c r="DI486" i="16"/>
  <c r="DK486" i="16"/>
  <c r="DM486" i="16"/>
  <c r="DO486" i="16"/>
  <c r="DQ486" i="16"/>
  <c r="DS486" i="16"/>
  <c r="DU486" i="16"/>
  <c r="DW486" i="16"/>
  <c r="DY486" i="16"/>
  <c r="EA486" i="16"/>
  <c r="EC486" i="16"/>
  <c r="EE486" i="16"/>
  <c r="EG486" i="16"/>
  <c r="EI486" i="16"/>
  <c r="EK486" i="16"/>
  <c r="EM486" i="16"/>
  <c r="EO486" i="16"/>
  <c r="EQ486" i="16"/>
  <c r="ES486" i="16"/>
  <c r="EU486" i="16"/>
  <c r="EW486" i="16"/>
  <c r="EY486" i="16"/>
  <c r="FA486" i="16"/>
  <c r="FC486" i="16"/>
  <c r="FE486" i="16"/>
  <c r="FG486" i="16"/>
  <c r="FI486" i="16"/>
  <c r="FK486" i="16"/>
  <c r="FM486" i="16"/>
  <c r="FO486" i="16"/>
  <c r="FQ486" i="16"/>
  <c r="FS486" i="16"/>
  <c r="FU486" i="16"/>
  <c r="FW486" i="16"/>
  <c r="FY486" i="16"/>
  <c r="GA486" i="16"/>
  <c r="GC486" i="16"/>
  <c r="CZ486" i="16"/>
  <c r="DB486" i="16"/>
  <c r="DD486" i="16"/>
  <c r="DF486" i="16"/>
  <c r="DH486" i="16"/>
  <c r="DJ486" i="16"/>
  <c r="DL486" i="16"/>
  <c r="DN486" i="16"/>
  <c r="DP486" i="16"/>
  <c r="DR486" i="16"/>
  <c r="DT486" i="16"/>
  <c r="DV486" i="16"/>
  <c r="DX486" i="16"/>
  <c r="DZ486" i="16"/>
  <c r="EB486" i="16"/>
  <c r="ED486" i="16"/>
  <c r="EF486" i="16"/>
  <c r="EH486" i="16"/>
  <c r="EJ486" i="16"/>
  <c r="EL486" i="16"/>
  <c r="EN486" i="16"/>
  <c r="EP486" i="16"/>
  <c r="ER486" i="16"/>
  <c r="ET486" i="16"/>
  <c r="EV486" i="16"/>
  <c r="EX486" i="16"/>
  <c r="EZ486" i="16"/>
  <c r="FB486" i="16"/>
  <c r="FD486" i="16"/>
  <c r="FF486" i="16"/>
  <c r="FH486" i="16"/>
  <c r="FJ486" i="16"/>
  <c r="FL486" i="16"/>
  <c r="FN486" i="16"/>
  <c r="FP486" i="16"/>
  <c r="FR486" i="16"/>
  <c r="FT486" i="16"/>
  <c r="FV486" i="16"/>
  <c r="FX486" i="16"/>
  <c r="FZ486" i="16"/>
  <c r="GB486" i="16"/>
  <c r="GD486" i="16"/>
  <c r="CY488" i="16"/>
  <c r="DA488" i="16"/>
  <c r="DC488" i="16"/>
  <c r="DE488" i="16"/>
  <c r="DG488" i="16"/>
  <c r="DI488" i="16"/>
  <c r="DK488" i="16"/>
  <c r="DM488" i="16"/>
  <c r="DO488" i="16"/>
  <c r="DQ488" i="16"/>
  <c r="DS488" i="16"/>
  <c r="DU488" i="16"/>
  <c r="DW488" i="16"/>
  <c r="DY488" i="16"/>
  <c r="EA488" i="16"/>
  <c r="EC488" i="16"/>
  <c r="EE488" i="16"/>
  <c r="EG488" i="16"/>
  <c r="EI488" i="16"/>
  <c r="EK488" i="16"/>
  <c r="EM488" i="16"/>
  <c r="EO488" i="16"/>
  <c r="EQ488" i="16"/>
  <c r="ES488" i="16"/>
  <c r="EU488" i="16"/>
  <c r="EW488" i="16"/>
  <c r="EY488" i="16"/>
  <c r="FA488" i="16"/>
  <c r="FC488" i="16"/>
  <c r="FE488" i="16"/>
  <c r="FG488" i="16"/>
  <c r="FI488" i="16"/>
  <c r="FK488" i="16"/>
  <c r="FM488" i="16"/>
  <c r="FO488" i="16"/>
  <c r="FQ488" i="16"/>
  <c r="FS488" i="16"/>
  <c r="FU488" i="16"/>
  <c r="FW488" i="16"/>
  <c r="FY488" i="16"/>
  <c r="GA488" i="16"/>
  <c r="GC488" i="16"/>
  <c r="CZ488" i="16"/>
  <c r="DB488" i="16"/>
  <c r="DD488" i="16"/>
  <c r="DF488" i="16"/>
  <c r="DH488" i="16"/>
  <c r="DJ488" i="16"/>
  <c r="DL488" i="16"/>
  <c r="DN488" i="16"/>
  <c r="DP488" i="16"/>
  <c r="DR488" i="16"/>
  <c r="DT488" i="16"/>
  <c r="DV488" i="16"/>
  <c r="DX488" i="16"/>
  <c r="DZ488" i="16"/>
  <c r="EB488" i="16"/>
  <c r="ED488" i="16"/>
  <c r="EF488" i="16"/>
  <c r="EH488" i="16"/>
  <c r="EJ488" i="16"/>
  <c r="EL488" i="16"/>
  <c r="EN488" i="16"/>
  <c r="EP488" i="16"/>
  <c r="ER488" i="16"/>
  <c r="ET488" i="16"/>
  <c r="EV488" i="16"/>
  <c r="EX488" i="16"/>
  <c r="EZ488" i="16"/>
  <c r="FB488" i="16"/>
  <c r="FD488" i="16"/>
  <c r="FF488" i="16"/>
  <c r="FH488" i="16"/>
  <c r="FJ488" i="16"/>
  <c r="FL488" i="16"/>
  <c r="FN488" i="16"/>
  <c r="FP488" i="16"/>
  <c r="FR488" i="16"/>
  <c r="FT488" i="16"/>
  <c r="FV488" i="16"/>
  <c r="FX488" i="16"/>
  <c r="FZ488" i="16"/>
  <c r="GB488" i="16"/>
  <c r="GD488" i="16"/>
  <c r="CZ489" i="16"/>
  <c r="DB489" i="16"/>
  <c r="DD489" i="16"/>
  <c r="DF489" i="16"/>
  <c r="DH489" i="16"/>
  <c r="DJ489" i="16"/>
  <c r="DL489" i="16"/>
  <c r="DN489" i="16"/>
  <c r="DP489" i="16"/>
  <c r="DR489" i="16"/>
  <c r="DT489" i="16"/>
  <c r="DV489" i="16"/>
  <c r="DX489" i="16"/>
  <c r="DZ489" i="16"/>
  <c r="EB489" i="16"/>
  <c r="ED489" i="16"/>
  <c r="EF489" i="16"/>
  <c r="EH489" i="16"/>
  <c r="EJ489" i="16"/>
  <c r="EL489" i="16"/>
  <c r="EN489" i="16"/>
  <c r="EP489" i="16"/>
  <c r="ER489" i="16"/>
  <c r="ET489" i="16"/>
  <c r="EV489" i="16"/>
  <c r="EX489" i="16"/>
  <c r="EZ489" i="16"/>
  <c r="FB489" i="16"/>
  <c r="FD489" i="16"/>
  <c r="FF489" i="16"/>
  <c r="FH489" i="16"/>
  <c r="FJ489" i="16"/>
  <c r="FL489" i="16"/>
  <c r="FN489" i="16"/>
  <c r="FP489" i="16"/>
  <c r="FR489" i="16"/>
  <c r="FT489" i="16"/>
  <c r="FV489" i="16"/>
  <c r="FX489" i="16"/>
  <c r="FZ489" i="16"/>
  <c r="GB489" i="16"/>
  <c r="GD489" i="16"/>
  <c r="CY489" i="16"/>
  <c r="DA489" i="16"/>
  <c r="DC489" i="16"/>
  <c r="DE489" i="16"/>
  <c r="DG489" i="16"/>
  <c r="DI489" i="16"/>
  <c r="DK489" i="16"/>
  <c r="DM489" i="16"/>
  <c r="DO489" i="16"/>
  <c r="DQ489" i="16"/>
  <c r="DS489" i="16"/>
  <c r="DU489" i="16"/>
  <c r="DW489" i="16"/>
  <c r="DY489" i="16"/>
  <c r="EA489" i="16"/>
  <c r="EC489" i="16"/>
  <c r="EE489" i="16"/>
  <c r="EG489" i="16"/>
  <c r="EI489" i="16"/>
  <c r="EK489" i="16"/>
  <c r="EM489" i="16"/>
  <c r="EO489" i="16"/>
  <c r="EQ489" i="16"/>
  <c r="ES489" i="16"/>
  <c r="EU489" i="16"/>
  <c r="EW489" i="16"/>
  <c r="EY489" i="16"/>
  <c r="FA489" i="16"/>
  <c r="FC489" i="16"/>
  <c r="FE489" i="16"/>
  <c r="FG489" i="16"/>
  <c r="FI489" i="16"/>
  <c r="FK489" i="16"/>
  <c r="FM489" i="16"/>
  <c r="FO489" i="16"/>
  <c r="FQ489" i="16"/>
  <c r="FS489" i="16"/>
  <c r="FU489" i="16"/>
  <c r="FW489" i="16"/>
  <c r="FY489" i="16"/>
  <c r="GA489" i="16"/>
  <c r="GC489" i="16"/>
  <c r="CZ491" i="16"/>
  <c r="DB491" i="16"/>
  <c r="DD491" i="16"/>
  <c r="DF491" i="16"/>
  <c r="DH491" i="16"/>
  <c r="DJ491" i="16"/>
  <c r="DL491" i="16"/>
  <c r="DN491" i="16"/>
  <c r="DP491" i="16"/>
  <c r="DR491" i="16"/>
  <c r="DT491" i="16"/>
  <c r="DV491" i="16"/>
  <c r="DX491" i="16"/>
  <c r="DZ491" i="16"/>
  <c r="EB491" i="16"/>
  <c r="ED491" i="16"/>
  <c r="EF491" i="16"/>
  <c r="EH491" i="16"/>
  <c r="EJ491" i="16"/>
  <c r="EL491" i="16"/>
  <c r="EN491" i="16"/>
  <c r="EP491" i="16"/>
  <c r="ER491" i="16"/>
  <c r="ET491" i="16"/>
  <c r="EV491" i="16"/>
  <c r="EX491" i="16"/>
  <c r="EZ491" i="16"/>
  <c r="FB491" i="16"/>
  <c r="FD491" i="16"/>
  <c r="FF491" i="16"/>
  <c r="FH491" i="16"/>
  <c r="FJ491" i="16"/>
  <c r="FL491" i="16"/>
  <c r="FN491" i="16"/>
  <c r="FP491" i="16"/>
  <c r="FR491" i="16"/>
  <c r="FT491" i="16"/>
  <c r="FV491" i="16"/>
  <c r="FX491" i="16"/>
  <c r="FZ491" i="16"/>
  <c r="GB491" i="16"/>
  <c r="GD491" i="16"/>
  <c r="CY491" i="16"/>
  <c r="DA491" i="16"/>
  <c r="DC491" i="16"/>
  <c r="DE491" i="16"/>
  <c r="DG491" i="16"/>
  <c r="DI491" i="16"/>
  <c r="DK491" i="16"/>
  <c r="DM491" i="16"/>
  <c r="DO491" i="16"/>
  <c r="DQ491" i="16"/>
  <c r="DS491" i="16"/>
  <c r="DU491" i="16"/>
  <c r="DW491" i="16"/>
  <c r="DY491" i="16"/>
  <c r="EA491" i="16"/>
  <c r="EC491" i="16"/>
  <c r="EE491" i="16"/>
  <c r="EG491" i="16"/>
  <c r="EI491" i="16"/>
  <c r="EK491" i="16"/>
  <c r="EM491" i="16"/>
  <c r="EO491" i="16"/>
  <c r="EQ491" i="16"/>
  <c r="ES491" i="16"/>
  <c r="EU491" i="16"/>
  <c r="EW491" i="16"/>
  <c r="EY491" i="16"/>
  <c r="FA491" i="16"/>
  <c r="FC491" i="16"/>
  <c r="FE491" i="16"/>
  <c r="FG491" i="16"/>
  <c r="FI491" i="16"/>
  <c r="FK491" i="16"/>
  <c r="FM491" i="16"/>
  <c r="FO491" i="16"/>
  <c r="FQ491" i="16"/>
  <c r="FS491" i="16"/>
  <c r="FU491" i="16"/>
  <c r="FW491" i="16"/>
  <c r="FY491" i="16"/>
  <c r="GA491" i="16"/>
  <c r="GC491" i="16"/>
  <c r="CZ493" i="16"/>
  <c r="DB493" i="16"/>
  <c r="DD493" i="16"/>
  <c r="DF493" i="16"/>
  <c r="DH493" i="16"/>
  <c r="DJ493" i="16"/>
  <c r="DL493" i="16"/>
  <c r="DN493" i="16"/>
  <c r="DP493" i="16"/>
  <c r="DR493" i="16"/>
  <c r="DT493" i="16"/>
  <c r="DV493" i="16"/>
  <c r="DX493" i="16"/>
  <c r="DZ493" i="16"/>
  <c r="EB493" i="16"/>
  <c r="ED493" i="16"/>
  <c r="EF493" i="16"/>
  <c r="EH493" i="16"/>
  <c r="EJ493" i="16"/>
  <c r="EL493" i="16"/>
  <c r="EN493" i="16"/>
  <c r="EP493" i="16"/>
  <c r="ER493" i="16"/>
  <c r="ET493" i="16"/>
  <c r="EV493" i="16"/>
  <c r="EX493" i="16"/>
  <c r="EZ493" i="16"/>
  <c r="FB493" i="16"/>
  <c r="FD493" i="16"/>
  <c r="FF493" i="16"/>
  <c r="FH493" i="16"/>
  <c r="FJ493" i="16"/>
  <c r="FL493" i="16"/>
  <c r="FN493" i="16"/>
  <c r="FP493" i="16"/>
  <c r="FR493" i="16"/>
  <c r="FT493" i="16"/>
  <c r="FV493" i="16"/>
  <c r="FX493" i="16"/>
  <c r="FZ493" i="16"/>
  <c r="GB493" i="16"/>
  <c r="GD493" i="16"/>
  <c r="CY493" i="16"/>
  <c r="DA493" i="16"/>
  <c r="DC493" i="16"/>
  <c r="DE493" i="16"/>
  <c r="DG493" i="16"/>
  <c r="DI493" i="16"/>
  <c r="DK493" i="16"/>
  <c r="DM493" i="16"/>
  <c r="DO493" i="16"/>
  <c r="DQ493" i="16"/>
  <c r="DS493" i="16"/>
  <c r="DU493" i="16"/>
  <c r="DW493" i="16"/>
  <c r="DY493" i="16"/>
  <c r="EA493" i="16"/>
  <c r="EC493" i="16"/>
  <c r="EE493" i="16"/>
  <c r="EG493" i="16"/>
  <c r="EI493" i="16"/>
  <c r="EK493" i="16"/>
  <c r="EM493" i="16"/>
  <c r="EO493" i="16"/>
  <c r="EQ493" i="16"/>
  <c r="ES493" i="16"/>
  <c r="EU493" i="16"/>
  <c r="EW493" i="16"/>
  <c r="EY493" i="16"/>
  <c r="FA493" i="16"/>
  <c r="FC493" i="16"/>
  <c r="FE493" i="16"/>
  <c r="FG493" i="16"/>
  <c r="FI493" i="16"/>
  <c r="FK493" i="16"/>
  <c r="FM493" i="16"/>
  <c r="FO493" i="16"/>
  <c r="FQ493" i="16"/>
  <c r="FS493" i="16"/>
  <c r="FU493" i="16"/>
  <c r="FW493" i="16"/>
  <c r="FY493" i="16"/>
  <c r="GA493" i="16"/>
  <c r="GC493" i="16"/>
  <c r="CZ495" i="16"/>
  <c r="DB495" i="16"/>
  <c r="DD495" i="16"/>
  <c r="DF495" i="16"/>
  <c r="DH495" i="16"/>
  <c r="DJ495" i="16"/>
  <c r="DL495" i="16"/>
  <c r="DN495" i="16"/>
  <c r="DP495" i="16"/>
  <c r="DR495" i="16"/>
  <c r="DT495" i="16"/>
  <c r="DV495" i="16"/>
  <c r="DX495" i="16"/>
  <c r="DZ495" i="16"/>
  <c r="EB495" i="16"/>
  <c r="ED495" i="16"/>
  <c r="EF495" i="16"/>
  <c r="EH495" i="16"/>
  <c r="EJ495" i="16"/>
  <c r="EL495" i="16"/>
  <c r="EN495" i="16"/>
  <c r="EP495" i="16"/>
  <c r="ER495" i="16"/>
  <c r="ET495" i="16"/>
  <c r="EV495" i="16"/>
  <c r="EX495" i="16"/>
  <c r="EZ495" i="16"/>
  <c r="FB495" i="16"/>
  <c r="FD495" i="16"/>
  <c r="FF495" i="16"/>
  <c r="FH495" i="16"/>
  <c r="FJ495" i="16"/>
  <c r="FL495" i="16"/>
  <c r="FN495" i="16"/>
  <c r="FP495" i="16"/>
  <c r="FR495" i="16"/>
  <c r="FT495" i="16"/>
  <c r="FV495" i="16"/>
  <c r="FX495" i="16"/>
  <c r="FZ495" i="16"/>
  <c r="GB495" i="16"/>
  <c r="GD495" i="16"/>
  <c r="CY495" i="16"/>
  <c r="DA495" i="16"/>
  <c r="DC495" i="16"/>
  <c r="DE495" i="16"/>
  <c r="DG495" i="16"/>
  <c r="DI495" i="16"/>
  <c r="DK495" i="16"/>
  <c r="DM495" i="16"/>
  <c r="DO495" i="16"/>
  <c r="DQ495" i="16"/>
  <c r="DS495" i="16"/>
  <c r="DU495" i="16"/>
  <c r="DW495" i="16"/>
  <c r="DY495" i="16"/>
  <c r="EA495" i="16"/>
  <c r="EC495" i="16"/>
  <c r="EE495" i="16"/>
  <c r="EG495" i="16"/>
  <c r="EI495" i="16"/>
  <c r="EK495" i="16"/>
  <c r="EM495" i="16"/>
  <c r="EO495" i="16"/>
  <c r="EQ495" i="16"/>
  <c r="ES495" i="16"/>
  <c r="EU495" i="16"/>
  <c r="EW495" i="16"/>
  <c r="EY495" i="16"/>
  <c r="FA495" i="16"/>
  <c r="FC495" i="16"/>
  <c r="FE495" i="16"/>
  <c r="FG495" i="16"/>
  <c r="FI495" i="16"/>
  <c r="FK495" i="16"/>
  <c r="FM495" i="16"/>
  <c r="FO495" i="16"/>
  <c r="FQ495" i="16"/>
  <c r="FS495" i="16"/>
  <c r="FU495" i="16"/>
  <c r="FW495" i="16"/>
  <c r="FY495" i="16"/>
  <c r="GA495" i="16"/>
  <c r="GC495" i="16"/>
  <c r="CZ497" i="16"/>
  <c r="DB497" i="16"/>
  <c r="DD497" i="16"/>
  <c r="DF497" i="16"/>
  <c r="DH497" i="16"/>
  <c r="DJ497" i="16"/>
  <c r="DL497" i="16"/>
  <c r="DN497" i="16"/>
  <c r="DP497" i="16"/>
  <c r="DR497" i="16"/>
  <c r="DT497" i="16"/>
  <c r="DV497" i="16"/>
  <c r="DX497" i="16"/>
  <c r="DZ497" i="16"/>
  <c r="EB497" i="16"/>
  <c r="ED497" i="16"/>
  <c r="EF497" i="16"/>
  <c r="EH497" i="16"/>
  <c r="EJ497" i="16"/>
  <c r="EL497" i="16"/>
  <c r="EN497" i="16"/>
  <c r="EP497" i="16"/>
  <c r="ER497" i="16"/>
  <c r="ET497" i="16"/>
  <c r="EV497" i="16"/>
  <c r="EX497" i="16"/>
  <c r="EZ497" i="16"/>
  <c r="FB497" i="16"/>
  <c r="FD497" i="16"/>
  <c r="FF497" i="16"/>
  <c r="FH497" i="16"/>
  <c r="FJ497" i="16"/>
  <c r="FL497" i="16"/>
  <c r="FN497" i="16"/>
  <c r="FP497" i="16"/>
  <c r="FR497" i="16"/>
  <c r="FT497" i="16"/>
  <c r="FV497" i="16"/>
  <c r="FX497" i="16"/>
  <c r="FZ497" i="16"/>
  <c r="GB497" i="16"/>
  <c r="GD497" i="16"/>
  <c r="CY497" i="16"/>
  <c r="DA497" i="16"/>
  <c r="DC497" i="16"/>
  <c r="DE497" i="16"/>
  <c r="DG497" i="16"/>
  <c r="DI497" i="16"/>
  <c r="DK497" i="16"/>
  <c r="DM497" i="16"/>
  <c r="DO497" i="16"/>
  <c r="DQ497" i="16"/>
  <c r="DS497" i="16"/>
  <c r="DU497" i="16"/>
  <c r="DW497" i="16"/>
  <c r="DY497" i="16"/>
  <c r="EA497" i="16"/>
  <c r="EC497" i="16"/>
  <c r="EE497" i="16"/>
  <c r="EG497" i="16"/>
  <c r="EI497" i="16"/>
  <c r="EK497" i="16"/>
  <c r="EM497" i="16"/>
  <c r="EO497" i="16"/>
  <c r="EQ497" i="16"/>
  <c r="ES497" i="16"/>
  <c r="EU497" i="16"/>
  <c r="EW497" i="16"/>
  <c r="EY497" i="16"/>
  <c r="FA497" i="16"/>
  <c r="FC497" i="16"/>
  <c r="FE497" i="16"/>
  <c r="FG497" i="16"/>
  <c r="FI497" i="16"/>
  <c r="FK497" i="16"/>
  <c r="FM497" i="16"/>
  <c r="FO497" i="16"/>
  <c r="FQ497" i="16"/>
  <c r="FS497" i="16"/>
  <c r="FU497" i="16"/>
  <c r="FW497" i="16"/>
  <c r="FY497" i="16"/>
  <c r="GA497" i="16"/>
  <c r="GC497" i="16"/>
  <c r="CZ499" i="16"/>
  <c r="DB499" i="16"/>
  <c r="DD499" i="16"/>
  <c r="DF499" i="16"/>
  <c r="DH499" i="16"/>
  <c r="DJ499" i="16"/>
  <c r="DL499" i="16"/>
  <c r="DN499" i="16"/>
  <c r="DP499" i="16"/>
  <c r="DR499" i="16"/>
  <c r="DT499" i="16"/>
  <c r="DV499" i="16"/>
  <c r="DX499" i="16"/>
  <c r="DZ499" i="16"/>
  <c r="EB499" i="16"/>
  <c r="ED499" i="16"/>
  <c r="EF499" i="16"/>
  <c r="EH499" i="16"/>
  <c r="EJ499" i="16"/>
  <c r="EL499" i="16"/>
  <c r="EN499" i="16"/>
  <c r="EP499" i="16"/>
  <c r="ER499" i="16"/>
  <c r="ET499" i="16"/>
  <c r="EV499" i="16"/>
  <c r="EX499" i="16"/>
  <c r="EZ499" i="16"/>
  <c r="FB499" i="16"/>
  <c r="FD499" i="16"/>
  <c r="FF499" i="16"/>
  <c r="FH499" i="16"/>
  <c r="FJ499" i="16"/>
  <c r="FL499" i="16"/>
  <c r="FN499" i="16"/>
  <c r="FP499" i="16"/>
  <c r="FR499" i="16"/>
  <c r="FT499" i="16"/>
  <c r="FV499" i="16"/>
  <c r="FX499" i="16"/>
  <c r="FZ499" i="16"/>
  <c r="GB499" i="16"/>
  <c r="GD499" i="16"/>
  <c r="CY499" i="16"/>
  <c r="DA499" i="16"/>
  <c r="DC499" i="16"/>
  <c r="DE499" i="16"/>
  <c r="DG499" i="16"/>
  <c r="DI499" i="16"/>
  <c r="DK499" i="16"/>
  <c r="DM499" i="16"/>
  <c r="DO499" i="16"/>
  <c r="DQ499" i="16"/>
  <c r="DS499" i="16"/>
  <c r="DU499" i="16"/>
  <c r="DW499" i="16"/>
  <c r="DY499" i="16"/>
  <c r="EA499" i="16"/>
  <c r="EC499" i="16"/>
  <c r="EE499" i="16"/>
  <c r="EG499" i="16"/>
  <c r="EI499" i="16"/>
  <c r="EK499" i="16"/>
  <c r="EM499" i="16"/>
  <c r="EO499" i="16"/>
  <c r="EQ499" i="16"/>
  <c r="ES499" i="16"/>
  <c r="EU499" i="16"/>
  <c r="EW499" i="16"/>
  <c r="EY499" i="16"/>
  <c r="FA499" i="16"/>
  <c r="FC499" i="16"/>
  <c r="FE499" i="16"/>
  <c r="FG499" i="16"/>
  <c r="FI499" i="16"/>
  <c r="FK499" i="16"/>
  <c r="FM499" i="16"/>
  <c r="FO499" i="16"/>
  <c r="FQ499" i="16"/>
  <c r="FS499" i="16"/>
  <c r="FU499" i="16"/>
  <c r="FW499" i="16"/>
  <c r="FY499" i="16"/>
  <c r="GA499" i="16"/>
  <c r="GC499" i="16"/>
  <c r="I15" i="23"/>
  <c r="I16" i="23" s="1"/>
  <c r="I17" i="23" s="1"/>
  <c r="I18" i="23" s="1"/>
  <c r="I19" i="23" s="1"/>
  <c r="X15" i="23"/>
  <c r="X16" i="23" s="1"/>
  <c r="X17" i="23" s="1"/>
  <c r="X18" i="23" s="1"/>
  <c r="X19" i="23" s="1"/>
  <c r="D15" i="23"/>
  <c r="S15" i="23"/>
  <c r="S16" i="23" s="1"/>
  <c r="S17" i="23" s="1"/>
  <c r="S18" i="23" s="1"/>
  <c r="S19" i="23" s="1"/>
  <c r="N15" i="23"/>
  <c r="N16" i="23" s="1"/>
  <c r="N17" i="23" s="1"/>
  <c r="N18" i="23" s="1"/>
  <c r="N19" i="23" s="1"/>
  <c r="D40" i="16"/>
  <c r="D41" i="16"/>
  <c r="D44" i="16"/>
  <c r="D45" i="16"/>
  <c r="D46" i="16"/>
  <c r="D47" i="16"/>
  <c r="D58" i="16"/>
  <c r="D59" i="16"/>
  <c r="D60" i="16"/>
  <c r="D110" i="16"/>
  <c r="D111" i="16"/>
  <c r="D273" i="16"/>
  <c r="D274" i="16"/>
  <c r="D275" i="16"/>
  <c r="D276" i="16"/>
  <c r="D277" i="16"/>
  <c r="D278" i="16"/>
  <c r="D279" i="16"/>
  <c r="D280" i="16"/>
  <c r="D281" i="16"/>
  <c r="D282" i="16"/>
  <c r="D283" i="16"/>
  <c r="D284" i="16"/>
  <c r="D285" i="16"/>
  <c r="D286" i="16"/>
  <c r="D287" i="16"/>
  <c r="D288" i="16"/>
  <c r="D289" i="16"/>
  <c r="D290" i="16"/>
  <c r="D291" i="16"/>
  <c r="D292" i="16"/>
  <c r="D293" i="16"/>
  <c r="D294" i="16"/>
  <c r="D295" i="16"/>
  <c r="D296" i="16"/>
  <c r="D297" i="16"/>
  <c r="D298" i="16"/>
  <c r="D299" i="16"/>
  <c r="D300" i="16"/>
  <c r="D301" i="16"/>
  <c r="D302" i="16"/>
  <c r="D303" i="16"/>
  <c r="D304" i="16"/>
  <c r="D305" i="16"/>
  <c r="D306" i="16"/>
  <c r="D307" i="16"/>
  <c r="D308" i="16"/>
  <c r="D309" i="16"/>
  <c r="D310" i="16"/>
  <c r="D311" i="16"/>
  <c r="D312" i="16"/>
  <c r="D313" i="16"/>
  <c r="D314" i="16"/>
  <c r="D315" i="16"/>
  <c r="D316" i="16"/>
  <c r="D317" i="16"/>
  <c r="D318" i="16"/>
  <c r="D319" i="16"/>
  <c r="D320" i="16"/>
  <c r="D321" i="16"/>
  <c r="D322" i="16"/>
  <c r="D323" i="16"/>
  <c r="D324" i="16"/>
  <c r="D325" i="16"/>
  <c r="D326" i="16"/>
  <c r="D327" i="16"/>
  <c r="D328" i="16"/>
  <c r="D329" i="16"/>
  <c r="D330" i="16"/>
  <c r="D331" i="16"/>
  <c r="D332" i="16"/>
  <c r="D333" i="16"/>
  <c r="D334" i="16"/>
  <c r="D335" i="16"/>
  <c r="D336" i="16"/>
  <c r="D337" i="16"/>
  <c r="D338" i="16"/>
  <c r="D339" i="16"/>
  <c r="D340" i="16"/>
  <c r="D341" i="16"/>
  <c r="D342" i="16"/>
  <c r="D343" i="16"/>
  <c r="D344" i="16"/>
  <c r="D345" i="16"/>
  <c r="D346" i="16"/>
  <c r="D347" i="16"/>
  <c r="D348" i="16"/>
  <c r="D349" i="16"/>
  <c r="D350" i="16"/>
  <c r="D351" i="16"/>
  <c r="D352" i="16"/>
  <c r="D353" i="16"/>
  <c r="D354" i="16"/>
  <c r="D355" i="16"/>
  <c r="D356" i="16"/>
  <c r="D357" i="16"/>
  <c r="D358" i="16"/>
  <c r="D359" i="16"/>
  <c r="D360" i="16"/>
  <c r="D361" i="16"/>
  <c r="D362" i="16"/>
  <c r="D363" i="16"/>
  <c r="D364" i="16"/>
  <c r="D365" i="16"/>
  <c r="D366" i="16"/>
  <c r="D367" i="16"/>
  <c r="D368" i="16"/>
  <c r="D369" i="16"/>
  <c r="D370" i="16"/>
  <c r="D371" i="16"/>
  <c r="D372" i="16"/>
  <c r="D373" i="16"/>
  <c r="D374" i="16"/>
  <c r="D375" i="16"/>
  <c r="D376" i="16"/>
  <c r="D377" i="16"/>
  <c r="D378" i="16"/>
  <c r="D379" i="16"/>
  <c r="D380" i="16"/>
  <c r="D381" i="16"/>
  <c r="D382" i="16"/>
  <c r="D383" i="16"/>
  <c r="D384" i="16"/>
  <c r="D385" i="16"/>
  <c r="D386" i="16"/>
  <c r="D387" i="16"/>
  <c r="D388" i="16"/>
  <c r="D389" i="16"/>
  <c r="D390" i="16"/>
  <c r="D391" i="16"/>
  <c r="D393" i="16"/>
  <c r="D394" i="16"/>
  <c r="D395" i="16"/>
  <c r="D396" i="16"/>
  <c r="D397" i="16"/>
  <c r="D398" i="16"/>
  <c r="D399" i="16"/>
  <c r="D400" i="16"/>
  <c r="D401" i="16"/>
  <c r="D402" i="16"/>
  <c r="D403" i="16"/>
  <c r="D404" i="16"/>
  <c r="D405" i="16"/>
  <c r="D406" i="16"/>
  <c r="D407" i="16"/>
  <c r="D408" i="16"/>
  <c r="D409" i="16"/>
  <c r="D410" i="16"/>
  <c r="D411" i="16"/>
  <c r="D412" i="16"/>
  <c r="D413" i="16"/>
  <c r="D414" i="16"/>
  <c r="D415" i="16"/>
  <c r="D416" i="16"/>
  <c r="D417" i="16"/>
  <c r="D418" i="16"/>
  <c r="D419" i="16"/>
  <c r="D478" i="16"/>
  <c r="D479" i="16"/>
  <c r="D392" i="16"/>
  <c r="D61" i="16"/>
  <c r="D42" i="16"/>
  <c r="D43" i="16"/>
  <c r="D186" i="16"/>
  <c r="D424" i="16"/>
  <c r="D426" i="16"/>
  <c r="D428" i="16"/>
  <c r="D430" i="16"/>
  <c r="D432" i="16"/>
  <c r="D433" i="16"/>
  <c r="D435" i="16"/>
  <c r="D425" i="16"/>
  <c r="D427" i="16"/>
  <c r="D429" i="16"/>
  <c r="D431" i="16"/>
  <c r="D434" i="16"/>
  <c r="D187" i="16"/>
  <c r="D62" i="16"/>
  <c r="D63" i="16"/>
  <c r="D269" i="16"/>
  <c r="D112" i="16"/>
  <c r="D113" i="16"/>
  <c r="D114" i="16"/>
  <c r="D115" i="16"/>
  <c r="D116" i="16"/>
  <c r="D270" i="16"/>
  <c r="D65" i="16"/>
  <c r="D68" i="16"/>
  <c r="D70" i="16"/>
  <c r="D72" i="16"/>
  <c r="D73" i="16"/>
  <c r="D75" i="16"/>
  <c r="D77" i="16"/>
  <c r="D79" i="16"/>
  <c r="D81" i="16"/>
  <c r="D83" i="16"/>
  <c r="D85" i="16"/>
  <c r="D88" i="16"/>
  <c r="D90" i="16"/>
  <c r="D91" i="16"/>
  <c r="D94" i="16"/>
  <c r="D96" i="16"/>
  <c r="D98" i="16"/>
  <c r="D99" i="16"/>
  <c r="D101" i="16"/>
  <c r="D102" i="16"/>
  <c r="D103" i="16"/>
  <c r="D105" i="16"/>
  <c r="D118" i="16"/>
  <c r="D119" i="16"/>
  <c r="D133" i="16"/>
  <c r="D135" i="16"/>
  <c r="D140" i="16"/>
  <c r="D141" i="16"/>
  <c r="D143" i="16"/>
  <c r="D145" i="16"/>
  <c r="D147" i="16"/>
  <c r="D149" i="16"/>
  <c r="D151" i="16"/>
  <c r="D153" i="16"/>
  <c r="D155" i="16"/>
  <c r="D158" i="16"/>
  <c r="D159" i="16"/>
  <c r="D160" i="16"/>
  <c r="D421" i="16"/>
  <c r="D422" i="16"/>
  <c r="D36" i="16"/>
  <c r="D37" i="16"/>
  <c r="D64" i="16"/>
  <c r="D66" i="16"/>
  <c r="D67" i="16"/>
  <c r="D69" i="16"/>
  <c r="D71" i="16"/>
  <c r="D74" i="16"/>
  <c r="D76" i="16"/>
  <c r="D78" i="16"/>
  <c r="D80" i="16"/>
  <c r="D82" i="16"/>
  <c r="D84" i="16"/>
  <c r="D86" i="16"/>
  <c r="D87" i="16"/>
  <c r="D89" i="16"/>
  <c r="D92" i="16"/>
  <c r="D93" i="16"/>
  <c r="D95" i="16"/>
  <c r="D97" i="16"/>
  <c r="D100" i="16"/>
  <c r="D104" i="16"/>
  <c r="D106" i="16"/>
  <c r="D107" i="16"/>
  <c r="D108" i="16"/>
  <c r="D117" i="16"/>
  <c r="D134" i="16"/>
  <c r="D136" i="16"/>
  <c r="D137" i="16"/>
  <c r="D138" i="16"/>
  <c r="D139" i="16"/>
  <c r="D142" i="16"/>
  <c r="D144" i="16"/>
  <c r="D146" i="16"/>
  <c r="D148" i="16"/>
  <c r="D150" i="16"/>
  <c r="D152" i="16"/>
  <c r="D154" i="16"/>
  <c r="D156" i="16"/>
  <c r="D157" i="16"/>
  <c r="D420" i="16"/>
  <c r="D49" i="16"/>
  <c r="D51" i="16"/>
  <c r="D53" i="16"/>
  <c r="D55" i="16"/>
  <c r="D56" i="16"/>
  <c r="D161" i="16"/>
  <c r="D48" i="16"/>
  <c r="D50" i="16"/>
  <c r="D52" i="16"/>
  <c r="D54" i="16"/>
  <c r="D109" i="16"/>
  <c r="D9" i="16"/>
  <c r="D10" i="16"/>
  <c r="D11" i="16"/>
  <c r="D13" i="16"/>
  <c r="D15" i="16"/>
  <c r="D17" i="16"/>
  <c r="D18" i="16"/>
  <c r="D21" i="16"/>
  <c r="D22" i="16"/>
  <c r="D24" i="16"/>
  <c r="D25" i="16"/>
  <c r="D27" i="16"/>
  <c r="D30" i="16"/>
  <c r="D31" i="16"/>
  <c r="D32" i="16"/>
  <c r="D33" i="16"/>
  <c r="D121" i="16"/>
  <c r="D123" i="16"/>
  <c r="D125" i="16"/>
  <c r="D126" i="16"/>
  <c r="D129" i="16"/>
  <c r="D221" i="16"/>
  <c r="D223" i="16"/>
  <c r="D225" i="16"/>
  <c r="D227" i="16"/>
  <c r="D236" i="16"/>
  <c r="D240" i="16"/>
  <c r="D241" i="16"/>
  <c r="D245" i="16"/>
  <c r="D247" i="16"/>
  <c r="D250" i="16"/>
  <c r="D252" i="16"/>
  <c r="D256" i="16"/>
  <c r="D258" i="16"/>
  <c r="D260" i="16"/>
  <c r="D262" i="16"/>
  <c r="D264" i="16"/>
  <c r="D265" i="16"/>
  <c r="D266" i="16"/>
  <c r="D12" i="16"/>
  <c r="D14" i="16"/>
  <c r="D16" i="16"/>
  <c r="D19" i="16"/>
  <c r="D20" i="16"/>
  <c r="D23" i="16"/>
  <c r="D26" i="16"/>
  <c r="D28" i="16"/>
  <c r="D29" i="16"/>
  <c r="D34" i="16"/>
  <c r="D120" i="16"/>
  <c r="D122" i="16"/>
  <c r="D124" i="16"/>
  <c r="D127" i="16"/>
  <c r="D128" i="16"/>
  <c r="D130" i="16"/>
  <c r="D131" i="16"/>
  <c r="D220" i="16"/>
  <c r="D222" i="16"/>
  <c r="D224" i="16"/>
  <c r="D226" i="16"/>
  <c r="D237" i="16"/>
  <c r="D238" i="16"/>
  <c r="D239" i="16"/>
  <c r="D242" i="16"/>
  <c r="D243" i="16"/>
  <c r="D244" i="16"/>
  <c r="D246" i="16"/>
  <c r="D248" i="16"/>
  <c r="D249" i="16"/>
  <c r="D251" i="16"/>
  <c r="D253" i="16"/>
  <c r="D254" i="16"/>
  <c r="D255" i="16"/>
  <c r="D257" i="16"/>
  <c r="D259" i="16"/>
  <c r="D261" i="16"/>
  <c r="D263" i="16"/>
  <c r="D267" i="16"/>
  <c r="D271" i="16"/>
  <c r="D57" i="16"/>
  <c r="D132" i="16"/>
  <c r="D268" i="16"/>
  <c r="D272" i="16"/>
  <c r="D35" i="16"/>
  <c r="D163" i="16"/>
  <c r="D164" i="16"/>
  <c r="D166" i="16"/>
  <c r="D168" i="16"/>
  <c r="D171" i="16"/>
  <c r="D162" i="16"/>
  <c r="D165" i="16"/>
  <c r="D167" i="16"/>
  <c r="D170" i="16"/>
  <c r="D172" i="16"/>
  <c r="D173" i="16"/>
  <c r="D169" i="16"/>
  <c r="D232" i="16"/>
  <c r="D231" i="16"/>
  <c r="D233" i="16"/>
  <c r="D234" i="16"/>
  <c r="D423" i="16"/>
  <c r="D228" i="16"/>
  <c r="D229" i="16"/>
  <c r="D235" i="16"/>
  <c r="D436" i="16"/>
  <c r="D176" i="16"/>
  <c r="D177" i="16"/>
  <c r="D179" i="16"/>
  <c r="D181" i="16"/>
  <c r="D182" i="16"/>
  <c r="D184" i="16"/>
  <c r="D188" i="16"/>
  <c r="D189" i="16"/>
  <c r="D191" i="16"/>
  <c r="D193" i="16"/>
  <c r="D194" i="16"/>
  <c r="D195" i="16"/>
  <c r="D197" i="16"/>
  <c r="D199" i="16"/>
  <c r="D202" i="16"/>
  <c r="D204" i="16"/>
  <c r="D207" i="16"/>
  <c r="D209" i="16"/>
  <c r="D211" i="16"/>
  <c r="D213" i="16"/>
  <c r="D215" i="16"/>
  <c r="D216" i="16"/>
  <c r="D217" i="16"/>
  <c r="D219" i="16"/>
  <c r="D230" i="16"/>
  <c r="D174" i="16"/>
  <c r="D175" i="16"/>
  <c r="D178" i="16"/>
  <c r="D180" i="16"/>
  <c r="D183" i="16"/>
  <c r="D185" i="16"/>
  <c r="D190" i="16"/>
  <c r="D192" i="16"/>
  <c r="D196" i="16"/>
  <c r="D198" i="16"/>
  <c r="D200" i="16"/>
  <c r="D201" i="16"/>
  <c r="D203" i="16"/>
  <c r="D205" i="16"/>
  <c r="D206" i="16"/>
  <c r="D208" i="16"/>
  <c r="D210" i="16"/>
  <c r="D212" i="16"/>
  <c r="D214" i="16"/>
  <c r="D218" i="16"/>
  <c r="D438" i="16"/>
  <c r="D439" i="16"/>
  <c r="D441" i="16"/>
  <c r="D444" i="16"/>
  <c r="D446" i="16"/>
  <c r="D448" i="16"/>
  <c r="D450" i="16"/>
  <c r="D452" i="16"/>
  <c r="D455" i="16"/>
  <c r="D457" i="16"/>
  <c r="D458" i="16"/>
  <c r="D460" i="16"/>
  <c r="D462" i="16"/>
  <c r="D464" i="16"/>
  <c r="D466" i="16"/>
  <c r="D468" i="16"/>
  <c r="D471" i="16"/>
  <c r="D472" i="16"/>
  <c r="D474" i="16"/>
  <c r="D476" i="16"/>
  <c r="D38" i="16"/>
  <c r="D437" i="16"/>
  <c r="D440" i="16"/>
  <c r="D442" i="16"/>
  <c r="D443" i="16"/>
  <c r="D445" i="16"/>
  <c r="D447" i="16"/>
  <c r="D449" i="16"/>
  <c r="D451" i="16"/>
  <c r="D453" i="16"/>
  <c r="D454" i="16"/>
  <c r="D456" i="16"/>
  <c r="D459" i="16"/>
  <c r="D461" i="16"/>
  <c r="D463" i="16"/>
  <c r="D465" i="16"/>
  <c r="D467" i="16"/>
  <c r="D469" i="16"/>
  <c r="D470" i="16"/>
  <c r="D473" i="16"/>
  <c r="D475" i="16"/>
  <c r="D39" i="16"/>
  <c r="D477" i="16"/>
  <c r="D481" i="16"/>
  <c r="D483" i="16"/>
  <c r="D485" i="16"/>
  <c r="D487" i="16"/>
  <c r="D489" i="16"/>
  <c r="D492" i="16"/>
  <c r="D495" i="16"/>
  <c r="D497" i="16"/>
  <c r="D499" i="16"/>
  <c r="D480" i="16"/>
  <c r="D482" i="16"/>
  <c r="D484" i="16"/>
  <c r="D486" i="16"/>
  <c r="D488" i="16"/>
  <c r="D490" i="16"/>
  <c r="D491" i="16"/>
  <c r="D493" i="16"/>
  <c r="D494" i="16"/>
  <c r="D496" i="16"/>
  <c r="D498" i="16"/>
  <c r="D500" i="16"/>
  <c r="D8" i="16"/>
  <c r="I3" i="16"/>
  <c r="H3" i="16"/>
  <c r="G3" i="16"/>
  <c r="E3" i="16"/>
  <c r="D13" i="22" s="1"/>
  <c r="A3" i="16"/>
  <c r="GE3" i="16" s="1"/>
  <c r="D25" i="10"/>
  <c r="D16" i="10"/>
  <c r="P7" i="23" s="1"/>
  <c r="A16" i="10"/>
  <c r="C7" i="23" s="1"/>
  <c r="J5" i="16"/>
  <c r="K5" i="16"/>
  <c r="A2" i="10"/>
  <c r="CW4" i="16" l="1"/>
  <c r="AE15" i="23"/>
  <c r="C4" i="23"/>
  <c r="D4" i="22"/>
  <c r="CX3" i="16"/>
  <c r="B25" i="23" s="1"/>
  <c r="FP3" i="16"/>
  <c r="CS5" i="16"/>
  <c r="CT5" i="16"/>
  <c r="CU5" i="16"/>
  <c r="CV5" i="16"/>
  <c r="CW5" i="16"/>
  <c r="CS6" i="16"/>
  <c r="CT6" i="16"/>
  <c r="CU6" i="16"/>
  <c r="CV6" i="16"/>
  <c r="CW6" i="16"/>
  <c r="CS7" i="16"/>
  <c r="CT7" i="16"/>
  <c r="CU7" i="16"/>
  <c r="CV7" i="16"/>
  <c r="CW7" i="16"/>
  <c r="FQ3" i="16"/>
  <c r="FR3" i="16"/>
  <c r="FS3" i="16"/>
  <c r="FT3" i="16"/>
  <c r="FU3" i="16"/>
  <c r="FV3" i="16"/>
  <c r="FW3" i="16"/>
  <c r="FX3" i="16"/>
  <c r="FY3" i="16"/>
  <c r="FZ3" i="16"/>
  <c r="GA3" i="16"/>
  <c r="GB3" i="16"/>
  <c r="GC3" i="16"/>
  <c r="GD3" i="16"/>
  <c r="EW3" i="16"/>
  <c r="EX3" i="16"/>
  <c r="EY3" i="16"/>
  <c r="EZ3" i="16"/>
  <c r="FA3" i="16"/>
  <c r="FB3" i="16"/>
  <c r="FC3" i="16"/>
  <c r="FD3" i="16"/>
  <c r="FE3" i="16"/>
  <c r="FF3" i="16"/>
  <c r="FG3" i="16"/>
  <c r="FH3" i="16"/>
  <c r="FI3" i="16"/>
  <c r="FJ3" i="16"/>
  <c r="FK3" i="16"/>
  <c r="FL3" i="16"/>
  <c r="FM3" i="16"/>
  <c r="FN3" i="16"/>
  <c r="FO3" i="16"/>
  <c r="EV3" i="16"/>
  <c r="EC3" i="16"/>
  <c r="ED3" i="16"/>
  <c r="EE3" i="16"/>
  <c r="EF3" i="16"/>
  <c r="EG3" i="16"/>
  <c r="EH3" i="16"/>
  <c r="EI3" i="16"/>
  <c r="EJ3" i="16"/>
  <c r="EK3" i="16"/>
  <c r="EL3" i="16"/>
  <c r="EM3" i="16"/>
  <c r="EN3" i="16"/>
  <c r="EO3" i="16"/>
  <c r="EP3" i="16"/>
  <c r="EQ3" i="16"/>
  <c r="ER3" i="16"/>
  <c r="ES3" i="16"/>
  <c r="ET3" i="16"/>
  <c r="EU3" i="16"/>
  <c r="EB3" i="16"/>
  <c r="DS3" i="16"/>
  <c r="DT3" i="16"/>
  <c r="DU3" i="16"/>
  <c r="DV3" i="16"/>
  <c r="DW3" i="16"/>
  <c r="DX3" i="16"/>
  <c r="DY3" i="16"/>
  <c r="DZ3" i="16"/>
  <c r="EA3" i="16"/>
  <c r="DR3" i="16"/>
  <c r="DQ3" i="16"/>
  <c r="B44" i="23" s="1"/>
  <c r="CY3" i="16"/>
  <c r="B26" i="23" s="1"/>
  <c r="CZ3" i="16"/>
  <c r="B27" i="23" s="1"/>
  <c r="DA3" i="16"/>
  <c r="B28" i="23" s="1"/>
  <c r="DB3" i="16"/>
  <c r="B29" i="23" s="1"/>
  <c r="DC3" i="16"/>
  <c r="B30" i="23" s="1"/>
  <c r="DD3" i="16"/>
  <c r="B31" i="23" s="1"/>
  <c r="DE3" i="16"/>
  <c r="B32" i="23" s="1"/>
  <c r="DF3" i="16"/>
  <c r="B33" i="23" s="1"/>
  <c r="DG3" i="16"/>
  <c r="B34" i="23" s="1"/>
  <c r="DH3" i="16"/>
  <c r="B35" i="23" s="1"/>
  <c r="DI3" i="16"/>
  <c r="B36" i="23" s="1"/>
  <c r="DJ3" i="16"/>
  <c r="B37" i="23" s="1"/>
  <c r="DK3" i="16"/>
  <c r="B38" i="23" s="1"/>
  <c r="DL3" i="16"/>
  <c r="B39" i="23" s="1"/>
  <c r="DM3" i="16"/>
  <c r="B40" i="23" s="1"/>
  <c r="DN3" i="16"/>
  <c r="B41" i="23" s="1"/>
  <c r="DO3" i="16"/>
  <c r="B42" i="23" s="1"/>
  <c r="DP3" i="16"/>
  <c r="B43" i="23" s="1"/>
  <c r="K7" i="16"/>
  <c r="Y4" i="23"/>
  <c r="J7" i="16"/>
  <c r="U4" i="23"/>
  <c r="I4" i="22"/>
  <c r="K6" i="16"/>
  <c r="K3" i="16"/>
  <c r="H4" i="22"/>
  <c r="J6" i="16"/>
  <c r="D7" i="22"/>
  <c r="G7" i="22"/>
  <c r="D10" i="10"/>
  <c r="D13" i="10"/>
  <c r="J3" i="16"/>
  <c r="K4" i="16"/>
  <c r="J4" i="16" s="1"/>
  <c r="CW3" i="16" l="1"/>
  <c r="D3" i="16"/>
  <c r="CV4" i="16"/>
  <c r="CU4" i="16"/>
  <c r="CT4" i="16"/>
  <c r="CS4" i="16"/>
  <c r="CV3" i="16"/>
  <c r="CU3" i="16"/>
  <c r="CT3" i="16"/>
  <c r="CS3" i="16"/>
  <c r="D4" i="16"/>
  <c r="Y15" i="23" l="1"/>
  <c r="W15" i="23"/>
  <c r="V15" i="23" s="1"/>
  <c r="O15" i="23"/>
  <c r="M15" i="23"/>
  <c r="L15" i="23" s="1"/>
  <c r="H15" i="23"/>
  <c r="E15" i="23"/>
  <c r="AB15" i="23"/>
  <c r="AA15" i="23" s="1"/>
  <c r="T15" i="23"/>
  <c r="U15" i="23" s="1"/>
  <c r="R15" i="23"/>
  <c r="Q15" i="23" s="1"/>
  <c r="J15" i="23"/>
  <c r="K15" i="23" s="1"/>
  <c r="AB16" i="23"/>
  <c r="Y16" i="23"/>
  <c r="R16" i="23"/>
  <c r="O16" i="23"/>
  <c r="AA16" i="23"/>
  <c r="W16" i="23"/>
  <c r="V16" i="23" s="1"/>
  <c r="T16" i="23"/>
  <c r="Q16" i="23"/>
  <c r="M16" i="23"/>
  <c r="L16" i="23" s="1"/>
  <c r="J16" i="23"/>
  <c r="H16" i="23"/>
  <c r="E16" i="23"/>
  <c r="AB17" i="23"/>
  <c r="AA17" i="23" s="1"/>
  <c r="T17" i="23"/>
  <c r="R17" i="23"/>
  <c r="Q17" i="23" s="1"/>
  <c r="J17" i="23"/>
  <c r="H17" i="23"/>
  <c r="E17" i="23"/>
  <c r="AF17" i="23" s="1"/>
  <c r="Y17" i="23"/>
  <c r="Z17" i="23" s="1"/>
  <c r="W17" i="23"/>
  <c r="V17" i="23" s="1"/>
  <c r="O17" i="23"/>
  <c r="P17" i="23" s="1"/>
  <c r="M17" i="23"/>
  <c r="L17" i="23" s="1"/>
  <c r="W18" i="23"/>
  <c r="T18" i="23"/>
  <c r="M18" i="23"/>
  <c r="L18" i="23" s="1"/>
  <c r="J18" i="23"/>
  <c r="AB18" i="23"/>
  <c r="AA18" i="23" s="1"/>
  <c r="Y18" i="23"/>
  <c r="V18" i="23"/>
  <c r="R18" i="23"/>
  <c r="Q18" i="23" s="1"/>
  <c r="O18" i="23"/>
  <c r="H18" i="23"/>
  <c r="AI18" i="23" s="1"/>
  <c r="E18" i="23"/>
  <c r="AF18" i="23" s="1"/>
  <c r="AB19" i="23"/>
  <c r="AA19" i="23" s="1"/>
  <c r="T19" i="23"/>
  <c r="R19" i="23"/>
  <c r="Q19" i="23" s="1"/>
  <c r="J19" i="23"/>
  <c r="H19" i="23"/>
  <c r="G19" i="23" s="1"/>
  <c r="E19" i="23"/>
  <c r="Y19" i="23"/>
  <c r="W19" i="23"/>
  <c r="V19" i="23" s="1"/>
  <c r="O19" i="23"/>
  <c r="P19" i="23" s="1"/>
  <c r="M19" i="23"/>
  <c r="L19" i="23" s="1"/>
  <c r="D5" i="16"/>
  <c r="AI16" i="23" l="1"/>
  <c r="Z19" i="23"/>
  <c r="AF16" i="23"/>
  <c r="AF19" i="23"/>
  <c r="AH19" i="23"/>
  <c r="G16" i="23"/>
  <c r="AH16" i="23" s="1"/>
  <c r="AI17" i="23"/>
  <c r="AI15" i="23"/>
  <c r="AF15" i="23"/>
  <c r="AI19" i="23"/>
  <c r="P16" i="23"/>
  <c r="U16" i="23"/>
  <c r="Z18" i="23"/>
  <c r="K18" i="23"/>
  <c r="G17" i="23"/>
  <c r="AH17" i="23" s="1"/>
  <c r="K16" i="23"/>
  <c r="Z16" i="23"/>
  <c r="G15" i="23"/>
  <c r="P15" i="23"/>
  <c r="Z15" i="23"/>
  <c r="G18" i="23"/>
  <c r="AH18" i="23" s="1"/>
  <c r="P18" i="23"/>
  <c r="U18" i="23"/>
  <c r="K17" i="23"/>
  <c r="U17" i="23"/>
  <c r="K19" i="23"/>
  <c r="U19" i="23"/>
  <c r="D6" i="16"/>
  <c r="AH15" i="23" l="1"/>
  <c r="F15" i="23"/>
  <c r="AG15" i="23" s="1"/>
  <c r="D16" i="23"/>
  <c r="D7" i="16"/>
  <c r="C55" i="22" l="1"/>
  <c r="P125" i="22"/>
  <c r="L127" i="22"/>
  <c r="P124" i="22"/>
  <c r="L126" i="22"/>
  <c r="N123" i="22"/>
  <c r="M126" i="22"/>
  <c r="N124" i="22"/>
  <c r="M127" i="22"/>
  <c r="O125" i="22"/>
  <c r="L125" i="22"/>
  <c r="M128" i="22"/>
  <c r="M125" i="22"/>
  <c r="N125" i="22"/>
  <c r="N128" i="22"/>
  <c r="O126" i="22"/>
  <c r="N126" i="22"/>
  <c r="N127" i="22"/>
  <c r="O124" i="22"/>
  <c r="L124" i="22"/>
  <c r="P126" i="22"/>
  <c r="P127" i="22"/>
  <c r="P128" i="22"/>
  <c r="O128" i="22"/>
  <c r="M124" i="22"/>
  <c r="O127" i="22"/>
  <c r="P123" i="22"/>
  <c r="L128" i="22"/>
  <c r="L123" i="22"/>
  <c r="M123" i="22"/>
  <c r="O123" i="22"/>
  <c r="L122" i="22"/>
  <c r="M117" i="22"/>
  <c r="M114" i="22"/>
  <c r="M119" i="22"/>
  <c r="M32" i="22"/>
  <c r="M94" i="22"/>
  <c r="M86" i="22"/>
  <c r="M83" i="22"/>
  <c r="M118" i="22"/>
  <c r="M80" i="22"/>
  <c r="M121" i="22"/>
  <c r="M104" i="22"/>
  <c r="M109" i="22"/>
  <c r="M116" i="22"/>
  <c r="M68" i="22"/>
  <c r="M57" i="22"/>
  <c r="M60" i="22"/>
  <c r="M63" i="22"/>
  <c r="M69" i="22"/>
  <c r="M81" i="22"/>
  <c r="M120" i="22"/>
  <c r="M78" i="22"/>
  <c r="M115" i="22"/>
  <c r="M75" i="22"/>
  <c r="M108" i="22"/>
  <c r="M72" i="22"/>
  <c r="M107" i="22"/>
  <c r="M122" i="22"/>
  <c r="M55" i="22"/>
  <c r="M58" i="22"/>
  <c r="M76" i="22"/>
  <c r="M79" i="22"/>
  <c r="M82" i="22"/>
  <c r="M85" i="22"/>
  <c r="M73" i="22"/>
  <c r="M110" i="22"/>
  <c r="M70" i="22"/>
  <c r="M105" i="22"/>
  <c r="M64" i="22"/>
  <c r="M100" i="22"/>
  <c r="M61" i="22"/>
  <c r="M99" i="22"/>
  <c r="M84" i="22"/>
  <c r="M71" i="22"/>
  <c r="M74" i="22"/>
  <c r="M77" i="22"/>
  <c r="M95" i="22"/>
  <c r="M96" i="22"/>
  <c r="M101" i="22"/>
  <c r="M106" i="22"/>
  <c r="M62" i="22"/>
  <c r="M102" i="22"/>
  <c r="M59" i="22"/>
  <c r="M97" i="22"/>
  <c r="M56" i="22"/>
  <c r="M92" i="22"/>
  <c r="M91" i="22"/>
  <c r="M103" i="22"/>
  <c r="M87" i="22"/>
  <c r="M93" i="22"/>
  <c r="M98" i="22"/>
  <c r="L47" i="22"/>
  <c r="L101" i="22"/>
  <c r="L83" i="22"/>
  <c r="L57" i="22"/>
  <c r="L44" i="22"/>
  <c r="L68" i="22"/>
  <c r="L103" i="22"/>
  <c r="L63" i="22"/>
  <c r="L98" i="22"/>
  <c r="L118" i="22"/>
  <c r="L51" i="22"/>
  <c r="L92" i="22"/>
  <c r="L55" i="22"/>
  <c r="L99" i="22"/>
  <c r="L59" i="22"/>
  <c r="L94" i="22"/>
  <c r="L96" i="22"/>
  <c r="L69" i="22"/>
  <c r="L105" i="22"/>
  <c r="L87" i="22"/>
  <c r="L70" i="22"/>
  <c r="L48" i="22"/>
  <c r="L32" i="22"/>
  <c r="L60" i="22"/>
  <c r="L95" i="22"/>
  <c r="L49" i="22"/>
  <c r="L75" i="22"/>
  <c r="L43" i="22"/>
  <c r="L82" i="22"/>
  <c r="L119" i="22"/>
  <c r="L34" i="22"/>
  <c r="L72" i="22"/>
  <c r="L107" i="22"/>
  <c r="L64" i="22"/>
  <c r="L115" i="22"/>
  <c r="L39" i="22"/>
  <c r="L86" i="22"/>
  <c r="L114" i="22"/>
  <c r="L93" i="22"/>
  <c r="L74" i="22"/>
  <c r="L58" i="22"/>
  <c r="L36" i="22"/>
  <c r="L46" i="22"/>
  <c r="L85" i="22"/>
  <c r="L41" i="22"/>
  <c r="L80" i="22"/>
  <c r="L117" i="22"/>
  <c r="L35" i="22"/>
  <c r="L73" i="22"/>
  <c r="L108" i="22"/>
  <c r="L42" i="22"/>
  <c r="L81" i="22"/>
  <c r="L37" i="22"/>
  <c r="L76" i="22"/>
  <c r="L116" i="22"/>
  <c r="L61" i="22"/>
  <c r="L102" i="22"/>
  <c r="L104" i="22"/>
  <c r="L109" i="22"/>
  <c r="L97" i="22"/>
  <c r="L79" i="22"/>
  <c r="L62" i="22"/>
  <c r="L40" i="22"/>
  <c r="L38" i="22"/>
  <c r="L77" i="22"/>
  <c r="L33" i="22"/>
  <c r="L71" i="22"/>
  <c r="L106" i="22"/>
  <c r="L56" i="22"/>
  <c r="L100" i="22"/>
  <c r="L120" i="22"/>
  <c r="L50" i="22"/>
  <c r="L91" i="22"/>
  <c r="L45" i="22"/>
  <c r="L84" i="22"/>
  <c r="L78" i="22"/>
  <c r="L121" i="22"/>
  <c r="L110" i="22"/>
  <c r="P87" i="22"/>
  <c r="P118" i="22"/>
  <c r="P80" i="22"/>
  <c r="P45" i="22"/>
  <c r="O107" i="22"/>
  <c r="O72" i="22"/>
  <c r="O34" i="22"/>
  <c r="N96" i="22"/>
  <c r="N58" i="22"/>
  <c r="O121" i="22"/>
  <c r="P108" i="22"/>
  <c r="P73" i="22"/>
  <c r="P105" i="22"/>
  <c r="P70" i="22"/>
  <c r="P35" i="22"/>
  <c r="O97" i="22"/>
  <c r="O59" i="22"/>
  <c r="N121" i="22"/>
  <c r="N83" i="22"/>
  <c r="P46" i="22"/>
  <c r="O108" i="22"/>
  <c r="P94" i="22"/>
  <c r="P122" i="22"/>
  <c r="P84" i="22"/>
  <c r="P49" i="22"/>
  <c r="O114" i="22"/>
  <c r="O76" i="22"/>
  <c r="O38" i="22"/>
  <c r="N100" i="22"/>
  <c r="N62" i="22"/>
  <c r="P115" i="22"/>
  <c r="P77" i="22"/>
  <c r="P109" i="22"/>
  <c r="P74" i="22"/>
  <c r="P39" i="22"/>
  <c r="O101" i="22"/>
  <c r="O63" i="22"/>
  <c r="N87" i="22"/>
  <c r="P50" i="22"/>
  <c r="O115" i="22"/>
  <c r="N46" i="22"/>
  <c r="N84" i="22"/>
  <c r="O73" i="22"/>
  <c r="O35" i="22"/>
  <c r="N97" i="22"/>
  <c r="N59" i="22"/>
  <c r="N56" i="22"/>
  <c r="O87" i="22"/>
  <c r="O49" i="22"/>
  <c r="N114" i="22"/>
  <c r="N50" i="22"/>
  <c r="O96" i="22"/>
  <c r="O58" i="22"/>
  <c r="N120" i="22"/>
  <c r="N82" i="22"/>
  <c r="N44" i="22"/>
  <c r="N33" i="22"/>
  <c r="O83" i="22"/>
  <c r="O45" i="22"/>
  <c r="N107" i="22"/>
  <c r="N42" i="22"/>
  <c r="P98" i="22"/>
  <c r="P91" i="22"/>
  <c r="P58" i="22"/>
  <c r="O118" i="22"/>
  <c r="O80" i="22"/>
  <c r="O42" i="22"/>
  <c r="N104" i="22"/>
  <c r="N69" i="22"/>
  <c r="P32" i="22"/>
  <c r="P119" i="22"/>
  <c r="P81" i="22"/>
  <c r="P116" i="22"/>
  <c r="P78" i="22"/>
  <c r="P43" i="22"/>
  <c r="O105" i="22"/>
  <c r="O70" i="22"/>
  <c r="O32" i="22"/>
  <c r="N94" i="22"/>
  <c r="P60" i="22"/>
  <c r="O119" i="22"/>
  <c r="P102" i="22"/>
  <c r="P64" i="22"/>
  <c r="P95" i="22"/>
  <c r="P57" i="22"/>
  <c r="O122" i="22"/>
  <c r="O84" i="22"/>
  <c r="O46" i="22"/>
  <c r="N108" i="22"/>
  <c r="N73" i="22"/>
  <c r="P36" i="22"/>
  <c r="P85" i="22"/>
  <c r="P120" i="22"/>
  <c r="P82" i="22"/>
  <c r="P47" i="22"/>
  <c r="O109" i="22"/>
  <c r="O74" i="22"/>
  <c r="O36" i="22"/>
  <c r="N98" i="22"/>
  <c r="N60" i="22"/>
  <c r="N38" i="22"/>
  <c r="N76" i="22"/>
  <c r="O100" i="22"/>
  <c r="O62" i="22"/>
  <c r="N86" i="22"/>
  <c r="N48" i="22"/>
  <c r="N45" i="22"/>
  <c r="O79" i="22"/>
  <c r="O41" i="22"/>
  <c r="N103" i="22"/>
  <c r="N34" i="22"/>
  <c r="O104" i="22"/>
  <c r="O69" i="22"/>
  <c r="N93" i="22"/>
  <c r="N55" i="22"/>
  <c r="N41" i="22"/>
  <c r="O75" i="22"/>
  <c r="O37" i="22"/>
  <c r="N99" i="22"/>
  <c r="N43" i="22"/>
  <c r="P106" i="22"/>
  <c r="P71" i="22"/>
  <c r="P99" i="22"/>
  <c r="P61" i="22"/>
  <c r="O91" i="22"/>
  <c r="O50" i="22"/>
  <c r="N115" i="22"/>
  <c r="N77" i="22"/>
  <c r="P40" i="22"/>
  <c r="P92" i="22"/>
  <c r="P86" i="22"/>
  <c r="P51" i="22"/>
  <c r="O116" i="22"/>
  <c r="O78" i="22"/>
  <c r="O40" i="22"/>
  <c r="N102" i="22"/>
  <c r="N64" i="22"/>
  <c r="P110" i="22"/>
  <c r="P75" i="22"/>
  <c r="P103" i="22"/>
  <c r="P68" i="22"/>
  <c r="P33" i="22"/>
  <c r="O95" i="22"/>
  <c r="O57" i="22"/>
  <c r="N119" i="22"/>
  <c r="N81" i="22"/>
  <c r="P44" i="22"/>
  <c r="O106" i="22"/>
  <c r="P96" i="22"/>
  <c r="P93" i="22"/>
  <c r="P55" i="22"/>
  <c r="O120" i="22"/>
  <c r="O82" i="22"/>
  <c r="O44" i="22"/>
  <c r="N106" i="22"/>
  <c r="N71" i="22"/>
  <c r="P34" i="22"/>
  <c r="N47" i="22"/>
  <c r="N68" i="22"/>
  <c r="O92" i="22"/>
  <c r="O51" i="22"/>
  <c r="N116" i="22"/>
  <c r="N78" i="22"/>
  <c r="N40" i="22"/>
  <c r="N37" i="22"/>
  <c r="O71" i="22"/>
  <c r="O33" i="22"/>
  <c r="N91" i="22"/>
  <c r="N51" i="22"/>
  <c r="O77" i="22"/>
  <c r="O39" i="22"/>
  <c r="N101" i="22"/>
  <c r="N63" i="22"/>
  <c r="N49" i="22"/>
  <c r="O102" i="22"/>
  <c r="O64" i="22"/>
  <c r="N80" i="22"/>
  <c r="P117" i="22"/>
  <c r="P79" i="22"/>
  <c r="P107" i="22"/>
  <c r="P72" i="22"/>
  <c r="P37" i="22"/>
  <c r="O99" i="22"/>
  <c r="O61" i="22"/>
  <c r="N85" i="22"/>
  <c r="P48" i="22"/>
  <c r="O110" i="22"/>
  <c r="P100" i="22"/>
  <c r="P62" i="22"/>
  <c r="P97" i="22"/>
  <c r="P59" i="22"/>
  <c r="O86" i="22"/>
  <c r="O48" i="22"/>
  <c r="N110" i="22"/>
  <c r="N75" i="22"/>
  <c r="P38" i="22"/>
  <c r="P121" i="22"/>
  <c r="P83" i="22"/>
  <c r="P114" i="22"/>
  <c r="P76" i="22"/>
  <c r="P41" i="22"/>
  <c r="O103" i="22"/>
  <c r="O68" i="22"/>
  <c r="N92" i="22"/>
  <c r="P56" i="22"/>
  <c r="O117" i="22"/>
  <c r="P104" i="22"/>
  <c r="P69" i="22"/>
  <c r="P101" i="22"/>
  <c r="P63" i="22"/>
  <c r="O93" i="22"/>
  <c r="O55" i="22"/>
  <c r="N117" i="22"/>
  <c r="N79" i="22"/>
  <c r="P42" i="22"/>
  <c r="N39" i="22"/>
  <c r="N57" i="22"/>
  <c r="N95" i="22"/>
  <c r="O81" i="22"/>
  <c r="O43" i="22"/>
  <c r="N105" i="22"/>
  <c r="N70" i="22"/>
  <c r="N32" i="22"/>
  <c r="O98" i="22"/>
  <c r="O60" i="22"/>
  <c r="N122" i="22"/>
  <c r="N72" i="22"/>
  <c r="N35" i="22"/>
  <c r="O85" i="22"/>
  <c r="O47" i="22"/>
  <c r="N109" i="22"/>
  <c r="N74" i="22"/>
  <c r="N36" i="22"/>
  <c r="O94" i="22"/>
  <c r="O56" i="22"/>
  <c r="N118" i="22"/>
  <c r="N61" i="22"/>
  <c r="F16" i="23"/>
  <c r="AG16" i="23" s="1"/>
  <c r="AE16" i="23"/>
  <c r="B55" i="22"/>
  <c r="C108" i="22"/>
  <c r="C92" i="22"/>
  <c r="C100" i="22"/>
  <c r="C73" i="22"/>
  <c r="C104" i="22"/>
  <c r="C96" i="22"/>
  <c r="C81" i="22"/>
  <c r="C62" i="22"/>
  <c r="C85" i="22"/>
  <c r="C77" i="22"/>
  <c r="C69" i="22"/>
  <c r="C58" i="22"/>
  <c r="C110" i="22"/>
  <c r="C106" i="22"/>
  <c r="C102" i="22"/>
  <c r="C98" i="22"/>
  <c r="C94" i="22"/>
  <c r="C87" i="22"/>
  <c r="C83" i="22"/>
  <c r="C79" i="22"/>
  <c r="C75" i="22"/>
  <c r="C71" i="22"/>
  <c r="C64" i="22"/>
  <c r="C60" i="22"/>
  <c r="C56" i="22"/>
  <c r="C109" i="22"/>
  <c r="C107" i="22"/>
  <c r="C105" i="22"/>
  <c r="C103" i="22"/>
  <c r="C101" i="22"/>
  <c r="C99" i="22"/>
  <c r="C97" i="22"/>
  <c r="C95" i="22"/>
  <c r="C93" i="22"/>
  <c r="C91" i="22"/>
  <c r="C86" i="22"/>
  <c r="C84" i="22"/>
  <c r="C82" i="22"/>
  <c r="C80" i="22"/>
  <c r="C78" i="22"/>
  <c r="C76" i="22"/>
  <c r="C74" i="22"/>
  <c r="C72" i="22"/>
  <c r="C70" i="22"/>
  <c r="C68" i="22"/>
  <c r="C63" i="22"/>
  <c r="C61" i="22"/>
  <c r="C59" i="22"/>
  <c r="C57" i="22"/>
  <c r="D17" i="23"/>
  <c r="M51" i="22"/>
  <c r="C115" i="22"/>
  <c r="C117" i="22"/>
  <c r="C118" i="22"/>
  <c r="C119" i="22"/>
  <c r="C120" i="22"/>
  <c r="C121" i="22"/>
  <c r="C122" i="22"/>
  <c r="C123" i="22"/>
  <c r="C114" i="22"/>
  <c r="C124" i="22"/>
  <c r="B124" i="22" s="1"/>
  <c r="C125" i="22"/>
  <c r="B125" i="22" s="1"/>
  <c r="C126" i="22"/>
  <c r="B126" i="22" s="1"/>
  <c r="C127" i="22"/>
  <c r="B127" i="22" s="1"/>
  <c r="C128" i="22"/>
  <c r="B128" i="22" s="1"/>
  <c r="C116" i="22"/>
  <c r="C32" i="22"/>
  <c r="B32" i="22" s="1"/>
  <c r="M50" i="22"/>
  <c r="M49" i="22"/>
  <c r="M48" i="22"/>
  <c r="M47" i="22"/>
  <c r="M46" i="22"/>
  <c r="M45" i="22"/>
  <c r="M44" i="22"/>
  <c r="M43" i="22"/>
  <c r="M42" i="22"/>
  <c r="M41" i="22"/>
  <c r="M40" i="22"/>
  <c r="M39" i="22"/>
  <c r="M38" i="22"/>
  <c r="M37" i="22"/>
  <c r="M36" i="22"/>
  <c r="M35" i="22"/>
  <c r="M34" i="22"/>
  <c r="M33" i="22"/>
  <c r="C51" i="22"/>
  <c r="B51" i="22" s="1"/>
  <c r="C50" i="22"/>
  <c r="B50" i="22" s="1"/>
  <c r="C49" i="22"/>
  <c r="B49" i="22" s="1"/>
  <c r="C48" i="22"/>
  <c r="B48" i="22" s="1"/>
  <c r="C47" i="22"/>
  <c r="B47" i="22" s="1"/>
  <c r="C46" i="22"/>
  <c r="B46" i="22" s="1"/>
  <c r="C45" i="22"/>
  <c r="B45" i="22" s="1"/>
  <c r="C44" i="22"/>
  <c r="B44" i="22" s="1"/>
  <c r="C43" i="22"/>
  <c r="B43" i="22" s="1"/>
  <c r="C42" i="22"/>
  <c r="B42" i="22" s="1"/>
  <c r="C41" i="22"/>
  <c r="B41" i="22" s="1"/>
  <c r="C40" i="22"/>
  <c r="B40" i="22" s="1"/>
  <c r="C39" i="22"/>
  <c r="B39" i="22" s="1"/>
  <c r="C38" i="22"/>
  <c r="B38" i="22" s="1"/>
  <c r="C37" i="22"/>
  <c r="B37" i="22" s="1"/>
  <c r="C36" i="22"/>
  <c r="B36" i="22" s="1"/>
  <c r="C35" i="22"/>
  <c r="B35" i="22" s="1"/>
  <c r="C34" i="22"/>
  <c r="B34" i="22" s="1"/>
  <c r="C33" i="22"/>
  <c r="B33" i="22" s="1"/>
  <c r="F22" i="22" l="1"/>
  <c r="F20" i="22"/>
  <c r="F21" i="22"/>
  <c r="F23" i="22"/>
  <c r="E23" i="22"/>
  <c r="E19" i="22"/>
  <c r="E20" i="22"/>
  <c r="E21" i="22"/>
  <c r="B56" i="23"/>
  <c r="B54" i="23"/>
  <c r="B52" i="23"/>
  <c r="B50" i="23"/>
  <c r="B48" i="23"/>
  <c r="B57" i="23"/>
  <c r="B55" i="23"/>
  <c r="B53" i="23"/>
  <c r="B51" i="23"/>
  <c r="B49" i="23"/>
  <c r="F19" i="22"/>
  <c r="G19" i="22"/>
  <c r="H21" i="22"/>
  <c r="I23" i="22"/>
  <c r="G22" i="22"/>
  <c r="I21" i="22"/>
  <c r="G20" i="22"/>
  <c r="I22" i="22"/>
  <c r="G23" i="22"/>
  <c r="H23" i="22"/>
  <c r="H20" i="22"/>
  <c r="G21" i="22"/>
  <c r="I20" i="22"/>
  <c r="H22" i="22"/>
  <c r="H19" i="22"/>
  <c r="I19" i="22"/>
  <c r="F17" i="23"/>
  <c r="AG17" i="23" s="1"/>
  <c r="AE17" i="23"/>
  <c r="B116" i="22"/>
  <c r="B114" i="22"/>
  <c r="B122" i="22"/>
  <c r="B120" i="22"/>
  <c r="B118" i="22"/>
  <c r="B115" i="22"/>
  <c r="B59" i="22"/>
  <c r="B63" i="22"/>
  <c r="B70" i="22"/>
  <c r="B74" i="22"/>
  <c r="B78" i="22"/>
  <c r="B82" i="22"/>
  <c r="B86" i="22"/>
  <c r="B93" i="22"/>
  <c r="B97" i="22"/>
  <c r="B101" i="22"/>
  <c r="B105" i="22"/>
  <c r="B109" i="22"/>
  <c r="B60" i="22"/>
  <c r="B71" i="22"/>
  <c r="B79" i="22"/>
  <c r="B87" i="22"/>
  <c r="B98" i="22"/>
  <c r="B106" i="22"/>
  <c r="B58" i="22"/>
  <c r="B77" i="22"/>
  <c r="B62" i="22"/>
  <c r="B96" i="22"/>
  <c r="B73" i="22"/>
  <c r="B92" i="22"/>
  <c r="B123" i="22"/>
  <c r="B121" i="22"/>
  <c r="B119" i="22"/>
  <c r="B117" i="22"/>
  <c r="B57" i="22"/>
  <c r="B61" i="22"/>
  <c r="B68" i="22"/>
  <c r="B72" i="22"/>
  <c r="B76" i="22"/>
  <c r="B80" i="22"/>
  <c r="B84" i="22"/>
  <c r="B91" i="22"/>
  <c r="B95" i="22"/>
  <c r="B99" i="22"/>
  <c r="B103" i="22"/>
  <c r="B107" i="22"/>
  <c r="B56" i="22"/>
  <c r="B64" i="22"/>
  <c r="B75" i="22"/>
  <c r="B83" i="22"/>
  <c r="B94" i="22"/>
  <c r="B102" i="22"/>
  <c r="B110" i="22"/>
  <c r="B69" i="22"/>
  <c r="B85" i="22"/>
  <c r="B81" i="22"/>
  <c r="B104" i="22"/>
  <c r="B100" i="22"/>
  <c r="B108" i="22"/>
  <c r="D18" i="23"/>
  <c r="B79" i="23" l="1"/>
  <c r="B77" i="23"/>
  <c r="B75" i="23"/>
  <c r="B73" i="23"/>
  <c r="B71" i="23"/>
  <c r="B69" i="23"/>
  <c r="B67" i="23"/>
  <c r="B65" i="23"/>
  <c r="B63" i="23"/>
  <c r="B61" i="23"/>
  <c r="B80" i="23"/>
  <c r="B78" i="23"/>
  <c r="B76" i="23"/>
  <c r="B74" i="23"/>
  <c r="B72" i="23"/>
  <c r="B70" i="23"/>
  <c r="B68" i="23"/>
  <c r="B66" i="23"/>
  <c r="B64" i="23"/>
  <c r="B62" i="23"/>
  <c r="F18" i="23"/>
  <c r="AG18" i="23" s="1"/>
  <c r="AE18" i="23"/>
  <c r="E22" i="22"/>
  <c r="D19" i="23"/>
  <c r="B102" i="23" l="1"/>
  <c r="B100" i="23"/>
  <c r="B98" i="23"/>
  <c r="B96" i="23"/>
  <c r="B94" i="23"/>
  <c r="B92" i="23"/>
  <c r="B90" i="23"/>
  <c r="B88" i="23"/>
  <c r="B86" i="23"/>
  <c r="B84" i="23"/>
  <c r="B103" i="23"/>
  <c r="B101" i="23"/>
  <c r="B99" i="23"/>
  <c r="B97" i="23"/>
  <c r="B95" i="23"/>
  <c r="B93" i="23"/>
  <c r="B91" i="23"/>
  <c r="B89" i="23"/>
  <c r="B87" i="23"/>
  <c r="B85" i="23"/>
  <c r="F19" i="23"/>
  <c r="AG19" i="23" s="1"/>
  <c r="AE19" i="23"/>
  <c r="B121" i="23" l="1"/>
  <c r="B119" i="23"/>
  <c r="B117" i="23"/>
  <c r="B115" i="23"/>
  <c r="B113" i="23"/>
  <c r="B111" i="23"/>
  <c r="B109" i="23"/>
  <c r="B107" i="23"/>
  <c r="B120" i="23"/>
  <c r="B118" i="23"/>
  <c r="B116" i="23"/>
  <c r="B114" i="23"/>
  <c r="B112" i="23"/>
  <c r="B110" i="23"/>
  <c r="B108" i="23"/>
</calcChain>
</file>

<file path=xl/comments1.xml><?xml version="1.0" encoding="utf-8"?>
<comments xmlns="http://schemas.openxmlformats.org/spreadsheetml/2006/main">
  <authors>
    <author>pmar</author>
  </authors>
  <commentList>
    <comment ref="H33" authorId="0">
      <text>
        <r>
          <rPr>
            <b/>
            <sz val="9"/>
            <color indexed="81"/>
            <rFont val="Tahoma"/>
            <family val="2"/>
          </rPr>
          <t>pmar:</t>
        </r>
        <r>
          <rPr>
            <sz val="9"/>
            <color indexed="81"/>
            <rFont val="Tahoma"/>
            <family val="2"/>
          </rPr>
          <t xml:space="preserve">
HECHOS
CONCEPTOS
PRINCIPIOS
</t>
        </r>
      </text>
    </comment>
  </commentList>
</comments>
</file>

<file path=xl/comments2.xml><?xml version="1.0" encoding="utf-8"?>
<comments xmlns="http://schemas.openxmlformats.org/spreadsheetml/2006/main">
  <authors>
    <author>pmar</author>
  </authors>
  <commentList>
    <comment ref="H43" authorId="0">
      <text>
        <r>
          <rPr>
            <b/>
            <sz val="9"/>
            <color indexed="81"/>
            <rFont val="Tahoma"/>
            <family val="2"/>
          </rPr>
          <t>pmar:</t>
        </r>
        <r>
          <rPr>
            <sz val="9"/>
            <color indexed="81"/>
            <rFont val="Tahoma"/>
            <family val="2"/>
          </rPr>
          <t xml:space="preserve">
HECHOS
CONCEPTOS
PRINCIPIOS
</t>
        </r>
      </text>
    </comment>
  </commentList>
</comments>
</file>

<file path=xl/sharedStrings.xml><?xml version="1.0" encoding="utf-8"?>
<sst xmlns="http://schemas.openxmlformats.org/spreadsheetml/2006/main" count="12788" uniqueCount="6713">
  <si>
    <t>Nombre del Alumno</t>
  </si>
  <si>
    <t>Sector</t>
  </si>
  <si>
    <t>Nombre del Jefe de Sector</t>
  </si>
  <si>
    <t>Zona</t>
  </si>
  <si>
    <t>Nombre del Supervisor</t>
  </si>
  <si>
    <t>Localidad</t>
  </si>
  <si>
    <t>Municipio</t>
  </si>
  <si>
    <t>Nombre de la Escuela</t>
  </si>
  <si>
    <t>Clave</t>
  </si>
  <si>
    <t>Nombre del Profesor</t>
  </si>
  <si>
    <t>Grupo</t>
  </si>
  <si>
    <t>Nombre del Director</t>
  </si>
  <si>
    <t>N/R</t>
  </si>
  <si>
    <t>Número de Lista</t>
  </si>
  <si>
    <t>Grado</t>
  </si>
  <si>
    <t xml:space="preserve"> </t>
  </si>
  <si>
    <t>30DTV0628Q</t>
  </si>
  <si>
    <t>ANAHUAC</t>
  </si>
  <si>
    <t>TUXPAM</t>
  </si>
  <si>
    <t>TUXPAM DE RODRIGUEZ CANO</t>
  </si>
  <si>
    <t>30DTV0915J</t>
  </si>
  <si>
    <t>ESCUDO NACIONAL</t>
  </si>
  <si>
    <t>30DTV0467U</t>
  </si>
  <si>
    <t>EMILIANO ZAPATA</t>
  </si>
  <si>
    <t>AIRE LIBRE (KILOMETRO 15)</t>
  </si>
  <si>
    <t>30DTV1625Z</t>
  </si>
  <si>
    <t>NACIONES UNIDAS</t>
  </si>
  <si>
    <t>BANDERAS</t>
  </si>
  <si>
    <t>30DTV1077L</t>
  </si>
  <si>
    <t>LIC. PERICLES NAMORADO URRUTIA</t>
  </si>
  <si>
    <t>BARRA NORTE</t>
  </si>
  <si>
    <t>30DTV0787E</t>
  </si>
  <si>
    <t>RAMON LOPEZ VELARDE</t>
  </si>
  <si>
    <t>CAÑADA RICA</t>
  </si>
  <si>
    <t>30DTV0506F</t>
  </si>
  <si>
    <t>JOSE JOAQUIN FERNANDEZ DE LIZARDI</t>
  </si>
  <si>
    <t>FRIJOLILLO</t>
  </si>
  <si>
    <t>30DTV0396Q</t>
  </si>
  <si>
    <t>MANUEL GUTIERREZ NAJERA</t>
  </si>
  <si>
    <t>EL JOBO</t>
  </si>
  <si>
    <t>30DTV0367V</t>
  </si>
  <si>
    <t>SOR JUANA INES DE LA CRUZ</t>
  </si>
  <si>
    <t>LA LAJA DE COLOMAN</t>
  </si>
  <si>
    <t>30DTV1075N</t>
  </si>
  <si>
    <t>LINDA VISTA</t>
  </si>
  <si>
    <t>30DTV1459S</t>
  </si>
  <si>
    <t>MIGUEL ALEMAN VALDES</t>
  </si>
  <si>
    <t>MONTES DE ARMENIA</t>
  </si>
  <si>
    <t>30DTV0358N</t>
  </si>
  <si>
    <t>CUAUHTEMOC</t>
  </si>
  <si>
    <t>PAISES BAJOS (KILOMETRO 8)</t>
  </si>
  <si>
    <t>30DTV0531E</t>
  </si>
  <si>
    <t>LAS PASAS</t>
  </si>
  <si>
    <t>30DTV1060L</t>
  </si>
  <si>
    <t>ADALBERTO TEJEDA OLIVARES</t>
  </si>
  <si>
    <t>PEÑA DE AFUERA</t>
  </si>
  <si>
    <t>30DTV1076M</t>
  </si>
  <si>
    <t>SALVADOR DIAZ MIRON</t>
  </si>
  <si>
    <t>EL SALTO DE LA REFORMA</t>
  </si>
  <si>
    <t>30DTV0235D</t>
  </si>
  <si>
    <t>MEXICO</t>
  </si>
  <si>
    <t>TIERRA BLANCA</t>
  </si>
  <si>
    <t>30DTV1001W</t>
  </si>
  <si>
    <t>GUADALUPE VICTORIA</t>
  </si>
  <si>
    <t>LA VICTORIA (LA PEÑITA)</t>
  </si>
  <si>
    <t>30DTV0916I</t>
  </si>
  <si>
    <t>J. JOAQUIN FERNANDEZ DE LIZARDI</t>
  </si>
  <si>
    <t>SAN JOSE EL GRANDE</t>
  </si>
  <si>
    <t>30DTV0773B</t>
  </si>
  <si>
    <t>PATRIA</t>
  </si>
  <si>
    <t>OJITE RANCHO NUEVO</t>
  </si>
  <si>
    <t>30DTV0703G</t>
  </si>
  <si>
    <t>VICENTE GUERRERO</t>
  </si>
  <si>
    <t>POZA RICA DE HIDALGO</t>
  </si>
  <si>
    <t>30DTV0906B</t>
  </si>
  <si>
    <t>GRAL. MARIANO ESCOBEDO</t>
  </si>
  <si>
    <t>30DTV0053V</t>
  </si>
  <si>
    <t>FRANCISCO I. MADERO</t>
  </si>
  <si>
    <t>TIHUATLAN</t>
  </si>
  <si>
    <t>30DTV0363Z</t>
  </si>
  <si>
    <t>MIGUEL HIDALGO Y COSTILLA</t>
  </si>
  <si>
    <t>EL COPAL</t>
  </si>
  <si>
    <t>30DTV0983G</t>
  </si>
  <si>
    <t>JAIME TORRES BODET</t>
  </si>
  <si>
    <t>ZACATE COLORADO</t>
  </si>
  <si>
    <t>30DTV0200O</t>
  </si>
  <si>
    <t>LIC. AGUSTIN YAÐEZ</t>
  </si>
  <si>
    <t>ENRIQUE RODRIGUEZ CANO (ZAPOTALILLO)</t>
  </si>
  <si>
    <t>30DTV0705E</t>
  </si>
  <si>
    <t>IGNACIO DE LA LLAVE</t>
  </si>
  <si>
    <t>HUIZOTATE</t>
  </si>
  <si>
    <t>30DTV0233F</t>
  </si>
  <si>
    <t>ALVARO GALVEZ Y FUENTES</t>
  </si>
  <si>
    <t>NUEVO PROGRESO (KILOMETRO 12)</t>
  </si>
  <si>
    <t>30DTV0301M</t>
  </si>
  <si>
    <t>RICARDO FLORES MAGON</t>
  </si>
  <si>
    <t>30DTV0624U</t>
  </si>
  <si>
    <t>GUILLERMO GONZALEZ CAMARENA</t>
  </si>
  <si>
    <t>TOTOLAPA</t>
  </si>
  <si>
    <t>30DTV1446O</t>
  </si>
  <si>
    <t>HERIBERTO KEHOE VINCENT</t>
  </si>
  <si>
    <t>CHICHICUASTLA</t>
  </si>
  <si>
    <t>30DTV1565B</t>
  </si>
  <si>
    <t>IGNACIO MANUEL ALTAMIRANO</t>
  </si>
  <si>
    <t>ALTOTONGA</t>
  </si>
  <si>
    <t>PASTOR VERGARA</t>
  </si>
  <si>
    <t>30DTV1100W</t>
  </si>
  <si>
    <t>IGNACIO ZARAGOZA</t>
  </si>
  <si>
    <t>LAS TRUCHAS</t>
  </si>
  <si>
    <t>30DTV1490B</t>
  </si>
  <si>
    <t>JUAN RUIZ DE ALARCON</t>
  </si>
  <si>
    <t>ATZALAN</t>
  </si>
  <si>
    <t>AHUATENO</t>
  </si>
  <si>
    <t>30DTV1491A</t>
  </si>
  <si>
    <t>FRANCISCO MOROSINI CORDERO</t>
  </si>
  <si>
    <t>AHUATEPEC</t>
  </si>
  <si>
    <t>30DTV1209M</t>
  </si>
  <si>
    <t>LEONA VICARIO</t>
  </si>
  <si>
    <t>BARRANCONES</t>
  </si>
  <si>
    <t>30DTV0156R</t>
  </si>
  <si>
    <t>JOSEFA ORTIZ DE DOMINGUEZ</t>
  </si>
  <si>
    <t>EL CAMPAMENTO</t>
  </si>
  <si>
    <t>30DTV1123G</t>
  </si>
  <si>
    <t>JESUS REYES HEROLES</t>
  </si>
  <si>
    <t>NARANJILLO</t>
  </si>
  <si>
    <t>30DTV1597U</t>
  </si>
  <si>
    <t>MARIANO AZUELA</t>
  </si>
  <si>
    <t>EL PIMIENTO</t>
  </si>
  <si>
    <t>30DTV1121I</t>
  </si>
  <si>
    <t>JUAN ESCUTIA</t>
  </si>
  <si>
    <t>EL PROGRESO</t>
  </si>
  <si>
    <t>30DTV0723U</t>
  </si>
  <si>
    <t>AMADO NERVO</t>
  </si>
  <si>
    <t>SAN PEDRO BUENAVISTA</t>
  </si>
  <si>
    <t>30DTV0479Z</t>
  </si>
  <si>
    <t>BENITO JUAREZ GARCIA</t>
  </si>
  <si>
    <t>SANTIAGO</t>
  </si>
  <si>
    <t>30DTV1122H</t>
  </si>
  <si>
    <t>JOSE MARIA MORELOS Y PAVON</t>
  </si>
  <si>
    <t>ZAPOTE REDONDO</t>
  </si>
  <si>
    <t>30DTV1599S</t>
  </si>
  <si>
    <t>CUEVA SANTA</t>
  </si>
  <si>
    <t>30DTV1401S</t>
  </si>
  <si>
    <t>SANTO DOMINGO ARROYO NEGRO</t>
  </si>
  <si>
    <t>30DTV0481N</t>
  </si>
  <si>
    <t>JALACINGO</t>
  </si>
  <si>
    <t>EPAPA</t>
  </si>
  <si>
    <t>30DTV0954L</t>
  </si>
  <si>
    <t>ENRIQUE C. REBSAMEN</t>
  </si>
  <si>
    <t>MARTINEZ DE LA TORRE</t>
  </si>
  <si>
    <t>30DTV1389N</t>
  </si>
  <si>
    <t>JOSE VASCONCELOS</t>
  </si>
  <si>
    <t>30DTV0286K</t>
  </si>
  <si>
    <t>ALFONSO ARROYO FLORES</t>
  </si>
  <si>
    <t>30DTV1156Y</t>
  </si>
  <si>
    <t>NARCISO MENDOZA</t>
  </si>
  <si>
    <t>30DTV0280Q</t>
  </si>
  <si>
    <t>JUSTO SIERRA</t>
  </si>
  <si>
    <t>TLAPACOYAN</t>
  </si>
  <si>
    <t>EYTEPEQUEZ</t>
  </si>
  <si>
    <t>30DTV0313R</t>
  </si>
  <si>
    <t>IGNACIO ALLENDE</t>
  </si>
  <si>
    <t>30DTV0206I</t>
  </si>
  <si>
    <t>NIÐOS HEROES DE CHAPULTEPEC</t>
  </si>
  <si>
    <t>PIEDRA PINTA</t>
  </si>
  <si>
    <t>30DTV1799Q</t>
  </si>
  <si>
    <t>TELESECUNDARIA</t>
  </si>
  <si>
    <t>SAN ISIDRO</t>
  </si>
  <si>
    <t>30DTV0169V</t>
  </si>
  <si>
    <t>16 DE SEPTIEMBRE</t>
  </si>
  <si>
    <t>SAN PEDRO TLAPACOYAN</t>
  </si>
  <si>
    <t>30DTV0203L</t>
  </si>
  <si>
    <t>ROSARIO CASTELLANOS</t>
  </si>
  <si>
    <t>LA PALMILLA</t>
  </si>
  <si>
    <t>30DTV0030K</t>
  </si>
  <si>
    <t>LUIS ECHEVERRIA</t>
  </si>
  <si>
    <t>30DTV1755T</t>
  </si>
  <si>
    <t>CONGREGACION HIDALGO</t>
  </si>
  <si>
    <t>30DTV0665U</t>
  </si>
  <si>
    <t>DON FERNANDO GUTIERREZ BARRIOS</t>
  </si>
  <si>
    <t>MISANTLA</t>
  </si>
  <si>
    <t>30DTV0040R</t>
  </si>
  <si>
    <t>GRAL. EMILIANO ZAPATA</t>
  </si>
  <si>
    <t>ARROYO HONDO</t>
  </si>
  <si>
    <t>30DTV0463Y</t>
  </si>
  <si>
    <t>COAPECHE</t>
  </si>
  <si>
    <t>30DTV0013U</t>
  </si>
  <si>
    <t>LA DEFENSA</t>
  </si>
  <si>
    <t>30DTV0394S</t>
  </si>
  <si>
    <t>MANUEL TELLO</t>
  </si>
  <si>
    <t>LA LIBERTAD</t>
  </si>
  <si>
    <t>30DTV0162B</t>
  </si>
  <si>
    <t>ALVARO GALVES Y FUENTES</t>
  </si>
  <si>
    <t>MAXIMO GARCIA (LA GUADALUPE)</t>
  </si>
  <si>
    <t>30DTV0260C</t>
  </si>
  <si>
    <t>GRAL. LAZARO CARDENAS DEL RIO</t>
  </si>
  <si>
    <t>PALPOALA IXCAN</t>
  </si>
  <si>
    <t>30DTV0161C</t>
  </si>
  <si>
    <t>RAFAEL RAMIREZ CASTAÑEDA</t>
  </si>
  <si>
    <t>LA PRIMAVERA</t>
  </si>
  <si>
    <t>30DTV0397P</t>
  </si>
  <si>
    <t>LA REFORMA</t>
  </si>
  <si>
    <t>30DTV0471G</t>
  </si>
  <si>
    <t>TELESECUNDARIA NUM. 471</t>
  </si>
  <si>
    <t>SANTA CLARA</t>
  </si>
  <si>
    <t>30DTV0259N</t>
  </si>
  <si>
    <t>SANTA CRUZ HIDALGO</t>
  </si>
  <si>
    <t>30DTV1550Z</t>
  </si>
  <si>
    <t>POZA DEL TIGRE</t>
  </si>
  <si>
    <t>30DTV0393T</t>
  </si>
  <si>
    <t>NAUTLA</t>
  </si>
  <si>
    <t>LA MARTINICA</t>
  </si>
  <si>
    <t>30DTV0187K</t>
  </si>
  <si>
    <t>ACAJETE</t>
  </si>
  <si>
    <t>30DTV0166Y</t>
  </si>
  <si>
    <t>LA JOYA</t>
  </si>
  <si>
    <t>30DTV0079C</t>
  </si>
  <si>
    <t>ANGEL HERMIDA RUIZ</t>
  </si>
  <si>
    <t>BANDERILLA</t>
  </si>
  <si>
    <t>30DTV1314X</t>
  </si>
  <si>
    <t>30DTV0157Q</t>
  </si>
  <si>
    <t>TELESECUNDARIA NUM. 157</t>
  </si>
  <si>
    <t>COACOATZINTLA</t>
  </si>
  <si>
    <t>30DTV0874Z</t>
  </si>
  <si>
    <t>REVOLUCION MEXICANA</t>
  </si>
  <si>
    <t>XALAPA</t>
  </si>
  <si>
    <t>XALAPA-ENRIQUEZ</t>
  </si>
  <si>
    <t>30DTV0138B</t>
  </si>
  <si>
    <t>JILOTEPEC</t>
  </si>
  <si>
    <t>30DTV1794V</t>
  </si>
  <si>
    <t>PIEDRA DE AGUA</t>
  </si>
  <si>
    <t>30DTV1339F</t>
  </si>
  <si>
    <t>EL PUEBLITO (GARBANZAL)</t>
  </si>
  <si>
    <t>30DTV0957I</t>
  </si>
  <si>
    <t>MELCHOR OCAMPO</t>
  </si>
  <si>
    <t>NAOLINCO</t>
  </si>
  <si>
    <t>SAN MARCOS ATESQUILAPAN (ATEXQUILAPAN)</t>
  </si>
  <si>
    <t>30DTV0876Y</t>
  </si>
  <si>
    <t>SAN PABLO COAPAN</t>
  </si>
  <si>
    <t>30DTV0228U</t>
  </si>
  <si>
    <t>LAS VIGAS DE RAMIREZ</t>
  </si>
  <si>
    <t>30DTV1663C</t>
  </si>
  <si>
    <t>CALAVERNAS</t>
  </si>
  <si>
    <t>30DTV1719O</t>
  </si>
  <si>
    <t>EL PAISANO</t>
  </si>
  <si>
    <t>30DTV0227V</t>
  </si>
  <si>
    <t>RAFAEL LUCIO</t>
  </si>
  <si>
    <t>30DTV1338G</t>
  </si>
  <si>
    <t>PILETAS</t>
  </si>
  <si>
    <t>30DTV0056S</t>
  </si>
  <si>
    <t>TLACOLULAN</t>
  </si>
  <si>
    <t>30DTV1752W</t>
  </si>
  <si>
    <t>CEBOLLANA</t>
  </si>
  <si>
    <t>30DTV0504H</t>
  </si>
  <si>
    <t>LAZARO CARDENAS DEL RIO</t>
  </si>
  <si>
    <t>TONAYAN</t>
  </si>
  <si>
    <t>30DTV0725S</t>
  </si>
  <si>
    <t>COATEPEC</t>
  </si>
  <si>
    <t>30DTV0789C</t>
  </si>
  <si>
    <t>JOSE GILBERTO MARTINEZ HERNANDEZ</t>
  </si>
  <si>
    <t>30DTV0205J</t>
  </si>
  <si>
    <t>RAFAEL RAMIREZ</t>
  </si>
  <si>
    <t>BELLA ESPERANZA</t>
  </si>
  <si>
    <t>30DTV1180Y</t>
  </si>
  <si>
    <t>30DTV0326V</t>
  </si>
  <si>
    <t>LAS LOMAS</t>
  </si>
  <si>
    <t>30DTV0560Z</t>
  </si>
  <si>
    <t>PACHO VIEJO</t>
  </si>
  <si>
    <t>30DTV0033H</t>
  </si>
  <si>
    <t>ADALBERTO TEJEDA</t>
  </si>
  <si>
    <t>TUZAMAPAN</t>
  </si>
  <si>
    <t>30DTV0863U</t>
  </si>
  <si>
    <t>ADOLFO RUIZ CORTINES</t>
  </si>
  <si>
    <t>VAQUERIA</t>
  </si>
  <si>
    <t>30DTV0158P</t>
  </si>
  <si>
    <t>ALBORADA</t>
  </si>
  <si>
    <t>30DTV0055T</t>
  </si>
  <si>
    <t>JOSE IGNACIO PAVON</t>
  </si>
  <si>
    <t>CHAVARRILLO</t>
  </si>
  <si>
    <t>30DTV0160D</t>
  </si>
  <si>
    <t>5 DE MAYO</t>
  </si>
  <si>
    <t>EL CHICO</t>
  </si>
  <si>
    <t>30DTV0080S</t>
  </si>
  <si>
    <t>LA ESTANZUELA</t>
  </si>
  <si>
    <t>30DTV0442L</t>
  </si>
  <si>
    <t>PACHO NUEVO</t>
  </si>
  <si>
    <t>30DTV0716K</t>
  </si>
  <si>
    <t>30DTV1287Q</t>
  </si>
  <si>
    <t>30DTV0204K</t>
  </si>
  <si>
    <t>JUAN DE LA LUZ ENRIQUEZ</t>
  </si>
  <si>
    <t>COTAXTLA</t>
  </si>
  <si>
    <t>30DTV0798K</t>
  </si>
  <si>
    <t>MARIA ENRIQUETA CAMARILLO</t>
  </si>
  <si>
    <t>LA CAPILLA</t>
  </si>
  <si>
    <t>30DTV0063B</t>
  </si>
  <si>
    <t>MOISES SAENZ GARZA</t>
  </si>
  <si>
    <t>JAMAPA</t>
  </si>
  <si>
    <t>30DTV0457N</t>
  </si>
  <si>
    <t>QUETZALCOATL</t>
  </si>
  <si>
    <t>LA MATAMBA (HIGUERA DE LAS RAICES)</t>
  </si>
  <si>
    <t>30DTV0194U</t>
  </si>
  <si>
    <t>ADOLFO LOPEZ MATEOS</t>
  </si>
  <si>
    <t>MEDELLIN</t>
  </si>
  <si>
    <t>30DTV1141W</t>
  </si>
  <si>
    <t>CEDRAL</t>
  </si>
  <si>
    <t>30DTV0591T</t>
  </si>
  <si>
    <t>CARLOS A. CARRILLO</t>
  </si>
  <si>
    <t>LA LAGUNA Y MONTE DEL CASTILLO</t>
  </si>
  <si>
    <t>30DTV0002O</t>
  </si>
  <si>
    <t>MARTIRES DE RIO BLANCO</t>
  </si>
  <si>
    <t>PASO DEL TORO</t>
  </si>
  <si>
    <t>30DTV1707J</t>
  </si>
  <si>
    <t>PRIMERO DE LA PALMA</t>
  </si>
  <si>
    <t>30DTV1807I</t>
  </si>
  <si>
    <t>RANCHO DEL PADRE</t>
  </si>
  <si>
    <t>30DTV0078D</t>
  </si>
  <si>
    <t>LOS ROBLES</t>
  </si>
  <si>
    <t>30DTV0226W</t>
  </si>
  <si>
    <t>TELESECUNDARIA NUM. 226</t>
  </si>
  <si>
    <t>VERACRUZ</t>
  </si>
  <si>
    <t>30DTV0288I</t>
  </si>
  <si>
    <t>30DTV0988B</t>
  </si>
  <si>
    <t>ALFONSO REYES</t>
  </si>
  <si>
    <t>30DTV1030R</t>
  </si>
  <si>
    <t>30DTV1140X</t>
  </si>
  <si>
    <t>30DTV1006R</t>
  </si>
  <si>
    <t>IGNACIO ZARAGOZA DE JESUS</t>
  </si>
  <si>
    <t>ACULTZINGO</t>
  </si>
  <si>
    <t>TECAMALUCAN</t>
  </si>
  <si>
    <t>30DTV0111V</t>
  </si>
  <si>
    <t>ATZACAN</t>
  </si>
  <si>
    <t>30DTV0646F</t>
  </si>
  <si>
    <t>ALVARO OBREGON</t>
  </si>
  <si>
    <t>LA SIDRA</t>
  </si>
  <si>
    <t>30DTV1801O</t>
  </si>
  <si>
    <t>IXHUATLANCILLO</t>
  </si>
  <si>
    <t>30DTV0710Q</t>
  </si>
  <si>
    <t>IXTACZOQUITLAN</t>
  </si>
  <si>
    <t>CAMPO GRANDE</t>
  </si>
  <si>
    <t>30DTV1634H</t>
  </si>
  <si>
    <t>CUMBRE DE METLAC</t>
  </si>
  <si>
    <t>30DTV0422Y</t>
  </si>
  <si>
    <t>MOYOAPAN</t>
  </si>
  <si>
    <t>30DTV0484K</t>
  </si>
  <si>
    <t>ARTICULO 123 CONSTITUCIONAL</t>
  </si>
  <si>
    <t>POTRERILLO</t>
  </si>
  <si>
    <t>30DTV1705L</t>
  </si>
  <si>
    <t>MALTRATA</t>
  </si>
  <si>
    <t>LA ESTANCIA</t>
  </si>
  <si>
    <t>30DTV1178J</t>
  </si>
  <si>
    <t>SAN JOSE SUCHIL</t>
  </si>
  <si>
    <t>30DTV1463E</t>
  </si>
  <si>
    <t>LAURA ESQUIVEL</t>
  </si>
  <si>
    <t>MARIANO ESCOBEDO</t>
  </si>
  <si>
    <t>SAN ISIDRO EL BERRO (EL BERRO)</t>
  </si>
  <si>
    <t>30DTV1179I</t>
  </si>
  <si>
    <t>CITLALTEPETL</t>
  </si>
  <si>
    <t>CHICOLA</t>
  </si>
  <si>
    <t>30DTV1796T</t>
  </si>
  <si>
    <t>EL MIRADOR</t>
  </si>
  <si>
    <t>30DTV1795U</t>
  </si>
  <si>
    <t>OCOXOTLA</t>
  </si>
  <si>
    <t>30DTV1464D</t>
  </si>
  <si>
    <t>TEXCAMALACA</t>
  </si>
  <si>
    <t>TEXMALACA</t>
  </si>
  <si>
    <t>30DTV1465C</t>
  </si>
  <si>
    <t>FRANCISCO GONZALEZ BOCANEGRA</t>
  </si>
  <si>
    <t>XIQUILA</t>
  </si>
  <si>
    <t>30DTV1802N</t>
  </si>
  <si>
    <t>REFORMA AGRARIA</t>
  </si>
  <si>
    <t>NOGALES</t>
  </si>
  <si>
    <t>REFORMA</t>
  </si>
  <si>
    <t>30DTV1534I</t>
  </si>
  <si>
    <t>ISABEL LA CATOLICA</t>
  </si>
  <si>
    <t>LA ROSA</t>
  </si>
  <si>
    <t>30DTV0851P</t>
  </si>
  <si>
    <t>FELIPE CARRILLO PUERTO</t>
  </si>
  <si>
    <t>TAZA DE AGUA OJO ZARCO</t>
  </si>
  <si>
    <t>30DTV1642Q</t>
  </si>
  <si>
    <t>30DTV0462Z</t>
  </si>
  <si>
    <t>LA PERLA</t>
  </si>
  <si>
    <t>30DTV1643P</t>
  </si>
  <si>
    <t>MACUILACATL GRANDE</t>
  </si>
  <si>
    <t>30DTV1031Q</t>
  </si>
  <si>
    <t>FRANCISCO JAVIER MINA</t>
  </si>
  <si>
    <t>RIO BLANCO</t>
  </si>
  <si>
    <t>30DTV0172I</t>
  </si>
  <si>
    <t>30DTV1054A</t>
  </si>
  <si>
    <t>JUANA DE ASBAJE Y RAMIREZ</t>
  </si>
  <si>
    <t>30DTV0344K</t>
  </si>
  <si>
    <t>BENITO JUAREZ</t>
  </si>
  <si>
    <t>30DTV0838V</t>
  </si>
  <si>
    <t>LA CAMPANA (LA ICA)</t>
  </si>
  <si>
    <t>30DTV0323Y</t>
  </si>
  <si>
    <t>CRISTOBAL COLON</t>
  </si>
  <si>
    <t>PASO COYOTE (EL COYOTE)</t>
  </si>
  <si>
    <t>30DTV0518K</t>
  </si>
  <si>
    <t>LAZARO CARDENAS</t>
  </si>
  <si>
    <t>30DTV0981I</t>
  </si>
  <si>
    <t>MISAEL DOMINGUEZ LOPEZ</t>
  </si>
  <si>
    <t>HUIXCOLOTLA</t>
  </si>
  <si>
    <t>30DTV0254S</t>
  </si>
  <si>
    <t>EL JICARO</t>
  </si>
  <si>
    <t>30DTV0167X</t>
  </si>
  <si>
    <t>JOACHIN</t>
  </si>
  <si>
    <t>30DTV0321Z</t>
  </si>
  <si>
    <t>VALENTIN GOMEZ FARIAS</t>
  </si>
  <si>
    <t>PASO JULIAN</t>
  </si>
  <si>
    <t>30DTV0888C</t>
  </si>
  <si>
    <t>QUECHULEÑO</t>
  </si>
  <si>
    <t>30DTV0277C</t>
  </si>
  <si>
    <t>GABRIELA MISTRAL</t>
  </si>
  <si>
    <t>SERENILLA DE ABAJO</t>
  </si>
  <si>
    <t>30DTV0042P</t>
  </si>
  <si>
    <t>SALVADOR GONZALO GARCIA</t>
  </si>
  <si>
    <t>30DTV0086M</t>
  </si>
  <si>
    <t>LOS MANGOS</t>
  </si>
  <si>
    <t>30DTV0037D</t>
  </si>
  <si>
    <t>CATEMACO</t>
  </si>
  <si>
    <t>30DTV0692R</t>
  </si>
  <si>
    <t>LA CANDELARIA</t>
  </si>
  <si>
    <t>30DTV0074H</t>
  </si>
  <si>
    <t>DOS AMATES</t>
  </si>
  <si>
    <t>30DTV0405H</t>
  </si>
  <si>
    <t>20 DE NOVIEMBRE</t>
  </si>
  <si>
    <t>MAXACAPAN</t>
  </si>
  <si>
    <t>30DTV0406G</t>
  </si>
  <si>
    <t>TEBANCA</t>
  </si>
  <si>
    <t>30DTV0861W</t>
  </si>
  <si>
    <t>OTILIO MONTANO</t>
  </si>
  <si>
    <t>LA VICTORIA</t>
  </si>
  <si>
    <t>30DTV0559K</t>
  </si>
  <si>
    <t>ZAPOAPAN DE CABAÑAS</t>
  </si>
  <si>
    <t>30DTV0673C</t>
  </si>
  <si>
    <t>24 DE FEBRERO</t>
  </si>
  <si>
    <t>SAN ANDRES TUXTLA</t>
  </si>
  <si>
    <t>ABREVADERO</t>
  </si>
  <si>
    <t>30DTV0807B</t>
  </si>
  <si>
    <t>CALERIA</t>
  </si>
  <si>
    <t>30DTV1430N</t>
  </si>
  <si>
    <t>5 DE FEBRERO</t>
  </si>
  <si>
    <t>CUESTA AMARILLA</t>
  </si>
  <si>
    <t>30DTV1580U</t>
  </si>
  <si>
    <t>NIÐOS HEROES</t>
  </si>
  <si>
    <t>CUESTA DE LAJA</t>
  </si>
  <si>
    <t>30DTV1431M</t>
  </si>
  <si>
    <t>LAGUNETA</t>
  </si>
  <si>
    <t>30DTV1432L</t>
  </si>
  <si>
    <t>JAIME NUNO</t>
  </si>
  <si>
    <t>LOS NARANJOS</t>
  </si>
  <si>
    <t>30DTV1433K</t>
  </si>
  <si>
    <t>ISIDRO TORRES MORENO</t>
  </si>
  <si>
    <t>EL REMOLINO</t>
  </si>
  <si>
    <t>30DTV0879V</t>
  </si>
  <si>
    <t>TULAPAN</t>
  </si>
  <si>
    <t>30DTV0883H</t>
  </si>
  <si>
    <t>TANTOYUCA</t>
  </si>
  <si>
    <t>CHOTE ARRIBA</t>
  </si>
  <si>
    <t>30DTV1583R</t>
  </si>
  <si>
    <t>MIGUEL DE CERVANTES</t>
  </si>
  <si>
    <t>EL LIMON</t>
  </si>
  <si>
    <t>30DTV0639W</t>
  </si>
  <si>
    <t>XILOXUCHITL</t>
  </si>
  <si>
    <t>30DTV0501K</t>
  </si>
  <si>
    <t>TEPATLAN</t>
  </si>
  <si>
    <t>30DTV1497V</t>
  </si>
  <si>
    <t>VENUSTIANO CARRANZA</t>
  </si>
  <si>
    <t>EL LINDERO</t>
  </si>
  <si>
    <t>30DTV1651Y</t>
  </si>
  <si>
    <t>CORRAL VIEJO LA LIMA</t>
  </si>
  <si>
    <t>30DTV1027D</t>
  </si>
  <si>
    <t>RAUL LINCE MEDELLIN</t>
  </si>
  <si>
    <t>30DTV1364E</t>
  </si>
  <si>
    <t>GUAYABO CHICO</t>
  </si>
  <si>
    <t>30DTV1787L</t>
  </si>
  <si>
    <t>GUAYALAR</t>
  </si>
  <si>
    <t>30DTV0777Y</t>
  </si>
  <si>
    <t>JUAN DE LA BARRERA</t>
  </si>
  <si>
    <t>MAGUEY SEGUNDO</t>
  </si>
  <si>
    <t>30DTV1045T</t>
  </si>
  <si>
    <t>LUIS DONALDO COLOSIO MURRIETA</t>
  </si>
  <si>
    <t>MONTE GRANDE</t>
  </si>
  <si>
    <t>30DTV0761X</t>
  </si>
  <si>
    <t>MORALILLO</t>
  </si>
  <si>
    <t>30DTV1365D</t>
  </si>
  <si>
    <t>PALMA ALTA</t>
  </si>
  <si>
    <t>30DTV0059P</t>
  </si>
  <si>
    <t>PALMITO</t>
  </si>
  <si>
    <t>30DTV1186S</t>
  </si>
  <si>
    <t>EL PORVENIR CHOPOPO</t>
  </si>
  <si>
    <t>30DTV1498U</t>
  </si>
  <si>
    <t>TETILLAS</t>
  </si>
  <si>
    <t>30DTV1499T</t>
  </si>
  <si>
    <t>LA TINAJA SAN GABRIEL</t>
  </si>
  <si>
    <t>30DTV1584Q</t>
  </si>
  <si>
    <t>IXTLAR</t>
  </si>
  <si>
    <t>30DTV0502J</t>
  </si>
  <si>
    <t>EL MEZQUITE</t>
  </si>
  <si>
    <t>30DTV0089J</t>
  </si>
  <si>
    <t>FRANCISCO VILLA</t>
  </si>
  <si>
    <t>CAZONES</t>
  </si>
  <si>
    <t>CAZONES DE HERRERA</t>
  </si>
  <si>
    <t>30DTV0459L</t>
  </si>
  <si>
    <t>BARRA DE CAZONES</t>
  </si>
  <si>
    <t>30DTV1567Z</t>
  </si>
  <si>
    <t>JUAN RULFO</t>
  </si>
  <si>
    <t>BUENAVISTA</t>
  </si>
  <si>
    <t>30DTV0369T</t>
  </si>
  <si>
    <t>LA ENCANTADA</t>
  </si>
  <si>
    <t>30DTV1486P</t>
  </si>
  <si>
    <t>OCTAVIO PAZ</t>
  </si>
  <si>
    <t>LIMON CHIQUITO</t>
  </si>
  <si>
    <t>30DTV0853N</t>
  </si>
  <si>
    <t>PLAN DE LIMON</t>
  </si>
  <si>
    <t>30DTV0509C</t>
  </si>
  <si>
    <t>RANCHO NUEVO</t>
  </si>
  <si>
    <t>30DTV0193V</t>
  </si>
  <si>
    <t>FRANCISCO JAVIER CLAVIJERO</t>
  </si>
  <si>
    <t>COATZINTLA</t>
  </si>
  <si>
    <t>30DTV1487O</t>
  </si>
  <si>
    <t>30DTV0694P</t>
  </si>
  <si>
    <t>PAPANTLA</t>
  </si>
  <si>
    <t>MOZUTLA</t>
  </si>
  <si>
    <t>30DTV0460A</t>
  </si>
  <si>
    <t>SOMBRERETE</t>
  </si>
  <si>
    <t>30DTV0329S</t>
  </si>
  <si>
    <t>ENRIQUE CHAVEZ VAZQUEZ</t>
  </si>
  <si>
    <t>30DTV0534B</t>
  </si>
  <si>
    <t>30DTV1344R</t>
  </si>
  <si>
    <t>30DTV0377B</t>
  </si>
  <si>
    <t>COXQUIHUI</t>
  </si>
  <si>
    <t>30DTV1359T</t>
  </si>
  <si>
    <t>30DTV0220B</t>
  </si>
  <si>
    <t>NIÑOS HEROES</t>
  </si>
  <si>
    <t>ARENAL</t>
  </si>
  <si>
    <t>30DTV0938U</t>
  </si>
  <si>
    <t>CUAUHTEMOC (EL JOBO)</t>
  </si>
  <si>
    <t>30DTV0866R</t>
  </si>
  <si>
    <t>JOSE MARIA MORELOS</t>
  </si>
  <si>
    <t>30DTV0939T</t>
  </si>
  <si>
    <t>MARIANO MATAMOROS</t>
  </si>
  <si>
    <t>OJITE DE MATAMOROS</t>
  </si>
  <si>
    <t>30DTV0386J</t>
  </si>
  <si>
    <t>SABANAS DE XALOSTOC</t>
  </si>
  <si>
    <t>30DTV1216W</t>
  </si>
  <si>
    <t>COLONIA DANTE DELGADO RANNAURO</t>
  </si>
  <si>
    <t>30DTV0379Z</t>
  </si>
  <si>
    <t>AQUILES SERDAN</t>
  </si>
  <si>
    <t>CHUMATLAN</t>
  </si>
  <si>
    <t>30DTV0024Z</t>
  </si>
  <si>
    <t>BENEMERITO DE LAS AMERICAS</t>
  </si>
  <si>
    <t>ESPINAL</t>
  </si>
  <si>
    <t>30DTV0190Y</t>
  </si>
  <si>
    <t>FRANCISCO ZARCO</t>
  </si>
  <si>
    <t>COMALTECO</t>
  </si>
  <si>
    <t>30DTV1111B</t>
  </si>
  <si>
    <t>SIMBOLOS PATRIOS</t>
  </si>
  <si>
    <t>CHAPULTEPEC</t>
  </si>
  <si>
    <t>30DTV1217V</t>
  </si>
  <si>
    <t>EL ERMITAÑO</t>
  </si>
  <si>
    <t>30DTV0279A</t>
  </si>
  <si>
    <t>30DTV0573D</t>
  </si>
  <si>
    <t>30DTV1570N</t>
  </si>
  <si>
    <t>LA LUNA</t>
  </si>
  <si>
    <t>30DTV0511R</t>
  </si>
  <si>
    <t>ZOZOCOLCO DE HIDALGO</t>
  </si>
  <si>
    <t>30DTV1226C</t>
  </si>
  <si>
    <t>ANAYAL NUMERO UNO</t>
  </si>
  <si>
    <t>30DTV0376C</t>
  </si>
  <si>
    <t>TECUANTEPEC</t>
  </si>
  <si>
    <t>30DTV1110C</t>
  </si>
  <si>
    <t>FERNANDO MONTES DE OCA</t>
  </si>
  <si>
    <t>ZAPOTAL</t>
  </si>
  <si>
    <t>30DTV0469S</t>
  </si>
  <si>
    <t>ANTONIO BONILLA FRANCISCO</t>
  </si>
  <si>
    <t>ZOZOCOLCO DE GUERRERO</t>
  </si>
  <si>
    <t>30DTV1761D</t>
  </si>
  <si>
    <t>TRES CRUCES UNO</t>
  </si>
  <si>
    <t>30DTV0296R</t>
  </si>
  <si>
    <t>GUTIERREZ ZAMORA</t>
  </si>
  <si>
    <t>30DTV1603O</t>
  </si>
  <si>
    <t>CACAHUATAL</t>
  </si>
  <si>
    <t>30DTV0049I</t>
  </si>
  <si>
    <t>MANUEL GUTIERREZ ZAMORA</t>
  </si>
  <si>
    <t>CARRILLO PUERTO (SANTA ROSA)</t>
  </si>
  <si>
    <t>30DTV0195T</t>
  </si>
  <si>
    <t>HERMENEGILDO GALEANA</t>
  </si>
  <si>
    <t>30DTV0237B</t>
  </si>
  <si>
    <t>IGNACIO M. ALTAMIRANO (PLAN DE ALTAMIRANO)</t>
  </si>
  <si>
    <t>30DTV0052W</t>
  </si>
  <si>
    <t>LOMAS DE ARENA</t>
  </si>
  <si>
    <t>30DTV0871C</t>
  </si>
  <si>
    <t>RAFAEL VALENZUELA</t>
  </si>
  <si>
    <t>30DTV0885F</t>
  </si>
  <si>
    <t>TECOLUTLA</t>
  </si>
  <si>
    <t>30DTV0618J</t>
  </si>
  <si>
    <t>BOCA DE LIMA</t>
  </si>
  <si>
    <t>30DTV0973Z</t>
  </si>
  <si>
    <t>30DTV0763V</t>
  </si>
  <si>
    <t>XICOTENCATL</t>
  </si>
  <si>
    <t>CRUZ DE LOS ESTEROS</t>
  </si>
  <si>
    <t>30DTV0336B</t>
  </si>
  <si>
    <t>EL FUERTE DE ANAYA</t>
  </si>
  <si>
    <t>30DTV0229T</t>
  </si>
  <si>
    <t>LA GUADALUPE</t>
  </si>
  <si>
    <t>30DTV0184N</t>
  </si>
  <si>
    <t>HUEYTEPEC</t>
  </si>
  <si>
    <t>30DTV1063I</t>
  </si>
  <si>
    <t>MONTE GORDO</t>
  </si>
  <si>
    <t>30DTV0262A</t>
  </si>
  <si>
    <t>ALFREDO V. BONFIL</t>
  </si>
  <si>
    <t>PASO DEL PROGRESO</t>
  </si>
  <si>
    <t>30DTV0886E</t>
  </si>
  <si>
    <t>HERMANOS SERDAN</t>
  </si>
  <si>
    <t>JOSE MARIA PINO SUAREZ</t>
  </si>
  <si>
    <t>30DTV0662X</t>
  </si>
  <si>
    <t>30DTV0389G</t>
  </si>
  <si>
    <t>ARROYO BLANCO</t>
  </si>
  <si>
    <t>30DTV0590U</t>
  </si>
  <si>
    <t>ARROYO DEL POTRERO</t>
  </si>
  <si>
    <t>30DTV0007J</t>
  </si>
  <si>
    <t>JOSE REVUELTAS</t>
  </si>
  <si>
    <t>30DTV0066Z</t>
  </si>
  <si>
    <t>MANANTIALES</t>
  </si>
  <si>
    <t>30DTV0390W</t>
  </si>
  <si>
    <t>ISIDRO ALAMILLO CONTRERAS</t>
  </si>
  <si>
    <t>MARIA DE LA TORRE</t>
  </si>
  <si>
    <t>30DTV0338Z</t>
  </si>
  <si>
    <t>LA PALMA</t>
  </si>
  <si>
    <t>30DTV0815K</t>
  </si>
  <si>
    <t>LIC. ALVARO GALVEZ Y FUENTES</t>
  </si>
  <si>
    <t>30DTV0816J</t>
  </si>
  <si>
    <t>PROFR. ARTEMIO DIAZ REYES</t>
  </si>
  <si>
    <t>TEPETATE</t>
  </si>
  <si>
    <t>30DTV1020K</t>
  </si>
  <si>
    <t>LLANOS DE SAN LORENZO</t>
  </si>
  <si>
    <t>30DTV0381O</t>
  </si>
  <si>
    <t>MESA CHICA LA GLORIA</t>
  </si>
  <si>
    <t>30DTV0878W</t>
  </si>
  <si>
    <t>FERNANDO GUTIERREZ BARRIOS</t>
  </si>
  <si>
    <t>EL PORVENIR NO. 2</t>
  </si>
  <si>
    <t>30DTV0671E</t>
  </si>
  <si>
    <t>VALSEQUILLO</t>
  </si>
  <si>
    <t>30DTV0391V</t>
  </si>
  <si>
    <t>SAN RAFAEL</t>
  </si>
  <si>
    <t>EL CABELLAL</t>
  </si>
  <si>
    <t>30DTV0305I</t>
  </si>
  <si>
    <t>EL FAISAN</t>
  </si>
  <si>
    <t>30DTV0387I</t>
  </si>
  <si>
    <t>30DTV0198Q</t>
  </si>
  <si>
    <t>REMIGIO SILVA JIMENEZ</t>
  </si>
  <si>
    <t>30DTV0663W</t>
  </si>
  <si>
    <t>MANUEL AVILA CAMACHO</t>
  </si>
  <si>
    <t>30DTV0173H</t>
  </si>
  <si>
    <t>PUNTILLA ALDAMA</t>
  </si>
  <si>
    <t>30DTV0189I</t>
  </si>
  <si>
    <t>COLIPA</t>
  </si>
  <si>
    <t>30DTV1315W</t>
  </si>
  <si>
    <t>COLONIA TEODORO A. DEHESA</t>
  </si>
  <si>
    <t>30DTV0536Z</t>
  </si>
  <si>
    <t>JOSE MARTI</t>
  </si>
  <si>
    <t>ARROYO FRIO</t>
  </si>
  <si>
    <t>30DTV0127W</t>
  </si>
  <si>
    <t>FRANCISCO SARABIA (PASO VIEJO)</t>
  </si>
  <si>
    <t>30DTV1251B</t>
  </si>
  <si>
    <t>30DTV0144M</t>
  </si>
  <si>
    <t>GRAL. IGNACIO ZARAGOZA</t>
  </si>
  <si>
    <t>IGNACIO ZARAGOZA (EL CHORRO)</t>
  </si>
  <si>
    <t>30DTV0596O</t>
  </si>
  <si>
    <t>LA REFORMA (KILOMETRO 9)</t>
  </si>
  <si>
    <t>30DTV0038C</t>
  </si>
  <si>
    <t>JUSTO SIERRA MENDEZ</t>
  </si>
  <si>
    <t>MOXILLON</t>
  </si>
  <si>
    <t>30DTV0345J</t>
  </si>
  <si>
    <t>PLAN DE LA VEGA</t>
  </si>
  <si>
    <t>30DTV0667S</t>
  </si>
  <si>
    <t>POXTITLAN</t>
  </si>
  <si>
    <t>30DTV0258O</t>
  </si>
  <si>
    <t>CONSTITUCION DE 1917</t>
  </si>
  <si>
    <t>30DTV0696N</t>
  </si>
  <si>
    <t>LA PALMA (CASA BLANCA)</t>
  </si>
  <si>
    <t>30DTV1516T</t>
  </si>
  <si>
    <t>AYAHUALULCO</t>
  </si>
  <si>
    <t>30DTV0223Z</t>
  </si>
  <si>
    <t>LOS ALTOS</t>
  </si>
  <si>
    <t>30DTV1372N</t>
  </si>
  <si>
    <t>TLALCONTENO</t>
  </si>
  <si>
    <t>30DTV0557M</t>
  </si>
  <si>
    <t>EL TRIUNFO</t>
  </si>
  <si>
    <t>30DTV0250W</t>
  </si>
  <si>
    <t>SANTIAGO CASTILLO FLORES</t>
  </si>
  <si>
    <t>ORILLA DEL MONTE</t>
  </si>
  <si>
    <t>30DTV1064H</t>
  </si>
  <si>
    <t>VISTA HERMOSA</t>
  </si>
  <si>
    <t>30DTV1628X</t>
  </si>
  <si>
    <t>LAS MINAS</t>
  </si>
  <si>
    <t>LANDACO</t>
  </si>
  <si>
    <t>30DTV1629W</t>
  </si>
  <si>
    <t>ZOMELAHUACAN</t>
  </si>
  <si>
    <t>30DTV0249G</t>
  </si>
  <si>
    <t>LEANDRO VALLE</t>
  </si>
  <si>
    <t>PEROTE</t>
  </si>
  <si>
    <t>30DTV0603H</t>
  </si>
  <si>
    <t>XAVIER VILLAURRUTIA</t>
  </si>
  <si>
    <t>30DTV1118V</t>
  </si>
  <si>
    <t>EL CONEJO</t>
  </si>
  <si>
    <t>30DTV1200V</t>
  </si>
  <si>
    <t>EL ESCOBILLO</t>
  </si>
  <si>
    <t>30DTV1041X</t>
  </si>
  <si>
    <t>30DTV0545H</t>
  </si>
  <si>
    <t>LA GLORIA</t>
  </si>
  <si>
    <t>30DTV1559R</t>
  </si>
  <si>
    <t>FRIDA KAHLO</t>
  </si>
  <si>
    <t>30DTV0477A</t>
  </si>
  <si>
    <t>SAN ANTONIO LIMON (TOTALCO)</t>
  </si>
  <si>
    <t>30DTV0060E</t>
  </si>
  <si>
    <t>LOS MOLINOS (SAN JOSE)</t>
  </si>
  <si>
    <t>30DTV0224Y</t>
  </si>
  <si>
    <t>SAN ANTONIO TENEXTEPEC</t>
  </si>
  <si>
    <t>30DTV1119U</t>
  </si>
  <si>
    <t>XALTEPEC (SAN ISIDRO XALTEPEC)</t>
  </si>
  <si>
    <t>30DTV1717Q</t>
  </si>
  <si>
    <t>EJIDO VEINTE DE NOVIEMBRE</t>
  </si>
  <si>
    <t>30DTV0421Z</t>
  </si>
  <si>
    <t>COMAPA</t>
  </si>
  <si>
    <t>BOCA DEL MONTE</t>
  </si>
  <si>
    <t>30DTV1097Z</t>
  </si>
  <si>
    <t>AGUSTIN YAÐEZ</t>
  </si>
  <si>
    <t>CERRITOS</t>
  </si>
  <si>
    <t>30DTV1316V</t>
  </si>
  <si>
    <t>SAN FRANCISCO NACAXTLE</t>
  </si>
  <si>
    <t>30DTV1511Y</t>
  </si>
  <si>
    <t>PASO PIMIENTA</t>
  </si>
  <si>
    <t>30DTV1317U</t>
  </si>
  <si>
    <t>20 DE NOVIEMBRE DE 1910</t>
  </si>
  <si>
    <t>SONORA</t>
  </si>
  <si>
    <t>30DTV1681S</t>
  </si>
  <si>
    <t>XONOTLA</t>
  </si>
  <si>
    <t>30DTV0648D</t>
  </si>
  <si>
    <t>30DTV0153U</t>
  </si>
  <si>
    <t>ERNESTO GARCIA CABRAL</t>
  </si>
  <si>
    <t>HUATUSCO</t>
  </si>
  <si>
    <t>HUATUSCO DE CHICUELLAR</t>
  </si>
  <si>
    <t>30DTV1604N</t>
  </si>
  <si>
    <t>ADOLFO RUIZ CORTINES (LA PASTORIA)</t>
  </si>
  <si>
    <t>30DTV0942G</t>
  </si>
  <si>
    <t>AMATIOPA (MESA LIMON)</t>
  </si>
  <si>
    <t>30DTV1699R</t>
  </si>
  <si>
    <t>COTECONTLA</t>
  </si>
  <si>
    <t>30DTV0574C</t>
  </si>
  <si>
    <t>CHAVAXTLA</t>
  </si>
  <si>
    <t>30DTV1092D</t>
  </si>
  <si>
    <t>MANUEL ALMANZA GARCIA</t>
  </si>
  <si>
    <t>ELOTEPEC</t>
  </si>
  <si>
    <t>30DTV1354Y</t>
  </si>
  <si>
    <t>IXPILA</t>
  </si>
  <si>
    <t>30DTV1723A</t>
  </si>
  <si>
    <t>RINCON TLAZALO</t>
  </si>
  <si>
    <t>30DTV0737X</t>
  </si>
  <si>
    <t>SABANAS</t>
  </si>
  <si>
    <t>30DTV1605M</t>
  </si>
  <si>
    <t>SAN DIEGO TETITLAN</t>
  </si>
  <si>
    <t>30DTV1419R</t>
  </si>
  <si>
    <t>TENEJAPA</t>
  </si>
  <si>
    <t>30DTV1420G</t>
  </si>
  <si>
    <t>TEPAMPA</t>
  </si>
  <si>
    <t>30DTV0575B</t>
  </si>
  <si>
    <t>TLAMATOCA</t>
  </si>
  <si>
    <t>30DTV1093C</t>
  </si>
  <si>
    <t>TLAVICTEPAN</t>
  </si>
  <si>
    <t>30DTV0881J</t>
  </si>
  <si>
    <t>SOCHIAPA</t>
  </si>
  <si>
    <t>30DTV1355X</t>
  </si>
  <si>
    <t>30DTV0071K</t>
  </si>
  <si>
    <t>ZENTLA</t>
  </si>
  <si>
    <t>COLONIA MANUEL GONZALEZ</t>
  </si>
  <si>
    <t>30DTV0341N</t>
  </si>
  <si>
    <t>CORAZON DE JESUS (PIÑA)</t>
  </si>
  <si>
    <t>30DTV0104L</t>
  </si>
  <si>
    <t>MATLALUCA</t>
  </si>
  <si>
    <t>30DTV0925Q</t>
  </si>
  <si>
    <t>GREGORIO TORRES QUINTERO</t>
  </si>
  <si>
    <t>AMATLAN DE LOS REYES</t>
  </si>
  <si>
    <t>30DTV1307N</t>
  </si>
  <si>
    <t>CAÑADA BLANCA</t>
  </si>
  <si>
    <t>30DTV0645G</t>
  </si>
  <si>
    <t>SAN ANTONIO FRATERNIDAD</t>
  </si>
  <si>
    <t>30DTV1038J</t>
  </si>
  <si>
    <t>MANUEL LEON (SAN JOSE DE GRACIA)</t>
  </si>
  <si>
    <t>30DTV1665A</t>
  </si>
  <si>
    <t>VICENTE RIVA PALACIO</t>
  </si>
  <si>
    <t>EL OTATE</t>
  </si>
  <si>
    <t>30DTV0043O</t>
  </si>
  <si>
    <t>GUILLERMO A. SHERWELL</t>
  </si>
  <si>
    <t>PARAJE NUEVO</t>
  </si>
  <si>
    <t>30DTV1308M</t>
  </si>
  <si>
    <t>OJO CHICO</t>
  </si>
  <si>
    <t>30DTV0897K</t>
  </si>
  <si>
    <t>ATOYAC</t>
  </si>
  <si>
    <t>30DTV1131P</t>
  </si>
  <si>
    <t>LA CHARCA</t>
  </si>
  <si>
    <t>30DTV0927O</t>
  </si>
  <si>
    <t>MANZANILLO</t>
  </si>
  <si>
    <t>30DTV0931A</t>
  </si>
  <si>
    <t>CARRILLO PUERTO</t>
  </si>
  <si>
    <t>TAMARINDO</t>
  </si>
  <si>
    <t>30DTV1678E</t>
  </si>
  <si>
    <t>FRANCISCO FERRER GUARDIA</t>
  </si>
  <si>
    <t>LOMA ANGOSTA</t>
  </si>
  <si>
    <t>30DTV1679D</t>
  </si>
  <si>
    <t>PAULO FREIRE</t>
  </si>
  <si>
    <t>EL PALMAR</t>
  </si>
  <si>
    <t>30DTV1600R</t>
  </si>
  <si>
    <t>CERRO ALTO</t>
  </si>
  <si>
    <t>30DTV0314Q</t>
  </si>
  <si>
    <t>ARROYO AZUL</t>
  </si>
  <si>
    <t>30DTV1411Z</t>
  </si>
  <si>
    <t>PALO AMARILLO (MATA PIONCHE)</t>
  </si>
  <si>
    <t>30DTV0054U</t>
  </si>
  <si>
    <t>SILVESTRE AGUILAR VARGAS</t>
  </si>
  <si>
    <t>CORDOBA</t>
  </si>
  <si>
    <t>30DTV0899I</t>
  </si>
  <si>
    <t>EL PORVENIR</t>
  </si>
  <si>
    <t>30DTV0473E</t>
  </si>
  <si>
    <t>SAN RAFAEL CALERIA</t>
  </si>
  <si>
    <t>30DTV0566U</t>
  </si>
  <si>
    <t>EL PALENQUE PALOTAL</t>
  </si>
  <si>
    <t>30DTV0651R</t>
  </si>
  <si>
    <t>CUITLAHUAC</t>
  </si>
  <si>
    <t>EL MAGUEY</t>
  </si>
  <si>
    <t>30DTV1687M</t>
  </si>
  <si>
    <t>SAN FRANCISCO (MATA CLARA)</t>
  </si>
  <si>
    <t>30DTV0900H</t>
  </si>
  <si>
    <t>MATA NARANJO (EL NANCHE)</t>
  </si>
  <si>
    <t>30DTV0597N</t>
  </si>
  <si>
    <t>NARANJAL</t>
  </si>
  <si>
    <t>30DTV1195Z</t>
  </si>
  <si>
    <t>ZOQUIAPA</t>
  </si>
  <si>
    <t>30DTV0920V</t>
  </si>
  <si>
    <t>YANGA</t>
  </si>
  <si>
    <t>ADOLFO LOPEZ MATEOS (SAN JOSE DE ENMEDIO)</t>
  </si>
  <si>
    <t>30DTV0844F</t>
  </si>
  <si>
    <t>EX-HACIENDA LA CONCEPCION (LA CONCHA)</t>
  </si>
  <si>
    <t>30DTV0989A</t>
  </si>
  <si>
    <t>GENERAL JUAN JOSE BAZ (SAN JOSE DEL CORRAL)</t>
  </si>
  <si>
    <t>30DTV0641K</t>
  </si>
  <si>
    <t>ACTOPAN</t>
  </si>
  <si>
    <t>PALMAS DE ABAJO</t>
  </si>
  <si>
    <t>30DTV0644H</t>
  </si>
  <si>
    <t>PASO DEL CEDRO</t>
  </si>
  <si>
    <t>30DTV0337A</t>
  </si>
  <si>
    <t>TINAJITAS</t>
  </si>
  <si>
    <t>30DTV1012B</t>
  </si>
  <si>
    <t>SAN JUAN VILLA RICA (VILLA RICA)</t>
  </si>
  <si>
    <t>30DTV0123Z</t>
  </si>
  <si>
    <t>VIRGILIO URIBE</t>
  </si>
  <si>
    <t>30DTV0239Z</t>
  </si>
  <si>
    <t>LA ANTIGUA</t>
  </si>
  <si>
    <t>JOSE CARDEL</t>
  </si>
  <si>
    <t>30DTV0415O</t>
  </si>
  <si>
    <t>SALVADOR GONZALEZ LAGUNES</t>
  </si>
  <si>
    <t>SALMORAL</t>
  </si>
  <si>
    <t>30DTV0491U</t>
  </si>
  <si>
    <t>PASO DE OVEJAS</t>
  </si>
  <si>
    <t>CANTARRANAS</t>
  </si>
  <si>
    <t>30DTV0968O</t>
  </si>
  <si>
    <t>PUENTE NACIONAL</t>
  </si>
  <si>
    <t>CABEZAS</t>
  </si>
  <si>
    <t>30DTV0147J</t>
  </si>
  <si>
    <t>URSULO GALVAN</t>
  </si>
  <si>
    <t>30DTV0895M</t>
  </si>
  <si>
    <t>MOISES SAENZ</t>
  </si>
  <si>
    <t>EL PARAISO (LA CHARCA)</t>
  </si>
  <si>
    <t>30DTV0350V</t>
  </si>
  <si>
    <t>PASO DE DOÑA JUANA</t>
  </si>
  <si>
    <t>30DTV1145S</t>
  </si>
  <si>
    <t>FERNANDO LOPEZ ARIAS</t>
  </si>
  <si>
    <t>PLAYA DE CHACHALACAS</t>
  </si>
  <si>
    <t>30DTV0131I</t>
  </si>
  <si>
    <t>CAMARON DE TEJEDA</t>
  </si>
  <si>
    <t>30DTV0414P</t>
  </si>
  <si>
    <t>MARGARITA MAZA DE JUAREZ</t>
  </si>
  <si>
    <t>MATA DE AGUA</t>
  </si>
  <si>
    <t>30DTV0994M</t>
  </si>
  <si>
    <t>BOCA DEL RIO</t>
  </si>
  <si>
    <t>30DTV0668R</t>
  </si>
  <si>
    <t>MANLIO FABIO ALTAMIRANO</t>
  </si>
  <si>
    <t>LA FIRMEZA</t>
  </si>
  <si>
    <t>30DTV0416N</t>
  </si>
  <si>
    <t>LOMA DE LOS CARMONA</t>
  </si>
  <si>
    <t>30DTV0714M</t>
  </si>
  <si>
    <t>PUENTE JULA</t>
  </si>
  <si>
    <t>30DTV1724Z</t>
  </si>
  <si>
    <t>SOLEDAD DE DOBLADO</t>
  </si>
  <si>
    <t>LA UNION UNO</t>
  </si>
  <si>
    <t>30DTV0256Q</t>
  </si>
  <si>
    <t>30DTV1065G</t>
  </si>
  <si>
    <t>30DTV0774A</t>
  </si>
  <si>
    <t>SANTA RITA</t>
  </si>
  <si>
    <t>30DTV0987C</t>
  </si>
  <si>
    <t>VALENTE DIAZ MORAN</t>
  </si>
  <si>
    <t>VALENTE DIAZ</t>
  </si>
  <si>
    <t>30DTV0065Z</t>
  </si>
  <si>
    <t>JUAN ALVAREZ</t>
  </si>
  <si>
    <t>VARGAS</t>
  </si>
  <si>
    <t>30DTV0143N</t>
  </si>
  <si>
    <t>ACULA</t>
  </si>
  <si>
    <t>30DTV0720X</t>
  </si>
  <si>
    <t>SAN MIGUEL XOCHITL (SAN MIGUEL EL SOLDADO)</t>
  </si>
  <si>
    <t>30DTV0243M</t>
  </si>
  <si>
    <t>AMATITLAN</t>
  </si>
  <si>
    <t>30DTV0090Z</t>
  </si>
  <si>
    <t>EL CORTE</t>
  </si>
  <si>
    <t>30DTV1664B</t>
  </si>
  <si>
    <t>DOS BOCAS</t>
  </si>
  <si>
    <t>30DTV1408L</t>
  </si>
  <si>
    <t>EL MULATO</t>
  </si>
  <si>
    <t>30DTV1322F</t>
  </si>
  <si>
    <t>JUANA DE ASBAJE</t>
  </si>
  <si>
    <t>RANCHO NUEVO (LOS CERROS)</t>
  </si>
  <si>
    <t>30DTV0410T</t>
  </si>
  <si>
    <t>CIPRIANO VILLASANA JIMENEZ</t>
  </si>
  <si>
    <t>COSAMALOAPAN DE CARPIO</t>
  </si>
  <si>
    <t>COSAMALOAPAN</t>
  </si>
  <si>
    <t>30DTV0426U</t>
  </si>
  <si>
    <t>30DTV0099Q</t>
  </si>
  <si>
    <t>NOPALTEPEC</t>
  </si>
  <si>
    <t>30DTV0408E</t>
  </si>
  <si>
    <t>SAN FRANCISCO (OYOZONTLE)</t>
  </si>
  <si>
    <t>30DTV0174G</t>
  </si>
  <si>
    <t>PARAISO NOVILLERO</t>
  </si>
  <si>
    <t>30DTV0549D</t>
  </si>
  <si>
    <t>POBLADO DOS (AMPLIACION PIEDRAS NEGRAS)</t>
  </si>
  <si>
    <t>30DTV0740K</t>
  </si>
  <si>
    <t>VICENTE SUAREZ</t>
  </si>
  <si>
    <t>IXMATLAHUACAN</t>
  </si>
  <si>
    <t>MOZAPA</t>
  </si>
  <si>
    <t>30DTV0570G</t>
  </si>
  <si>
    <t>TRES VALLES</t>
  </si>
  <si>
    <t>POBLADO TRES</t>
  </si>
  <si>
    <t>30DTV0568S</t>
  </si>
  <si>
    <t>CONSTITUCION MEXICANA</t>
  </si>
  <si>
    <t>30DTV0333E</t>
  </si>
  <si>
    <t>TILAPA</t>
  </si>
  <si>
    <t>30DTV0084O</t>
  </si>
  <si>
    <t>ANGEL R. CABADA</t>
  </si>
  <si>
    <t>30DTV0556N</t>
  </si>
  <si>
    <t>IGNACIO RAMIREZ</t>
  </si>
  <si>
    <t>BRAZO DE LA PALMA (EL RINCON CALIENTE)</t>
  </si>
  <si>
    <t>30DTV1371O</t>
  </si>
  <si>
    <t>LA ESPERANZA</t>
  </si>
  <si>
    <t>30DTV0070L</t>
  </si>
  <si>
    <t>LA FLORIDA</t>
  </si>
  <si>
    <t>30DTV0550T</t>
  </si>
  <si>
    <t>LAGUNA DE MAJAHUAL (RIO DE CAÑAS EJIDO)</t>
  </si>
  <si>
    <t>30DTV1130Q</t>
  </si>
  <si>
    <t>LOS LIRIOS</t>
  </si>
  <si>
    <t>30DTV0010X</t>
  </si>
  <si>
    <t>30DTV1667Z</t>
  </si>
  <si>
    <t>EL PROGRESO MAJAHUAL</t>
  </si>
  <si>
    <t>30DTV0269U</t>
  </si>
  <si>
    <t>SAN JUAN DE LOS REYES (LUIS VALENZUELA)</t>
  </si>
  <si>
    <t>30DTV1493Z</t>
  </si>
  <si>
    <t>MARTIRES DE TLATELOLCO</t>
  </si>
  <si>
    <t>CHONEGAL</t>
  </si>
  <si>
    <t>30DTV0045M</t>
  </si>
  <si>
    <t>VIDAL DIAZ MUÐOZ</t>
  </si>
  <si>
    <t>LERDO DE TEJADA</t>
  </si>
  <si>
    <t>30DTV0588F</t>
  </si>
  <si>
    <t>30DTV0953M</t>
  </si>
  <si>
    <t>SEBASTIAN LERDO DE TEJADA</t>
  </si>
  <si>
    <t>30DTV0026Y</t>
  </si>
  <si>
    <t>SALTABARRANCA</t>
  </si>
  <si>
    <t>30DTV0311T</t>
  </si>
  <si>
    <t>ZAMORA CALETON</t>
  </si>
  <si>
    <t>30DTV0208G</t>
  </si>
  <si>
    <t>LA NUEVA VICTORIA</t>
  </si>
  <si>
    <t>30DTV0756L</t>
  </si>
  <si>
    <t>SALINAS ROCA PARTIDA</t>
  </si>
  <si>
    <t>30DTV0135E</t>
  </si>
  <si>
    <t>PLAYA VICENTE</t>
  </si>
  <si>
    <t>30DTV0294T</t>
  </si>
  <si>
    <t>ABASOLO DEL VALLE</t>
  </si>
  <si>
    <t>30DTV0963T</t>
  </si>
  <si>
    <t>ARROYO BERMEJO</t>
  </si>
  <si>
    <t>30DTV1623B</t>
  </si>
  <si>
    <t>JOSE VASCONCELOS CALDERON</t>
  </si>
  <si>
    <t>CHILAPA DEL CARMEN</t>
  </si>
  <si>
    <t>30DTV0752P</t>
  </si>
  <si>
    <t>EDEN DE LAS FLORES</t>
  </si>
  <si>
    <t>30DTV0266X</t>
  </si>
  <si>
    <t>DIECINUEVE DE MARZO</t>
  </si>
  <si>
    <t>LEALTAD DE MUÑOZ</t>
  </si>
  <si>
    <t>30DTV0492T</t>
  </si>
  <si>
    <t>CARMEN SERDAN ALATRISTE</t>
  </si>
  <si>
    <t>LA NUEVA ERA</t>
  </si>
  <si>
    <t>30DTV0154T</t>
  </si>
  <si>
    <t>EL SERRANO</t>
  </si>
  <si>
    <t>30DTV0433D</t>
  </si>
  <si>
    <t>TOMATE RIO MANSO</t>
  </si>
  <si>
    <t>30DTV1718P</t>
  </si>
  <si>
    <t>TOMATILLO</t>
  </si>
  <si>
    <t>30DTV0494R</t>
  </si>
  <si>
    <t>LA UNION JUAN ENRIQUEZ</t>
  </si>
  <si>
    <t>30DTV0136D</t>
  </si>
  <si>
    <t>30DTV0343L</t>
  </si>
  <si>
    <t>SANTIAGO SOCHIAPAN</t>
  </si>
  <si>
    <t>XOCHIAPA</t>
  </si>
  <si>
    <t>30DTV1198X</t>
  </si>
  <si>
    <t>ARROYO COLORADO CRUZ VERDE</t>
  </si>
  <si>
    <t>30DTV0434C</t>
  </si>
  <si>
    <t>30DTV0285L</t>
  </si>
  <si>
    <t>INDEPENDENCIA</t>
  </si>
  <si>
    <t>ACAYUCAN</t>
  </si>
  <si>
    <t>30DTV0797L</t>
  </si>
  <si>
    <t>AGUAPINOLE (CUAPINOLE)</t>
  </si>
  <si>
    <t>30DTV1402R</t>
  </si>
  <si>
    <t>CASCAJAL DEL RIO (CASCAJALILLO)</t>
  </si>
  <si>
    <t>30DTV0551S</t>
  </si>
  <si>
    <t>COLONIA HIDALGO</t>
  </si>
  <si>
    <t>30DTV0921U</t>
  </si>
  <si>
    <t>COMEJEN</t>
  </si>
  <si>
    <t>30DTV0241O</t>
  </si>
  <si>
    <t>CORRAL NUEVO</t>
  </si>
  <si>
    <t>30DTV0150X</t>
  </si>
  <si>
    <t>ESPERANZA MALOTA</t>
  </si>
  <si>
    <t>30DTV1135L</t>
  </si>
  <si>
    <t>EL HATO</t>
  </si>
  <si>
    <t>30DTV0718I</t>
  </si>
  <si>
    <t>NICOLAS BRAVO</t>
  </si>
  <si>
    <t>30DTV1124F</t>
  </si>
  <si>
    <t>IXHUAPAN</t>
  </si>
  <si>
    <t>30DTV1204R</t>
  </si>
  <si>
    <t>IXTAGAPA</t>
  </si>
  <si>
    <t>30DTV1404P</t>
  </si>
  <si>
    <t>QUIAMOLOAPAN</t>
  </si>
  <si>
    <t>30DTV1553X</t>
  </si>
  <si>
    <t>SANTA RITA LAUREL</t>
  </si>
  <si>
    <t>30DTV1406N</t>
  </si>
  <si>
    <t>TIERRA COLORADA</t>
  </si>
  <si>
    <t>30DTV1660F</t>
  </si>
  <si>
    <t>ALFREDO CUADRA I. PIÑA</t>
  </si>
  <si>
    <t>30DTV1403Q</t>
  </si>
  <si>
    <t>PITALILLO</t>
  </si>
  <si>
    <t>30DTV0446H</t>
  </si>
  <si>
    <t>JALTIPAN</t>
  </si>
  <si>
    <t>LAS LOMAS DE TACAMICHAPAN</t>
  </si>
  <si>
    <t>30DTV0248H</t>
  </si>
  <si>
    <t>TELESECUNDARIA NUM. 248</t>
  </si>
  <si>
    <t>JUAN RODRIGUEZ CLARA</t>
  </si>
  <si>
    <t>NOPALAPAN</t>
  </si>
  <si>
    <t>30DTV0450U</t>
  </si>
  <si>
    <t>SOCONUSCO</t>
  </si>
  <si>
    <t>30DTV1264F</t>
  </si>
  <si>
    <t>LA COLMENA</t>
  </si>
  <si>
    <t>30DTV1505N</t>
  </si>
  <si>
    <t>FERNANDO ANAYA MONROY</t>
  </si>
  <si>
    <t>CHALCOMULCO</t>
  </si>
  <si>
    <t>30DTV0146K</t>
  </si>
  <si>
    <t>CHOGOTA</t>
  </si>
  <si>
    <t>30DTV0686G</t>
  </si>
  <si>
    <t>EJIDO LA VIRGEN</t>
  </si>
  <si>
    <t>30DTV1743O</t>
  </si>
  <si>
    <t>PABLO GARCIA MONTILLA</t>
  </si>
  <si>
    <t>TEXISTEPEC</t>
  </si>
  <si>
    <t>30DTV1158W</t>
  </si>
  <si>
    <t>OJO DE AGUA</t>
  </si>
  <si>
    <t>30DTV0332F</t>
  </si>
  <si>
    <t>COATZACOALCOS</t>
  </si>
  <si>
    <t>30DTV0095U</t>
  </si>
  <si>
    <t>ALLENDE</t>
  </si>
  <si>
    <t>30DTV0999H</t>
  </si>
  <si>
    <t>LAS BARRILLAS</t>
  </si>
  <si>
    <t>30DTV0562Y</t>
  </si>
  <si>
    <t>30DTV0563X</t>
  </si>
  <si>
    <t>GAVILAN SUR BIS</t>
  </si>
  <si>
    <t>30DTV0113T</t>
  </si>
  <si>
    <t>COSOLEACAQUE</t>
  </si>
  <si>
    <t>BARRANCAS (BUENOS AIRES)</t>
  </si>
  <si>
    <t>30DTV1159V</t>
  </si>
  <si>
    <t>12 DE OCTUBRE</t>
  </si>
  <si>
    <t>CANTICAS</t>
  </si>
  <si>
    <t>30DTV0729O</t>
  </si>
  <si>
    <t>ESTERO DEL PANTANO</t>
  </si>
  <si>
    <t>30DTV1627Y</t>
  </si>
  <si>
    <t>MINATITLAN</t>
  </si>
  <si>
    <t>30DTV1230P</t>
  </si>
  <si>
    <t>CHINAMECA</t>
  </si>
  <si>
    <t>AGUA FRIA</t>
  </si>
  <si>
    <t>30DTV1231O</t>
  </si>
  <si>
    <t>LOS CERRITOS</t>
  </si>
  <si>
    <t>30DTV0901G</t>
  </si>
  <si>
    <t>LIC. FERNANDO LOPEZ ARIAS</t>
  </si>
  <si>
    <t>CHACALAPA</t>
  </si>
  <si>
    <t>30DTV1160K</t>
  </si>
  <si>
    <t>IXHUATLAN DEL SURESTE</t>
  </si>
  <si>
    <t>BARRAGANTITLAN</t>
  </si>
  <si>
    <t>30DTV1475J</t>
  </si>
  <si>
    <t>30DTV1233M</t>
  </si>
  <si>
    <t>COYOLAR</t>
  </si>
  <si>
    <t>30DTV1247P</t>
  </si>
  <si>
    <t>EL TUNEL</t>
  </si>
  <si>
    <t>30DTV0664V</t>
  </si>
  <si>
    <t>30DTV0649C</t>
  </si>
  <si>
    <t>30DTV1684P</t>
  </si>
  <si>
    <t>MORY</t>
  </si>
  <si>
    <t>EL DIAMANTE</t>
  </si>
  <si>
    <t>30DTV1564C</t>
  </si>
  <si>
    <t>30DTV0956J</t>
  </si>
  <si>
    <t>TELESECUNDARIA NUM. 956</t>
  </si>
  <si>
    <t>MOLOACAN</t>
  </si>
  <si>
    <t>NUEVO TEAPA</t>
  </si>
  <si>
    <t>30DTV1762C</t>
  </si>
  <si>
    <t>AGUA DULCE</t>
  </si>
  <si>
    <t>EJIDO EL BURRO</t>
  </si>
  <si>
    <t>30DTV0898J</t>
  </si>
  <si>
    <t>EL CEDRAL</t>
  </si>
  <si>
    <t>30DTV1538E</t>
  </si>
  <si>
    <t>EJIDO LOS SOLDADOS</t>
  </si>
  <si>
    <t>30DTV0564W</t>
  </si>
  <si>
    <t>TONALA</t>
  </si>
  <si>
    <t>30DTV1161J</t>
  </si>
  <si>
    <t>LOS MANANTIALES</t>
  </si>
  <si>
    <t>30DTV0118O</t>
  </si>
  <si>
    <t>NARANJOS AMATLAN</t>
  </si>
  <si>
    <t>AMATLAN</t>
  </si>
  <si>
    <t>30DTV0023A</t>
  </si>
  <si>
    <t>GALEANA</t>
  </si>
  <si>
    <t>30DTV1426A</t>
  </si>
  <si>
    <t>OCAMPO (MELCHOR OCAMPO)</t>
  </si>
  <si>
    <t>30DTV1245R</t>
  </si>
  <si>
    <t>ZARAGOZA</t>
  </si>
  <si>
    <t>30DTV1568Z</t>
  </si>
  <si>
    <t>CARMEN SERDAN</t>
  </si>
  <si>
    <t>LA CEIBA</t>
  </si>
  <si>
    <t>30DTV1620E</t>
  </si>
  <si>
    <t>30DTV0862V</t>
  </si>
  <si>
    <t>RINCON DEL HIGO</t>
  </si>
  <si>
    <t>30DTV1455W</t>
  </si>
  <si>
    <t>LAS SABINAS</t>
  </si>
  <si>
    <t>30DTV0061D</t>
  </si>
  <si>
    <t>CHINAMPA DE GOROSTIZA</t>
  </si>
  <si>
    <t>30DTV0941H</t>
  </si>
  <si>
    <t>KILOMETRO VEINTIDOS</t>
  </si>
  <si>
    <t>30DTV0868P</t>
  </si>
  <si>
    <t>LOS ORGANOS</t>
  </si>
  <si>
    <t>30DTV0572E</t>
  </si>
  <si>
    <t>LA PIMIENTA</t>
  </si>
  <si>
    <t>30DTV1694W</t>
  </si>
  <si>
    <t>KILOMETRO VEINTICUATRO</t>
  </si>
  <si>
    <t>30DTV1128B</t>
  </si>
  <si>
    <t>CHONTLA</t>
  </si>
  <si>
    <t>COMALES NARANJADO</t>
  </si>
  <si>
    <t>30DTV0870D</t>
  </si>
  <si>
    <t>DON BENITO JUAREZ GARCIA</t>
  </si>
  <si>
    <t>MAGOZAL</t>
  </si>
  <si>
    <t>30DTV1318T</t>
  </si>
  <si>
    <t>JOSE IGNACIO ALLENDE</t>
  </si>
  <si>
    <t>LAS CANOAS</t>
  </si>
  <si>
    <t>30DTV1621D</t>
  </si>
  <si>
    <t>CRUZ MANANTIAL</t>
  </si>
  <si>
    <t>30DTV1456V</t>
  </si>
  <si>
    <t>LOS CALLEJONES</t>
  </si>
  <si>
    <t>30DTV1533J</t>
  </si>
  <si>
    <t>LAS CRUCES</t>
  </si>
  <si>
    <t>30DTV1716R</t>
  </si>
  <si>
    <t>LA GARITA</t>
  </si>
  <si>
    <t>30DTV0804E</t>
  </si>
  <si>
    <t>MATA DE OTATE</t>
  </si>
  <si>
    <t>30DTV1731J</t>
  </si>
  <si>
    <t>OZULUAMA DE MASCAREÐAS</t>
  </si>
  <si>
    <t>ESTACION CORONEL MASCAREÐAS</t>
  </si>
  <si>
    <t>30DTV1766Z</t>
  </si>
  <si>
    <t>OZULUAMA DE MASCAREÑAS</t>
  </si>
  <si>
    <t>LAS BREAS</t>
  </si>
  <si>
    <t>30DTV1767Y</t>
  </si>
  <si>
    <t>CUATRO PALMAS</t>
  </si>
  <si>
    <t>30DTV1220I</t>
  </si>
  <si>
    <t>HERIBERTO JARA CORONA</t>
  </si>
  <si>
    <t>EL MERCADO</t>
  </si>
  <si>
    <t>30DTV0832A</t>
  </si>
  <si>
    <t>TAMALIN</t>
  </si>
  <si>
    <t>MAMEY LA MAR</t>
  </si>
  <si>
    <t>30DTV1750Y</t>
  </si>
  <si>
    <t>CALMECATE</t>
  </si>
  <si>
    <t>30DTV0759I</t>
  </si>
  <si>
    <t>LOS POTREROS</t>
  </si>
  <si>
    <t>30DTV1732I</t>
  </si>
  <si>
    <t>EL RINCON</t>
  </si>
  <si>
    <t>30DTV0374E</t>
  </si>
  <si>
    <t>TANTIMA</t>
  </si>
  <si>
    <t>30DTV1751X</t>
  </si>
  <si>
    <t>NUEVO XUCHITL</t>
  </si>
  <si>
    <t>30DTV0712O</t>
  </si>
  <si>
    <t>SAN LORENZO</t>
  </si>
  <si>
    <t>30DTV0032I</t>
  </si>
  <si>
    <t>EL ANONO CUCHARAS</t>
  </si>
  <si>
    <t>30DTV1730K</t>
  </si>
  <si>
    <t>DIEGO RIVERA</t>
  </si>
  <si>
    <t>LA PUENTE</t>
  </si>
  <si>
    <t>30DTV1611X</t>
  </si>
  <si>
    <t>FRIDA KAHLO CALDERON</t>
  </si>
  <si>
    <t>EL ZAPOTAL</t>
  </si>
  <si>
    <t>30DTV1735F</t>
  </si>
  <si>
    <t>30DTV1622C</t>
  </si>
  <si>
    <t>EL PITAL</t>
  </si>
  <si>
    <t>30DTV0375D</t>
  </si>
  <si>
    <t>LA VICTORIA KILOMETRO 47</t>
  </si>
  <si>
    <t>30DTV0159O</t>
  </si>
  <si>
    <t>LAS AMERICAS</t>
  </si>
  <si>
    <t>30DTV0753O</t>
  </si>
  <si>
    <t>MARGARITA GUERRERO DE GIBB</t>
  </si>
  <si>
    <t>30DTV0048J</t>
  </si>
  <si>
    <t>MARIA ENRIQUETA CAMARILLO DE PEREYRA</t>
  </si>
  <si>
    <t>CHICHIMANTLA SEGUNDO</t>
  </si>
  <si>
    <t>30DTV0304J</t>
  </si>
  <si>
    <t>30DTV0225X</t>
  </si>
  <si>
    <t>JILIAPA SEGUNDO</t>
  </si>
  <si>
    <t>30DTV1037K</t>
  </si>
  <si>
    <t>MAMEY</t>
  </si>
  <si>
    <t>30DTV0041Q</t>
  </si>
  <si>
    <t>SAN PEDRO MIAHUAPAN</t>
  </si>
  <si>
    <t>30DTV0984F</t>
  </si>
  <si>
    <t>SAN NICOLAS</t>
  </si>
  <si>
    <t>30DTV0771D</t>
  </si>
  <si>
    <t>30DTV0486I</t>
  </si>
  <si>
    <t>LA UNION</t>
  </si>
  <si>
    <t>30DTV0727Q</t>
  </si>
  <si>
    <t>30DTV1228A</t>
  </si>
  <si>
    <t>21 DE MARZO</t>
  </si>
  <si>
    <t>COLONIA MIGUEL HIDALGO</t>
  </si>
  <si>
    <t>30DTV0726R</t>
  </si>
  <si>
    <t>CORRALILLOS</t>
  </si>
  <si>
    <t>30DTV0368U</t>
  </si>
  <si>
    <t>PALMA SOLA</t>
  </si>
  <si>
    <t>30DTV0933Z</t>
  </si>
  <si>
    <t>IGNACIO LOPEZ RAYON</t>
  </si>
  <si>
    <t>EL VIZCAINO</t>
  </si>
  <si>
    <t>30DTV0255R</t>
  </si>
  <si>
    <t>CARRIZAL</t>
  </si>
  <si>
    <t>30DTV0782J</t>
  </si>
  <si>
    <t>DONATO MARQUEZ AZUARA</t>
  </si>
  <si>
    <t>30DTV1366C</t>
  </si>
  <si>
    <t>SANTA AGUEDA</t>
  </si>
  <si>
    <t>30DTV1154Z</t>
  </si>
  <si>
    <t>VICENTE HERRERA</t>
  </si>
  <si>
    <t>30DTV1007Q</t>
  </si>
  <si>
    <t>LA GUASIMA</t>
  </si>
  <si>
    <t>30DTV0535A</t>
  </si>
  <si>
    <t>30DTV0672D</t>
  </si>
  <si>
    <t>30DTV0826Q</t>
  </si>
  <si>
    <t>30DTV0682K</t>
  </si>
  <si>
    <t>COAHUITLAN</t>
  </si>
  <si>
    <t>PROGRESO DE ZARAGOZA</t>
  </si>
  <si>
    <t>30DTV1202T</t>
  </si>
  <si>
    <t>30DTV0991P</t>
  </si>
  <si>
    <t>SALVADOR NOVO</t>
  </si>
  <si>
    <t>MACEDONIO ALONSO</t>
  </si>
  <si>
    <t>30DTV0005L</t>
  </si>
  <si>
    <t>SABANETA</t>
  </si>
  <si>
    <t>30DTV0222Z</t>
  </si>
  <si>
    <t>COYUTLA</t>
  </si>
  <si>
    <t>30DTV1517S</t>
  </si>
  <si>
    <t>PROFR. ALFONSO CRUZ Y FLORES</t>
  </si>
  <si>
    <t>CALALCO</t>
  </si>
  <si>
    <t>30DTV1042W</t>
  </si>
  <si>
    <t>LA CHACA</t>
  </si>
  <si>
    <t>30DTV1527Z</t>
  </si>
  <si>
    <t>30DTV0731C</t>
  </si>
  <si>
    <t>EL PANORAMA</t>
  </si>
  <si>
    <t>30DTV0732B</t>
  </si>
  <si>
    <t>TULAPILLA</t>
  </si>
  <si>
    <t>30DTV1685O</t>
  </si>
  <si>
    <t>CRUZ VERDE</t>
  </si>
  <si>
    <t>30DTV0385K</t>
  </si>
  <si>
    <t>EL CIRUELO</t>
  </si>
  <si>
    <t>30DTV0183O</t>
  </si>
  <si>
    <t>ENTABLADERO</t>
  </si>
  <si>
    <t>30DTV0372G</t>
  </si>
  <si>
    <t>PEDRO MARIA ANAYA</t>
  </si>
  <si>
    <t>30DTV0362Z</t>
  </si>
  <si>
    <t>POZA LARGA ZAPOTAL</t>
  </si>
  <si>
    <t>30DTV1095A</t>
  </si>
  <si>
    <t>MANUEL PAYNO</t>
  </si>
  <si>
    <t>SAN LEONCIO JAMAYA</t>
  </si>
  <si>
    <t>30DTV1094B</t>
  </si>
  <si>
    <t>NETZAHUALCOYOTL</t>
  </si>
  <si>
    <t>30DTV0383M</t>
  </si>
  <si>
    <t>FILOMENO MATA</t>
  </si>
  <si>
    <t>30DTV1324D</t>
  </si>
  <si>
    <t>30DTV1203S</t>
  </si>
  <si>
    <t>CERRO GRANDE</t>
  </si>
  <si>
    <t>30DTV1336I</t>
  </si>
  <si>
    <t>HELIODORO DAVILA</t>
  </si>
  <si>
    <t>COLONIA ELEODORO DAVILA</t>
  </si>
  <si>
    <t>30DTV0378A</t>
  </si>
  <si>
    <t>MECATLAN</t>
  </si>
  <si>
    <t>30DTV1089Q</t>
  </si>
  <si>
    <t>RANCHO ALEGRE</t>
  </si>
  <si>
    <t>30DTV0384L</t>
  </si>
  <si>
    <t>30DTV1617R</t>
  </si>
  <si>
    <t>RAFAEL RAMIREZ CASTAÐEDA</t>
  </si>
  <si>
    <t>LA CRUZ</t>
  </si>
  <si>
    <t>30DTV1360I</t>
  </si>
  <si>
    <t>CUHUIXANATH</t>
  </si>
  <si>
    <t>30DTV1255Y</t>
  </si>
  <si>
    <t>PAPANTLA DE OLARTE</t>
  </si>
  <si>
    <t>30DTV1256X</t>
  </si>
  <si>
    <t>30DTV0261B</t>
  </si>
  <si>
    <t>RUBEN DARIO</t>
  </si>
  <si>
    <t>30DTV0382N</t>
  </si>
  <si>
    <t>BELISARIO DOMINGUEZ</t>
  </si>
  <si>
    <t>30DTV0822U</t>
  </si>
  <si>
    <t>CUYUXQUIHUI</t>
  </si>
  <si>
    <t>30DTV1709H</t>
  </si>
  <si>
    <t>EL CHOTE</t>
  </si>
  <si>
    <t>30DTV1361H</t>
  </si>
  <si>
    <t>30DTV0278B</t>
  </si>
  <si>
    <t>JOLOAPAN</t>
  </si>
  <si>
    <t>30DTV0003N</t>
  </si>
  <si>
    <t>RAMON ESPINOSA VILLANUEVA</t>
  </si>
  <si>
    <t>PUEBLILLO</t>
  </si>
  <si>
    <t>30DTV1520F</t>
  </si>
  <si>
    <t>RAFAEL ROSAS</t>
  </si>
  <si>
    <t>30DTV0022B</t>
  </si>
  <si>
    <t>30DTV1670M</t>
  </si>
  <si>
    <t>CONGREGACION TARACUAN</t>
  </si>
  <si>
    <t>30DTV0962U</t>
  </si>
  <si>
    <t>INSURGENTES SOCIALISTAS</t>
  </si>
  <si>
    <t>30DTV0021C</t>
  </si>
  <si>
    <t>PENSADOR MEXICANO</t>
  </si>
  <si>
    <t>30DTV0185M</t>
  </si>
  <si>
    <t>30DTV0094V</t>
  </si>
  <si>
    <t>AGUSTIN IZQUIERDO QUESSNEL</t>
  </si>
  <si>
    <t>BARRA DE PALMAS</t>
  </si>
  <si>
    <t>30DTV0392U</t>
  </si>
  <si>
    <t>ISLA DE CHAPACHAPA</t>
  </si>
  <si>
    <t>30DTV0019O</t>
  </si>
  <si>
    <t>JICALTEPEC</t>
  </si>
  <si>
    <t>30DTV0834Z</t>
  </si>
  <si>
    <t>ARNULFO VIVEROS AGUILAR</t>
  </si>
  <si>
    <t>CASITAS</t>
  </si>
  <si>
    <t>30DTV0307G</t>
  </si>
  <si>
    <t>30DTV0480O</t>
  </si>
  <si>
    <t>CEMENTERAS DEL PITAL</t>
  </si>
  <si>
    <t>30DTV0029V</t>
  </si>
  <si>
    <t>30DTV0253T</t>
  </si>
  <si>
    <t>ERNESTO TORAL LOMBARD</t>
  </si>
  <si>
    <t>TRES ENCINOS</t>
  </si>
  <si>
    <t>30DTV1125E</t>
  </si>
  <si>
    <t>ALTO LUCERO DE GUTIERREZ BARRIOS</t>
  </si>
  <si>
    <t>PEDREGAL</t>
  </si>
  <si>
    <t>30DTV1410Z</t>
  </si>
  <si>
    <t>CERRO DEL AGUACATE</t>
  </si>
  <si>
    <t>30DTV1630L</t>
  </si>
  <si>
    <t>CHICONQUIACO</t>
  </si>
  <si>
    <t>EL CAPULIN</t>
  </si>
  <si>
    <t>30DTV1631K</t>
  </si>
  <si>
    <t>PLAN DE LA ESTRELLA</t>
  </si>
  <si>
    <t>30DTV1632J</t>
  </si>
  <si>
    <t>LOMA PLAN</t>
  </si>
  <si>
    <t>30DTV1633I</t>
  </si>
  <si>
    <t>LAS PAREDES</t>
  </si>
  <si>
    <t>30DTV0683J</t>
  </si>
  <si>
    <t>LA SOMBRA</t>
  </si>
  <si>
    <t>30DTV0212T</t>
  </si>
  <si>
    <t>JUCHIQUE DE FERRER</t>
  </si>
  <si>
    <t>30DTV1704M</t>
  </si>
  <si>
    <t>30DTV0688E</t>
  </si>
  <si>
    <t>EL CHAPARRAL</t>
  </si>
  <si>
    <t>30DTV0339Z</t>
  </si>
  <si>
    <t>DOS ARROYOS</t>
  </si>
  <si>
    <t>30DTV0014T</t>
  </si>
  <si>
    <t>30DTV0395R</t>
  </si>
  <si>
    <t>LAGUNA DE FARFAN</t>
  </si>
  <si>
    <t>30DTV0202M</t>
  </si>
  <si>
    <t>PLAN DE LA FLOR</t>
  </si>
  <si>
    <t>30DTV0179B</t>
  </si>
  <si>
    <t>PLAN DE LAS HAYAS</t>
  </si>
  <si>
    <t>30DTV1052C</t>
  </si>
  <si>
    <t>PORFIRIO DIAZ (EL NARANJAL)</t>
  </si>
  <si>
    <t>30DTV1185T</t>
  </si>
  <si>
    <t>SANTA ROSA SUR</t>
  </si>
  <si>
    <t>30DTV0309E</t>
  </si>
  <si>
    <t>SANTIAGO XIHUITLAN</t>
  </si>
  <si>
    <t>30DTV0170K</t>
  </si>
  <si>
    <t>YECUATLA</t>
  </si>
  <si>
    <t>CRISTOBAL HIDALGO</t>
  </si>
  <si>
    <t>30DTV0990Q</t>
  </si>
  <si>
    <t>CUAUTITLAN DEL PARRAL</t>
  </si>
  <si>
    <t>30DTV0697M</t>
  </si>
  <si>
    <t>INDEPENDENCIA (LA INDIA)</t>
  </si>
  <si>
    <t>30DTV1053B</t>
  </si>
  <si>
    <t>30DTV0334D</t>
  </si>
  <si>
    <t>30DTV0215Q</t>
  </si>
  <si>
    <t>SALVADOR ALLENDE</t>
  </si>
  <si>
    <t>LOS IDOLOS</t>
  </si>
  <si>
    <t>30DTV0719H</t>
  </si>
  <si>
    <t>PASO DE LA MILPA</t>
  </si>
  <si>
    <t>30DTV0858I</t>
  </si>
  <si>
    <t>VILLA NUEVA</t>
  </si>
  <si>
    <t>30DTV0348G</t>
  </si>
  <si>
    <t>DOS RIOS</t>
  </si>
  <si>
    <t>30DTV0432E</t>
  </si>
  <si>
    <t>EL AGUAJE</t>
  </si>
  <si>
    <t>30DTV0349F</t>
  </si>
  <si>
    <t>BUENA VISTA</t>
  </si>
  <si>
    <t>30DTV0128V</t>
  </si>
  <si>
    <t>JOSE CALAZAN LEON</t>
  </si>
  <si>
    <t>VILLA EMILIANO ZAPATA (EL CARRIZAL)</t>
  </si>
  <si>
    <t>30DTV1036L</t>
  </si>
  <si>
    <t>EL GUAYABO</t>
  </si>
  <si>
    <t>30DTV0805D</t>
  </si>
  <si>
    <t>EL LENCERO</t>
  </si>
  <si>
    <t>30DTV0923S</t>
  </si>
  <si>
    <t>PALO GACHO</t>
  </si>
  <si>
    <t>30DTV0108H</t>
  </si>
  <si>
    <t>PLAN DEL RIO</t>
  </si>
  <si>
    <t>30DTV0306H</t>
  </si>
  <si>
    <t>RANCHO VIEJO</t>
  </si>
  <si>
    <t>30DTV0006K</t>
  </si>
  <si>
    <t>RINCONADA</t>
  </si>
  <si>
    <t>30DTV0781K</t>
  </si>
  <si>
    <t>30DTV0271I</t>
  </si>
  <si>
    <t>ALTO LUCERO</t>
  </si>
  <si>
    <t>30DTV1551Z</t>
  </si>
  <si>
    <t>ALTO DEL TIZAR</t>
  </si>
  <si>
    <t>30DTV0092X</t>
  </si>
  <si>
    <t>CERRILLOS DE DIAZ</t>
  </si>
  <si>
    <t>30DTV1552Y</t>
  </si>
  <si>
    <t>MONTE VERDE CHIVERIA</t>
  </si>
  <si>
    <t>30DTV0643I</t>
  </si>
  <si>
    <t>IGNACIO ALDAMA</t>
  </si>
  <si>
    <t>30DTV1049P</t>
  </si>
  <si>
    <t>30DTV1501R</t>
  </si>
  <si>
    <t>XOMOTLA</t>
  </si>
  <si>
    <t>30DTV0152V</t>
  </si>
  <si>
    <t>RAFAEL HERNANDEZ OCHOA</t>
  </si>
  <si>
    <t>30DTV0813M</t>
  </si>
  <si>
    <t>BENITO FENTANES</t>
  </si>
  <si>
    <t>30DTV1616S</t>
  </si>
  <si>
    <t>30DTV0062C</t>
  </si>
  <si>
    <t>CHILTOYAC</t>
  </si>
  <si>
    <t>30DTV0137C</t>
  </si>
  <si>
    <t>LA CONCEPCION</t>
  </si>
  <si>
    <t>30DTV0346I</t>
  </si>
  <si>
    <t>EL ESPINAL</t>
  </si>
  <si>
    <t>30DTV0979U</t>
  </si>
  <si>
    <t>TEPETLAN</t>
  </si>
  <si>
    <t>VICENTE GUERRERO (TEPETATES)</t>
  </si>
  <si>
    <t>30DTV0842H</t>
  </si>
  <si>
    <t>TLALNELHUAYOCAN</t>
  </si>
  <si>
    <t>SAN ANTONIO HIDALGO</t>
  </si>
  <si>
    <t>30DTV0799J</t>
  </si>
  <si>
    <t>ANGEL JOSE HERMIDA RUIZ</t>
  </si>
  <si>
    <t>ALVARADO</t>
  </si>
  <si>
    <t>30DTV0681L</t>
  </si>
  <si>
    <t>ARBOLILLO</t>
  </si>
  <si>
    <t>30DTV0264Z</t>
  </si>
  <si>
    <t>VALENTE CRUZ MENDIOLA</t>
  </si>
  <si>
    <t>COSTA DE LA PALMA</t>
  </si>
  <si>
    <t>30DTV0859H</t>
  </si>
  <si>
    <t>MANDINGA Y MATOZA</t>
  </si>
  <si>
    <t>30DTV0555O</t>
  </si>
  <si>
    <t>LA PIEDRA</t>
  </si>
  <si>
    <t>30DTV0308F</t>
  </si>
  <si>
    <t>MARIA DE JESUS GUTIERREZ MUNGUIA</t>
  </si>
  <si>
    <t>RINCON DE LA PALMA</t>
  </si>
  <si>
    <t>30DTV0230I</t>
  </si>
  <si>
    <t>SALINAS</t>
  </si>
  <si>
    <t>30DTV0417M</t>
  </si>
  <si>
    <t>EL ZAPOTE</t>
  </si>
  <si>
    <t>30DTV0140Q</t>
  </si>
  <si>
    <t>PASO NACIONAL</t>
  </si>
  <si>
    <t>30DTV0163A</t>
  </si>
  <si>
    <t>MARIANO ABASOLO</t>
  </si>
  <si>
    <t>30DTV0724T</t>
  </si>
  <si>
    <t>30DTV0625T</t>
  </si>
  <si>
    <t>TIERRA Y LIBERTAD</t>
  </si>
  <si>
    <t>TLALIXCOYAN</t>
  </si>
  <si>
    <t>MATA CABESTRO</t>
  </si>
  <si>
    <t>30DTV1056Z</t>
  </si>
  <si>
    <t>DOS LOMAS</t>
  </si>
  <si>
    <t>30DTV0251V</t>
  </si>
  <si>
    <t>30DTV0926P</t>
  </si>
  <si>
    <t>LA PUREZA</t>
  </si>
  <si>
    <t>30DTV0087L</t>
  </si>
  <si>
    <t>TENENEXPAN</t>
  </si>
  <si>
    <t>30DTV0098R</t>
  </si>
  <si>
    <t>ACAZONICA</t>
  </si>
  <si>
    <t>30DTV0244L</t>
  </si>
  <si>
    <t>ANGOSTILLO</t>
  </si>
  <si>
    <t>30DTV0635Z</t>
  </si>
  <si>
    <t>CERRO GUZMAN</t>
  </si>
  <si>
    <t>30DTV0247I</t>
  </si>
  <si>
    <t>GRACIANO VALENZUELA</t>
  </si>
  <si>
    <t>30DTV1715S</t>
  </si>
  <si>
    <t>PALMARITOS</t>
  </si>
  <si>
    <t>30DTV1770L</t>
  </si>
  <si>
    <t>30DTV0031J</t>
  </si>
  <si>
    <t>ABEL S. RODRIGUEZ</t>
  </si>
  <si>
    <t>TOLOME</t>
  </si>
  <si>
    <t>30DTV0852O</t>
  </si>
  <si>
    <t>MATA CAZUELA</t>
  </si>
  <si>
    <t>30DTV0238A</t>
  </si>
  <si>
    <t>30DTV1400T</t>
  </si>
  <si>
    <t>30DTV0919F</t>
  </si>
  <si>
    <t>JOSE AZUETA</t>
  </si>
  <si>
    <t>CABO VERDE</t>
  </si>
  <si>
    <t>30DTV0130J</t>
  </si>
  <si>
    <t>CARLOS PELLICER</t>
  </si>
  <si>
    <t>DELFINO VICTORIA (SANTA FE)</t>
  </si>
  <si>
    <t>30DTV1068D</t>
  </si>
  <si>
    <t>COLONIA EL RENACIMIENTO</t>
  </si>
  <si>
    <t>30DTV0630E</t>
  </si>
  <si>
    <t>PASO DEL INGENIO</t>
  </si>
  <si>
    <t>30DTV0149H</t>
  </si>
  <si>
    <t>TECOLAPAN</t>
  </si>
  <si>
    <t>30DTV0199P</t>
  </si>
  <si>
    <t>TULA</t>
  </si>
  <si>
    <t>30DTV1548L</t>
  </si>
  <si>
    <t>AHUACAPAN</t>
  </si>
  <si>
    <t>30DTV0495Q</t>
  </si>
  <si>
    <t>LAS GALERAS</t>
  </si>
  <si>
    <t>30DTV1155Z</t>
  </si>
  <si>
    <t>NACIMIENTOS DE XOGAPAN (FRANCISCO I. MADERO)</t>
  </si>
  <si>
    <t>30DTV1147Q</t>
  </si>
  <si>
    <t>LA REDONDA</t>
  </si>
  <si>
    <t>30DTV1581T</t>
  </si>
  <si>
    <t>GUILLERMO PRIETO</t>
  </si>
  <si>
    <t>SAN LEOPOLDO</t>
  </si>
  <si>
    <t>30DTV0242N</t>
  </si>
  <si>
    <t>TILAPAN</t>
  </si>
  <si>
    <t>30DTV0357O</t>
  </si>
  <si>
    <t>FRANCISCO A. CASTELLANOS</t>
  </si>
  <si>
    <t>SANTIAGO TUXTLA</t>
  </si>
  <si>
    <t>30DTV1437G</t>
  </si>
  <si>
    <t>MIGUEL ALEMAN</t>
  </si>
  <si>
    <t>ARROYO LARGO</t>
  </si>
  <si>
    <t>30DTV1721C</t>
  </si>
  <si>
    <t>NIÑOS HEROES DE CHAPULTEPEC</t>
  </si>
  <si>
    <t>EL COYOL</t>
  </si>
  <si>
    <t>30DTV0176E</t>
  </si>
  <si>
    <t>30DTV1395Y</t>
  </si>
  <si>
    <t>MAXYAPAN</t>
  </si>
  <si>
    <t>30DTV0497O</t>
  </si>
  <si>
    <t>30DTV0880K</t>
  </si>
  <si>
    <t>EL MORILLO</t>
  </si>
  <si>
    <t>30DTV0498N</t>
  </si>
  <si>
    <t>JOSE JUAN TABLADA</t>
  </si>
  <si>
    <t>30DTV1438F</t>
  </si>
  <si>
    <t>EL PLATANAR</t>
  </si>
  <si>
    <t>30DTV0449E</t>
  </si>
  <si>
    <t>SEHUALACA</t>
  </si>
  <si>
    <t>30DTV0437Z</t>
  </si>
  <si>
    <t>TAPALAPAN</t>
  </si>
  <si>
    <t>30DTV0330H</t>
  </si>
  <si>
    <t>TIBERNAL</t>
  </si>
  <si>
    <t>30DTV1549K</t>
  </si>
  <si>
    <t>HEBERTO CASTILLO</t>
  </si>
  <si>
    <t>XIGüIPILINCAN</t>
  </si>
  <si>
    <t>30DTV1722B</t>
  </si>
  <si>
    <t>30DTV1792X</t>
  </si>
  <si>
    <t>LA PITAHAYA</t>
  </si>
  <si>
    <t>30DTV1003U</t>
  </si>
  <si>
    <t>LAS POCHOTAS</t>
  </si>
  <si>
    <t>30DTV0295S</t>
  </si>
  <si>
    <t>SOTEAPAN</t>
  </si>
  <si>
    <t>COLONIA LA MAGDALENA</t>
  </si>
  <si>
    <t>30DTV0581M</t>
  </si>
  <si>
    <t>30DTV1072Q</t>
  </si>
  <si>
    <t>ANGOSTURA</t>
  </si>
  <si>
    <t>30DTV0582L</t>
  </si>
  <si>
    <t>EL BLANCO</t>
  </si>
  <si>
    <t>30DTV0445I</t>
  </si>
  <si>
    <t>LA CAÑADA</t>
  </si>
  <si>
    <t>30DTV0583K</t>
  </si>
  <si>
    <t>CASAS VIEJAS</t>
  </si>
  <si>
    <t>30DTV0584J</t>
  </si>
  <si>
    <t>COLONIA DOMINGUEZ</t>
  </si>
  <si>
    <t>30DTV1059W</t>
  </si>
  <si>
    <t>COLONIA 20 DE NOVIEMBRE (PANCHO VILLA)</t>
  </si>
  <si>
    <t>30DTV0454Q</t>
  </si>
  <si>
    <t>HUAYACANES</t>
  </si>
  <si>
    <t>30DTV0585I</t>
  </si>
  <si>
    <t>LA ISLETA</t>
  </si>
  <si>
    <t>30DTV0443K</t>
  </si>
  <si>
    <t>JIMBA</t>
  </si>
  <si>
    <t>30DTV0586H</t>
  </si>
  <si>
    <t>MIGUEL HIDALGO</t>
  </si>
  <si>
    <t>30DTV0310U</t>
  </si>
  <si>
    <t>PALO MIGUEL</t>
  </si>
  <si>
    <t>30DTV0952N</t>
  </si>
  <si>
    <t>PASO DEL GANADO</t>
  </si>
  <si>
    <t>30DTV0218N</t>
  </si>
  <si>
    <t>LOS TIGRES (SAN MARCOS)</t>
  </si>
  <si>
    <t>30DTV0587G</t>
  </si>
  <si>
    <t>30DTV1153A</t>
  </si>
  <si>
    <t>NUEVA ESPERANZA</t>
  </si>
  <si>
    <t>30DTV0730D</t>
  </si>
  <si>
    <t>30DTV0936W</t>
  </si>
  <si>
    <t>30DTV0116Q</t>
  </si>
  <si>
    <t>COACOTLA</t>
  </si>
  <si>
    <t>30DTV0937V</t>
  </si>
  <si>
    <t>JOSE F. GUTIERREZ</t>
  </si>
  <si>
    <t>30DTV1229Z</t>
  </si>
  <si>
    <t>SAN PEDRO MARTIR</t>
  </si>
  <si>
    <t>30DTV0935X</t>
  </si>
  <si>
    <t>SAN ANTONIO</t>
  </si>
  <si>
    <t>30DTV1096Z</t>
  </si>
  <si>
    <t>ATEPONTA</t>
  </si>
  <si>
    <t>30DTV1232N</t>
  </si>
  <si>
    <t>HIDALGOTITLAN</t>
  </si>
  <si>
    <t>IGNACIO ALLENDE EL GRANDE</t>
  </si>
  <si>
    <t>30DTV1698S</t>
  </si>
  <si>
    <t>IZCOATL</t>
  </si>
  <si>
    <t>JAVIER ROJO GOMEZ</t>
  </si>
  <si>
    <t>30DTV0947B</t>
  </si>
  <si>
    <t>30DTV1706K</t>
  </si>
  <si>
    <t>CALMECATL</t>
  </si>
  <si>
    <t>MECAYAPAN</t>
  </si>
  <si>
    <t>ENCINO AMARILLO</t>
  </si>
  <si>
    <t>30DTV1234L</t>
  </si>
  <si>
    <t>SAN ANDRES CHAMILPA</t>
  </si>
  <si>
    <t>30DTV1577G</t>
  </si>
  <si>
    <t>PAJAPAN</t>
  </si>
  <si>
    <t>COSCAPAN</t>
  </si>
  <si>
    <t>30DTV1254Z</t>
  </si>
  <si>
    <t>JICACAL</t>
  </si>
  <si>
    <t>30DTV1390C</t>
  </si>
  <si>
    <t>EL MANGAL</t>
  </si>
  <si>
    <t>30DTV0821V</t>
  </si>
  <si>
    <t>MINZAPAN</t>
  </si>
  <si>
    <t>30DTV1235K</t>
  </si>
  <si>
    <t>SAN JUAN VOLADOR</t>
  </si>
  <si>
    <t>30DTV1539D</t>
  </si>
  <si>
    <t>30DTV0316O</t>
  </si>
  <si>
    <t>SAYULA DE ALEMAN</t>
  </si>
  <si>
    <t>ALMAGRES</t>
  </si>
  <si>
    <t>30DTV0831B</t>
  </si>
  <si>
    <t>CRUZ DEL MILAGRO</t>
  </si>
  <si>
    <t>30DTV0145L</t>
  </si>
  <si>
    <t>EL JUILE</t>
  </si>
  <si>
    <t>30DTV1725Z</t>
  </si>
  <si>
    <t>AMAMALOYA</t>
  </si>
  <si>
    <t>30DTV1266D</t>
  </si>
  <si>
    <t>30DTV1610Y</t>
  </si>
  <si>
    <t>CUILONIA NUEVA</t>
  </si>
  <si>
    <t>30DTV1726Y</t>
  </si>
  <si>
    <t>MARIO MORENO REYES</t>
  </si>
  <si>
    <t>LA ESTRIBERA</t>
  </si>
  <si>
    <t>30DTV1115Y</t>
  </si>
  <si>
    <t>MIGUEL DE CERVANTES SAAVEDRA</t>
  </si>
  <si>
    <t>MIRADOR SALTILLO</t>
  </si>
  <si>
    <t>30DTV1078K</t>
  </si>
  <si>
    <t>MORELOS</t>
  </si>
  <si>
    <t>30DTV1484R</t>
  </si>
  <si>
    <t>OCOTAL CHICO</t>
  </si>
  <si>
    <t>30DTV1267C</t>
  </si>
  <si>
    <t>OCOZOTEPEC</t>
  </si>
  <si>
    <t>30DTV1114Z</t>
  </si>
  <si>
    <t>SAN FERNANDO</t>
  </si>
  <si>
    <t>30DTV1112A</t>
  </si>
  <si>
    <t>EL TULIN</t>
  </si>
  <si>
    <t>30DTV1483S</t>
  </si>
  <si>
    <t>HILARIO C. SALAS</t>
  </si>
  <si>
    <t>30DTV1540T</t>
  </si>
  <si>
    <t>LAS PALOMAS (BAJO PALOMA)</t>
  </si>
  <si>
    <t>30DTV1763B</t>
  </si>
  <si>
    <t>TATAHUICAPAN DE JUAREZ</t>
  </si>
  <si>
    <t>MEZCALAPA</t>
  </si>
  <si>
    <t>30DTV1764A</t>
  </si>
  <si>
    <t>EMILIO CARBALLIDO</t>
  </si>
  <si>
    <t>EL MIRADOR PILAPA</t>
  </si>
  <si>
    <t>30DTV1485Q</t>
  </si>
  <si>
    <t>PILAPILLO</t>
  </si>
  <si>
    <t>30DTV1294Z</t>
  </si>
  <si>
    <t>ZAPOAPAN</t>
  </si>
  <si>
    <t>30DTV1541S</t>
  </si>
  <si>
    <t>ZAPOTITLAN</t>
  </si>
  <si>
    <t>30DTV0418L</t>
  </si>
  <si>
    <t>JOSE MARIA MUÑOZ HERNANDEZ</t>
  </si>
  <si>
    <t>DOS RIOS (TOCUILA)</t>
  </si>
  <si>
    <t>30DTV0565V</t>
  </si>
  <si>
    <t>SAN JOSE DE TAPIA</t>
  </si>
  <si>
    <t>30DTV0012V</t>
  </si>
  <si>
    <t>CHOCAMAN</t>
  </si>
  <si>
    <t>30DTV0795N</t>
  </si>
  <si>
    <t>FILOMENO VAZQUEZ JIMENEZ</t>
  </si>
  <si>
    <t>30DTV1790Z</t>
  </si>
  <si>
    <t>CALAQUIOCO</t>
  </si>
  <si>
    <t>30DTV0869O</t>
  </si>
  <si>
    <t>TETLA</t>
  </si>
  <si>
    <t>30DTV1319S</t>
  </si>
  <si>
    <t>FORTIN</t>
  </si>
  <si>
    <t>FORTIN DE LAS FLORES</t>
  </si>
  <si>
    <t>30DTV0044N</t>
  </si>
  <si>
    <t>ESFUERZO CAMPESINO</t>
  </si>
  <si>
    <t>MONTE BLANCO</t>
  </si>
  <si>
    <t>30DTV1462F</t>
  </si>
  <si>
    <t>DIGNA OCHOA Y PLACIDO</t>
  </si>
  <si>
    <t>FRESNAL</t>
  </si>
  <si>
    <t>30DTV0709A</t>
  </si>
  <si>
    <t>TENOCH</t>
  </si>
  <si>
    <t>SUMIDERO</t>
  </si>
  <si>
    <t>30DTV0317N</t>
  </si>
  <si>
    <t>HEROES DE LA PATRIA</t>
  </si>
  <si>
    <t>30DTV0081R</t>
  </si>
  <si>
    <t>TOMATLAN</t>
  </si>
  <si>
    <t>30DTV0850Q</t>
  </si>
  <si>
    <t>TECAMA</t>
  </si>
  <si>
    <t>30DTV0016R</t>
  </si>
  <si>
    <t>GABINO BARREDA</t>
  </si>
  <si>
    <t>PANUCO</t>
  </si>
  <si>
    <t>CHIJOL DIECISIETE</t>
  </si>
  <si>
    <t>30DTV0069W</t>
  </si>
  <si>
    <t>ESTACION MENDEZ</t>
  </si>
  <si>
    <t>30DTV0791R</t>
  </si>
  <si>
    <t>CALENTADORES</t>
  </si>
  <si>
    <t>30DTV0669Q</t>
  </si>
  <si>
    <t>30DTV0877X</t>
  </si>
  <si>
    <t>OVIEDO</t>
  </si>
  <si>
    <t>30DTV1138I</t>
  </si>
  <si>
    <t>EX-HACIENDA CHINTON (LA QUINA)</t>
  </si>
  <si>
    <t>30DTV0748C</t>
  </si>
  <si>
    <t>EL MOLINO</t>
  </si>
  <si>
    <t>30DTV1332M</t>
  </si>
  <si>
    <t>JABONCILLO</t>
  </si>
  <si>
    <t>30DTV0960W</t>
  </si>
  <si>
    <t>30DTV1771K</t>
  </si>
  <si>
    <t>DESIDERIO PAVON HERNANDEZ</t>
  </si>
  <si>
    <t>PALMAS REALES</t>
  </si>
  <si>
    <t>30DTV1018W</t>
  </si>
  <si>
    <t>VEGA DE OTATES</t>
  </si>
  <si>
    <t>30DTV0475C</t>
  </si>
  <si>
    <t>COLONIA PILOTO</t>
  </si>
  <si>
    <t>30DTV1337H</t>
  </si>
  <si>
    <t>BUENAVISTA (MAHUAVES)</t>
  </si>
  <si>
    <t>30DTV0846D</t>
  </si>
  <si>
    <t>30DTV0997J</t>
  </si>
  <si>
    <t>CENTRO DE POBLACION NUEVO PANUCO (LA PITAYA)</t>
  </si>
  <si>
    <t>30DTV1675H</t>
  </si>
  <si>
    <t>CALACO</t>
  </si>
  <si>
    <t>30DTV0860X</t>
  </si>
  <si>
    <t>HUEYCUATITLA</t>
  </si>
  <si>
    <t>30DTV0930B</t>
  </si>
  <si>
    <t>IXTACAHUAYO</t>
  </si>
  <si>
    <t>30DTV0455P</t>
  </si>
  <si>
    <t>PRIMO VERDAD (SAN MIGUEL)</t>
  </si>
  <si>
    <t>30DTV1673J</t>
  </si>
  <si>
    <t>PALTZOQUITEMPA</t>
  </si>
  <si>
    <t>30DTV1374L</t>
  </si>
  <si>
    <t>PILPUERTA</t>
  </si>
  <si>
    <t>30DTV1028C</t>
  </si>
  <si>
    <t>TENANTITLA</t>
  </si>
  <si>
    <t>30DTV1674I</t>
  </si>
  <si>
    <t>YUPILTITLA</t>
  </si>
  <si>
    <t>30DTV1676G</t>
  </si>
  <si>
    <t>ZEFERINO FRANCISCO HERNANDEZ</t>
  </si>
  <si>
    <t>30DTV1691Z</t>
  </si>
  <si>
    <t>COACHUMO COMUN</t>
  </si>
  <si>
    <t>30DTV0632C</t>
  </si>
  <si>
    <t>CHICONTEPEC</t>
  </si>
  <si>
    <t>30DTV1414W</t>
  </si>
  <si>
    <t>VANGUARDIA</t>
  </si>
  <si>
    <t>AHUATITLA ABAJO</t>
  </si>
  <si>
    <t>30DTV0246J</t>
  </si>
  <si>
    <t>ALAHUALTITLA</t>
  </si>
  <si>
    <t>30DTV0008I</t>
  </si>
  <si>
    <t>ALAXTITLA IXCACUATITLA</t>
  </si>
  <si>
    <t>30DTV1070S</t>
  </si>
  <si>
    <t>CALLEJON CARRIZALILLO</t>
  </si>
  <si>
    <t>30DTV1009O</t>
  </si>
  <si>
    <t>MANUEL FUENTES SARABIA</t>
  </si>
  <si>
    <t>CHAPIXTLA</t>
  </si>
  <si>
    <t>30DTV0051X</t>
  </si>
  <si>
    <t>LINDERO AGUA FRIA</t>
  </si>
  <si>
    <t>30DTV1236J</t>
  </si>
  <si>
    <t>LA PAGUA</t>
  </si>
  <si>
    <t>30DTV0652Q</t>
  </si>
  <si>
    <t>PASTORIA</t>
  </si>
  <si>
    <t>30DTV1164G</t>
  </si>
  <si>
    <t>PEMUXTITLA</t>
  </si>
  <si>
    <t>30DTV0361A</t>
  </si>
  <si>
    <t>LEOPOLDO KIEL</t>
  </si>
  <si>
    <t>SASALTITLA</t>
  </si>
  <si>
    <t>30DTV0780L</t>
  </si>
  <si>
    <t>EL TECOMATE</t>
  </si>
  <si>
    <t>30DTV0470H</t>
  </si>
  <si>
    <t>TEMOCTLA</t>
  </si>
  <si>
    <t>30DTV1692Y</t>
  </si>
  <si>
    <t>TIOCUAYO</t>
  </si>
  <si>
    <t>30DTV0425V</t>
  </si>
  <si>
    <t>TEPETZINTLA</t>
  </si>
  <si>
    <t>30DTV0803F</t>
  </si>
  <si>
    <t>TLANEMPA COMUN</t>
  </si>
  <si>
    <t>30DTV1569Y</t>
  </si>
  <si>
    <t>AGUSTIN MELGAR</t>
  </si>
  <si>
    <t>TLAQUEXTLA TENEXTITLA</t>
  </si>
  <si>
    <t>30DTV1693X</t>
  </si>
  <si>
    <t>EL CHOTE SANTA TERESA</t>
  </si>
  <si>
    <t>30DTV0760Y</t>
  </si>
  <si>
    <t>JUAN ENRIQUE PESTALOZZI</t>
  </si>
  <si>
    <t>TAMIAHUA</t>
  </si>
  <si>
    <t>BALCAZAR</t>
  </si>
  <si>
    <t>30DTV1727X</t>
  </si>
  <si>
    <t>ISLA DEL IDOLO (ISLA EL IDOLO)</t>
  </si>
  <si>
    <t>30DTV0500L</t>
  </si>
  <si>
    <t>EL MESON</t>
  </si>
  <si>
    <t>30DTV0908Z</t>
  </si>
  <si>
    <t>PALO BLANCO</t>
  </si>
  <si>
    <t>30DTV0025Z</t>
  </si>
  <si>
    <t>SAN MARCOS</t>
  </si>
  <si>
    <t>30DTV0360B</t>
  </si>
  <si>
    <t>TAMPACHE</t>
  </si>
  <si>
    <t>30DTV1457U</t>
  </si>
  <si>
    <t>PRIMERO DE MAYO</t>
  </si>
  <si>
    <t>TANCOCHIN</t>
  </si>
  <si>
    <t>30DTV0778X</t>
  </si>
  <si>
    <t>TANTALAMOS</t>
  </si>
  <si>
    <t>30DTV0064A</t>
  </si>
  <si>
    <t>30DTV0505G</t>
  </si>
  <si>
    <t>30DTV1283U</t>
  </si>
  <si>
    <t>30DTV1284T</t>
  </si>
  <si>
    <t>30DTV0772C</t>
  </si>
  <si>
    <t>BUENOS AIRES</t>
  </si>
  <si>
    <t>30DTV0366W</t>
  </si>
  <si>
    <t>CHALAHUITE</t>
  </si>
  <si>
    <t>30DTV0328T</t>
  </si>
  <si>
    <t>JUANA MOZA</t>
  </si>
  <si>
    <t>30DTV0627R</t>
  </si>
  <si>
    <t>NALUA</t>
  </si>
  <si>
    <t>30DTV1637E</t>
  </si>
  <si>
    <t>TRONCONAL DE HERRERA BELTRAN</t>
  </si>
  <si>
    <t>30DTV0001P</t>
  </si>
  <si>
    <t>LEYES DE REFORMA</t>
  </si>
  <si>
    <t>HUAYACOCOTLA</t>
  </si>
  <si>
    <t>30DTV1793W</t>
  </si>
  <si>
    <t>LAS BLANCAS (PALO GORDO)</t>
  </si>
  <si>
    <t>30DTV0533C</t>
  </si>
  <si>
    <t>CARBONERO JACALES</t>
  </si>
  <si>
    <t>30DTV0576A</t>
  </si>
  <si>
    <t>PALO BENDITO</t>
  </si>
  <si>
    <t>30DTV1351A</t>
  </si>
  <si>
    <t>POTRERO DE MONROY</t>
  </si>
  <si>
    <t>30DTV1421F</t>
  </si>
  <si>
    <t>ANTONIO LOPEZ DE SANTA ANNA</t>
  </si>
  <si>
    <t>TENANGO DE SAN MIGUEL</t>
  </si>
  <si>
    <t>30DTV1700Q</t>
  </si>
  <si>
    <t>TZIMENTEY (LAS PIEDRAS)</t>
  </si>
  <si>
    <t>30DTV0532D</t>
  </si>
  <si>
    <t>ZILACATIPAN (TENAXCALZINGO)</t>
  </si>
  <si>
    <t>30DTV0872B</t>
  </si>
  <si>
    <t>ZONZONAPA</t>
  </si>
  <si>
    <t>30DTV0115R</t>
  </si>
  <si>
    <t>ILAMATLAN</t>
  </si>
  <si>
    <t>30DTV1646M</t>
  </si>
  <si>
    <t>AMATEPEC</t>
  </si>
  <si>
    <t>30DTV1753V</t>
  </si>
  <si>
    <t>ATEMPA</t>
  </si>
  <si>
    <t>30DTV0739V</t>
  </si>
  <si>
    <t>COACOACO</t>
  </si>
  <si>
    <t>30DTV1349M</t>
  </si>
  <si>
    <t>CHAHUATLAN</t>
  </si>
  <si>
    <t>30DTV1299V</t>
  </si>
  <si>
    <t>HUITZTIPAN</t>
  </si>
  <si>
    <t>30DTV1350B</t>
  </si>
  <si>
    <t>SAN GREGORIO</t>
  </si>
  <si>
    <t>30DTV1647L</t>
  </si>
  <si>
    <t>TECAPA</t>
  </si>
  <si>
    <t>30DTV0943F</t>
  </si>
  <si>
    <t>XOXOCAPA</t>
  </si>
  <si>
    <t>30DTV0837W</t>
  </si>
  <si>
    <t>TEXCATEPEC</t>
  </si>
  <si>
    <t>30DTV1648K</t>
  </si>
  <si>
    <t>AMAXAC</t>
  </si>
  <si>
    <t>30DTV1352Z</t>
  </si>
  <si>
    <t>AYOTUXTLA</t>
  </si>
  <si>
    <t>30DTV1445P</t>
  </si>
  <si>
    <t>EL PAPATLAR</t>
  </si>
  <si>
    <t>30DTV1658R</t>
  </si>
  <si>
    <t>PIE DE LA CUESTA</t>
  </si>
  <si>
    <t>30DTV0845E</t>
  </si>
  <si>
    <t>GREGORIO LOPEZ Y FUENTES</t>
  </si>
  <si>
    <t>ZACUALPAN</t>
  </si>
  <si>
    <t>ATIXTACA</t>
  </si>
  <si>
    <t>30DTV1289O</t>
  </si>
  <si>
    <t>CANALEJAS DE OTATES</t>
  </si>
  <si>
    <t>30DTV1803M</t>
  </si>
  <si>
    <t>CERRO CHATO</t>
  </si>
  <si>
    <t>30DTV1335J</t>
  </si>
  <si>
    <t>GENERAL PRIM (SAN FRANCISCO)</t>
  </si>
  <si>
    <t>30DTV0776Z</t>
  </si>
  <si>
    <t>ZONTECOMATLAN DE LOPEZ Y FUENTES</t>
  </si>
  <si>
    <t>CUATECOMACO</t>
  </si>
  <si>
    <t>30DTV1290D</t>
  </si>
  <si>
    <t>EL CUAYO (LA ESPERANZA)</t>
  </si>
  <si>
    <t>30DTV1291C</t>
  </si>
  <si>
    <t>LIMONTITLA</t>
  </si>
  <si>
    <t>30DTV1638D</t>
  </si>
  <si>
    <t>OTLATZINTLA</t>
  </si>
  <si>
    <t>30DTV1292B</t>
  </si>
  <si>
    <t>30DTV0896L</t>
  </si>
  <si>
    <t>DON MIGUEL HIDALGO Y COSTILLA</t>
  </si>
  <si>
    <t>EL PUENTE</t>
  </si>
  <si>
    <t>30DTV1508K</t>
  </si>
  <si>
    <t>TECOMAJAPA</t>
  </si>
  <si>
    <t>30DTV1453Y</t>
  </si>
  <si>
    <t>TENAMICOYA</t>
  </si>
  <si>
    <t>30DTV1293A</t>
  </si>
  <si>
    <t>SANTA MARIA LA VICTORIA</t>
  </si>
  <si>
    <t>30DTV1325C</t>
  </si>
  <si>
    <t>IXHUATLAN DE MADERO</t>
  </si>
  <si>
    <t>EL AGUACATE BARRIO ARRIBA</t>
  </si>
  <si>
    <t>30DTV1422E</t>
  </si>
  <si>
    <t>DIGNA OCHOA</t>
  </si>
  <si>
    <t>CHAPOPOTE</t>
  </si>
  <si>
    <t>30DTV1201U</t>
  </si>
  <si>
    <t>TENOCHTITLAN</t>
  </si>
  <si>
    <t>HUEXOTITLA</t>
  </si>
  <si>
    <t>30DTV1701P</t>
  </si>
  <si>
    <t>FRANCISCO INDALECIO MADERO</t>
  </si>
  <si>
    <t>JONOTAL AZTECA</t>
  </si>
  <si>
    <t>30DTV1326B</t>
  </si>
  <si>
    <t>JOYA CHICA</t>
  </si>
  <si>
    <t>30DTV0873A</t>
  </si>
  <si>
    <t>30DTV1173O</t>
  </si>
  <si>
    <t>30DTV1328Z</t>
  </si>
  <si>
    <t>HEBERTO CASTILLO MARTINEZ</t>
  </si>
  <si>
    <t>MOLANGO</t>
  </si>
  <si>
    <t>30DTV0514O</t>
  </si>
  <si>
    <t>OJITAL CUAYO</t>
  </si>
  <si>
    <t>30DTV1327A</t>
  </si>
  <si>
    <t>PAHUA GRANDE</t>
  </si>
  <si>
    <t>30DTV1172P</t>
  </si>
  <si>
    <t>PIEDRA GRANDE LA SIERRA</t>
  </si>
  <si>
    <t>30DTV1329Z</t>
  </si>
  <si>
    <t>PIEDRA GRANDE CHIJOLITO</t>
  </si>
  <si>
    <t>30DTV1666Z</t>
  </si>
  <si>
    <t>PLAN DEL ENCINAL (EL ENCINAL)</t>
  </si>
  <si>
    <t>30DTV1091E</t>
  </si>
  <si>
    <t>PUYECACO</t>
  </si>
  <si>
    <t>30DTV1331N</t>
  </si>
  <si>
    <t>SAN FRANCISCO</t>
  </si>
  <si>
    <t>30DTV0370I</t>
  </si>
  <si>
    <t>SAN MARTIN</t>
  </si>
  <si>
    <t>30DTV0009H</t>
  </si>
  <si>
    <t>TZILTZACUAPAN</t>
  </si>
  <si>
    <t>30DTV0011W</t>
  </si>
  <si>
    <t>TZOCOHUITE</t>
  </si>
  <si>
    <t>30DTV1507L</t>
  </si>
  <si>
    <t>ZAPOTE BRAVO</t>
  </si>
  <si>
    <t>30DTV1383T</t>
  </si>
  <si>
    <t>AYOTLA</t>
  </si>
  <si>
    <t>30DTV0656M</t>
  </si>
  <si>
    <t>GENERAL FELIPE ANGELES</t>
  </si>
  <si>
    <t>30DTV1385R</t>
  </si>
  <si>
    <t>SIETE PALMAS BARRIO ARRIBA</t>
  </si>
  <si>
    <t>30DTV1323E</t>
  </si>
  <si>
    <t>VILLA DE LAS FLORES</t>
  </si>
  <si>
    <t>30DTV0120C</t>
  </si>
  <si>
    <t>CASTILLO DE TEAYO</t>
  </si>
  <si>
    <t>30DTV1375K</t>
  </si>
  <si>
    <t>EL BEJUCAL</t>
  </si>
  <si>
    <t>30DTV0035F</t>
  </si>
  <si>
    <t>30DTV0175F</t>
  </si>
  <si>
    <t>30DTV0833Z</t>
  </si>
  <si>
    <t>LA LIMA NUEVA</t>
  </si>
  <si>
    <t>30DTV0364Y</t>
  </si>
  <si>
    <t>EL MANTE</t>
  </si>
  <si>
    <t>30DTV0762W</t>
  </si>
  <si>
    <t>SANTA CRUZ</t>
  </si>
  <si>
    <t>30DTV0617K</t>
  </si>
  <si>
    <t>TEAYO</t>
  </si>
  <si>
    <t>30DTV0240P</t>
  </si>
  <si>
    <t>EL XUCHITL</t>
  </si>
  <si>
    <t>30DTV0891Q</t>
  </si>
  <si>
    <t>EL HORCON</t>
  </si>
  <si>
    <t>30DTV1221H</t>
  </si>
  <si>
    <t>SERAFIN DE OLARTE</t>
  </si>
  <si>
    <t>30DTV1347O</t>
  </si>
  <si>
    <t>30DTV0637Y</t>
  </si>
  <si>
    <t>30DTV0706D</t>
  </si>
  <si>
    <t>LA COLMENA (LA LOMA)</t>
  </si>
  <si>
    <t>30DTV1004T</t>
  </si>
  <si>
    <t>GILDARDO MUÑOZ</t>
  </si>
  <si>
    <t>30DTV0599L</t>
  </si>
  <si>
    <t>30DTV0488G</t>
  </si>
  <si>
    <t>30DTV1086T</t>
  </si>
  <si>
    <t>OJITAL VIEJO</t>
  </si>
  <si>
    <t>30DTV1083W</t>
  </si>
  <si>
    <t>PABANCO</t>
  </si>
  <si>
    <t>30DTV0327U</t>
  </si>
  <si>
    <t>PASO DEL CORREO</t>
  </si>
  <si>
    <t>30DTV0380P</t>
  </si>
  <si>
    <t>PASO DE VALENCIA</t>
  </si>
  <si>
    <t>30DTV0824S</t>
  </si>
  <si>
    <t>ANTONIO CASO</t>
  </si>
  <si>
    <t>PLAN DE HIDALGO</t>
  </si>
  <si>
    <t>30DTV0300N</t>
  </si>
  <si>
    <t>PUXTLA</t>
  </si>
  <si>
    <t>30DTV1488N</t>
  </si>
  <si>
    <t>LA REFORMA PASO DEL CORREO</t>
  </si>
  <si>
    <t>30DTV1021J</t>
  </si>
  <si>
    <t>30DTV1022I</t>
  </si>
  <si>
    <t>VISTA HERMOSA DE MADERO</t>
  </si>
  <si>
    <t>30DTV0191X</t>
  </si>
  <si>
    <t>ALMANZA</t>
  </si>
  <si>
    <t>30DTV1593Y</t>
  </si>
  <si>
    <t>COPALILLO I</t>
  </si>
  <si>
    <t>30DTV1492Z</t>
  </si>
  <si>
    <t>CHAPARRO GRANDE</t>
  </si>
  <si>
    <t>30DTV0700J</t>
  </si>
  <si>
    <t>PAHUA HUECA</t>
  </si>
  <si>
    <t>30DTV1595W</t>
  </si>
  <si>
    <t>PALMARCILLO</t>
  </si>
  <si>
    <t>30DTV1596V</t>
  </si>
  <si>
    <t>30DTV0126X</t>
  </si>
  <si>
    <t>PLAN DE ARROYOS</t>
  </si>
  <si>
    <t>30DTV0192W</t>
  </si>
  <si>
    <t>POMPEYA</t>
  </si>
  <si>
    <t>30DTV0708B</t>
  </si>
  <si>
    <t>TIERRA NUEVA</t>
  </si>
  <si>
    <t>30DTV0544I</t>
  </si>
  <si>
    <t>SAN PEDRO ALTEPEPAN</t>
  </si>
  <si>
    <t>30DTV0929M</t>
  </si>
  <si>
    <t>EL AZOTAL</t>
  </si>
  <si>
    <t>30DTV0178C</t>
  </si>
  <si>
    <t>NORBERTO AGUIRRE PALANCARES</t>
  </si>
  <si>
    <t>30DTV1067E</t>
  </si>
  <si>
    <t>TOMATA ANEXO PILARES</t>
  </si>
  <si>
    <t>30DTV1772J</t>
  </si>
  <si>
    <t>ARROYO DE FIERRO</t>
  </si>
  <si>
    <t>30DTV0299O</t>
  </si>
  <si>
    <t>ARROYO NEGRO</t>
  </si>
  <si>
    <t>30DTV0097S</t>
  </si>
  <si>
    <t>30DTV0465W</t>
  </si>
  <si>
    <t>LOMA DE LAS FLORES</t>
  </si>
  <si>
    <t>30DTV0699K</t>
  </si>
  <si>
    <t>LA PIEDRILLA</t>
  </si>
  <si>
    <t>30DTV1034N</t>
  </si>
  <si>
    <t>PUEBLO VIEJO UNO</t>
  </si>
  <si>
    <t>30DTV0843G</t>
  </si>
  <si>
    <t>30DTV0165Z</t>
  </si>
  <si>
    <t>OTRA BANDA</t>
  </si>
  <si>
    <t>30DTV1098Y</t>
  </si>
  <si>
    <t>JOSE MARIA MATA</t>
  </si>
  <si>
    <t>QUILATE ANTIGUO</t>
  </si>
  <si>
    <t>30DTV1601Q</t>
  </si>
  <si>
    <t>30DTV0713N</t>
  </si>
  <si>
    <t>CHAPACHAPA</t>
  </si>
  <si>
    <t>30DTV0634A</t>
  </si>
  <si>
    <t>30DTV1252A</t>
  </si>
  <si>
    <t>JUAN JACOBO TORRES (LA MONERA)</t>
  </si>
  <si>
    <t>30DTV1046S</t>
  </si>
  <si>
    <t>LIC. BENITO JUAREZ GARCIA</t>
  </si>
  <si>
    <t>LA LIMA</t>
  </si>
  <si>
    <t>30DTV0666T</t>
  </si>
  <si>
    <t>LOMA DEL COJOLITE</t>
  </si>
  <si>
    <t>30DTV0537Z</t>
  </si>
  <si>
    <t>30DTV0164Z</t>
  </si>
  <si>
    <t>PASO BLANCO</t>
  </si>
  <si>
    <t>30DTV1575I</t>
  </si>
  <si>
    <t>PROFR. JAIME SANCHEZ MARQUEZ</t>
  </si>
  <si>
    <t>30DTV0790S</t>
  </si>
  <si>
    <t>EL POZON</t>
  </si>
  <si>
    <t>30DTV0399N</t>
  </si>
  <si>
    <t>PUEBLO VIEJO</t>
  </si>
  <si>
    <t>30DTV0398O</t>
  </si>
  <si>
    <t>30DTV0485J</t>
  </si>
  <si>
    <t>30DTV0875Z</t>
  </si>
  <si>
    <t>30DTV1197Y</t>
  </si>
  <si>
    <t>LOS TRAPICHES</t>
  </si>
  <si>
    <t>30DTV1500S</t>
  </si>
  <si>
    <t>30DTV1039I</t>
  </si>
  <si>
    <t>PAXIL</t>
  </si>
  <si>
    <t>30DTV0745F</t>
  </si>
  <si>
    <t>PUERTO PALCHAN</t>
  </si>
  <si>
    <t>30DTV1253Z</t>
  </si>
  <si>
    <t>LOMA DEL MIRASOL</t>
  </si>
  <si>
    <t>30DTV0210V</t>
  </si>
  <si>
    <t>30DTV0503I</t>
  </si>
  <si>
    <t>JULIAN CARRILLO</t>
  </si>
  <si>
    <t>EL COLORADO</t>
  </si>
  <si>
    <t>30DTV0171J</t>
  </si>
  <si>
    <t>30DTV0155S</t>
  </si>
  <si>
    <t>APAZAPAN</t>
  </si>
  <si>
    <t>30DTV0538Y</t>
  </si>
  <si>
    <t>AGUA CALIENTE</t>
  </si>
  <si>
    <t>30DTV0539X</t>
  </si>
  <si>
    <t>CHAHUAPAN</t>
  </si>
  <si>
    <t>30DTV0272H</t>
  </si>
  <si>
    <t>CERRO COLORADO (ESTACION APAZAPAN)</t>
  </si>
  <si>
    <t>30DTV0540M</t>
  </si>
  <si>
    <t>CERRO GORDO</t>
  </si>
  <si>
    <t>30DTV0265Y</t>
  </si>
  <si>
    <t>EL PALMAR (ESTACION EL PALMAR)</t>
  </si>
  <si>
    <t>30DTV0541L</t>
  </si>
  <si>
    <t>PINOLTEPEC</t>
  </si>
  <si>
    <t>30DTV0472F</t>
  </si>
  <si>
    <t>EL ROBLE</t>
  </si>
  <si>
    <t>30DTV0168W</t>
  </si>
  <si>
    <t>30DTV0580N</t>
  </si>
  <si>
    <t>CAROLINO ANAYA</t>
  </si>
  <si>
    <t>30DTV1618Q</t>
  </si>
  <si>
    <t>AURELIANO HERNANDEZ PALACIOS</t>
  </si>
  <si>
    <t>30DTV0631D</t>
  </si>
  <si>
    <t>LAS TRANCAS</t>
  </si>
  <si>
    <t>30DTV0351U</t>
  </si>
  <si>
    <t>JALCOMULCO</t>
  </si>
  <si>
    <t>30DTV1535H</t>
  </si>
  <si>
    <t>ACATLA</t>
  </si>
  <si>
    <t>30DTV1655U</t>
  </si>
  <si>
    <t>VISTAHERMOSA</t>
  </si>
  <si>
    <t>30DTV1661E</t>
  </si>
  <si>
    <t>SIMON BOLIVAR</t>
  </si>
  <si>
    <t>30DTV1341U</t>
  </si>
  <si>
    <t>AQUILA</t>
  </si>
  <si>
    <t>30DTV1536G</t>
  </si>
  <si>
    <t>CUMBRES DE AQUILA</t>
  </si>
  <si>
    <t>30DTV0722V</t>
  </si>
  <si>
    <t>ASTACINGA</t>
  </si>
  <si>
    <t>30DTV1668Y</t>
  </si>
  <si>
    <t>ACUAYUCAN</t>
  </si>
  <si>
    <t>30DTV0525U</t>
  </si>
  <si>
    <t>ATLAHUILCO</t>
  </si>
  <si>
    <t>30DTV1656T</t>
  </si>
  <si>
    <t>ACULTZINAPA (SAN MIGUELITO)</t>
  </si>
  <si>
    <t>30DTV1309L</t>
  </si>
  <si>
    <t>ZACAMILOLA</t>
  </si>
  <si>
    <t>30DTV1652X</t>
  </si>
  <si>
    <t>TERRERO</t>
  </si>
  <si>
    <t>30DTV0998I</t>
  </si>
  <si>
    <t>CAMERINO Z. MENDOZA</t>
  </si>
  <si>
    <t>LA CUESTA</t>
  </si>
  <si>
    <t>30DTV1461G</t>
  </si>
  <si>
    <t>NECOXTLA</t>
  </si>
  <si>
    <t>30DTV0027X</t>
  </si>
  <si>
    <t>TUXPANGUILLO</t>
  </si>
  <si>
    <t>30DTV1769W</t>
  </si>
  <si>
    <t>MIXTLA DE ALTAMIRANO</t>
  </si>
  <si>
    <t>TLAXCANTLA (OCOMANALCO)</t>
  </si>
  <si>
    <t>30DTV1710X</t>
  </si>
  <si>
    <t>ANDRES QUINTANA ROO</t>
  </si>
  <si>
    <t>XOCHITLA</t>
  </si>
  <si>
    <t>30DTV1791Y</t>
  </si>
  <si>
    <t>DAVID ALFARO SIQUEIROS</t>
  </si>
  <si>
    <t>BARRIO CUARTO</t>
  </si>
  <si>
    <t>30DTV1711W</t>
  </si>
  <si>
    <t>AXOXOHUILCO</t>
  </si>
  <si>
    <t>30DTV1720D</t>
  </si>
  <si>
    <t>RAFAEL DELGADO</t>
  </si>
  <si>
    <t>TZONCOLCO</t>
  </si>
  <si>
    <t>30DTV1261I</t>
  </si>
  <si>
    <t>XALTITITLA</t>
  </si>
  <si>
    <t>30DTV1657S</t>
  </si>
  <si>
    <t>RAFAEL DELGADO SAINZ</t>
  </si>
  <si>
    <t>HUELLETECOXCO</t>
  </si>
  <si>
    <t>30DTV1579E</t>
  </si>
  <si>
    <t>LIBERTAD</t>
  </si>
  <si>
    <t>LOS REYES</t>
  </si>
  <si>
    <t>ATLANCA</t>
  </si>
  <si>
    <t>30DTV1654V</t>
  </si>
  <si>
    <t>FRANCISCO MARQUEZ PANIAGUA</t>
  </si>
  <si>
    <t>CUACABALLO</t>
  </si>
  <si>
    <t>30DTV1333L</t>
  </si>
  <si>
    <t>SAN ANDRES TENEJAPAN</t>
  </si>
  <si>
    <t>30DTV1342T</t>
  </si>
  <si>
    <t>SOLEDAD ATZOMPA</t>
  </si>
  <si>
    <t>ACULTZINAPA</t>
  </si>
  <si>
    <t>30DTV0613O</t>
  </si>
  <si>
    <t>ATZOMPA</t>
  </si>
  <si>
    <t>30DTV1265E</t>
  </si>
  <si>
    <t>TEPAXAPA</t>
  </si>
  <si>
    <t>30DTV1343S</t>
  </si>
  <si>
    <t>TLATILPA</t>
  </si>
  <si>
    <t>30DTV0217O</t>
  </si>
  <si>
    <t>TEQUILA</t>
  </si>
  <si>
    <t>30DTV1662D</t>
  </si>
  <si>
    <t>COXITITLA</t>
  </si>
  <si>
    <t>30DTV1742P</t>
  </si>
  <si>
    <t>OXTOTITLA</t>
  </si>
  <si>
    <t>30DTV1444Q</t>
  </si>
  <si>
    <t>TLECUAXCO</t>
  </si>
  <si>
    <t>30DTV1653W</t>
  </si>
  <si>
    <t>MOXALA</t>
  </si>
  <si>
    <t>30DTV0785G</t>
  </si>
  <si>
    <t>TLAQUILPA</t>
  </si>
  <si>
    <t>30DTV1757R</t>
  </si>
  <si>
    <t>MARIA ARIAS BERNAL</t>
  </si>
  <si>
    <t>TLILAPAN</t>
  </si>
  <si>
    <t>TONALIXCO</t>
  </si>
  <si>
    <t>30DTV0245K</t>
  </si>
  <si>
    <t>XOXOCOTLA</t>
  </si>
  <si>
    <t>30DTV1760E</t>
  </si>
  <si>
    <t>ZONGOLICA</t>
  </si>
  <si>
    <t>TLACUILOLTECATL CHICO (NOGALES)</t>
  </si>
  <si>
    <t>30DTV0728P</t>
  </si>
  <si>
    <t>30DTV0436A</t>
  </si>
  <si>
    <t>MANUEL ACUÐA</t>
  </si>
  <si>
    <t>SAN ANTONIO TEXAS</t>
  </si>
  <si>
    <t>30DTV0093W</t>
  </si>
  <si>
    <t>ANGEL ESTRADA LOYO</t>
  </si>
  <si>
    <t>CHACALTIANGUIS</t>
  </si>
  <si>
    <t>30DTV0523W</t>
  </si>
  <si>
    <t>30DTV0524V</t>
  </si>
  <si>
    <t>LAGUNA DE LAGARTO</t>
  </si>
  <si>
    <t>30DTV0849A</t>
  </si>
  <si>
    <t>MATA DE CAÑA</t>
  </si>
  <si>
    <t>30DTV0322Z</t>
  </si>
  <si>
    <t>MOYOTA</t>
  </si>
  <si>
    <t>30DTV0430G</t>
  </si>
  <si>
    <t>PASO DEL CURA</t>
  </si>
  <si>
    <t>30DTV0867Q</t>
  </si>
  <si>
    <t>LAS SABANETAS</t>
  </si>
  <si>
    <t>30DTV0319L</t>
  </si>
  <si>
    <t>TORNO LARGO</t>
  </si>
  <si>
    <t>30DTV0124Z</t>
  </si>
  <si>
    <t>TLACOJALPAN</t>
  </si>
  <si>
    <t>30DTV0034G</t>
  </si>
  <si>
    <t>TUXTILLA</t>
  </si>
  <si>
    <t>30DTV1532K</t>
  </si>
  <si>
    <t>30DTV0216P</t>
  </si>
  <si>
    <t>TELESECUNDARIA NUM. 216</t>
  </si>
  <si>
    <t>PARAISO RIO TONTO</t>
  </si>
  <si>
    <t>30DTV0934Y</t>
  </si>
  <si>
    <t>MIGUEL LERDO DE TEJADA</t>
  </si>
  <si>
    <t>30DTV1241V</t>
  </si>
  <si>
    <t>GUASIMAL</t>
  </si>
  <si>
    <t>30DTV0083P</t>
  </si>
  <si>
    <t>HUEYAPAN DE OCAMPO</t>
  </si>
  <si>
    <t>30DTV1321G</t>
  </si>
  <si>
    <t>EL AGUACATE</t>
  </si>
  <si>
    <t>30DTV1502Q</t>
  </si>
  <si>
    <t>LUIS PASTEUR</t>
  </si>
  <si>
    <t>BARROSA</t>
  </si>
  <si>
    <t>30DTV1503P</t>
  </si>
  <si>
    <t>CERRO DE CASTRO</t>
  </si>
  <si>
    <t>30DTV1554W</t>
  </si>
  <si>
    <t>CINCO DE MAYO</t>
  </si>
  <si>
    <t>30DTV0806C</t>
  </si>
  <si>
    <t>MIGUEL ALEMAN GONZALEZ</t>
  </si>
  <si>
    <t>COYOL DE GONZALEZ</t>
  </si>
  <si>
    <t>30DTV0125Y</t>
  </si>
  <si>
    <t>REVOLUCION</t>
  </si>
  <si>
    <t>CUATOTOLAPAN ESTACION</t>
  </si>
  <si>
    <t>30DTV0738W</t>
  </si>
  <si>
    <t>CUATOTOLAPAN VIEJO</t>
  </si>
  <si>
    <t>30DTV0903E</t>
  </si>
  <si>
    <t>30DTV1237I</t>
  </si>
  <si>
    <t>COLONIA HERMOSA</t>
  </si>
  <si>
    <t>30DTV0181Q</t>
  </si>
  <si>
    <t>JUAN DIAZ COVARRUBIAS</t>
  </si>
  <si>
    <t>30DTV1296Y</t>
  </si>
  <si>
    <t>LOMA DE ORO</t>
  </si>
  <si>
    <t>30DTV0577Z</t>
  </si>
  <si>
    <t>30DTV1297X</t>
  </si>
  <si>
    <t>NACAXTLE</t>
  </si>
  <si>
    <t>30DTV0684I</t>
  </si>
  <si>
    <t>ROQUE SPINOSO FOGLIA</t>
  </si>
  <si>
    <t>NORMA</t>
  </si>
  <si>
    <t>30DTV1157X</t>
  </si>
  <si>
    <t>30DTV0331G</t>
  </si>
  <si>
    <t>30DTV1504O</t>
  </si>
  <si>
    <t>SAMARIA</t>
  </si>
  <si>
    <t>30DTV0654O</t>
  </si>
  <si>
    <t>SANTA ROSA LOMA LARGA</t>
  </si>
  <si>
    <t>30DTV1606L</t>
  </si>
  <si>
    <t>SANTA ROSA CINTEPEC</t>
  </si>
  <si>
    <t>30DTV1298W</t>
  </si>
  <si>
    <t>SONCOAVITAL</t>
  </si>
  <si>
    <t>30DTV0578Z</t>
  </si>
  <si>
    <t>ZAPOAPAN DE AMAPAN</t>
  </si>
  <si>
    <t>30DTV1424C</t>
  </si>
  <si>
    <t>LOS ARRECIFES</t>
  </si>
  <si>
    <t>30DTV0769P</t>
  </si>
  <si>
    <t>JOSE HERNANDEZ SANTOS</t>
  </si>
  <si>
    <t>30DTV0623V</t>
  </si>
  <si>
    <t>HIPOLITO LANDEROS (ZACATAL)</t>
  </si>
  <si>
    <t>30DTV1238H</t>
  </si>
  <si>
    <t>LOMA BONITA</t>
  </si>
  <si>
    <t>30DTV1137J</t>
  </si>
  <si>
    <t>VENUSTIANO CARRANZA (PEÑA BLANCA)</t>
  </si>
  <si>
    <t>30DTV0794O</t>
  </si>
  <si>
    <t>SAN LORENZO TENOCHTITLAN</t>
  </si>
  <si>
    <t>30DTV1280X</t>
  </si>
  <si>
    <t>XOCHITLAN (PALMILLAS)</t>
  </si>
  <si>
    <t>30DTV0284M</t>
  </si>
  <si>
    <t>ISLA</t>
  </si>
  <si>
    <t>30DTV1607K</t>
  </si>
  <si>
    <t>COAPA</t>
  </si>
  <si>
    <t>30DTV1206P</t>
  </si>
  <si>
    <t>LOMA ALTA</t>
  </si>
  <si>
    <t>30DTV1207O</t>
  </si>
  <si>
    <t>EL MARCIAL (EL COYOLAR)</t>
  </si>
  <si>
    <t>30DTV0701I</t>
  </si>
  <si>
    <t>MAZOCO</t>
  </si>
  <si>
    <t>30DTV1518R</t>
  </si>
  <si>
    <t>VILORIA VIEJO</t>
  </si>
  <si>
    <t>30DTV1558S</t>
  </si>
  <si>
    <t>LA PEÑA</t>
  </si>
  <si>
    <t>30DTV0440N</t>
  </si>
  <si>
    <t>EL TESORO</t>
  </si>
  <si>
    <t>30DTV1382U</t>
  </si>
  <si>
    <t>PENSAMIENTO LIBERAL</t>
  </si>
  <si>
    <t>30DTV1571M</t>
  </si>
  <si>
    <t>VICTOR BRAVO AHUJA</t>
  </si>
  <si>
    <t>NUEVO CANTON</t>
  </si>
  <si>
    <t>30DTV1358U</t>
  </si>
  <si>
    <t>NUEVO POTRERO</t>
  </si>
  <si>
    <t>30DTV1608J</t>
  </si>
  <si>
    <t>CUJULUAPAN (EL GUAYABO)</t>
  </si>
  <si>
    <t>30DTV0219M</t>
  </si>
  <si>
    <t>VICENTE GUERRERO (EL AGUACATE)</t>
  </si>
  <si>
    <t>30DTV1519Q</t>
  </si>
  <si>
    <t>GONZALO VAZQUEZ VELA</t>
  </si>
  <si>
    <t>LAS CADENAS</t>
  </si>
  <si>
    <t>30DTV1199W</t>
  </si>
  <si>
    <t>CUJULIAPAN</t>
  </si>
  <si>
    <t>30DTV0687F</t>
  </si>
  <si>
    <t>CURAZAO</t>
  </si>
  <si>
    <t>30DTV0452S</t>
  </si>
  <si>
    <t>ESTACION DOBLADERO (DOBLADERO)</t>
  </si>
  <si>
    <t>30DTV0808A</t>
  </si>
  <si>
    <t>JUAN GARCIA</t>
  </si>
  <si>
    <t>30DTV0151W</t>
  </si>
  <si>
    <t>30DTV0476B</t>
  </si>
  <si>
    <t>PUEBLO NUEVO</t>
  </si>
  <si>
    <t>30DTV0793P</t>
  </si>
  <si>
    <t>SAN LUIS</t>
  </si>
  <si>
    <t>30DTV0444J</t>
  </si>
  <si>
    <t>TESECHOACAN</t>
  </si>
  <si>
    <t>30DTV0622W</t>
  </si>
  <si>
    <t>TENEJAPAN (TENEJAPAN DE MATA)</t>
  </si>
  <si>
    <t>30DTV1574J</t>
  </si>
  <si>
    <t>RAMIE NUEVO</t>
  </si>
  <si>
    <t>30DTV1615T</t>
  </si>
  <si>
    <t>NUEVO SAN JOSE (CERRO DE ORO)</t>
  </si>
  <si>
    <t>30DTV0133G</t>
  </si>
  <si>
    <t>DEHESA</t>
  </si>
  <si>
    <t>30DTV0057R</t>
  </si>
  <si>
    <t>SAN JUAN EVANGELISTA</t>
  </si>
  <si>
    <t>30DTV0182P</t>
  </si>
  <si>
    <t>ACHOTAL</t>
  </si>
  <si>
    <t>30DTV0315P</t>
  </si>
  <si>
    <t>BELLACO</t>
  </si>
  <si>
    <t>30DTV0608C</t>
  </si>
  <si>
    <t>CAMPO NUEVO</t>
  </si>
  <si>
    <t>30DTV1436H</t>
  </si>
  <si>
    <t>CASCAJAL GRANDE</t>
  </si>
  <si>
    <t>30DTV0757K</t>
  </si>
  <si>
    <t>LA CAUDALOSA</t>
  </si>
  <si>
    <t>30DTV0609B</t>
  </si>
  <si>
    <t>LA CERQUILLA</t>
  </si>
  <si>
    <t>30DTV1062J</t>
  </si>
  <si>
    <t>EJIDO MONTE VERDE</t>
  </si>
  <si>
    <t>30DTV0758J</t>
  </si>
  <si>
    <t>EJIDO GUADALUPE VICTORIA</t>
  </si>
  <si>
    <t>30DTV0139A</t>
  </si>
  <si>
    <t>ESTACION JUANITA</t>
  </si>
  <si>
    <t>30DTV0610R</t>
  </si>
  <si>
    <t>30DTV1481U</t>
  </si>
  <si>
    <t>EL MANANTIAL</t>
  </si>
  <si>
    <t>30DTV1482T</t>
  </si>
  <si>
    <t>MICHAPAN DE OSORIO</t>
  </si>
  <si>
    <t>30DTV1081Y</t>
  </si>
  <si>
    <t>30DTV1080Z</t>
  </si>
  <si>
    <t>COLONIA REFORMA AGRARIA</t>
  </si>
  <si>
    <t>30DTV0611Q</t>
  </si>
  <si>
    <t>TIZAMAR</t>
  </si>
  <si>
    <t>30DTV1079J</t>
  </si>
  <si>
    <t>COLONIA VILLA ALTA</t>
  </si>
  <si>
    <t>30DTV1263G</t>
  </si>
  <si>
    <t>COLONIA VILLAHERMOSA</t>
  </si>
  <si>
    <t>30DTV1152B</t>
  </si>
  <si>
    <t>30DTV0438Z</t>
  </si>
  <si>
    <t>AGUILERA</t>
  </si>
  <si>
    <t>30DTV1582S</t>
  </si>
  <si>
    <t>ROMERO RUBIO</t>
  </si>
  <si>
    <t>30DTV1189P</t>
  </si>
  <si>
    <t>JOHANN H. PESTALOZZI</t>
  </si>
  <si>
    <t>LA VICTORIA UNO (LA VICTORIA)</t>
  </si>
  <si>
    <t>30DTV1542R</t>
  </si>
  <si>
    <t>30DTV0270J</t>
  </si>
  <si>
    <t>30DTV0902F</t>
  </si>
  <si>
    <t>EL MACAYAL</t>
  </si>
  <si>
    <t>30DTV0817I</t>
  </si>
  <si>
    <t>30DTV1192C</t>
  </si>
  <si>
    <t>CERRO DE LA PALMA</t>
  </si>
  <si>
    <t>30DTV0904D</t>
  </si>
  <si>
    <t>IGNACIO JOSE DE ALLENDE</t>
  </si>
  <si>
    <t>HUAZUNTLAN</t>
  </si>
  <si>
    <t>30DTV1193B</t>
  </si>
  <si>
    <t>30DTV0905C</t>
  </si>
  <si>
    <t>LAS ANIMAS</t>
  </si>
  <si>
    <t>30DTV1425B</t>
  </si>
  <si>
    <t>JAIME SABINES</t>
  </si>
  <si>
    <t>LAS CARMELITAS</t>
  </si>
  <si>
    <t>30DTV1477H</t>
  </si>
  <si>
    <t>CHICHONAL NOPALAPA</t>
  </si>
  <si>
    <t>30DTV1088R</t>
  </si>
  <si>
    <t>EL DEPOSITO</t>
  </si>
  <si>
    <t>30DTV0340O</t>
  </si>
  <si>
    <t>EMILIO CARRANZA (SALINAS)</t>
  </si>
  <si>
    <t>30DTV0132H</t>
  </si>
  <si>
    <t>FRANCISCO DE GARAY (AMPLIACION COLORADO)</t>
  </si>
  <si>
    <t>30DTV1127C</t>
  </si>
  <si>
    <t>30DTV1011C</t>
  </si>
  <si>
    <t>SAN CRISTOBAL</t>
  </si>
  <si>
    <t>30DTV0743H</t>
  </si>
  <si>
    <t>LIMONTA</t>
  </si>
  <si>
    <t>30DTV1479F</t>
  </si>
  <si>
    <t>OTAPA</t>
  </si>
  <si>
    <t>30DTV0955K</t>
  </si>
  <si>
    <t>30DTV1191D</t>
  </si>
  <si>
    <t>LA ESMERALDA</t>
  </si>
  <si>
    <t>30DTV0594Q</t>
  </si>
  <si>
    <t>EL JIMBAL</t>
  </si>
  <si>
    <t>30DTV1478G</t>
  </si>
  <si>
    <t>NIÑO ARTILLERO</t>
  </si>
  <si>
    <t>30DTV1250C</t>
  </si>
  <si>
    <t>PLAN DE LIMONES</t>
  </si>
  <si>
    <t>30DTV0996K</t>
  </si>
  <si>
    <t>LA PROVIDENCIA</t>
  </si>
  <si>
    <t>30DTV1170R</t>
  </si>
  <si>
    <t>EL VALLE</t>
  </si>
  <si>
    <t>30DTV0129U</t>
  </si>
  <si>
    <t>30DTV1175M</t>
  </si>
  <si>
    <t>ENRIQUE AUGUSTO CARRION SOLANA</t>
  </si>
  <si>
    <t>30DTV0830C</t>
  </si>
  <si>
    <t>AXOCHIO</t>
  </si>
  <si>
    <t>30DTV1429Y</t>
  </si>
  <si>
    <t>PLUTARCO ELIAS CALLES</t>
  </si>
  <si>
    <t>BUENOS AIRES TEXALPAN</t>
  </si>
  <si>
    <t>30DTV0607D</t>
  </si>
  <si>
    <t>JUAN JACOBO TORRES (BODEGA DE TOTONTEPEC)</t>
  </si>
  <si>
    <t>30DTV0970C</t>
  </si>
  <si>
    <t>LAUCHAPAN</t>
  </si>
  <si>
    <t>30DTV0103M</t>
  </si>
  <si>
    <t>EL LAUREL</t>
  </si>
  <si>
    <t>30DTV0439Y</t>
  </si>
  <si>
    <t>MAZUMIAPAN</t>
  </si>
  <si>
    <t>30DTV1392A</t>
  </si>
  <si>
    <t>LOS MERIDA</t>
  </si>
  <si>
    <t>30DTV0451T</t>
  </si>
  <si>
    <t>OCELOTA</t>
  </si>
  <si>
    <t>30DTV0075G</t>
  </si>
  <si>
    <t>OHUILAPAN</t>
  </si>
  <si>
    <t>30DTV1144T</t>
  </si>
  <si>
    <t>EL POPOTAL</t>
  </si>
  <si>
    <t>30DTV1393Z</t>
  </si>
  <si>
    <t>PUERTA NUEVA XOTEAPAN (PUERTA NUEVA)</t>
  </si>
  <si>
    <t>30DTV0268V</t>
  </si>
  <si>
    <t>RIO DE TUXTLA</t>
  </si>
  <si>
    <t>30DTV1434J</t>
  </si>
  <si>
    <t>TEXALPAN DE ABAJO</t>
  </si>
  <si>
    <t>30DTV1435I</t>
  </si>
  <si>
    <t>TEXCALTITAN XOTEAPAN (TEXCALTITAN)</t>
  </si>
  <si>
    <t>30DTV0907A</t>
  </si>
  <si>
    <t>ARROYO SAN ISIDRO</t>
  </si>
  <si>
    <t>30DTV0496P</t>
  </si>
  <si>
    <t>ESTUDIO Y PROGRESO</t>
  </si>
  <si>
    <t>30DTV0691S</t>
  </si>
  <si>
    <t>EL MORAL</t>
  </si>
  <si>
    <t>30DTV1712V</t>
  </si>
  <si>
    <t>POPOCTEPETL</t>
  </si>
  <si>
    <t>30DTV1148P</t>
  </si>
  <si>
    <t>RINCON DE ZAPATERO</t>
  </si>
  <si>
    <t>30DTV0448F</t>
  </si>
  <si>
    <t>SAN ANTONIO DE LA HUERTA</t>
  </si>
  <si>
    <t>30DTV0478Z</t>
  </si>
  <si>
    <t>SINAPAN</t>
  </si>
  <si>
    <t>30DTV0674B</t>
  </si>
  <si>
    <t>30DTV0283N</t>
  </si>
  <si>
    <t>TRES ZAPOTES</t>
  </si>
  <si>
    <t>30DTV0857J</t>
  </si>
  <si>
    <t>LUIS MANUEL ROJAS</t>
  </si>
  <si>
    <t>HORNITOS</t>
  </si>
  <si>
    <t>30DTV0303K</t>
  </si>
  <si>
    <t>MOZOMBOA</t>
  </si>
  <si>
    <t>30DTV0519J</t>
  </si>
  <si>
    <t>SANTA ROSA (GENERAL PINZON)</t>
  </si>
  <si>
    <t>30DTV0068X</t>
  </si>
  <si>
    <t>30DTV0401L</t>
  </si>
  <si>
    <t>NICOLAS BLANCO (SAN PANCHO)</t>
  </si>
  <si>
    <t>30DTV1260J</t>
  </si>
  <si>
    <t>EL COYOLAR</t>
  </si>
  <si>
    <t>30DTV0829N</t>
  </si>
  <si>
    <t>EL CRUCERO</t>
  </si>
  <si>
    <t>30DTV0197R</t>
  </si>
  <si>
    <t>CHICHICAXTLE</t>
  </si>
  <si>
    <t>30DTV0828O</t>
  </si>
  <si>
    <t>HATO DE LA HIGUERA</t>
  </si>
  <si>
    <t>30DTV0464X</t>
  </si>
  <si>
    <t>MATA DE JOBO</t>
  </si>
  <si>
    <t>30DTV0293U</t>
  </si>
  <si>
    <t>30DTV0969N</t>
  </si>
  <si>
    <t>30DTV1082X</t>
  </si>
  <si>
    <t>LA TERNERA</t>
  </si>
  <si>
    <t>30DTV0076F</t>
  </si>
  <si>
    <t>JAREROS</t>
  </si>
  <si>
    <t>30DTV0196S</t>
  </si>
  <si>
    <t>REAL DEL ORO</t>
  </si>
  <si>
    <t>30DTV1026E</t>
  </si>
  <si>
    <t>30DTV0359M</t>
  </si>
  <si>
    <t>CUCHARAS</t>
  </si>
  <si>
    <t>30DTV0959G</t>
  </si>
  <si>
    <t>COLONIA MORENO (ISLA JUAN A. RAMIREZ)</t>
  </si>
  <si>
    <t>30DTV0679X</t>
  </si>
  <si>
    <t>VASCO DE QUIROGA</t>
  </si>
  <si>
    <t>HORCONCITOS</t>
  </si>
  <si>
    <t>30DTV1035M</t>
  </si>
  <si>
    <t>30DTV0966Q</t>
  </si>
  <si>
    <t>EJIDO EL BARCO</t>
  </si>
  <si>
    <t>30DTV0967P</t>
  </si>
  <si>
    <t>PACIENCIA Y AGUACATE (SANTA FE)</t>
  </si>
  <si>
    <t>30DTV1116X</t>
  </si>
  <si>
    <t>COLONIA PETROLERA LINDAVISTA</t>
  </si>
  <si>
    <t>30DTV0754N</t>
  </si>
  <si>
    <t>30DTV0827P</t>
  </si>
  <si>
    <t>30DTV0755M</t>
  </si>
  <si>
    <t>30DTV0177D</t>
  </si>
  <si>
    <t>MARIA MONTESSORI</t>
  </si>
  <si>
    <t>TAMPICO ALTO</t>
  </si>
  <si>
    <t>30DTV0614N</t>
  </si>
  <si>
    <t>30DTV0676Z</t>
  </si>
  <si>
    <t>LLANO DE BUSTOS</t>
  </si>
  <si>
    <t>30DTV1728W</t>
  </si>
  <si>
    <t>LA RIBERA</t>
  </si>
  <si>
    <t>30DTV1729V</t>
  </si>
  <si>
    <t>KILOMETRO 75</t>
  </si>
  <si>
    <t>30DTV0882I</t>
  </si>
  <si>
    <t>PUNTA DE BUSTOS</t>
  </si>
  <si>
    <t>30DTV1222G</t>
  </si>
  <si>
    <t>LA MAJAHUA</t>
  </si>
  <si>
    <t>30DTV0404I</t>
  </si>
  <si>
    <t>30DTV1671L</t>
  </si>
  <si>
    <t>ALTAMIRADA</t>
  </si>
  <si>
    <t>30DTV1626Z</t>
  </si>
  <si>
    <t>RIGOBERTA MENCHU</t>
  </si>
  <si>
    <t>APANTEOPAN</t>
  </si>
  <si>
    <t>30DTV1210B</t>
  </si>
  <si>
    <t>XOCOTEPEC</t>
  </si>
  <si>
    <t>30DTV1310A</t>
  </si>
  <si>
    <t>XOLOLOYAN</t>
  </si>
  <si>
    <t>30DTV1672K</t>
  </si>
  <si>
    <t>30DTV1373M</t>
  </si>
  <si>
    <t>SAN ANTONIO XOQUITLA</t>
  </si>
  <si>
    <t>30DTV0109G</t>
  </si>
  <si>
    <t>IXHUACAN DE LOS REYES</t>
  </si>
  <si>
    <t>30DTV1302S</t>
  </si>
  <si>
    <t>ESTEBAN DE ANTUÐANO</t>
  </si>
  <si>
    <t>CALTZONTEPEC</t>
  </si>
  <si>
    <t>30DTV1146R</t>
  </si>
  <si>
    <t>30DTV1218U</t>
  </si>
  <si>
    <t>TLALCHY</t>
  </si>
  <si>
    <t>30DTV0275E</t>
  </si>
  <si>
    <t>HEROE DE NACOZARI</t>
  </si>
  <si>
    <t>30DTV0812N</t>
  </si>
  <si>
    <t>18 DE MARZO</t>
  </si>
  <si>
    <t>30DTV1223F</t>
  </si>
  <si>
    <t>JUAN ZILLI BERNARDI</t>
  </si>
  <si>
    <t>TEOCELO</t>
  </si>
  <si>
    <t>LLANO GRANDE</t>
  </si>
  <si>
    <t>30DTV0542K</t>
  </si>
  <si>
    <t>30DTV1509J</t>
  </si>
  <si>
    <t>GUADALUPE (LA PATRONA)</t>
  </si>
  <si>
    <t>30DTV0864T</t>
  </si>
  <si>
    <t>30DTV1242U</t>
  </si>
  <si>
    <t>COLORINES</t>
  </si>
  <si>
    <t>30DTV0461Z</t>
  </si>
  <si>
    <t>CUICHAPA</t>
  </si>
  <si>
    <t>30DTV1686N</t>
  </si>
  <si>
    <t>COBOS GARCIA (SAN NICOLAS)</t>
  </si>
  <si>
    <t>30DTV0234E</t>
  </si>
  <si>
    <t>PROVIDENCIA</t>
  </si>
  <si>
    <t>30DTV0420Z</t>
  </si>
  <si>
    <t>SAN JOSE DE ABAJO</t>
  </si>
  <si>
    <t>30DTV0148I</t>
  </si>
  <si>
    <t>OMEALCA</t>
  </si>
  <si>
    <t>30DTV0819G</t>
  </si>
  <si>
    <t>HERNAN CORTES</t>
  </si>
  <si>
    <t>CRUZ TETELA</t>
  </si>
  <si>
    <t>30DTV0318M</t>
  </si>
  <si>
    <t>MATA TENATITO (CASCO HACIENDA)</t>
  </si>
  <si>
    <t>30DTV1713U</t>
  </si>
  <si>
    <t>LAS PALMAS</t>
  </si>
  <si>
    <t>30DTV0820W</t>
  </si>
  <si>
    <t>PASO AMAPA</t>
  </si>
  <si>
    <t>30DTV0232G</t>
  </si>
  <si>
    <t>PASO REAL</t>
  </si>
  <si>
    <t>30DTV0958H</t>
  </si>
  <si>
    <t>RINCON DE BUENA VISTA</t>
  </si>
  <si>
    <t>30DTV1427Z</t>
  </si>
  <si>
    <t>RUPERTO CONTLA SANDOVAL</t>
  </si>
  <si>
    <t>RIO MORENO</t>
  </si>
  <si>
    <t>30DTV1428Z</t>
  </si>
  <si>
    <t>XUCHILES</t>
  </si>
  <si>
    <t>30DTV1515U</t>
  </si>
  <si>
    <t>XOCHIQUETZAL</t>
  </si>
  <si>
    <t>TEZONAPA</t>
  </si>
  <si>
    <t>IXTACAPA EL GRANDE</t>
  </si>
  <si>
    <t>30DTV0914K</t>
  </si>
  <si>
    <t>LAGUNA CHICA (PUEBLO NUEVO)</t>
  </si>
  <si>
    <t>30DTV1529X</t>
  </si>
  <si>
    <t>LAS LIMAS</t>
  </si>
  <si>
    <t>30DTV0106J</t>
  </si>
  <si>
    <t>MONTE ALTO (EMILIANO ZAPATA)</t>
  </si>
  <si>
    <t>30DTV1522D</t>
  </si>
  <si>
    <t>EL PALMAR GRANDE</t>
  </si>
  <si>
    <t>30DTV0273G</t>
  </si>
  <si>
    <t>PRESIDIO (PLAN DE LIBRES)</t>
  </si>
  <si>
    <t>30DTV0186L</t>
  </si>
  <si>
    <t>SAN AGUSTIN DEL PALMAR</t>
  </si>
  <si>
    <t>30DTV1057Y</t>
  </si>
  <si>
    <t>VAZQUEZ VELA</t>
  </si>
  <si>
    <t>30DTV1556U</t>
  </si>
  <si>
    <t>LIMONESTITLA</t>
  </si>
  <si>
    <t>30DTV1397W</t>
  </si>
  <si>
    <t>PIPILA</t>
  </si>
  <si>
    <t>POCITOS</t>
  </si>
  <si>
    <t>30DTV0913L</t>
  </si>
  <si>
    <t>EMPERADOR CUAUHTEMOC</t>
  </si>
  <si>
    <t>COLONIA AGRICOLA RINCON DE LAS FLORES</t>
  </si>
  <si>
    <t>30DTV1745M</t>
  </si>
  <si>
    <t>TEPECOXTLA</t>
  </si>
  <si>
    <t>30DTV1744N</t>
  </si>
  <si>
    <t>SAN JOSE LAS LAJAS (VILLA NUEVA)</t>
  </si>
  <si>
    <t>30DTV0423X</t>
  </si>
  <si>
    <t>ALMILINGA (SANTO DOMINGO MANZANARES)</t>
  </si>
  <si>
    <t>30DTV1746L</t>
  </si>
  <si>
    <t>EL CRUCERO (COLONIA LAS JOSEFINAS)</t>
  </si>
  <si>
    <t>30DTV1747K</t>
  </si>
  <si>
    <t>AGUSTIN LARA AGUIRRE DEL PINO</t>
  </si>
  <si>
    <t>SAN MIGUEL TENEJAPA</t>
  </si>
  <si>
    <t>30DTV0809Z</t>
  </si>
  <si>
    <t>ZACATE COLORADO PRIMERO (EL MORAL)</t>
  </si>
  <si>
    <t>30DTV1071R</t>
  </si>
  <si>
    <t>30DTV1101V</t>
  </si>
  <si>
    <t>30DTV1162I</t>
  </si>
  <si>
    <t>PALMA DE COCO</t>
  </si>
  <si>
    <t>30DTV0411S</t>
  </si>
  <si>
    <t>EL COCUITE</t>
  </si>
  <si>
    <t>30DTV0892P</t>
  </si>
  <si>
    <t>HERMANOS PAEZ LARA</t>
  </si>
  <si>
    <t>CUYUCUENDA</t>
  </si>
  <si>
    <t>30DTV0893O</t>
  </si>
  <si>
    <t>MATA DE LAZARO</t>
  </si>
  <si>
    <t>30DTV1132O</t>
  </si>
  <si>
    <t>LA TUNA MORELOS</t>
  </si>
  <si>
    <t>30DTV1163H</t>
  </si>
  <si>
    <t>ANTONIO MARIA DE RIVERA</t>
  </si>
  <si>
    <t>EL SUCHIL</t>
  </si>
  <si>
    <t>30DTV1636F</t>
  </si>
  <si>
    <t>GUADALUPE AMOR</t>
  </si>
  <si>
    <t>LA TRANCA</t>
  </si>
  <si>
    <t>30DTV1754U</t>
  </si>
  <si>
    <t>TUZALES</t>
  </si>
  <si>
    <t>30DTV0985E</t>
  </si>
  <si>
    <t>LIZANDRO USCANGA TRINIDAD</t>
  </si>
  <si>
    <t>30DTV1471N</t>
  </si>
  <si>
    <t>LA LAJA</t>
  </si>
  <si>
    <t>30DTV0855L</t>
  </si>
  <si>
    <t>PASCUAL ORTIZ RUBIO</t>
  </si>
  <si>
    <t>30DTV1196Z</t>
  </si>
  <si>
    <t>30DTV0413Q</t>
  </si>
  <si>
    <t>LAS BAJADAS</t>
  </si>
  <si>
    <t>30DTV0289H</t>
  </si>
  <si>
    <t>ALPATLAHUAC</t>
  </si>
  <si>
    <t>30DTV1798R</t>
  </si>
  <si>
    <t>ACOLCO</t>
  </si>
  <si>
    <t>30PTV0001U</t>
  </si>
  <si>
    <t>LA SALLE</t>
  </si>
  <si>
    <t>30DTV1639C</t>
  </si>
  <si>
    <t>COCALZINGO</t>
  </si>
  <si>
    <t>30DTV1306O</t>
  </si>
  <si>
    <t>NARCISO BASSOLS</t>
  </si>
  <si>
    <t>IXTAQUILITLA (EL RINCON)</t>
  </si>
  <si>
    <t>30DTV1797S</t>
  </si>
  <si>
    <t>TEANQUISCO</t>
  </si>
  <si>
    <t>30DTV0112U</t>
  </si>
  <si>
    <t>CALCAHUALCO</t>
  </si>
  <si>
    <t>30DTV1166E</t>
  </si>
  <si>
    <t>AXAYACATL</t>
  </si>
  <si>
    <t>ATOTONILCO</t>
  </si>
  <si>
    <t>30DTV1211A</t>
  </si>
  <si>
    <t>EXCOLA</t>
  </si>
  <si>
    <t>30DTV1311Z</t>
  </si>
  <si>
    <t>NUEVA VAQUERIA</t>
  </si>
  <si>
    <t>30DTV1167D</t>
  </si>
  <si>
    <t>SAN MIGUEL TLACOTIOPA</t>
  </si>
  <si>
    <t>30DTV1409K</t>
  </si>
  <si>
    <t>TOTOZINAPA</t>
  </si>
  <si>
    <t>30DTV1510Z</t>
  </si>
  <si>
    <t>XAMATICPAC</t>
  </si>
  <si>
    <t>30DTV1644O</t>
  </si>
  <si>
    <t>XILOMICHI</t>
  </si>
  <si>
    <t>30DTV1641R</t>
  </si>
  <si>
    <t>LA MESA DE ATOTONILCO</t>
  </si>
  <si>
    <t>30DTV1806J</t>
  </si>
  <si>
    <t>COETZALA</t>
  </si>
  <si>
    <t>COETZAPOTITLA</t>
  </si>
  <si>
    <t>30DTV1043V</t>
  </si>
  <si>
    <t>COSCOMATEPEC</t>
  </si>
  <si>
    <t>COSCOMATEPEC DE BRAVO</t>
  </si>
  <si>
    <t>30DTV1412Y</t>
  </si>
  <si>
    <t>CUAUTOLONTITLA</t>
  </si>
  <si>
    <t>30DTV1165F</t>
  </si>
  <si>
    <t>CUIYACHAPA</t>
  </si>
  <si>
    <t>30DTV1512X</t>
  </si>
  <si>
    <t>HUILOTLA</t>
  </si>
  <si>
    <t>30DTV1788K</t>
  </si>
  <si>
    <t>IXTAYUCA (SAN NICOLAS)</t>
  </si>
  <si>
    <t>30DTV1768X</t>
  </si>
  <si>
    <t>30DTV1379G</t>
  </si>
  <si>
    <t>30DTV1168C</t>
  </si>
  <si>
    <t>TENIXTEPEC</t>
  </si>
  <si>
    <t>30DTV0110W</t>
  </si>
  <si>
    <t>TETELZINGO</t>
  </si>
  <si>
    <t>30DTV1413X</t>
  </si>
  <si>
    <t>JOAQUIN FERNANDEZ DE LIZARDI</t>
  </si>
  <si>
    <t>TETLAXCO</t>
  </si>
  <si>
    <t>30DTV1058X</t>
  </si>
  <si>
    <t>TLALTENGO</t>
  </si>
  <si>
    <t>30DTV1513W</t>
  </si>
  <si>
    <t>TOZONGO</t>
  </si>
  <si>
    <t>30DTV1214Y</t>
  </si>
  <si>
    <t>30DTV1683Q</t>
  </si>
  <si>
    <t>XALATLACO</t>
  </si>
  <si>
    <t>30DTV1169B</t>
  </si>
  <si>
    <t>XOCOTLA</t>
  </si>
  <si>
    <t>30DTV1215X</t>
  </si>
  <si>
    <t>ZACATLA</t>
  </si>
  <si>
    <t>30DTV1800P</t>
  </si>
  <si>
    <t>30DTV0047K</t>
  </si>
  <si>
    <t>IXHUATLAN DEL CAFE</t>
  </si>
  <si>
    <t>30DTV1304Q</t>
  </si>
  <si>
    <t>30DTV1514V</t>
  </si>
  <si>
    <t>EFREN REBOLLEDO</t>
  </si>
  <si>
    <t>GUZMANTLA</t>
  </si>
  <si>
    <t>30DTV1423D</t>
  </si>
  <si>
    <t>GONZALO AGUIRRE BELTRAN</t>
  </si>
  <si>
    <t>IXCAPANTLA</t>
  </si>
  <si>
    <t>30DTV0453R</t>
  </si>
  <si>
    <t>OCOTITLAN</t>
  </si>
  <si>
    <t>30DTV0100P</t>
  </si>
  <si>
    <t>PRESIDIO</t>
  </si>
  <si>
    <t>30DTV1219T</t>
  </si>
  <si>
    <t>ZACAMITLA</t>
  </si>
  <si>
    <t>30DTV0621X</t>
  </si>
  <si>
    <t>TEPATLAXCO</t>
  </si>
  <si>
    <t>30DTV1277J</t>
  </si>
  <si>
    <t>30DTV1521E</t>
  </si>
  <si>
    <t>FRANCISCO DEL PASO Y TRONCOSO</t>
  </si>
  <si>
    <t>30DTV1443R</t>
  </si>
  <si>
    <t>30DTV0736Y</t>
  </si>
  <si>
    <t>LAS CHOAPAS</t>
  </si>
  <si>
    <t>30DTV1473L</t>
  </si>
  <si>
    <t>CEIBA BLANCA</t>
  </si>
  <si>
    <t>30DTV1417T</t>
  </si>
  <si>
    <t>CUAUHTEMOC PEDREGAL</t>
  </si>
  <si>
    <t>30DTV0456O</t>
  </si>
  <si>
    <t>NUEVA ESPERANZA (CERRO NANCHITAL)</t>
  </si>
  <si>
    <t>30DTV1758Q</t>
  </si>
  <si>
    <t>NUEVA TABASQUEÑA</t>
  </si>
  <si>
    <t>30DTV1415V</t>
  </si>
  <si>
    <t>ALTO UXPANAPA (EL AMATE)</t>
  </si>
  <si>
    <t>30DTV1418S</t>
  </si>
  <si>
    <t>IGNACIO MARIA DE ALLENDE</t>
  </si>
  <si>
    <t>SAN MIGUEL DE ALLENDE</t>
  </si>
  <si>
    <t>30DTV0653P</t>
  </si>
  <si>
    <t>30DTV1602P</t>
  </si>
  <si>
    <t>RUFINO TAMAYO</t>
  </si>
  <si>
    <t>EL NACIMIENTO</t>
  </si>
  <si>
    <t>30DTV1543Q</t>
  </si>
  <si>
    <t>30DTV1194A</t>
  </si>
  <si>
    <t>GRACIANO SANCHEZ</t>
  </si>
  <si>
    <t>30DTV1695V</t>
  </si>
  <si>
    <t>LIC. LUIS ECHEVERRIA ALVAREZ (PLAYA SANTA)</t>
  </si>
  <si>
    <t>30DTV1544P</t>
  </si>
  <si>
    <t>YUCATECO EL PEDREGAL</t>
  </si>
  <si>
    <t>30DTV1416U</t>
  </si>
  <si>
    <t>30DTV1368A</t>
  </si>
  <si>
    <t>FELIPE ANGELES</t>
  </si>
  <si>
    <t>30DTV1696U</t>
  </si>
  <si>
    <t>EL PLAN (HUAPACALITO)</t>
  </si>
  <si>
    <t>30DTV1697T</t>
  </si>
  <si>
    <t>30DTV1472M</t>
  </si>
  <si>
    <t>AMATAN</t>
  </si>
  <si>
    <t>30DTV1714T</t>
  </si>
  <si>
    <t>MALPASO</t>
  </si>
  <si>
    <t>30DTV1789J</t>
  </si>
  <si>
    <t>30DTV1320H</t>
  </si>
  <si>
    <t>30DTV0734Z</t>
  </si>
  <si>
    <t>FRAY JUAN DE ZUMARRAGA</t>
  </si>
  <si>
    <t>ARROYO DE LA PALMA</t>
  </si>
  <si>
    <t>30DTV1474K</t>
  </si>
  <si>
    <t>30DTV0735Z</t>
  </si>
  <si>
    <t>LICENCIADO GABRIEL RAMOS MILLAN</t>
  </si>
  <si>
    <t>30DTV1061K</t>
  </si>
  <si>
    <t>30DTV0121B</t>
  </si>
  <si>
    <t>30DTV1190E</t>
  </si>
  <si>
    <t>30DTV1476I</t>
  </si>
  <si>
    <t>CEIBA BONITA</t>
  </si>
  <si>
    <t>30DTV1249N</t>
  </si>
  <si>
    <t>30DTV1369Z</t>
  </si>
  <si>
    <t>30DTV0995L</t>
  </si>
  <si>
    <t>FRANCITA</t>
  </si>
  <si>
    <t>30DTV0592S</t>
  </si>
  <si>
    <t>GUSTAVO DIAZ ORDAZ</t>
  </si>
  <si>
    <t>30DTV1025F</t>
  </si>
  <si>
    <t>IXHUATEPEC (PASO DEL CHIPILE)</t>
  </si>
  <si>
    <t>30DTV1126D</t>
  </si>
  <si>
    <t>CARRIZAL CINCO DE FEBRERO</t>
  </si>
  <si>
    <t>30DTV1087S</t>
  </si>
  <si>
    <t>CAROLINO ANAYA RAMIREZ</t>
  </si>
  <si>
    <t>30DTV0593R</t>
  </si>
  <si>
    <t>30DTV0595P</t>
  </si>
  <si>
    <t>NUEVO ATOYAC</t>
  </si>
  <si>
    <t>30DTV1546N</t>
  </si>
  <si>
    <t>PUEBLO VIEJO (KILOMETRO CUATRO)</t>
  </si>
  <si>
    <t>30DTV1188Q</t>
  </si>
  <si>
    <t>30DTV0746E</t>
  </si>
  <si>
    <t>30DTV0747D</t>
  </si>
  <si>
    <t>TLACUILOLAPAN</t>
  </si>
  <si>
    <t>30DTV1367B</t>
  </si>
  <si>
    <t>TRANCAS VIEJAS</t>
  </si>
  <si>
    <t>30DTV1480V</t>
  </si>
  <si>
    <t>EJIDO POPOTLA</t>
  </si>
  <si>
    <t>30DTV0800I</t>
  </si>
  <si>
    <t>30DTV0924R</t>
  </si>
  <si>
    <t>AHUEYAHUALCO</t>
  </si>
  <si>
    <t>30DTV1619P</t>
  </si>
  <si>
    <t>COAHUIXTEPEC</t>
  </si>
  <si>
    <t>30DTV1014Z</t>
  </si>
  <si>
    <t>MARTIN LUTHER KING</t>
  </si>
  <si>
    <t>CHAMPILICO</t>
  </si>
  <si>
    <t>30DTV1099X</t>
  </si>
  <si>
    <t>CHICHICAPA</t>
  </si>
  <si>
    <t>30DTV0721W</t>
  </si>
  <si>
    <t>30DTV1295Z</t>
  </si>
  <si>
    <t>TATEMPA</t>
  </si>
  <si>
    <t>30DTV1589L</t>
  </si>
  <si>
    <t>TEZAHUAPAN DE JUAREZ</t>
  </si>
  <si>
    <t>30DTV1033O</t>
  </si>
  <si>
    <t>XOAMPOLCO</t>
  </si>
  <si>
    <t>30DTV1590A</t>
  </si>
  <si>
    <t>LA VENTILLA</t>
  </si>
  <si>
    <t>30DTV0141P</t>
  </si>
  <si>
    <t>DANIEL GUZMAN GOMEZ</t>
  </si>
  <si>
    <t>30DTV1566A</t>
  </si>
  <si>
    <t>ARROYO COLORADO</t>
  </si>
  <si>
    <t>30DTV1594X</t>
  </si>
  <si>
    <t>CHACHALACA</t>
  </si>
  <si>
    <t>30DTV1015Z</t>
  </si>
  <si>
    <t>ICTZICTIC</t>
  </si>
  <si>
    <t>30DTV0788D</t>
  </si>
  <si>
    <t>NAPOALA</t>
  </si>
  <si>
    <t>30DTV1598T</t>
  </si>
  <si>
    <t>SOMPAZOL</t>
  </si>
  <si>
    <t>30DTV0928N</t>
  </si>
  <si>
    <t>TAZOLAPA</t>
  </si>
  <si>
    <t>30DTV0201N</t>
  </si>
  <si>
    <t>30DTV1560G</t>
  </si>
  <si>
    <t>LA NORIA (ARRIERAL)</t>
  </si>
  <si>
    <t>30DTV1386Q</t>
  </si>
  <si>
    <t>ARTURO CENTELLA MAYER</t>
  </si>
  <si>
    <t>CALPULALPAN</t>
  </si>
  <si>
    <t>30DTV1013A</t>
  </si>
  <si>
    <t>30DTV1388O</t>
  </si>
  <si>
    <t>JACINTO CANEK</t>
  </si>
  <si>
    <t>OCOTEPEC</t>
  </si>
  <si>
    <t>30DTV1387P</t>
  </si>
  <si>
    <t>AMALIA GONZALEZ CABALLERO</t>
  </si>
  <si>
    <t>FCO. BARRIENTOS Y BARRIENTOS (SANTA ANITA)</t>
  </si>
  <si>
    <t>30DTV0554P</t>
  </si>
  <si>
    <t>LA MESTIZA</t>
  </si>
  <si>
    <t>30DTV0388H</t>
  </si>
  <si>
    <t>EL BAYO</t>
  </si>
  <si>
    <t>30DTV0353S</t>
  </si>
  <si>
    <t>LA TINAJA</t>
  </si>
  <si>
    <t>30DTV0715L</t>
  </si>
  <si>
    <t>EL ZACATAL</t>
  </si>
  <si>
    <t>30DTV0589E</t>
  </si>
  <si>
    <t>MATA LOMA</t>
  </si>
  <si>
    <t>30DTV0287J</t>
  </si>
  <si>
    <t>POZO DE MATA RAMIREZ</t>
  </si>
  <si>
    <t>30DTV1074O</t>
  </si>
  <si>
    <t>30DTV1047R</t>
  </si>
  <si>
    <t>CONCEPCION LOSADA PRIETO</t>
  </si>
  <si>
    <t>30DTV1142V</t>
  </si>
  <si>
    <t>30DTV1285S</t>
  </si>
  <si>
    <t>30DTV1205Q</t>
  </si>
  <si>
    <t>BAJOS DEL JOBO (PUENTE MORENO)</t>
  </si>
  <si>
    <t>30DTV1184U</t>
  </si>
  <si>
    <t>EJIDO VALENTE DIAZ</t>
  </si>
  <si>
    <t>30DTV0466V</t>
  </si>
  <si>
    <t>JUAN ESCUTIA MARTINEZ</t>
  </si>
  <si>
    <t>EL VIEJON VIEJO</t>
  </si>
  <si>
    <t>30DTV0114S</t>
  </si>
  <si>
    <t>30DTV1017X</t>
  </si>
  <si>
    <t>30DTV0077E</t>
  </si>
  <si>
    <t>SANTA ANA</t>
  </si>
  <si>
    <t>30DTV0091Y</t>
  </si>
  <si>
    <t>VILLA CANDELARIA</t>
  </si>
  <si>
    <t>30DTV0818H</t>
  </si>
  <si>
    <t>EL SIERVO DE LA NACION</t>
  </si>
  <si>
    <t>EL CIERVO (SAN JOSE BUENAVISTA)</t>
  </si>
  <si>
    <t>30DTV0188J</t>
  </si>
  <si>
    <t>VEGA DE ALATORRE</t>
  </si>
  <si>
    <t>30DTV0468T</t>
  </si>
  <si>
    <t>LAS HIGUERAS</t>
  </si>
  <si>
    <t>30DTV0312S</t>
  </si>
  <si>
    <t>LOMA BONITA (URSULO GALVAN)</t>
  </si>
  <si>
    <t>30DTV0302L</t>
  </si>
  <si>
    <t>LA MARTINICA (ARROYO GRANDE PRIMERO)</t>
  </si>
  <si>
    <t>30DTV0917H</t>
  </si>
  <si>
    <t>TACAHUITE VIEJO</t>
  </si>
  <si>
    <t>30DTV0036E</t>
  </si>
  <si>
    <t>EL PASO DE COYUTLA</t>
  </si>
  <si>
    <t>30DTV1227B</t>
  </si>
  <si>
    <t>MANUEL ALTAMIRANO</t>
  </si>
  <si>
    <t>30DTV0513P</t>
  </si>
  <si>
    <t>CARISTAY</t>
  </si>
  <si>
    <t>30DTV0600K</t>
  </si>
  <si>
    <t>EL PALMAR KILOMETRO 40</t>
  </si>
  <si>
    <t>30DTV0704F</t>
  </si>
  <si>
    <t>ARTICULO TERCERO</t>
  </si>
  <si>
    <t>30DTV0993N</t>
  </si>
  <si>
    <t>ANTONIO M. QUIRASCO</t>
  </si>
  <si>
    <t>30DTV1346P</t>
  </si>
  <si>
    <t>BENITO JUAREZ (CUAUHTEMOC)</t>
  </si>
  <si>
    <t>30DTV0355Q</t>
  </si>
  <si>
    <t>EMILIANO ZAPATA (LA BOMBA)</t>
  </si>
  <si>
    <t>30DTV0354R</t>
  </si>
  <si>
    <t>GENERAL LAZARO CARDENAS DEL RIO</t>
  </si>
  <si>
    <t>30DTV0839U</t>
  </si>
  <si>
    <t>HUITZILIHUITL</t>
  </si>
  <si>
    <t>PALO DE ROSA</t>
  </si>
  <si>
    <t>30DTV0458M</t>
  </si>
  <si>
    <t>POZA AZUL DE LOS REYES</t>
  </si>
  <si>
    <t>30DTV1749I</t>
  </si>
  <si>
    <t>30DTV0841I</t>
  </si>
  <si>
    <t>ZAPOTAL SANTA CRUZ</t>
  </si>
  <si>
    <t>30DTV1649J</t>
  </si>
  <si>
    <t>PASO LA UNO</t>
  </si>
  <si>
    <t>30DTV1281W</t>
  </si>
  <si>
    <t>SECTOR 5</t>
  </si>
  <si>
    <t>30DTV0940I</t>
  </si>
  <si>
    <t>30DTV1270Q</t>
  </si>
  <si>
    <t>ENRIQUE LAUBSCHER</t>
  </si>
  <si>
    <t>TEMAPACHE</t>
  </si>
  <si>
    <t>ALAMO</t>
  </si>
  <si>
    <t>30DTV1273N</t>
  </si>
  <si>
    <t>30DTV1104S</t>
  </si>
  <si>
    <t>30DTV0909Z</t>
  </si>
  <si>
    <t>LA ESTACION (PUERTA 7)</t>
  </si>
  <si>
    <t>30DTV1274M</t>
  </si>
  <si>
    <t>EL FORTIN</t>
  </si>
  <si>
    <t>30DTV0677Z</t>
  </si>
  <si>
    <t>LA GRANADILLA</t>
  </si>
  <si>
    <t>30DTV1151C</t>
  </si>
  <si>
    <t>KILOMETRO TREINTA Y TRES (PASO REAL)</t>
  </si>
  <si>
    <t>30DTV1396X</t>
  </si>
  <si>
    <t>LA NORIA</t>
  </si>
  <si>
    <t>30DTV0180R</t>
  </si>
  <si>
    <t>OTATAL</t>
  </si>
  <si>
    <t>30DTV1106Q</t>
  </si>
  <si>
    <t>LA PIEDRA ENCONTRADA (FLORIDA)</t>
  </si>
  <si>
    <t>30DTV0976X</t>
  </si>
  <si>
    <t>RAUDAL NUEVO</t>
  </si>
  <si>
    <t>30DTV0371H</t>
  </si>
  <si>
    <t>VEGAS DE LA SOLEDAD Y SOLEDAD DOS</t>
  </si>
  <si>
    <t>30DTV0836X</t>
  </si>
  <si>
    <t>LIC. MIGUEL ALEMAN VALDES</t>
  </si>
  <si>
    <t>TAMATOCO</t>
  </si>
  <si>
    <t>30DTV0620Y</t>
  </si>
  <si>
    <t>TUMBADERO DEL AGUILA</t>
  </si>
  <si>
    <t>30DTV1275L</t>
  </si>
  <si>
    <t>30DTV1108O</t>
  </si>
  <si>
    <t>NEFTALI ESTRADA AZUARA</t>
  </si>
  <si>
    <t>LAS FLORES CINCO POBLADOS</t>
  </si>
  <si>
    <t>30DTV1523C</t>
  </si>
  <si>
    <t>TECOMATE</t>
  </si>
  <si>
    <t>30DTV0088K</t>
  </si>
  <si>
    <t>30DTV0435B</t>
  </si>
  <si>
    <t>BARAHUNDA</t>
  </si>
  <si>
    <t>30DTV1748J</t>
  </si>
  <si>
    <t>LOS LEONES</t>
  </si>
  <si>
    <t>30DTV0276D</t>
  </si>
  <si>
    <t>LOMA DEL MANANTIAL</t>
  </si>
  <si>
    <t>30DTV0424W</t>
  </si>
  <si>
    <t>30DTV0517L</t>
  </si>
  <si>
    <t>30DTV0889B</t>
  </si>
  <si>
    <t>30DTV0890R</t>
  </si>
  <si>
    <t>LA VICTORIA (SAN JOAQUIN)</t>
  </si>
  <si>
    <t>30DTV1134M</t>
  </si>
  <si>
    <t>LA ATALAYA</t>
  </si>
  <si>
    <t>30DTV0982H</t>
  </si>
  <si>
    <t>POBLADO CINCO (NUEVO VILLA OJITLAN)</t>
  </si>
  <si>
    <t>30DTV1143U</t>
  </si>
  <si>
    <t>PLAN DE VILLA</t>
  </si>
  <si>
    <t>30DTV1133N</t>
  </si>
  <si>
    <t>MANUEL MEDINA MIRANDA</t>
  </si>
  <si>
    <t>LA AMAPOLA</t>
  </si>
  <si>
    <t>30DTV0569R</t>
  </si>
  <si>
    <t>SAN PEDRO</t>
  </si>
  <si>
    <t>30DTV0428S</t>
  </si>
  <si>
    <t>HEROES DE MEXICO</t>
  </si>
  <si>
    <t>LAS YAGUAS</t>
  </si>
  <si>
    <t>30DTV0324X</t>
  </si>
  <si>
    <t>NUEVO SAN JOSE INDEPENDENCIA</t>
  </si>
  <si>
    <t>30DTV0082Q</t>
  </si>
  <si>
    <t>IGNACIO MUÑOZ (ZAPOTAL)</t>
  </si>
  <si>
    <t>30DTV0490V</t>
  </si>
  <si>
    <t>ISRAEL C. TELLEZ</t>
  </si>
  <si>
    <t>30DTV1084V</t>
  </si>
  <si>
    <t>CERRO GRANDE DOS</t>
  </si>
  <si>
    <t>30DTV0749B</t>
  </si>
  <si>
    <t>CARLOS SALINAS DE GORTARI</t>
  </si>
  <si>
    <t>30DTV0823T</t>
  </si>
  <si>
    <t>30DTV0750R</t>
  </si>
  <si>
    <t>EL ESCOLIN</t>
  </si>
  <si>
    <t>30DTV0685H</t>
  </si>
  <si>
    <t>MIGUEL ALEMAN VALDEZ</t>
  </si>
  <si>
    <t>MORGADAL NO. 1</t>
  </si>
  <si>
    <t>30DTV0601J</t>
  </si>
  <si>
    <t>POZA LARGA</t>
  </si>
  <si>
    <t>30DTV0489F</t>
  </si>
  <si>
    <t>TAJIN</t>
  </si>
  <si>
    <t>EL TAJIN</t>
  </si>
  <si>
    <t>30DTV1489M</t>
  </si>
  <si>
    <t>TLAHUANAPA</t>
  </si>
  <si>
    <t>30DTV1023H</t>
  </si>
  <si>
    <t>TOTOMOXTLE</t>
  </si>
  <si>
    <t>30DTV1174N</t>
  </si>
  <si>
    <t>30DTV0427T</t>
  </si>
  <si>
    <t>ARENAL SANTA ANA</t>
  </si>
  <si>
    <t>30DTV0965R</t>
  </si>
  <si>
    <t>ARROYO DEHESA</t>
  </si>
  <si>
    <t>30DTV0964S</t>
  </si>
  <si>
    <t>ARROYO SAN PEDRO</t>
  </si>
  <si>
    <t>30DTV1258V</t>
  </si>
  <si>
    <t>ARROYO SECO</t>
  </si>
  <si>
    <t>30DTV1051D</t>
  </si>
  <si>
    <t>GENERAL HERMENEGILDO GALEANA</t>
  </si>
  <si>
    <t>30DTV0267W</t>
  </si>
  <si>
    <t>EL NIGROMANTE</t>
  </si>
  <si>
    <t>30DTV0320A</t>
  </si>
  <si>
    <t>CULTURA Y PROGRESO</t>
  </si>
  <si>
    <t>NUEVO IXCATLAN</t>
  </si>
  <si>
    <t>30DTV0493S</t>
  </si>
  <si>
    <t>NUEVO RAYA CARACOL (ZANJA SECA)</t>
  </si>
  <si>
    <t>30DTV0431F</t>
  </si>
  <si>
    <t>NUEVO SAN MARTIN</t>
  </si>
  <si>
    <t>30DTV1073P</t>
  </si>
  <si>
    <t>30DTV0717J</t>
  </si>
  <si>
    <t>LA UNION PROGRESO TATAHUICAPA</t>
  </si>
  <si>
    <t>30DTV1259U</t>
  </si>
  <si>
    <t>SAN GABRIEL DE LA CHINANTLA</t>
  </si>
  <si>
    <t>30DTV0604G</t>
  </si>
  <si>
    <t>SANTA TERESA</t>
  </si>
  <si>
    <t>30DTV0605F</t>
  </si>
  <si>
    <t>TATAHUICAPA</t>
  </si>
  <si>
    <t>30DTV1312Z</t>
  </si>
  <si>
    <t>30DTV1345Q</t>
  </si>
  <si>
    <t>CRUZ BLANCA NUMERO 1</t>
  </si>
  <si>
    <t>30DTV0510S</t>
  </si>
  <si>
    <t>MANLIO FABIO ALTAMIRANO (KILOMETRO 25)</t>
  </si>
  <si>
    <t>30DTV1212Z</t>
  </si>
  <si>
    <t>NUEVO TEJAMANIL</t>
  </si>
  <si>
    <t>30DTV1313Y</t>
  </si>
  <si>
    <t>LA PIEDAD</t>
  </si>
  <si>
    <t>30DTV1547M</t>
  </si>
  <si>
    <t>EL SAUCE</t>
  </si>
  <si>
    <t>30DTV0290X</t>
  </si>
  <si>
    <t>LA UNION (KILOMETRO 31)</t>
  </si>
  <si>
    <t>30DTV0058Q</t>
  </si>
  <si>
    <t>FURBEROS</t>
  </si>
  <si>
    <t>30DTV0856K</t>
  </si>
  <si>
    <t>LA CRISIS</t>
  </si>
  <si>
    <t>30DTV0801H</t>
  </si>
  <si>
    <t>VICTORIANO HUERTA</t>
  </si>
  <si>
    <t>30DTV0571F</t>
  </si>
  <si>
    <t>CHICUALOQUE</t>
  </si>
  <si>
    <t>30DTV1048Q</t>
  </si>
  <si>
    <t>FRANCISCO SARABIA</t>
  </si>
  <si>
    <t>30DTV0783I</t>
  </si>
  <si>
    <t>30DTV0020D</t>
  </si>
  <si>
    <t>EL VOLADOR</t>
  </si>
  <si>
    <t>30DTV0292V</t>
  </si>
  <si>
    <t>30DTV0784H</t>
  </si>
  <si>
    <t>30DTV0046L</t>
  </si>
  <si>
    <t>PASO DEL PITAL</t>
  </si>
  <si>
    <t>30DTV0840J</t>
  </si>
  <si>
    <t>30DTV1109N</t>
  </si>
  <si>
    <t>CERRO AZUL</t>
  </si>
  <si>
    <t>LA CAMPECHANA</t>
  </si>
  <si>
    <t>30DTV1032P</t>
  </si>
  <si>
    <t>JUAN FELIPE</t>
  </si>
  <si>
    <t>30DTV0298P</t>
  </si>
  <si>
    <t>PIEDRA LABRADA</t>
  </si>
  <si>
    <t>30DTV0028W</t>
  </si>
  <si>
    <t>EL ANONO</t>
  </si>
  <si>
    <t>30DTV1102U</t>
  </si>
  <si>
    <t>EL CAFETAL</t>
  </si>
  <si>
    <t>30DTV0971B</t>
  </si>
  <si>
    <t>PAPATLAR</t>
  </si>
  <si>
    <t>30DTV1439E</t>
  </si>
  <si>
    <t>30DTV0050Y</t>
  </si>
  <si>
    <t>TANCOCO</t>
  </si>
  <si>
    <t>30DTV1458T</t>
  </si>
  <si>
    <t>AGUA SALADA</t>
  </si>
  <si>
    <t>30DTV1268B</t>
  </si>
  <si>
    <t>TOTECO</t>
  </si>
  <si>
    <t>30DTV0365X</t>
  </si>
  <si>
    <t>ZACAMIXTLE</t>
  </si>
  <si>
    <t>30DTV0134F</t>
  </si>
  <si>
    <t>POTRERO DEL LLANO</t>
  </si>
  <si>
    <t>30DTV0690T</t>
  </si>
  <si>
    <t>SOLIS DE ALLENDE</t>
  </si>
  <si>
    <t>30DTV1107P</t>
  </si>
  <si>
    <t>TIERRA AMARILLA</t>
  </si>
  <si>
    <t>30DTV0980J</t>
  </si>
  <si>
    <t>AUGUSTO GOMEZ VILLANUEVA</t>
  </si>
  <si>
    <t>30DTV0766S</t>
  </si>
  <si>
    <t>CUAMANCO</t>
  </si>
  <si>
    <t>30DTV0767R</t>
  </si>
  <si>
    <t>30DTV0678Y</t>
  </si>
  <si>
    <t>EL HUMO</t>
  </si>
  <si>
    <t>30DTV1278I</t>
  </si>
  <si>
    <t>MOYUTLA (KILOMETRO CUARENTA Y OCHO)</t>
  </si>
  <si>
    <t>30DTV1279H</t>
  </si>
  <si>
    <t>30DTV0768Q</t>
  </si>
  <si>
    <t>CONSTITUYENTES DE QUERETARO</t>
  </si>
  <si>
    <t>30DTV0922T</t>
  </si>
  <si>
    <t>30DTV0520Z</t>
  </si>
  <si>
    <t>30DTV0546G</t>
  </si>
  <si>
    <t>COYOLILLO</t>
  </si>
  <si>
    <t>30DTV0552R</t>
  </si>
  <si>
    <t>CHICUASEN</t>
  </si>
  <si>
    <t>30DTV0274F</t>
  </si>
  <si>
    <t>LOS OTATES</t>
  </si>
  <si>
    <t>30DTV0335C</t>
  </si>
  <si>
    <t>SOYACUAUTLA</t>
  </si>
  <si>
    <t>30DTV0085N</t>
  </si>
  <si>
    <t>TRAPICHE DEL ROSARIO</t>
  </si>
  <si>
    <t>30DTV0515N</t>
  </si>
  <si>
    <t>BLANCA ESPUMA</t>
  </si>
  <si>
    <t>30DTV0403J</t>
  </si>
  <si>
    <t>MESA DE GUADALUPE</t>
  </si>
  <si>
    <t>30DTV0409D</t>
  </si>
  <si>
    <t>30DTV1688L</t>
  </si>
  <si>
    <t>CARLOS ARTURO CARRILLO GASTALDI</t>
  </si>
  <si>
    <t>LA HACIENDITA</t>
  </si>
  <si>
    <t>30DTV1702O</t>
  </si>
  <si>
    <t>XALTEPEC</t>
  </si>
  <si>
    <t>30DTV0658K</t>
  </si>
  <si>
    <t>30DTV1682R</t>
  </si>
  <si>
    <t>30DTV1703N</t>
  </si>
  <si>
    <t>30DTV1708I</t>
  </si>
  <si>
    <t>30DTV0946C</t>
  </si>
  <si>
    <t>COLONIA SEIS DE ENERO</t>
  </si>
  <si>
    <t>30DTV1680T</t>
  </si>
  <si>
    <t>OCTAVIO PAZ LOZANO</t>
  </si>
  <si>
    <t>30DTV1066F</t>
  </si>
  <si>
    <t>PASO DE SAN JUAN</t>
  </si>
  <si>
    <t>30DTV0558L</t>
  </si>
  <si>
    <t>30DTV1376J</t>
  </si>
  <si>
    <t>COXCOAPAN</t>
  </si>
  <si>
    <t>30DTV1377I</t>
  </si>
  <si>
    <t>COYAME</t>
  </si>
  <si>
    <t>30DTV0693Q</t>
  </si>
  <si>
    <t>LA MARGARITA</t>
  </si>
  <si>
    <t>30DTV0932Z</t>
  </si>
  <si>
    <t>30DTV1378H</t>
  </si>
  <si>
    <t>SAN JUAN SECO DE VALENCIA</t>
  </si>
  <si>
    <t>30DTV0474D</t>
  </si>
  <si>
    <t>SONTECOMAPAN</t>
  </si>
  <si>
    <t>30DTV0102N</t>
  </si>
  <si>
    <t>COMOAPAN</t>
  </si>
  <si>
    <t>30DTV0606E</t>
  </si>
  <si>
    <t>CHUNIAPAN DE ARRIBA</t>
  </si>
  <si>
    <t>30DTV1494Y</t>
  </si>
  <si>
    <t>EMILIO AZCARRAGA MILMO</t>
  </si>
  <si>
    <t>EL HUIDERO</t>
  </si>
  <si>
    <t>30DTV0441M</t>
  </si>
  <si>
    <t>SALTO DE EYIPANTLA</t>
  </si>
  <si>
    <t>30DTV1394Z</t>
  </si>
  <si>
    <t>JOSE MARIA VALIENTE</t>
  </si>
  <si>
    <t>SANTA ROSA ABATA</t>
  </si>
  <si>
    <t>30DTV1262H</t>
  </si>
  <si>
    <t>DOS DE ABRIL (MONTEPIO CHIQUITO)</t>
  </si>
  <si>
    <t>30DTV1305P</t>
  </si>
  <si>
    <t>MAZATEPEC</t>
  </si>
  <si>
    <t>30DTV1526Z</t>
  </si>
  <si>
    <t>30DTV1171Q</t>
  </si>
  <si>
    <t>SAN JOSE BUENAVISTA</t>
  </si>
  <si>
    <t>30DTV1208N</t>
  </si>
  <si>
    <t>30DTV0543J</t>
  </si>
  <si>
    <t>SANTA CRUZ TEPOZOTECO</t>
  </si>
  <si>
    <t>30DTV0119N</t>
  </si>
  <si>
    <t>30DTV1024G</t>
  </si>
  <si>
    <t>30DTV0122A</t>
  </si>
  <si>
    <t>LAS HALDAS</t>
  </si>
  <si>
    <t>30DTV0211U</t>
  </si>
  <si>
    <t>LOS PESCADOS</t>
  </si>
  <si>
    <t>30DTV1113Z</t>
  </si>
  <si>
    <t>30DTV1449L</t>
  </si>
  <si>
    <t>TOXTLACUAYA</t>
  </si>
  <si>
    <t>30DTV1286R</t>
  </si>
  <si>
    <t>EL LLANILLO REDONDO</t>
  </si>
  <si>
    <t>30DTV0214R</t>
  </si>
  <si>
    <t>TATATILA</t>
  </si>
  <si>
    <t>30DTV1271P</t>
  </si>
  <si>
    <t>SEBASTIAN CAMACHO</t>
  </si>
  <si>
    <t>PIEDRA PARADA</t>
  </si>
  <si>
    <t>30DTV1585P</t>
  </si>
  <si>
    <t>PILHUATEPEC</t>
  </si>
  <si>
    <t>30DTV1613V</t>
  </si>
  <si>
    <t>EJIDO SAN JOSE</t>
  </si>
  <si>
    <t>30DTV0775Z</t>
  </si>
  <si>
    <t>VILLA ALDAMA</t>
  </si>
  <si>
    <t>CRUZ BLANCA</t>
  </si>
  <si>
    <t>30DTV1588M</t>
  </si>
  <si>
    <t>COLONIA LIBERTAD</t>
  </si>
  <si>
    <t>30DTV1524B</t>
  </si>
  <si>
    <t>COLONIA BENITO JUAREZ</t>
  </si>
  <si>
    <t>30DTV0702H</t>
  </si>
  <si>
    <t>JALTIPAN DE MORELOS</t>
  </si>
  <si>
    <t>30DTV1573K</t>
  </si>
  <si>
    <t>IXPUCHAPAN</t>
  </si>
  <si>
    <t>30DTV0741J</t>
  </si>
  <si>
    <t>JAIME NUNO ROCA</t>
  </si>
  <si>
    <t>RANCHOAPAN</t>
  </si>
  <si>
    <t>30DTV0951O</t>
  </si>
  <si>
    <t>JESUS CARRANZA</t>
  </si>
  <si>
    <t>CHALCHIJAPAN ANEXO EL PARAISO</t>
  </si>
  <si>
    <t>30DTV1248O</t>
  </si>
  <si>
    <t>DIECISEIS DE SEPTIEMBRE</t>
  </si>
  <si>
    <t>30DTV1090F</t>
  </si>
  <si>
    <t>30DTV0660Z</t>
  </si>
  <si>
    <t>MODELO DOS RIOS (LAS FLORES)</t>
  </si>
  <si>
    <t>30DTV1555V</t>
  </si>
  <si>
    <t>RENATO LEDUC</t>
  </si>
  <si>
    <t>30DTV0950P</t>
  </si>
  <si>
    <t>SUCHILAPAN DEL RIO</t>
  </si>
  <si>
    <t>30DTV0948A</t>
  </si>
  <si>
    <t>EL TEPACHE</t>
  </si>
  <si>
    <t>30DTV1804L</t>
  </si>
  <si>
    <t>NUEVO ZACUALPAN</t>
  </si>
  <si>
    <t>30DTV0949Z</t>
  </si>
  <si>
    <t>30DTV0659J</t>
  </si>
  <si>
    <t>30DTV1000X</t>
  </si>
  <si>
    <t>LIC. ADOLFO LOPEZ MATEOS</t>
  </si>
  <si>
    <t>30DTV0142O</t>
  </si>
  <si>
    <t>MEDIAS AGUAS</t>
  </si>
  <si>
    <t>30DTV0612P</t>
  </si>
  <si>
    <t>EL PROGRESO MIXE</t>
  </si>
  <si>
    <t>30DTV1399U</t>
  </si>
  <si>
    <t>ANTONIO MARTINEZ DE CASTRO</t>
  </si>
  <si>
    <t>UXPANAPA</t>
  </si>
  <si>
    <t>LAS CAROLINAS (POBLADO NUEVE)</t>
  </si>
  <si>
    <t>30DTV1447N</t>
  </si>
  <si>
    <t>30DTV0281P</t>
  </si>
  <si>
    <t>HELIO GARCIA ALFARO (POBLADO ONCE)</t>
  </si>
  <si>
    <t>30DTV0744G</t>
  </si>
  <si>
    <t>ENTRADA AL POBLADO CINCO (CAMINO REAL)</t>
  </si>
  <si>
    <t>30DTV1448M</t>
  </si>
  <si>
    <t>30DTV0117P</t>
  </si>
  <si>
    <t>HERMANOS CEDILLO (POBLADO DOS A)</t>
  </si>
  <si>
    <t>30DTV1506M</t>
  </si>
  <si>
    <t>JORGE L. TAMAYO</t>
  </si>
  <si>
    <t>30DTV1370P</t>
  </si>
  <si>
    <t>NIÑOS HEROES (LOS JUANES)</t>
  </si>
  <si>
    <t>30DTV1239G</t>
  </si>
  <si>
    <t>POBLADO CINCO</t>
  </si>
  <si>
    <t>30DTV1805K</t>
  </si>
  <si>
    <t>30DTV1272O</t>
  </si>
  <si>
    <t>30DTV1356W</t>
  </si>
  <si>
    <t>AGUA NACIDA</t>
  </si>
  <si>
    <t>30DTV0067Y</t>
  </si>
  <si>
    <t>BUENOS AIRES (SAN ISIDRO)</t>
  </si>
  <si>
    <t>30DTV1103T</t>
  </si>
  <si>
    <t>CERRO DEL PLUMAJE</t>
  </si>
  <si>
    <t>30DTV0072J</t>
  </si>
  <si>
    <t>30DTV1150D</t>
  </si>
  <si>
    <t>LA PEDRERA (CUICUINACO)</t>
  </si>
  <si>
    <t>30DTV1105R</t>
  </si>
  <si>
    <t>30DTV1737D</t>
  </si>
  <si>
    <t>LA ESPERANZA NUEVA</t>
  </si>
  <si>
    <t>30DTV1441T</t>
  </si>
  <si>
    <t>30DTV1044U</t>
  </si>
  <si>
    <t>HIDALGO AMAJAC</t>
  </si>
  <si>
    <t>30DTV0975Y</t>
  </si>
  <si>
    <t>LOMAS DE VINAZCO</t>
  </si>
  <si>
    <t>30DTV0910O</t>
  </si>
  <si>
    <t>OJITAL CIRUELO</t>
  </si>
  <si>
    <t>30DTV0974Z</t>
  </si>
  <si>
    <t>OJITAL SANTA MARIA</t>
  </si>
  <si>
    <t>30DTV1738C</t>
  </si>
  <si>
    <t>30DTV1149O</t>
  </si>
  <si>
    <t>RODRIGUEZ CLARA</t>
  </si>
  <si>
    <t>30DTV0835Y</t>
  </si>
  <si>
    <t>SOMBRERETE GRANDE</t>
  </si>
  <si>
    <t>30DTV1557T</t>
  </si>
  <si>
    <t>TINCONTLAN</t>
  </si>
  <si>
    <t>30DTV1586O</t>
  </si>
  <si>
    <t>FERNANDO MONTES DE OCA RODRIGUEZ</t>
  </si>
  <si>
    <t>URSULO GALVAN II</t>
  </si>
  <si>
    <t>30DTV1129A</t>
  </si>
  <si>
    <t>GENERAL A. TEJEDA Y SU A. GRACIANO SANCHEZ</t>
  </si>
  <si>
    <t>30DTV1357V</t>
  </si>
  <si>
    <t>30DTV1689K</t>
  </si>
  <si>
    <t>CHALMA</t>
  </si>
  <si>
    <t>AQUIXCUATITLA</t>
  </si>
  <si>
    <t>30DTV1183V</t>
  </si>
  <si>
    <t>EL PINTOR</t>
  </si>
  <si>
    <t>30DTV1040Y</t>
  </si>
  <si>
    <t>SAN PEDRO COYUTLA</t>
  </si>
  <si>
    <t>30DTV1008P</t>
  </si>
  <si>
    <t>AURORA RIVERA FLORES</t>
  </si>
  <si>
    <t>CHICONAMEL</t>
  </si>
  <si>
    <t>30DTV1187R</t>
  </si>
  <si>
    <t>EL CEPILLO</t>
  </si>
  <si>
    <t>30DTV1690Z</t>
  </si>
  <si>
    <t>30DTV0802G</t>
  </si>
  <si>
    <t>MOTOLTEPEC</t>
  </si>
  <si>
    <t>30DTV1055Z</t>
  </si>
  <si>
    <t>TANCAZAHUELA</t>
  </si>
  <si>
    <t>30DTV1010D</t>
  </si>
  <si>
    <t>PLATON SANCHEZ</t>
  </si>
  <si>
    <t>AMOXOYAHUTL</t>
  </si>
  <si>
    <t>30DTV0792Q</t>
  </si>
  <si>
    <t>CORRALILLO</t>
  </si>
  <si>
    <t>30DTV1348N</t>
  </si>
  <si>
    <t>EL DUQUE</t>
  </si>
  <si>
    <t>30DTV1495X</t>
  </si>
  <si>
    <t>AHITIC</t>
  </si>
  <si>
    <t>30DTV1454X</t>
  </si>
  <si>
    <t>LOS POZOS</t>
  </si>
  <si>
    <t>30DTV1496W</t>
  </si>
  <si>
    <t>TASAJERAS</t>
  </si>
  <si>
    <t>30DTV0695O</t>
  </si>
  <si>
    <t>LAS MESAS SAN GABRIEL (LAS MESAS)</t>
  </si>
  <si>
    <t>30DTV0616L</t>
  </si>
  <si>
    <t>EL REMANSO</t>
  </si>
  <si>
    <t>30DTV1739B</t>
  </si>
  <si>
    <t>TEMPOAL</t>
  </si>
  <si>
    <t>EL POTRERO</t>
  </si>
  <si>
    <t>30DTV1530M</t>
  </si>
  <si>
    <t>CORNIZUELO</t>
  </si>
  <si>
    <t>30DTV1740R</t>
  </si>
  <si>
    <t>EL CANTARITO</t>
  </si>
  <si>
    <t>30DTV1243T</t>
  </si>
  <si>
    <t>30DTV0221A</t>
  </si>
  <si>
    <t>JOSE MARIA CARMONA</t>
  </si>
  <si>
    <t>30DTV1635G</t>
  </si>
  <si>
    <t>ARROYO DEL ARCO</t>
  </si>
  <si>
    <t>30DTV0961V</t>
  </si>
  <si>
    <t>ARROYO GRANDE NO. 2</t>
  </si>
  <si>
    <t>30DTV1650Z</t>
  </si>
  <si>
    <t>30DTV0263Z</t>
  </si>
  <si>
    <t>GILDARDO MUÐOZ HERRERA</t>
  </si>
  <si>
    <t>EL CEDRO</t>
  </si>
  <si>
    <t>30DTV1353Z</t>
  </si>
  <si>
    <t>LA GRANDEZA</t>
  </si>
  <si>
    <t>30DTV0373F</t>
  </si>
  <si>
    <t>PLAN DEL PALMAR</t>
  </si>
  <si>
    <t>30DTV1139H</t>
  </si>
  <si>
    <t>RANCHO PLAYA</t>
  </si>
  <si>
    <t>30DTV0751Q</t>
  </si>
  <si>
    <t>POLUTLA</t>
  </si>
  <si>
    <t>30DTV0825R</t>
  </si>
  <si>
    <t>POZA VERDE</t>
  </si>
  <si>
    <t>30DTV0602I</t>
  </si>
  <si>
    <t>JOSEFA DOMINGUEZ VIADANA</t>
  </si>
  <si>
    <t>SAN PABLO</t>
  </si>
  <si>
    <t>30DTV0512Q</t>
  </si>
  <si>
    <t>SERAFIN OLARTE</t>
  </si>
  <si>
    <t>30DTV1085U</t>
  </si>
  <si>
    <t>TALAXCA</t>
  </si>
  <si>
    <t>30DTV1640S</t>
  </si>
  <si>
    <t>30DTV1677F</t>
  </si>
  <si>
    <t>PLAN DE LOS MANGOS</t>
  </si>
  <si>
    <t>30DTV1405O</t>
  </si>
  <si>
    <t>COATEPEC (COATEPEC DE ARRIBA)</t>
  </si>
  <si>
    <t>30DTV0711P</t>
  </si>
  <si>
    <t>COXOLITLA DE ABAJO</t>
  </si>
  <si>
    <t>30DTV1407M</t>
  </si>
  <si>
    <t>30DTV1591Z</t>
  </si>
  <si>
    <t>CONTLA</t>
  </si>
  <si>
    <t>30DTV1592Z</t>
  </si>
  <si>
    <t>RINCON GRANDE</t>
  </si>
  <si>
    <t>30DTV0670F</t>
  </si>
  <si>
    <t>CIUDAD MENDOZA</t>
  </si>
  <si>
    <t>30DTV0107I</t>
  </si>
  <si>
    <t>2 DE ENERO</t>
  </si>
  <si>
    <t>HUILOAPAN</t>
  </si>
  <si>
    <t>HUILOAPAN DE CUAUHTEMOC</t>
  </si>
  <si>
    <t>30DTV0018P</t>
  </si>
  <si>
    <t>30DTV0015S</t>
  </si>
  <si>
    <t>CUAUTLAPAN</t>
  </si>
  <si>
    <t>30DTV0992O</t>
  </si>
  <si>
    <t>GUADALUPE MAGUEYES (MAGUEYES)</t>
  </si>
  <si>
    <t>30DTV0527S</t>
  </si>
  <si>
    <t>LOMA GRANDE</t>
  </si>
  <si>
    <t>30DTV1182W</t>
  </si>
  <si>
    <t>TEXMOLA</t>
  </si>
  <si>
    <t>30DTV0487H</t>
  </si>
  <si>
    <t>CECILIO TERAN (BALASTRERA)</t>
  </si>
  <si>
    <t>30DTV1576H</t>
  </si>
  <si>
    <t>EL NICHO</t>
  </si>
  <si>
    <t>30DTV1578F</t>
  </si>
  <si>
    <t>LA CIENEGA</t>
  </si>
  <si>
    <t>30DTV1176L</t>
  </si>
  <si>
    <t>CUMBRE DEL ESPAÑOL</t>
  </si>
  <si>
    <t>30DTV1257W</t>
  </si>
  <si>
    <t>CHILAPA</t>
  </si>
  <si>
    <t>30DTV1177K</t>
  </si>
  <si>
    <t>ALBERT EINSTEIN</t>
  </si>
  <si>
    <t>XOMETLA</t>
  </si>
  <si>
    <t>30DTV1736E</t>
  </si>
  <si>
    <t>TEHUIPANGO</t>
  </si>
  <si>
    <t>OPOTZINGA</t>
  </si>
  <si>
    <t>30DTV1733H</t>
  </si>
  <si>
    <t>TEPEICA</t>
  </si>
  <si>
    <t>30DTV1734G</t>
  </si>
  <si>
    <t>TZACUALA PRIMERO</t>
  </si>
  <si>
    <t>30DTV1466B</t>
  </si>
  <si>
    <t>30DTV0342M</t>
  </si>
  <si>
    <t>TEXHUACAN</t>
  </si>
  <si>
    <t>30DTV0482M</t>
  </si>
  <si>
    <t>HEROES DEL 5 DE MAYO</t>
  </si>
  <si>
    <t>COMALAPA</t>
  </si>
  <si>
    <t>30DTV1450A</t>
  </si>
  <si>
    <t>CUAHUTILICA</t>
  </si>
  <si>
    <t>30DTV0507E</t>
  </si>
  <si>
    <t>CHICOMAPA</t>
  </si>
  <si>
    <t>30DTV0508D</t>
  </si>
  <si>
    <t>BEATRIZ CAMPOS PEREZ</t>
  </si>
  <si>
    <t>IXPALCUAHUTLA (MOXALA)</t>
  </si>
  <si>
    <t>30DTV1467A</t>
  </si>
  <si>
    <t>MACUILCA</t>
  </si>
  <si>
    <t>30DTV1531L</t>
  </si>
  <si>
    <t>PALAPA</t>
  </si>
  <si>
    <t>30DTV1468Z</t>
  </si>
  <si>
    <t>30DTV1452Z</t>
  </si>
  <si>
    <t>REAL DEL MONTE</t>
  </si>
  <si>
    <t>30DTV0629P</t>
  </si>
  <si>
    <t>TLANECPAQUILA</t>
  </si>
  <si>
    <t>30DTV1050E</t>
  </si>
  <si>
    <t>TOTOLACATLA</t>
  </si>
  <si>
    <t>30DTV1537F</t>
  </si>
  <si>
    <t>30DTV1469Z</t>
  </si>
  <si>
    <t>SAN JOSE INDEPENDENCIA</t>
  </si>
  <si>
    <t>30DTV1451Z</t>
  </si>
  <si>
    <t>IXPALUCA</t>
  </si>
  <si>
    <t>30DTV0521Y</t>
  </si>
  <si>
    <t>RINCON DE BARRABAS</t>
  </si>
  <si>
    <t>30DTV0231H</t>
  </si>
  <si>
    <t>ANTON LIZARDO</t>
  </si>
  <si>
    <t>30DTV1136K</t>
  </si>
  <si>
    <t>30DTV0412R</t>
  </si>
  <si>
    <t>LOMA DE LOS HOYOS</t>
  </si>
  <si>
    <t>30DTV0810P</t>
  </si>
  <si>
    <t>PALMA CUATA</t>
  </si>
  <si>
    <t>30DTV0689D</t>
  </si>
  <si>
    <t>EL SALITRAL</t>
  </si>
  <si>
    <t>30DTV1609I</t>
  </si>
  <si>
    <t>PASO DEL MACHO</t>
  </si>
  <si>
    <t>30DTV1391B</t>
  </si>
  <si>
    <t>30DTV0675A</t>
  </si>
  <si>
    <t>PASO LAGARTO</t>
  </si>
  <si>
    <t>30DTV0529Q</t>
  </si>
  <si>
    <t>PORFIRIO PEREZ OLIVARES</t>
  </si>
  <si>
    <t>PASO SOLANO (EJIDO MIRADOR Y ANEXOS)</t>
  </si>
  <si>
    <t>30DTV1470O</t>
  </si>
  <si>
    <t>FELICIANO GARCIA REYES</t>
  </si>
  <si>
    <t>30DTV0073I</t>
  </si>
  <si>
    <t>30DTV0236C</t>
  </si>
  <si>
    <t>PASO CARRETAS</t>
  </si>
  <si>
    <t>30DTV0918G</t>
  </si>
  <si>
    <t>30DTV1181X</t>
  </si>
  <si>
    <t>30DTV0638X</t>
  </si>
  <si>
    <t>SAN JULIAN</t>
  </si>
  <si>
    <t>30DTV1624A</t>
  </si>
  <si>
    <t>EMILIO CARRANZA RODRIGUEZ</t>
  </si>
  <si>
    <t>CRUZ DE PALMA (EL CARMEN)</t>
  </si>
  <si>
    <t>30DTV0039B</t>
  </si>
  <si>
    <t>COROZAL</t>
  </si>
  <si>
    <t>30DTV0978V</t>
  </si>
  <si>
    <t>POTRERO HORCON</t>
  </si>
  <si>
    <t>30DTV1276K</t>
  </si>
  <si>
    <t>TRES PALMAS</t>
  </si>
  <si>
    <t>30DTV1587N</t>
  </si>
  <si>
    <t>POCHUCO</t>
  </si>
  <si>
    <t>30DTV0796M</t>
  </si>
  <si>
    <t>EL AGUACATE TERRERO</t>
  </si>
  <si>
    <t>30DTV1120J</t>
  </si>
  <si>
    <t>30DTV1756S</t>
  </si>
  <si>
    <t>30DTV1765Z</t>
  </si>
  <si>
    <t>SANTA FE</t>
  </si>
  <si>
    <t>30DTV1759P</t>
  </si>
  <si>
    <t>EL CARDON LIMON</t>
  </si>
  <si>
    <t>30DTV0847C</t>
  </si>
  <si>
    <t>RANGEL</t>
  </si>
  <si>
    <t>30DTV1442S</t>
  </si>
  <si>
    <t>VALANTIN</t>
  </si>
  <si>
    <t>30DTV1741Q</t>
  </si>
  <si>
    <t>ALTO DE VEGA RICA</t>
  </si>
  <si>
    <t>30DTV0977W</t>
  </si>
  <si>
    <t>EL HULE (EL BARRANCO)</t>
  </si>
  <si>
    <t>30DTV1029B</t>
  </si>
  <si>
    <t>EL HIGO</t>
  </si>
  <si>
    <t>PRIMERA AMPLIACION DE EL CHOTE</t>
  </si>
  <si>
    <t>30DTV0764U</t>
  </si>
  <si>
    <t>ANASTACIO BUSTAMANTE</t>
  </si>
  <si>
    <t>LAS BADEAS</t>
  </si>
  <si>
    <t>30DTV0887D</t>
  </si>
  <si>
    <t>BELLAVISTA (PALMIRA)</t>
  </si>
  <si>
    <t>30DTV1381V</t>
  </si>
  <si>
    <t>ESTERO GRANDE (LAS PUENTES NUEVAS)</t>
  </si>
  <si>
    <t>30DTV0325W</t>
  </si>
  <si>
    <t>VEGA DEL PASO</t>
  </si>
  <si>
    <t>30DTV1334K</t>
  </si>
  <si>
    <t>EL CHIJOLAR (LOS MARCOS)</t>
  </si>
  <si>
    <t>30DTV1019V</t>
  </si>
  <si>
    <t>EJIDO RANCHO ALEGRE</t>
  </si>
  <si>
    <t>30DTV1069C</t>
  </si>
  <si>
    <t>CHAMIZAL</t>
  </si>
  <si>
    <t>30DTV0633B</t>
  </si>
  <si>
    <t>GRANADILLA</t>
  </si>
  <si>
    <t>30DTV1330O</t>
  </si>
  <si>
    <t>MAGUEY MAGUAQUITE</t>
  </si>
  <si>
    <t>30DTV1380W</t>
  </si>
  <si>
    <t>LAS PLACETAS</t>
  </si>
  <si>
    <t>30DTV0733A</t>
  </si>
  <si>
    <t>30DTV0848B</t>
  </si>
  <si>
    <t>XOCHITLAN (PARAJES)</t>
  </si>
  <si>
    <t>30DTV0252U</t>
  </si>
  <si>
    <t>IXCATEPEC</t>
  </si>
  <si>
    <t>30DTV1572L</t>
  </si>
  <si>
    <t>CHICUALA</t>
  </si>
  <si>
    <t>30DTV1301T</t>
  </si>
  <si>
    <t>GAVILAN</t>
  </si>
  <si>
    <t>30DTV1300U</t>
  </si>
  <si>
    <t>30DTV0944E</t>
  </si>
  <si>
    <t>TELESECUNDARIA NUM. 944</t>
  </si>
  <si>
    <t>30DTV1528Y</t>
  </si>
  <si>
    <t>MANUEL CARPIO</t>
  </si>
  <si>
    <t>CARDONAL</t>
  </si>
  <si>
    <t>30DTV1269A</t>
  </si>
  <si>
    <t>CERRO SAN GABRIEL</t>
  </si>
  <si>
    <t>30DTV1440U</t>
  </si>
  <si>
    <t>30DTV1362G</t>
  </si>
  <si>
    <t>MECAPALA</t>
  </si>
  <si>
    <t>30DTV0282O</t>
  </si>
  <si>
    <t>SAN SEBASTIAN</t>
  </si>
  <si>
    <t>30DTV0972A</t>
  </si>
  <si>
    <t>30DTV1363F</t>
  </si>
  <si>
    <t>EL TOYOL</t>
  </si>
  <si>
    <t>30DTV0884G</t>
  </si>
  <si>
    <t>LAJITAS</t>
  </si>
  <si>
    <t>30DTV0352T</t>
  </si>
  <si>
    <t>TLALTETELA</t>
  </si>
  <si>
    <t>30DTV1282V</t>
  </si>
  <si>
    <t>OHUAPAN</t>
  </si>
  <si>
    <t>30DTV1303R</t>
  </si>
  <si>
    <t>MANUEL C. TELLO</t>
  </si>
  <si>
    <t>TECPITLA</t>
  </si>
  <si>
    <t>30DTV1005S</t>
  </si>
  <si>
    <t>30DTV1225D</t>
  </si>
  <si>
    <t>30DTV1563D</t>
  </si>
  <si>
    <t>EMILIO ABREU GOMEZ</t>
  </si>
  <si>
    <t>XICO</t>
  </si>
  <si>
    <t>XICO VIEJO</t>
  </si>
  <si>
    <t>30DTV1288P</t>
  </si>
  <si>
    <t>MATLALAPA</t>
  </si>
  <si>
    <t>30DTV1562E</t>
  </si>
  <si>
    <t>OXTLAPA</t>
  </si>
  <si>
    <t>30DTV1614U</t>
  </si>
  <si>
    <t>TLACUILOLAN</t>
  </si>
  <si>
    <t>30DTV1117W</t>
  </si>
  <si>
    <t>CARLOS DARWIN</t>
  </si>
  <si>
    <t>TONALACO</t>
  </si>
  <si>
    <t>30DTV1669X</t>
  </si>
  <si>
    <t>MARIA ENRIQUETA CAMARILLO Y ROA</t>
  </si>
  <si>
    <t>LOS POCITOS</t>
  </si>
  <si>
    <t>30DTV0105K</t>
  </si>
  <si>
    <t>TENAMPA</t>
  </si>
  <si>
    <t>30DTV0765T</t>
  </si>
  <si>
    <t>30DTV0017Q</t>
  </si>
  <si>
    <t>TOTUTLA</t>
  </si>
  <si>
    <t>30DTV0986D</t>
  </si>
  <si>
    <t>MATA DE INDIO</t>
  </si>
  <si>
    <t>30DTV0419K</t>
  </si>
  <si>
    <t>MATA OBSCURA</t>
  </si>
  <si>
    <t>30DTV0894N</t>
  </si>
  <si>
    <t>TLAPALA</t>
  </si>
  <si>
    <t>30DTV1645N</t>
  </si>
  <si>
    <t>ZAPOTITLA</t>
  </si>
  <si>
    <t>30DTV0640L</t>
  </si>
  <si>
    <t>ACATLAN</t>
  </si>
  <si>
    <t>30DTV1460H</t>
  </si>
  <si>
    <t>30DTV0347H</t>
  </si>
  <si>
    <t>30DTV1213Z</t>
  </si>
  <si>
    <t>EL ESCALANAR</t>
  </si>
  <si>
    <t>30DTV0297Q</t>
  </si>
  <si>
    <t>DR. RAFAEL LUCIO NAJERA</t>
  </si>
  <si>
    <t>30DTV0402K</t>
  </si>
  <si>
    <t>EL CASTILLO</t>
  </si>
  <si>
    <t>30DTV0207H</t>
  </si>
  <si>
    <t>LANDERO Y COSS</t>
  </si>
  <si>
    <t>30DTV0101O</t>
  </si>
  <si>
    <t>MIAHUATLAN</t>
  </si>
  <si>
    <t>30DTV0400M</t>
  </si>
  <si>
    <t>30DTV1612W</t>
  </si>
  <si>
    <t>HUICHILA</t>
  </si>
  <si>
    <t>30DTV1340V</t>
  </si>
  <si>
    <t>30DTV1002V</t>
  </si>
  <si>
    <t>NARCISO SERRADELL</t>
  </si>
  <si>
    <t>OTILPAN</t>
  </si>
  <si>
    <t>30DTV1561F</t>
  </si>
  <si>
    <t>JUAN AMOS COMENIO</t>
  </si>
  <si>
    <t>30DTV1224E</t>
  </si>
  <si>
    <t>MONTE REAL</t>
  </si>
  <si>
    <t>30DTV1525A</t>
  </si>
  <si>
    <t>ZACATAL</t>
  </si>
  <si>
    <t>ZONA</t>
  </si>
  <si>
    <t>SUPERVISOR ESCOLAR</t>
  </si>
  <si>
    <t>Lina Espinoza Pérez</t>
  </si>
  <si>
    <t>Minerva Aldama Cristóbal</t>
  </si>
  <si>
    <t>Javier Benítez Ponce</t>
  </si>
  <si>
    <t>José Antonio Gaytan Rosales</t>
  </si>
  <si>
    <t>Ismael Guzmán Marín</t>
  </si>
  <si>
    <t>Arieslio Puente López</t>
  </si>
  <si>
    <t>Miguel Ángel Velis</t>
  </si>
  <si>
    <t>David J. Vera Román</t>
  </si>
  <si>
    <t>Enrique López Guillen</t>
  </si>
  <si>
    <t>Baltazar Martínez Vega</t>
  </si>
  <si>
    <t>Gabriel Martínez Vargas</t>
  </si>
  <si>
    <t>Félix Ángel Sobal Galán</t>
  </si>
  <si>
    <t>Arturo Alvarado Morales</t>
  </si>
  <si>
    <t>Carlos Ramón Tuyub y Peralta</t>
  </si>
  <si>
    <t>Ildefonso Osorio Rosales</t>
  </si>
  <si>
    <t>José Nava Bouzán</t>
  </si>
  <si>
    <t>Emilio Martínez Cruz</t>
  </si>
  <si>
    <t>Belem Valencia Tadeo</t>
  </si>
  <si>
    <t>Olga González Vargas</t>
  </si>
  <si>
    <t>Crescencio Alcorta Herrera</t>
  </si>
  <si>
    <t>Roberto Vázquez Flores</t>
  </si>
  <si>
    <t>Edith Jiménez Quintero</t>
  </si>
  <si>
    <t>Gregorio Cotero Cortés</t>
  </si>
  <si>
    <t>Oscar de los Santos</t>
  </si>
  <si>
    <t>Augusto R. Gómez Merino</t>
  </si>
  <si>
    <t>Benjamín Cruz Paniagua</t>
  </si>
  <si>
    <t>Gonzalo Cervantes Posadas</t>
  </si>
  <si>
    <t>Anastacio Hernández Zea</t>
  </si>
  <si>
    <t>Lázaro Villanueva Domínguez</t>
  </si>
  <si>
    <t>Antonio Aguirre Hernández</t>
  </si>
  <si>
    <t>Arnulfo Tadeo Murrieta</t>
  </si>
  <si>
    <t>Ernesto Madrid Ortega</t>
  </si>
  <si>
    <t>Rángel Omar Cetina Garma</t>
  </si>
  <si>
    <t>Roberto Flores Tolentino</t>
  </si>
  <si>
    <t>Humberto Santos Montenegro</t>
  </si>
  <si>
    <t>Santiago Morales Cortés</t>
  </si>
  <si>
    <t>Eliseo Lezama Rosas</t>
  </si>
  <si>
    <t>María Francisca Torales Morgado</t>
  </si>
  <si>
    <t>Juan Luis Quintanar Delfín</t>
  </si>
  <si>
    <t>Fausto Olea Ramírez</t>
  </si>
  <si>
    <t>Ricardo Salomón Morales</t>
  </si>
  <si>
    <t>Rigoberto Sánchez Aguirre</t>
  </si>
  <si>
    <t>María Graciana Hernández Coca</t>
  </si>
  <si>
    <t>Galdino Zavala Mayorga</t>
  </si>
  <si>
    <t>Enrique Azuara Morales</t>
  </si>
  <si>
    <t>Mario Rendón y Arroyo</t>
  </si>
  <si>
    <t>Adalberto Osorio Magdaleno</t>
  </si>
  <si>
    <t>René Rivera González</t>
  </si>
  <si>
    <t>Filiberto Morales Valdivia</t>
  </si>
  <si>
    <t>Julio Martínez</t>
  </si>
  <si>
    <t>Javier Luis Blanco Cossio</t>
  </si>
  <si>
    <t>Marlene del Carmen Escalante Sánchez</t>
  </si>
  <si>
    <t>Manuel Henestrosa Delgado</t>
  </si>
  <si>
    <t>Alberto Criollo Rivero</t>
  </si>
  <si>
    <t>Héctor J. Espadas Yuit</t>
  </si>
  <si>
    <t>Salvador Viveros Aguilera</t>
  </si>
  <si>
    <t>Primitivo Fuentes Aguilar</t>
  </si>
  <si>
    <t>José Luis Guzmán González</t>
  </si>
  <si>
    <t>Javier del Valle López</t>
  </si>
  <si>
    <t>José de Jesús Cervantes Herrera</t>
  </si>
  <si>
    <t>Raúl Argüelles Jiménez</t>
  </si>
  <si>
    <t>Juan C. Melo Torres</t>
  </si>
  <si>
    <t>Enrique Rámila Aquino</t>
  </si>
  <si>
    <t>María Nostroza Mestiza</t>
  </si>
  <si>
    <t>Rómulo Cruz Cerecedo</t>
  </si>
  <si>
    <t>María Félix Espinoza Iturbide</t>
  </si>
  <si>
    <t>Rubén Villaméndez Camacho</t>
  </si>
  <si>
    <t>José Luis Iraheta del Ángel</t>
  </si>
  <si>
    <t>Roberto del Ángel Flores</t>
  </si>
  <si>
    <t>José Osvaldo Andrade Fomperosa</t>
  </si>
  <si>
    <t>Gustavo Manzo Zamudio</t>
  </si>
  <si>
    <t>Miguel Ángel Sánchez Domínguez</t>
  </si>
  <si>
    <t>María Guadalupe Meza Izquierdo</t>
  </si>
  <si>
    <t>Manuel González Landa</t>
  </si>
  <si>
    <t>Yeyetzi C. Arroyo López</t>
  </si>
  <si>
    <t>Oscar Ramírez Vázquez</t>
  </si>
  <si>
    <t>Pedro Barrita Pacheco</t>
  </si>
  <si>
    <t>Ramón Tirado Morales</t>
  </si>
  <si>
    <t>Jorge E. Velázquez Pérez</t>
  </si>
  <si>
    <t>Guadalupe Herrera Durán</t>
  </si>
  <si>
    <t>Guadalupe Rivera Roa</t>
  </si>
  <si>
    <t>Leonor Del Valle López</t>
  </si>
  <si>
    <t>Alfredo Pérez Roano</t>
  </si>
  <si>
    <t>Concepción de la Rosa Chargoy</t>
  </si>
  <si>
    <t>Cirenio Martínez León</t>
  </si>
  <si>
    <t>Demetrio García Castillo</t>
  </si>
  <si>
    <t>Elsie Rosario Cuervo Vera</t>
  </si>
  <si>
    <t>SECTOR</t>
  </si>
  <si>
    <t>JEFE DE SECTOR</t>
  </si>
  <si>
    <t>Francisco Herrera Jiménez</t>
  </si>
  <si>
    <t>Renaud Espinosa Sánchez</t>
  </si>
  <si>
    <t>Enrique Navarro Sánchez</t>
  </si>
  <si>
    <t>Agustín Mahé Domínguez</t>
  </si>
  <si>
    <t>Apolonio Ramos Gómez</t>
  </si>
  <si>
    <t>Felipe Zuviri Viznado</t>
  </si>
  <si>
    <t>Librada Domínguez Bernabe</t>
  </si>
  <si>
    <t>Roberto Landa</t>
  </si>
  <si>
    <t>Javier Arce González</t>
  </si>
  <si>
    <t>Judith Briones Guzmán</t>
  </si>
  <si>
    <t>Crescenciano Camacho Gómez</t>
  </si>
  <si>
    <t>Doroteo Guzmán Cayetano</t>
  </si>
  <si>
    <t>Melesio Martínez Lechuga</t>
  </si>
  <si>
    <t>Antonio L. Navarrete Montero</t>
  </si>
  <si>
    <t>Rodolfo P. Reyes Esquinca</t>
  </si>
  <si>
    <t>Alejandro Pumarino Navarro</t>
  </si>
  <si>
    <t>Salvador Romero Flores</t>
  </si>
  <si>
    <t>Rosa de Lima Cruz Mancilla</t>
  </si>
  <si>
    <t>Gerardo Núñez Acosta</t>
  </si>
  <si>
    <t>Catalino Bernabe Domínguez</t>
  </si>
  <si>
    <t>Alfonso Martínez Alarcón</t>
  </si>
  <si>
    <t>Inocencio Rosas Rivera</t>
  </si>
  <si>
    <t>Gabriel López Bermejo</t>
  </si>
  <si>
    <t>Lázaro Hernández Martínez</t>
  </si>
  <si>
    <t>clave</t>
  </si>
  <si>
    <t>escuela</t>
  </si>
  <si>
    <t>direccion</t>
  </si>
  <si>
    <t>director</t>
  </si>
  <si>
    <t>zona</t>
  </si>
  <si>
    <t>sector</t>
  </si>
  <si>
    <t>municipio</t>
  </si>
  <si>
    <t>localidad</t>
  </si>
  <si>
    <t>DESIDERIO PAVON CON EJE 6</t>
  </si>
  <si>
    <t>BERNABE RESENDIZ DEL ANGEL</t>
  </si>
  <si>
    <t>4 SUR NUM. 23</t>
  </si>
  <si>
    <t>MARCOS RIVERA SAINS</t>
  </si>
  <si>
    <t>KILOMETRO 15 CARRETERA TUXPAM-CAZONES</t>
  </si>
  <si>
    <t>ROSA TORAL LOMBARD</t>
  </si>
  <si>
    <t>CALLE PRINCIPAL S/N</t>
  </si>
  <si>
    <t>BULMARO SALAS FUENTES</t>
  </si>
  <si>
    <t>TAMPAMACHOCO ATRAS DEL CAMPO DEPORTIVO</t>
  </si>
  <si>
    <t>MARIA ANTONIA FLORES MELO</t>
  </si>
  <si>
    <t>FRENTE A LA AUTOPISTA TUXPAM-MEXICO</t>
  </si>
  <si>
    <t>ADELAIDO CASTRO GOMEZ</t>
  </si>
  <si>
    <t>JUNTO AL CAMPO DEPORTIVO</t>
  </si>
  <si>
    <t>NORMA SOSA GARCIA</t>
  </si>
  <si>
    <t>CONOCIDO</t>
  </si>
  <si>
    <t>ANGEL TIBURCIO SANCHEZ</t>
  </si>
  <si>
    <t>KILOMETRO 11 CARRETERA TAMIAHUA</t>
  </si>
  <si>
    <t>VALENTIN JAIME RODRIGUEZ ZARATE</t>
  </si>
  <si>
    <t>ARIADNE ESMERALDA LAGUNES GARCIA</t>
  </si>
  <si>
    <t>ROSA MARIA JUAN RAMOS</t>
  </si>
  <si>
    <t>SALIDA CARRETERA A LA PLAYA</t>
  </si>
  <si>
    <t>ALEJANDRINA CUEVAS CUERVO</t>
  </si>
  <si>
    <t>FRENTE A LA CARRETERA A RANCHO NUEVO Y CASETA TELEFONICA</t>
  </si>
  <si>
    <t>ISELA ANABEL VILLEGAS SOLIS</t>
  </si>
  <si>
    <t>FRENTE A LA ESCUELA PRIMARIA</t>
  </si>
  <si>
    <t>OSCAR LARA HERNANDEZ</t>
  </si>
  <si>
    <t>BALDOMERO PEREZ GARCIA</t>
  </si>
  <si>
    <t>KILOMETRO 12 AUTOPISTA TUXPAM-MEXICO</t>
  </si>
  <si>
    <t>JOSE RODRIGO QUIðONES LLANES</t>
  </si>
  <si>
    <t>CARRETERA A CABOS</t>
  </si>
  <si>
    <t>ABRAHAM BLANCO BAEZ</t>
  </si>
  <si>
    <t>JUANA CASTRO SANAVIA</t>
  </si>
  <si>
    <t>CARRETERA NACIONAL TUXPAN-TAMPICO DESVIACION A ALAMO</t>
  </si>
  <si>
    <t>ELIA PATRICIA GUERRA RODRIGO</t>
  </si>
  <si>
    <t>GUSTAVO DIAZ ORDAZ S/N</t>
  </si>
  <si>
    <t>JUAN CASTRO SANCHEZ</t>
  </si>
  <si>
    <t>ESQUINA MOCTEZUMA Y EMILIO CARRANZA</t>
  </si>
  <si>
    <t>RAFAEL RUIZ CABRERA</t>
  </si>
  <si>
    <t>VENUSTIANO CARRANZA S/N</t>
  </si>
  <si>
    <t>MARGARITO CORTES HERNANDEZ</t>
  </si>
  <si>
    <t>20 DE NOVIEMBRE NUM. 10</t>
  </si>
  <si>
    <t>LUDIVINA VIZNADO FELIZARDO</t>
  </si>
  <si>
    <t>CARRETERA POZO NUM. 102</t>
  </si>
  <si>
    <t>BLANCA ESTELA TAPIA CRUZ</t>
  </si>
  <si>
    <t>HERMENEGILDO GALEANA Y FRANCISCO VILLA</t>
  </si>
  <si>
    <t>GERMAN BERMUDEZ HERNANDEZ</t>
  </si>
  <si>
    <t>CARRETERA PRINCIPAL JUNTO AGENCIA MUNICIPAL</t>
  </si>
  <si>
    <t>MARGARITA SANCHEZ SALAS</t>
  </si>
  <si>
    <t>FRENTE AL CAMPO DEPORTIVO</t>
  </si>
  <si>
    <t>ELEUTERIO CASTRO PEREZ</t>
  </si>
  <si>
    <t>20 DE NOVIEMBRE NUM. 7 ESQUINA 24 DE FEBRERO</t>
  </si>
  <si>
    <t>MARTHA ORALIA ALAFITA CRUZ</t>
  </si>
  <si>
    <t>GONZALEZ ORTEGA S/N SECTOR 4</t>
  </si>
  <si>
    <t>FLORA HERRERA CARRANZA</t>
  </si>
  <si>
    <t>CARLOS CORTES GRANT</t>
  </si>
  <si>
    <t>ADRIANA ARISBETH SANCHEZ HERNANDEZ</t>
  </si>
  <si>
    <t>RIGOBERTO VAZQUEZ PARRA</t>
  </si>
  <si>
    <t>SANTIAGO COXCA CASTRO</t>
  </si>
  <si>
    <t>ALFONSO VAZQUEZ Y MUJICA</t>
  </si>
  <si>
    <t>SAMUEL AGUIRRE ZARATE</t>
  </si>
  <si>
    <t>MARIA DEL ROCIO SALAZAR MUNGUIA</t>
  </si>
  <si>
    <t>JAIME GONZALEZ GONZALEZ</t>
  </si>
  <si>
    <t>JUNTO A LA AGENCIA MUNICIPAL</t>
  </si>
  <si>
    <t>MARIA DEL ROCIO BENAVIDES HERNANDEZ</t>
  </si>
  <si>
    <t>ARISBE DOMINGUEZ BAEZ</t>
  </si>
  <si>
    <t>NEFTALI PADILLA GUZMAN</t>
  </si>
  <si>
    <t>JOSE ROMERO FABIAN</t>
  </si>
  <si>
    <t>JOSE NAHIN HUESCA MDRID</t>
  </si>
  <si>
    <t>RABINDRANATH VAZQUEZ OLEA</t>
  </si>
  <si>
    <t>JULIO CESAR CHACON ANTUNEZ</t>
  </si>
  <si>
    <t>AGUSTIN GUZMAN CASTORENA</t>
  </si>
  <si>
    <t>LIRIOS S/N</t>
  </si>
  <si>
    <t>GILBERTA HERRERA RIVERA</t>
  </si>
  <si>
    <t>COLONIA LUIS DONALDO COLOSIO</t>
  </si>
  <si>
    <t>LINO MOGOLLON Y GARRIDO</t>
  </si>
  <si>
    <t>DALID PAREDES ANDRADE</t>
  </si>
  <si>
    <t>MAURICIO PEREZ SERAFIN</t>
  </si>
  <si>
    <t>VICTOR ANDRADE CALLEJAS</t>
  </si>
  <si>
    <t>LUCIA JARILLO VERNET</t>
  </si>
  <si>
    <t>NOEL RUDECINO GARCIA</t>
  </si>
  <si>
    <t>AVENIDA ELIAS FUENTES S/N</t>
  </si>
  <si>
    <t>MINERVA GONZALEZ LUCAS</t>
  </si>
  <si>
    <t>ANASTACIO LOZANO JIMENEZ</t>
  </si>
  <si>
    <t>VIRGINIA CORTES FABIAN</t>
  </si>
  <si>
    <t>SUNY EDETZA PADILLA HERNANDEZ</t>
  </si>
  <si>
    <t>ARMANDO CABRERA PAZOS</t>
  </si>
  <si>
    <t>JUSTA GARCIA KAST</t>
  </si>
  <si>
    <t>ANTONIO VAZQUEZ JIMENEZ</t>
  </si>
  <si>
    <t>MIGUEL HIDALGO NUM. 2</t>
  </si>
  <si>
    <t>SOFIA VAZQUEZ CRUZ</t>
  </si>
  <si>
    <t>RUBEN AVILA Y MARTINEZ</t>
  </si>
  <si>
    <t>ADOLFO LOPEZ MATEOS S/N</t>
  </si>
  <si>
    <t>SAMUEL GARCIA PORTILLA</t>
  </si>
  <si>
    <t>HECTOR MEZA GILBON</t>
  </si>
  <si>
    <t>MIGUEL BALDERAS Y DE LOS SANTOS</t>
  </si>
  <si>
    <t>MARIA DE LOURDES L. MACIP RODRIGUEZ</t>
  </si>
  <si>
    <t>EPIFANIO HERNANDEZ S/N ENTRE HIDALGO Y A.</t>
  </si>
  <si>
    <t>JOSEFINA MERIDA GONZALEZ</t>
  </si>
  <si>
    <t>JORGE CUPERTINO SANCHEZ ZAYAS</t>
  </si>
  <si>
    <t>MARTIN CENTENO TORRES</t>
  </si>
  <si>
    <t>CIRILO FERMIN LARA DEL ANGEL</t>
  </si>
  <si>
    <t>BASILIA RIVERA GUZMAN</t>
  </si>
  <si>
    <t>SILVIA PARRA BARROSO</t>
  </si>
  <si>
    <t>JOSE MARIA MORELOS Y PAVON NUM. 1</t>
  </si>
  <si>
    <t>MARIA EUGENIA PALACIOS MENDOZA</t>
  </si>
  <si>
    <t>VENUSTIANO CARRANZA NUM. 4</t>
  </si>
  <si>
    <t>SONIA MYRNA LENINA CARRETO BLANCO</t>
  </si>
  <si>
    <t>VICENTE GUERRERO NUM. 52</t>
  </si>
  <si>
    <t>JOAQUIN GARRIDO ZAVALETA</t>
  </si>
  <si>
    <t>PROLONGACION TEMAXCALAPA</t>
  </si>
  <si>
    <t>MARCELA MARIA DEL CARMEN ROSARIO GARCIA</t>
  </si>
  <si>
    <t>EMILIANO ZAPATA NUM. 41</t>
  </si>
  <si>
    <t>ARIEL ORTIZ</t>
  </si>
  <si>
    <t>FRANCISCO LEON DE LA BARRERA S/N</t>
  </si>
  <si>
    <t>ANGELICA VELASCO LOPEZ</t>
  </si>
  <si>
    <t>2 DE ABRIL NUM. 2</t>
  </si>
  <si>
    <t>JOSE DE JESUS MARTINEZ ALFONSO</t>
  </si>
  <si>
    <t>MARIA DOLORES CASTRO GARCIA</t>
  </si>
  <si>
    <t>ROSA MARIA PLATAS SANCHEZ</t>
  </si>
  <si>
    <t>CALLE PRINCIPAL</t>
  </si>
  <si>
    <t>CARLOS SANTIAGO MONTOYA</t>
  </si>
  <si>
    <t>AVENIDA CUAUHTEMOC NUM. 1</t>
  </si>
  <si>
    <t>CRUZ ELUZAI JARILLO ESCALONA</t>
  </si>
  <si>
    <t>SEGUNDA DE IGNACIO ZARAGOZA S/N</t>
  </si>
  <si>
    <t>ALEJANDRA RIVERA SANTIAGO</t>
  </si>
  <si>
    <t>CALLE PRINCIPAL S/N (FRENTE A LA QUESERIA)</t>
  </si>
  <si>
    <t>MARTHA ANGELICA VELASCO RIOS</t>
  </si>
  <si>
    <t>CALZADA A LAS LAJAS S/N</t>
  </si>
  <si>
    <t>JOVITA LUNA NUÑEZ</t>
  </si>
  <si>
    <t>PLAZUELA DE LA CONSTITUCION NUM. 8</t>
  </si>
  <si>
    <t>ROBERTO FUERTES Y RENDON</t>
  </si>
  <si>
    <t>ARTURO GUILLERMO RAMIREZ MADRID</t>
  </si>
  <si>
    <t>LIBERTAD NUM. 24</t>
  </si>
  <si>
    <t>FATIMA PAZARAN CHAGOYA</t>
  </si>
  <si>
    <t>CALLE PRINCIPAL JUNTO A LA IGLESIA</t>
  </si>
  <si>
    <t>OFELIA TREJO MORGADO</t>
  </si>
  <si>
    <t>MIGUEL HIDALGO NUM. 4</t>
  </si>
  <si>
    <t>ARTURO MEZA Y MORENO</t>
  </si>
  <si>
    <t>INDEPENDENCIA Y FLORES BELLO S/N</t>
  </si>
  <si>
    <t>SILVIO PASCUAL MORALES BUENO</t>
  </si>
  <si>
    <t>PRIVADA DE ROA BARCENAS S/N</t>
  </si>
  <si>
    <t>JOEL CANTERO HERNANDEZ</t>
  </si>
  <si>
    <t>MARILU MARTINEZ GARCIA</t>
  </si>
  <si>
    <t>ORLANDO ZUVIRI MERLO</t>
  </si>
  <si>
    <t>LA TRINIDAD S/N</t>
  </si>
  <si>
    <t>RICARDO GAMALIEL MEZA HERNANDEZ</t>
  </si>
  <si>
    <t>PRIVADA DE INDEPENDENCIA S/N</t>
  </si>
  <si>
    <t>ARACELI DELIA GALVAN VIVEROS</t>
  </si>
  <si>
    <t>10 DE MAYO NUM. 16</t>
  </si>
  <si>
    <t>HUGO PECERO TORRES</t>
  </si>
  <si>
    <t>EMILIANO ZAPATA S/N</t>
  </si>
  <si>
    <t>LUIS RICARDO ORELLAN HUERTA</t>
  </si>
  <si>
    <t>REVOLUCION S/N</t>
  </si>
  <si>
    <t>MARIA JUVENCIA G. PALMEROS RIVERA</t>
  </si>
  <si>
    <t>BENITO JUAREZ NUM. 132 BIS</t>
  </si>
  <si>
    <t>TITO LOBATO LOPEZ</t>
  </si>
  <si>
    <t>MELCHOR OCAMPO S/N</t>
  </si>
  <si>
    <t>LUIS ENRIQUE MARTINEZ ORTEGA</t>
  </si>
  <si>
    <t>AVENIDA SALVADOR DIAZ MIRON  NUM. 3</t>
  </si>
  <si>
    <t>FIDEL MEJIA DIAZ</t>
  </si>
  <si>
    <t>MARIA VICTORICA BARRADAS GONZALEZ</t>
  </si>
  <si>
    <t>GREGORIO ALVAREZ RUBIO S/N</t>
  </si>
  <si>
    <t>LUZ PASOS HERNANDEZ</t>
  </si>
  <si>
    <t>PRIMERA PRIVADA DE DIVISION DEL NORTE S/N</t>
  </si>
  <si>
    <t>ULDA ORTEGA GONZALEZ</t>
  </si>
  <si>
    <t>ATRAS DEL JARDIN DE NIÑOS</t>
  </si>
  <si>
    <t>FLORA FERNANDEZ ORTIZ</t>
  </si>
  <si>
    <t>FRENTE A LA FABRICA DE ACRILIA</t>
  </si>
  <si>
    <t>EDITH PEREZ VAZQUEZ</t>
  </si>
  <si>
    <t>NORTE 7 ESQUINA ORIENTE 2</t>
  </si>
  <si>
    <t>DORIS HERNANDEZ BALDERAS</t>
  </si>
  <si>
    <t>ESQUINA ABARROTES MATAMBA</t>
  </si>
  <si>
    <t>PIO MANUEL PEREZ HERRERA</t>
  </si>
  <si>
    <t>AVENIDA MIRON Y MOSQUERA S/N</t>
  </si>
  <si>
    <t>EMILIO VALERIO MARTINEZ</t>
  </si>
  <si>
    <t>CONOCIDO JUNTO AL TANQUE ELEVADO</t>
  </si>
  <si>
    <t>NORMA RODRIGUEZ YEPEZ</t>
  </si>
  <si>
    <t>CERCA DE LA LAGUNA</t>
  </si>
  <si>
    <t>MARIBEL MORAN DIAZ</t>
  </si>
  <si>
    <t>AVENIDA 5 DE MAYO NUM. 318</t>
  </si>
  <si>
    <t>ADA LUZ CRUZ CAMARERO</t>
  </si>
  <si>
    <t>CARRETERA BOCA DEL RIO-PLAYA VACAS, KILOMETRO 1 1/2</t>
  </si>
  <si>
    <t>MARIA DEL PILAR HERMIDA HERNANDEZ</t>
  </si>
  <si>
    <t>CARRETERA TEJAR MOZAMBIQUE</t>
  </si>
  <si>
    <t>NELSON ARTURO LEYVA MACIP</t>
  </si>
  <si>
    <t>5 DE MAYO S/N</t>
  </si>
  <si>
    <t>RUBI FRANCISCA ZAPATA RAMOS</t>
  </si>
  <si>
    <t>ADOLFO SUGASTI NUM. 298</t>
  </si>
  <si>
    <t>ASUNCION JIMENEZ RAMIREZ</t>
  </si>
  <si>
    <t>CALLE 12 NUM. 1675</t>
  </si>
  <si>
    <t>VALERIANA SEGURA SUET</t>
  </si>
  <si>
    <t>FLOR DE LIS NUM. 659</t>
  </si>
  <si>
    <t>GERMAN HERNANDEZ FLORES</t>
  </si>
  <si>
    <t>LAS ROSAS S/N ESQUINA LUIS M.</t>
  </si>
  <si>
    <t>MARTHA CRISTINA FLORES ESPINOSA</t>
  </si>
  <si>
    <t>ZAPOTE MANZANA 65</t>
  </si>
  <si>
    <t>LUCYNDA CERVANTES MUðIZ</t>
  </si>
  <si>
    <t>ALFREDO ACEVEDO PALESTINO</t>
  </si>
  <si>
    <t>8 ORIENTE NUM. 10</t>
  </si>
  <si>
    <t>CONCEPCION RAMIREZ LEON</t>
  </si>
  <si>
    <t>PROLONGACION DE AVENIDA IGNACIO ZARAGOZA  S/N</t>
  </si>
  <si>
    <t>BERNARDITA EDUVIGES TABLILLA JIMENEZ</t>
  </si>
  <si>
    <t>CAMINO SECUNDARIO A LA PRIMARIA RAFAEL RAMIREZ</t>
  </si>
  <si>
    <t>GERMAN VICTOR MORALES HERNANDEZ</t>
  </si>
  <si>
    <t>BENITO JUAREZ S/N</t>
  </si>
  <si>
    <t>CARLOS ALBERTO GARCIA FERNANDEZ</t>
  </si>
  <si>
    <t>AVENIDA LAZARO CARDENAS S/N</t>
  </si>
  <si>
    <t>JUAN ENRIQUE CHAVEZ BAUTISTA</t>
  </si>
  <si>
    <t>AVENIDA MIGUEL HIDALGO ESQUINA JOSEFA ORTIZ DE DOMINGUEZ</t>
  </si>
  <si>
    <t>ROMULO IVAN CRUZ SANCHEZ</t>
  </si>
  <si>
    <t>REFORMA S/N</t>
  </si>
  <si>
    <t>FELICIANO HERNANDEZ RUIZ</t>
  </si>
  <si>
    <t>AGENCIA MUNICIPAL DE LA ESTANCIA</t>
  </si>
  <si>
    <t>HERIBERTO OMAR RAMIREZ HERNANDEZ</t>
  </si>
  <si>
    <t>JORGE VERA ROMAN</t>
  </si>
  <si>
    <t>CALOS ALBERTO FLORES MENDOZA</t>
  </si>
  <si>
    <t>PEDRO ZAVALETA DE LA LUZ</t>
  </si>
  <si>
    <t>JUNTO AL JARDIN DE NIÑOS BENITO JUAREZ</t>
  </si>
  <si>
    <t>NERI GABRIEL DIAZ VASQUEZ</t>
  </si>
  <si>
    <t>JUNTO A LA PRIMARIA</t>
  </si>
  <si>
    <t>FELIX FRANCISCO BARRADAS DOMINGUEZ</t>
  </si>
  <si>
    <t>CARLOS VAZQUEZ LUCAS</t>
  </si>
  <si>
    <t>BLANCA MARICELA MARTINEZ PEREZ</t>
  </si>
  <si>
    <t>CAMINO A PALO VERDE S/N</t>
  </si>
  <si>
    <t>MAGALY HERNANDEZ HERNANDEZ</t>
  </si>
  <si>
    <t>CARLOS ROSAS GASPAR</t>
  </si>
  <si>
    <t>MIGUEL HIDALGO S/N</t>
  </si>
  <si>
    <t>LETICIA VALENCIA BARRAGAN</t>
  </si>
  <si>
    <t>MERCEDES REYES MENDEZ</t>
  </si>
  <si>
    <t>AVENIDA INDEPENDENCIA S/N</t>
  </si>
  <si>
    <t>ROSA AURORA LEAL HERRERA</t>
  </si>
  <si>
    <t>10 DE MAYO</t>
  </si>
  <si>
    <t>MARCO ARTURO RODRIGUEZ AVILA</t>
  </si>
  <si>
    <t>5 DE MAYO LOTE 122</t>
  </si>
  <si>
    <t>VICTORIA ELSA TORRES GONZALEZ</t>
  </si>
  <si>
    <t>INDEPENDENCIA S/N</t>
  </si>
  <si>
    <t>IGNACIO VELAZQUEZ ENAMORADO</t>
  </si>
  <si>
    <t>CASTULO DELFIN LARA S/N</t>
  </si>
  <si>
    <t>ANA MARIA DE LOS ANGELES MARTINEZ ARAGO</t>
  </si>
  <si>
    <t>MELITON UTRERA RODRIGUEZ</t>
  </si>
  <si>
    <t>GREGORIO HERRERA GARCIA</t>
  </si>
  <si>
    <t>JUANA CRUZ VICENCIO</t>
  </si>
  <si>
    <t>ABRAHAM VAZQUEZ MARTINEZ</t>
  </si>
  <si>
    <t>MARIA DE LA CRUZ SANCHEZ GARCIA</t>
  </si>
  <si>
    <t>FRENTE AL PARQUE</t>
  </si>
  <si>
    <t>MARGARITA CORDOVA TAMAYO</t>
  </si>
  <si>
    <t>MARINA BELEN CORTES HERNANDEZ</t>
  </si>
  <si>
    <t>JOSE LINO DE LA FUENTE PERALTA</t>
  </si>
  <si>
    <t>JOSE MANUEL MORENO PEÐA</t>
  </si>
  <si>
    <t>RENE HERNANDEZ CORRO</t>
  </si>
  <si>
    <t>ADRIAN MACARIO GAMBOA CERVANTES</t>
  </si>
  <si>
    <t>PROGRESO NUM. 4</t>
  </si>
  <si>
    <t>IGNACIO BERNAL</t>
  </si>
  <si>
    <t>FRENTE A LA CLINICA DEL IMSS</t>
  </si>
  <si>
    <t>YADIRA DELGADO SALVADOR</t>
  </si>
  <si>
    <t>TANIA MARIA HERNANDEZ VARGAS</t>
  </si>
  <si>
    <t>CARRETERA FEDERAL DEL GOLFO</t>
  </si>
  <si>
    <t>REYNALDA CRUZ PALAFOX</t>
  </si>
  <si>
    <t>ARMANDO SEBA PEREZ</t>
  </si>
  <si>
    <t>JOSE MARIA MORELOS Y PAVON S/N ESQUINA HILARIO C. SALAS</t>
  </si>
  <si>
    <t>RODOLFO SEBA QUINO</t>
  </si>
  <si>
    <t>20 DE NOVIEMBRE S/N</t>
  </si>
  <si>
    <t>EDGAR RUBEN ESCOBAR ARTIGAS</t>
  </si>
  <si>
    <t>CONOCIDO FRENTE A LA CLINICA IMSS</t>
  </si>
  <si>
    <t>ALMA CHRISTHIAN MONTERO AMADOR</t>
  </si>
  <si>
    <t>CARRETERA A COMOAPAN 751</t>
  </si>
  <si>
    <t>ESTEBAN PALACIOS CRUZ</t>
  </si>
  <si>
    <t>CONOCIDO JUNTO A LA CASA DE SALUD</t>
  </si>
  <si>
    <t>LEOVANI GERVACIO BUSTAMANTE HERNANDEZ</t>
  </si>
  <si>
    <t>CONOCIDO JUNTO AL CAMPO DE FUTBOL</t>
  </si>
  <si>
    <t>ANDRES ISAIAS SANTIAGO CASTAÐEDA</t>
  </si>
  <si>
    <t>CONOCIDO AL LADO DEL CAMPO</t>
  </si>
  <si>
    <t>SUSANA AGUILAR ALVAREZ</t>
  </si>
  <si>
    <t>CONOCIDO CERCA DE LA MICESLANEA GAVI</t>
  </si>
  <si>
    <t>LINA SILVIA CELJIL MIL</t>
  </si>
  <si>
    <t>CONOCIDO ENTRANDO A LA COMUNIDAD</t>
  </si>
  <si>
    <t>MARIA ELENA AGUAS MORENO</t>
  </si>
  <si>
    <t>ATRAS DEL MODULO DE POLICIA</t>
  </si>
  <si>
    <t>MANUEL CRUZ ALBAðIL</t>
  </si>
  <si>
    <t>RODOLFO ALFONSO HERNANDEZ RAMIREZ</t>
  </si>
  <si>
    <t>GABRIEL REYNA GUERRERO</t>
  </si>
  <si>
    <t>ELVIRA AZUARA SANCHEZ</t>
  </si>
  <si>
    <t>CARRETERA TANTOYUCA-PLATON SANCHEZ KILOMETRO 8</t>
  </si>
  <si>
    <t>REYNA GUERRERO GABRIEL</t>
  </si>
  <si>
    <t>CLEMENTINA HERVER ESCOBAR</t>
  </si>
  <si>
    <t>FRENTE A LA PRIMARIA</t>
  </si>
  <si>
    <t>LIBRADO PEREZ MORALES</t>
  </si>
  <si>
    <t>RODOLFO ALFONSO RAMIREZ</t>
  </si>
  <si>
    <t>JAIME ERNESTO DEL ANGEL CASTILLO</t>
  </si>
  <si>
    <t>AL LADO DE LA CONASUPO</t>
  </si>
  <si>
    <t>GRACIELA MATEOS MELGOZA</t>
  </si>
  <si>
    <t>CARRETERA NACIONAL MEXICO, TUXPAN, TAMPICO KILOMETRO 83</t>
  </si>
  <si>
    <t>CARLOS RODRIGUEZ HERNANDEZ</t>
  </si>
  <si>
    <t>EPIFANIO CRUZ HERNANDEZ</t>
  </si>
  <si>
    <t>BARRENCHEA CRUZ FAUSTA</t>
  </si>
  <si>
    <t>JORGE LUIS OLMEDO GARCIA</t>
  </si>
  <si>
    <t>KARLA CRISTY LARA ARGUELLES</t>
  </si>
  <si>
    <t>JESUS MANUEL VARON PERUSQUIA</t>
  </si>
  <si>
    <t>MARTHA ELENA CASTELLANOS RODRIGUEZ</t>
  </si>
  <si>
    <t>CARRETERA SAN NICOLAS-COYOLES KILOMETRO 3</t>
  </si>
  <si>
    <t>ESTELA GUERRERO GONZALEZ</t>
  </si>
  <si>
    <t>4 DE ENERO S/N</t>
  </si>
  <si>
    <t>MARIA DEL ROSARIO CRUZ TREVIÑO</t>
  </si>
  <si>
    <t>CONOCIDO CARRETERA POZA RICA-BARRA DE CAZONES</t>
  </si>
  <si>
    <t>BASILIO RODRIGUEZ ANZURES</t>
  </si>
  <si>
    <t>AGUSTIN BAUZA DEL MAZO</t>
  </si>
  <si>
    <t>LUIS ECHEVERRIA ALVAREZ S/N</t>
  </si>
  <si>
    <t>SUSANA GARCIA MARTINEZ</t>
  </si>
  <si>
    <t>MIGUEL ANGEL REDONDO PADILLA</t>
  </si>
  <si>
    <t>HECTOR LEONEL FLORES LARA</t>
  </si>
  <si>
    <t>ELSA GAYTAN ROSALES</t>
  </si>
  <si>
    <t>VERACRUZ ESQUINA BENITO JUAREZ</t>
  </si>
  <si>
    <t>JOSEFA CABALLERO ORTIZ</t>
  </si>
  <si>
    <t>COLONIA INFONAVIT</t>
  </si>
  <si>
    <t>HORACIO ASSAEL DEL MAZO JUAREZ</t>
  </si>
  <si>
    <t>CERCA CLINICA COPLAMAR</t>
  </si>
  <si>
    <t>FACUNDO BARRIENTOS NARVAEZ</t>
  </si>
  <si>
    <t>AVENIDA DEL ESTUDIANTE S/N</t>
  </si>
  <si>
    <t>JOSE ANTONIO GAYTAN ROSALES</t>
  </si>
  <si>
    <t>LUIS ECHEVERRIA S/N</t>
  </si>
  <si>
    <t>ANTONIO MODESTO JIMENEZ</t>
  </si>
  <si>
    <t>RAMON LOPEZ VELARDE S/N</t>
  </si>
  <si>
    <t>SARA HERNANDEZ HERNANDEZ</t>
  </si>
  <si>
    <t>COLONIA VILLA DE LAS FLORES</t>
  </si>
  <si>
    <t>ELIZABETH HIGAREDA CASANOVA</t>
  </si>
  <si>
    <t>ANTIGUO CAMPO DE AVIACION</t>
  </si>
  <si>
    <t>GUADALUPE VICTORIA S/N</t>
  </si>
  <si>
    <t>CALLE EJIDAL</t>
  </si>
  <si>
    <t>PROFR. ALFONSO ARROYO FLORES S/N</t>
  </si>
  <si>
    <t>JUVENTUD S/N</t>
  </si>
  <si>
    <t>VICENTE GUERRERO S/N</t>
  </si>
  <si>
    <t>MANUEL OMAR DIAZ ORTEGA</t>
  </si>
  <si>
    <t>EMILIANO ZAPATA NUM. 12</t>
  </si>
  <si>
    <t>NIÑOS HEROES S/N</t>
  </si>
  <si>
    <t>MINA S/N</t>
  </si>
  <si>
    <t>HERMENEGILDO BALDEMAR GONZALEZ GARCIA</t>
  </si>
  <si>
    <t>ALBERTO AMADEO CERVANTES PEREZ</t>
  </si>
  <si>
    <t>CALLEJON SANTA CRUZ</t>
  </si>
  <si>
    <t>ENRIQUE MARIN SIMON</t>
  </si>
  <si>
    <t>MARTIN SOLIS GARCIA</t>
  </si>
  <si>
    <t>PRINCIPAL S/N</t>
  </si>
  <si>
    <t>AVENIDA PRINCIPAL SIN NUMERO</t>
  </si>
  <si>
    <t>JUVENTUD ESQUINA MADERO</t>
  </si>
  <si>
    <t>VICTOR HUGO AGUILERA LUNA</t>
  </si>
  <si>
    <t>WENCESLAO MARTINEZ VAZQUEZ</t>
  </si>
  <si>
    <t>JUNTO AL KINDER</t>
  </si>
  <si>
    <t>ESPERANZA BONILLA PEðA</t>
  </si>
  <si>
    <t>JUNTO AL AUDITORIO MUNICIPAL</t>
  </si>
  <si>
    <t>ZOIRE LETICIA HERRERA GARCIA</t>
  </si>
  <si>
    <t>MARTIN ALEJANDRO SANCHEZ HERRERA</t>
  </si>
  <si>
    <t>JUNTO AL TELEBACHILLERATO</t>
  </si>
  <si>
    <t>REYES GRAGEDA MONTES</t>
  </si>
  <si>
    <t>POR LA ESCUELA PRIMARIA</t>
  </si>
  <si>
    <t>JAVIER MORGADO CALLEJAS</t>
  </si>
  <si>
    <t>MEDANOS S/N</t>
  </si>
  <si>
    <t>JOEL AGUILERA LUNA</t>
  </si>
  <si>
    <t>JUNTO AL CAMPO DE FUTBOL</t>
  </si>
  <si>
    <t>ADAN CRODA LEON</t>
  </si>
  <si>
    <t>POR LA CASETA TELEFONICA</t>
  </si>
  <si>
    <t>JACINTO HERNANDEZ Y HERNANDEZ</t>
  </si>
  <si>
    <t>FRENTE A LA IGLESIA</t>
  </si>
  <si>
    <t>ANDRES RAMIREZ PEREZ</t>
  </si>
  <si>
    <t>ERNESTO MEUNIER VAZQUEZ</t>
  </si>
  <si>
    <t>AVENIDA CONSTITUYENTES S/N</t>
  </si>
  <si>
    <t>MARINA GOMEZ REYNOSO</t>
  </si>
  <si>
    <t>REVOLUCION NUM. 37</t>
  </si>
  <si>
    <t>RODOLFO TIRADO LOPEZ</t>
  </si>
  <si>
    <t>JOSE ALEJANDRO RAMIREZ MORGADO</t>
  </si>
  <si>
    <t>CAMILO SEDANO CONTRERAS</t>
  </si>
  <si>
    <t>JUNTO A LA CASETA TELEFONICA</t>
  </si>
  <si>
    <t>MONICA K. GRANADOS SANTA MARIA</t>
  </si>
  <si>
    <t>COLONIA VICENTE GUERRERO</t>
  </si>
  <si>
    <t>DELIA JUANA PEREZ BUJAN</t>
  </si>
  <si>
    <t>GLORIA SANDOVAL SERAFIN</t>
  </si>
  <si>
    <t>DIMAS IGNACIO SALINAS MARTINEZ</t>
  </si>
  <si>
    <t>MARIA LOPEZ MARTINEZ</t>
  </si>
  <si>
    <t>BERTOLDINA TEJEDA PEÐA</t>
  </si>
  <si>
    <t>VICENTE GUERRERO NUM. 14</t>
  </si>
  <si>
    <t>CESAR MANUEL VILLALOBOS ARMENTA</t>
  </si>
  <si>
    <t>DARIO CRUZ MARTINEZ</t>
  </si>
  <si>
    <t>GLORIA ESTELA CARMEN ROJAS RAMIREZ</t>
  </si>
  <si>
    <t>LYDIA YAZMIN BANDALA GONZALEZ</t>
  </si>
  <si>
    <t>DOLORES HERNANDEZ PEREZ</t>
  </si>
  <si>
    <t>NORMA ANGELICA MARTINEZ TIBURCIO</t>
  </si>
  <si>
    <t>RAUL GONZALEZ BENITEZ</t>
  </si>
  <si>
    <t>JUNTO AL AGOSTADERO</t>
  </si>
  <si>
    <t>GERMAN HERNANDEZ SUAREZ</t>
  </si>
  <si>
    <t>JOSE ANTONIO DE LA ROSA GONZALEZ</t>
  </si>
  <si>
    <t>GUILLERMO MENDEZ GOMEZ</t>
  </si>
  <si>
    <t>MERCEDES SANCHEZ SEVILLA</t>
  </si>
  <si>
    <t>AVENIDA GUADALUPE VICTORIA</t>
  </si>
  <si>
    <t>JOSE JOAQUIN TOLEDANOSANCHEZ</t>
  </si>
  <si>
    <t>JOSE CUEVAS Y JIMENEZ</t>
  </si>
  <si>
    <t>EMILIANO ZAPATA NUM. 80</t>
  </si>
  <si>
    <t>LUCIA GUERRERO ORDUÐA</t>
  </si>
  <si>
    <t>VENUSTIANO CARRANZA Y ALDAMA</t>
  </si>
  <si>
    <t>GREGORIO ASCAðO TORRES</t>
  </si>
  <si>
    <t>ROSA ELENA CAICEROS Y MARIN</t>
  </si>
  <si>
    <t>EDITH ZAYAS Y HERNANDEZ</t>
  </si>
  <si>
    <t>DANIEL BUSTOS ADRIAN</t>
  </si>
  <si>
    <t>YOLANDA CARRERA PEREZ</t>
  </si>
  <si>
    <t>RUBEN MENDEZ TORRES</t>
  </si>
  <si>
    <t>NARCISO CHACON HERNANDEZ</t>
  </si>
  <si>
    <t>JUNTO A LA CLINICA</t>
  </si>
  <si>
    <t>ALBERTINA ALEJO MARTINEZ</t>
  </si>
  <si>
    <t>SIXTO BORJAS Y DE LOS SANTOS</t>
  </si>
  <si>
    <t>CINCO DE MAYO Y 16 DE SEPTIEMBRE</t>
  </si>
  <si>
    <t>CONCEPCION CARDENAS</t>
  </si>
  <si>
    <t>ASUNCION GUZMAN AVILA</t>
  </si>
  <si>
    <t>LA TOMA</t>
  </si>
  <si>
    <t>LUZ AURORA BANDALA Y LEON</t>
  </si>
  <si>
    <t>CIRILO ACOSTA TOTOMOL</t>
  </si>
  <si>
    <t>VERONICA GUADALUPE VAZQUEZ GALVAN</t>
  </si>
  <si>
    <t>LILIANA GUADALUPE MARTINEZ BUBANDEL</t>
  </si>
  <si>
    <t>MOISES GUMERCINDO AGUILAR</t>
  </si>
  <si>
    <t>ARMANDO JULIAN JUSTO</t>
  </si>
  <si>
    <t>ALBERTO LARA MENDEZ</t>
  </si>
  <si>
    <t>CECILIO GONZALEZ MARIN</t>
  </si>
  <si>
    <t>CALLE DEL NOGAL NUM. 1</t>
  </si>
  <si>
    <t>MARIA NOSTROZA MESTIZA</t>
  </si>
  <si>
    <t>MIGUEL ALEMAN S/N</t>
  </si>
  <si>
    <t>JOSE RODOLFO ARTEAGA LOZANO</t>
  </si>
  <si>
    <t>ALFONSO RAMIREZ PORTILLA</t>
  </si>
  <si>
    <t>ARTURO GARCIA SALAZAR</t>
  </si>
  <si>
    <t>ISAMEL RENE HERNANDEZ ABURTO</t>
  </si>
  <si>
    <t>JOSE BENITO MOTA MONFIL</t>
  </si>
  <si>
    <t>MARIA CRISTINA HERNANDEZ GTEZ.</t>
  </si>
  <si>
    <t>JOSE IRAM VIVEROS SANCHEZ</t>
  </si>
  <si>
    <t>MARIA CLOTILDE RAMON VAZQUEZ</t>
  </si>
  <si>
    <t>ALFONSO REYES NUM. 1</t>
  </si>
  <si>
    <t>MIGUEL PEREZ MELCHOR</t>
  </si>
  <si>
    <t>NOEL RIVERA FLORES</t>
  </si>
  <si>
    <t>ARIADNA LIZBETH MONTES ORTEGA</t>
  </si>
  <si>
    <t>MIGUEL GARCIA Y JIMENEZ</t>
  </si>
  <si>
    <t>MA. DE LOS ANGELES ALEJANDRE TREJO</t>
  </si>
  <si>
    <t>KARINA IVETTE BOYAIN LUNA</t>
  </si>
  <si>
    <t>CAMILO RIVERA LOPEZ</t>
  </si>
  <si>
    <t>JAQUELIN SANDOVAL OLIVARES</t>
  </si>
  <si>
    <t>ORILLA DE CARRETERA</t>
  </si>
  <si>
    <t>VERONICA CABRERA MORENO</t>
  </si>
  <si>
    <t>AVENIDA 5 Y CALLE 5 SUR NUM. 304</t>
  </si>
  <si>
    <t>JOSE LUIS GASPERIN MINA</t>
  </si>
  <si>
    <t>GEMMA SOLIS LOYO</t>
  </si>
  <si>
    <t>ROBERTO SOSA SARABIA</t>
  </si>
  <si>
    <t>ORILLA DE CARRETERA S/N</t>
  </si>
  <si>
    <t>LEONARDO GUTIERREZ ORTIZ</t>
  </si>
  <si>
    <t>CLARA LUZ MONROY BERZUNZA</t>
  </si>
  <si>
    <t>CONSTANZA MAGDALENA PINO GARCIA</t>
  </si>
  <si>
    <t>ORILLA DEL CAMINO REAL S/N</t>
  </si>
  <si>
    <t>LAURA NALLELY LOPEZ DELGADO</t>
  </si>
  <si>
    <t>FLOR JUDITH HERRERA CASTRO</t>
  </si>
  <si>
    <t>GREGORIO HERNANDEZ PRADO</t>
  </si>
  <si>
    <t>MARIA EUFEMIA CUACUA ARGUELLO</t>
  </si>
  <si>
    <t>VICTORIA DEYANIRA LUNA LOPEZ</t>
  </si>
  <si>
    <t>ALFONSO MONTAðO RUIZ</t>
  </si>
  <si>
    <t>AMADA LOPEZ TAPIA</t>
  </si>
  <si>
    <t>C0NOCIDO</t>
  </si>
  <si>
    <t>BALTAZAR ZARATE CONTRERAS</t>
  </si>
  <si>
    <t>MAYRA GUADALUPE ZARATE LOPEZ</t>
  </si>
  <si>
    <t>JUAN DE LA LUZ ENRIQUEZ S/N</t>
  </si>
  <si>
    <t>CIRANO SALGADO DIAZ</t>
  </si>
  <si>
    <t>ROMAN FONZALEZ ARIZMENDI</t>
  </si>
  <si>
    <t>VERONICA HERNANDEZ GONZALEZ</t>
  </si>
  <si>
    <t>CERCA PARCELA ESCOLAR DE ESCUELA PRIMARIA</t>
  </si>
  <si>
    <t>JOSE SANCHEZ TORRES</t>
  </si>
  <si>
    <t>DENISSE CANCINO DEL RIO</t>
  </si>
  <si>
    <t>CERCA DEL JARDIN DE NIÑOS Y DE ESCUELA PRIMARIA</t>
  </si>
  <si>
    <t>FELICITAS M. DEL R. GALIA CORTES</t>
  </si>
  <si>
    <t>CARRETERA FED. CORDOBA-VER. KILOMETRO8.1</t>
  </si>
  <si>
    <t>ELOISA MARTINEZ ZAMORA</t>
  </si>
  <si>
    <t>EN EL SALON SOCIAL, CERCA DE LA ESC. PRIM. FRANCISCO M. DE LA LLAVE</t>
  </si>
  <si>
    <t>LESLY GARCIA CABRERA</t>
  </si>
  <si>
    <t>ALVARO GALVEZ Y FUENTES S/N</t>
  </si>
  <si>
    <t>ROBERTO S. PEREZ GRANADOS</t>
  </si>
  <si>
    <t>MARIA SARA MORALES SANTIAGO</t>
  </si>
  <si>
    <t>GERANIO S/N</t>
  </si>
  <si>
    <t>REYNA RESCALVO BALLONA</t>
  </si>
  <si>
    <t>CASA DEL CAMPESINO</t>
  </si>
  <si>
    <t>ROCIO LARA GODOS</t>
  </si>
  <si>
    <t>CERCA DE LA S.S.A. Y DEL BENEFICIO DEL CAFE</t>
  </si>
  <si>
    <t>JUAN CARLOS MENDEZ</t>
  </si>
  <si>
    <t>AVENIDA PONIENTE 2 S/N</t>
  </si>
  <si>
    <t>MARIANA CORTES GUZMAN</t>
  </si>
  <si>
    <t>CONOCIDO EN LA ESCUELA PRIMARIA BELISARIO DOMINGUEZ</t>
  </si>
  <si>
    <t>ROSALBA MARTINEZ GONZALEZ</t>
  </si>
  <si>
    <t>CAMINO PRINCIPAL S/N (CASA DEL CAMPESINO)</t>
  </si>
  <si>
    <t>JENNY RIVERA MORALES</t>
  </si>
  <si>
    <t>MATEO CASTILLO FERNANDEZ</t>
  </si>
  <si>
    <t>ALBERTO ALARCON HERNANDEZ</t>
  </si>
  <si>
    <t>AVENIDA 25 NUM. 521</t>
  </si>
  <si>
    <t>EULOGIO PEREZ JERONIMO</t>
  </si>
  <si>
    <t>AVENIDA BUENOS AIRES S/N</t>
  </si>
  <si>
    <t>JULIAN FRANCO CHARGOY</t>
  </si>
  <si>
    <t>JAVIER MARTINEZ BOCANEGRA</t>
  </si>
  <si>
    <t>FRENTE A LA CASA DEL CAMPESINO</t>
  </si>
  <si>
    <t>EMMA RESCALVO BALLONA</t>
  </si>
  <si>
    <t>CERCA DEL JARDIN DE NIÑOS</t>
  </si>
  <si>
    <t>ANA LILIA RAMIREZ TREJO</t>
  </si>
  <si>
    <t>AVENIDA UNO (CASA DEL CAMPESINO)</t>
  </si>
  <si>
    <t>CERCA DE ESCUELA PRIMARIA</t>
  </si>
  <si>
    <t>MARIA DE LA LUZ BRIONES REYES</t>
  </si>
  <si>
    <t>CALLE DEL OLVIDO S/N</t>
  </si>
  <si>
    <t>LEONCIO GUZMAN REYES</t>
  </si>
  <si>
    <t>SILVIA ISABEL GAONA HERNANDEZ</t>
  </si>
  <si>
    <t>CERCA DE PARCELA ESCOLAR DE ESCUELA PRIMARIA</t>
  </si>
  <si>
    <t>MARTIN VICENTE HERNANDEZ</t>
  </si>
  <si>
    <t>CERCA DE EX-HACIENDA DE LA CONCEPCION</t>
  </si>
  <si>
    <t>MARIA DEL ROSARIO DOMINGUEZ VAZQUEZ</t>
  </si>
  <si>
    <t>AVENIDA 2 NUM. 15</t>
  </si>
  <si>
    <t>MATILDE VAZQUEZ BARRADAS</t>
  </si>
  <si>
    <t>SALOME VERDEJO RODRIGUEZ</t>
  </si>
  <si>
    <t>VICENTE GUERRERO NUM. 125</t>
  </si>
  <si>
    <t>VICENTE LARA MORGADO</t>
  </si>
  <si>
    <t>ADAN GONZALEZ LOPEZ</t>
  </si>
  <si>
    <t>JOEL HUERTA ROJAS</t>
  </si>
  <si>
    <t>CARRETERA CARDEL-CHACHALACAS KILOMETRO 1</t>
  </si>
  <si>
    <t>FRANCO VAZQUEZ RAMIREZ</t>
  </si>
  <si>
    <t>URSULO GALVAN S/N</t>
  </si>
  <si>
    <t>PEDRO IXBA TOTO</t>
  </si>
  <si>
    <t>JOSEFINA CUELLAR PAZARAN</t>
  </si>
  <si>
    <t>AVENIDA ADOLFO LOPEZ MATEOS S/N</t>
  </si>
  <si>
    <t>FLORENCIO PARRA VAZQUEZ</t>
  </si>
  <si>
    <t>16 DE SEPTIEMBRE NUM. 8</t>
  </si>
  <si>
    <t>IRENE LEON SANTOS</t>
  </si>
  <si>
    <t>SAMUEL MORENO BASTIAN</t>
  </si>
  <si>
    <t>LEONARDA DOMINGO SANTIAGO</t>
  </si>
  <si>
    <t>ANA LILA AGUIRRE HERNANDEZ</t>
  </si>
  <si>
    <t>CALZADA MEDICO Y CORONEL FRANCISCO TALAVERA</t>
  </si>
  <si>
    <t>JESUS R. CHAZZARINI RAMIREZ</t>
  </si>
  <si>
    <t>CONOCIDO CERCA DEL CAMPO DE FUTBOL</t>
  </si>
  <si>
    <t>ALMA LUZ VAZQUEZ HERNANDEZ</t>
  </si>
  <si>
    <t>HERALDO S/N</t>
  </si>
  <si>
    <t>JAIME TERAN Y RAMOS</t>
  </si>
  <si>
    <t>CONOCIDO ENTRE JARDIN DE NIÑOS Y LA TIENDA DEL PUEBLO</t>
  </si>
  <si>
    <t>GIZET GARCIA GONZALEZ</t>
  </si>
  <si>
    <t>CONOCIDO FRENTE AL JARDIN DE NIÑOS</t>
  </si>
  <si>
    <t>FLORA ANTONIA ROGEL FUENTES</t>
  </si>
  <si>
    <t>CONOCIDO EN LA LOMA JUNTO AL KINDER</t>
  </si>
  <si>
    <t>DOMINGO SANCHEZ CALLEJAS</t>
  </si>
  <si>
    <t>FRANCISCO VILLA NUM. 3</t>
  </si>
  <si>
    <t>EUDOXIA BELINDA PERE LOPEZ</t>
  </si>
  <si>
    <t>HEROISMO ENTRE MURILLO Y URBINA</t>
  </si>
  <si>
    <t>NICOLAS LOEZA MORA</t>
  </si>
  <si>
    <t>TEMPOAL NUM. 18</t>
  </si>
  <si>
    <t>LUCILA ESPINOSA CAMPOMANES</t>
  </si>
  <si>
    <t>INDEPENDENCIA S/N JUNTO A LA BODEGA AGROPECUARIA</t>
  </si>
  <si>
    <t>FELIX BOJORQUEZ ROJAS</t>
  </si>
  <si>
    <t>CALLE 5 ESQUINA CALLE 4</t>
  </si>
  <si>
    <t>COMALCALCO S/N ESQUINA CHOLULA</t>
  </si>
  <si>
    <t>PORFIRIA DIAZ REYES</t>
  </si>
  <si>
    <t>AMADO NERVO NUM. 96</t>
  </si>
  <si>
    <t>ENOHEMA FERNANDEZ FIGUEROA</t>
  </si>
  <si>
    <t>PEDRO ANTONIO MOLINA LEYVA</t>
  </si>
  <si>
    <t>BRENDA NIKOY ORTIZ MARTINEZ</t>
  </si>
  <si>
    <t>MARCIANO MATILDE ESCAMILLA</t>
  </si>
  <si>
    <t>DETRAS DEL CAMPO DE FUTBOL</t>
  </si>
  <si>
    <t>OSCAR CHAVEZ LOPEZ</t>
  </si>
  <si>
    <t>MARIA ESTELA PALACIOS VILLEGAS</t>
  </si>
  <si>
    <t>PROLONGACION VIA SAN GABRIEL NUM. 1808</t>
  </si>
  <si>
    <t>FELIX PEREZ GARCIA</t>
  </si>
  <si>
    <t>CONOCIDO CALLE PRINCIPAL</t>
  </si>
  <si>
    <t>SANTOS GUTIERREZ ZARATE</t>
  </si>
  <si>
    <t>12 DE OCTUBRE S/N</t>
  </si>
  <si>
    <t>RUTH EUGENIO REYES</t>
  </si>
  <si>
    <t>FRENTE AL TELEBACHILLERATO</t>
  </si>
  <si>
    <t>GRISELDA ELISA CANO TOVILLA</t>
  </si>
  <si>
    <t>CARRETERA FED. COSAMALOAPAN-CD. ALEMAN KILOMETRO 22</t>
  </si>
  <si>
    <t>RAFEL SANCHEZ RIVERA</t>
  </si>
  <si>
    <t>JUNTO AL JARDIN DE NIÑOS</t>
  </si>
  <si>
    <t>IVON LORENA RUIZ ROSAS</t>
  </si>
  <si>
    <t>FLOR MARIA MARTINEZ PEREZ</t>
  </si>
  <si>
    <t>FRENTE A LA AGENCIA MUNICIPAL</t>
  </si>
  <si>
    <t>GUADALUPE PRADO ROSALES</t>
  </si>
  <si>
    <t>BOULEVARD MIGUEL ALEMAN S/N</t>
  </si>
  <si>
    <t>FRANCISCO RAMON HERNANDEZ</t>
  </si>
  <si>
    <t>FRENTE AL TEMPLO EVANGELICO</t>
  </si>
  <si>
    <t>ARNULFO AGUILERA MUÑOZ</t>
  </si>
  <si>
    <t>PRIMITIVO R. VALENCIA NUM. 1</t>
  </si>
  <si>
    <t>GUADALUPE LARA MEZA</t>
  </si>
  <si>
    <t>JOSE LUIS AGUILAR RIVERA</t>
  </si>
  <si>
    <t>CONOCIDO JUNTO AL CAMPO DEPORTIVO</t>
  </si>
  <si>
    <t>ROSA USCANGA CARVAJAL</t>
  </si>
  <si>
    <t>ROSA DEL CARMEN ANDRADE FOMPEROSA</t>
  </si>
  <si>
    <t>SONIA HERNANDEZ RODRIGUEZ</t>
  </si>
  <si>
    <t>JUNTO A LA IGLESIA CATOLICA</t>
  </si>
  <si>
    <t>DEMETRIO SERRANO SAAVEDRA</t>
  </si>
  <si>
    <t>MIGUELANGEL ANDRADE FOMPEROSA</t>
  </si>
  <si>
    <t>16 DE SEPTIEMBRE S/N</t>
  </si>
  <si>
    <t>ANGELA ISABEL AGUILAR BARROSO</t>
  </si>
  <si>
    <t>CONSTITUCION NUM. 12</t>
  </si>
  <si>
    <t>EDGARDO VERA HERNANDEZ</t>
  </si>
  <si>
    <t>PRINCIPAL (COMISARIADO EJIDAL)</t>
  </si>
  <si>
    <t>SILVIA DIAZ ROMAN</t>
  </si>
  <si>
    <t>AVENIDA MAGISTERIO NUM. 14</t>
  </si>
  <si>
    <t>FREDY ANDRADE ZAPOTL</t>
  </si>
  <si>
    <t>ANDADOR INGENIO EL POTRERO S/N</t>
  </si>
  <si>
    <t>BEATRIZ AMPARO TORRES RANGEL</t>
  </si>
  <si>
    <t>CARRETERA FEDERAL</t>
  </si>
  <si>
    <t>FRANCO ADRIANA VIRGINIA</t>
  </si>
  <si>
    <t>INDEPENDENCIA NUM. 100</t>
  </si>
  <si>
    <t>EFIGENIO HUERTA RODRIGUEZ</t>
  </si>
  <si>
    <t>VALENTIN MONTALVO NARANJO</t>
  </si>
  <si>
    <t>DORIS LOYO RESYES</t>
  </si>
  <si>
    <t>TERESA DE JESUS MARTINEZ AMBROSIO</t>
  </si>
  <si>
    <t>EJIDO S/N</t>
  </si>
  <si>
    <t>GENOVEVA MARTINEZ MIGUEL</t>
  </si>
  <si>
    <t>SERGIO VELAZQUEZ CUEVAS</t>
  </si>
  <si>
    <t>FLOR ALICIA ESLAVA RODRIGUEZ</t>
  </si>
  <si>
    <t>CAMINO A ZAPOTAL ESQUINA ORIZABA</t>
  </si>
  <si>
    <t>ELVIRA NAVARRETE CASTILLO</t>
  </si>
  <si>
    <t>JUAN RANULFO EUSEBIO CORTES</t>
  </si>
  <si>
    <t>MARIA ANTONIA CALLEJAS PESTAðA</t>
  </si>
  <si>
    <t>LUZ BELINDA MARTINEZ LOPEZ</t>
  </si>
  <si>
    <t>BLANCA LIBIA HERNANDEZ MADRIGAL</t>
  </si>
  <si>
    <t>PEDRO PEREZ SOLIS</t>
  </si>
  <si>
    <t>CASA EJIDAL FRENTE A LA ESCUELA PRIMARIA</t>
  </si>
  <si>
    <t>IGNACIO BARRIOS Y PULIDO</t>
  </si>
  <si>
    <t>TEOFILA MARTINEZ ENRIQUEZ</t>
  </si>
  <si>
    <t>RENE GARCIA ORTEGA</t>
  </si>
  <si>
    <t>RUBEN SEGUNDO MORA</t>
  </si>
  <si>
    <t>ERIKA FERNANDEZ CABRERA</t>
  </si>
  <si>
    <t>FRANCISCO JAVIER CANELA VALDES</t>
  </si>
  <si>
    <t>PROLONGACION ENRIQUEZ S/N</t>
  </si>
  <si>
    <t>SAMUEL LIMON AGUILAR</t>
  </si>
  <si>
    <t>CONOCIDO ENTRADA PRINCIPAL</t>
  </si>
  <si>
    <t>GUILLERMO LOYDA CRUZ</t>
  </si>
  <si>
    <t>AMADO ANGEL LOYO</t>
  </si>
  <si>
    <t>JUNTO AL ALBERGUE ESCOLAR</t>
  </si>
  <si>
    <t>BULMARO CORTEZ ALEMAN</t>
  </si>
  <si>
    <t>CONOCIDO ENTRADA A LA COMUNIDAD</t>
  </si>
  <si>
    <t>LUZ MARIA CONSTANTINO RIOS</t>
  </si>
  <si>
    <t>GONZALEZ CABALLERO 2. JUNTO A CLINICA IMSS</t>
  </si>
  <si>
    <t>JESUS MANUEL MALDONADO ALFONSO</t>
  </si>
  <si>
    <t>BENITO JUAREZ NUM. 1</t>
  </si>
  <si>
    <t>PEDRO BALDERRAMA VALENCIA</t>
  </si>
  <si>
    <t>ALFONSO FELICIANO VITAL</t>
  </si>
  <si>
    <t>BELISARIO DOMINGUEZ S/N</t>
  </si>
  <si>
    <t>MARIA DEL CARMEN BASILIO GUTIERREZ</t>
  </si>
  <si>
    <t>CONOCIDO ENTRADA PRINCIPAL COMUNIDAD</t>
  </si>
  <si>
    <t>JOSEFA MARIA MARTINEZ CASTILLO</t>
  </si>
  <si>
    <t>JOSE ALBERTO MARTINEZ HERNANDEZ</t>
  </si>
  <si>
    <t>JUDITH RIVERA MARIN</t>
  </si>
  <si>
    <t>LORENZO ZAMUDIO LOYO</t>
  </si>
  <si>
    <t>2 DE ABRIL S/N</t>
  </si>
  <si>
    <t>VERONICA DEL SOCORRO NATERAS LOPEZ</t>
  </si>
  <si>
    <t>IGNACIO FRANCISCO ENRIQUEZ</t>
  </si>
  <si>
    <t>JOSE MARIA MORELOS Y PAVON S/N JUNTO AL JARDIN DE NIÑOS</t>
  </si>
  <si>
    <t>ANGEL ISRAEL MONTES DE OCA GALVAN</t>
  </si>
  <si>
    <t>JOSE MARIA MORELOS Y PAVON S/N ENTRADA PRINCIPAL A LA COMUNIDAD</t>
  </si>
  <si>
    <t>ROBERTO CASTILLEJOS CASTANEIRA</t>
  </si>
  <si>
    <t>ARISTA S/N JUNTO AL CEMENTERIO MUNICIPAL</t>
  </si>
  <si>
    <t>FRANCISCO ENRIQUE SALAZAR DEL MORAL</t>
  </si>
  <si>
    <t>VICTORIA AGUILERA ORTIZ</t>
  </si>
  <si>
    <t>FLORINDA INFANTE CRUZ</t>
  </si>
  <si>
    <t>VICENTE GUERRERO S/N JUNTO AL PARQUE</t>
  </si>
  <si>
    <t>CARMEN BARRAGAN REYES</t>
  </si>
  <si>
    <t>CONOCIDO CAMINO A EL RUBI</t>
  </si>
  <si>
    <t>FELIX ALBERTO VALDES BARRAGAN</t>
  </si>
  <si>
    <t>CALLE HIDALGO</t>
  </si>
  <si>
    <t>LIUDMILE MARLENE NAVARRETE ESCALENTE</t>
  </si>
  <si>
    <t>CONOCIDO FRENTE A ESCUELA PRIMARIA</t>
  </si>
  <si>
    <t>VERONICA DEL S. NATERAS  LOPEZ</t>
  </si>
  <si>
    <t>ESQUINA</t>
  </si>
  <si>
    <t>ANDREA TORRES ESTRADA</t>
  </si>
  <si>
    <t>IGNACIO DE LA LLAVE NUM. 105</t>
  </si>
  <si>
    <t>BENITO GOMEZ MARTINEZ</t>
  </si>
  <si>
    <t>LIZBETH AVILA ORTEGON</t>
  </si>
  <si>
    <t>GABINO HERNANDEZ GARCIA</t>
  </si>
  <si>
    <t>CALLE 8 DE MAYO ESQUINA HILARIO C. SALAS</t>
  </si>
  <si>
    <t>IMELDA RAMIREZ CERVANTES</t>
  </si>
  <si>
    <t>CONSTITUCION ESQUINA VENUSTIANO CARRANZA</t>
  </si>
  <si>
    <t>FERNANDO JUAN ROSAS Y LEON</t>
  </si>
  <si>
    <t>RICARDO DIAZ MARTINEZ</t>
  </si>
  <si>
    <t>16 DE SEPTIEMBRE NUM. 132</t>
  </si>
  <si>
    <t>CANDIDO MARQUEZ CASTELLANO</t>
  </si>
  <si>
    <t>MANZANA NUM. 14 LOTE 1</t>
  </si>
  <si>
    <t>RITA MARIA MARTINEZ RAMIREZ</t>
  </si>
  <si>
    <t>GADIEL HERNANDEZ HIPOLITO</t>
  </si>
  <si>
    <t>MODESTA J. GALLARDO CABALLERO</t>
  </si>
  <si>
    <t>OMAR MENDOZA MIJANGOS</t>
  </si>
  <si>
    <t>SIXTO ALFREDO ARROYO MORALES</t>
  </si>
  <si>
    <t>LORENA CRUZ JIMENEZ</t>
  </si>
  <si>
    <t>MARCOS HERNANDEZ JACOME</t>
  </si>
  <si>
    <t>INES VEGA LOPEZ</t>
  </si>
  <si>
    <t>COLONIA PATRIA LIBRE</t>
  </si>
  <si>
    <t>MARIA ISABEL VILLAVICENCIO TORRES</t>
  </si>
  <si>
    <t>VICTOR MANUEL BLANQUET RUIZ</t>
  </si>
  <si>
    <t>CALLE LAZARO CARDENAS PRINCIPAL</t>
  </si>
  <si>
    <t>CARLOS DE JESUS RAGA CARMONA</t>
  </si>
  <si>
    <t>ISRAEL VERA CALLEJAS</t>
  </si>
  <si>
    <t>SIXTO GARCIA ESCOBAR</t>
  </si>
  <si>
    <t>JULIETA CHINCHURRETA HERNANDEZ</t>
  </si>
  <si>
    <t>MARIA DE LOS ANGELES TORRUCO SOTELO</t>
  </si>
  <si>
    <t>TAURINO MARTINEZ MEZA</t>
  </si>
  <si>
    <t>GUILLERMO MATEOS TORRES</t>
  </si>
  <si>
    <t>ERNESTO PEREZ RODRIGUEZ</t>
  </si>
  <si>
    <t>AVENIDA OBRERO MUNDIAL S/N</t>
  </si>
  <si>
    <t>BERNARDINA CASTAÑEDA REYES</t>
  </si>
  <si>
    <t>NORMA CRUZ DOLORES</t>
  </si>
  <si>
    <t>BRENDA ARLETH MELLADO ZUðIGA</t>
  </si>
  <si>
    <t>JAIR EDUARDO HERNANDEZ DIONICIO</t>
  </si>
  <si>
    <t>LETICIA ESCALANTE GONZALEZ</t>
  </si>
  <si>
    <t>CAMINO A LA CEIBA, JUNTO A LA ESCUELA PRIMARIA</t>
  </si>
  <si>
    <t>VIRGINIA NARCISO MATIAS</t>
  </si>
  <si>
    <t>ESQUINA MIGUEL HIDALGO Y REYES SANTIAGO</t>
  </si>
  <si>
    <t>MOISES FLORES SANTOS</t>
  </si>
  <si>
    <t>ISABEL NARCISO MATIAS</t>
  </si>
  <si>
    <t>JOSE LUIS VITE GALVAN</t>
  </si>
  <si>
    <t>ISAAC RUIZ ARELLANO</t>
  </si>
  <si>
    <t>VIRGINIA ELIZABETH CORDOBA ISLAS</t>
  </si>
  <si>
    <t>CORREGIDORA S/N</t>
  </si>
  <si>
    <t>ARMANDO GONZALEZ RAMOS</t>
  </si>
  <si>
    <t>FRANCISCO GONZALEZ BOCANEGRA NUM. 10</t>
  </si>
  <si>
    <t>VICTORIA GARCIA PEREZ</t>
  </si>
  <si>
    <t>ANABEL LICONA LOPEZ</t>
  </si>
  <si>
    <t>ALMA GUADALUPE BETANCOURT DEL ANGEL</t>
  </si>
  <si>
    <t>PABLO SOTELO ORTIZ</t>
  </si>
  <si>
    <t>JUVENIL S/N FRENTE AL CAMPO DEPORTIVO</t>
  </si>
  <si>
    <t>AQUILINA CRUZ SANTOS</t>
  </si>
  <si>
    <t>SILVIA ANASTASIO DE LA CRUZ</t>
  </si>
  <si>
    <t>BIANEY CRUZ RAMIREZ</t>
  </si>
  <si>
    <t>CALLE CUAUHTEMOC S/N</t>
  </si>
  <si>
    <t>MARIA DEL SOCORRO MENDEZ CARRILLO</t>
  </si>
  <si>
    <t>JUANA GUERRERO LUNA</t>
  </si>
  <si>
    <t>CARRETERA OZULUAMA-ALTO DEL TIGRE S/N</t>
  </si>
  <si>
    <t>RODOLFO MARTINEZ GASPAR</t>
  </si>
  <si>
    <t>AVENIDA ALEGRIA NUM. 19</t>
  </si>
  <si>
    <t>MONICA LEAL GONZALEZ</t>
  </si>
  <si>
    <t>ADELA ELIZABETH JUAREZ DEL ANGEL</t>
  </si>
  <si>
    <t>JOSE HERNANDEZ RAMIREZ</t>
  </si>
  <si>
    <t>CALLE INSURGENTES S/N</t>
  </si>
  <si>
    <t>CARINA LOPEZ SANTIAGO</t>
  </si>
  <si>
    <t>MARIA ALEJANDRA OLMEDO VAZQUEZ</t>
  </si>
  <si>
    <t>JONATHAN AMARO SAN ROMAN</t>
  </si>
  <si>
    <t>ELIZABETH NARCISO SANTOS</t>
  </si>
  <si>
    <t>CALLE LIC. ADOLFO LOPEZ MATEOS</t>
  </si>
  <si>
    <t>JOSSELINE SARAI BONILLA MARTINEZ</t>
  </si>
  <si>
    <t>AIDE ALMORA CASTAN</t>
  </si>
  <si>
    <t>ABAD BERMUDEZ BERNAL</t>
  </si>
  <si>
    <t>MINERVA CRUZ HERNANDEZ</t>
  </si>
  <si>
    <t>AGENCIA MUNICIPAL</t>
  </si>
  <si>
    <t>MARIA DEL PILAR BENITEZ MAR</t>
  </si>
  <si>
    <t>JESUS MANUEL CASADOS GONZALEZ</t>
  </si>
  <si>
    <t>JUNTO AL KINDER JOSEFINA BARRAGAN</t>
  </si>
  <si>
    <t>PRINCIPAL NUM. 213</t>
  </si>
  <si>
    <t>MARIA GUADALUPE BERRONES RIVERA</t>
  </si>
  <si>
    <t>PLAN DE AYUTLA S/N</t>
  </si>
  <si>
    <t>ENRIQUE AZUARA MORALES</t>
  </si>
  <si>
    <t>CONOCIDO FRENTE AL JARDIN DE NIÑOS GUADALUPE AMOR.</t>
  </si>
  <si>
    <t>CAMILO ANGEL BONILLA LOPEZ</t>
  </si>
  <si>
    <t>CAMPESINA ESQUINA CON 5 DE MAYO</t>
  </si>
  <si>
    <t>MARTHA SANTES DIEGO</t>
  </si>
  <si>
    <t>JUNTO A LA PRIMARIA MIGUEL HIDALGO</t>
  </si>
  <si>
    <t>ROQUE SAN MARTIN ZURITA</t>
  </si>
  <si>
    <t>JAVIER ARADILLAS PEREZ</t>
  </si>
  <si>
    <t>JUNTO AL KINDER GASPARA TREMARI DE FLORENTINI</t>
  </si>
  <si>
    <t>LUIS ARMANDO COBOS DOMINGUEZ</t>
  </si>
  <si>
    <t>AL FONDO DE LA CALLE PRINCIPAL</t>
  </si>
  <si>
    <t>PATRICIA ARANDA DIAZ</t>
  </si>
  <si>
    <t>FRENTE AL KINDER POR LA IGLESIA</t>
  </si>
  <si>
    <t>MARIA ANTONIA GUERRERO LOPEZ</t>
  </si>
  <si>
    <t>NORA IDALIA GAYTAN ROSALES</t>
  </si>
  <si>
    <t>RAFAEL CONTRERAS MARTINEZ</t>
  </si>
  <si>
    <t>EPIGMENIO GARCIA HERRERA</t>
  </si>
  <si>
    <t>AQUILES SERDAN S/N</t>
  </si>
  <si>
    <t>MAGALI GONZALEZ SALAZAR</t>
  </si>
  <si>
    <t>ARBOL TRISTE NUM. 103</t>
  </si>
  <si>
    <t>ESTEBAN MOLINA VALDIVIA</t>
  </si>
  <si>
    <t>JUNTO A LA CLINICA RURAL</t>
  </si>
  <si>
    <t>RENATO RUIZ SANCHEZ</t>
  </si>
  <si>
    <t>PINO SUAREZ S/N</t>
  </si>
  <si>
    <t>MARGARITA PEREZ GARCIA</t>
  </si>
  <si>
    <t>ARIEL LOPEZ GONZALEZ</t>
  </si>
  <si>
    <t>ENEDINA SANCHEZ MORALES</t>
  </si>
  <si>
    <t>AL FINAL DE LA CALLE UNO, ATRAS DE LA IGLESIA</t>
  </si>
  <si>
    <t>JUANA ESTELA NORIEGA PERALTA</t>
  </si>
  <si>
    <t>PEDRO MARTINEZ FERNANDEZ</t>
  </si>
  <si>
    <t>ESQUINA IGNACIO DE LA LLAVE Y VENUSTIANO CARRANZA S/N</t>
  </si>
  <si>
    <t>SIXTA PALACIOS CRUZ</t>
  </si>
  <si>
    <t>COLONIA GUADALUPE VICTORIA</t>
  </si>
  <si>
    <t>JUAN OLMEDO CRUZ</t>
  </si>
  <si>
    <t>MANZANA NUM. 5</t>
  </si>
  <si>
    <t>MARIA LUISA SANCHEZ HERNANDEZ</t>
  </si>
  <si>
    <t>JUAN JOSE PALACIO MARILES</t>
  </si>
  <si>
    <t>JUNTO A LA ESCUELA PRIMARIA JUAN ESCUTIA</t>
  </si>
  <si>
    <t>JUNTO A LA CASA DEL CAMPESINO</t>
  </si>
  <si>
    <t>JAVIER CARDENAS SANCHEZ</t>
  </si>
  <si>
    <t>PORFIRIO DIAZ S/N</t>
  </si>
  <si>
    <t>LEOCADIO HERNANDEZ GARCIA</t>
  </si>
  <si>
    <t>MARIA GUADALUPE SANCHEZ PALAFOX</t>
  </si>
  <si>
    <t>FRENTE AL COLEGIO DE BACHILLERES TECNOLOGICO AGROPECUARIO</t>
  </si>
  <si>
    <t>FRANCISCO JAVIER ALMORA TOLENTINO</t>
  </si>
  <si>
    <t>PAZ MARCIAL CARDENAS</t>
  </si>
  <si>
    <t>JUNTO A LA ESCUELA PRIMARIA</t>
  </si>
  <si>
    <t>EUGENIO GARCIA LOPEZ</t>
  </si>
  <si>
    <t>CALLE REVOLUCION S/N</t>
  </si>
  <si>
    <t>FRANCISCO ROSALES JIMENEZ</t>
  </si>
  <si>
    <t>ALLENDE Y JUAREZ S/N</t>
  </si>
  <si>
    <t>JUNTO AL ALBERGUE BILING▄E</t>
  </si>
  <si>
    <t>ELOISA MORENO GUTIEEREZ</t>
  </si>
  <si>
    <t>TOTONACAPAN S/N</t>
  </si>
  <si>
    <t>DANIEL ANDRADE HERNANDEZ</t>
  </si>
  <si>
    <t>CINCO DE MAYO S/N</t>
  </si>
  <si>
    <t>MELCHOR GARCIA ANDRES</t>
  </si>
  <si>
    <t>IGNACIO SOSA PEREZ</t>
  </si>
  <si>
    <t>JUNTO A LA CASA CAMPESINA</t>
  </si>
  <si>
    <t>ALEJANDRO GARCIA TREJO</t>
  </si>
  <si>
    <t>JUNTO A LA TIENDA COMUNITARIA</t>
  </si>
  <si>
    <t>RAFAEL GONZALEZ CORTES</t>
  </si>
  <si>
    <t>MARIO OLARTE RAMIREZ</t>
  </si>
  <si>
    <t>COLONIA CUAUHTEMOC</t>
  </si>
  <si>
    <t>RIO MISANTLA S/N</t>
  </si>
  <si>
    <t>MILITZA VENCES RICO</t>
  </si>
  <si>
    <t>CALLE EMILIANO ZAPATA S/N</t>
  </si>
  <si>
    <t>16 DE SEPTIEMBRE NUM. 25</t>
  </si>
  <si>
    <t>HEBERTO VAZQUEZ HERNANDEZ</t>
  </si>
  <si>
    <t>JOEL PEREZ PEREZ</t>
  </si>
  <si>
    <t>CARRETERA PRINCIPAL</t>
  </si>
  <si>
    <t>DURANGO S/N</t>
  </si>
  <si>
    <t>ENTRADA PRINCIPAL</t>
  </si>
  <si>
    <t>CARRETERA FEDERAL NAUTLA CARDEL</t>
  </si>
  <si>
    <t>HILDA IRMA MADRID ORTEGA</t>
  </si>
  <si>
    <t>EDITH RODRIGUEZ Y LEON</t>
  </si>
  <si>
    <t>VICTOR LOPEZ MORGADO</t>
  </si>
  <si>
    <t>FRANCISCO GUZMAN Y MARTINEZ</t>
  </si>
  <si>
    <t>LEOPOLDO PEREZ PORTILLA</t>
  </si>
  <si>
    <t>JUANA PALLARES LARIOS</t>
  </si>
  <si>
    <t>PROLONGACION RUBEN DARIO S/N</t>
  </si>
  <si>
    <t>CLEMENTINO CASTELLANOS GALINDO</t>
  </si>
  <si>
    <t>ALEJANDRO RIVERA LOPEZ</t>
  </si>
  <si>
    <t>ELIA HERNANDEZ CISNEROS</t>
  </si>
  <si>
    <t>MARIO OLARTE MONTIEL</t>
  </si>
  <si>
    <t>NOE GONZALEZ CARAZA</t>
  </si>
  <si>
    <t>ELOINA HERNANDEZ PERDOMO</t>
  </si>
  <si>
    <t>NATIVIDAD ALEJANDRO MONZON</t>
  </si>
  <si>
    <t>FRENTE A LA CARRETERA (ENTRADA A LA POBLACION)</t>
  </si>
  <si>
    <t>MARGARITA RODRIGUEZ GONZALEZ</t>
  </si>
  <si>
    <t>SILVIA TORIZ JIMENEZ</t>
  </si>
  <si>
    <t>GUADALUPE GILBON RUIZ</t>
  </si>
  <si>
    <t>ROGELIO LOPEZ JULIO</t>
  </si>
  <si>
    <t>REFORMA Y ALLENDE</t>
  </si>
  <si>
    <t>FERNANDO TORRES VAZQUEZ</t>
  </si>
  <si>
    <t>CALLE PRINCIPAL S/N (SALIDA A VILLA RICA)</t>
  </si>
  <si>
    <t>MARCO ANTONIO HERRERA BRAVO</t>
  </si>
  <si>
    <t>YOEL HERNANDEZ PEREZ</t>
  </si>
  <si>
    <t>JAQUELINE DIAZ MORENO</t>
  </si>
  <si>
    <t>MAGDALENA  BARRERA MORALES</t>
  </si>
  <si>
    <t>GLORIA ESTELA BALDERAS Y VAZQUEZ</t>
  </si>
  <si>
    <t>VENANCIO CELIS TORRES</t>
  </si>
  <si>
    <t>MIGUEL HIDALGO Y ORIENTE</t>
  </si>
  <si>
    <t>RAMIRO HERNANDEZ OVALLES</t>
  </si>
  <si>
    <t>ASUNCION RUIZ Y CAICEROS</t>
  </si>
  <si>
    <t>OMAR ISRAEL CAICEROS HERNANDEZ</t>
  </si>
  <si>
    <t>CAROLINO ANAYA S/N</t>
  </si>
  <si>
    <t>OFELIA CORDOVA GARCIA</t>
  </si>
  <si>
    <t>LETICIA RENDON LANDA</t>
  </si>
  <si>
    <t>SERGIO MEZA GILBON</t>
  </si>
  <si>
    <t>AMELIA HERNANDEZ FERNANDEZ</t>
  </si>
  <si>
    <t>HECTOR HUGO RUANO CONTRERAS</t>
  </si>
  <si>
    <t>HECTOR GRIJALVA LOPEZ</t>
  </si>
  <si>
    <t>AUGUSTA CARIDAD AHUMADA GALVAN</t>
  </si>
  <si>
    <t>ALBERTINA JIMENEZ RONZON</t>
  </si>
  <si>
    <t>CONOCIDO ENTRADA DEL POBLADO</t>
  </si>
  <si>
    <t>WILBERTH ENRIQUE PACHECO MENA</t>
  </si>
  <si>
    <t>CARRETERA MEXICO-VERACRUZ KILOMETRO 357.5</t>
  </si>
  <si>
    <t>OMAR ARCOS REBOLLEDO</t>
  </si>
  <si>
    <t>MARIA LUCINA ANDRADE DIAZ</t>
  </si>
  <si>
    <t>JOSE MARIA MORELOS Y PAVON S/N</t>
  </si>
  <si>
    <t>MANUEL VILLA JARVIO</t>
  </si>
  <si>
    <t>NIÑOS HEROES NUM. 3</t>
  </si>
  <si>
    <t>ELENA SOTO ARROYO</t>
  </si>
  <si>
    <t>CALLE PRINCIPAL JUNTO A ESCUELA PRIMARIA</t>
  </si>
  <si>
    <t>GEMA EDITH VALENCIA ACOSTA</t>
  </si>
  <si>
    <t>LUCY DEL CARMEN CAPISTRAN RODRIGUEZ</t>
  </si>
  <si>
    <t>EFREN EMILIO ARCOS REVOLLEDO</t>
  </si>
  <si>
    <t>CONOCIDO JUNTO A ESCUELA PRIMARIA</t>
  </si>
  <si>
    <t>PROSPERO ARICIAGA ALVARADO</t>
  </si>
  <si>
    <t>CONOCIDO FRENTE AL CAMPO DEPORTIVO</t>
  </si>
  <si>
    <t>ABRAHAM MORALES JIMENEZ</t>
  </si>
  <si>
    <t>MARIA DEL CARMEN ARROYO Y MARTINEZ</t>
  </si>
  <si>
    <t>COLONIA SEBASTIAN LERDO DE TEJADA</t>
  </si>
  <si>
    <t>TERESA DE JESUS HILAREDA CASANOVA</t>
  </si>
  <si>
    <t>JORGE VERA LOPEZ</t>
  </si>
  <si>
    <t>GLORIA LOPEZ RODRIGUEZ</t>
  </si>
  <si>
    <t>MIGUEL HIDALGO NUM. 12</t>
  </si>
  <si>
    <t>FRANCISCO LOPEZ LOPEZ</t>
  </si>
  <si>
    <t>CONOCIDO MONTE VERDE CHIVERIA</t>
  </si>
  <si>
    <t>HEBERT ACOSTA</t>
  </si>
  <si>
    <t>YENNY ICZARINA MARTINEZ AGUAYO</t>
  </si>
  <si>
    <t>MARTIN AUGUSTO MIRON BLANCO</t>
  </si>
  <si>
    <t>GUILLERMO RAMIREZ HERNANDEZ</t>
  </si>
  <si>
    <t>MARTIRES DEL 28 DE AGOSTO NUM. 241</t>
  </si>
  <si>
    <t>FELICITAS MORALES ROSAS</t>
  </si>
  <si>
    <t>TINAKU S/N</t>
  </si>
  <si>
    <t>ENRIQUE RIVERA YðIGUEZ</t>
  </si>
  <si>
    <t>BERENJENAS ESQUINA CAMINO ANTIGUO A CHILTOYAC</t>
  </si>
  <si>
    <t>ALBERTO SANTAMARIA BELTRAN</t>
  </si>
  <si>
    <t>ALLENDE NUM. 13</t>
  </si>
  <si>
    <t>BENIGNA RIVERA GONZALEZ</t>
  </si>
  <si>
    <t>IGNACIO ALLENTE NUM. 22</t>
  </si>
  <si>
    <t>CARLOTA ROSAS RIVERA</t>
  </si>
  <si>
    <t>MISION S/N CENTRO</t>
  </si>
  <si>
    <t>BONFILIA MARTINEZ PEDRAZA</t>
  </si>
  <si>
    <t>ESTEBAN JOSUE SALDAðA FRUCTUOSO</t>
  </si>
  <si>
    <t>POTRERO DEL BORDO</t>
  </si>
  <si>
    <t>JOSE DE JESUS LANDA JUAREZ</t>
  </si>
  <si>
    <t>SUR 7 NUM. 1</t>
  </si>
  <si>
    <t>ANGEL YEPEZ ENRIQUEZ</t>
  </si>
  <si>
    <t>ROLANDO VERGARA ALMENDRA</t>
  </si>
  <si>
    <t>FRENTE A LA CLINICA DE S.A.</t>
  </si>
  <si>
    <t>JOSE JUAN PALACIOS ARIAS</t>
  </si>
  <si>
    <t>FRENTE AL PARQUE DEPORTIVO</t>
  </si>
  <si>
    <t>ALBA VALERIO MONTANE</t>
  </si>
  <si>
    <t>JUNTO AL TANQUE DE AGUA</t>
  </si>
  <si>
    <t>ALICIA HERNANDEZ RAMON</t>
  </si>
  <si>
    <t>LUCINDA DEL CARMEN TIBURCIO ARANO</t>
  </si>
  <si>
    <t>JUNTO A LA ESCUELA PRIMARIA Y JARDIN</t>
  </si>
  <si>
    <t>SAMUEL ANDERICA MANCILLA</t>
  </si>
  <si>
    <t>FRENTE AL CAMPO DE FUTBOL</t>
  </si>
  <si>
    <t>ENRIQUE FLORES RODRIGUEZ</t>
  </si>
  <si>
    <t>ROSAURA SANTIAGO LARA S/N FRENTE A LA PRIMARIA FEDERAL</t>
  </si>
  <si>
    <t>REYNA GUADALUPE USCANGA USCANGA</t>
  </si>
  <si>
    <t>CALLE 21 S/N</t>
  </si>
  <si>
    <t>JAIME LAGUNES LAGUNES</t>
  </si>
  <si>
    <t>CALLE 8 ESQUINA AVENIDA JALISCO</t>
  </si>
  <si>
    <t>IRENE ALVARADO MORALES</t>
  </si>
  <si>
    <t>MONICA VAZQUEZ CRUZ</t>
  </si>
  <si>
    <t>FRANCISCO I. MADERO S/N</t>
  </si>
  <si>
    <t>LUCILA CARBALLO HERNANDEZ</t>
  </si>
  <si>
    <t>RICARDO LOPEZ MONTERO</t>
  </si>
  <si>
    <t>ROBERTO DOMINGUEZ VIVEROS</t>
  </si>
  <si>
    <t>FRENTE GALLO S/N FRENTE AL TELEBACHILLERATO</t>
  </si>
  <si>
    <t>FRANCISCO JAVIER RAMIREZ HERNANDEZ</t>
  </si>
  <si>
    <t>RUBEN MONTIEL PERDOMO</t>
  </si>
  <si>
    <t>MIGUEL HIDALGO NUM. 1</t>
  </si>
  <si>
    <t>ALMA ROSA GONZALEZ ROJAS</t>
  </si>
  <si>
    <t>FRENTE AL CENTRO SOCIAL</t>
  </si>
  <si>
    <t>YOLANDA CASTILLO HERNANDEZ</t>
  </si>
  <si>
    <t>PERBIS PRIETO FERNANDEZ</t>
  </si>
  <si>
    <t>CALLE PRINCIPAL S/N (CASA DEL CAMPESINO)</t>
  </si>
  <si>
    <t>SANDRA RUTH MURRIETA SUAREZ</t>
  </si>
  <si>
    <t>CASA DEL CAMPESINO FRENTE AL PARQUE S/N</t>
  </si>
  <si>
    <t>JESSICA TORRES QUIROZ</t>
  </si>
  <si>
    <t>CAMINO AL CEMENTERIO MUNICIPAL (ATRAS DE LA IGLESIA)</t>
  </si>
  <si>
    <t>EZEQUIEL EUSEBIO HERNANDEZ</t>
  </si>
  <si>
    <t>A LA ENTRADA DEL PUEBLO</t>
  </si>
  <si>
    <t>VICENTE SOLAR VASQUEZ</t>
  </si>
  <si>
    <t>AVENIDA VERACRUZ ESQUINA PLAYA AVENTURAS</t>
  </si>
  <si>
    <t>FRANCISCO OLGUIN FERNANDEZ</t>
  </si>
  <si>
    <t>COLONIA AMAPOLAS II</t>
  </si>
  <si>
    <t>MARTHA FERIA ARIAS</t>
  </si>
  <si>
    <t>A UN COSTADO DEL PUEBLO</t>
  </si>
  <si>
    <t>JOSE SANCHEZ BARBADILLO</t>
  </si>
  <si>
    <t>A LA ENTRADA DEL PUEBLO POR EL SUR</t>
  </si>
  <si>
    <t>ROSARIO ANDRADE ESQUINA PETROLEROS</t>
  </si>
  <si>
    <t>CLEOTILDE J. REYES DOMINGUEZ</t>
  </si>
  <si>
    <t>CERCA DE LA IGLESIA</t>
  </si>
  <si>
    <t>MOISES CATANA PALACIOS</t>
  </si>
  <si>
    <t>JOSE LUIS SANCHEZ AMADOR</t>
  </si>
  <si>
    <t>CARRETERA NACIONAL KILOMETRO 98</t>
  </si>
  <si>
    <t>JOSE ALBERTO CAMPOS SERRANO</t>
  </si>
  <si>
    <t>ALFREDO VICTORIO DIAS</t>
  </si>
  <si>
    <t>CARRETERA SANTIAGO TUXTLA-ISLA KILOMETRO 30</t>
  </si>
  <si>
    <t>RENE GABINO GARCIA</t>
  </si>
  <si>
    <t>RAFAEL HUMBERTO PALE SOLIS</t>
  </si>
  <si>
    <t>JESIKA JANET RAMIREZ SOSA</t>
  </si>
  <si>
    <t>MANUEL EULALIO OY MIXTEGA</t>
  </si>
  <si>
    <t>INDEPENDENCIA Y CINCO DE MAYO</t>
  </si>
  <si>
    <t>GENARO BENITO POLONIO</t>
  </si>
  <si>
    <t>ANTONIO VELEZ S/N</t>
  </si>
  <si>
    <t>ROSA DEL CARMEN ARENAS ALCANTARA</t>
  </si>
  <si>
    <t>FRENTE AREZ S/N, FRENTE A LA IGLESIA</t>
  </si>
  <si>
    <t>JORGE LEONEL PAZARAN GUERRA</t>
  </si>
  <si>
    <t>ANTONIO DEL RIO JUAREZ</t>
  </si>
  <si>
    <t>INSURGENTES Y 20 DE NOVIEMBRE S/N</t>
  </si>
  <si>
    <t>VENANCIO AZAMAR MENDOZA</t>
  </si>
  <si>
    <t>PEDRO GARCIA CANDELARIO</t>
  </si>
  <si>
    <t>GELACIO BRAVO AGUILAR</t>
  </si>
  <si>
    <t>KILOMETRO 25 CARRETERA SANTIAGO TUXTLA-ISLA, CAMINO A ZAPOTAL</t>
  </si>
  <si>
    <t>LUIS ZAPO COTO</t>
  </si>
  <si>
    <t>EDGARDO CECILIO RAMIREZ SOSA</t>
  </si>
  <si>
    <t>JULIO CESAR OLIVEROS GALLARDO</t>
  </si>
  <si>
    <t>JOSEFINA DE LA MAZA ROSARIO</t>
  </si>
  <si>
    <t>CARRETERA COSTERA DEL GOLFO</t>
  </si>
  <si>
    <t>LUIS DAVID MENDOZA</t>
  </si>
  <si>
    <t>KILOMETRO 22 CARRETERA SANTIAGO TUXTLA-ISLA</t>
  </si>
  <si>
    <t>GABRIELA MARTINEZ PULIDO</t>
  </si>
  <si>
    <t>SUENDY MERCEDES HERNANDEZ VERA</t>
  </si>
  <si>
    <t>ARMANDO BECERRA LOPEZ</t>
  </si>
  <si>
    <t>CARRETERA A ISLETILLA</t>
  </si>
  <si>
    <t>VICTOR CASTILLO DOMINGUEZ</t>
  </si>
  <si>
    <t>JUNTO A LA IGLESIA</t>
  </si>
  <si>
    <t>JOSE ENRIQUE VELA VELA</t>
  </si>
  <si>
    <t>FRENTE A LA NESTLE</t>
  </si>
  <si>
    <t>MARTIN MATLA PORRAS</t>
  </si>
  <si>
    <t>AMADO NERVO S/N</t>
  </si>
  <si>
    <t>YARA DEL CARMEN ROJANO PARRA</t>
  </si>
  <si>
    <t>CASA DEL COMISARIADO EJIDAL</t>
  </si>
  <si>
    <t>ALEJANDRO MUNGUIA HERNANDEZ</t>
  </si>
  <si>
    <t>CONOCIDO ENTRADA A COMUNIDAD</t>
  </si>
  <si>
    <t>ROBERTO CARLOS SAN MARTIN RAMIREZ</t>
  </si>
  <si>
    <t>CONOCIDO CENTRO DE COMUNIDAD</t>
  </si>
  <si>
    <t>VERONICA CECILIA TLAPANCO RAMIREZ</t>
  </si>
  <si>
    <t>CONOCIDO ENTRADA DE COMUNIDAD</t>
  </si>
  <si>
    <t>MARIA CATALINA GRACIA YOBAL TELLEZ</t>
  </si>
  <si>
    <t>CALLE PRINCIPAL  ENTRADA A COMUNIDAD</t>
  </si>
  <si>
    <t>DAYSSI DE JESUS ALEGRIA REYES</t>
  </si>
  <si>
    <t>SANDRA LUZ LEAL MUÐOZ</t>
  </si>
  <si>
    <t>ENTRADA A LA COMUNIDAD</t>
  </si>
  <si>
    <t>JUAN EDEN SANTOS GARCIA</t>
  </si>
  <si>
    <t>PAULA VAZQUEZ BRAVO</t>
  </si>
  <si>
    <t>VIRGILIA BAUTISTA MONTAðO</t>
  </si>
  <si>
    <t>CONOCIDO CERCA DE LA PRIMARIA</t>
  </si>
  <si>
    <t>LUIS IVAN PERALTA REYES</t>
  </si>
  <si>
    <t>MIGUEL HIDALGO S/N ENTRADA AL POBLADO</t>
  </si>
  <si>
    <t>LUZ DEL ALBA VILLA NOGUEIRA</t>
  </si>
  <si>
    <t>FINAL DEL POBLADO</t>
  </si>
  <si>
    <t>HERMES FLORES HERNANDEZ</t>
  </si>
  <si>
    <t>SANDRA LUZ DE JESUS ROJAS</t>
  </si>
  <si>
    <t>CONOCIDO CERCA DEL TELEBACHILLERATO</t>
  </si>
  <si>
    <t>EMMA CARVALLO GARCIA</t>
  </si>
  <si>
    <t>EN LA ESCUELA PRIMARIA</t>
  </si>
  <si>
    <t>MAYRA AIDA NAVA PATIÐO</t>
  </si>
  <si>
    <t>FIDEL VELAZQUEZ NUM. 2</t>
  </si>
  <si>
    <t>ABACUC SANCHEZ GUZMAN</t>
  </si>
  <si>
    <t>BENITO JUAREZ NUM. 26</t>
  </si>
  <si>
    <t>JUVENTINO GOMEZ NAVARRETE</t>
  </si>
  <si>
    <t>ZENAIDA GONZALEZ VARGAS</t>
  </si>
  <si>
    <t>CARRETERA A TEMEX</t>
  </si>
  <si>
    <t>OLGA GONZALEZ VARGAS</t>
  </si>
  <si>
    <t>NOELIA VENTURA GONZALEZ</t>
  </si>
  <si>
    <t>ENTRADA AL POBLADO</t>
  </si>
  <si>
    <t>ELVIRA AURORA MENDOZA RIOS</t>
  </si>
  <si>
    <t>MARIA DE LOURDES VILLANUEVA SANCHEZ</t>
  </si>
  <si>
    <t>MABEL SUAREZ MAYO</t>
  </si>
  <si>
    <t>MIGUEL HIDALGO NUM. 44</t>
  </si>
  <si>
    <t>ROBERTO CHONCOA VALDERRAMA</t>
  </si>
  <si>
    <t>AMALIA HERNANDEZ SAN AGUSTIN</t>
  </si>
  <si>
    <t>CALLE 5 DE MAYO S/N</t>
  </si>
  <si>
    <t>JAZMIN MARIA SOLANO MENDOZA</t>
  </si>
  <si>
    <t>CLARA BAUTISTA ORTIZ</t>
  </si>
  <si>
    <t>VERONICA RODRIGUEZ ANZURES</t>
  </si>
  <si>
    <t>VIRNA VALENZUELA ZAMORA</t>
  </si>
  <si>
    <t>YOLANDA CABRERA SANTIAGO</t>
  </si>
  <si>
    <t>RICARDO FLORES MAGON S/N</t>
  </si>
  <si>
    <t>JOSE ALFREDO UTRERA QUEVEDO</t>
  </si>
  <si>
    <t>JULIO CESAR DE PAZ RAMIREZ</t>
  </si>
  <si>
    <t>IRVING OMAR DE LA CRUZ BOCANEGRA</t>
  </si>
  <si>
    <t>IGNACIO ZARAGOZA S/N</t>
  </si>
  <si>
    <t>LUCIA CRISTEN ARGUELLES</t>
  </si>
  <si>
    <t>MIGUEL ALEMAN PONIENTE S/N</t>
  </si>
  <si>
    <t>JAVIER SULVARAN ANTONIO</t>
  </si>
  <si>
    <t>ARMANDO LOPEZ ZEFERINO</t>
  </si>
  <si>
    <t>SEVERA PATRACA GONZALEZ</t>
  </si>
  <si>
    <t>ORIENTE S/N</t>
  </si>
  <si>
    <t>ROSALBA USCANGA MONTALVO</t>
  </si>
  <si>
    <t>FATIMA ARELLANO RODRIGUEZ</t>
  </si>
  <si>
    <t>LA ESTRIBERA S/N</t>
  </si>
  <si>
    <t>PERLA JANETH HERNANDEZ LOPEZ</t>
  </si>
  <si>
    <t>JOSE LUIS MENDEZ MARTINEZ</t>
  </si>
  <si>
    <t>BENJAMIN JAIME BERNABE CAMPOS</t>
  </si>
  <si>
    <t>DIANA ISABEL APARICIO GUTIERREZ</t>
  </si>
  <si>
    <t>5 DE FEBRERO S/N</t>
  </si>
  <si>
    <t>EDGAR CARRILLO ANDRADE</t>
  </si>
  <si>
    <t>BERNARDO RIVERA BAUTISTA</t>
  </si>
  <si>
    <t>ELENA GARCIA SANTOS</t>
  </si>
  <si>
    <t>GERSON JOAQUIN MELCHI CANO</t>
  </si>
  <si>
    <t>ALLENDE S/N</t>
  </si>
  <si>
    <t>LEONARDO CHIÐAS CARTAGENA</t>
  </si>
  <si>
    <t>CALLE PRINCIPAL S/N (CASA DEL COMISARIADO EJIDAL)</t>
  </si>
  <si>
    <t>MARIELA PEREZ VIDAL</t>
  </si>
  <si>
    <t>GERSON JOAQUIN MELCHICANO</t>
  </si>
  <si>
    <t>URIEL ARQUIMIDES ARIAS PAVA</t>
  </si>
  <si>
    <t>JESUS ZARATE MEZA</t>
  </si>
  <si>
    <t>ALBERTA RODRIGUEZ ANZURES</t>
  </si>
  <si>
    <t>GLENDA CORTES ROSALES</t>
  </si>
  <si>
    <t>MIGUEL ANGEL GUERRA SANDOVAL</t>
  </si>
  <si>
    <t>JOSE MARIA MORELOS Y PAVON NUM. 1 ESQUINA AVENIDA PORFIRIO DIAZ</t>
  </si>
  <si>
    <t>JOSE ANGEL C. CORTES QUINTERO</t>
  </si>
  <si>
    <t>HERLINDA   MARIETA DE JESUS GARCIA</t>
  </si>
  <si>
    <t>MARIA GRACIELA KRAUSS LOPEZ</t>
  </si>
  <si>
    <t>FRANCO MUÑOZ DE JESUS</t>
  </si>
  <si>
    <t>CECILIA PAEZ FALCON</t>
  </si>
  <si>
    <t>AVENIDA ALDAMA NUM. 3</t>
  </si>
  <si>
    <t>RAMIRO SANCHEZ EUGENIO</t>
  </si>
  <si>
    <t>MARIA ELENA SANTOS RODRIGUEZ</t>
  </si>
  <si>
    <t>ROCIO ROMERO FLORES</t>
  </si>
  <si>
    <t>CONCEPCION GONZALEZ PRIETO</t>
  </si>
  <si>
    <t>AVENIDA 7 CALLE 3 NUM. 14</t>
  </si>
  <si>
    <t>ADRIAN VAZQUEZ DIAZ</t>
  </si>
  <si>
    <t>JOSE ISIDRO MORENO NORIEGA</t>
  </si>
  <si>
    <t>OSCAR ROLANDO RICARDI GARCIA</t>
  </si>
  <si>
    <t>JUAN CARLOS SAGAON DE LA TORRE</t>
  </si>
  <si>
    <t>PORFIRIO LOYA PULIDO</t>
  </si>
  <si>
    <t>AVENIDA LAS TORRES S/N ENTRE LA 2° Y 3°</t>
  </si>
  <si>
    <t>MARIA EVANGELINA ORTA CARVAJAL</t>
  </si>
  <si>
    <t>MARIA BERTHA C. GUILLEN SALAS</t>
  </si>
  <si>
    <t>LUIS MARTIN RUIZ HERNANDEZ</t>
  </si>
  <si>
    <t>ALFONSO JAVIER MARCIAL LUNA</t>
  </si>
  <si>
    <t>IVETT LOPEZ GUTIERREZ</t>
  </si>
  <si>
    <t>RUBEN RUBIO CAMARIN</t>
  </si>
  <si>
    <t>VICTOR ABRAHAM CASTELLANOS FLORES</t>
  </si>
  <si>
    <t>MARCELINA RIVAS GEA</t>
  </si>
  <si>
    <t>MARTHA MIRANDA CALDERON</t>
  </si>
  <si>
    <t>FELIPE DELGADO DELGADO</t>
  </si>
  <si>
    <t>NORIS HERNANDEZ HERNANDEZ</t>
  </si>
  <si>
    <t>ANDRES ANDRADE PICON</t>
  </si>
  <si>
    <t>CALLE FRANCISCO I. MADERO NUM. 52</t>
  </si>
  <si>
    <t>JORGE OBED ONTIVEROS MARTINEZ</t>
  </si>
  <si>
    <t>ANTONIO HERNANDEZ DE LA CRUZ</t>
  </si>
  <si>
    <t>LUZ MARIA DEL ANGEL SANTANDER</t>
  </si>
  <si>
    <t>MANUEL F. SARABIA NUM. 1</t>
  </si>
  <si>
    <t>ARTURO HERNANDEZ HERNANDEZ</t>
  </si>
  <si>
    <t>CALLE LIBERTAD S/N</t>
  </si>
  <si>
    <t>SALVADOR SAN ROMAN DE LA CRUZ</t>
  </si>
  <si>
    <t>KARLA EVELIN ARENAS GONZALEZ</t>
  </si>
  <si>
    <t>ALFREDO CORTES AVILA</t>
  </si>
  <si>
    <t>NETZAHUALCOYOTL S/N</t>
  </si>
  <si>
    <t>JESUS ANDRES PEREZ RAMIREZ</t>
  </si>
  <si>
    <t>CARRETERA A COLOTLAN S/N</t>
  </si>
  <si>
    <t>NARCISO AURELIO MONTIEL HERNANDEZ</t>
  </si>
  <si>
    <t>MOCTEZUMA NUM. 15</t>
  </si>
  <si>
    <t>DANIEL RAMIREZ DE LA CRUZ</t>
  </si>
  <si>
    <t>PIPILA NUM. 1</t>
  </si>
  <si>
    <t>IDALID  VICENCIO CORTES</t>
  </si>
  <si>
    <t>JACOBO CAMARGO TORRES</t>
  </si>
  <si>
    <t>MARTHA SUSANA FERNANDEZ MENDEZ</t>
  </si>
  <si>
    <t>JAIME MARTINEZ MARTINEZ</t>
  </si>
  <si>
    <t>LAFREDO MARTINEZ CONTRERAS</t>
  </si>
  <si>
    <t>ANTONIO ORELLAN NAVA</t>
  </si>
  <si>
    <t>HECTOR CUAUHTEMOC MARQUEZ MARTINEZ</t>
  </si>
  <si>
    <t>FRANCISCO VILLA NUM. 4</t>
  </si>
  <si>
    <t>ELSIE ROSARIO CUERVO VERA</t>
  </si>
  <si>
    <t>FIDENCIO HERNANDEZ SEBASTIAN</t>
  </si>
  <si>
    <t>5 DE FEBRERO NUM. 3</t>
  </si>
  <si>
    <t>JULIO CESAR OLIVARES HERNANDEZ</t>
  </si>
  <si>
    <t>HECTOR VERA HERNANDEZ</t>
  </si>
  <si>
    <t>CARRETERA AHUATENO KILOMETRO 6</t>
  </si>
  <si>
    <t>MAVEL VICENCIO CORTES</t>
  </si>
  <si>
    <t>SAUL MARTINEZ LEON</t>
  </si>
  <si>
    <t>SUSANA AVILA HINOJOSA</t>
  </si>
  <si>
    <t>ROMAN MARTINEZ DE LA CRUZ</t>
  </si>
  <si>
    <t>HUMBERTO BERNABE MARTINEZ</t>
  </si>
  <si>
    <t>23 DE FEBRERO NUM. 5</t>
  </si>
  <si>
    <t>ALFREDO RIVERA DEL ANGEL</t>
  </si>
  <si>
    <t>FRENTE AL CENTRO DE SALUD</t>
  </si>
  <si>
    <t>ERIC SANCHEZ CUERVO</t>
  </si>
  <si>
    <t>CALLE PRINCIPAL, FRENTE A LA LAGUNA</t>
  </si>
  <si>
    <t>STEPHANY HUERTA MENDEZ</t>
  </si>
  <si>
    <t>ANTONIO SOTO CRUZ</t>
  </si>
  <si>
    <t>HECTOR BARRIOS SANCHEZ</t>
  </si>
  <si>
    <t>WULFRANO SOLIS MARTINEZ</t>
  </si>
  <si>
    <t>CARRETERA TAMIAHUA-NARANJOS</t>
  </si>
  <si>
    <t>RICARDO BARRIOS RODRIGUEZ</t>
  </si>
  <si>
    <t>EDGAR OMAR HUERTA MENDEZ</t>
  </si>
  <si>
    <t>MARYSA MARTINEZ SALAZAR</t>
  </si>
  <si>
    <t>VENUSTIANO CARRANZA KILOMETRO 27 CARRETERA TUXPAM-TAMIAHUA</t>
  </si>
  <si>
    <t>MARILU CAREAGA RAMOS</t>
  </si>
  <si>
    <t>ROSAL NUM. 2</t>
  </si>
  <si>
    <t>ERASMO ORTEGA PEREZ</t>
  </si>
  <si>
    <t>COLONIA LOS MANGOS</t>
  </si>
  <si>
    <t>MARIA LUISA MEZA HERNANDEZ</t>
  </si>
  <si>
    <t>COLONIA FAUSTO VEGA SANTANDER</t>
  </si>
  <si>
    <t>JACINTO DEL ANGEL SANTIAGO</t>
  </si>
  <si>
    <t>RUIZ GOMEZ S/N</t>
  </si>
  <si>
    <t>MARIA ELENA GONZALEZ GERARDO</t>
  </si>
  <si>
    <t>MARIBEL GARCIA LAGUNES</t>
  </si>
  <si>
    <t>MIGUEL ANGEL MARTINEZ CRUZ</t>
  </si>
  <si>
    <t>CARRETERA TUXPAM-TAMPICO PASANDO OJITE DESVIACION</t>
  </si>
  <si>
    <t>NELIDA MARTINEZ VAZQUEZ</t>
  </si>
  <si>
    <t>CALLE PRINCIPAL AL LADO DE LA IGLESIA</t>
  </si>
  <si>
    <t>JOSE ELIAS RODRIGUEZ RANGEL</t>
  </si>
  <si>
    <t>AVENIDA REVOLUCION NUM. 12</t>
  </si>
  <si>
    <t>RAMON BONILLA LOPEZ</t>
  </si>
  <si>
    <t>CALLE PRINCIPAL S/N POR LA CLINICA SSA</t>
  </si>
  <si>
    <t>ROBERTO CRUZ CLEOFAS</t>
  </si>
  <si>
    <t>AGUSTIN TREJO</t>
  </si>
  <si>
    <t>EFREN DEL ANGEL RUIZ</t>
  </si>
  <si>
    <t>SONIA CORTES LUNA</t>
  </si>
  <si>
    <t>CELEDONIA JERONIMA RAMIREZ MUðOZ</t>
  </si>
  <si>
    <t>BRISERDA VICENCIO SALAS SOLIS</t>
  </si>
  <si>
    <t>CALLE PRINCIPAL JUNTO AL SALON EJIDAL</t>
  </si>
  <si>
    <t>LORENA LUCAS ZAMUDIO</t>
  </si>
  <si>
    <t>CARLOS AUGUSTO CRUZ ACOSTA</t>
  </si>
  <si>
    <t>LUIS GUILLERMO SIORDIA VAZQUEZ</t>
  </si>
  <si>
    <t>AVENIDA GALEANA S/N</t>
  </si>
  <si>
    <t>BLANCA YASMIN RAMIREZ SANCHEZ</t>
  </si>
  <si>
    <t>TLATEMPA S/N</t>
  </si>
  <si>
    <t>CARLO MAGNO TORRES TAPIA</t>
  </si>
  <si>
    <t>NELI ABIGAIL LOPEZ SANTOS</t>
  </si>
  <si>
    <t>MELITON CRUZ RIVERA</t>
  </si>
  <si>
    <t>YULIANNA ELPIDIA BERNABE PALACIOS</t>
  </si>
  <si>
    <t>JESUS EDUARDO ARTEAGA FLORES</t>
  </si>
  <si>
    <t>NAZARET ALAVARADO CENTENO</t>
  </si>
  <si>
    <t>RUFINO CORTES RAMIREZ</t>
  </si>
  <si>
    <t>NOE ALVARADO MENDEZ</t>
  </si>
  <si>
    <t>EMANUEL SAAVEDRA RAMIREZ</t>
  </si>
  <si>
    <t>RAUL HERNANDEZ CASTRO</t>
  </si>
  <si>
    <t>JAIRZHINIO HILARIO HERNANDEZ MARQUEZ</t>
  </si>
  <si>
    <t>MIGUEL MORENO LEAL</t>
  </si>
  <si>
    <t>ELIAS HERNANDEZ MARTINEZ</t>
  </si>
  <si>
    <t>DOMINGA GARCIA GARCIA</t>
  </si>
  <si>
    <t>SELFA CASADOS BLANCA ISABEL</t>
  </si>
  <si>
    <t>LIDIA HEIDI PEREZ ESPINOZA</t>
  </si>
  <si>
    <t>CARRETERA ZONTECOMATLAN-CHICONTEPEC</t>
  </si>
  <si>
    <t>DAVID ALVAREZ VITE</t>
  </si>
  <si>
    <t>JAIME HERNANDEZ PEREZ</t>
  </si>
  <si>
    <t>FREDDY RAMIREZ BELIO</t>
  </si>
  <si>
    <t>ALMA DELIA HERNANDEZ HERNANDEZ</t>
  </si>
  <si>
    <t>MARIA MAGDALENA RODRIGUEZ MORA</t>
  </si>
  <si>
    <t>ATZIN FUENTES GUMARO</t>
  </si>
  <si>
    <t>ROSENDO MARIN HERNANDEZ</t>
  </si>
  <si>
    <t>MARIA DE LOS ANGELES CONTRERAS TORRES</t>
  </si>
  <si>
    <t>YONATHAN PALLARES LARIOS</t>
  </si>
  <si>
    <t>NOE GARCIA LICONA</t>
  </si>
  <si>
    <t>GABRIEL DE LUNA SANTES</t>
  </si>
  <si>
    <t>FRANCISCO JAVIER CHABLE CANUL</t>
  </si>
  <si>
    <t>DANIEL RAMOS ROSAS</t>
  </si>
  <si>
    <t>MARCOS HERNANDEZ MARTINEZ</t>
  </si>
  <si>
    <t>JUNTO AL PARQUE</t>
  </si>
  <si>
    <t>ANGEL TEJEDA CUERVO</t>
  </si>
  <si>
    <t>JAVIER CALLES SOSA</t>
  </si>
  <si>
    <t>BALDOMERO CASTRO SANAVIA</t>
  </si>
  <si>
    <t>JUVENCIO RAMIREZ DOMINGA</t>
  </si>
  <si>
    <t>JOSE ALFREDO RODRIGUEZ ANZUREZ</t>
  </si>
  <si>
    <t>FERNANDO JAVIER AGUILAR CRUZ</t>
  </si>
  <si>
    <t>ELSA RAMONA MORALES</t>
  </si>
  <si>
    <t>ARGELIA CASTILLO HERNANDEZ</t>
  </si>
  <si>
    <t>ELISA CABALLERO VILLEGAS</t>
  </si>
  <si>
    <t>ABSALON MATA SANCHEZ</t>
  </si>
  <si>
    <t>BLANCA RUTH REYES ARANDA</t>
  </si>
  <si>
    <t>BRUS LENNIN LEYVA CUERVO</t>
  </si>
  <si>
    <t>PETRA BARRA URRUTIA</t>
  </si>
  <si>
    <t>BERNARDO SALAZAR PEREZ</t>
  </si>
  <si>
    <t>RAMIRO CORTES ROSAS</t>
  </si>
  <si>
    <t>JUVENAL PEÐA RIVERA</t>
  </si>
  <si>
    <t>JOSE ARMANDO ZAYAS Y GUEVARA</t>
  </si>
  <si>
    <t>ELSA LAURA MARTINEZ SANDOVAL</t>
  </si>
  <si>
    <t>ZAPOTITLAN NUM. 7</t>
  </si>
  <si>
    <t>NOE BARRA URRUTIA</t>
  </si>
  <si>
    <t>GERMAN HERNANDEZ DIAZ</t>
  </si>
  <si>
    <t>ROBERTO WILVOUR VERA BERMUDEZ</t>
  </si>
  <si>
    <t>JORGE GREZ VERA</t>
  </si>
  <si>
    <t>JUAN HERNANDEZ HERNANDEZ</t>
  </si>
  <si>
    <t>JOAQUIN MELO LOPEZ</t>
  </si>
  <si>
    <t>GUDELIA HERNANDEZ MARTINEZ</t>
  </si>
  <si>
    <t>ARODI ESCAMILLA MENDOZA</t>
  </si>
  <si>
    <t>CRISOGONO MELO GUTIEREZ</t>
  </si>
  <si>
    <t>ISABEL MEJIA ARROYO</t>
  </si>
  <si>
    <t>COLONIA JARDIN</t>
  </si>
  <si>
    <t>FLORENCIO RUBEN REYES GARCIA</t>
  </si>
  <si>
    <t>COLONIA UNIDAD Y TRABAJO</t>
  </si>
  <si>
    <t>EMILIO ARMANDO MENDEZ Y NAVARRETE</t>
  </si>
  <si>
    <t>MERCEDES SARMIENTOS ORDUÑA</t>
  </si>
  <si>
    <t>JUAN VLADIMIR LORENZANA TEJADA</t>
  </si>
  <si>
    <t>PRISCILIANO AVENDAðO Y HERNANDEZ</t>
  </si>
  <si>
    <t>CARRETERA CHOTE-COYUTLA</t>
  </si>
  <si>
    <t>FRANCISCO CASTILLO MUÐOZ</t>
  </si>
  <si>
    <t>LAUREANO CRUZ GOMEZ</t>
  </si>
  <si>
    <t>HILARION MORENO JIMENEZ</t>
  </si>
  <si>
    <t>IVONEE MENDEZ CASTRO</t>
  </si>
  <si>
    <t>ELENA CARLOTA MAVIL SANCHEZ</t>
  </si>
  <si>
    <t>CARRETERA CHOTE-ESPINAL S/N</t>
  </si>
  <si>
    <t>HORTENCIA HERNANDEZ MARQUEZ</t>
  </si>
  <si>
    <t>NUBIA ALEIDA MARTINEZ VITE</t>
  </si>
  <si>
    <t>JORGE HONORIO MORALES BARRIOS</t>
  </si>
  <si>
    <t>MIGUEL ANGEL SOLIS RAMIREZ</t>
  </si>
  <si>
    <t>JOSE ELIGIO CRUZ GARCIA</t>
  </si>
  <si>
    <t>FRANCISCO HERNANDEZ CARDENAS</t>
  </si>
  <si>
    <t>RAFAEL LANDA FERNANDEZ</t>
  </si>
  <si>
    <t>AL LADO DERECHO DE LA ESCUELA PRIMARIA  BENITO JUAREZ</t>
  </si>
  <si>
    <t>MARICRUZ FLORES MONTERO</t>
  </si>
  <si>
    <t>GONZALO LOZANO CARBALLO</t>
  </si>
  <si>
    <t>LUIS ESTEBAN Y DOMINGUEZ</t>
  </si>
  <si>
    <t>AL LADO DERECHO DE LA ESCUELA PRIMARIA MIGUEL HIDALGO</t>
  </si>
  <si>
    <t>GEU ROSALES GONZALEZ</t>
  </si>
  <si>
    <t>JUAN CARLOS MARTINEZ REYES</t>
  </si>
  <si>
    <t>INSURGENTES S/N</t>
  </si>
  <si>
    <t>SERGIO OROZCO ROJAS</t>
  </si>
  <si>
    <t>CELESTINO HERNANDEZ CELIS</t>
  </si>
  <si>
    <t>JOSE C. HERNANDEZ CHACON</t>
  </si>
  <si>
    <t>AGUSTIN GUZMAN RODRIGUEZ</t>
  </si>
  <si>
    <t>VICTOR MANUEL GALEANA Y ALVARADO</t>
  </si>
  <si>
    <t>MAYANIN A. GUZMAN JACOME</t>
  </si>
  <si>
    <t>AVENIDA PEDERNALES S/N</t>
  </si>
  <si>
    <t>ZOYLA LIBERTAD MADRID ANDRADE</t>
  </si>
  <si>
    <t>GALVARINO BARRIO S/N</t>
  </si>
  <si>
    <t>ROSENDO CARDOSO HERNANDEZ</t>
  </si>
  <si>
    <t>ROBERTO RIVERA ANDRADE</t>
  </si>
  <si>
    <t>PROLONGACION PRIMERO DE MAYO S/N</t>
  </si>
  <si>
    <t>RICARDO CASTILLO HERNANDEZ</t>
  </si>
  <si>
    <t>OMAR PEREZ GONZALEZ</t>
  </si>
  <si>
    <t>REYNA MARTINEZ HERRERA</t>
  </si>
  <si>
    <t>ADAN MENDOZA CASILDA</t>
  </si>
  <si>
    <t>FLORENCIA L. PALESTINA RODRIGUEZ</t>
  </si>
  <si>
    <t>GERARDO RAMOS PEðA</t>
  </si>
  <si>
    <t>MARIA DEL ROCIO DIAZ BARRAGAN</t>
  </si>
  <si>
    <t>MARGARITO BARBADILLO Y PEREZ</t>
  </si>
  <si>
    <t>CRISTINA ALEJANDRO Y LAGUNES</t>
  </si>
  <si>
    <t>REYNALDO HERNANDEZ ABURTO</t>
  </si>
  <si>
    <t>EDGAR ADIM JIMENEZ ALVAREZ</t>
  </si>
  <si>
    <t>TOMAS SANCHEZ JIMENEZ</t>
  </si>
  <si>
    <t>ERNESTO SALVADOR CAICEROS CASTELLANOS</t>
  </si>
  <si>
    <t>ISIDRO MUJICA MARTINEZ</t>
  </si>
  <si>
    <t>JOSE LUIS CARRERA RODRIGUEZ</t>
  </si>
  <si>
    <t>GARDENIAS S/N</t>
  </si>
  <si>
    <t>JOSE LUIS CORDOVA Y ARROYO</t>
  </si>
  <si>
    <t>HUMBERTO FERNANDEZ Y RENDON</t>
  </si>
  <si>
    <t>GUILIBALDO BADILLO GONZALEZ</t>
  </si>
  <si>
    <t>GUILLERMO SOLANO QUINTERO</t>
  </si>
  <si>
    <t>PEDRO PABLO KUMUL AGUIRRE</t>
  </si>
  <si>
    <t>DORANTES LOEZA RAUL ROSARIO</t>
  </si>
  <si>
    <t>MIGUEL CAMACHO TRUJILLO</t>
  </si>
  <si>
    <t>MARTHA NITZI CARGAS COLUMNA</t>
  </si>
  <si>
    <t>ENA CRUZ HERNANDEZ</t>
  </si>
  <si>
    <t>ARSENIA PATRICIA HERNANDEZ Y PEREZ</t>
  </si>
  <si>
    <t>AURELIO CARRERA OROSTICO</t>
  </si>
  <si>
    <t>JORGE SERDAN S/N</t>
  </si>
  <si>
    <t>FELIX ALONSO MONTOYA</t>
  </si>
  <si>
    <t>DANIEL ALBERTO SANCHEZ BASILIO</t>
  </si>
  <si>
    <t>EDUARDO GUEVARA MEZA</t>
  </si>
  <si>
    <t>RAMON SILVIA MONTIEL</t>
  </si>
  <si>
    <t>ELIODIN GARCIA FLORES</t>
  </si>
  <si>
    <t>EDUVINA ESPINOZA DIAZ</t>
  </si>
  <si>
    <t>INDEPENDENCIA NUM. 5</t>
  </si>
  <si>
    <t>HONORIO PEREZ NAVARRO</t>
  </si>
  <si>
    <t>FRANCISCO GUARDIA MEJIA</t>
  </si>
  <si>
    <t>GILBERTO PEREZ CUERVO</t>
  </si>
  <si>
    <t>GLORIA MORALES GARCIA</t>
  </si>
  <si>
    <t>CONSTITUCION S/N</t>
  </si>
  <si>
    <t>PEREZ PABLO EDUARDO</t>
  </si>
  <si>
    <t>TOLUCA NUM. 201</t>
  </si>
  <si>
    <t>SERGIO JORGE VALENCIA TORRES</t>
  </si>
  <si>
    <t>RIO SOTO LA MARINA</t>
  </si>
  <si>
    <t>BERTIN GALINDO VICENCIO</t>
  </si>
  <si>
    <t>FRANCISCO I. MADERO NUM. 4</t>
  </si>
  <si>
    <t>ELVIRA GARCIA MARTINEZ</t>
  </si>
  <si>
    <t>AVENIDA 1 DE ENERO NUM. 4</t>
  </si>
  <si>
    <t>RAFAEL ARROYO VILLEGAS</t>
  </si>
  <si>
    <t>URSULO GALVAN NUM. 151</t>
  </si>
  <si>
    <t>PRISCILIANO CRUZ VAZQUEZ</t>
  </si>
  <si>
    <t>SANDRA CECILIA GONZALEZ GUZMAN</t>
  </si>
  <si>
    <t>FRENTE A LA CASA DE SALUD</t>
  </si>
  <si>
    <t>ADRIANA CONTRERAS IRENE</t>
  </si>
  <si>
    <t>A 30 METROS DE LA ESCUELA, A UN COSTADO DEL TEMPLO</t>
  </si>
  <si>
    <t>ORLANDO MARTINEZ SAYAGO</t>
  </si>
  <si>
    <t>CENTRO</t>
  </si>
  <si>
    <t>OSIEL FELIPE HERNANDEZ GUTIERREZ</t>
  </si>
  <si>
    <t>MAGALI MARIN ALVAREZ</t>
  </si>
  <si>
    <t>MIRANDA ROSAS CUAUHTEMOC F.</t>
  </si>
  <si>
    <t>EN LA AGENCIA MUNICIPAL</t>
  </si>
  <si>
    <t>NAARA LIDIA PEREZ ALEJO</t>
  </si>
  <si>
    <t>ANTONIO GONZALEZ AARON</t>
  </si>
  <si>
    <t>LOCAL DE AGENCIA MUNICIPAL</t>
  </si>
  <si>
    <t>SARA LUQUEZ SANCHEZ</t>
  </si>
  <si>
    <t>JUAN OBED JUAREZ RODRIGUEZ</t>
  </si>
  <si>
    <t>SUBAGENCIA MUNICIPAL</t>
  </si>
  <si>
    <t>RODOLFO ACOSTA TORRES</t>
  </si>
  <si>
    <t>CRESCENCIA RIVERA VAZQUEZ</t>
  </si>
  <si>
    <t>MONICA DEL REFUGIO SOTO LARIOS</t>
  </si>
  <si>
    <t>CASA DEL CAMPESINO ALTOS</t>
  </si>
  <si>
    <t>IRAIS MONTIEL FLORES</t>
  </si>
  <si>
    <t>EN LA CASA DE SALUD A UN COSTADO DE LA PRIMARIA PATRIA</t>
  </si>
  <si>
    <t>RUT GUADALUPE LOYO MELCHOR</t>
  </si>
  <si>
    <t>EN AGENCIA MUNICIPAL</t>
  </si>
  <si>
    <t>EDY SUSANO AZUA HERRERA</t>
  </si>
  <si>
    <t>EN EL JARDIN DE NIñOS LAZARO CARDENAS DEL RIO</t>
  </si>
  <si>
    <t>LUIS MANUEL DOMINGUEZ BARRADAS</t>
  </si>
  <si>
    <t>A UN LADO DE LA PRIMARIA</t>
  </si>
  <si>
    <t>MIGUEL ANGEL MONTIEL CID</t>
  </si>
  <si>
    <t>ESCUELA PRIMARIA NARCISO MENDOZA</t>
  </si>
  <si>
    <t>IVAN OSORIO PEREZ</t>
  </si>
  <si>
    <t>SILVIA VILLARINO ZETINA</t>
  </si>
  <si>
    <t>CALLE LOS ALAMOS FRENTE AL CAMPO DEPORTIVO</t>
  </si>
  <si>
    <t>CAROLINA OSORIO MENDEZ</t>
  </si>
  <si>
    <t>MILTON CARRERA SAENZ</t>
  </si>
  <si>
    <t>A 10 METROS DEL JARDIN DE NIÑOS BENITO JUAREZ</t>
  </si>
  <si>
    <t>JORGE BARRIENTOS CLEMENTE</t>
  </si>
  <si>
    <t>MARIA TERESA PIMENTEL CARBAJAL</t>
  </si>
  <si>
    <t>MAYTE CORTES RAMIREZ</t>
  </si>
  <si>
    <t>AGUSTIN LOPEZ AGUILAR</t>
  </si>
  <si>
    <t>CARLOS STEVE VERA CANTO</t>
  </si>
  <si>
    <t>JOSE AMBROSIO MARTINEZ HERNANDEZ</t>
  </si>
  <si>
    <t>DENTRO DEL POBLADO</t>
  </si>
  <si>
    <t>CONSTANTINO HERNANDEZ MALDONADO</t>
  </si>
  <si>
    <t>JUNTO A LA PRIMARIA DE LA COMUNIDAD FRENTE A LA IGLESIA</t>
  </si>
  <si>
    <t>ARACELY DOMINGUEZ ROJAS</t>
  </si>
  <si>
    <t>NOEL JESUS ROMERO ESCAMILLA</t>
  </si>
  <si>
    <t>VICTOR ODIN CHACON NAVARRETE</t>
  </si>
  <si>
    <t>ACTUALMENTE EN LA ESCUELA PRIMARIA</t>
  </si>
  <si>
    <t>ZULY GEORGINA LOPEZ GOMEZ</t>
  </si>
  <si>
    <t>EUSEBIO RODRIGUEZ CONTRERAS</t>
  </si>
  <si>
    <t>CALLE PRINCIPAL DE TONALIXCO</t>
  </si>
  <si>
    <t>BRENDA I. HUERTA ABURTO</t>
  </si>
  <si>
    <t>HECTOR SAUL VIVEROS POZOS</t>
  </si>
  <si>
    <t>ENTRE PROXIMA CALLE LINDA ESTRELLA Y LA PRIMARIA  NIÑOS HEROES</t>
  </si>
  <si>
    <t>JOSE LUIS RODRIGUEZ PEREZ</t>
  </si>
  <si>
    <t>GENOVEVO DE LA O.</t>
  </si>
  <si>
    <t>VICTOR MANUEL ALVARADO COLORADO</t>
  </si>
  <si>
    <t>5 DE FEBRERO ESQUINA 21 DE MARZO</t>
  </si>
  <si>
    <t>MARIA LUISA RUIZ LOPEZ</t>
  </si>
  <si>
    <t>AVENIDA REFORMA S/N ESQUINA VICENTE GUERRERO</t>
  </si>
  <si>
    <t>BALNCA LETICIA SOLANO CAPI</t>
  </si>
  <si>
    <t>OLGA MARGARITA NERI PATIðO</t>
  </si>
  <si>
    <t>MARISOL REYES HERNANDEZ</t>
  </si>
  <si>
    <t>ELOY CORRO NIETO</t>
  </si>
  <si>
    <t>MARIA ANGELICA SAGRARIO CONTRERAS ARENAS</t>
  </si>
  <si>
    <t>LILIANA TRONCO SANCHEZ</t>
  </si>
  <si>
    <t>OMAR CHAVEZ TORRECILLA</t>
  </si>
  <si>
    <t>BOULEVARD 5 DE MAYO Y GPE VICTORIA</t>
  </si>
  <si>
    <t>CELSO BLANCO MORALES</t>
  </si>
  <si>
    <t>FRANCISCO I. MADERO Y NORTE NUM. 1</t>
  </si>
  <si>
    <t>GLORIA ALBERTA ORTEGA RODRIGUEZ</t>
  </si>
  <si>
    <t>COLONIA LA GANADERA</t>
  </si>
  <si>
    <t>BEATRIZ RAMIREZ OSORIO</t>
  </si>
  <si>
    <t>JOEL OCHOA GARCIA</t>
  </si>
  <si>
    <t>AVENIDA 20 DE NOVIEMBRE NUM. 11</t>
  </si>
  <si>
    <t>FABIOLA SILVA ROMAN</t>
  </si>
  <si>
    <t>AUGUSTA OSORIO MARIN</t>
  </si>
  <si>
    <t>MELCHOR OCAMPO NUM. 921</t>
  </si>
  <si>
    <t>GLORIA DEL C.   PEREZ HERNANDEZ</t>
  </si>
  <si>
    <t>JULIO CESAR SALGADO CANO</t>
  </si>
  <si>
    <t>TERESA NAVARRO RAMIREZ</t>
  </si>
  <si>
    <t>DULCE MARIA DOMINGUEZ RUIZ</t>
  </si>
  <si>
    <t>ALAN DE JESUS VISOZO HERNANDEZ</t>
  </si>
  <si>
    <t>JUAN RAMON PARRA DIAZ</t>
  </si>
  <si>
    <t>REVOLUCION NUM. 86</t>
  </si>
  <si>
    <t>CRISTINA GUTIERREZ PESTAðA</t>
  </si>
  <si>
    <t>BULMARO SANCHEZ CRUZ</t>
  </si>
  <si>
    <t>EMILIO CARRANZA NUM. 17</t>
  </si>
  <si>
    <t>LORENA G. MARTINEZ BARRIOS</t>
  </si>
  <si>
    <t>ROBERTO ALEMAN GOMEZ</t>
  </si>
  <si>
    <t>IGNACIO MANUEL ALTAMIRANO S/N</t>
  </si>
  <si>
    <t>RAFAEL PARRA GUZMAN</t>
  </si>
  <si>
    <t>CIRO MARTINEZ PASCUAL</t>
  </si>
  <si>
    <t>CARRETERA DEL GOLFO NUM. 37</t>
  </si>
  <si>
    <t>FAUSTINO RIVAS ZARATE</t>
  </si>
  <si>
    <t>MARIA DE JESUS GOMEZ AGUILAR</t>
  </si>
  <si>
    <t>AVENIDA CHACALAPA, JUNTO A IMSS COPLAMAR</t>
  </si>
  <si>
    <t>ELOISA MENDOZA DOMINGUEZ</t>
  </si>
  <si>
    <t>CONOCIDO ENTRADA AL PUEBLO</t>
  </si>
  <si>
    <t>HUGO JOSE NAVARRETE RIOS</t>
  </si>
  <si>
    <t>PORVENIR S/N</t>
  </si>
  <si>
    <t>MOISES MOLINA CONTRERAS</t>
  </si>
  <si>
    <t>MARIA MARGARITA TLACHY ANELL</t>
  </si>
  <si>
    <t>NICOLAS MONTALVO CASTILLO</t>
  </si>
  <si>
    <t>MARIA DE LOS ANGELES CAMPOS PICHARDO</t>
  </si>
  <si>
    <t>ERENDIRA TOTO MORTERA</t>
  </si>
  <si>
    <t>CIRO CASTILLO MIL</t>
  </si>
  <si>
    <t>EMILIA GAONA PONCE</t>
  </si>
  <si>
    <t>CAMPO DEPORTIVO</t>
  </si>
  <si>
    <t>MARVIN LOPEZ MAULEON</t>
  </si>
  <si>
    <t>LEONILA TINOCO CASTRO</t>
  </si>
  <si>
    <t>DANIEL DE LA CRUZ CABRERA</t>
  </si>
  <si>
    <t>CONOCIDO PLANTA ALTA CONASUPO</t>
  </si>
  <si>
    <t>MIREYA MORALES HERNANDEZ</t>
  </si>
  <si>
    <t>CARLOS RENE CONTRERAS ORTIZ</t>
  </si>
  <si>
    <t>LETICIA SOCORRO LOPEZ TOBON</t>
  </si>
  <si>
    <t>NARCISO MENDOZA S/N</t>
  </si>
  <si>
    <t>ZITA GONZALEZ LOPEZ</t>
  </si>
  <si>
    <t>ABELARDO GONZALEZ RIVERA</t>
  </si>
  <si>
    <t>ELVIA BONILLA MARTINEZ</t>
  </si>
  <si>
    <t>ANA GRACIELA MAURY SALAS</t>
  </si>
  <si>
    <t>CLARA LUZ HERNANDEZ RAMOS</t>
  </si>
  <si>
    <t>GICELA RODRIGUEZ VELAZQUEZ</t>
  </si>
  <si>
    <t>CONOCIDO JUNTO A LA CLINICA DE LA S.S.A.</t>
  </si>
  <si>
    <t>YURIDIA MARIA LUISA JIMENEZ HERNANDEZ</t>
  </si>
  <si>
    <t>MARIANO AGUIRRE S/N ENTRADA A COMUNIDAD</t>
  </si>
  <si>
    <t>ANA DEL CARMEN MARCIAL GALLARDO</t>
  </si>
  <si>
    <t>MARTIN ALBERTO GONZALEZ RIVERA</t>
  </si>
  <si>
    <t>JOSE JORGE MARTINEZ MUÐOZ</t>
  </si>
  <si>
    <t>WILIAMS JIMENEZ HERMIDA</t>
  </si>
  <si>
    <t>KARINA DIAZ BLANCO</t>
  </si>
  <si>
    <t>EMILIANO ZAPATA S/N JUNTO A ESCUELA PRIMARIA</t>
  </si>
  <si>
    <t>SINUE PUENTE RANGEL</t>
  </si>
  <si>
    <t>ANAHI SALAZAR GONZALEZ</t>
  </si>
  <si>
    <t>LIDIA DIAZ SALAZAR</t>
  </si>
  <si>
    <t>CONOCIDO JUNTO AL DEPOSITO DE AGUA</t>
  </si>
  <si>
    <t>ENRIQUE GOSSIO ORTEGA</t>
  </si>
  <si>
    <t>IGNACIO ZARAGOZA NUM. 60</t>
  </si>
  <si>
    <t>EDITH PERALTA VIVEROS</t>
  </si>
  <si>
    <t>CONOCIDO JUNTO A LA LAGUNA</t>
  </si>
  <si>
    <t>JOSE ANGEL OBIL PAREDES</t>
  </si>
  <si>
    <t>CONOCIDO CERCA DEL PARQUE</t>
  </si>
  <si>
    <t>PEDRO RAMIREZ RODRIGUEZ</t>
  </si>
  <si>
    <t>CONOCIDO JUNTO AL PARQUE</t>
  </si>
  <si>
    <t>JUAN GABINO RAMOS</t>
  </si>
  <si>
    <t>CONOCIDO JUNTO AL SALON EJIDAL</t>
  </si>
  <si>
    <t>ANDRES HERNANDEZ HERNANDEZ</t>
  </si>
  <si>
    <t>JUAN CARLOS RIVERA VAZQUEZ</t>
  </si>
  <si>
    <t>CONOCIDO JUNTO AL JARDIN DE NIÑOS</t>
  </si>
  <si>
    <t>ELISA CASTELLANOS Y MONTOYA</t>
  </si>
  <si>
    <t>GISELA APARICIO URBANO</t>
  </si>
  <si>
    <t>CERRO DE ORO</t>
  </si>
  <si>
    <t>AZUCENA DE JESUS CABRERA LEZAMA</t>
  </si>
  <si>
    <t>EMILIANO ZAPATA S/N, JUNTO AL JARDIN DE NIÑOS</t>
  </si>
  <si>
    <t>ALICIA RIVERA LINARES</t>
  </si>
  <si>
    <t>FRANCISCO RODRIGUEZ SANCHEZ</t>
  </si>
  <si>
    <t>PRIVADA URBANA S/N</t>
  </si>
  <si>
    <t>MANUEL HERNANDEZ BADILLO</t>
  </si>
  <si>
    <t>JOSE ALFREDO CORONADO HERNANDEZ</t>
  </si>
  <si>
    <t>MACEDONIO DIAZ</t>
  </si>
  <si>
    <t>LAURA IVETTE MARIN LOPEZ</t>
  </si>
  <si>
    <t>FERNANDO VILLA ORTIGOSA</t>
  </si>
  <si>
    <t>HIRAM REYES RODRIGUEZ</t>
  </si>
  <si>
    <t>CONSTANCIO CRUZ JIMENEZ</t>
  </si>
  <si>
    <t>KARINA ELENA SERRALANGUE ESPINOZA</t>
  </si>
  <si>
    <t>CONSTITUCION ESQUINA DIAZ MIRON</t>
  </si>
  <si>
    <t>MARIA DEL CARMEN MORALES GOMEZ</t>
  </si>
  <si>
    <t>CHRISTIAN SAUL RIVERA MARIN</t>
  </si>
  <si>
    <t>DELFINA CALLEJAS PESTAÐA</t>
  </si>
  <si>
    <t>ELIZABETH RIVERA GONZALEZ</t>
  </si>
  <si>
    <t>LUZ MARINA GOMEZ REYES</t>
  </si>
  <si>
    <t>FRANZ ABAYUBA HERNANDEZ HERNANDEZ</t>
  </si>
  <si>
    <t>MARIA ISABEL RAMIREZ BEDOYA</t>
  </si>
  <si>
    <t>ASAEL AGUIRRE MASEGOZA</t>
  </si>
  <si>
    <t>CYNTHIA SINARA OJEDA BUSTOS</t>
  </si>
  <si>
    <t>ROGELIO LOPEZ Y CELIS</t>
  </si>
  <si>
    <t>LIBERTAD NUM. 12</t>
  </si>
  <si>
    <t>ISRAEL GIL MARIN</t>
  </si>
  <si>
    <t>MANUEL VALDES BARRIOS</t>
  </si>
  <si>
    <t>PROLONGACION CORREOS S/N</t>
  </si>
  <si>
    <t>ADAN PEREZ REYES</t>
  </si>
  <si>
    <t>CALLEJON TORTUGUEROS S/N</t>
  </si>
  <si>
    <t>PEDRO FRANCISCO HERNANDEZ GARCIA</t>
  </si>
  <si>
    <t>MARCO ANTONIO GARCIA CELIS</t>
  </si>
  <si>
    <t>RICARDO FLORES MAGON ESQUINA BENITO JUAREZ</t>
  </si>
  <si>
    <t>JUAN MANUEL RAMOS GORDILLO</t>
  </si>
  <si>
    <t>NORA DELIA OSORIO DIAZ</t>
  </si>
  <si>
    <t>FERNANDO ARELLANO DOMINGUEZ</t>
  </si>
  <si>
    <t>MIGUEL ANASTACIO MARTINEZ</t>
  </si>
  <si>
    <t>CLAUDIA ZAGAL ESPINOZA</t>
  </si>
  <si>
    <t>ROSALIA GUTIERREZ ORDOÑEZ</t>
  </si>
  <si>
    <t>ESTEBAN MARIN COSGALLA</t>
  </si>
  <si>
    <t>MARIANO OLAN JAVIER</t>
  </si>
  <si>
    <t>DANIEL MARCIANO ERNESTO</t>
  </si>
  <si>
    <t>FCO. MIGUEL SANATRIA MENA</t>
  </si>
  <si>
    <t>JOSE HECTOR SALAS LOPEZ</t>
  </si>
  <si>
    <t>ANGEL MARIN GONZALEZ</t>
  </si>
  <si>
    <t>FELIPE DE JESUS CARDEðA DZUL</t>
  </si>
  <si>
    <t>EVA CAISEROS AVILA</t>
  </si>
  <si>
    <t>AVELINO MARTINEZ SEGOVIA</t>
  </si>
  <si>
    <t>MARCELA CRUZ PEREZ</t>
  </si>
  <si>
    <t>GONZALO PEREZ LAMBERT</t>
  </si>
  <si>
    <t>ARIADNA PEÐA ACOSTA</t>
  </si>
  <si>
    <t>FRANCISCA DE JESUS DOMINGUEZ BARRADAS</t>
  </si>
  <si>
    <t>JULIO CESAR MACEDA HUERTA</t>
  </si>
  <si>
    <t>IRASEMA RODRIGUEZ BARRIOS</t>
  </si>
  <si>
    <t>LIBORIO F. CHIGO NUM. 48</t>
  </si>
  <si>
    <t>EMILIANO CORTES ROSALDO</t>
  </si>
  <si>
    <t>ARCELIA ARCE ARENAS</t>
  </si>
  <si>
    <t>JUNTO A LA CLINICA S.S.A.</t>
  </si>
  <si>
    <t>CARLOS VALDEZ AZAMAR</t>
  </si>
  <si>
    <t>JUNTO A LA CLINICA DEL IMSS</t>
  </si>
  <si>
    <t>SATURNINO ROMAN FACUNDO</t>
  </si>
  <si>
    <t>URSULO GALVAN ESQUINA LEY 6 DE ENERO</t>
  </si>
  <si>
    <t>ELIZABETH POLITO MORALES</t>
  </si>
  <si>
    <t>FRENTE A LA CASETA TELEFONICA</t>
  </si>
  <si>
    <t>ANTONIO OCELOT HERNANDEZ</t>
  </si>
  <si>
    <t>FRENTE AL NUM. 14 FRENTE AL CAMPO DE FUTBOL</t>
  </si>
  <si>
    <t>SANTIAGO ORTIZ RUIZ</t>
  </si>
  <si>
    <t>GONZALEZ Y PALACIOS 29</t>
  </si>
  <si>
    <t>WULFRANO RODRIGUEZ ANDRADE</t>
  </si>
  <si>
    <t>LORENA SANTOS ARENAS</t>
  </si>
  <si>
    <t>PRIMER EDIFICIO A LA ENTRADA DE LA COMUNIDAD</t>
  </si>
  <si>
    <t>SUSANA FERNANDEZ DOMINGUEZ</t>
  </si>
  <si>
    <t>A LA ENTRADA DE LA COMUNIDAD</t>
  </si>
  <si>
    <t>ABELARDO RAUL PARDO COBOS</t>
  </si>
  <si>
    <t>RAYMUNDO CERON ROSAS</t>
  </si>
  <si>
    <t>CALLE PRINCIPAL ANTES DE LA CONASUPO</t>
  </si>
  <si>
    <t>NICASIO MAYO MORTEO</t>
  </si>
  <si>
    <t>MIGUEL ANGEL TORRES CASTILLO</t>
  </si>
  <si>
    <t>ISAAC OROZCO BELTRAN</t>
  </si>
  <si>
    <t>VICTOR M. ZAMUDIO HERNANDEZ</t>
  </si>
  <si>
    <t>NORA DOMINGEZ M.</t>
  </si>
  <si>
    <t>FRENTE A LA CASA EJIDAL</t>
  </si>
  <si>
    <t>GASPAR CRUZ PEðA</t>
  </si>
  <si>
    <t>ENTRADA DE LA COMUNIDAD</t>
  </si>
  <si>
    <t>RAMONA COPETE TEGOMA</t>
  </si>
  <si>
    <t>CALLE S/N ATRAS DE LA ESCUELA PRIMARIA</t>
  </si>
  <si>
    <t>ROLANDO RAMON UBALDO</t>
  </si>
  <si>
    <t>VICTORINO ORTIZ RUIZ</t>
  </si>
  <si>
    <t>MIGUEL HIDALGO S/N JUNTO A LA ESCUELA PRIMARIA</t>
  </si>
  <si>
    <t>JOSE NAVARRETE CARVALLO</t>
  </si>
  <si>
    <t>ISABEL CRISTINA GONZALEZ COSME</t>
  </si>
  <si>
    <t>A UN COSTADO DE LA CARRETERA</t>
  </si>
  <si>
    <t>ALBA MATEOS DIAZ</t>
  </si>
  <si>
    <t>IGNACIO ZARAGOZA NUM. 4</t>
  </si>
  <si>
    <t>FILIBERTO HERNANDEZ VERDEJO</t>
  </si>
  <si>
    <t>PEDRO TORRES ACOSTA</t>
  </si>
  <si>
    <t>FRANCISCO JAVIER MINA NUM. 1</t>
  </si>
  <si>
    <t>MARIO REYMUNDO TREVIÐO RIVERA</t>
  </si>
  <si>
    <t>JORGE TOMAS PLATAS OROSTICO</t>
  </si>
  <si>
    <t>JOSE CHE RAMIREZ ESQUINA INDEPENDENCIA</t>
  </si>
  <si>
    <t>MARIO A. TREVIÑO RIVERA</t>
  </si>
  <si>
    <t>LUCILA Y. SANCHEZ OREA</t>
  </si>
  <si>
    <t>ENRIQUE PUMARINO LUNA</t>
  </si>
  <si>
    <t>ENTRADA AL PUEBLO JUNTO A ESCUELA PRIMARIA</t>
  </si>
  <si>
    <t>JUAN JOSE GUZMAN PEREZ</t>
  </si>
  <si>
    <t>EJERCITO NACIONAL NUM. 23</t>
  </si>
  <si>
    <t>SOFIA DELGADO PEREZ</t>
  </si>
  <si>
    <t>MS. DEL ROSARIO GUTIERREZ HUERTA</t>
  </si>
  <si>
    <t>OFELIA CARBALLO OROZCO</t>
  </si>
  <si>
    <t>ISAURO ACOSTA 15</t>
  </si>
  <si>
    <t>DANIEL CONTRERAS GUZMAN</t>
  </si>
  <si>
    <t>PASANDO LA VIA FFCC</t>
  </si>
  <si>
    <t>SANDRA CELIS MARTINEZ</t>
  </si>
  <si>
    <t>JUDITH HERNANDEZ BERNABE</t>
  </si>
  <si>
    <t>JORGE ESCOBAR ROBLES</t>
  </si>
  <si>
    <t>AVENIDA FELIPE CARRILLO PUERTO</t>
  </si>
  <si>
    <t>SAUL RIVERA IðIGUEZ</t>
  </si>
  <si>
    <t>ANASTACIO NIETO PONCE</t>
  </si>
  <si>
    <t>LEONARDO MEDINA VAZQUEZ</t>
  </si>
  <si>
    <t>LUIS DANIEL REYES TRAVIESO</t>
  </si>
  <si>
    <t>SONIA PEREZ SOSA</t>
  </si>
  <si>
    <t>CAMELIA S/N</t>
  </si>
  <si>
    <t>ANA MARIA CARBAJAL MONDRAGON</t>
  </si>
  <si>
    <t>ELISEO SALAS OBANDO</t>
  </si>
  <si>
    <t>GLORIA EDITH ARGUELLES ROMERO</t>
  </si>
  <si>
    <t>ROSAURA MIRANDA BARRIOS</t>
  </si>
  <si>
    <t>FELIPE DE JESUS LOBATO GIL</t>
  </si>
  <si>
    <t>ESQUINA JOSE MARIA MORELOS Y PINO SUAREZ</t>
  </si>
  <si>
    <t>RAMIRA MAR DEL ANGEL</t>
  </si>
  <si>
    <t>ROBERTO MARTINEZ AMARO</t>
  </si>
  <si>
    <t>ESTACION CARBONO S/N</t>
  </si>
  <si>
    <t>CESAR ROMERO VALENZUELA</t>
  </si>
  <si>
    <t>CECILIA SANTOS LUCAS</t>
  </si>
  <si>
    <t>LUZ YANETEH HERNANDEZ ROSAS</t>
  </si>
  <si>
    <t>CALLE AGUILA S/N</t>
  </si>
  <si>
    <t>ALICIA ZEPETA RAMIREZ</t>
  </si>
  <si>
    <t>SILVIA FLORITA DAVILA HERNANDEZ</t>
  </si>
  <si>
    <t>NORMA MIRIAM CRUZ JIMENEZ</t>
  </si>
  <si>
    <t>ROQUE VIDAL SANTOS</t>
  </si>
  <si>
    <t>IRMA VELA PEREZ</t>
  </si>
  <si>
    <t>FERNANDO SANTANDER HERNANDEZ</t>
  </si>
  <si>
    <t>JOSE AMBROSIO BERNAL ARGUELLO</t>
  </si>
  <si>
    <t>MIGUEL ANGEL MONTES CLEMENTE</t>
  </si>
  <si>
    <t>GASPAR RAMIREZ AGUILAR</t>
  </si>
  <si>
    <t>CALLE PRINCIPAL, CARRETERA AYAHUALULCO-PEROTE</t>
  </si>
  <si>
    <t>GABRIELA ROMERO OREA</t>
  </si>
  <si>
    <t>DAGOBERTO MARTINEZ  REYES</t>
  </si>
  <si>
    <t>NICOLAS BRAVO S/N</t>
  </si>
  <si>
    <t>OSIEL HERNANDEZ ROBLES</t>
  </si>
  <si>
    <t>JAIRS SANTIAGO MONTOYA</t>
  </si>
  <si>
    <t>SAUL ISRAEL BEDOY GARCIA</t>
  </si>
  <si>
    <t>MARIA GUADALUPE ARREOLA ZAMORA</t>
  </si>
  <si>
    <t>ANDADOR PALMA S/N</t>
  </si>
  <si>
    <t>SALVADOR RODRIGUEZ DURAN</t>
  </si>
  <si>
    <t>JUAN MALPICA Y COATZACOALCOS</t>
  </si>
  <si>
    <t>MARTHA HILDA VALDES GARCIA</t>
  </si>
  <si>
    <t>MARIA DOLORES BARON BANDERAS</t>
  </si>
  <si>
    <t>LUZ TERESA PARADA CANTU</t>
  </si>
  <si>
    <t>AVENIDA 1</t>
  </si>
  <si>
    <t>ELIZABETH CALLEJAS CERVANTES</t>
  </si>
  <si>
    <t>CALLE 40 S/N</t>
  </si>
  <si>
    <t>JOVITA NAVA GARCIA</t>
  </si>
  <si>
    <t>AVENIDA PRINCIPAL S/N</t>
  </si>
  <si>
    <t>GEORGINA BERMUDEZ AGUSTIN</t>
  </si>
  <si>
    <t>CALLE 4 S/N</t>
  </si>
  <si>
    <t>JORGE ELISEO CASTILLO LEON</t>
  </si>
  <si>
    <t>CALLE PRINCIPAL JUNTO A LA BIBLIOTECA</t>
  </si>
  <si>
    <t>ROBERTO BERNABE JIMENEZ</t>
  </si>
  <si>
    <t>OYAMEL S/N JUNTO A LA IGLESIA</t>
  </si>
  <si>
    <t>EDGAR JAVIER ROSAS GASPAR</t>
  </si>
  <si>
    <t>LEONCIO GALLARDO MARTINEZ</t>
  </si>
  <si>
    <t>AVENIDA BENITO JUAREZ S/N</t>
  </si>
  <si>
    <t>GUILEBALDA GIRON GUTIERREZ</t>
  </si>
  <si>
    <t>MARIA DEL PILAR JUAREZ SANCHEZ</t>
  </si>
  <si>
    <t>CENTRO DE COMUNIDAD JUNTO A PRIMARIA</t>
  </si>
  <si>
    <t>OSCAR MANUEL HERNANDEZ MARTINEZ</t>
  </si>
  <si>
    <t>CASA EJIDAL CENTRO</t>
  </si>
  <si>
    <t>SARA ADRIANA PULIDO LOYO</t>
  </si>
  <si>
    <t>AVENIDA 1 S/N</t>
  </si>
  <si>
    <t>ABEL DELFIN HERNANDEZ</t>
  </si>
  <si>
    <t>CALLE PRINCIPAL S/N JUNTO AL KINDER</t>
  </si>
  <si>
    <t>MAURICIO ORTIZ LEON</t>
  </si>
  <si>
    <t>JAIRO ROMEO ESQUEDA LAGUNES</t>
  </si>
  <si>
    <t>ENTRE AVENIDA PRINCIPAL JUNTO AL SALON EJIDAL</t>
  </si>
  <si>
    <t>SERELDA JANETH HERNANDEZ PEREZ</t>
  </si>
  <si>
    <t>PEDRO ABASCAL S/N</t>
  </si>
  <si>
    <t>RANFERI FLORES SANCHEZ</t>
  </si>
  <si>
    <t>ARACELY CERVANTES HERNANDEZ</t>
  </si>
  <si>
    <t>AVENIDA MIGUEL HIDALGO S/N</t>
  </si>
  <si>
    <t>LUCINA PALACIOS BARRIENTOS</t>
  </si>
  <si>
    <t>IVONNE JANET SANCHEZ RODRIGUEZ</t>
  </si>
  <si>
    <t>JOSE LUIS ARBEA RAMIREZ</t>
  </si>
  <si>
    <t>VIRGINIA JUAREZ CARRILLO</t>
  </si>
  <si>
    <t>ELOY HERNANDEZ CRUZ</t>
  </si>
  <si>
    <t>CRUCERO ENTRADA A LA COMUNIDAD</t>
  </si>
  <si>
    <t>EDGAR HERRERA LOPEZ</t>
  </si>
  <si>
    <t>JOSEFA ORTIZ DE DOMINGUEZ S/N</t>
  </si>
  <si>
    <t>ADRIANA GARCIA CAMARILLO</t>
  </si>
  <si>
    <t>CALLE PRINCIPAL ENTRADA DE LA POBLACION</t>
  </si>
  <si>
    <t>NOE JUAREZ CULEBRO</t>
  </si>
  <si>
    <t>CARRETERA RINCON DE LAS FLORES FRENTE A LA PRIMARIA</t>
  </si>
  <si>
    <t>FAUSTINO ENGLER SANCHEZ</t>
  </si>
  <si>
    <t>GORGONIO HERNANDEZ PEREZ</t>
  </si>
  <si>
    <t>JOSEFA ORTIZ DE DOMINGUEZ NUM. 936</t>
  </si>
  <si>
    <t>MARIA DEL PILAR SALAS SALOMON</t>
  </si>
  <si>
    <t>CRUCERO LAS JOSEFINAS</t>
  </si>
  <si>
    <t>MAYRA JEANETTE MENDOZA CALVA</t>
  </si>
  <si>
    <t>CALLE PRINCIPAL JUNTO AL PREESCOLAR</t>
  </si>
  <si>
    <t>NEREYDA PEREZ GAMBOA</t>
  </si>
  <si>
    <t>JOSE DANIEL SUAREZ PARRA</t>
  </si>
  <si>
    <t>VICTOR HUGO HERMIDA RIVERA</t>
  </si>
  <si>
    <t>CLARIVEL MARTINEZ HERNANDEZ</t>
  </si>
  <si>
    <t>JOAQUIN ZURITA RIVERA</t>
  </si>
  <si>
    <t>ROGELIO CORTAZAR VAZQUEZ</t>
  </si>
  <si>
    <t>FELIPE NICANOR LIMON</t>
  </si>
  <si>
    <t>JAIME JIMENEZ SANTOS</t>
  </si>
  <si>
    <t>JOSEFINA LARA GONZALEZ</t>
  </si>
  <si>
    <t>MARCO ANTONIO BAZAN MIRANDA</t>
  </si>
  <si>
    <t>ZAHUDY ZARET CORTES CANCINO</t>
  </si>
  <si>
    <t>CALLE BENJAMIN HIDALGO ESQUINA MARCIANO MARTINEZ</t>
  </si>
  <si>
    <t>FERNANDO ORTEGA GARCIA</t>
  </si>
  <si>
    <t>ANA LILIA LARA SALINAS</t>
  </si>
  <si>
    <t>MARIA DE JESUS LOPEZ OLVERA</t>
  </si>
  <si>
    <t>ANDADOR ORIENTE 1 Y EJE 1 S/N</t>
  </si>
  <si>
    <t>SILVIA JOSEFINA PAEZ DOMINGUEZ</t>
  </si>
  <si>
    <t>LAGUNA DE TAMIAHUA S/N UNIDAD HABITACIONAL EL COYOL</t>
  </si>
  <si>
    <t>NICOLAS ORTIZ SANTAMARIA</t>
  </si>
  <si>
    <t>FERROCARRILES Y CARRANZA S/N</t>
  </si>
  <si>
    <t>FELICITAS RINCON ROMERO</t>
  </si>
  <si>
    <t>FRANCISCO I. MADERO NUM. 10</t>
  </si>
  <si>
    <t>HILDA SANCHEZ DE LA VEGA GUILLEN</t>
  </si>
  <si>
    <t>ALFONSO MELCHOR Y BORJAS</t>
  </si>
  <si>
    <t>RAFAEL GASCA ALVA</t>
  </si>
  <si>
    <t>FRENTE A LA PRIMARIA 5 DE MAYO</t>
  </si>
  <si>
    <t>ENCARNACION CASBRERA FONSECA</t>
  </si>
  <si>
    <t>HUGO ALBERTO SALAZAR AVILA</t>
  </si>
  <si>
    <t>CALLE UNICA EN LA ESCUELA PRIMARIA</t>
  </si>
  <si>
    <t>BRIGIDA MICHI PEREZ</t>
  </si>
  <si>
    <t>JAVIER MINA S/N</t>
  </si>
  <si>
    <t>MARGARITA LOPEZ ZAGADA</t>
  </si>
  <si>
    <t>JUAN HERRERA ALARCON</t>
  </si>
  <si>
    <t>GUADALUPE JORGE LOPEZ DELGADO</t>
  </si>
  <si>
    <t>IRASEL NEGRETE RONZON</t>
  </si>
  <si>
    <t>MARIA DEL CARMEN PEREZ ARENAS</t>
  </si>
  <si>
    <t>CATALINA MARTINEZ PEREZ</t>
  </si>
  <si>
    <t>ERIK ACOSTA TORRES</t>
  </si>
  <si>
    <t>LUCY MIRELLA JORGE ENRIQUEZ</t>
  </si>
  <si>
    <t>JACQUELINA MERIDA Y MONROY</t>
  </si>
  <si>
    <t>NELY CELINA HEREDIA NIEVES</t>
  </si>
  <si>
    <t>COLONIA SOLIDARIDAD</t>
  </si>
  <si>
    <t>MARIA EUFRASIA REYES GARCIA</t>
  </si>
  <si>
    <t>LEONOR ORTIZ RAMIREZ</t>
  </si>
  <si>
    <t>OMAR RIGOBERTO HAMUD GARCIA</t>
  </si>
  <si>
    <t>BENJAMIN FIERRO HERRERA</t>
  </si>
  <si>
    <t>MARITZA ALARCON PANIAGUA</t>
  </si>
  <si>
    <t>DENISS EDAENA PEREZ GARCIA</t>
  </si>
  <si>
    <t>LUIS ALBERTO MENDEZ ANELL</t>
  </si>
  <si>
    <t>MARIO ALBERTO MONCAYO GARCIA</t>
  </si>
  <si>
    <t>CARLOS JOAQUIN CRUZ RIVERA</t>
  </si>
  <si>
    <t>GLORIA ANGELICA GARCIA AMECA</t>
  </si>
  <si>
    <t>JUNTO A UN JARDIN</t>
  </si>
  <si>
    <t>KILOMETRO 3 CARRETERA COSCOMATEPEC-ALPATLAHUAC</t>
  </si>
  <si>
    <t>MARIA GUADALUPE PIMENTEL OROZCO</t>
  </si>
  <si>
    <t>MARIA ISELA CARBALLO SANCHEZ</t>
  </si>
  <si>
    <t>JOSE DE JESUS SANCHEZ RAMOS</t>
  </si>
  <si>
    <t>VERENICE DIAZ VALERIO</t>
  </si>
  <si>
    <t>CALLE PRINCIPAL FRENTE A LA PRIMARIA</t>
  </si>
  <si>
    <t>ANIE ANEL ILLESCAS REYES</t>
  </si>
  <si>
    <t>CENTENARIO NUM. 77</t>
  </si>
  <si>
    <t>RODOLFO GONZALEZ GALINDO</t>
  </si>
  <si>
    <t>JULISA NATALIA ALFONSO CAMARILLO</t>
  </si>
  <si>
    <t>GISELA DE FELIPE HERRERA</t>
  </si>
  <si>
    <t>REGINO JARILLO BARBERENA</t>
  </si>
  <si>
    <t>DIONICIA CARREON RAMIREZ</t>
  </si>
  <si>
    <t>IVONNE CRISTINA LAGUNES GONZALEZ</t>
  </si>
  <si>
    <t>LEOPOLDO ORTEGA MALDONADO</t>
  </si>
  <si>
    <t>FELIX MUNGUIA CARRASCO</t>
  </si>
  <si>
    <t>EDEN OLIVERIO ENRIQUEZ GONZALEZ</t>
  </si>
  <si>
    <t>JORGE RAFAEL LEON ARENAS</t>
  </si>
  <si>
    <t>ARTURO PERALTA IBARRA</t>
  </si>
  <si>
    <t>DOCTORES S/N</t>
  </si>
  <si>
    <t>AVENIDA NAUTLA S/N</t>
  </si>
  <si>
    <t>DAISY JAZMIN PEREZ OLMEDO</t>
  </si>
  <si>
    <t>CARRETERA AL CEDRO DE NANCHITAL KILOMETRO 10</t>
  </si>
  <si>
    <t>CALLE PRINCIPAL ENTRADA AL PUEBLO</t>
  </si>
  <si>
    <t>HERIBERTO CAMACHO TRUJILLO</t>
  </si>
  <si>
    <t>EL CERRO S/N</t>
  </si>
  <si>
    <t>CEDRO S/N</t>
  </si>
  <si>
    <t>AVENIDA PRINCIPAL</t>
  </si>
  <si>
    <t>ROSALBA GARRIDO AGUSTIN</t>
  </si>
  <si>
    <t>HECTOR LOPEZ S/N</t>
  </si>
  <si>
    <t>VAZQUEZ CHAGOYA NUM. 3</t>
  </si>
  <si>
    <t>MARIA CRISTINA VICTORIANO GONZALEZ</t>
  </si>
  <si>
    <t>ELFREGO MORALES TERAN S/N</t>
  </si>
  <si>
    <t>GENERAL LAZARO CARDENAS</t>
  </si>
  <si>
    <t>MANUEL AVILA CAMACHO S/N</t>
  </si>
  <si>
    <t>DENIS FABIOLA GARCIA ALONSO</t>
  </si>
  <si>
    <t>PROLONGACION DE MELCHOR OCAMPO S/N</t>
  </si>
  <si>
    <t>SURY SARAHI REYES MOY</t>
  </si>
  <si>
    <t>YOLANDA ESPINOSA DIAZ</t>
  </si>
  <si>
    <t>LOMBARDO TOLEDANO S/N</t>
  </si>
  <si>
    <t>FRANCISCA DEL CARMEN GOMEZ DELGADO</t>
  </si>
  <si>
    <t>TERESA MENDEZ VENTURA</t>
  </si>
  <si>
    <t>GONZALO JUAREZ VAZQUEZ</t>
  </si>
  <si>
    <t>FRENTE AL JARDIN DE NIÑOS</t>
  </si>
  <si>
    <t>ALMA LIDIA AGUILAR SALAS</t>
  </si>
  <si>
    <t>JUNTO A LA CLINICA IMSS</t>
  </si>
  <si>
    <t>MARTIN MARTINEZ JUAREZ</t>
  </si>
  <si>
    <t>ALBERTO MARTINEZ APARICIO</t>
  </si>
  <si>
    <t>MARIA CONSUELO ZAMORA LOPEZ</t>
  </si>
  <si>
    <t>ENRIQUE ALONSO VILLEGAS ORTEGA</t>
  </si>
  <si>
    <t>INSTALACION ANTIGUA DE LA ESCUELA PRIMARIA</t>
  </si>
  <si>
    <t>MARIA DE LA PAZ GUEVARA SANTOS</t>
  </si>
  <si>
    <t>CECILIA GARCIA LARA</t>
  </si>
  <si>
    <t>LUIS CARLOS FERNANDEZ HERNANDEZ</t>
  </si>
  <si>
    <t>PALMA NUM. 4</t>
  </si>
  <si>
    <t>GUADALUPE S. QUINTO DE LA CRUZ</t>
  </si>
  <si>
    <t>MIRYAM GUADALUPE BARRIOS RAMIREZ</t>
  </si>
  <si>
    <t>SALON SOCIAL</t>
  </si>
  <si>
    <t>ROSARIO MORALES BANDALA</t>
  </si>
  <si>
    <t>CARRETERA A ZAPOTITLAN</t>
  </si>
  <si>
    <t>LUZ MARIA RAMIREZ BENAVIDES</t>
  </si>
  <si>
    <t>CESAR GRACTANO HERNANDEZ GUEVERA</t>
  </si>
  <si>
    <t>GREGORIO PEÑA CARRILLOZ</t>
  </si>
  <si>
    <t>FERNANDO ANGELES PADILLA</t>
  </si>
  <si>
    <t>RAFAEL GARCIA LAGUNES</t>
  </si>
  <si>
    <t>EPIGMENIO BENAVIDES DE LA ROSA</t>
  </si>
  <si>
    <t>CRISPIN HERNANDEZ ALFONSO</t>
  </si>
  <si>
    <t>CLEOFAS CASTELAN LOPEZ</t>
  </si>
  <si>
    <t>MARIA DE LOS ANGELES ALARCON HERNANDEZ</t>
  </si>
  <si>
    <t>KATINA RAMIREZ VELASCO</t>
  </si>
  <si>
    <t>A UN LADO DEL CEMENTERIO</t>
  </si>
  <si>
    <t>MARTHA LETICIA DE LUNA GUZMAN</t>
  </si>
  <si>
    <t>A LA SALIDA DE LA COMUNIDAD</t>
  </si>
  <si>
    <t>ARTURO LARA RODRIGUEZ</t>
  </si>
  <si>
    <t>KILOMETRO 60 CARRETERA VERACRUZ-CORDOBA</t>
  </si>
  <si>
    <t>MARIA LUISA GONZALEZ BERNABE</t>
  </si>
  <si>
    <t>A UN LADO DEL JARDIN DE NIÑOS</t>
  </si>
  <si>
    <t>ULISES RAMSES LARA COLL</t>
  </si>
  <si>
    <t>ARACELI HUERTA PEÑAFLOR</t>
  </si>
  <si>
    <t>A UN LADO DE LA IGLESIA</t>
  </si>
  <si>
    <t>JANNETE MARIA ACOSTA CERDA</t>
  </si>
  <si>
    <t>CALLE PRINCIPAL A 200 METROS DE LA CARRETERA</t>
  </si>
  <si>
    <t>CESAR CAMILO MUJICA CANO</t>
  </si>
  <si>
    <t>CALLE JACARANDA MANZANA 41</t>
  </si>
  <si>
    <t>JOSE PRETELIN POUCHOULEN</t>
  </si>
  <si>
    <t>AVENIDA KIWI S/N RESERVA 1</t>
  </si>
  <si>
    <t>ISABEL LARIOS CRUZ</t>
  </si>
  <si>
    <t>VICENTE LOMBARDO TOLEDANO S/N</t>
  </si>
  <si>
    <t>ANTELMA SALVADOR LARA</t>
  </si>
  <si>
    <t>CASA DEL CAMPESINO EJIDAL</t>
  </si>
  <si>
    <t>MOISES ACUðA VARGAS</t>
  </si>
  <si>
    <t>DIEGO RIVERA S/N</t>
  </si>
  <si>
    <t>LUZ DEL CARMEN MORALES MONTERO</t>
  </si>
  <si>
    <t>YUCATAN Y TABASCO NUM. 1</t>
  </si>
  <si>
    <t>ADITAIM MARQUEZ ORTEGA</t>
  </si>
  <si>
    <t>FRANCISCO VARGAS MENDEZ</t>
  </si>
  <si>
    <t>AVENIDA CRISTO REY CALLE LINDA VISTA S/N</t>
  </si>
  <si>
    <t>JUAN CARLOS TINOCO CUERVO</t>
  </si>
  <si>
    <t>ENRIQUE ARCOS CAMPOS</t>
  </si>
  <si>
    <t>JOSE ADAN LOPEZ MORALES</t>
  </si>
  <si>
    <t>ARMANDO TIRADO PEREZ</t>
  </si>
  <si>
    <t>LAZARO CARDENAS S/N</t>
  </si>
  <si>
    <t>FULGENCIO EUGENIO RIVERA HERNANDEZ</t>
  </si>
  <si>
    <t>HECTOR RAUL JUAREZ VAZQUEZ</t>
  </si>
  <si>
    <t>JOSE LUIS JUAREZ MENDOZA</t>
  </si>
  <si>
    <t>ARIEL AGUILAR VAZQUEZ</t>
  </si>
  <si>
    <t>ALEJANDRINO MONTERO CASTILLO</t>
  </si>
  <si>
    <t>IMSS SOLIDARIDAD ESQUINA B. DOMINGUEZ</t>
  </si>
  <si>
    <t>JAVIER ARENAS HERNANDEZ</t>
  </si>
  <si>
    <t>ELIZABETH SALAZAR CASADOS</t>
  </si>
  <si>
    <t>JUNTO AL KIOSKO</t>
  </si>
  <si>
    <t>HUGO AMADO PAARDO RUIZ</t>
  </si>
  <si>
    <t>ATRAS DE ESCUELA PRIMARIA</t>
  </si>
  <si>
    <t>MARIO ZAPATA PEREZ</t>
  </si>
  <si>
    <t>MIGUEL HIDALGO ESQUINA SANTA</t>
  </si>
  <si>
    <t>ELENA GUZMAN VAZQUEZ</t>
  </si>
  <si>
    <t>JUAN JOSE PATIðO BLANCO</t>
  </si>
  <si>
    <t>HERIBERTO TRONCO MARTINEZ</t>
  </si>
  <si>
    <t>JUNTO AL PANTEON</t>
  </si>
  <si>
    <t>DANIEL JUAN HUERTA LOPEZ</t>
  </si>
  <si>
    <t>CARRETERA MEX-TUXPAN KILOMETRO 6</t>
  </si>
  <si>
    <t>CARLOSFLORES FUENTES</t>
  </si>
  <si>
    <t>APOLONIO FLORES BAUTISTA</t>
  </si>
  <si>
    <t>ELIAS BARRIENTOS TORRES</t>
  </si>
  <si>
    <t>CALLE PRINCIPAL DE RANCHO NUEVO</t>
  </si>
  <si>
    <t>IRERI PEREZ RAMIREZ</t>
  </si>
  <si>
    <t>JUNTO A LA CLINICA COPLAMAR</t>
  </si>
  <si>
    <t>MIGUEL ANGEL ORTEGA MAR</t>
  </si>
  <si>
    <t>CESAR MARTINEZ HERNANDEZ</t>
  </si>
  <si>
    <t>NARCISO MORENO VICENTE</t>
  </si>
  <si>
    <t>REYNA HERNANDEZ OSORIO</t>
  </si>
  <si>
    <t>EJIDO LA UNION</t>
  </si>
  <si>
    <t>JULISSA GARCIA DE LA CRUZ</t>
  </si>
  <si>
    <t>MARIA IDALIA ESCOBAR RIOS</t>
  </si>
  <si>
    <t>MARTIN GUSTAVO RUIZ GARCIA</t>
  </si>
  <si>
    <t>HECTOR HERNANDEZ IBARRA</t>
  </si>
  <si>
    <t>SARA ANGELES RAMIREZ</t>
  </si>
  <si>
    <t>MARIA ELISA MARTINEZ GONZALEZ</t>
  </si>
  <si>
    <t>OFELIA SARAHYD GARCIA ARELLANO</t>
  </si>
  <si>
    <t>EDGAR ELOY CORTEZ REYES</t>
  </si>
  <si>
    <t>TERESA DE JESUS JUNCAL MEDINA</t>
  </si>
  <si>
    <t>MIRIAM LOPEZ CHAVEZ</t>
  </si>
  <si>
    <t>POR LA GALERA PUBLICA</t>
  </si>
  <si>
    <t>CARLOS RODRIGUEZ CASTILLO</t>
  </si>
  <si>
    <t>HORACIO BAEZ LEON</t>
  </si>
  <si>
    <t>MARIA JUANA PUENTE DE LA CRUZ</t>
  </si>
  <si>
    <t>ENTRADA POR OJITE</t>
  </si>
  <si>
    <t>ALBERTO VALDEZ  ALAMILLO</t>
  </si>
  <si>
    <t>JUANA ISABEL REYES PAZARAN</t>
  </si>
  <si>
    <t>FRANCISCO GARCIA INFANTE</t>
  </si>
  <si>
    <t>RUBEN TORAL ZARATE</t>
  </si>
  <si>
    <t>ISIDRO MUÑOZ ESQUINA CALLE DEL MAESTRO</t>
  </si>
  <si>
    <t>MARIA GUADALUPE MARTINEZ SERNA</t>
  </si>
  <si>
    <t>CASTO LEON GONZALEZ</t>
  </si>
  <si>
    <t>ANTONIO ORTEGA ORTEGA</t>
  </si>
  <si>
    <t>CESAR LOYOLA GARCIA</t>
  </si>
  <si>
    <t>PABLO ALMANZA MONTERO</t>
  </si>
  <si>
    <t>CONOCIDO JUNTO A LA CARRETERA</t>
  </si>
  <si>
    <t>JOSE LUIS LOPEZ ALARCON</t>
  </si>
  <si>
    <t>EDGAR ARTURO PORTILLA GONGORA</t>
  </si>
  <si>
    <t>JUANA GARCIA HEREDIA</t>
  </si>
  <si>
    <t>IVETT JUDITH SANCHEZ ACOSTA</t>
  </si>
  <si>
    <t>HECTOR MORALES TINOCO</t>
  </si>
  <si>
    <t>CLEMENTE CORTEZ VALENCIA</t>
  </si>
  <si>
    <t>TITO MARIN CASTRO</t>
  </si>
  <si>
    <t>GUILLERMO LAGUNA MONTIEL</t>
  </si>
  <si>
    <t>MARIA DEL ROCIO HERNANDEZ GUERRA</t>
  </si>
  <si>
    <t>ISIS MARGARITA ZAMUDIO ZAMUDIO</t>
  </si>
  <si>
    <t>CESAR PERALTA RODRIGUEZ</t>
  </si>
  <si>
    <t>SOR JUANA INES DE LA CRUZ NUM. 301</t>
  </si>
  <si>
    <t>EDUARDO AGUILAR MALPICA</t>
  </si>
  <si>
    <t>RUFINA CALLEJAS HERNANDEZ</t>
  </si>
  <si>
    <t>JUNTO AL CAMPO DE FUTBOL ANSELMO PEREZ</t>
  </si>
  <si>
    <t>MARIA GUADALUPE PEREZ CAMARILLO</t>
  </si>
  <si>
    <t>ROSENDO MARCOS TICANTE</t>
  </si>
  <si>
    <t>HILARIA VAZQUEZ JOAQUIN</t>
  </si>
  <si>
    <t>ALFONSO BLEN JIMENEZ</t>
  </si>
  <si>
    <t>CARRETERA AL REMOLINO</t>
  </si>
  <si>
    <t>VICENCIO PEREZ SAN MARTIN</t>
  </si>
  <si>
    <t>CORNELIO TORAL SANDOVAL</t>
  </si>
  <si>
    <t>ZEFERINO ZAVALETA FLORES</t>
  </si>
  <si>
    <t>FRENTE AL PALACIO MUNICIPAL</t>
  </si>
  <si>
    <t>JOSEFA HERNANDEZ MATUS</t>
  </si>
  <si>
    <t>VICTOR HUGO MEZA HERNANDEZ</t>
  </si>
  <si>
    <t>CORNELIO ESPINOSA SANCHEZ</t>
  </si>
  <si>
    <t>MARCO ANTONIO OROZCO MORALES</t>
  </si>
  <si>
    <t>ALFREDO HERNANDEZ PEREZ</t>
  </si>
  <si>
    <t>CARLOS SOLIS PEREZ</t>
  </si>
  <si>
    <t>ESCUELA PRIMARIA</t>
  </si>
  <si>
    <t>JOSE EMILIO GALAVIZ MACEGOZA</t>
  </si>
  <si>
    <t>SOR JUANA INES DE LA CRUZ S/N</t>
  </si>
  <si>
    <t>DEMETRIA PINEDA VILLANUEVA</t>
  </si>
  <si>
    <t>JOEL REYES BALBUENA</t>
  </si>
  <si>
    <t>LA CONSTITUCION S/N</t>
  </si>
  <si>
    <t>JUAN CARLOS SANCHEZ CALLEJAS</t>
  </si>
  <si>
    <t>JUANA EUTIMIA GARCIA HERNANDEZ</t>
  </si>
  <si>
    <t>FRANCISCO BLANCO CAMPOS</t>
  </si>
  <si>
    <t>JANIS ORTEGA MUÐOZ</t>
  </si>
  <si>
    <t>JOSE MANUEL TRUJILLO PEREZ</t>
  </si>
  <si>
    <t>FRANCISCO J. VILLANUEVA GUEVARA</t>
  </si>
  <si>
    <t>JORGE VARGAS ESPINOSA</t>
  </si>
  <si>
    <t>AURORA MODESTO JIMENEZ</t>
  </si>
  <si>
    <t>EDGAR GARCIA ARELLANO</t>
  </si>
  <si>
    <t>JUAN JOSE RAMIREZ PUGA</t>
  </si>
  <si>
    <t>MAGA MIRLEY ARELLANO CRUZ</t>
  </si>
  <si>
    <t>CRISOFORO PATIÐO SOSA</t>
  </si>
  <si>
    <t>MARDONIO FRANCISCO FLORES</t>
  </si>
  <si>
    <t>EDNA CLARINDA MAR FLORES</t>
  </si>
  <si>
    <t>HUMBERTO MARTINEZ ARMAS</t>
  </si>
  <si>
    <t>CARLOS ALBERTO VAZQUEZ VELAZQUEZ</t>
  </si>
  <si>
    <t>CAMINO A SAN FERNANDO</t>
  </si>
  <si>
    <t>MARIA DE LOURDES RAMIREZ VARGAS</t>
  </si>
  <si>
    <t>MARIA ESTHER GUADALUPE ALVARADO PEREZ</t>
  </si>
  <si>
    <t>YOLANDA SANCHEZ RIVAS</t>
  </si>
  <si>
    <t>DORA EMILIA OROZCO ROSAS</t>
  </si>
  <si>
    <t>UZUMACINTA Y ANDES</t>
  </si>
  <si>
    <t>MARCELINA GARCIA SANCHEZ</t>
  </si>
  <si>
    <t>QUINTA ORIENTE S/N</t>
  </si>
  <si>
    <t>ELISEO GONZALEZ LARA</t>
  </si>
  <si>
    <t>JUNTO A LA ESCUELA PRIMARIA VASCO DE QUIROGA</t>
  </si>
  <si>
    <t>EFREN ESPERANZA VILLALOBOS</t>
  </si>
  <si>
    <t>BENITO JUAREZ NUM. 2</t>
  </si>
  <si>
    <t>OCTAVIO RIVERA MELENDRES</t>
  </si>
  <si>
    <t>ORALIA MACIAS GARCIA</t>
  </si>
  <si>
    <t>LUZ ARMIDA COBOS DEL ANGEL</t>
  </si>
  <si>
    <t>JULIA  HERNANDEZ FLORES</t>
  </si>
  <si>
    <t>VICENTE GUERRERO Y LERDO DE TEJADA S/N</t>
  </si>
  <si>
    <t>SALOMON MARTINEZ DEL ANGEL</t>
  </si>
  <si>
    <t>MILAGROS DE J. CAMACHO ELORZA</t>
  </si>
  <si>
    <t>JESUS REYES MENDEZ</t>
  </si>
  <si>
    <t>JUAN RAMIREZ ESCALANTE</t>
  </si>
  <si>
    <t>ESQUINA ENRIQUE C. REBSAMEN Y ZARAGOZA</t>
  </si>
  <si>
    <t>JOSE BORREGO LOYA</t>
  </si>
  <si>
    <t>BENITO JUAREZ NUM. 44</t>
  </si>
  <si>
    <t>FABIOLA DE J. QUINTERO HERNANDEZ</t>
  </si>
  <si>
    <t>ARTURO HERNANDEZ ROMERO</t>
  </si>
  <si>
    <t>CARLOS HERNANDEZ HERNANDEZ</t>
  </si>
  <si>
    <t>CONSTITUCION NORTE NUM. 36</t>
  </si>
  <si>
    <t>NORBERTO HERNANDEZ CERECEDO</t>
  </si>
  <si>
    <t>FELIX QUIROZ OLIVARES</t>
  </si>
  <si>
    <t>ANTONIO LOYA GALLARDO</t>
  </si>
  <si>
    <t>LAZARO MENDEZ LUCAS</t>
  </si>
  <si>
    <t>NORA AIDE HERNANDEZ HERNANDEZ</t>
  </si>
  <si>
    <t>ESMERALDA SANTIAGO GUEMEZ</t>
  </si>
  <si>
    <t>CONCEPCION DOMINGUEZ FRANCISCO</t>
  </si>
  <si>
    <t>JOSE MANUEL CRUZ HERNANDEZ</t>
  </si>
  <si>
    <t>CYNDI SOLIS QUINTANA</t>
  </si>
  <si>
    <t>VIRGINIA OSORIO CRUZ</t>
  </si>
  <si>
    <t>MARIA FELIX MONTES</t>
  </si>
  <si>
    <t>HIGINIO SOLIS CRUZ</t>
  </si>
  <si>
    <t>LILIA VELAZQUEZ PEREZ</t>
  </si>
  <si>
    <t>ARMIN GARCIA FUENTES</t>
  </si>
  <si>
    <t>GRISELDA MONTIEL LAGUNES</t>
  </si>
  <si>
    <t>GLADIS DALILA HERNANDEZ R.</t>
  </si>
  <si>
    <t>JUAN COLORADO QUIROZ</t>
  </si>
  <si>
    <t>GUADALUPE HERRERA BELTRAN</t>
  </si>
  <si>
    <t>MARIA FRANCISCA TORALES MORGADO</t>
  </si>
  <si>
    <t>LEYES DE REFORMA NUM. 14</t>
  </si>
  <si>
    <t>FRANCISCA RIVERA RIVERA</t>
  </si>
  <si>
    <t>CALLE ZAFIRO NUM. 3</t>
  </si>
  <si>
    <t>LOURDES JAMILLETH CHACON HERRERA</t>
  </si>
  <si>
    <t>CALLE ROBLE S/N</t>
  </si>
  <si>
    <t>HERIBERTO LARA HERNANDEZ</t>
  </si>
  <si>
    <t>CALLE PARQUE ECOLOGICO MACUILTEPETL NUM. 16</t>
  </si>
  <si>
    <t>SOL NUM. 147 VILLAS DE XALAPA</t>
  </si>
  <si>
    <t>JOSE LUIS AVILA LANDA</t>
  </si>
  <si>
    <t>CALLE JORGE CUESTA S/N</t>
  </si>
  <si>
    <t>ROBERTO LLANOS OLIVA</t>
  </si>
  <si>
    <t>MTRO. VICTOR MANUEL PRIETO CHIPOL</t>
  </si>
  <si>
    <t>EDITH MONTERO LOPEZ</t>
  </si>
  <si>
    <t>CLAUDIA LUCERO BELTRAN</t>
  </si>
  <si>
    <t>PRIVADA DE BENITO JUAREZ S/N</t>
  </si>
  <si>
    <t>JOSE ENRIQUE FUENTES HUERTA</t>
  </si>
  <si>
    <t>SOR JUANA INES DE LA CRUZ S/N ESQUINA NIÑOS HEROES</t>
  </si>
  <si>
    <t>ROSALINDA CAMARILLO DE LA TORRE</t>
  </si>
  <si>
    <t>BLANCA EDITH FUENTES REYES</t>
  </si>
  <si>
    <t>FRENTE A LA EMBOTELLADORA DE COYAME</t>
  </si>
  <si>
    <t>SOCORRO CAMACHO SANCHEZ</t>
  </si>
  <si>
    <t>OSCAR IVAN MARTINEZ DIAZ</t>
  </si>
  <si>
    <t>CACAO S/N</t>
  </si>
  <si>
    <t>A 200 METROS DE LA PRIMARIA</t>
  </si>
  <si>
    <t>AURELIANO LUNA ROSAS</t>
  </si>
  <si>
    <t>CONSTITUCION NUM. 1</t>
  </si>
  <si>
    <t>GONZALO BAXIN BAXIN</t>
  </si>
  <si>
    <t>FLOR DE MAYO NUM. 1</t>
  </si>
  <si>
    <t>LUCRECIA CLEMENTINA ESCRIBONO LUCHO</t>
  </si>
  <si>
    <t>RUMBO AL CAMINO A LA CAÑADA</t>
  </si>
  <si>
    <t>PABLO PUCHETA VELAZCO</t>
  </si>
  <si>
    <t>DOS CUADRAS ANTES DE LA ESCUELA PRIMARIA</t>
  </si>
  <si>
    <t>HECTOR PRETELIN POUCHOULEN</t>
  </si>
  <si>
    <t>MARIA ELENA RAMIREZ VARGAS</t>
  </si>
  <si>
    <t>CAMINO ANTIGUO A SIHUAPAN</t>
  </si>
  <si>
    <t>OMAR SILVERIO SOSA VERDEJO</t>
  </si>
  <si>
    <t>MARIA EUGENIA LARA ESTRADA</t>
  </si>
  <si>
    <t>MARIA DE LOS ANGELES BRAVO VELAZQUEZ</t>
  </si>
  <si>
    <t>JOSE LUIS PACHUCA BONIFACIO</t>
  </si>
  <si>
    <t>SILVERIO LOPEZ CONTRERAS</t>
  </si>
  <si>
    <t>VICTOR MOLINA ORTIZ</t>
  </si>
  <si>
    <t>JORGE LUIS LUA QUINO</t>
  </si>
  <si>
    <t>BELISARIO DOMINGUEZ NUM. 13</t>
  </si>
  <si>
    <t>REYNALDO RAMON ZAGAL MENEZ</t>
  </si>
  <si>
    <t>ARAUCARIAS S/N</t>
  </si>
  <si>
    <t>ROGELIO LAZARO GAPIS</t>
  </si>
  <si>
    <t>VERACRUZ NUM. 3</t>
  </si>
  <si>
    <t>MENARDO DOMINGUEZ RIVERA</t>
  </si>
  <si>
    <t>VICTOR MANUEL OLIVARES RAMIREZ</t>
  </si>
  <si>
    <t>JOSE AZUETA NUM. 4</t>
  </si>
  <si>
    <t>JUVENTINO P. SANCHEZ MARTINEZ</t>
  </si>
  <si>
    <t>ELIZABETH HERNANDEZ VIVEROS</t>
  </si>
  <si>
    <t>ROSA ILEANA MARTINEZ LEON</t>
  </si>
  <si>
    <t>LERDO S/N</t>
  </si>
  <si>
    <t>MARIA TRINIDAD GERON Y HERRERA</t>
  </si>
  <si>
    <t>MAYRA YESENIA ACOSTA VELASCO</t>
  </si>
  <si>
    <t>LUIS ALBERTO FIGUEROA ROA</t>
  </si>
  <si>
    <t>SALON SOCIAL DE LA COMUNIDAD</t>
  </si>
  <si>
    <t>MARTHA CECILIA HERNANDEZ RIVERA</t>
  </si>
  <si>
    <t>JOSE PORFIRIO SOLANO GARCIA</t>
  </si>
  <si>
    <t>HERMILO DANIEL VIVEROS GOMEZ</t>
  </si>
  <si>
    <t>FRANCISCO VILLA S/N</t>
  </si>
  <si>
    <t>FELIZA BLANCO ARCINIEGA</t>
  </si>
  <si>
    <t>DANTE DELGADO RANAURO S/N</t>
  </si>
  <si>
    <t>DAVID CONTRERAS BLANCO</t>
  </si>
  <si>
    <t>A UN COSTADO DE LA PRIMARIA</t>
  </si>
  <si>
    <t>JAIME LUIS SANCHEZ</t>
  </si>
  <si>
    <t>REFORMA AGRARIA S/N</t>
  </si>
  <si>
    <t>JOSE DE JESUS RODRIGUEZ GRAJALES</t>
  </si>
  <si>
    <t>COLOMBIA LANO S/N</t>
  </si>
  <si>
    <t>JOSE ALFREDO JIMENEZ PORTILLA</t>
  </si>
  <si>
    <t>OSIRIS DELGADO  TRUJILLO</t>
  </si>
  <si>
    <t>CALIFORNIA S/N</t>
  </si>
  <si>
    <t>CLEMENTINA HERNANDEZ ORTEGA</t>
  </si>
  <si>
    <t>ESCUELA PRIMARIA BENITO JUAREZ</t>
  </si>
  <si>
    <t>MANUEL BARRIOS GONZALEZ</t>
  </si>
  <si>
    <t>TOMAS SANTIAGO DEL ANGEL</t>
  </si>
  <si>
    <t>SALIDA A TOCOLOTEPEC</t>
  </si>
  <si>
    <t>ROBERTO BAUTISTA MELENDEZ</t>
  </si>
  <si>
    <t>16 DE SEPTIEMBRE S/N (CASA DE SALUD)</t>
  </si>
  <si>
    <t>JUAN PABLO SANTOS GUZMAN</t>
  </si>
  <si>
    <t>ANGEL FRANCISCO LICONA BERNABE</t>
  </si>
  <si>
    <t>JESUS CARRANZA S/N</t>
  </si>
  <si>
    <t>RAFAEL CRUZ ALEJANDRE</t>
  </si>
  <si>
    <t>CARRETERA A ROMERO RUBIO S/N</t>
  </si>
  <si>
    <t>ARACELI SALINAS HERNANDEZ</t>
  </si>
  <si>
    <t>CARRETERA A LOPEZ MATEOS S/N</t>
  </si>
  <si>
    <t>FACUNDO CRUZ HERNANDEZ</t>
  </si>
  <si>
    <t>FERNANDO LOPEZ ARIAS S/N</t>
  </si>
  <si>
    <t>AURELIANO DOMINGUEZ VAZQUEZ</t>
  </si>
  <si>
    <t>FELICITAS SAN JUAN GARCIA</t>
  </si>
  <si>
    <t>CARRETERA MURILLO VIDAL S/N</t>
  </si>
  <si>
    <t>MANUEL PESTAÐA VELA</t>
  </si>
  <si>
    <t>MINERVA CRUZ DE LA CRUZ</t>
  </si>
  <si>
    <t>MARCO ANTONIO GONZALEZ PASCUAL</t>
  </si>
  <si>
    <t>RICARDO GUERRERO REYES</t>
  </si>
  <si>
    <t>RAFAEL BLANCO CALLES</t>
  </si>
  <si>
    <t>BOULEVARD ESQUINA HE5RMOSA</t>
  </si>
  <si>
    <t>ALEJANDRO REBOLLEDO MOLINA</t>
  </si>
  <si>
    <t>PROLONGACION SALIDA A FRANCISO I. MADERO</t>
  </si>
  <si>
    <t>JAIME ALBERTO TORIZ HERVER</t>
  </si>
  <si>
    <t>LUIS RAUL TRINIDAD NINO</t>
  </si>
  <si>
    <t>BENITO JUAREZ S/N (ESCUELA PRIMARIA)</t>
  </si>
  <si>
    <t>JHANDI DE JESUS CRUZ CALDELAS</t>
  </si>
  <si>
    <t>POZA RICA S/N</t>
  </si>
  <si>
    <t>YOLANDA VERA AZUARA</t>
  </si>
  <si>
    <t>TERESA DE JESUS PABLO LEE</t>
  </si>
  <si>
    <t>VIRGINIO PULIDO RAMIREZ</t>
  </si>
  <si>
    <t>JOSE ANTONIO AGUILAR MORENO</t>
  </si>
  <si>
    <t>CIRENIO DEL ANGEL DEL ANGEL</t>
  </si>
  <si>
    <t>CONOCIDO LA GALERA</t>
  </si>
  <si>
    <t>TOMAS CRUZ CRUZ</t>
  </si>
  <si>
    <t>GUSTAVO MENDOZA GARCIA</t>
  </si>
  <si>
    <t>BRUNO MARIANO UZCANGA</t>
  </si>
  <si>
    <t>MARGARITA CORTES FRANCISCO</t>
  </si>
  <si>
    <t>JAVIER CABRERA ESPINOZA</t>
  </si>
  <si>
    <t>ANGEL ARGUELLES BALDERAS</t>
  </si>
  <si>
    <t>MERCED MARTINEZ CERECEDO</t>
  </si>
  <si>
    <t>VICENTE MONTALVO VAZQUEZ</t>
  </si>
  <si>
    <t>MONICA ESTRADA MEDINA</t>
  </si>
  <si>
    <t>JOSE ALONSO RAMIREZ RAMIREZ</t>
  </si>
  <si>
    <t>ALFONSO HERRERA ESPINO</t>
  </si>
  <si>
    <t>GUILLERMO PEREZ MARTINEZ</t>
  </si>
  <si>
    <t>YADIRA MAYA GALICIA</t>
  </si>
  <si>
    <t>GABRIEL GARCIA CRUZ</t>
  </si>
  <si>
    <t>COLONIA INSURGENTES SOCIALISTAS</t>
  </si>
  <si>
    <t>JUAN DEL ANGEL BARCENAS</t>
  </si>
  <si>
    <t>ATRAS DE LA ESCUELA PRIMARIA</t>
  </si>
  <si>
    <t>RENE FLORES NAVA</t>
  </si>
  <si>
    <t>LAS PILAS</t>
  </si>
  <si>
    <t>MARIO FLORES HERNANDEZ</t>
  </si>
  <si>
    <t>FRANCISCO HERNANDEZ PEREZ</t>
  </si>
  <si>
    <t>GILBERTO BAUTISTA ARGUELLES</t>
  </si>
  <si>
    <t>ABEL AGUILAR CONTRERAS</t>
  </si>
  <si>
    <t>RAFAEL ESPINOSA PEREZ</t>
  </si>
  <si>
    <t>REVOLUCION NUM. 1</t>
  </si>
  <si>
    <t>JUAN ESPINOSA BADILLO</t>
  </si>
  <si>
    <t>DANIEL HERVERT ESPINOZA</t>
  </si>
  <si>
    <t>EPIGMENIO SANCHEZ TENORIO</t>
  </si>
  <si>
    <t>RENAN ROCHA SALAS</t>
  </si>
  <si>
    <t>DR. COSS S/N</t>
  </si>
  <si>
    <t>CARLOS A. FLORES SANCHEZ</t>
  </si>
  <si>
    <t>ALMA ARELY PERUZQUIA MARTINEZ</t>
  </si>
  <si>
    <t>ADAN CHIRINOS DEL ANGEL</t>
  </si>
  <si>
    <t>MAYRA FABIOLA CERVANTES GARCIA</t>
  </si>
  <si>
    <t>CARRETERA TEMPOAL-HUEJUTLA KILOMETRO 10</t>
  </si>
  <si>
    <t>ABELIN CERON AZUARA</t>
  </si>
  <si>
    <t>A UN LADO DEL CAMPO DEPORTIVO</t>
  </si>
  <si>
    <t>PRIMITIVO HERNANDEZ FLORES</t>
  </si>
  <si>
    <t>ENFRENTE DE LA ESCUELA PRIMARIA</t>
  </si>
  <si>
    <t>LUZ HERNANDEZ ACOSTA</t>
  </si>
  <si>
    <t>CALLE PRINCIPAL S/N FRENTE A LA CASA MUNICIPAL</t>
  </si>
  <si>
    <t>THERMA GONZALEZ SANCHEZ</t>
  </si>
  <si>
    <t>SALIDA A LA CONCHA S/N</t>
  </si>
  <si>
    <t>MARCELA GUTIERREZ MARTIN</t>
  </si>
  <si>
    <t>12 DE OCTUBRE Y MIGUEL HIDALGO S/N</t>
  </si>
  <si>
    <t>NOE ALEJANDRO BAUTISTA CABAðEZ</t>
  </si>
  <si>
    <t>CATALINA SIMBRON GARCIA</t>
  </si>
  <si>
    <t>JUNTO AL ALBERGUE</t>
  </si>
  <si>
    <t>ADALBERTO AVILA MORGADO</t>
  </si>
  <si>
    <t>CALLE BONIFACIO CASTILLO S/N</t>
  </si>
  <si>
    <t>JOSE ALFREDO ARIAS PEREZ</t>
  </si>
  <si>
    <t>ESQUINA CAMPO DE FUTBOL</t>
  </si>
  <si>
    <t>GERARDO SANTIAGO RODRIGUEZ</t>
  </si>
  <si>
    <t>LUZ MARIA DEL CARMEN CRUZ MARIN</t>
  </si>
  <si>
    <t>AVENIDA JOSE MARIA MORELOS Y PAVON</t>
  </si>
  <si>
    <t>CATALINA PEREZ VILLANUEVA</t>
  </si>
  <si>
    <t>JORGE LUIS OLMEDO CRUZ</t>
  </si>
  <si>
    <t>JUSTO SIERRA S/N</t>
  </si>
  <si>
    <t>MARTHA GEORGINA OLVERA BEEZ</t>
  </si>
  <si>
    <t>LEOBARDO MUðOZ TICANTE</t>
  </si>
  <si>
    <t>NIÑOS HEROES ESQUINA GUADALUPE VICTORIA S/N</t>
  </si>
  <si>
    <t>MAYTE CONCEPCION PEREZ BERNABE</t>
  </si>
  <si>
    <t>GUDELIA HERNANDEZ FAJARDO</t>
  </si>
  <si>
    <t>JUNTO AL CEMENTERIO</t>
  </si>
  <si>
    <t>ABEL ESPINOSA SAGAHON</t>
  </si>
  <si>
    <t>RIVA PALACIO S/N</t>
  </si>
  <si>
    <t>LEOPOLDO HERNANDEZ MORALES</t>
  </si>
  <si>
    <t>CALLE PRINCIPAL S/N (JUNTO AL JARDIN DE NIÑOS)</t>
  </si>
  <si>
    <t>RUBICELIA FRANCO PAREDES</t>
  </si>
  <si>
    <t>VICENTE LUNA LOPEZ</t>
  </si>
  <si>
    <t>RAMON SANCHEZ PEREZ</t>
  </si>
  <si>
    <t>MARTIN ANTONIO MORALES ALARCON</t>
  </si>
  <si>
    <t>NAYELY DOLORES SAAVEDRA MARTINEZ</t>
  </si>
  <si>
    <t>JOSE GUADALUPE OSCAR RUIZ LORENZO</t>
  </si>
  <si>
    <t>RAFAEL MORENO S/N</t>
  </si>
  <si>
    <t>ALFONSO GUTIERREZ CONTRERAS</t>
  </si>
  <si>
    <t>AVENIDA BENITO JUAREZ ESQUINA FRANCISCO I. MADERO</t>
  </si>
  <si>
    <t>JUAN SERRANO ALMEIDA</t>
  </si>
  <si>
    <t>PRIMERO DE MAYO NUM. 1</t>
  </si>
  <si>
    <t>MARTHA ANGELICA ROSAS BAUTISTA</t>
  </si>
  <si>
    <t>ABELARDO VELA COAVICHI</t>
  </si>
  <si>
    <t>ABEL CIRILO ESCALONA GARCIA</t>
  </si>
  <si>
    <t>RICARDO FLORES GARCIA</t>
  </si>
  <si>
    <t>ALBA ZARATE ROSAS</t>
  </si>
  <si>
    <t>BENJAMIN ROJAS GARCIA</t>
  </si>
  <si>
    <t>JOSE MANUEL REBOLLEDO AYALA</t>
  </si>
  <si>
    <t>JULIAN EFREN ESPINOSA VELEZ</t>
  </si>
  <si>
    <t>RAMIRO MARCELO JIMENEZ NARANJO</t>
  </si>
  <si>
    <t>JOAQUIN CAMACHO SALAZAR</t>
  </si>
  <si>
    <t>CALLE PRINCIPAL  S/N</t>
  </si>
  <si>
    <t>CARLOS FRANCISCO PEREZ HIDALGO</t>
  </si>
  <si>
    <t>CAMINO UNICO A TERRERO KILOMETRO 6.5</t>
  </si>
  <si>
    <t>RIGOBERTO BADILLO TORAL</t>
  </si>
  <si>
    <t>JONATHAN MARTINEZ SALAZAR</t>
  </si>
  <si>
    <t>PLUTARCO MALDONADO AURIOLES</t>
  </si>
  <si>
    <t>CESAR MARTIN CUEVAS TRUJILLO</t>
  </si>
  <si>
    <t>ALEJANDRO CANO MENDEZ</t>
  </si>
  <si>
    <t>BRIANDA MAYELIHERNANDEZ MENDOZA</t>
  </si>
  <si>
    <t>AARON ANTONIO GONZALEZ</t>
  </si>
  <si>
    <t>ANA DELIA CARRIZO ITZA</t>
  </si>
  <si>
    <t>CUPERTINO SANCHEZ GARCIA</t>
  </si>
  <si>
    <t>MARCO ANTONIO SANTOS SOSA</t>
  </si>
  <si>
    <t>ERNESTO GARCIA MARTINEZ</t>
  </si>
  <si>
    <t>ALEJANDRO TORRES RAMIREZ</t>
  </si>
  <si>
    <t>JORGE ISMAEL CHAVEZ MENDEZ</t>
  </si>
  <si>
    <t>CESAR IVAN MARQUEZ SOLANO</t>
  </si>
  <si>
    <t>SUNY RAMOS MORALES</t>
  </si>
  <si>
    <t>MARANGONI BALTAZAR MARTINEZ</t>
  </si>
  <si>
    <t>JUNTO A LA CARRETERA FEDERAL</t>
  </si>
  <si>
    <t>MARISA JUDITH CERECEDO CANDELARIA</t>
  </si>
  <si>
    <t>JOSE AZUETA S/N</t>
  </si>
  <si>
    <t>CASTULO PIðA SANCHEZ</t>
  </si>
  <si>
    <t>AVENIDA JUAN JOSE MARTINEZ S/N</t>
  </si>
  <si>
    <t>JUVENTINO TORRES CRUZ</t>
  </si>
  <si>
    <t>FRENTE A LA CLINICA DEL SECTOR SALUD</t>
  </si>
  <si>
    <t>NORMA PATRICIA MORALES ORTIZ</t>
  </si>
  <si>
    <t>FRANCISCO R. LOPEZ P.</t>
  </si>
  <si>
    <t>MAURICIO FERNANDEZ SANCHEZ</t>
  </si>
  <si>
    <t>CALLE PRINCIPAL FRACCION DE LA PARCELA 48</t>
  </si>
  <si>
    <t>LIZBETH HERNANDEZ DELGADO</t>
  </si>
  <si>
    <t>FRENTE AL KINDER</t>
  </si>
  <si>
    <t>JOSE LUIS TOVAR AVILA</t>
  </si>
  <si>
    <t>CONOCIDO AL FINAL DE LA CALLE PRINCIPAL</t>
  </si>
  <si>
    <t>CIRIACO GOMEZ OSORIO</t>
  </si>
  <si>
    <t>CONOCIDO ENTRE LA PRIMARIA Y EL KINDER</t>
  </si>
  <si>
    <t>ALVARO PEREZ GUERRERO</t>
  </si>
  <si>
    <t>CONOCIDO EN LA CASA DEL CAMPESINO</t>
  </si>
  <si>
    <t>ROSALIA ALBERTA ANIMAS RENTERIA</t>
  </si>
  <si>
    <t>J. VILLEGAS NUM. 201</t>
  </si>
  <si>
    <t>CLEOFAS SOFIA PEREZ</t>
  </si>
  <si>
    <t>MARIA ELVIA MORALES SANCHEZ</t>
  </si>
  <si>
    <t>PLAYA LOS COCOS S/N</t>
  </si>
  <si>
    <t>ALEJANDRO LEON ORTIZ</t>
  </si>
  <si>
    <t>GIRASOL S/N ESQUINA BUGAMBILIA</t>
  </si>
  <si>
    <t>JOEL ZAMUDIO LEON</t>
  </si>
  <si>
    <t>RIO ALTAR S/N</t>
  </si>
  <si>
    <t>HUGO CELIS Y HERNANDEZ</t>
  </si>
  <si>
    <t>ELEUTERIO RODRIGUEZ JIMENEZ</t>
  </si>
  <si>
    <t>AMADO MARTINEZ AMARO</t>
  </si>
  <si>
    <t>JOSE REFUGIO RODRIGUEZ GASPAR</t>
  </si>
  <si>
    <t>FRANCISCO HERNANDEZ RODRIGUEZ</t>
  </si>
  <si>
    <t>VICTOR RESENDIZ RAMIREZ</t>
  </si>
  <si>
    <t>OBERLIN F. AVILES GALVAN</t>
  </si>
  <si>
    <t>A UN COSTADO DEL CAMPO DEPORTIVO</t>
  </si>
  <si>
    <t>MARIA ELENA AGUIRRE GARCIA</t>
  </si>
  <si>
    <t>GERMAN CRUZ RIVERA</t>
  </si>
  <si>
    <t>A UN COSTADO DE LA CONASUPO</t>
  </si>
  <si>
    <t>LUCRECIA GARCIA MARTINEZ</t>
  </si>
  <si>
    <t>CAMINO DE LA CULTURA NUM. 9-1</t>
  </si>
  <si>
    <t>COYOLICALTZIN CUEVAS ROJO</t>
  </si>
  <si>
    <t>JUNTO A LA CASA EJIDAL</t>
  </si>
  <si>
    <t>SERGIO MARCOS ROCHA</t>
  </si>
  <si>
    <t>ALTO DE VEGA RICA S/N</t>
  </si>
  <si>
    <t>NORA MYRNA CASTILLO GONZALEZ</t>
  </si>
  <si>
    <t>GONZALEZ CARBAJAL AGUILAR</t>
  </si>
  <si>
    <t>ALEJANDRO GARCIA MEZA</t>
  </si>
  <si>
    <t>MARIA DE JESUS MENDO.ACEVEDO</t>
  </si>
  <si>
    <t>HERACLIO ENRIQUEZ CHAVEZ</t>
  </si>
  <si>
    <t>GERMAN MARTINEZ GUILLEN</t>
  </si>
  <si>
    <t>JOSE HERNANDEZ HERNANDEZ</t>
  </si>
  <si>
    <t>HIPOLITO LEON FRANCO</t>
  </si>
  <si>
    <t>MARIA EUGENIA LOPEZ CASTILLO</t>
  </si>
  <si>
    <t>BENITO JUAREZ GARCIA S/N</t>
  </si>
  <si>
    <t>EFREN DE LA CRUZ FRANCISCO</t>
  </si>
  <si>
    <t>PRAXITELES FRANCISCO URRUTIA</t>
  </si>
  <si>
    <t>LUIS GONZALEZ PEREZ</t>
  </si>
  <si>
    <t>PEDRO GALVEZ GABRIEL</t>
  </si>
  <si>
    <t>LUIS HERVER CASTAðEDA</t>
  </si>
  <si>
    <t>FRANCISCO MANUEL REYES HERNANDEZ</t>
  </si>
  <si>
    <t>ANASTACIO DE LA CRUZ BENITO</t>
  </si>
  <si>
    <t>FELIX MEDINA GONZALEZ</t>
  </si>
  <si>
    <t>EMA MORALES DELA CRUZB</t>
  </si>
  <si>
    <t>FELIPA CRZ OSORIO</t>
  </si>
  <si>
    <t>LUZ MARIA MARCOS MELGOZA</t>
  </si>
  <si>
    <t>LENIN VLADIMIR OLMOS LOPEZ</t>
  </si>
  <si>
    <t>JORGE CARLOS LUNA AGUILAR</t>
  </si>
  <si>
    <t>ANTONIA LOPEZ QUEZADA</t>
  </si>
  <si>
    <t>JOSE SALVADOR BADILLO CAMPOS</t>
  </si>
  <si>
    <t>TEODORA MARTIR SERAPIO</t>
  </si>
  <si>
    <t>NORMA ANGELICA MORALES DEL ANGEL</t>
  </si>
  <si>
    <t>SOFIA MARTINEZ DELGADO</t>
  </si>
  <si>
    <t>ESTEBAN OLIVA MUÐOZ</t>
  </si>
  <si>
    <t>PRIMO VERDAD S/N</t>
  </si>
  <si>
    <t>LUIS RAMON ALVARADO TAPIA</t>
  </si>
  <si>
    <t>3 DE MAYO S/N</t>
  </si>
  <si>
    <t>CARRETERA A TECPITLA S/N</t>
  </si>
  <si>
    <t>JUVENTINO ROSAS Y MANUEL M. P.</t>
  </si>
  <si>
    <t>IRMA HERNANDEZ LOPEZ</t>
  </si>
  <si>
    <t>ANDADOR 21 BATALLON S/N</t>
  </si>
  <si>
    <t>ARIBEL DEL ROCIO MORALES REYES</t>
  </si>
  <si>
    <t>CAMINO A MALTRATA</t>
  </si>
  <si>
    <t>NORMA JIMENEZ TLAXCALTECO</t>
  </si>
  <si>
    <t>ENTRANDO AL PUEBLO LADO DERECHO</t>
  </si>
  <si>
    <t>JOSE PIEDAD RICO APARICIO</t>
  </si>
  <si>
    <t>SUIRI LETICIA GARCIA ORTEGA</t>
  </si>
  <si>
    <t>JESUS ELFEGO SAYAGO FERNANDEZ</t>
  </si>
  <si>
    <t>CARRETERA ENTRADA AL PUEBLO</t>
  </si>
  <si>
    <t>JUAN IZAGUIRRE SANCHEZ</t>
  </si>
  <si>
    <t>MARTHA GUADALUPE MONTES RODRIGUEZ</t>
  </si>
  <si>
    <t>A UN COSTADO DEL SALON SOCIAL</t>
  </si>
  <si>
    <t>SANDRA MARLEN MORALES MARTINEZ</t>
  </si>
  <si>
    <t>VENUSTIANO CARRANZA NUM. 42</t>
  </si>
  <si>
    <t>JUAN MANUEL MONTES PALACIOS</t>
  </si>
  <si>
    <t>CALLE PRINCIPAL AL SALON SOCIAL</t>
  </si>
  <si>
    <t>FAUSTO PEREZ IZQUIERDO</t>
  </si>
  <si>
    <t>JUNTO AL KINDER CARRETERA A CONEJOS-HUATUSCO</t>
  </si>
  <si>
    <t>MARIA MARTINEZ CARMONA</t>
  </si>
  <si>
    <t>CALLE PRINCIPAL JUNTO A LA CASETA TELEFONICA</t>
  </si>
  <si>
    <t>NORMA SALVADOR DOMINGUEZ</t>
  </si>
  <si>
    <t>ANTONIO BALTAZAR ZAMORA</t>
  </si>
  <si>
    <t>CARRETERA XALAPA-MISANTLA</t>
  </si>
  <si>
    <t>CLARA CRUZ BALBUENA</t>
  </si>
  <si>
    <t>RAYMUNDO SUAREZ GARCIA</t>
  </si>
  <si>
    <t>RAUL MEZA JUAREZ</t>
  </si>
  <si>
    <t>ENTRANDO POR MONTE VERDE</t>
  </si>
  <si>
    <t>MARICRUZ AGUILAR VIVEROS</t>
  </si>
  <si>
    <t>MANUEL MA. CONTRERAS NUM. 700</t>
  </si>
  <si>
    <t>ALFREDO RUIZ PEREZ</t>
  </si>
  <si>
    <t>FRANCISCO NEGRETE LOPEZ</t>
  </si>
  <si>
    <t>CINCO DE MAYO NUM. 14</t>
  </si>
  <si>
    <t>ARMANDO ESCOBAR MESA</t>
  </si>
  <si>
    <t>BENITO JUAREZ NUM. 62</t>
  </si>
  <si>
    <t>GOMEZ GIRON SILVIA</t>
  </si>
  <si>
    <t>MELCHOR OCAMPO NUM. 4</t>
  </si>
  <si>
    <t>ROSALINDA SUGEY RAMIREZ MENESES</t>
  </si>
  <si>
    <t>JACOBO BALTAZAR SANCHEZ</t>
  </si>
  <si>
    <t>ARRIBA DE LA ESCUELA PRIMARIA</t>
  </si>
  <si>
    <t>SOSTENES M. ROCHA S/N</t>
  </si>
  <si>
    <t>JULIA SANTIAGO FALFAN</t>
  </si>
  <si>
    <t>ATRAS DE LA PRIMARIA</t>
  </si>
  <si>
    <t>ALICIA GARCIA MEDINA</t>
  </si>
  <si>
    <t>CAMINO A DOS POCITOS</t>
  </si>
  <si>
    <t>RICARDO RIVAS CASTRO</t>
  </si>
  <si>
    <t>SOBRE EL CAMINO A BUENA VISTA</t>
  </si>
  <si>
    <t>CARLOS HUMBERTO GARCIA SANCHEZ</t>
  </si>
  <si>
    <t>MARIA ARACELI CORDOVA CEBALLOS</t>
  </si>
  <si>
    <t>NORA SILVIA PECERO HERNANDEZ</t>
  </si>
  <si>
    <t>30DTV1975E</t>
  </si>
  <si>
    <t>ISRAEL DEGABRIEL VAZQUEZ</t>
  </si>
  <si>
    <t>Español</t>
  </si>
  <si>
    <t>Matemáticas</t>
  </si>
  <si>
    <t>A</t>
  </si>
  <si>
    <t>Ciencias</t>
  </si>
  <si>
    <t>No de Lista</t>
  </si>
  <si>
    <t>Nombre del Maestro</t>
  </si>
  <si>
    <t>Ciclo Escolar 2013-2014</t>
  </si>
  <si>
    <t>Bloque</t>
  </si>
  <si>
    <t>I</t>
  </si>
  <si>
    <t>Respuesta</t>
  </si>
  <si>
    <t>Asignatura</t>
  </si>
  <si>
    <t>NR</t>
  </si>
  <si>
    <t>Segunda Lengua: Inglés</t>
  </si>
  <si>
    <t>Bloque I</t>
  </si>
  <si>
    <t>Aprendizajes Esperados</t>
  </si>
  <si>
    <t>Contenidos</t>
  </si>
  <si>
    <t>Categoría Taxonómica</t>
  </si>
  <si>
    <t xml:space="preserve">Analiza diferentes materiales de consulta con el fin de obtener la información que requiere, considerando la organización del texto y sus componentes. </t>
  </si>
  <si>
    <t xml:space="preserve">Información expuesta en gráficas, tablas, diagramas, mapas conceptuales, mapas mentales y cuadros sinópticos, entre otros. </t>
  </si>
  <si>
    <t>B</t>
  </si>
  <si>
    <t>Aplicación de procedimientos</t>
  </si>
  <si>
    <t>Relación entre título, subtítulo, apoyos gráficos y el texto.</t>
  </si>
  <si>
    <t>D</t>
  </si>
  <si>
    <t>Principios</t>
  </si>
  <si>
    <t xml:space="preserve">Elabora fichas de trabajo utilizando paráfrasis y recursos gráficos. </t>
  </si>
  <si>
    <t>Selección de materiales diversos sobre un tema de interés.</t>
  </si>
  <si>
    <t>C</t>
  </si>
  <si>
    <t>Formas de sintetizar el contenido de las fuentes consultadas.</t>
  </si>
  <si>
    <t>Escribe fichas de trabajo de acuerdo con propósitos especificos y cita convencionalmente los datos bibliográficos de las fuentes de consulta.</t>
  </si>
  <si>
    <t>Caracteristicas y función de las referencias bibliográficas y fichas de trabajo.</t>
  </si>
  <si>
    <t>Caracteristicas y función del resumen, parafrásis y citas.</t>
  </si>
  <si>
    <t xml:space="preserve">Emplea el resumen como un medio para seleccionar, recuperar y organizar información de distintos textos. </t>
  </si>
  <si>
    <t>Maneras de organizar la información en un texto.</t>
  </si>
  <si>
    <t>Empleo de nexos.</t>
  </si>
  <si>
    <t xml:space="preserve">Uso de analogías y comparaciones. </t>
  </si>
  <si>
    <t xml:space="preserve">Identifica las caracteristicas de mitos y leyendas, establece semejanzas y diferencias entre ambos tipos de texto. </t>
  </si>
  <si>
    <t>Significado de mitos y leyendas.</t>
  </si>
  <si>
    <t>Función del mito y la leyenda como fuentes de valores culturales  de un grupo social.</t>
  </si>
  <si>
    <t>Diferencias entre las versiones de un mismo mito o leyenda: lo que varia y lo que se conserva según la cultura.</t>
  </si>
  <si>
    <t>Temas y personajes recurrentes en los mitos y leyendas.</t>
  </si>
  <si>
    <t>Conceptos</t>
  </si>
  <si>
    <t xml:space="preserve">Reconoce la función de mitos y leyendas en relación con los valores de un grupo social. </t>
  </si>
  <si>
    <t>Investigación y recuperación de mitos y leyendas.</t>
  </si>
  <si>
    <t xml:space="preserve">Comprende la importancia de la tradición oral como medio para conocer diversas culturas. </t>
  </si>
  <si>
    <t>Caracteristicas y función del mito.</t>
  </si>
  <si>
    <t xml:space="preserve">Caracteristicas y función de la leyenda. </t>
  </si>
  <si>
    <t xml:space="preserve">Identifica diferencias entre distintas versiones de un mismo mito o leyenda en función del grupo social al que pertenece. </t>
  </si>
  <si>
    <t xml:space="preserve">Ortografia y puntuación convencionales. </t>
  </si>
  <si>
    <t>Comprende la función regulatoria de los reglamentos en las sociedades.</t>
  </si>
  <si>
    <t xml:space="preserve">Importancia de reconocer el carácter legal de los documentos que establecen las normas de comportamiento en la sociedad. </t>
  </si>
  <si>
    <t>Emplea los modos y tiempos verbales apropiados para indicar derechos y responsabildiades al escribir reglamentos para destinatarios especificos.</t>
  </si>
  <si>
    <t>Tipos de verbos, modos y tiempos verbales (imperativo, infinitivo o verbos conjugados en futuro de indicativo) que se emplean en la redacción de derechos y responsabldiades en los reglamentos.</t>
  </si>
  <si>
    <t>Uso de recursos gráficos para organizar un reglamento (numerales, letras, viñetas y variantes tipográficas).</t>
  </si>
  <si>
    <t>Convierte números fraccionarios a decimales y viceversa.</t>
  </si>
  <si>
    <t>Conversión de fracciones decimales y no decimales a su escritura decimal y viceversa.</t>
  </si>
  <si>
    <t>Solución de Problemas</t>
  </si>
  <si>
    <t>Conoce y utiliza las convenciones para representar números fraccionarios y decimales en la recta numérica</t>
  </si>
  <si>
    <t>Representación de números fraccionarios y decimales en la recta numérica a partir de distintas informaciones, analizando las convenciones .</t>
  </si>
  <si>
    <t>Resolución y planteamiento de problemas que impliquen más de una operación de suma y resta de fracciones.</t>
  </si>
  <si>
    <t>Representa sucesiones de números o de figuras a partir de una regla dada y viceversa.</t>
  </si>
  <si>
    <t xml:space="preserve">Construcción de sucesiones de números o de figuras a partir de una regla dada en lenguaje común. Formulación en lenguaje común de expresiones generales que definen las reglas de sucesionescon progresión aritmética ó geométrica, de números y figuras. </t>
  </si>
  <si>
    <t>Explicación del significado de fórmulas geométricas al considerar las literales como números generales con los que es posible operar.</t>
  </si>
  <si>
    <t>Trazo de triángulos y cuadriláteros mediante el uso del juego de geometría</t>
  </si>
  <si>
    <t xml:space="preserve">Trazo y análisis de las propiedades de las alturas, medianas , mediatrices y bisectrices en un triángulo </t>
  </si>
  <si>
    <t>Resolución de problemas de reparto proporcional.</t>
  </si>
  <si>
    <t>Identificación  y práctica de juegos de azar sencillos y registro de los resultados. Elección de estrategias en función del análisis de resultados posibles.</t>
  </si>
  <si>
    <t>Se reconoce como parte de la biodiversidad al comparar sus características con las de otros seres vivos, e identifica la unidad y diversidad en relación con las funciones vitales.</t>
  </si>
  <si>
    <t>Comparación de las características comunes de los seres vivos.</t>
  </si>
  <si>
    <t>Representa la dinámica general de los ecosistemas considerando su participación en el intercambio de materia y energía en las redes alimentarias y en los ciclos del agua y del carbono.</t>
  </si>
  <si>
    <t>Representación de la participación humana en la dinámica de los ecosistemas.</t>
  </si>
  <si>
    <t>Hechos</t>
  </si>
  <si>
    <t>Identifica el registro fósil y la observación de la diversidad de características morfológicas de las poblaciones de los seres vivos como evidencias de la evolución de la vida.</t>
  </si>
  <si>
    <t>Reconocimiento de algunas evidencias a partir de las cuales Darwin explicó la evolución de la vida.</t>
  </si>
  <si>
    <t>Identifica la relación de las adaptaciones con la diversidad de características que favorecen la sobrevivencia de los seres vivos en un ambiente determinado.</t>
  </si>
  <si>
    <t>Relación entre la adaptación y la sobrevivencia diferencial de los seres vivos.</t>
  </si>
  <si>
    <t>Identifica la importancia de la herbolaria como aportación del conocimiento de los pueblos indígenas a la ciencia.</t>
  </si>
  <si>
    <t>Reconocimiento de las aportaciones de la herbolaria de México a la ciencia y a la medicina del mundo.</t>
  </si>
  <si>
    <t>Explica la importancia del desarrollo tecnológico del microscopio en el conocimiento de los microorganismos y de la célula como unidad de la vida.</t>
  </si>
  <si>
    <t>Implicaciones del descubrimiento del mundo microscópico en la salud y en el conocimiento de la célula.</t>
  </si>
  <si>
    <t>Reconoce la diversidad de los componentes naturales, sociales, culturales, económicos y políticos que conforman el espacio geográfico.</t>
  </si>
  <si>
    <t>Características del espacio geográfico.</t>
  </si>
  <si>
    <t>Componentes naturales, sociales, culturales, económicos y políticos.</t>
  </si>
  <si>
    <t>Diversidad del espacio geográfico.</t>
  </si>
  <si>
    <t>Distingue las categorias de análisis espacial, lugar medio, paisaje, región y territorio.</t>
  </si>
  <si>
    <t>Categorías de análisis espacial: lugar, medio, paisaje, región y territorio.</t>
  </si>
  <si>
    <t>Relación de los componentes naturales, sociales, culturales, económicos y políticos en el lugar, medio, paisaje, región y territorio.</t>
  </si>
  <si>
    <t xml:space="preserve">Reconoce la utilidad de las escalas númerica y gráfica para la representación del territorio en mapas. </t>
  </si>
  <si>
    <t>Diferencias en la representación cartográfica en las escalas local, nacional y mundial.</t>
  </si>
  <si>
    <t>Localiza lugares y zonas horarias en mapas, a partir de coordenadas geográficas y los husos horarios.</t>
  </si>
  <si>
    <t>Importancia de las coordenadas geográficas: latitud, longitud y altitud.</t>
  </si>
  <si>
    <t>Importancia de las  coordenadas geográficas</t>
  </si>
  <si>
    <t>Importancia y utilidad de los husos horarios</t>
  </si>
  <si>
    <t>Compara diferentes representaciones de la superficie terrestre a través de proyecciones cartográficas.</t>
  </si>
  <si>
    <t>Utilidad de las proyecciones de Mercator, Peters y Robinson.</t>
  </si>
  <si>
    <t>Lesson 1. Se presenta y presenta a otras personas.</t>
  </si>
  <si>
    <t>Expresiones de saludo</t>
  </si>
  <si>
    <t>Lesson 1. Habla acerca de su familia.</t>
  </si>
  <si>
    <t>Pronombres personales. Adjetivos posesivos. Vocabulario sobre la familia.</t>
  </si>
  <si>
    <t>Lesson 2. Habla acerca de su familia.</t>
  </si>
  <si>
    <t>Lesson 6. Habla acerca de su familia.</t>
  </si>
  <si>
    <t>Lesson 7. Pregunta información acerca de otras personas.</t>
  </si>
  <si>
    <r>
      <t xml:space="preserve">Verbo </t>
    </r>
    <r>
      <rPr>
        <b/>
        <sz val="12"/>
        <color theme="1"/>
        <rFont val="Arial"/>
        <family val="2"/>
      </rPr>
      <t>"to be"</t>
    </r>
    <r>
      <rPr>
        <sz val="12"/>
        <color theme="1"/>
        <rFont val="Arial"/>
        <family val="2"/>
      </rPr>
      <t>, forma interrogativa.</t>
    </r>
  </si>
  <si>
    <t>Aplicación de Procedimientos</t>
  </si>
  <si>
    <t>Lesson 5. Pregunta información acerca de otras personas.</t>
  </si>
  <si>
    <t>Lesson 3. Pregunta información acerca de otras personas.</t>
  </si>
  <si>
    <t>Lesson 8. Pregunta información acerca de otras personas.</t>
  </si>
  <si>
    <t>Lesson 12. Reconoce las nacionalidades de las personas.</t>
  </si>
  <si>
    <t>Vocabulario sobre países y nacionalidades.</t>
  </si>
  <si>
    <t>Contrasta las distintas formas de tatar un mismo tema en diferentes fuentes.</t>
  </si>
  <si>
    <t>Formas de tratar un mismo tema en distintas fuentes.</t>
  </si>
  <si>
    <t>Cuadro comparativo de la información presentada en las diferentes fuentes de información.</t>
  </si>
  <si>
    <t>Integra la información de distintas fuentes para producir un texto propio.</t>
  </si>
  <si>
    <t>Función de referencia cruzadas para contrastar y completar la información.</t>
  </si>
  <si>
    <t>Estrategias para argumentar opiniones.</t>
  </si>
  <si>
    <t>Emplea explicaciones, paráfrasis, ejemplos, repeticiones y citas para desarrollar ideas en un texto.</t>
  </si>
  <si>
    <t>Expresiones y nexos que ordenan la información dentro del texto o encadenan argumentos (pero, aunque, sin embargo, aun, a pesar de, entre otros).</t>
  </si>
  <si>
    <t>Fichas bibliográficas que recuperan los datos de los textos de consulta.</t>
  </si>
  <si>
    <t>Información recopilada en diversas fuentes.</t>
  </si>
  <si>
    <t>Identifica las variantes sociales, culturales o dialectales utilizadas en los textos en función de la época y lugares descritos.</t>
  </si>
  <si>
    <t>Características  de los cuentos latinoamerianos:
- Ambiente social,
- Características de los personajes,
- El lenguaje y su relación con el contexto social.</t>
  </si>
  <si>
    <t>Interpreta documentos sobre los derechos humanos y reconoce su importancia en la regulación de las sociedades.</t>
  </si>
  <si>
    <t>Identificación y selección de documentos nacionales e internacionales sobre los derechos y responsabilidades de los ciudadanos.</t>
  </si>
  <si>
    <t>Significado de las recomendaciones contenidas en los documentos que garantizan los derechos de las personas.</t>
  </si>
  <si>
    <t>Identifica los modos y tiempos verbales que se utilizan en los documentos nacionales e internacionales sobre los derechos humanos.</t>
  </si>
  <si>
    <t>Modos verbales (indicativo, subjuntivo, e imperativo)</t>
  </si>
  <si>
    <t>Identifica los documentos nacionales e internacionales sobre los derechos humanos.</t>
  </si>
  <si>
    <t xml:space="preserve">Uso y función de los verbos en infinitivo (deber, poder,tener, etc). </t>
  </si>
  <si>
    <t xml:space="preserve">Marcas gráficas para ordenar los artículos y apartados (números romanos y arábigos, letras y viñetas). </t>
  </si>
  <si>
    <t>Lesson 7. Expresa habilidad</t>
  </si>
  <si>
    <r>
      <t xml:space="preserve">Utiliza correctamente el auxiliar </t>
    </r>
    <r>
      <rPr>
        <b/>
        <sz val="12"/>
        <color theme="1"/>
        <rFont val="Arial"/>
        <family val="2"/>
      </rPr>
      <t>"can"</t>
    </r>
    <r>
      <rPr>
        <sz val="12"/>
        <color theme="1"/>
        <rFont val="Arial"/>
        <family val="2"/>
      </rPr>
      <t xml:space="preserve"> para preguntar.</t>
    </r>
  </si>
  <si>
    <t>Lesson 6. Hace preguntas sobre la apariencia física de las personas</t>
  </si>
  <si>
    <t>Revisa la forma de preguntar por la apariencia física.</t>
  </si>
  <si>
    <t xml:space="preserve">Lesson 6. Describe la apariencia física de las personas </t>
  </si>
  <si>
    <t>Vocabulario para describir la apariencia física.</t>
  </si>
  <si>
    <t>Lesson 5. Describe la apariencia física de las personas</t>
  </si>
  <si>
    <t>Conoce y utiliza correctamente adjetivos.</t>
  </si>
  <si>
    <t>Conoce y utiliza correctamente adjetivos y sustantivos.</t>
  </si>
  <si>
    <t>Lesson 4. Identifica rutinas</t>
  </si>
  <si>
    <t>Ordena y describe la rutina diaria de una persona.</t>
  </si>
  <si>
    <t>Lesson 12. Reconoce los advierbios de frecuencia.</t>
  </si>
  <si>
    <r>
      <t xml:space="preserve">Utiliza  correctamente los adverbios de frecuencia: </t>
    </r>
    <r>
      <rPr>
        <b/>
        <sz val="12"/>
        <color theme="1"/>
        <rFont val="Arial"/>
        <family val="2"/>
      </rPr>
      <t>"always, often, sometimes, seldom, never"</t>
    </r>
    <r>
      <rPr>
        <sz val="12"/>
        <color theme="1"/>
        <rFont val="Arial"/>
        <family val="2"/>
      </rPr>
      <t>.</t>
    </r>
  </si>
  <si>
    <t>Lesson 3. Identifica la hora.</t>
  </si>
  <si>
    <t>Reconoce la hora y las expresiones para dar la hora.</t>
  </si>
  <si>
    <t>Lesson 23. Describe animales.</t>
  </si>
  <si>
    <t>Utiliza correctamente adjetivos y sustantivos para describir animales.</t>
  </si>
  <si>
    <t>Lesson 16. Identifica las habilidades de los animales.</t>
  </si>
  <si>
    <t>Revisa la forma de preguntar y responder por las habilidades o capacidades de los animales.</t>
  </si>
  <si>
    <t>Resuelve problemas que implican el uso de las leyes de los exponentes y de la notación científica.</t>
  </si>
  <si>
    <t>Cálculo de productos y cocientes de potencias enteras positivas de la misma base y potencias de una potencia. Significado de elevar un número natural a una potencia de exponente negativo.</t>
  </si>
  <si>
    <t>Resolución de Problemas</t>
  </si>
  <si>
    <t>Resuelve problemas que impliquen calcular el área y el perímetro del círculo.</t>
  </si>
  <si>
    <t>Resolución de problemas que impliquen el cálculo de áreas de figuras compuestas, incluyendo áreas laterales y totales de prismas y pirámides.</t>
  </si>
  <si>
    <t>Resuelve problemas que implican el cálculo de porcentajes o de cualquier término de la relación: Porcentaje = cantidad base × tasa. Inclusive problemas que requieren de procedimientos recursivos.</t>
  </si>
  <si>
    <t>Resolución de problemas diversos relacionados con el porcentaje, como aplicar un porcentaje a una cantidad; determinar qué porcentaje representa una cantidad respecto a otra, y obtener una cantidad conociendo una parte de ella y el porcentaje que representa.</t>
  </si>
  <si>
    <t>Resolución de problemas que impliquen el cálculo de interés compuesto, crecimiento poblacional u otros que requieran procedimientos recursivos.</t>
  </si>
  <si>
    <t>Compara cualitativamente la probabilidad de eventos simples.</t>
  </si>
  <si>
    <t xml:space="preserve">Comparación de dos o más eventos a partir de sus resultados posibles, usando relaciones como: “es más probable que…”, “es menos probable que…”. </t>
  </si>
  <si>
    <t>Resolución de multiplicaciones y divisiones con números enteros</t>
  </si>
  <si>
    <t>Identificación de relaciones entre los ángulos que se forman entre dos rectas paralelas cortadas por una transversal. Justificación de las relaciones entre las medidas de los ángulos interiores de los triángulos y paralelogramos.</t>
  </si>
  <si>
    <t>Construcción de triángulos con base en ciertos datos. Análisis de las condiciones de posibilidad y unicidad en las construcciones.</t>
  </si>
  <si>
    <t>Interpreta la velocidad como la relacion entre desplazamiento y tiempo y la diferencia de la rapidéz, a partir de datos obtenidos de situaciones cotidianas.</t>
  </si>
  <si>
    <t>Velocidad: desplazamiento, dirección y tiempo.</t>
  </si>
  <si>
    <t>Resolución de problemas</t>
  </si>
  <si>
    <t>Interpreta tablas de datos y gráficas de posición-tiempo, en las que describe y predice diferentes movimientos a partir de datos que obtiene en experimentos y/o de situaciones del entorno.</t>
  </si>
  <si>
    <t>Interpretación y representación de gráficas posición-tiempo.</t>
  </si>
  <si>
    <t>Describe características del movimiento ondulatorio con base en el modelo de ondas: valle, nodo, amplitud, longitud, frecuencia y periodo, y diferencia el movimiento ondulatorio transversal del longitudinal, en términos de la dirección de propagación.</t>
  </si>
  <si>
    <t>Movimiento ondulatorio, modelo de ondas, y explicación de caracteríasticas del sonido.</t>
  </si>
  <si>
    <t>Describe el comportamiento ondulatorio del sonido: tono, timbre, intensidad y rapidéz, a partir del modelo de ondas.</t>
  </si>
  <si>
    <t>Argumenta la importancia de la aportación de galileo en la ciencia como una nueva forma de construir y validar el conocimiento científico, con base en la experimentación y el análisis de los resultados.</t>
  </si>
  <si>
    <t xml:space="preserve">Aportación de Galileo en la construcción del conocimiento científico.   </t>
  </si>
  <si>
    <t>Relaciona la aceleración con la variación de la velocidad en situaciones del entorno y/o actividades experimentales.</t>
  </si>
  <si>
    <t>La aceleración; diferencia con velocidad</t>
  </si>
  <si>
    <t>Elabora e interpreta tablas de datos y gráficas de velocidad-tiempo y aceleración-tiempo para describir y predecir características de diferentes movimientos, a partir de datos que obtiene en experimentos y/o situaciones del entorno.</t>
  </si>
  <si>
    <t>Interpretación y representación de gráficas: velocidad-tiempo y aceleración-tiempo.</t>
  </si>
  <si>
    <t>Describe la fuerza como efecto de la interacción entre los objetos y la representa con vectores.</t>
  </si>
  <si>
    <t>La fuerza: resultado de las interacciones por contacto (mecánicas) y a distancia (magnéticas y electrostáticas)), y representación con vectores.</t>
  </si>
  <si>
    <t>Ubica los siglos que comprende el periodo, ordena cronológicamente y localiza los sucesos y procesos relevantes relacionados con la integración del mundo hasta principios del siglo XVIII.</t>
  </si>
  <si>
    <r>
      <t xml:space="preserve">Panorama del periodo
</t>
    </r>
    <r>
      <rPr>
        <sz val="12"/>
        <color theme="1"/>
        <rFont val="Arial"/>
        <family val="2"/>
      </rPr>
      <t>Ubicación temporal y espacial del mundo moderno y del surgimiento del proceso de integración del mundo.</t>
    </r>
  </si>
  <si>
    <t>Explica las características de sociedades asiáticas y europeas, y sus relaciones en el siglo XV.</t>
  </si>
  <si>
    <r>
      <rPr>
        <b/>
        <sz val="12"/>
        <color theme="1"/>
        <rFont val="Arial"/>
        <family val="2"/>
      </rPr>
      <t>Temas para comprender el periodo</t>
    </r>
    <r>
      <rPr>
        <sz val="12"/>
        <color theme="1"/>
        <rFont val="Arial"/>
        <family val="2"/>
      </rPr>
      <t xml:space="preserve">
¿Cómo cambiaron las sociedades a raíz de la expansión europea?
El contexto de Asia y Europa: El imperio otomano, el imperio mogol y China. El surgimiento de la burguesía. Las rutas comerciales entre Europa y Asia.</t>
    </r>
  </si>
  <si>
    <t>Explica las características de las sociedades del Antiguo Régimen y su proceso de formación.</t>
  </si>
  <si>
    <t>El fin del orden medieval y las sociedades del Antiguo Régimen: La formación de las monarquías nacionales. Las ciudades-Estado europeas.</t>
  </si>
  <si>
    <t>Reconoce la influencia de las ideas humanistas en los cambios políticos, culturales y científicos de los siglos XVI y XVII.</t>
  </si>
  <si>
    <t>Renovación cultural y resistencia en Europa: Renacimiento, humanismo y difusión de la imprenta. Los principios del pensamiento científico y los avances tecnológicos. La reforma protestante y la contrarreforma.
Inglaterra y la primera revolución burguesa.</t>
  </si>
  <si>
    <t>Reconoce los aportes de las culturas que entraron en contacto en los siglos XVI y XVII, y describe las características comunes de Nueva España y Perú bajo el orden virreinal.</t>
  </si>
  <si>
    <t>Nuestro entorno: Los virreinatos de Nueva España y Perú. El mestizaje. El aporte africano a la cultura americana. Las Filipinas, el comercio con China.</t>
  </si>
  <si>
    <t>Conoce las características  función de los ensayos.</t>
  </si>
  <si>
    <t>Modos de explicar y argumentar en diferentes textos</t>
  </si>
  <si>
    <t>Argumenta puntos de vista respecto al tema que desarrolla en un ensayo y lo sustenta con información de las fuentes consultadas.</t>
  </si>
  <si>
    <t>Notas y resúmenes para recuperar información.Fichas de trabajo que recuperen información de los textos analizados.</t>
  </si>
  <si>
    <t>Integración de información a través de citas textuales.</t>
  </si>
  <si>
    <t>Formato y función de pie de página.</t>
  </si>
  <si>
    <t>Formato y función de pie de página. Referencias biblográficas de las fuentes consultadas en el ensayo.</t>
  </si>
  <si>
    <t>Identifica la función y características de las figuras retóricas en los poemas a partir de un movimiento literario.</t>
  </si>
  <si>
    <t>Figuras retóricas empleadas en un poema. Lenguaje figurado y figuras retóricas en la poesía.</t>
  </si>
  <si>
    <t>Analiza las características de los mensajes publicitarios.</t>
  </si>
  <si>
    <t>Características de los lemas publicitarios y los efectos que pretenden inducir en la audiencia.</t>
  </si>
  <si>
    <t>Analiza, interpreta y organiza los resultados de una encuesta.</t>
  </si>
  <si>
    <t>Interpretación de información contenida en tablas, gráficas y encuesta.</t>
  </si>
  <si>
    <t>Lesson 15: Usa el pasado simple de verbos para preguntar y responder en singular y plural.</t>
  </si>
  <si>
    <t>Preguntas en singular con verbos en pasado simple.</t>
  </si>
  <si>
    <r>
      <t xml:space="preserve">Lesson 9: Reconoce </t>
    </r>
    <r>
      <rPr>
        <b/>
        <sz val="12"/>
        <color theme="1"/>
        <rFont val="Arial"/>
        <family val="2"/>
      </rPr>
      <t>"did"</t>
    </r>
    <r>
      <rPr>
        <sz val="12"/>
        <color theme="1"/>
        <rFont val="Arial"/>
        <family val="2"/>
      </rPr>
      <t xml:space="preserve"> en forma negativa para expresar acciones que no ocurrieron en el pasado.</t>
    </r>
  </si>
  <si>
    <r>
      <t xml:space="preserve">Usa </t>
    </r>
    <r>
      <rPr>
        <b/>
        <sz val="12"/>
        <color theme="1"/>
        <rFont val="Arial"/>
        <family val="2"/>
      </rPr>
      <t>"did</t>
    </r>
    <r>
      <rPr>
        <sz val="12"/>
        <color theme="1"/>
        <rFont val="Arial"/>
        <family val="2"/>
      </rPr>
      <t>" en forma negativa.</t>
    </r>
  </si>
  <si>
    <t>Lesson 2: Identifica verbos regulares e irregulares en pasado simple.</t>
  </si>
  <si>
    <t>Verbos irregulares en pasado simple.</t>
  </si>
  <si>
    <t>Lesson 1: Identificar las palabras en pasado simple para indicar acciones o situaciones que comenzaron y terminaron en un momento determinado en el pasado.</t>
  </si>
  <si>
    <t>Verbos regulares en pasado simple.</t>
  </si>
  <si>
    <t>Lesson 23: Usa conocimiento previo para resolver diferentes ejercicios usando pasado simple y pasado continuo.</t>
  </si>
  <si>
    <t>Pasado continuo.</t>
  </si>
  <si>
    <t>Pasado simple.</t>
  </si>
  <si>
    <t>Lesson 17: Identifica funciones en pasado continuo</t>
  </si>
  <si>
    <t>Lesson 21: Reconoce y comprender textos literarios cortos.</t>
  </si>
  <si>
    <r>
      <t xml:space="preserve">Uso de </t>
    </r>
    <r>
      <rPr>
        <b/>
        <sz val="12"/>
        <color theme="1"/>
        <rFont val="Arial"/>
        <family val="2"/>
      </rPr>
      <t>"was"</t>
    </r>
    <r>
      <rPr>
        <sz val="12"/>
        <color theme="1"/>
        <rFont val="Arial"/>
        <family val="2"/>
      </rPr>
      <t xml:space="preserve"> y </t>
    </r>
    <r>
      <rPr>
        <b/>
        <sz val="12"/>
        <color theme="1"/>
        <rFont val="Arial"/>
        <family val="2"/>
      </rPr>
      <t>"were"</t>
    </r>
    <r>
      <rPr>
        <sz val="12"/>
        <color theme="1"/>
        <rFont val="Arial"/>
        <family val="2"/>
      </rPr>
      <t>.</t>
    </r>
  </si>
  <si>
    <t>Explica la diferencia entre eventos complementarios, mutuamente excluyentes e independientes.</t>
  </si>
  <si>
    <t>PATRONES Y ECUACIONES: Resolución de problemas que impliquen el uso de ecuaciones cuadráticas sencillas, utilizando procedimientos personales u operaciones inversas.</t>
  </si>
  <si>
    <t>FIGURAS Y CUERPOS: Construcción de figuras congruentes ó semejantes (triángulos, cuadrados y rectángulos) y análisis de sus propiedades. Explicitación de los criterios de congruencia y semejanza de triángulos a partir de construcciones con información determinada.</t>
  </si>
  <si>
    <t>PROPORCIONALIDAD Y FUNCIONES: Análisis de representaciones (gráficas, tabulares y algebraicas) que corresponden a una misma situación. Identificación de las que corresponden a una relación de proporcionalidad.</t>
  </si>
  <si>
    <t>Representación tabular y algebraica de relaciones de variación cuadrática, identificadas en diferentes situaciones y fenómenos de la física, biología, la economía y otras disciplinas.</t>
  </si>
  <si>
    <t>NOCIONES DE PROBABILIDAD: Conocimiento de la escala de la probabilidad. Análisis de las características  de eventos complementarios y eventos mutuamente excluyentes e independ.</t>
  </si>
  <si>
    <t>Diseño de una encuesta o un experimento e identificación de la población en estudio.  Obtención de datos de una muestra y  búsqueda de herramientas convenientes para su presentación.</t>
  </si>
  <si>
    <t>Analiza la influencia de los medios de comunicación y las actitudes de las personas hacia la química y la tecnología.</t>
  </si>
  <si>
    <t>La ciencia y la tecnología en el mundo actual.La relación de la quimíca y la tecnología con el ser humano, la salud y el ambiente.</t>
  </si>
  <si>
    <t>Identifica las aportaciones del conocimiento químico y tecnologíco en la satisfacción de necesidades básicas, en la salud y el ambiente.</t>
  </si>
  <si>
    <t>Clasifica diferentes materiales con base en su estado de agregación e identifica su relación con las condiciones físicas del medio.</t>
  </si>
  <si>
    <t>Identificación de las propiedades físicas de los materiales. Cualitativas, extensivas e intensivas.</t>
  </si>
  <si>
    <t>Identifica las propiedades extensivas (masa y volumen) e intensivas (temperatura de fusión y ebullición, viscosidad, densidad, solubilidad) de algunos materiales.</t>
  </si>
  <si>
    <t>Explica la importancia de los instrumentos de medición y observación como herramientas que amplían la capacidad de percepción de nuestros sentidos.</t>
  </si>
  <si>
    <t>Identifica los componentes de las mezclas y las clasifica en homogéneas y heterogéneas.</t>
  </si>
  <si>
    <t>Experimentación con mezclas. Homogéneas y heterogéneas.</t>
  </si>
  <si>
    <t>Deduce métodos de separación de mezclas con base en las propiedades físicas de sus componentes.</t>
  </si>
  <si>
    <t>Métodos de separación de mezclas con base en las propiedades físicas de sus componentes.</t>
  </si>
  <si>
    <t>¿Cómo saber si la muestra de una mezcla está más contaminada que otra?</t>
  </si>
  <si>
    <t>Identifica la funcionalidad de expresar la concentración de una mezcla en unidades de porcentaje o partes por millón.</t>
  </si>
  <si>
    <t>Concentración y efectos</t>
  </si>
  <si>
    <t>Argumenta la importancia del trabajo de Lavoisier al mejorar los mecanismos de investigación para la comprensión de los fenómenos naturales.</t>
  </si>
  <si>
    <t>Aportaciones de Lavoisier: ley de la conservación de la masa.</t>
  </si>
  <si>
    <t>Organiza por etapas y cronológicamente hechos y procesos del México prehispánico, de la Conquista y del Virreinato.                                                                     Localiza las culturas del México prehispánico, las expediciones de descubrimiento, conquista, y el avance de la colonización de Nueva España.</t>
  </si>
  <si>
    <t>PANORAMA DEL PERIODO: UBICACIÓN TEMPORAL Y ESPACIAL DE LAS CULTURAS PREHISPÁNICAS, LOS VIAJES DE EXPLORACIÓN, EL PROCESO DE CONQUISTA Y LA COLONIZACIÓN DE NUEVA ESPAÑA.</t>
  </si>
  <si>
    <t>Aplicación de Conocimientos</t>
  </si>
  <si>
    <t>Reconoce las características políticas, sociales, económicas y culturales del mundo prehispánico.</t>
  </si>
  <si>
    <t xml:space="preserve">TEMAS PARA COMPRENDER EL PERIODO                                                       ¿Por qué la sociedad y cultura virreinal se formaron de los aportes prehispánicos, españoles, asiáticos y africanos?                          EL MUNDO PREHISPÁNICO: Sus zonas culturales y sus horizontes. La cosmovisión mesoamericana. Economía, estructura social y vida cotidiana en el Posclásico. La Triple Alianza y los señoríos independientes. </t>
  </si>
  <si>
    <t>Analiza las consecuencias de la conquista y la colonización española.</t>
  </si>
  <si>
    <t>CONQUISTA Y EXPEDICIONES ESPAÑOLAS: Las expediciones españolas y la conquista de Tenochtitlan. Otras campañas y expediciones. El surgimiento de Nueva España. Las mercedes reales, el tributo y las encomiendas. La evangelización y la fundación de nuevas ciudades.</t>
  </si>
  <si>
    <t>Describe los cambios que produjo en Nueva España la introducción de nuevas actividades económicas.</t>
  </si>
  <si>
    <t>LOS AÑOS FORMATIVOS: La transformación del paisaje: ganadería, minería y nuevos cultivos. Inmigración española, asiática y africana. La creación de la universidad y la Casa de Moneda.</t>
  </si>
  <si>
    <t>Explica la importancia del comercio y de la plata novohispana en el mundo.</t>
  </si>
  <si>
    <t>NUEVA ESPAÑA Y SUS RELACIONES CON EL MUNDO: Las flotas, el control del comercio y el consulado de comerciantes. El comercio con Perú y Asia. Las remesas de plata de Nueva España en el intercambio internacional.</t>
  </si>
  <si>
    <t>Identifica las instituciones económicas, políticas y sociales que favorecieron la consolidación del Virreinato.</t>
  </si>
  <si>
    <t xml:space="preserve">LA LLEGADA A LA MADUREZ: El carácter corporativo de la sociedad. Los gobiernos locales: Cabildos indígenas y ayuntamientos. La Iglesia y la Inquisición. Peonaje y haciendas. La revitalización del comercio interno. </t>
  </si>
  <si>
    <t>Reconoce las características del mestizaje cultural en las expresiones artísticas novohispanas.</t>
  </si>
  <si>
    <t>ARTE Y CULTURA TEMPRANA: El mestizaje cultural. Expresiones artísticas novohispanas. El desarrollo urbano.</t>
  </si>
  <si>
    <t>Aprendizaje Esperado</t>
  </si>
  <si>
    <t>Contenido</t>
  </si>
  <si>
    <t>Bloque II</t>
  </si>
  <si>
    <t>Bloque III</t>
  </si>
  <si>
    <t>Bloque IV</t>
  </si>
  <si>
    <t>Bloque V</t>
  </si>
  <si>
    <t xml:space="preserve">Nombre del Alumno: </t>
  </si>
  <si>
    <t>Insuficiente</t>
  </si>
  <si>
    <t>Elemental</t>
  </si>
  <si>
    <t>Bueno</t>
  </si>
  <si>
    <t>Excelente</t>
  </si>
  <si>
    <t>Porcentaje de Logro</t>
  </si>
  <si>
    <t>Categoria Taxonómica</t>
  </si>
  <si>
    <t>Número de Reactivos</t>
  </si>
  <si>
    <t>Concatenar</t>
  </si>
  <si>
    <t>PRINCIPIOS</t>
  </si>
  <si>
    <t>CONCEPTOS</t>
  </si>
  <si>
    <t>APLICACIÓN DE PROCEDIMIENTOS</t>
  </si>
  <si>
    <t>Ocultar</t>
  </si>
  <si>
    <t>II</t>
  </si>
  <si>
    <t>III</t>
  </si>
  <si>
    <t>IV</t>
  </si>
  <si>
    <t>V</t>
  </si>
  <si>
    <t>AE</t>
  </si>
  <si>
    <t>Número de Alumnos en Insuficiente, Elemental, Bueno y Excelente</t>
  </si>
  <si>
    <t>Ingles</t>
  </si>
  <si>
    <t>Geografia</t>
  </si>
  <si>
    <t>LAS FLORES</t>
  </si>
  <si>
    <t>Interpreta la información contenida en diversas fuentes de consulta y las emplea al redactar un texto informativo.</t>
  </si>
  <si>
    <t>Tema seleccionado para una investigación.</t>
  </si>
  <si>
    <t xml:space="preserve">Principios </t>
  </si>
  <si>
    <t xml:space="preserve">Diferencias entre resumen y parafrásis. </t>
  </si>
  <si>
    <t>Recupera caracteristicas textuales de monografías.</t>
  </si>
  <si>
    <t xml:space="preserve">Referencías bibliográficas incluídas en el cuerpo del texto y en el apartado de la bibliografía. </t>
  </si>
  <si>
    <t xml:space="preserve">Utiliza adecuadamente nexos que organizan, ponderan e introducen ideas en un texto. </t>
  </si>
  <si>
    <t xml:space="preserve">Organización de un texto en párrafos utilizando oraciones temáticas y secundarias. </t>
  </si>
  <si>
    <t xml:space="preserve">Nexos para introducir ideas. </t>
  </si>
  <si>
    <t xml:space="preserve">Expresiones que ordenan y jerarquizan información. </t>
  </si>
  <si>
    <t xml:space="preserve">Emplea la tercera persona, el impersonal y la voz pasiva en la descripción de los objetos o fenómenos. </t>
  </si>
  <si>
    <t xml:space="preserve">Presente atemporal en las definiciones de objetos. </t>
  </si>
  <si>
    <t xml:space="preserve">Tercera persona, el impersonal y la voz pasiva en la descripción de los objetos o fenómenos. </t>
  </si>
  <si>
    <t xml:space="preserve">Analiza los recursos literarios y discursivos empleados en los cuentos de ciencia ficción. </t>
  </si>
  <si>
    <t xml:space="preserve">Selección de cuentos de ciencia ficción para leerlos. </t>
  </si>
  <si>
    <t>Recursos literarios para provocar emociones en el lector.</t>
  </si>
  <si>
    <t xml:space="preserve">Recursos discursivos para lograr un efecto y un estilo propio. </t>
  </si>
  <si>
    <t xml:space="preserve">Voces narrativas y su efecto. </t>
  </si>
  <si>
    <t>Identifica el papel de la ciencia y la tecnología en los cuentos de ciencia ficción.</t>
  </si>
  <si>
    <t xml:space="preserve">El papel de la ciencia y la tecnología en las narraciones de ciencia ficción. </t>
  </si>
  <si>
    <t>Compara el tratamiento de una misma noticia en distintos medios de comunicación.</t>
  </si>
  <si>
    <t xml:space="preserve">Selección de noticias en diferentes medios de comunicación. </t>
  </si>
  <si>
    <t xml:space="preserve">Formas de destacar la noticia en los medios de comunicación. </t>
  </si>
  <si>
    <t xml:space="preserve">Formas de referirse a los sucesos en diferentes medios. </t>
  </si>
  <si>
    <t xml:space="preserve">Diferencias entre hechos y opiniones en noticias. </t>
  </si>
  <si>
    <t>Resuelve problemas utilizando el máximo común divisor y el mínimo común múltiplo</t>
  </si>
  <si>
    <t>Formulación de los criterios de divisibilidad entre 2, 3 y 5.</t>
  </si>
  <si>
    <t>Distinción entre números primos y compuestos</t>
  </si>
  <si>
    <t>Resolución de problemas que impliquen el cálculo del máximo común divisor y el mínimo común múltiplo.</t>
  </si>
  <si>
    <t>Resol. Problemas</t>
  </si>
  <si>
    <t xml:space="preserve">Resolución de problemas aditivos y multiplicativos en los que  se combinan números fraccionarios y decimales en distintos contextos, empleando los algoritmos convencionales  </t>
  </si>
  <si>
    <t>Resuelve problemas geométricos  que impliquen el uso de las propiedades de las alturas, medianas, mediatrices  y bisectrices en triángulos y cuadriláteros</t>
  </si>
  <si>
    <t>Resolución de problemas geométricos que impliquen el uso de las propiedades de la mediatriz de un segmento y la bisectriz de un ángulo.</t>
  </si>
  <si>
    <t xml:space="preserve">Justificación de las fórmulas de perímetro y área de polígonos regulares, con apoyo de la construcción y transformación de figuras. </t>
  </si>
  <si>
    <t>Identificación y resolución de situaciones de proporcionalidad directa del tipo "valor faltante"  en diversos contextos, con factores constantes fraccionarios.</t>
  </si>
  <si>
    <t>Explica el proceso general de la transformación y aprovechamiento de los alimentos, en términos del funcionamiento integral del cuerpo humano.</t>
  </si>
  <si>
    <t>Relación entre la nutrición y el funcionamiento integral del cuerpo humano.</t>
  </si>
  <si>
    <t>Explica cómo beneficia a la salud incluir la gran diversidad de alimentos nacionales con alto valor nutrimental, en especial: pescados, mariscos, maíz, nopales y chile.</t>
  </si>
  <si>
    <t>Valoración de los beneficios de contar con la diversidad de alimentos mexicanos de alto aporte nutrimental.</t>
  </si>
  <si>
    <t xml:space="preserve">Aplicación </t>
  </si>
  <si>
    <t>Argumenta por qué mantener una dieta correcta y consumir agua simple potable favorece la prevención de algunas enfermedades y trastornos , como la anemia, el sobrepeso, la obesidad, la diabetes, la anorexia y la bulimia.</t>
  </si>
  <si>
    <t>Reconocimiento de la importancia de la dieta correcta y el consumo de agua simple potable para mantener la salud.</t>
  </si>
  <si>
    <t>Cuestiona afirmaciones basadas en argumentos falsos o poco fundamentados científicamente, al identificar los riesgos a la salud por el uso de productos y métodos para adelgazar.</t>
  </si>
  <si>
    <t>Análisis crítico de la información para adelgazar que se presenta en los medios de comunicación.</t>
  </si>
  <si>
    <t>Argumenta la importancia de las interacciones entre los seres vivos y su relación con el ambiente, en el desarrollo de la diversidad de adaptaciones asociadas con la nutrición.</t>
  </si>
  <si>
    <t>Análisis comparativo de algunas adaptaciones relacionadas con la nutrición.</t>
  </si>
  <si>
    <t>Explica la participación de los organismos autótrofos y los heterótrofos como parte de las cadenas alimentarias en la dinámica de los ecosistemas.</t>
  </si>
  <si>
    <t>Valoración de la importancia de los organismos autótrofos y heterótrofos en los ecosistemas y de la fotosíntesis como base de las cadenas alimentarias.</t>
  </si>
  <si>
    <t>Relaciona la distribución de regiones
sísmicas y volcánicas en el mundo y en
México con las placas tectónicas de la
Tierra.</t>
  </si>
  <si>
    <t>Dinámica de las capas internas de la Tierra.</t>
  </si>
  <si>
    <t>Localización de las placas tectónicas de la Tierra en mapas.</t>
  </si>
  <si>
    <t>Distribución de regiones sísmicas y volcánicas de la Tierra.</t>
  </si>
  <si>
    <t>Sismicidad y vulcanismo en México.</t>
  </si>
  <si>
    <t>Reconoce la conformación y distribución del relieve continental y oceánico en el mundo y en México, a partir de la dinámica interna y externa
de la Tierra.</t>
  </si>
  <si>
    <t>Distribución del relieve continental y oceánico.</t>
  </si>
  <si>
    <t>Distingue la importancia de la
distribución, composición y dinámica
de las aguas oceánicas y continentales
en el mundo y en México.</t>
  </si>
  <si>
    <t>Importancia de la distribución de aguas continentales en el mundo y en México.</t>
  </si>
  <si>
    <t>Importancia de la dinámica de aguas oceánicas: corrientes marinas, mareas y olas.</t>
  </si>
  <si>
    <t>Relaciona elementos y factores de los
diferentes tipos de climas en el mundo
y en México.</t>
  </si>
  <si>
    <t>Elementos (temperatura y precipitación) y factores (latitud y altitud) del clima.</t>
  </si>
  <si>
    <t>Tipos de climas en la Tierra según la clasificación de Köppen: tropicales, secos, templados, fríos y polares.</t>
  </si>
  <si>
    <t>Aprecia la importancia de las
condiciones geográficas que favorecen
la biodiversidad en el mundo y en
México.</t>
  </si>
  <si>
    <t>Características distintivas de las regiones naturales del mundo y de México.</t>
  </si>
  <si>
    <t>Condiciones geográficas que favorecen la biodiversidad en la Tierra.</t>
  </si>
  <si>
    <t>Localización en mapas de los países megadiversos.</t>
  </si>
  <si>
    <t>Importancia de la biodiversidad en el mundo y en México.</t>
  </si>
  <si>
    <r>
      <t xml:space="preserve">Lesson 8. Habla utilizando la expresion </t>
    </r>
    <r>
      <rPr>
        <b/>
        <sz val="12"/>
        <color theme="1"/>
        <rFont val="Arial"/>
        <family val="2"/>
      </rPr>
      <t>"wearing"</t>
    </r>
    <r>
      <rPr>
        <sz val="12"/>
        <color theme="1"/>
        <rFont val="Arial"/>
        <family val="2"/>
      </rPr>
      <t>.</t>
    </r>
  </si>
  <si>
    <t>Vocabulario de ropa</t>
  </si>
  <si>
    <r>
      <t>Lesson 4. Reconoce y hace diferencias entre pronombres</t>
    </r>
    <r>
      <rPr>
        <b/>
        <sz val="12"/>
        <color theme="1"/>
        <rFont val="Arial"/>
        <family val="2"/>
      </rPr>
      <t>.</t>
    </r>
  </si>
  <si>
    <r>
      <t xml:space="preserve">Vocabulario de ropa y uso de </t>
    </r>
    <r>
      <rPr>
        <b/>
        <sz val="12"/>
        <color theme="1"/>
        <rFont val="Arial"/>
        <family val="2"/>
      </rPr>
      <t>"this"</t>
    </r>
    <r>
      <rPr>
        <sz val="12"/>
        <color theme="1"/>
        <rFont val="Arial"/>
        <family val="2"/>
      </rPr>
      <t xml:space="preserve"> y </t>
    </r>
    <r>
      <rPr>
        <b/>
        <sz val="12"/>
        <color theme="1"/>
        <rFont val="Arial"/>
        <family val="2"/>
      </rPr>
      <t>"that"</t>
    </r>
  </si>
  <si>
    <t>Lesson 4. Reconoce y hace diferencias entre pronombres.</t>
  </si>
  <si>
    <t>Lesson 9. Utiliza el presente continuo.</t>
  </si>
  <si>
    <t>Presente continuo, verbos en presente</t>
  </si>
  <si>
    <t>aplicación de Procedimientos</t>
  </si>
  <si>
    <t>Lesson 3. Habla utilizando el vocabulario de ropa.</t>
  </si>
  <si>
    <t>Vocabulario de ropa y sus formas en plural y singular</t>
  </si>
  <si>
    <t>Conceptual</t>
  </si>
  <si>
    <t>Vocabulario ropa y sus formas en plural y singular</t>
  </si>
  <si>
    <t>Lesson 12. Reconoce las preposiciones.</t>
  </si>
  <si>
    <t>Oraciones usando preposiciones.</t>
  </si>
  <si>
    <t>Argumenta sus puntos de vista y utiliza recursos discursivos al intervenir en discusiones formales para defender sus opiniones.</t>
  </si>
  <si>
    <t>*Recopilación y selección de información sobre un tema para participar en una mesa redonda. * Definición de los propósitos y temas que se abordan  * Distribución del tiempo y asignación de roles.</t>
  </si>
  <si>
    <t>Recuperar información y puntos de vista que aportan otros para integrarla a la discusión y llegar a conclusiones sobre un tema.</t>
  </si>
  <si>
    <t>Función del   expositor, moderador y audiencia en las mesas redondas.</t>
  </si>
  <si>
    <t>Estrategias discursivas que se utilizan para argumentar puntos de vista y persuadir a la audiencia.</t>
  </si>
  <si>
    <t>Revisa y selecciona información de diversos textos para participar en una mesa redonda.</t>
  </si>
  <si>
    <t>Diferencia entre la información sustentada en datos o hechos  y la basada en opiniones personales.</t>
  </si>
  <si>
    <t>Modifica las características de los diferentes aspectos en función de la historia que presenta un cuento original.</t>
  </si>
  <si>
    <t>Características de los distintos elementos de un cuento.</t>
  </si>
  <si>
    <t>Modifica la estructura del cuento e identifica sus implicaciones en el efecto que causa.</t>
  </si>
  <si>
    <t>Diferencias en la caracterización de los personajes, atmósfera situaciones y contexto.</t>
  </si>
  <si>
    <t>Relación entre la descripción, las secuencias de acción y el diálogo en la construcción de la narración.</t>
  </si>
  <si>
    <t xml:space="preserve">Emplea recursos lingüísticos para describir personajes, escenarios y situaciones. </t>
  </si>
  <si>
    <t>Ortografía y puntuación convencionales</t>
  </si>
  <si>
    <t>Identifica que una misma expresión o palabra puede tener distintos significados, en función del contexto social y geográfico.</t>
  </si>
  <si>
    <t>Lista de palabras y expresiones que se utilizan en diferentes regiones hispanohablantes organizadas en campos semánticos.</t>
  </si>
  <si>
    <t>Reconoce la importancia del respeto a la diversidad lingüística.</t>
  </si>
  <si>
    <t>Selección de textos , orales y escritos, que den cuenta a las diferentes formas de nombrar objetos en los pueblos hispanohablantes.</t>
  </si>
  <si>
    <t>Idendifica la variedad léxica de los pueblos hispanohablantes como parte de la riqueza lingüística y cultural del español.</t>
  </si>
  <si>
    <t>Comprende las variantes léxicas que se usan en los pueblos hispanohablantes</t>
  </si>
  <si>
    <t>Ortografia y puntuación convencionales</t>
  </si>
  <si>
    <t>Resuelve problemas aditivos con monomios y polinomios.</t>
  </si>
  <si>
    <t>Resolución de problemas que impliquen adición y sustracción de monomios.</t>
  </si>
  <si>
    <t>Resolución de problemas que impliquen adición y sustracción de polinomios</t>
  </si>
  <si>
    <t>Resuelve problemas en los que sea necesario calcular cualquiera de las variables de las fórmulas para obtener el volumen de cubos, prismas y pirámides rectos. Establece relaciones de variación entre dichos términos.</t>
  </si>
  <si>
    <t>Identificación y búsqueda de expresiones algebraicas equivalentes a partir del empleo de modelos geométricos.</t>
  </si>
  <si>
    <t>Justificación de las fórmulas para calcular el volumen de cubos, prismas y pirámides rectos.</t>
  </si>
  <si>
    <t>Estimación y cálculo del volumen de cubos, prismas y pirámides rectos o de cualquier término implicado en las fórmulas. Análisis de las relaciones de variación entre diferentes medidas de prismas y pirámides.</t>
  </si>
  <si>
    <t>Identificación y resolución de situaciones de proporcionalidad inversa mediante diversos procedimientos.</t>
  </si>
  <si>
    <t>Realización de experimentos aleatorios y registro de resultados para un acercamiento a la probabilidad frecuencial. Relación de ésta con la probabilidad teórica.</t>
  </si>
  <si>
    <t>Interpreta y aplica las Leyes de Newton como un conjunto de reglas para describir y predecir los efectos de las fuerzas en experimentos y/o situaciones cotidianas.</t>
  </si>
  <si>
    <t>Primera Ley de Newton: el estado de reposo o movimiento rectilíneo uniforme. La inercia y su relación con la masa.                           Segunda Ley de Newton: relación fuerza, masa y aceleración. El newton como unidad de fuerza.                                                            Tercera Ley de Newton: la acción y la reacción; magnitud y sentido de las fuerzas.</t>
  </si>
  <si>
    <t xml:space="preserve">Valora la importancia de las Leyes de Newton en la explicación de las causas del movimiento de los objetos. </t>
  </si>
  <si>
    <t>Establece relaciones entre la gravitación, la caída libre y el peso de los objetos, a partir de situaciones cotidianas.</t>
  </si>
  <si>
    <t>Gravitación. Representación gráfica de la atracción gravitacional. Relación con caída libre y peso.</t>
  </si>
  <si>
    <t xml:space="preserve">Resolución de problemas </t>
  </si>
  <si>
    <t>Identifica el movimiento de los cuerpos del Sistema Solar como efecto de la fuerza de atracción gravitacional.</t>
  </si>
  <si>
    <t>Aportación de Newton a la ciencia: explicación del movimiento en la Tierra y en el Universo.</t>
  </si>
  <si>
    <t>Describe la energía mecánica a partir de las relaciones entre el movimiento: la posición y la velocidad.</t>
  </si>
  <si>
    <t>Energía mecánica: cinética y potencial.</t>
  </si>
  <si>
    <t xml:space="preserve">Interpreta esquemas del cambio de la energía cinética y potencial en movimientos de caída libre del entorno. </t>
  </si>
  <si>
    <t>Transformaciones de la energía cinética y potencial.</t>
  </si>
  <si>
    <t xml:space="preserve">Utiliza las expresiones algebraicas de la energía potencial y cinética para describir algunos movimientos que identifica en el entorno y/o en situaciones experimentales. </t>
  </si>
  <si>
    <t xml:space="preserve">Principio de la conservación de la energía.  Ep= mgh         Ec=1/2mv2 </t>
  </si>
  <si>
    <t>• Reconoce la importancia de las ideas ilustradas en la difusión del conocimiento y en la transformación de los imperios europeos.</t>
  </si>
  <si>
    <t>Temas para comprender el periodo
¿Qué importancia tuvo el liberalismo económico y político en el mundo?
Transformación de los sistemas políticos y nuevas ideas: El absolutismo europeo. La Ilustración y la Enciclopedia. El despotismo ilustrado. La guerra de los Siete Años y la modernización de las administraciones imperiales.</t>
  </si>
  <si>
    <t>• Analiza las causas y consecuencias de las revoluciones liberales.</t>
  </si>
  <si>
    <t xml:space="preserve">Revoluciones liberales: La Independencia de las Trece Colonias inglesas.
La Revolución Francesa. El liberalismo: De súbditos a ciudadanos.
</t>
  </si>
  <si>
    <t>• Explica las consecuencias sociales y económicas de la Revolución Industrial.</t>
  </si>
  <si>
    <t>Expansión económica y cambio social: La Revolución Industrial: su impacto en la producción, el comercio y las comunicaciones. Las clases trabajadoras y los primeros movimientos obreros. Contrastes entre el campo y las ciudades, y cambios demográficos.</t>
  </si>
  <si>
    <t>Lesson 3. Hace preguntas sobre el estado de salud de las personas.</t>
  </si>
  <si>
    <t>Identifica la forma de preguntar y responder por la salud de una persona.</t>
  </si>
  <si>
    <t>Lesson 4. Hace preguntas sobre los síntomas de una enfermedad.</t>
  </si>
  <si>
    <t>Identifica la forma de preguntar y responder por los síntomas de una enfermedad.</t>
  </si>
  <si>
    <t>Lesson 5. Da consejos.</t>
  </si>
  <si>
    <t>Conoce y utiliza correctamente el verbo auxiliar "should" en su forma afirmativa.</t>
  </si>
  <si>
    <t>Lesson 9. Expresa sugerencias.</t>
  </si>
  <si>
    <t>Conoce y utiliza correctamente el verbo auxiliar "would" en su forma afirmativa.</t>
  </si>
  <si>
    <t>Lesson 8. Identifica indicaciones médicas.</t>
  </si>
  <si>
    <t>Reconoce la forma imperativa para dar instrucciones medicas.</t>
  </si>
  <si>
    <t>Lesson 11. Identifica plurales irregulares de sustantivos.</t>
  </si>
  <si>
    <t>Utiliza correctamente los sustantivos singulares y plurales: "tooth, teeth, foot, feet".</t>
  </si>
  <si>
    <t>Lesson 14. Reconoce expresiones de cantidad.</t>
  </si>
  <si>
    <t>Utiliza correctamente expresiones de cantidad en sustantivos cuantificables y no cuantificables.</t>
  </si>
  <si>
    <t>Lesson 15. Usa diversos conectores.</t>
  </si>
  <si>
    <t>Utiliza conectores de causa "because", adversativos "but".</t>
  </si>
  <si>
    <t>Identifica la diferencia  entre los argumentos basados en datos y los basados en opiniones personales.</t>
  </si>
  <si>
    <t>Características del panel de discusión. Diferencia entre la información basada en datos y hechos. Formas de validar los argumentos.</t>
  </si>
  <si>
    <t>Expresa de manera clara sus argumentos y los sustenta en información  analizada, al debatir sobre un tema.</t>
  </si>
  <si>
    <t>Fichas de trabajo con información sobre el tema  por desarrollar (datos, ejemplos, citas, entre otros).</t>
  </si>
  <si>
    <t>Utiliza recurso discursivos para persuadir  y defender   su posición en un panel  de discusión.</t>
  </si>
  <si>
    <t>Estrategías discursivas para persuadir a la audiencia. Empleo del lenguaje formal e informal en función de la situación comunicativa. Características y función  de los textos argumentatitovs.</t>
  </si>
  <si>
    <t>Reconoce y respeta los diferentes puntos de vista  y opiniones sobre un tema  y los turnos de particfipación  al llevar a cabo un panel de discusión.</t>
  </si>
  <si>
    <t>Características del panel de discusión.</t>
  </si>
  <si>
    <t>Analiza e identifica la información  presentada en textos introductorios: prólogos, reseñas, dedicatorias y presentaciones.</t>
  </si>
  <si>
    <t>Diferencias y semejanzas entre textos introductorios: introducción, presentación, dedicatoria, advertencia y prólogo.</t>
  </si>
  <si>
    <t>Utiliza la información de un prólogo para anticipar el contenido, los propósitos y características de una obra literaria o una antología.</t>
  </si>
  <si>
    <t>Características  y función de las  obras literarias.  Características y función de las antologías literarias. Ortografia y puntuación convencionales.</t>
  </si>
  <si>
    <t>Emplea información contenida en documentos oficiales para el llenado de formularios.</t>
  </si>
  <si>
    <t>Características y función  de los formatos y formularios electrónicos.</t>
  </si>
  <si>
    <t>Uso de ecuaciones cuadráticas para modelar situaciones y resolverlas usando la factorización.</t>
  </si>
  <si>
    <t>Resol.  problemas</t>
  </si>
  <si>
    <t>Aplic. Procedimientos</t>
  </si>
  <si>
    <t>Explica el tipo de transformación (reflexión, rotación o traslación) que se aplica a una figura para obtener  la figura transformada. Identifica las propiedades que se conservan.</t>
  </si>
  <si>
    <t>Análisis de las propiedades de la rotación y la traslación de figuras.</t>
  </si>
  <si>
    <t>Aplic. procedimientos</t>
  </si>
  <si>
    <t>Construcción de diseños que combinan la simetría axial y central , la rotación y la traslación de figuras.</t>
  </si>
  <si>
    <t>Resuelve problemas que implican el uso del Teorema de Pitágoras.</t>
  </si>
  <si>
    <t>Análisis de las relaciones entre las áreas de los cuadrados que se construyen sobre los lados de un triángulo rectángulo.</t>
  </si>
  <si>
    <t>Explicación y uso del Teorema de Pitágoras.</t>
  </si>
  <si>
    <t>Aplic .procedimientos</t>
  </si>
  <si>
    <t>Cálculo de la probabilidad de ocurrencia de dos eventos mutuamente excluyentes y de eventos complementarios (regla de la suma).</t>
  </si>
  <si>
    <t>Establece criterios para clasificar materiales cotidianos en mezclas, compuestos y elementos considerando su composición y pureza.</t>
  </si>
  <si>
    <t>Mezclas y sustancias puras: compuestos y elementos.</t>
  </si>
  <si>
    <t>Representa y diferencia mezclas, compuestos y elementos con base en el modelo corpuscular.</t>
  </si>
  <si>
    <t>Identifica los componentes del modelo atómico de Bohr (protones, neutrones y electrones), así como la función de los electrones de valencia para comprender la estructura de los materiales.</t>
  </si>
  <si>
    <t xml:space="preserve">Modelo atómico de Bohr .   Enlace químico.                                         </t>
  </si>
  <si>
    <t>Representa el enlace químico mediante los electrones de valencia a partir de la estructura de Lewis.</t>
  </si>
  <si>
    <t>Coceptos</t>
  </si>
  <si>
    <t>Representa mediante la simbología química elementos, moléculas, átomos, iones (aniones y cationes).</t>
  </si>
  <si>
    <t>Identifica algunas propiedades de los metales (maleabilidad, ductilidad, brillo, conductividad térmica y eléctrica) y las relaciona con diferentes aplicaciones tecnológicas.</t>
  </si>
  <si>
    <t>Propiedades de los metales, toma de decisiones relacionada con: rechazo, reducción, reuso y reciclado de metales.</t>
  </si>
  <si>
    <t>Identifica el análisis y la sistematización de resultados como características del trabajo científico realizado por Cannizzaro, al establecer la distinción entre masa molecular y masa atómica.</t>
  </si>
  <si>
    <t>El orden en la diversidad de las sustancias: aportaciones del trabajo de Cannizzaro y Mendeleiev.</t>
  </si>
  <si>
    <t>Identifica la importancia de la organización y sistematización de elementos con base en su masa atómica, en la tabla periodica de Mendeleiev, que lo llevó a la predicción de algunos elementos aún desconocidos.</t>
  </si>
  <si>
    <t>Identifica la información de la tabla periódica, analiza sus irregularidades y su importancia en la organización de los elementos químicos.</t>
  </si>
  <si>
    <t>Regularidades en la Tabla Periódica de los Elementos químicos representativos. Carácter metálico, valencia, número y masa atómica. Importancia de los elementos químicos para los seres vivos.</t>
  </si>
  <si>
    <t>Relaciona la abundancia de elementos ( C, H, O, N, P, S ) con su importancia para los seres vivos.</t>
  </si>
  <si>
    <t xml:space="preserve">D          </t>
  </si>
  <si>
    <t>Explica las características de los enlaces químicos a partir del modelo de compartición (covalente) y de transferencia de electrones (iónico).</t>
  </si>
  <si>
    <t>Modelos de enlace: covalente e iónico. Relación entre las propiedades de las sustancias con el modelo de enlace: covalente e iónico.</t>
  </si>
  <si>
    <t>Identifica que las propiedades de los materiales se explican a través de su estructura (atómica, molecular).</t>
  </si>
  <si>
    <t>Ordena secuencialmente hechos y procesos relacionados con las reformas borbónicas y la Independencia de México, utilizando términos como siglo, década y año.                              Señala las transformaciones del territorio novohispano en el siglo XVIII y las zonas de influencia de los insurgentes.</t>
  </si>
  <si>
    <t>PANORAMA DEL PERIODO                             UBICACIÓN TEMPORAL Y ESPACIAL DEL MOVIMIENTO DE ILUSTRACIÓN, LAS REFORMAS BORBÓNICAS Y EL PROCESO DE INDEPENDENCIA.</t>
  </si>
  <si>
    <t>Reconoce las causas y consecuencias del crecimiento económico novohispano en el siglo XVIII.</t>
  </si>
  <si>
    <t>TEMAS PARA COMPRENDER EL PERIODO                                                      ¿Cómo afectó la crisis de la Corona española a Nueva España?                            EL AUGE DE LA ECONOMÍA NOVOHISPANA: Crecimiento de la población y florecimiento de las ciudades. Desarrollo de las redes comerciales internas. El papel económico de la Iglesia y las grandes fortunas mineras y comerciales. Las innovaciones agropecuarias, la tecnología minera e inicios de la actividad industrial.</t>
  </si>
  <si>
    <t>Explica las causas y consecuencias de las reformas borbónicas.</t>
  </si>
  <si>
    <t>LA TRANSFORMACIÓN DE LA MONARQUÍA ESPAÑOLA Y LAS REFORMAS DE NUEVA ESPAÑA: La decadencia del poderío naval español y las reformas borbónicas. Las reformas en Nueva España: nuevo estilo de gobierno, división política, establecimiento del ejército y la apertura del comercio libre.</t>
  </si>
  <si>
    <t xml:space="preserve">  Hechos</t>
  </si>
  <si>
    <t>Explica la desigualdad social y política entre los distintos grupos de la Nueva España.</t>
  </si>
  <si>
    <t>DESIGUALDAD SOCIAL: Corporaciones y fueros. Las tensiones sociales de la ciudad. El crecimiento de las haciendas y los conflictos rurales.</t>
  </si>
  <si>
    <t>Reconoce la multicausalidad de la crisis política en Nueva España y del inicio de la Guerra de Independencia.</t>
  </si>
  <si>
    <t>LA CRISIS POLÍTICA: Ideas ilustradas en las posesiones españolas en América. La invasión francesa de España. El criollismo y el anhelo de autonomía. El golpe de Estado de los peninsulares. Conspiraciones e insurrección de 1810.</t>
  </si>
  <si>
    <t xml:space="preserve">Aplicación de procedimientos          </t>
  </si>
  <si>
    <t>Explica el proceso de Independencia y la influencia del liberalismo.</t>
  </si>
  <si>
    <t>HACIA LA INDEPENDENCIA: Insurgentes y realistas en el movimiento de independencia. El pensamiento social de los insurgentes. El liberalismo español y la Constitución de Cádiz de 1812. Resistencia y guerra de guerrillas. La consumación de la Independencia.</t>
  </si>
  <si>
    <t xml:space="preserve">Conceptos       </t>
  </si>
  <si>
    <t>Reconoce las características del neoclásico y la influencia de la ilustración en la creación de nuevas instituciones científicas y académicas.</t>
  </si>
  <si>
    <t>ARTE Y CULTURA: Del barroco al neoclásico. Nuevas instituciones académicas y modernización de los estudios y la ciencia.</t>
  </si>
  <si>
    <r>
      <t>Lesson 40:Identificar que "</t>
    </r>
    <r>
      <rPr>
        <b/>
        <sz val="12"/>
        <color theme="1"/>
        <rFont val="Arial"/>
        <family val="2"/>
      </rPr>
      <t>have to/has to"</t>
    </r>
    <r>
      <rPr>
        <sz val="12"/>
        <color theme="1"/>
        <rFont val="Arial"/>
        <family val="2"/>
      </rPr>
      <t xml:space="preserve"> se usan para indicar obligación.</t>
    </r>
  </si>
  <si>
    <r>
      <t xml:space="preserve">Uso del verbo </t>
    </r>
    <r>
      <rPr>
        <b/>
        <sz val="12"/>
        <color theme="1"/>
        <rFont val="Arial"/>
        <family val="2"/>
      </rPr>
      <t>"have to/has to"</t>
    </r>
    <r>
      <rPr>
        <sz val="12"/>
        <color theme="1"/>
        <rFont val="Arial"/>
        <family val="2"/>
      </rPr>
      <t xml:space="preserve"> para indicar obligación.</t>
    </r>
  </si>
  <si>
    <t>Lesson 44: Identificar que must tiene una forma regular para todas las personas.</t>
  </si>
  <si>
    <r>
      <t xml:space="preserve">Uso de la forma negativa </t>
    </r>
    <r>
      <rPr>
        <b/>
        <sz val="12"/>
        <color theme="1"/>
        <rFont val="Arial"/>
        <family val="2"/>
      </rPr>
      <t>"mustn't"</t>
    </r>
    <r>
      <rPr>
        <sz val="12"/>
        <color theme="1"/>
        <rFont val="Arial"/>
        <family val="2"/>
      </rPr>
      <t xml:space="preserve"> </t>
    </r>
  </si>
  <si>
    <t>Lesson 35: Dar consejos y sugerencias a ciertas situaciones.</t>
  </si>
  <si>
    <r>
      <t xml:space="preserve">Uso de </t>
    </r>
    <r>
      <rPr>
        <b/>
        <sz val="12"/>
        <color theme="1"/>
        <rFont val="Arial"/>
        <family val="2"/>
      </rPr>
      <t>"should"</t>
    </r>
    <r>
      <rPr>
        <sz val="12"/>
        <color theme="1"/>
        <rFont val="Arial"/>
        <family val="2"/>
      </rPr>
      <t xml:space="preserve"> para dar consejos.</t>
    </r>
  </si>
  <si>
    <r>
      <t>Lesson 40: Identificar que "</t>
    </r>
    <r>
      <rPr>
        <b/>
        <sz val="12"/>
        <color theme="1"/>
        <rFont val="Arial"/>
        <family val="2"/>
      </rPr>
      <t>have to/has to"</t>
    </r>
    <r>
      <rPr>
        <sz val="12"/>
        <color theme="1"/>
        <rFont val="Arial"/>
        <family val="2"/>
      </rPr>
      <t xml:space="preserve"> se usan para indicar obligación.</t>
    </r>
  </si>
  <si>
    <t>Lesson 32: Identificar que la forma imperativa se usa para hacer advertencias.</t>
  </si>
  <si>
    <t>Uso de la forma imperativa en su forma negativa para hacer advertencias.</t>
  </si>
  <si>
    <t>Lesson 31:Identificar e interpretar señales que indican precaución.</t>
  </si>
  <si>
    <t>Identicicación de advertencias.</t>
  </si>
  <si>
    <r>
      <t xml:space="preserve">Lesson 41: Identificar que </t>
    </r>
    <r>
      <rPr>
        <b/>
        <sz val="12"/>
        <color theme="1"/>
        <rFont val="Arial"/>
        <family val="2"/>
      </rPr>
      <t>"must"</t>
    </r>
    <r>
      <rPr>
        <sz val="12"/>
        <color theme="1"/>
        <rFont val="Arial"/>
        <family val="2"/>
      </rPr>
      <t xml:space="preserve"> también se usa para indicar obligación.</t>
    </r>
  </si>
  <si>
    <r>
      <t xml:space="preserve">Uso del verbo </t>
    </r>
    <r>
      <rPr>
        <b/>
        <sz val="12"/>
        <color theme="1"/>
        <rFont val="Arial"/>
        <family val="2"/>
      </rPr>
      <t>"must"</t>
    </r>
    <r>
      <rPr>
        <sz val="12"/>
        <color theme="1"/>
        <rFont val="Arial"/>
        <family val="2"/>
      </rPr>
      <t xml:space="preserve"> para indicar obligación.</t>
    </r>
  </si>
  <si>
    <r>
      <t xml:space="preserve">Lesson 43: Usar </t>
    </r>
    <r>
      <rPr>
        <b/>
        <sz val="12"/>
        <color theme="1"/>
        <rFont val="Arial"/>
        <family val="2"/>
      </rPr>
      <t>"have to/has to"</t>
    </r>
    <r>
      <rPr>
        <sz val="12"/>
        <color theme="1"/>
        <rFont val="Arial"/>
        <family val="2"/>
      </rPr>
      <t xml:space="preserve"> para indicar obligación.</t>
    </r>
  </si>
  <si>
    <t>Lesson 38: Interpretar instrucciones de seguridad.</t>
  </si>
  <si>
    <t>Identicicación de instrucciones a seguir.</t>
  </si>
  <si>
    <t>Lesson 36: Identificar las señales de precaución.</t>
  </si>
  <si>
    <t>Identicicación de precacuciones en señales.</t>
  </si>
  <si>
    <t>nom</t>
  </si>
  <si>
    <t>es</t>
  </si>
  <si>
    <t>in</t>
  </si>
  <si>
    <t>ci</t>
  </si>
  <si>
    <t>ma</t>
  </si>
  <si>
    <t>gh</t>
  </si>
  <si>
    <t>XOCHITL DURAN MAITRET</t>
  </si>
  <si>
    <t>VICKY ELIZABETH PEÑA QUIJANO</t>
  </si>
  <si>
    <t>CECILIA OLMEDO DE LEON</t>
  </si>
  <si>
    <t>ANTONIO PERALTA GUZMAN</t>
  </si>
  <si>
    <t>VERONICA AIDA PASTRANA CRUZ</t>
  </si>
  <si>
    <t>FLOR GUILLERMINA AMARO SANCHEZ</t>
  </si>
  <si>
    <t>CECILIA VALENCIA PEREZ</t>
  </si>
  <si>
    <t>GIL HUMBERTO PATIÑO MARTAGON</t>
  </si>
  <si>
    <t>GUSTAVO ALEJANDRO DOMINGUEZ CHAIREZ</t>
  </si>
  <si>
    <t>JULIO MARTINEZ HERNANDEZ</t>
  </si>
  <si>
    <t>MARIA DE LOS ANGELES MUJICA MARTINEZ</t>
  </si>
  <si>
    <t>ESTEFANIA TORRES VAZQUEZ</t>
  </si>
  <si>
    <t>VIOLETA XOCHIHUA ABURTO</t>
  </si>
  <si>
    <t>SUJEY LEAL PEREZ</t>
  </si>
  <si>
    <t>OVIDIO ORTIGOZA DIAZ</t>
  </si>
  <si>
    <t>GUILLERMINA MARROQUIN PATIÑO</t>
  </si>
  <si>
    <t>ALFREDO RAGA AVILES</t>
  </si>
  <si>
    <t>MARIA ELENA DIAS MORALES</t>
  </si>
  <si>
    <t>NAYELI PEREZ JIMENEZ</t>
  </si>
  <si>
    <t>ABEL POSEROS LEANDRO</t>
  </si>
  <si>
    <t>HILARIO LOPEZ MENDEZ</t>
  </si>
  <si>
    <t>VERONICA BALDERRAMA MARTINEZ</t>
  </si>
  <si>
    <t>NELIDA GONZALEZ BAEZ</t>
  </si>
  <si>
    <t>AGUSTIN QUIÑONEZ Y MEZA</t>
  </si>
  <si>
    <t>DANIEL GARCIA CASTILLO</t>
  </si>
  <si>
    <t>ARTURO MARQUES MORALES</t>
  </si>
  <si>
    <t>ROMAN VALENCIA PEREZ</t>
  </si>
  <si>
    <t>JESUS ARAUJO LOPEZ</t>
  </si>
  <si>
    <t>NORMA PEREZ FLORES</t>
  </si>
  <si>
    <t>JOSEFINA MENDEZ SANCHEZ</t>
  </si>
  <si>
    <t>EDER HERNANDEZ OLIVARES</t>
  </si>
  <si>
    <t>FRANCISCO PRIMO VERDAD Y RAMOS</t>
  </si>
  <si>
    <t>EDGAR DAVID ALEJANDRO COLON GARCIA</t>
  </si>
  <si>
    <t>CARLOS ALBERTO VAZQUEZ PEREZ</t>
  </si>
  <si>
    <t>JOSE GUADALUPE PEREZ CAMARILLO</t>
  </si>
  <si>
    <t>JOSÉ DE JESÚS NUÑEZ Y DOMÍNGUEZ</t>
  </si>
  <si>
    <t>MARCO ANTONIO CASTELLANOS ALARCON</t>
  </si>
  <si>
    <t>KARLA JANET TAPIA PEDROZA</t>
  </si>
  <si>
    <t>JULIO CESAR CESPEDES VAZQUEZ</t>
  </si>
  <si>
    <t>ADRIAN MAYO DIAZ</t>
  </si>
  <si>
    <t>MARIA CONSUELO CRUZ MARTINEZ</t>
  </si>
  <si>
    <t>SAUL MENDOZA GONZALEZ</t>
  </si>
  <si>
    <t>VIANEY MARTINEZ CASTILLO</t>
  </si>
  <si>
    <t>JOSE LUIS ZOLANO GARCIA</t>
  </si>
  <si>
    <t>KARIME SANCHEZ JACOME</t>
  </si>
  <si>
    <t>ERIK PAZOS MORA</t>
  </si>
  <si>
    <t>JOSE ADOLFO BELTRAN CARMONA</t>
  </si>
  <si>
    <t>NORA LAURA GIRON VALENZUELA</t>
  </si>
  <si>
    <t>PABLO GARCIA GARCIA</t>
  </si>
  <si>
    <t>SAMUEL MANUEL LOPEZ</t>
  </si>
  <si>
    <t>JENNY NUVIA RAMIREZ SANTIAGO</t>
  </si>
  <si>
    <t>MARTIN GONZALEZ LOPEZ</t>
  </si>
  <si>
    <t>OMAR ARANDA ALVARADO</t>
  </si>
  <si>
    <t>RAUL CARBAJAL HERNANDEZ</t>
  </si>
  <si>
    <t>OSCAR MARTINEZ RODRIGUEZ</t>
  </si>
  <si>
    <t>FRANCISCO JAVIER GARCIA RAMOS</t>
  </si>
  <si>
    <t>MARIA GARCIA JUAREZ</t>
  </si>
  <si>
    <t>ERIKA JASEL GARCIA CANDANEDO</t>
  </si>
  <si>
    <t>EDY FRANCISCO CORTES</t>
  </si>
  <si>
    <t>ANGELA LILIANA CANO AMADOR</t>
  </si>
  <si>
    <t>JULIETA JIMENEZ PALACIOS</t>
  </si>
  <si>
    <t>HECTOR FRANCISCO HERNANDEZ GALLARDO</t>
  </si>
  <si>
    <t>ADAN MORGADO MENDOZA</t>
  </si>
  <si>
    <t>GUADALUPE TORRES HERNANDEZ</t>
  </si>
  <si>
    <t>ROSA MARGARITA CORTES GARCIA</t>
  </si>
  <si>
    <t>HORTENCIA MARTINEZ RODRIGUEZ</t>
  </si>
  <si>
    <t>ANDRES CRODA ORTEGA</t>
  </si>
  <si>
    <t>MARIANA CRUZ OSORIO</t>
  </si>
  <si>
    <t>OFELIA CRUZ CASTELLANOS</t>
  </si>
  <si>
    <t>LILIANA BARRA RIVERA</t>
  </si>
  <si>
    <t>30DTV1851W</t>
  </si>
  <si>
    <t>MYCHELL TERESA REYES ZUBIRI</t>
  </si>
  <si>
    <t>30DTV1853U</t>
  </si>
  <si>
    <t>ALVARO OBREGON SALIDO</t>
  </si>
  <si>
    <t>CALLE A LA IGLESIA EX HACIENDA COMUNITARIA</t>
  </si>
  <si>
    <t>EDUARDO ORTIZ QUIJANO</t>
  </si>
  <si>
    <t>30DTV1883O</t>
  </si>
  <si>
    <t>RENE ABELARDO GARCES BADILLO</t>
  </si>
  <si>
    <t>30DTV1888J</t>
  </si>
  <si>
    <t>GABRIELA MISTRAL GODOY</t>
  </si>
  <si>
    <t>BENITO JUAREZ S/N CLINICA RURAL</t>
  </si>
  <si>
    <t>ROBERTO JAVIER BECERRA TIRZO</t>
  </si>
  <si>
    <t>NARANJALES</t>
  </si>
  <si>
    <t>30DTV1960C</t>
  </si>
  <si>
    <t>LEONA VICARIO FERNANDEZ</t>
  </si>
  <si>
    <t>ROSENDO MARCOS VAZQUEZ</t>
  </si>
  <si>
    <t>TUNCUHUINI (ENCINAL)</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</si>
</sst>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8"/>
      <name val="Tahoma"/>
      <family val="2"/>
    </font>
    <font>
      <b/>
      <sz val="8"/>
      <name val="Tahoma"/>
      <family val="2"/>
    </font>
    <font>
      <sz val="10"/>
      <name val="Tahoma"/>
      <family val="2"/>
    </font>
    <font>
      <sz val="11"/>
      <color theme="0"/>
      <name val="Calibri"/>
      <family val="2"/>
      <scheme val="minor"/>
    </font>
    <font>
      <sz val="8"/>
      <color theme="1"/>
      <name val="Tahoma"/>
      <family val="2"/>
    </font>
    <font>
      <sz val="10"/>
      <color theme="1"/>
      <name val="Tahoma"/>
      <family val="2"/>
    </font>
    <font>
      <sz val="8"/>
      <color theme="1"/>
      <name val="Calibri"/>
      <family val="2"/>
      <scheme val="minor"/>
    </font>
    <font>
      <sz val="8"/>
      <color rgb="FF000000"/>
      <name val="Tahoma"/>
      <family val="2"/>
    </font>
    <font>
      <b/>
      <sz val="12"/>
      <color theme="1"/>
      <name val="Tahoma"/>
      <family val="2"/>
    </font>
    <font>
      <b/>
      <sz val="12"/>
      <color theme="1"/>
      <name val="Arial"/>
      <family val="2"/>
    </font>
    <font>
      <sz val="12"/>
      <color theme="1"/>
      <name val="Arial"/>
      <family val="2"/>
    </font>
    <font>
      <sz val="12"/>
      <color indexed="8"/>
      <name val="Arial"/>
      <family val="2"/>
    </font>
    <font>
      <sz val="12"/>
      <name val="Arial"/>
      <family val="2"/>
    </font>
    <font>
      <sz val="11"/>
      <color theme="1"/>
      <name val="Tahoma"/>
      <family val="2"/>
    </font>
    <font>
      <b/>
      <sz val="9"/>
      <color indexed="81"/>
      <name val="Tahoma"/>
      <family val="2"/>
    </font>
    <font>
      <sz val="9"/>
      <color indexed="81"/>
      <name val="Tahoma"/>
      <family val="2"/>
    </font>
    <font>
      <sz val="11"/>
      <color theme="1"/>
      <name val="Calibri"/>
      <family val="2"/>
      <scheme val="minor"/>
    </font>
    <font>
      <sz val="11"/>
      <name val="Tahoma"/>
      <family val="2"/>
    </font>
    <font>
      <sz val="8"/>
      <color theme="0"/>
      <name val="Tahoma"/>
      <family val="2"/>
    </font>
  </fonts>
  <fills count="16">
    <fill>
      <patternFill patternType="none"/>
    </fill>
    <fill>
      <patternFill patternType="gray125"/>
    </fill>
    <fill>
      <patternFill patternType="solid">
        <fgColor theme="5"/>
      </patternFill>
    </fill>
    <fill>
      <patternFill patternType="solid">
        <fgColor theme="6"/>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0" fontId="4" fillId="2" borderId="0" applyNumberFormat="0" applyBorder="0" applyAlignment="0" applyProtection="0"/>
    <xf numFmtId="0" fontId="4" fillId="3" borderId="0" applyNumberFormat="0" applyBorder="0" applyAlignment="0" applyProtection="0"/>
    <xf numFmtId="9" fontId="17" fillId="0" borderId="0" applyFont="0" applyFill="0" applyBorder="0" applyAlignment="0" applyProtection="0"/>
  </cellStyleXfs>
  <cellXfs count="246">
    <xf numFmtId="0" fontId="0" fillId="0" borderId="0" xfId="0"/>
    <xf numFmtId="0" fontId="1" fillId="0" borderId="0" xfId="0" applyFont="1" applyAlignment="1">
      <alignment wrapText="1"/>
    </xf>
    <xf numFmtId="0" fontId="1" fillId="0" borderId="0" xfId="0" applyFont="1"/>
    <xf numFmtId="0" fontId="1" fillId="0" borderId="1" xfId="0" applyFont="1" applyBorder="1" applyAlignment="1">
      <alignment horizontal="center" vertical="center" wrapText="1"/>
    </xf>
    <xf numFmtId="0" fontId="6" fillId="0" borderId="0" xfId="0" applyFont="1"/>
    <xf numFmtId="0" fontId="3" fillId="4" borderId="1" xfId="2"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3" fillId="4" borderId="1" xfId="2" applyFont="1" applyFill="1" applyBorder="1" applyAlignment="1">
      <alignment horizontal="center"/>
    </xf>
    <xf numFmtId="0" fontId="6" fillId="0" borderId="0" xfId="0" applyFont="1" applyAlignment="1">
      <alignment horizontal="center"/>
    </xf>
    <xf numFmtId="0" fontId="1" fillId="0" borderId="0"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1" fontId="6" fillId="0" borderId="1" xfId="0" applyNumberFormat="1" applyFont="1" applyBorder="1" applyAlignment="1">
      <alignment horizontal="center" vertical="center" wrapText="1"/>
    </xf>
    <xf numFmtId="0" fontId="6" fillId="0" borderId="0" xfId="0" applyFont="1" applyFill="1"/>
    <xf numFmtId="0" fontId="0" fillId="0" borderId="0" xfId="0" applyAlignment="1"/>
    <xf numFmtId="1" fontId="7" fillId="0" borderId="0" xfId="0" applyNumberFormat="1" applyFont="1" applyAlignment="1">
      <alignment horizontal="center" vertical="center"/>
    </xf>
    <xf numFmtId="1" fontId="7" fillId="0" borderId="0" xfId="0" applyNumberFormat="1" applyFont="1" applyAlignment="1">
      <alignment vertical="center"/>
    </xf>
    <xf numFmtId="1" fontId="4" fillId="2" borderId="1" xfId="1" applyNumberFormat="1" applyBorder="1" applyAlignment="1">
      <alignment horizontal="center" vertical="center"/>
    </xf>
    <xf numFmtId="1" fontId="0" fillId="0" borderId="1" xfId="0" applyNumberFormat="1" applyFont="1" applyBorder="1" applyAlignment="1">
      <alignment horizontal="center" vertical="center"/>
    </xf>
    <xf numFmtId="1" fontId="0" fillId="0" borderId="8" xfId="0" applyNumberFormat="1" applyFont="1" applyFill="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horizontal="center"/>
    </xf>
    <xf numFmtId="1" fontId="0" fillId="0" borderId="9" xfId="0" applyNumberFormat="1" applyFont="1" applyBorder="1" applyAlignment="1">
      <alignment vertical="center"/>
    </xf>
    <xf numFmtId="1" fontId="7" fillId="6" borderId="5" xfId="0" applyNumberFormat="1" applyFont="1" applyFill="1" applyBorder="1" applyAlignment="1">
      <alignment vertical="center"/>
    </xf>
    <xf numFmtId="1" fontId="7" fillId="6" borderId="5" xfId="0" applyNumberFormat="1" applyFont="1" applyFill="1" applyBorder="1" applyAlignment="1">
      <alignment horizontal="center" vertical="center"/>
    </xf>
    <xf numFmtId="1" fontId="7" fillId="6" borderId="1" xfId="0" applyNumberFormat="1" applyFont="1" applyFill="1" applyBorder="1" applyAlignment="1">
      <alignment vertical="center"/>
    </xf>
    <xf numFmtId="0" fontId="7" fillId="0" borderId="0" xfId="0" applyNumberFormat="1" applyFont="1" applyAlignment="1">
      <alignment horizontal="center" vertical="center"/>
    </xf>
    <xf numFmtId="0" fontId="8" fillId="0" borderId="0" xfId="0" applyFont="1"/>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3" fillId="4" borderId="1" xfId="2" applyFont="1" applyFill="1" applyBorder="1" applyAlignment="1">
      <alignment horizontal="center" vertical="center"/>
    </xf>
    <xf numFmtId="0" fontId="6" fillId="0" borderId="0" xfId="0" applyFont="1" applyBorder="1" applyAlignment="1">
      <alignment horizontal="center" vertical="center"/>
    </xf>
    <xf numFmtId="0" fontId="11" fillId="0" borderId="0" xfId="0" applyFont="1"/>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0" xfId="0" applyFont="1" applyAlignment="1">
      <alignment horizontal="left" vertical="top" wrapText="1"/>
    </xf>
    <xf numFmtId="0" fontId="1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wrapText="1"/>
    </xf>
    <xf numFmtId="0" fontId="11" fillId="0" borderId="0" xfId="0" applyFont="1" applyAlignment="1">
      <alignment wrapText="1"/>
    </xf>
    <xf numFmtId="0" fontId="11" fillId="0" borderId="1" xfId="0" applyFont="1" applyBorder="1" applyAlignment="1">
      <alignment horizontal="center" vertical="center"/>
    </xf>
    <xf numFmtId="0" fontId="11" fillId="13" borderId="1" xfId="0" applyFont="1" applyFill="1" applyBorder="1" applyAlignment="1">
      <alignment horizontal="left" vertical="top" wrapText="1"/>
    </xf>
    <xf numFmtId="0" fontId="11" fillId="13" borderId="1" xfId="0" applyFont="1" applyFill="1" applyBorder="1" applyAlignment="1">
      <alignment horizontal="center" vertical="center" wrapText="1"/>
    </xf>
    <xf numFmtId="0" fontId="11" fillId="13" borderId="1" xfId="0" applyFont="1" applyFill="1" applyBorder="1" applyAlignment="1">
      <alignment horizontal="center" vertical="center"/>
    </xf>
    <xf numFmtId="0" fontId="12" fillId="0" borderId="1" xfId="0" applyFont="1" applyBorder="1" applyAlignment="1">
      <alignment horizontal="left" vertical="top" wrapText="1"/>
    </xf>
    <xf numFmtId="0" fontId="11" fillId="0" borderId="5" xfId="0" applyFont="1" applyBorder="1" applyAlignment="1">
      <alignment horizontal="left" vertical="top" wrapText="1"/>
    </xf>
    <xf numFmtId="0" fontId="11" fillId="0" borderId="9" xfId="0" applyFont="1" applyBorder="1" applyAlignment="1">
      <alignment horizontal="left" vertical="top" wrapText="1"/>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0" fontId="12" fillId="0" borderId="9" xfId="0" applyFont="1" applyBorder="1" applyAlignment="1">
      <alignment horizontal="center" vertical="center" wrapText="1"/>
    </xf>
    <xf numFmtId="0" fontId="13" fillId="0" borderId="9" xfId="0" applyFont="1" applyBorder="1" applyAlignment="1">
      <alignment horizontal="left" vertical="top"/>
    </xf>
    <xf numFmtId="0" fontId="12" fillId="0" borderId="1" xfId="0" applyFont="1" applyBorder="1" applyAlignment="1">
      <alignment horizontal="center" vertical="center" wrapText="1"/>
    </xf>
    <xf numFmtId="0" fontId="13" fillId="0" borderId="9" xfId="0" applyFont="1" applyBorder="1" applyAlignment="1">
      <alignment horizontal="left" vertical="top" wrapText="1"/>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Border="1" applyAlignment="1">
      <alignment horizontal="left" vertical="top" wrapText="1"/>
    </xf>
    <xf numFmtId="0" fontId="11" fillId="0" borderId="1" xfId="0" applyFont="1" applyBorder="1" applyAlignment="1">
      <alignment vertical="top" wrapText="1"/>
    </xf>
    <xf numFmtId="0" fontId="11" fillId="0" borderId="1" xfId="0" applyFont="1" applyBorder="1" applyAlignment="1">
      <alignment horizontal="center" wrapText="1"/>
    </xf>
    <xf numFmtId="0" fontId="14" fillId="0" borderId="1" xfId="0" applyFont="1" applyBorder="1" applyAlignment="1">
      <alignment horizontal="center" wrapText="1"/>
    </xf>
    <xf numFmtId="0" fontId="6" fillId="0" borderId="1" xfId="0" applyFont="1" applyBorder="1" applyAlignment="1">
      <alignment horizontal="center" wrapText="1"/>
    </xf>
    <xf numFmtId="0" fontId="1" fillId="0" borderId="0" xfId="0" applyFont="1" applyFill="1" applyBorder="1"/>
    <xf numFmtId="0" fontId="1" fillId="0" borderId="0" xfId="0" applyFont="1" applyFill="1" applyBorder="1" applyAlignment="1" applyProtection="1">
      <alignment vertical="top"/>
      <protection hidden="1"/>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Fill="1" applyBorder="1" applyAlignment="1" applyProtection="1">
      <alignment horizontal="left" vertical="top"/>
      <protection hidden="1"/>
    </xf>
    <xf numFmtId="0" fontId="1" fillId="0" borderId="0" xfId="0" applyFont="1" applyFill="1" applyBorder="1" applyAlignment="1">
      <alignment horizontal="center" vertical="top" wrapText="1"/>
    </xf>
    <xf numFmtId="0" fontId="1" fillId="0" borderId="0" xfId="0" applyFont="1" applyBorder="1" applyAlignment="1">
      <alignment horizontal="center"/>
    </xf>
    <xf numFmtId="0" fontId="1" fillId="4" borderId="1" xfId="0" applyFont="1" applyFill="1" applyBorder="1" applyAlignment="1">
      <alignment horizontal="center" vertical="center"/>
    </xf>
    <xf numFmtId="1" fontId="1" fillId="0" borderId="0" xfId="0" applyNumberFormat="1" applyFont="1" applyAlignment="1">
      <alignment horizontal="center" vertical="center"/>
    </xf>
    <xf numFmtId="0" fontId="1" fillId="0" borderId="0" xfId="0" applyFont="1" applyBorder="1" applyAlignment="1">
      <alignment horizontal="center" vertical="center"/>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1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0" borderId="0" xfId="0" applyFont="1" applyFill="1"/>
    <xf numFmtId="0" fontId="1" fillId="0" borderId="0" xfId="0" applyFont="1" applyFill="1" applyBorder="1" applyAlignment="1">
      <alignment horizontal="center" wrapText="1"/>
    </xf>
    <xf numFmtId="0" fontId="1" fillId="4" borderId="1" xfId="0" applyFont="1" applyFill="1" applyBorder="1" applyAlignment="1" applyProtection="1">
      <alignment horizontal="center" vertical="center" wrapText="1"/>
      <protection hidden="1"/>
    </xf>
    <xf numFmtId="0" fontId="1" fillId="4" borderId="1" xfId="2" applyFont="1" applyFill="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4" xfId="0" applyFont="1" applyBorder="1" applyAlignment="1">
      <alignment horizontal="center" vertical="center"/>
    </xf>
    <xf numFmtId="0" fontId="11" fillId="0" borderId="1" xfId="0" applyFont="1" applyBorder="1"/>
    <xf numFmtId="0" fontId="1" fillId="0" borderId="1" xfId="0" applyFont="1" applyBorder="1" applyAlignment="1">
      <alignment horizontal="center" vertical="center" wrapText="1"/>
    </xf>
    <xf numFmtId="9" fontId="1" fillId="0" borderId="1" xfId="3" applyFont="1" applyBorder="1" applyAlignment="1">
      <alignment horizontal="center" vertical="center"/>
    </xf>
    <xf numFmtId="9" fontId="1" fillId="0" borderId="1" xfId="3" applyFont="1" applyBorder="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xf>
    <xf numFmtId="0" fontId="1" fillId="0" borderId="1" xfId="0" applyFont="1" applyBorder="1" applyAlignment="1">
      <alignment horizontal="center" vertical="center"/>
    </xf>
    <xf numFmtId="0" fontId="1" fillId="4" borderId="1" xfId="0" applyFont="1" applyFill="1" applyBorder="1" applyAlignment="1">
      <alignment horizontal="center" vertical="center"/>
    </xf>
    <xf numFmtId="0" fontId="18" fillId="0" borderId="1" xfId="0" applyFont="1" applyFill="1" applyBorder="1" applyAlignment="1">
      <alignment horizontal="center" vertical="center" textRotation="255"/>
    </xf>
    <xf numFmtId="0" fontId="18" fillId="0" borderId="1" xfId="0" applyFont="1" applyFill="1" applyBorder="1" applyAlignment="1">
      <alignment horizontal="center" vertical="center" textRotation="255" wrapText="1"/>
    </xf>
    <xf numFmtId="9" fontId="1" fillId="0" borderId="0" xfId="3" applyFont="1" applyBorder="1" applyAlignment="1">
      <alignment horizontal="center" vertical="center"/>
    </xf>
    <xf numFmtId="9" fontId="1" fillId="0" borderId="0" xfId="3" applyFont="1" applyBorder="1" applyAlignment="1">
      <alignment horizontal="center" vertical="center" wrapText="1"/>
    </xf>
    <xf numFmtId="9" fontId="1" fillId="0" borderId="0" xfId="3" applyFont="1" applyFill="1" applyBorder="1" applyAlignment="1" applyProtection="1">
      <alignment horizontal="center" vertical="center"/>
      <protection hidden="1"/>
    </xf>
    <xf numFmtId="0" fontId="1" fillId="4" borderId="1" xfId="0" applyFont="1" applyFill="1" applyBorder="1" applyAlignment="1">
      <alignment horizontal="left" vertical="center"/>
    </xf>
    <xf numFmtId="0" fontId="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13" borderId="1" xfId="0" applyFont="1" applyFill="1" applyBorder="1" applyAlignment="1">
      <alignment horizontal="left" vertical="top" wrapText="1"/>
    </xf>
    <xf numFmtId="0" fontId="1" fillId="0" borderId="1" xfId="0" applyFont="1" applyBorder="1" applyAlignment="1">
      <alignment horizontal="center" vertical="center" wrapText="1"/>
    </xf>
    <xf numFmtId="0" fontId="12" fillId="0" borderId="1" xfId="0" applyFont="1" applyBorder="1" applyAlignment="1">
      <alignment horizontal="center" vertical="top" wrapText="1"/>
    </xf>
    <xf numFmtId="0" fontId="12" fillId="0" borderId="1" xfId="0" applyFont="1" applyFill="1" applyBorder="1" applyAlignment="1">
      <alignment horizontal="center" vertical="center" wrapText="1"/>
    </xf>
    <xf numFmtId="0" fontId="12" fillId="0" borderId="1" xfId="0" applyFont="1" applyBorder="1" applyAlignment="1">
      <alignment horizontal="center" wrapText="1"/>
    </xf>
    <xf numFmtId="0" fontId="12" fillId="0" borderId="1" xfId="0" applyFont="1" applyBorder="1" applyAlignment="1">
      <alignment wrapText="1"/>
    </xf>
    <xf numFmtId="9" fontId="1" fillId="0" borderId="1" xfId="3" applyNumberFormat="1" applyFont="1" applyBorder="1" applyAlignment="1">
      <alignment horizontal="center" vertical="center" wrapText="1"/>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49" fontId="0" fillId="5" borderId="1" xfId="0" applyNumberFormat="1" applyFill="1" applyBorder="1" applyAlignment="1">
      <alignment horizontal="center" vertical="center"/>
    </xf>
    <xf numFmtId="49" fontId="0" fillId="11" borderId="2" xfId="0" applyNumberFormat="1" applyFill="1" applyBorder="1" applyAlignment="1">
      <alignment horizontal="left" vertical="center"/>
    </xf>
    <xf numFmtId="49" fontId="0" fillId="11" borderId="3" xfId="0" applyNumberFormat="1" applyFill="1" applyBorder="1" applyAlignment="1">
      <alignment horizontal="left" vertical="center"/>
    </xf>
    <xf numFmtId="49" fontId="0" fillId="11" borderId="4" xfId="0" applyNumberFormat="1" applyFill="1" applyBorder="1" applyAlignment="1">
      <alignment horizontal="left" vertical="center"/>
    </xf>
    <xf numFmtId="49" fontId="0" fillId="0" borderId="1" xfId="0" applyNumberFormat="1" applyBorder="1" applyAlignment="1">
      <alignment horizontal="center" vertical="center"/>
    </xf>
    <xf numFmtId="49" fontId="0" fillId="0" borderId="1" xfId="0" applyNumberFormat="1" applyBorder="1" applyAlignment="1">
      <alignment horizontal="left" vertical="center"/>
    </xf>
    <xf numFmtId="49" fontId="0" fillId="7" borderId="1" xfId="0" applyNumberFormat="1" applyFill="1" applyBorder="1" applyAlignment="1">
      <alignment horizontal="center" vertical="center"/>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xf>
    <xf numFmtId="49" fontId="0" fillId="8" borderId="1" xfId="0" applyNumberFormat="1" applyFill="1" applyBorder="1" applyAlignment="1">
      <alignment horizontal="center" vertical="center"/>
    </xf>
    <xf numFmtId="49" fontId="0" fillId="11" borderId="5" xfId="0" applyNumberFormat="1" applyFill="1" applyBorder="1" applyAlignment="1">
      <alignment horizontal="center" vertical="center"/>
    </xf>
    <xf numFmtId="49" fontId="0" fillId="0" borderId="5" xfId="0" applyNumberFormat="1" applyBorder="1" applyAlignment="1">
      <alignment horizontal="center" vertical="center"/>
    </xf>
    <xf numFmtId="49" fontId="0" fillId="11" borderId="1" xfId="0" applyNumberFormat="1" applyFill="1" applyBorder="1" applyAlignment="1">
      <alignment horizontal="center" vertical="center"/>
    </xf>
    <xf numFmtId="49" fontId="0" fillId="0" borderId="1" xfId="0" applyNumberFormat="1" applyBorder="1"/>
    <xf numFmtId="49" fontId="0" fillId="0" borderId="1" xfId="0" applyNumberFormat="1" applyFill="1" applyBorder="1" applyAlignment="1">
      <alignment horizontal="center" vertical="center"/>
    </xf>
    <xf numFmtId="1" fontId="0" fillId="0" borderId="1" xfId="0" applyNumberFormat="1" applyBorder="1" applyAlignment="1">
      <alignment horizontal="left" vertical="center"/>
    </xf>
    <xf numFmtId="1" fontId="0" fillId="0" borderId="1" xfId="0" applyNumberFormat="1" applyBorder="1"/>
    <xf numFmtId="2" fontId="0" fillId="0" borderId="4" xfId="0" applyNumberFormat="1" applyBorder="1" applyAlignment="1">
      <alignment horizontal="center" vertical="center"/>
    </xf>
    <xf numFmtId="2" fontId="0" fillId="0" borderId="1" xfId="0" applyNumberFormat="1" applyBorder="1" applyAlignment="1">
      <alignment horizontal="center" vertical="center"/>
    </xf>
    <xf numFmtId="2" fontId="0" fillId="0" borderId="1" xfId="0" applyNumberFormat="1" applyBorder="1" applyAlignment="1">
      <alignment horizontal="left" vertical="center"/>
    </xf>
    <xf numFmtId="2" fontId="0" fillId="0" borderId="1" xfId="0" applyNumberFormat="1" applyBorder="1"/>
    <xf numFmtId="49" fontId="0" fillId="9" borderId="1" xfId="0" applyNumberFormat="1" applyFill="1" applyBorder="1" applyAlignment="1">
      <alignment horizontal="center" vertical="center"/>
    </xf>
    <xf numFmtId="49" fontId="0" fillId="7" borderId="1" xfId="0" applyNumberFormat="1" applyFill="1" applyBorder="1" applyAlignment="1">
      <alignment horizontal="center" vertical="center"/>
    </xf>
    <xf numFmtId="49" fontId="0" fillId="8" borderId="1" xfId="0" applyNumberFormat="1" applyFill="1" applyBorder="1" applyAlignment="1">
      <alignment horizontal="center" vertical="center"/>
    </xf>
    <xf numFmtId="49" fontId="0" fillId="10" borderId="1" xfId="0" applyNumberFormat="1" applyFill="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3" fillId="4" borderId="1" xfId="2" applyFont="1" applyFill="1"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
    </xf>
    <xf numFmtId="0" fontId="9" fillId="0" borderId="0" xfId="0" applyFont="1" applyAlignment="1">
      <alignment horizontal="center"/>
    </xf>
    <xf numFmtId="0" fontId="3" fillId="4" borderId="1" xfId="2" applyFont="1" applyFill="1" applyBorder="1" applyAlignment="1">
      <alignment horizontal="center" vertical="center"/>
    </xf>
    <xf numFmtId="0" fontId="9" fillId="0" borderId="0" xfId="0" applyFont="1" applyBorder="1" applyAlignment="1">
      <alignment horizontal="center"/>
    </xf>
    <xf numFmtId="49" fontId="0" fillId="9" borderId="1" xfId="0" applyNumberFormat="1" applyFill="1" applyBorder="1" applyAlignment="1">
      <alignment horizontal="center" vertical="center"/>
    </xf>
    <xf numFmtId="49" fontId="0" fillId="7" borderId="1" xfId="0" applyNumberFormat="1" applyFill="1" applyBorder="1" applyAlignment="1">
      <alignment horizontal="center" vertical="center"/>
    </xf>
    <xf numFmtId="49" fontId="0" fillId="8" borderId="1" xfId="0" applyNumberFormat="1" applyFill="1" applyBorder="1" applyAlignment="1">
      <alignment horizontal="center" vertical="center"/>
    </xf>
    <xf numFmtId="49" fontId="0" fillId="8" borderId="2" xfId="0" applyNumberFormat="1" applyFill="1" applyBorder="1" applyAlignment="1">
      <alignment horizontal="center" vertical="center"/>
    </xf>
    <xf numFmtId="49" fontId="0" fillId="10" borderId="1" xfId="0" applyNumberFormat="1" applyFill="1" applyBorder="1" applyAlignment="1">
      <alignment horizontal="center" vertical="center"/>
    </xf>
    <xf numFmtId="49" fontId="0" fillId="5" borderId="1" xfId="0" applyNumberFormat="1" applyFill="1" applyBorder="1" applyAlignment="1">
      <alignment horizontal="center" vertical="center"/>
    </xf>
    <xf numFmtId="1" fontId="0" fillId="5" borderId="1" xfId="0" applyNumberFormat="1" applyFill="1" applyBorder="1" applyAlignment="1">
      <alignment horizontal="center" vertical="center"/>
    </xf>
    <xf numFmtId="49" fontId="0" fillId="5" borderId="9" xfId="0" applyNumberFormat="1" applyFill="1" applyBorder="1" applyAlignment="1">
      <alignment horizontal="center" vertical="center"/>
    </xf>
    <xf numFmtId="49" fontId="0" fillId="5" borderId="5" xfId="0" applyNumberFormat="1" applyFill="1" applyBorder="1" applyAlignment="1">
      <alignment horizontal="center" vertical="center"/>
    </xf>
    <xf numFmtId="0" fontId="1" fillId="4" borderId="1" xfId="2"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2" xfId="2" applyFont="1" applyFill="1" applyBorder="1" applyAlignment="1">
      <alignment horizontal="center" vertical="center"/>
    </xf>
    <xf numFmtId="0" fontId="1" fillId="4" borderId="3" xfId="2" applyFont="1" applyFill="1" applyBorder="1" applyAlignment="1">
      <alignment horizontal="center" vertical="center"/>
    </xf>
    <xf numFmtId="0" fontId="1" fillId="4" borderId="4" xfId="2"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alignment horizontal="center"/>
    </xf>
    <xf numFmtId="0" fontId="2" fillId="4" borderId="1" xfId="0" applyFont="1" applyFill="1" applyBorder="1" applyAlignment="1">
      <alignment horizontal="center" vertical="center" wrapText="1"/>
    </xf>
    <xf numFmtId="0" fontId="1" fillId="0" borderId="1" xfId="0" applyFont="1" applyBorder="1" applyAlignment="1">
      <alignment horizontal="left" vertical="top" wrapText="1"/>
    </xf>
    <xf numFmtId="0" fontId="1" fillId="4" borderId="9"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5"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0" borderId="1" xfId="0" applyFont="1" applyBorder="1" applyAlignment="1">
      <alignment horizontal="center" vertical="top" wrapText="1"/>
    </xf>
    <xf numFmtId="0" fontId="19" fillId="0" borderId="0" xfId="0" applyFont="1" applyFill="1" applyBorder="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1" fillId="0" borderId="9" xfId="0" applyFont="1" applyBorder="1" applyAlignment="1">
      <alignment horizontal="left" vertical="center" wrapText="1"/>
    </xf>
    <xf numFmtId="0" fontId="11" fillId="0" borderId="5" xfId="0" applyFont="1" applyBorder="1" applyAlignment="1">
      <alignment horizontal="left"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1" fillId="0" borderId="8" xfId="0" applyFont="1" applyBorder="1" applyAlignment="1">
      <alignment horizontal="left"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xf>
    <xf numFmtId="0" fontId="12" fillId="0" borderId="8" xfId="0" applyFont="1" applyBorder="1" applyAlignment="1">
      <alignment horizontal="center" vertical="center" wrapText="1"/>
    </xf>
    <xf numFmtId="0" fontId="12" fillId="0" borderId="9" xfId="0" applyFont="1" applyBorder="1" applyAlignment="1">
      <alignment horizontal="left" vertical="top" wrapText="1"/>
    </xf>
    <xf numFmtId="0" fontId="12" fillId="0" borderId="8" xfId="0" applyFont="1" applyBorder="1" applyAlignment="1">
      <alignment horizontal="left" vertical="top" wrapText="1"/>
    </xf>
    <xf numFmtId="0" fontId="12" fillId="0" borderId="5" xfId="0" applyFont="1" applyBorder="1" applyAlignment="1">
      <alignment horizontal="left" vertical="top" wrapText="1"/>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11" fillId="0" borderId="9" xfId="0" applyFont="1"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11" fillId="0" borderId="8" xfId="0" applyFont="1" applyBorder="1" applyAlignment="1">
      <alignment horizontal="left" vertical="top" wrapText="1"/>
    </xf>
    <xf numFmtId="0" fontId="11" fillId="0" borderId="5" xfId="0" applyFont="1" applyBorder="1" applyAlignment="1">
      <alignment horizontal="left" vertical="top"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7" xfId="0" applyFont="1" applyBorder="1" applyAlignment="1">
      <alignment horizontal="left" vertical="top" wrapText="1"/>
    </xf>
    <xf numFmtId="0" fontId="0" fillId="0" borderId="8" xfId="0" applyBorder="1" applyAlignment="1">
      <alignment horizontal="center"/>
    </xf>
    <xf numFmtId="0" fontId="0" fillId="0" borderId="5" xfId="0" applyBorder="1" applyAlignment="1">
      <alignment horizontal="center"/>
    </xf>
    <xf numFmtId="0" fontId="14"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 xfId="0" applyFont="1" applyBorder="1" applyAlignment="1">
      <alignment horizontal="left" vertical="top" wrapText="1"/>
    </xf>
    <xf numFmtId="0" fontId="12" fillId="0" borderId="1" xfId="0" applyFont="1" applyBorder="1" applyAlignment="1">
      <alignment horizontal="left" vertical="top" wrapText="1"/>
    </xf>
    <xf numFmtId="0" fontId="11" fillId="13" borderId="9" xfId="0" applyFont="1" applyFill="1" applyBorder="1" applyAlignment="1">
      <alignment horizontal="left" vertical="top" wrapText="1"/>
    </xf>
    <xf numFmtId="0" fontId="11" fillId="13" borderId="8" xfId="0" applyFont="1" applyFill="1" applyBorder="1" applyAlignment="1">
      <alignment horizontal="left" vertical="top" wrapText="1"/>
    </xf>
    <xf numFmtId="0" fontId="11" fillId="13" borderId="5" xfId="0" applyFont="1" applyFill="1" applyBorder="1" applyAlignment="1">
      <alignment horizontal="left" vertical="top" wrapText="1"/>
    </xf>
    <xf numFmtId="0" fontId="11" fillId="13" borderId="1" xfId="0" applyFont="1" applyFill="1" applyBorder="1" applyAlignment="1">
      <alignment horizontal="left" vertical="top" wrapText="1"/>
    </xf>
    <xf numFmtId="0" fontId="11" fillId="13" borderId="9" xfId="0" applyFont="1" applyFill="1" applyBorder="1" applyAlignment="1">
      <alignment horizontal="left" vertical="top"/>
    </xf>
    <xf numFmtId="0" fontId="11" fillId="13" borderId="8" xfId="0" applyFont="1" applyFill="1" applyBorder="1" applyAlignment="1">
      <alignment horizontal="left" vertical="top"/>
    </xf>
    <xf numFmtId="0" fontId="11" fillId="13" borderId="5" xfId="0" applyFont="1" applyFill="1" applyBorder="1" applyAlignment="1">
      <alignment horizontal="left" vertical="top"/>
    </xf>
    <xf numFmtId="0" fontId="6" fillId="0" borderId="1" xfId="0" applyFont="1" applyBorder="1" applyAlignment="1" applyProtection="1">
      <alignment horizontal="center"/>
    </xf>
  </cellXfs>
  <cellStyles count="4">
    <cellStyle name="Énfasis2" xfId="1" builtinId="33"/>
    <cellStyle name="Énfasis3" xfId="2" builtinId="37"/>
    <cellStyle name="Normal" xfId="0" builtinId="0"/>
    <cellStyle name="Porcentaje" xfId="3" builtinId="5"/>
  </cellStyles>
  <dxfs count="13">
    <dxf>
      <border>
        <left/>
        <right/>
        <top/>
        <bottom/>
        <vertical/>
        <horizontal/>
      </border>
    </dxf>
    <dxf>
      <fill>
        <patternFill>
          <bgColor theme="5" tint="0.59996337778862885"/>
        </patternFill>
      </fill>
    </dxf>
    <dxf>
      <fill>
        <patternFill>
          <bgColor rgb="FFFFFF00"/>
        </patternFill>
      </fill>
    </dxf>
    <dxf>
      <fill>
        <patternFill>
          <bgColor theme="6" tint="0.59996337778862885"/>
        </patternFill>
      </fill>
    </dxf>
    <dxf>
      <fill>
        <patternFill>
          <bgColor theme="8" tint="0.39994506668294322"/>
        </patternFill>
      </fill>
    </dxf>
    <dxf>
      <fill>
        <patternFill>
          <bgColor theme="0"/>
        </patternFill>
      </fill>
    </dxf>
    <dxf>
      <fill>
        <patternFill>
          <bgColor theme="5" tint="0.59996337778862885"/>
        </patternFill>
      </fill>
    </dxf>
    <dxf>
      <fill>
        <patternFill>
          <bgColor rgb="FFFFFF00"/>
        </patternFill>
      </fill>
    </dxf>
    <dxf>
      <fill>
        <patternFill>
          <bgColor theme="6" tint="0.59996337778862885"/>
        </patternFill>
      </fill>
    </dxf>
    <dxf>
      <fill>
        <patternFill>
          <bgColor theme="8" tint="0.39994506668294322"/>
        </patternFill>
      </fill>
    </dxf>
    <dxf>
      <fill>
        <patternFill>
          <bgColor theme="0"/>
        </patternFill>
      </fill>
    </dxf>
    <dxf>
      <border>
        <left/>
        <right/>
        <top/>
        <bottom/>
        <vertical/>
        <horizontal/>
      </border>
    </dxf>
    <dxf>
      <fill>
        <patternFill patternType="solid">
          <bgColor theme="0"/>
        </patternFill>
      </fill>
      <border>
        <left style="thin">
          <color auto="1"/>
        </left>
        <right/>
        <top/>
        <bottom/>
        <vertical/>
        <horizontal/>
      </border>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s-MX"/>
        </a:p>
      </c:txPr>
    </c:title>
    <c:autoTitleDeleted val="0"/>
    <c:plotArea>
      <c:layout/>
      <c:pieChart>
        <c:varyColors val="1"/>
        <c:ser>
          <c:idx val="0"/>
          <c:order val="0"/>
          <c:tx>
            <c:strRef>
              <c:f>Grupo!$A$15:$C$15</c:f>
              <c:strCache>
                <c:ptCount val="1"/>
                <c:pt idx="0">
                  <c:v>Español III</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spPr>
              <a:noFill/>
              <a:ln>
                <a:noFill/>
              </a:ln>
              <a:effectLst/>
            </c:sp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15:layout/>
              </c:ext>
            </c:extLst>
          </c:dLbls>
          <c:cat>
            <c:strRef>
              <c:f>Grupo!$AF$14:$AI$14</c:f>
              <c:strCache>
                <c:ptCount val="4"/>
                <c:pt idx="0">
                  <c:v>Insuficiente</c:v>
                </c:pt>
                <c:pt idx="1">
                  <c:v>Elemental</c:v>
                </c:pt>
                <c:pt idx="2">
                  <c:v>Bueno</c:v>
                </c:pt>
                <c:pt idx="3">
                  <c:v>Excelente</c:v>
                </c:pt>
              </c:strCache>
            </c:strRef>
          </c:cat>
          <c:val>
            <c:numRef>
              <c:f>Grupo!$AF$15:$AI$15</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overlay val="0"/>
      <c:txPr>
        <a:bodyPr/>
        <a:lstStyle/>
        <a:p>
          <a:pPr>
            <a:defRPr sz="900"/>
          </a:pPr>
          <a:endParaRPr lang="es-MX"/>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s-MX"/>
        </a:p>
      </c:txPr>
    </c:title>
    <c:autoTitleDeleted val="0"/>
    <c:plotArea>
      <c:layout/>
      <c:pieChart>
        <c:varyColors val="1"/>
        <c:ser>
          <c:idx val="0"/>
          <c:order val="0"/>
          <c:tx>
            <c:strRef>
              <c:f>Grupo!$A$16:$C$16</c:f>
              <c:strCache>
                <c:ptCount val="1"/>
                <c:pt idx="0">
                  <c:v>Segunda Lengua: Inglés III</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spPr>
              <a:noFill/>
              <a:ln>
                <a:noFill/>
              </a:ln>
              <a:effectLst/>
            </c:sp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15:layout/>
              </c:ext>
            </c:extLst>
          </c:dLbls>
          <c:cat>
            <c:strRef>
              <c:f>Grupo!$AF$14:$AI$14</c:f>
              <c:strCache>
                <c:ptCount val="4"/>
                <c:pt idx="0">
                  <c:v>Insuficiente</c:v>
                </c:pt>
                <c:pt idx="1">
                  <c:v>Elemental</c:v>
                </c:pt>
                <c:pt idx="2">
                  <c:v>Bueno</c:v>
                </c:pt>
                <c:pt idx="3">
                  <c:v>Excelente</c:v>
                </c:pt>
              </c:strCache>
            </c:strRef>
          </c:cat>
          <c:val>
            <c:numRef>
              <c:f>Grupo!$AF$16:$AI$16</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overlay val="0"/>
      <c:txPr>
        <a:bodyPr/>
        <a:lstStyle/>
        <a:p>
          <a:pPr>
            <a:defRPr sz="900"/>
          </a:pPr>
          <a:endParaRPr lang="es-MX"/>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s-MX"/>
        </a:p>
      </c:txPr>
    </c:title>
    <c:autoTitleDeleted val="0"/>
    <c:plotArea>
      <c:layout/>
      <c:pieChart>
        <c:varyColors val="1"/>
        <c:ser>
          <c:idx val="0"/>
          <c:order val="0"/>
          <c:tx>
            <c:strRef>
              <c:f>Grupo!$A$17:$C$17</c:f>
              <c:strCache>
                <c:ptCount val="1"/>
                <c:pt idx="0">
                  <c:v>Matemáticas III</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spPr>
              <a:noFill/>
              <a:ln>
                <a:noFill/>
              </a:ln>
              <a:effectLst/>
            </c:sp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15:layout/>
              </c:ext>
            </c:extLst>
          </c:dLbls>
          <c:cat>
            <c:strRef>
              <c:f>Grupo!$AF$14:$AI$14</c:f>
              <c:strCache>
                <c:ptCount val="4"/>
                <c:pt idx="0">
                  <c:v>Insuficiente</c:v>
                </c:pt>
                <c:pt idx="1">
                  <c:v>Elemental</c:v>
                </c:pt>
                <c:pt idx="2">
                  <c:v>Bueno</c:v>
                </c:pt>
                <c:pt idx="3">
                  <c:v>Excelente</c:v>
                </c:pt>
              </c:strCache>
            </c:strRef>
          </c:cat>
          <c:val>
            <c:numRef>
              <c:f>Grupo!$AF$17:$AI$17</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overlay val="0"/>
      <c:txPr>
        <a:bodyPr/>
        <a:lstStyle/>
        <a:p>
          <a:pPr>
            <a:defRPr sz="900"/>
          </a:pPr>
          <a:endParaRPr lang="es-MX"/>
        </a:p>
      </c:txPr>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s-MX"/>
        </a:p>
      </c:txPr>
    </c:title>
    <c:autoTitleDeleted val="0"/>
    <c:plotArea>
      <c:layout/>
      <c:pieChart>
        <c:varyColors val="1"/>
        <c:ser>
          <c:idx val="0"/>
          <c:order val="0"/>
          <c:tx>
            <c:strRef>
              <c:f>Grupo!$A$18:$C$18</c:f>
              <c:strCache>
                <c:ptCount val="1"/>
                <c:pt idx="0">
                  <c:v>Ciencias III (Énfasis en Química)</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spPr>
              <a:noFill/>
              <a:ln>
                <a:noFill/>
              </a:ln>
              <a:effectLst/>
            </c:sp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15:layout/>
              </c:ext>
            </c:extLst>
          </c:dLbls>
          <c:cat>
            <c:strRef>
              <c:f>Grupo!$AF$14:$AI$14</c:f>
              <c:strCache>
                <c:ptCount val="4"/>
                <c:pt idx="0">
                  <c:v>Insuficiente</c:v>
                </c:pt>
                <c:pt idx="1">
                  <c:v>Elemental</c:v>
                </c:pt>
                <c:pt idx="2">
                  <c:v>Bueno</c:v>
                </c:pt>
                <c:pt idx="3">
                  <c:v>Excelente</c:v>
                </c:pt>
              </c:strCache>
            </c:strRef>
          </c:cat>
          <c:val>
            <c:numRef>
              <c:f>Grupo!$AF$18:$AI$18</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overlay val="0"/>
      <c:txPr>
        <a:bodyPr/>
        <a:lstStyle/>
        <a:p>
          <a:pPr>
            <a:defRPr sz="900"/>
          </a:pPr>
          <a:endParaRPr lang="es-MX"/>
        </a:p>
      </c:txPr>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s-MX"/>
        </a:p>
      </c:txPr>
    </c:title>
    <c:autoTitleDeleted val="0"/>
    <c:plotArea>
      <c:layout/>
      <c:pieChart>
        <c:varyColors val="1"/>
        <c:ser>
          <c:idx val="0"/>
          <c:order val="0"/>
          <c:tx>
            <c:strRef>
              <c:f>Grupo!$A$19:$C$19</c:f>
              <c:strCache>
                <c:ptCount val="1"/>
                <c:pt idx="0">
                  <c:v>Historia II</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spPr>
              <a:noFill/>
              <a:ln>
                <a:noFill/>
              </a:ln>
              <a:effectLst/>
            </c:sp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15:layout/>
              </c:ext>
            </c:extLst>
          </c:dLbls>
          <c:cat>
            <c:strRef>
              <c:f>Grupo!$AF$14:$AI$14</c:f>
              <c:strCache>
                <c:ptCount val="4"/>
                <c:pt idx="0">
                  <c:v>Insuficiente</c:v>
                </c:pt>
                <c:pt idx="1">
                  <c:v>Elemental</c:v>
                </c:pt>
                <c:pt idx="2">
                  <c:v>Bueno</c:v>
                </c:pt>
                <c:pt idx="3">
                  <c:v>Excelente</c:v>
                </c:pt>
              </c:strCache>
            </c:strRef>
          </c:cat>
          <c:val>
            <c:numRef>
              <c:f>Grupo!$AF$19:$AI$19</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overlay val="0"/>
      <c:txPr>
        <a:bodyPr/>
        <a:lstStyle/>
        <a:p>
          <a:pPr>
            <a:defRPr sz="900"/>
          </a:pPr>
          <a:endParaRPr lang="es-MX"/>
        </a:p>
      </c:txPr>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19</xdr:row>
      <xdr:rowOff>123825</xdr:rowOff>
    </xdr:from>
    <xdr:to>
      <xdr:col>3</xdr:col>
      <xdr:colOff>67425</xdr:colOff>
      <xdr:row>20</xdr:row>
      <xdr:rowOff>2870475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132600</xdr:colOff>
      <xdr:row>19</xdr:row>
      <xdr:rowOff>123825</xdr:rowOff>
    </xdr:from>
    <xdr:to>
      <xdr:col>9</xdr:col>
      <xdr:colOff>161925</xdr:colOff>
      <xdr:row>20</xdr:row>
      <xdr:rowOff>2870475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37350</xdr:colOff>
      <xdr:row>19</xdr:row>
      <xdr:rowOff>123825</xdr:rowOff>
    </xdr:from>
    <xdr:to>
      <xdr:col>16</xdr:col>
      <xdr:colOff>171450</xdr:colOff>
      <xdr:row>20</xdr:row>
      <xdr:rowOff>2870475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46875</xdr:colOff>
      <xdr:row>19</xdr:row>
      <xdr:rowOff>123825</xdr:rowOff>
    </xdr:from>
    <xdr:to>
      <xdr:col>23</xdr:col>
      <xdr:colOff>180975</xdr:colOff>
      <xdr:row>20</xdr:row>
      <xdr:rowOff>2870475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37350</xdr:colOff>
      <xdr:row>19</xdr:row>
      <xdr:rowOff>123825</xdr:rowOff>
    </xdr:from>
    <xdr:to>
      <xdr:col>28</xdr:col>
      <xdr:colOff>666750</xdr:colOff>
      <xdr:row>20</xdr:row>
      <xdr:rowOff>2870475</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centradoGrupo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atos Generales"/>
      <sheetName val="Captura"/>
      <sheetName val="Alumno"/>
      <sheetName val="Grupo"/>
      <sheetName val="Español"/>
      <sheetName val="Inglés"/>
      <sheetName val="Matemáticas"/>
      <sheetName val="Ciencias"/>
      <sheetName val="GeoHis"/>
      <sheetName val="teles_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t="str">
            <v>30DTV0628Q</v>
          </cell>
          <cell r="B2" t="str">
            <v>ANAHUAC</v>
          </cell>
          <cell r="C2" t="str">
            <v>DESIDERIO PAVON CON EJE 6</v>
          </cell>
          <cell r="D2" t="str">
            <v>BERNABE RESENDIZ DEL ANGEL</v>
          </cell>
          <cell r="E2">
            <v>1</v>
          </cell>
          <cell r="F2">
            <v>1</v>
          </cell>
          <cell r="G2" t="str">
            <v>TUXPAM</v>
          </cell>
          <cell r="H2" t="str">
            <v>TUXPAM DE RODRIGUEZ CANO</v>
          </cell>
        </row>
        <row r="3">
          <cell r="A3" t="str">
            <v>30DTV0915J</v>
          </cell>
          <cell r="B3" t="str">
            <v>ESCUDO NACIONAL</v>
          </cell>
          <cell r="C3" t="str">
            <v>4 SUR NUM. 23</v>
          </cell>
          <cell r="D3" t="str">
            <v>MARCOS RIVERA SAINS</v>
          </cell>
          <cell r="E3">
            <v>1</v>
          </cell>
          <cell r="F3">
            <v>1</v>
          </cell>
          <cell r="G3" t="str">
            <v>TUXPAM</v>
          </cell>
          <cell r="H3" t="str">
            <v>TUXPAM DE RODRIGUEZ CANO</v>
          </cell>
        </row>
        <row r="4">
          <cell r="A4" t="str">
            <v>30DTV0467U</v>
          </cell>
          <cell r="B4" t="str">
            <v>EMILIANO ZAPATA</v>
          </cell>
          <cell r="C4" t="str">
            <v>KILOMETRO 15 CARRETERA TUXPAM-CAZONES</v>
          </cell>
          <cell r="D4" t="str">
            <v>ROSA TORAL LOMBARD</v>
          </cell>
          <cell r="E4">
            <v>1</v>
          </cell>
          <cell r="F4">
            <v>1</v>
          </cell>
          <cell r="G4" t="str">
            <v>TUXPAM</v>
          </cell>
          <cell r="H4" t="str">
            <v>AIRE LIBRE (KILOMETRO 15)</v>
          </cell>
        </row>
        <row r="5">
          <cell r="A5" t="str">
            <v>30DTV1625Z</v>
          </cell>
          <cell r="B5" t="str">
            <v>NACIONES UNIDAS</v>
          </cell>
          <cell r="C5" t="str">
            <v>CALLE PRINCIPAL S/N</v>
          </cell>
          <cell r="D5" t="str">
            <v>BULMARO SALAS FUENTES</v>
          </cell>
          <cell r="E5">
            <v>1</v>
          </cell>
          <cell r="F5">
            <v>1</v>
          </cell>
          <cell r="G5" t="str">
            <v>TUXPAM</v>
          </cell>
          <cell r="H5" t="str">
            <v>BANDERAS</v>
          </cell>
        </row>
        <row r="6">
          <cell r="A6" t="str">
            <v>30DTV1975E</v>
          </cell>
          <cell r="B6" t="str">
            <v>TELESECUNDARIA</v>
          </cell>
          <cell r="D6" t="str">
            <v>ISRAEL DEGABRIEL VAZQUEZ</v>
          </cell>
          <cell r="E6">
            <v>70</v>
          </cell>
          <cell r="F6">
            <v>10</v>
          </cell>
          <cell r="G6" t="str">
            <v>TIERRA BLANCA</v>
          </cell>
          <cell r="H6" t="str">
            <v>TIERRA BLANCA</v>
          </cell>
        </row>
        <row r="7">
          <cell r="A7" t="str">
            <v>30DTV1077L</v>
          </cell>
          <cell r="B7" t="str">
            <v>LIC. PERICLES NAMORADO URRUTIA</v>
          </cell>
          <cell r="C7" t="str">
            <v>TAMPAMACHOCO ATRAS DEL CAMPO DEPORTIVO</v>
          </cell>
          <cell r="D7" t="str">
            <v>MARIA ANTONIA FLORES MELO</v>
          </cell>
          <cell r="E7">
            <v>1</v>
          </cell>
          <cell r="F7">
            <v>1</v>
          </cell>
          <cell r="G7" t="str">
            <v>TUXPAM</v>
          </cell>
          <cell r="H7" t="str">
            <v>BARRA NORTE</v>
          </cell>
        </row>
        <row r="8">
          <cell r="A8" t="str">
            <v>30DTV0787E</v>
          </cell>
          <cell r="B8" t="str">
            <v>RAMON LOPEZ VELARDE</v>
          </cell>
          <cell r="C8" t="str">
            <v>FRENTE A LA AUTOPISTA TUXPAM-MEXICO</v>
          </cell>
          <cell r="D8" t="str">
            <v>ADELAIDO CASTRO GOMEZ</v>
          </cell>
          <cell r="E8">
            <v>1</v>
          </cell>
          <cell r="F8">
            <v>1</v>
          </cell>
          <cell r="G8" t="str">
            <v>TUXPAM</v>
          </cell>
          <cell r="H8" t="str">
            <v>CAÑADA RICA</v>
          </cell>
        </row>
        <row r="9">
          <cell r="A9" t="str">
            <v>30DTV0506F</v>
          </cell>
          <cell r="B9" t="str">
            <v>JOSE JOAQUIN FERNANDEZ DE LIZARDI</v>
          </cell>
          <cell r="C9" t="str">
            <v>JUNTO AL CAMPO DEPORTIVO</v>
          </cell>
          <cell r="D9" t="str">
            <v>NORMA SOSA GARCIA</v>
          </cell>
          <cell r="E9">
            <v>1</v>
          </cell>
          <cell r="F9">
            <v>1</v>
          </cell>
          <cell r="G9" t="str">
            <v>TUXPAM</v>
          </cell>
          <cell r="H9" t="str">
            <v>FRIJOLILLO</v>
          </cell>
        </row>
        <row r="10">
          <cell r="A10" t="str">
            <v>30DTV0396Q</v>
          </cell>
          <cell r="B10" t="str">
            <v>MANUEL GUTIERREZ NAJERA</v>
          </cell>
          <cell r="C10" t="str">
            <v>CONOCIDO</v>
          </cell>
          <cell r="D10" t="str">
            <v>ANGEL TIBURCIO SANCHEZ</v>
          </cell>
          <cell r="E10">
            <v>1</v>
          </cell>
          <cell r="F10">
            <v>1</v>
          </cell>
          <cell r="G10" t="str">
            <v>TUXPAM</v>
          </cell>
          <cell r="H10" t="str">
            <v>EL JOBO</v>
          </cell>
        </row>
        <row r="11">
          <cell r="A11" t="str">
            <v>30DTV0367V</v>
          </cell>
          <cell r="B11" t="str">
            <v>SOR JUANA INES DE LA CRUZ</v>
          </cell>
          <cell r="C11" t="str">
            <v>KILOMETRO 11 CARRETERA TAMIAHUA</v>
          </cell>
          <cell r="D11" t="str">
            <v>VALENTIN JAIME RODRIGUEZ ZARATE</v>
          </cell>
          <cell r="E11">
            <v>1</v>
          </cell>
          <cell r="F11">
            <v>1</v>
          </cell>
          <cell r="G11" t="str">
            <v>TUXPAM</v>
          </cell>
          <cell r="H11" t="str">
            <v>LA LAJA DE COLOMAN</v>
          </cell>
        </row>
        <row r="12">
          <cell r="A12" t="str">
            <v>30DTV1075N</v>
          </cell>
          <cell r="B12" t="str">
            <v>EMILIANO ZAPATA</v>
          </cell>
          <cell r="C12" t="str">
            <v>CONOCIDO</v>
          </cell>
          <cell r="D12" t="str">
            <v>ARIADNE ESMERALDA LAGUNES GARCIA</v>
          </cell>
          <cell r="E12">
            <v>1</v>
          </cell>
          <cell r="F12">
            <v>1</v>
          </cell>
          <cell r="G12" t="str">
            <v>TUXPAM</v>
          </cell>
          <cell r="H12" t="str">
            <v>LINDA VISTA</v>
          </cell>
        </row>
        <row r="13">
          <cell r="A13" t="str">
            <v>30DTV1459S</v>
          </cell>
          <cell r="B13" t="str">
            <v>MIGUEL ALEMAN VALDES</v>
          </cell>
          <cell r="C13" t="str">
            <v>CONOCIDO</v>
          </cell>
          <cell r="D13" t="str">
            <v>ROSA MARIA JUAN RAMOS</v>
          </cell>
          <cell r="E13">
            <v>1</v>
          </cell>
          <cell r="F13">
            <v>1</v>
          </cell>
          <cell r="G13" t="str">
            <v>TUXPAM</v>
          </cell>
          <cell r="H13" t="str">
            <v>MONTES DE ARMENIA</v>
          </cell>
        </row>
        <row r="14">
          <cell r="A14" t="str">
            <v>30DTV0358N</v>
          </cell>
          <cell r="B14" t="str">
            <v>CUAUHTEMOC</v>
          </cell>
          <cell r="C14" t="str">
            <v>SALIDA CARRETERA A LA PLAYA</v>
          </cell>
          <cell r="D14" t="str">
            <v>ALEJANDRINA CUEVAS CUERVO</v>
          </cell>
          <cell r="E14">
            <v>1</v>
          </cell>
          <cell r="F14">
            <v>1</v>
          </cell>
          <cell r="G14" t="str">
            <v>TUXPAM</v>
          </cell>
          <cell r="H14" t="str">
            <v>PAISES BAJOS (KILOMETRO 8)</v>
          </cell>
        </row>
        <row r="15">
          <cell r="A15" t="str">
            <v>30DTV0531E</v>
          </cell>
          <cell r="B15" t="str">
            <v>EMILIANO ZAPATA</v>
          </cell>
          <cell r="C15" t="str">
            <v>FRENTE A LA CARRETERA A RANCHO NUEVO Y CASETA TELEFONICA</v>
          </cell>
          <cell r="D15" t="str">
            <v>ISELA ANABEL VILLEGAS SOLIS</v>
          </cell>
          <cell r="E15">
            <v>1</v>
          </cell>
          <cell r="F15">
            <v>1</v>
          </cell>
          <cell r="G15" t="str">
            <v>TUXPAM</v>
          </cell>
          <cell r="H15" t="str">
            <v>LAS PASAS</v>
          </cell>
        </row>
        <row r="16">
          <cell r="A16" t="str">
            <v>30DTV1060L</v>
          </cell>
          <cell r="B16" t="str">
            <v>ADALBERTO TEJEDA OLIVARES</v>
          </cell>
          <cell r="C16" t="str">
            <v>FRENTE A LA ESCUELA PRIMARIA</v>
          </cell>
          <cell r="D16" t="str">
            <v>OSCAR LARA HERNANDEZ</v>
          </cell>
          <cell r="E16">
            <v>1</v>
          </cell>
          <cell r="F16">
            <v>1</v>
          </cell>
          <cell r="G16" t="str">
            <v>TUXPAM</v>
          </cell>
          <cell r="H16" t="str">
            <v>PEÑA DE AFUERA</v>
          </cell>
        </row>
        <row r="17">
          <cell r="A17" t="str">
            <v>30DTV1076M</v>
          </cell>
          <cell r="B17" t="str">
            <v>SALVADOR DIAZ MIRON</v>
          </cell>
          <cell r="C17" t="str">
            <v>CONOCIDO</v>
          </cell>
          <cell r="D17" t="str">
            <v>BALDOMERO PEREZ GARCIA</v>
          </cell>
          <cell r="E17">
            <v>1</v>
          </cell>
          <cell r="F17">
            <v>1</v>
          </cell>
          <cell r="G17" t="str">
            <v>TUXPAM</v>
          </cell>
          <cell r="H17" t="str">
            <v>EL SALTO DE LA REFORMA</v>
          </cell>
        </row>
        <row r="18">
          <cell r="A18" t="str">
            <v>30DTV0235D</v>
          </cell>
          <cell r="B18" t="str">
            <v>MEXICO</v>
          </cell>
          <cell r="C18" t="str">
            <v>KILOMETRO 12 AUTOPISTA TUXPAM-MEXICO</v>
          </cell>
          <cell r="D18" t="str">
            <v>JOSE RODRIGO QUIðONES LLANES</v>
          </cell>
          <cell r="E18">
            <v>1</v>
          </cell>
          <cell r="F18">
            <v>1</v>
          </cell>
          <cell r="G18" t="str">
            <v>TUXPAM</v>
          </cell>
          <cell r="H18" t="str">
            <v>TIERRA BLANCA</v>
          </cell>
        </row>
        <row r="19">
          <cell r="A19" t="str">
            <v>30DTV1001W</v>
          </cell>
          <cell r="B19" t="str">
            <v>GUADALUPE VICTORIA</v>
          </cell>
          <cell r="C19" t="str">
            <v>CARRETERA A CABOS</v>
          </cell>
          <cell r="D19" t="str">
            <v>ABRAHAM BLANCO BAEZ</v>
          </cell>
          <cell r="E19">
            <v>1</v>
          </cell>
          <cell r="F19">
            <v>1</v>
          </cell>
          <cell r="G19" t="str">
            <v>TUXPAM</v>
          </cell>
          <cell r="H19" t="str">
            <v>LA VICTORIA (LA PEÑITA)</v>
          </cell>
        </row>
        <row r="20">
          <cell r="A20" t="str">
            <v>30DTV0916I</v>
          </cell>
          <cell r="B20" t="str">
            <v>J. JOAQUIN FERNANDEZ DE LIZARDI</v>
          </cell>
          <cell r="C20" t="str">
            <v>CONOCIDO</v>
          </cell>
          <cell r="D20" t="str">
            <v>JUANA CASTRO SANAVIA</v>
          </cell>
          <cell r="E20">
            <v>1</v>
          </cell>
          <cell r="F20">
            <v>1</v>
          </cell>
          <cell r="G20" t="str">
            <v>TUXPAM</v>
          </cell>
          <cell r="H20" t="str">
            <v>SAN JOSE EL GRANDE</v>
          </cell>
        </row>
        <row r="21">
          <cell r="A21" t="str">
            <v>30DTV0773B</v>
          </cell>
          <cell r="B21" t="str">
            <v>PATRIA</v>
          </cell>
          <cell r="C21" t="str">
            <v>CARRETERA NACIONAL TUXPAN-TAMPICO DESVIACION A ALAMO</v>
          </cell>
          <cell r="D21" t="str">
            <v>ELIA PATRICIA GUERRA RODRIGO</v>
          </cell>
          <cell r="E21">
            <v>1</v>
          </cell>
          <cell r="F21">
            <v>1</v>
          </cell>
          <cell r="G21" t="str">
            <v>TUXPAM</v>
          </cell>
          <cell r="H21" t="str">
            <v>OJITE RANCHO NUEVO</v>
          </cell>
        </row>
        <row r="22">
          <cell r="A22" t="str">
            <v>30DTV0703G</v>
          </cell>
          <cell r="B22" t="str">
            <v>VICENTE GUERRERO</v>
          </cell>
          <cell r="C22" t="str">
            <v>GUSTAVO DIAZ ORDAZ S/N</v>
          </cell>
          <cell r="D22" t="str">
            <v>JUAN CASTRO SANCHEZ</v>
          </cell>
          <cell r="E22">
            <v>2</v>
          </cell>
          <cell r="F22">
            <v>6</v>
          </cell>
          <cell r="G22" t="str">
            <v>POZA RICA DE HIDALGO</v>
          </cell>
          <cell r="H22" t="str">
            <v>POZA RICA DE HIDALGO</v>
          </cell>
        </row>
        <row r="23">
          <cell r="A23" t="str">
            <v>30DTV0906B</v>
          </cell>
          <cell r="B23" t="str">
            <v>GRAL. MARIANO ESCOBEDO</v>
          </cell>
          <cell r="C23" t="str">
            <v>ESQUINA MOCTEZUMA Y EMILIO CARRANZA</v>
          </cell>
          <cell r="D23" t="str">
            <v>RAFAEL RUIZ CABRERA</v>
          </cell>
          <cell r="E23">
            <v>2</v>
          </cell>
          <cell r="F23">
            <v>6</v>
          </cell>
          <cell r="G23" t="str">
            <v>POZA RICA DE HIDALGO</v>
          </cell>
          <cell r="H23" t="str">
            <v>POZA RICA DE HIDALGO</v>
          </cell>
        </row>
        <row r="24">
          <cell r="A24" t="str">
            <v>30DTV0053V</v>
          </cell>
          <cell r="B24" t="str">
            <v>FRANCISCO I. MADERO</v>
          </cell>
          <cell r="C24" t="str">
            <v>VENUSTIANO CARRANZA S/N</v>
          </cell>
          <cell r="D24" t="str">
            <v>MARGARITO CORTES HERNANDEZ</v>
          </cell>
          <cell r="E24">
            <v>2</v>
          </cell>
          <cell r="F24">
            <v>6</v>
          </cell>
          <cell r="G24" t="str">
            <v>TIHUATLAN</v>
          </cell>
          <cell r="H24" t="str">
            <v>TIHUATLAN</v>
          </cell>
        </row>
        <row r="25">
          <cell r="A25" t="str">
            <v>30DTV0363Z</v>
          </cell>
          <cell r="B25" t="str">
            <v>MIGUEL HIDALGO Y COSTILLA</v>
          </cell>
          <cell r="C25" t="str">
            <v>20 DE NOVIEMBRE NUM. 10</v>
          </cell>
          <cell r="D25" t="str">
            <v>LUDIVINA VIZNADO FELIZARDO</v>
          </cell>
          <cell r="E25">
            <v>2</v>
          </cell>
          <cell r="F25">
            <v>6</v>
          </cell>
          <cell r="G25" t="str">
            <v>TIHUATLAN</v>
          </cell>
          <cell r="H25" t="str">
            <v>EL COPAL</v>
          </cell>
        </row>
        <row r="26">
          <cell r="A26" t="str">
            <v>30DTV0983G</v>
          </cell>
          <cell r="B26" t="str">
            <v>JAIME TORRES BODET</v>
          </cell>
          <cell r="C26" t="str">
            <v>CARRETERA POZO NUM. 102</v>
          </cell>
          <cell r="D26" t="str">
            <v>BLANCA ESTELA TAPIA CRUZ</v>
          </cell>
          <cell r="E26">
            <v>2</v>
          </cell>
          <cell r="F26">
            <v>6</v>
          </cell>
          <cell r="G26" t="str">
            <v>TIHUATLAN</v>
          </cell>
          <cell r="H26" t="str">
            <v>ZACATE COLORADO</v>
          </cell>
        </row>
        <row r="27">
          <cell r="A27" t="str">
            <v>30DTV0200O</v>
          </cell>
          <cell r="B27" t="str">
            <v>LIC. AGUSTIN YAÐEZ</v>
          </cell>
          <cell r="C27" t="str">
            <v>HERMENEGILDO GALEANA Y FRANCISCO VILLA</v>
          </cell>
          <cell r="D27" t="str">
            <v>GERMAN BERMUDEZ HERNANDEZ</v>
          </cell>
          <cell r="E27">
            <v>2</v>
          </cell>
          <cell r="F27">
            <v>6</v>
          </cell>
          <cell r="G27" t="str">
            <v>TIHUATLAN</v>
          </cell>
          <cell r="H27" t="str">
            <v>ENRIQUE RODRIGUEZ CANO (ZAPOTALILLO)</v>
          </cell>
        </row>
        <row r="28">
          <cell r="A28" t="str">
            <v>30DTV0705E</v>
          </cell>
          <cell r="B28" t="str">
            <v>IGNACIO DE LA LLAVE</v>
          </cell>
          <cell r="C28" t="str">
            <v>CARRETERA PRINCIPAL JUNTO AGENCIA MUNICIPAL</v>
          </cell>
          <cell r="D28" t="str">
            <v>MARGARITA SANCHEZ SALAS</v>
          </cell>
          <cell r="E28">
            <v>2</v>
          </cell>
          <cell r="F28">
            <v>6</v>
          </cell>
          <cell r="G28" t="str">
            <v>TIHUATLAN</v>
          </cell>
          <cell r="H28" t="str">
            <v>HUIZOTATE</v>
          </cell>
        </row>
        <row r="29">
          <cell r="A29" t="str">
            <v>30DTV0233F</v>
          </cell>
          <cell r="B29" t="str">
            <v>ALVARO GALVEZ Y FUENTES</v>
          </cell>
          <cell r="C29" t="str">
            <v>FRENTE AL CAMPO DEPORTIVO</v>
          </cell>
          <cell r="D29" t="str">
            <v>ELEUTERIO CASTRO PEREZ</v>
          </cell>
          <cell r="E29">
            <v>2</v>
          </cell>
          <cell r="F29">
            <v>6</v>
          </cell>
          <cell r="G29" t="str">
            <v>TIHUATLAN</v>
          </cell>
          <cell r="H29" t="str">
            <v>NUEVO PROGRESO (KILOMETRO 12)</v>
          </cell>
        </row>
        <row r="30">
          <cell r="A30" t="str">
            <v>30DTV0301M</v>
          </cell>
          <cell r="B30" t="str">
            <v>RICARDO FLORES MAGON</v>
          </cell>
          <cell r="C30" t="str">
            <v>20 DE NOVIEMBRE NUM. 7 ESQUINA 24 DE FEBRERO</v>
          </cell>
          <cell r="D30" t="str">
            <v>MARTHA ORALIA ALAFITA CRUZ</v>
          </cell>
          <cell r="E30">
            <v>2</v>
          </cell>
          <cell r="F30">
            <v>6</v>
          </cell>
          <cell r="G30" t="str">
            <v>TIHUATLAN</v>
          </cell>
          <cell r="H30" t="str">
            <v>RICARDO FLORES MAGON</v>
          </cell>
        </row>
        <row r="31">
          <cell r="A31" t="str">
            <v>30DTV0624U</v>
          </cell>
          <cell r="B31" t="str">
            <v>GUILLERMO GONZALEZ CAMARENA</v>
          </cell>
          <cell r="C31" t="str">
            <v>GONZALEZ ORTEGA S/N SECTOR 4</v>
          </cell>
          <cell r="D31" t="str">
            <v>FLORA HERRERA CARRANZA</v>
          </cell>
          <cell r="E31">
            <v>2</v>
          </cell>
          <cell r="F31">
            <v>6</v>
          </cell>
          <cell r="G31" t="str">
            <v>TIHUATLAN</v>
          </cell>
          <cell r="H31" t="str">
            <v>TOTOLAPA</v>
          </cell>
        </row>
        <row r="32">
          <cell r="A32" t="str">
            <v>30DTV1446O</v>
          </cell>
          <cell r="B32" t="str">
            <v>HERIBERTO KEHOE VINCENT</v>
          </cell>
          <cell r="C32" t="str">
            <v>CONOCIDO</v>
          </cell>
          <cell r="D32" t="str">
            <v>CARLOS CORTES GRANT</v>
          </cell>
          <cell r="E32">
            <v>2</v>
          </cell>
          <cell r="F32">
            <v>6</v>
          </cell>
          <cell r="G32" t="str">
            <v>TIHUATLAN</v>
          </cell>
          <cell r="H32" t="str">
            <v>CHICHICUASTLA</v>
          </cell>
        </row>
        <row r="33">
          <cell r="A33" t="str">
            <v>30DTV1565B</v>
          </cell>
          <cell r="B33" t="str">
            <v>IGNACIO MANUEL ALTAMIRANO</v>
          </cell>
          <cell r="C33" t="str">
            <v>CONOCIDO</v>
          </cell>
          <cell r="D33" t="str">
            <v>ADRIANA ARISBETH SANCHEZ HERNANDEZ</v>
          </cell>
          <cell r="E33">
            <v>3</v>
          </cell>
          <cell r="F33">
            <v>8</v>
          </cell>
          <cell r="G33" t="str">
            <v>ALTOTONGA</v>
          </cell>
          <cell r="H33" t="str">
            <v>PASTOR VERGARA</v>
          </cell>
        </row>
        <row r="34">
          <cell r="A34" t="str">
            <v>30DTV1100W</v>
          </cell>
          <cell r="B34" t="str">
            <v>IGNACIO ZARAGOZA</v>
          </cell>
          <cell r="C34" t="str">
            <v>CONOCIDO</v>
          </cell>
          <cell r="D34" t="str">
            <v>RIGOBERTO VAZQUEZ PARRA</v>
          </cell>
          <cell r="E34">
            <v>3</v>
          </cell>
          <cell r="F34">
            <v>8</v>
          </cell>
          <cell r="G34" t="str">
            <v>ALTOTONGA</v>
          </cell>
          <cell r="H34" t="str">
            <v>LAS TRUCHAS</v>
          </cell>
        </row>
        <row r="35">
          <cell r="A35" t="str">
            <v>30DTV1490B</v>
          </cell>
          <cell r="B35" t="str">
            <v>JUAN RUIZ DE ALARCON</v>
          </cell>
          <cell r="C35" t="str">
            <v>CONOCIDO</v>
          </cell>
          <cell r="D35" t="str">
            <v>SANTIAGO COXCA CASTRO</v>
          </cell>
          <cell r="E35">
            <v>3</v>
          </cell>
          <cell r="F35">
            <v>8</v>
          </cell>
          <cell r="G35" t="str">
            <v>ATZALAN</v>
          </cell>
          <cell r="H35" t="str">
            <v>AHUATENO</v>
          </cell>
        </row>
        <row r="36">
          <cell r="A36" t="str">
            <v>30DTV1491A</v>
          </cell>
          <cell r="B36" t="str">
            <v>FRANCISCO MOROSINI CORDERO</v>
          </cell>
          <cell r="C36" t="str">
            <v>CONOCIDO</v>
          </cell>
          <cell r="D36" t="str">
            <v>ALFONSO VAZQUEZ Y MUJICA</v>
          </cell>
          <cell r="E36">
            <v>3</v>
          </cell>
          <cell r="F36">
            <v>8</v>
          </cell>
          <cell r="G36" t="str">
            <v>ATZALAN</v>
          </cell>
          <cell r="H36" t="str">
            <v>AHUATEPEC</v>
          </cell>
        </row>
        <row r="37">
          <cell r="A37" t="str">
            <v>30DTV1209M</v>
          </cell>
          <cell r="B37" t="str">
            <v>LEONA VICARIO</v>
          </cell>
          <cell r="C37" t="str">
            <v>CONOCIDO</v>
          </cell>
          <cell r="D37" t="str">
            <v>SAMUEL AGUIRRE ZARATE</v>
          </cell>
          <cell r="E37">
            <v>3</v>
          </cell>
          <cell r="F37">
            <v>8</v>
          </cell>
          <cell r="G37" t="str">
            <v>ATZALAN</v>
          </cell>
          <cell r="H37" t="str">
            <v>BARRANCONES</v>
          </cell>
        </row>
        <row r="38">
          <cell r="A38" t="str">
            <v>30DTV0156R</v>
          </cell>
          <cell r="B38" t="str">
            <v>JOSEFA ORTIZ DE DOMINGUEZ</v>
          </cell>
          <cell r="C38" t="str">
            <v>CONOCIDO</v>
          </cell>
          <cell r="D38" t="str">
            <v>MARIA DEL ROCIO SALAZAR MUNGUIA</v>
          </cell>
          <cell r="E38">
            <v>3</v>
          </cell>
          <cell r="F38">
            <v>8</v>
          </cell>
          <cell r="G38" t="str">
            <v>ATZALAN</v>
          </cell>
          <cell r="H38" t="str">
            <v>EL CAMPAMENTO</v>
          </cell>
        </row>
        <row r="39">
          <cell r="A39" t="str">
            <v>30DTV1123G</v>
          </cell>
          <cell r="B39" t="str">
            <v>JESUS REYES HEROLES</v>
          </cell>
          <cell r="C39" t="str">
            <v>CONOCIDO</v>
          </cell>
          <cell r="D39" t="str">
            <v>JAIME GONZALEZ GONZALEZ</v>
          </cell>
          <cell r="E39">
            <v>3</v>
          </cell>
          <cell r="F39">
            <v>8</v>
          </cell>
          <cell r="G39" t="str">
            <v>ATZALAN</v>
          </cell>
          <cell r="H39" t="str">
            <v>NARANJILLO</v>
          </cell>
        </row>
        <row r="40">
          <cell r="A40" t="str">
            <v>30DTV1597U</v>
          </cell>
          <cell r="B40" t="str">
            <v>MARIANO AZUELA</v>
          </cell>
          <cell r="C40" t="str">
            <v>JUNTO A LA AGENCIA MUNICIPAL</v>
          </cell>
          <cell r="D40" t="str">
            <v>MARIA DEL ROCIO BENAVIDES HERNANDEZ</v>
          </cell>
          <cell r="E40">
            <v>3</v>
          </cell>
          <cell r="F40">
            <v>8</v>
          </cell>
          <cell r="G40" t="str">
            <v>ATZALAN</v>
          </cell>
          <cell r="H40" t="str">
            <v>EL PIMIENTO</v>
          </cell>
        </row>
        <row r="41">
          <cell r="A41" t="str">
            <v>30DTV1121I</v>
          </cell>
          <cell r="B41" t="str">
            <v>JUAN ESCUTIA</v>
          </cell>
          <cell r="C41" t="str">
            <v>CONOCIDO</v>
          </cell>
          <cell r="D41" t="str">
            <v>ARISBE DOMINGUEZ BAEZ</v>
          </cell>
          <cell r="E41">
            <v>3</v>
          </cell>
          <cell r="F41">
            <v>8</v>
          </cell>
          <cell r="G41" t="str">
            <v>ATZALAN</v>
          </cell>
          <cell r="H41" t="str">
            <v>EL PROGRESO</v>
          </cell>
        </row>
        <row r="42">
          <cell r="A42" t="str">
            <v>30DTV0723U</v>
          </cell>
          <cell r="B42" t="str">
            <v>AMADO NERVO</v>
          </cell>
          <cell r="C42" t="str">
            <v>CONOCIDO</v>
          </cell>
          <cell r="D42" t="str">
            <v>NEFTALI PADILLA GUZMAN</v>
          </cell>
          <cell r="E42">
            <v>3</v>
          </cell>
          <cell r="F42">
            <v>8</v>
          </cell>
          <cell r="G42" t="str">
            <v>ATZALAN</v>
          </cell>
          <cell r="H42" t="str">
            <v>SAN PEDRO BUENAVISTA</v>
          </cell>
        </row>
        <row r="43">
          <cell r="A43" t="str">
            <v>30DTV0479Z</v>
          </cell>
          <cell r="B43" t="str">
            <v>BENITO JUAREZ GARCIA</v>
          </cell>
          <cell r="C43" t="str">
            <v>CONOCIDO</v>
          </cell>
          <cell r="D43" t="str">
            <v>JOSE ROMERO FABIAN</v>
          </cell>
          <cell r="E43">
            <v>3</v>
          </cell>
          <cell r="F43">
            <v>8</v>
          </cell>
          <cell r="G43" t="str">
            <v>ATZALAN</v>
          </cell>
          <cell r="H43" t="str">
            <v>SANTIAGO</v>
          </cell>
        </row>
        <row r="44">
          <cell r="A44" t="str">
            <v>30DTV1122H</v>
          </cell>
          <cell r="B44" t="str">
            <v>JOSE MARIA MORELOS Y PAVON</v>
          </cell>
          <cell r="C44" t="str">
            <v>CONOCIDO</v>
          </cell>
          <cell r="D44" t="str">
            <v>JOSE NAHIN HUESCA MDRID</v>
          </cell>
          <cell r="E44">
            <v>3</v>
          </cell>
          <cell r="F44">
            <v>8</v>
          </cell>
          <cell r="G44" t="str">
            <v>ATZALAN</v>
          </cell>
          <cell r="H44" t="str">
            <v>ZAPOTE REDONDO</v>
          </cell>
        </row>
        <row r="45">
          <cell r="A45" t="str">
            <v>30DTV1599S</v>
          </cell>
          <cell r="B45" t="str">
            <v>EMILIANO ZAPATA</v>
          </cell>
          <cell r="C45" t="str">
            <v>JUNTO A LA AGENCIA MUNICIPAL</v>
          </cell>
          <cell r="D45" t="str">
            <v>RABINDRANATH VAZQUEZ OLEA</v>
          </cell>
          <cell r="E45">
            <v>3</v>
          </cell>
          <cell r="F45">
            <v>8</v>
          </cell>
          <cell r="G45" t="str">
            <v>ATZALAN</v>
          </cell>
          <cell r="H45" t="str">
            <v>CUEVA SANTA</v>
          </cell>
        </row>
        <row r="46">
          <cell r="A46" t="str">
            <v>30DTV1401S</v>
          </cell>
          <cell r="B46" t="str">
            <v>MIGUEL ALEMAN VALDES</v>
          </cell>
          <cell r="C46" t="str">
            <v>CONOCIDO</v>
          </cell>
          <cell r="D46" t="str">
            <v>JULIO CESAR CHACON ANTUNEZ</v>
          </cell>
          <cell r="E46">
            <v>3</v>
          </cell>
          <cell r="F46">
            <v>8</v>
          </cell>
          <cell r="G46" t="str">
            <v>ATZALAN</v>
          </cell>
          <cell r="H46" t="str">
            <v>SANTO DOMINGO ARROYO NEGRO</v>
          </cell>
        </row>
        <row r="47">
          <cell r="A47" t="str">
            <v>30DTV0481N</v>
          </cell>
          <cell r="B47" t="str">
            <v>LEONA VICARIO</v>
          </cell>
          <cell r="C47" t="str">
            <v>CONOCIDO</v>
          </cell>
          <cell r="D47" t="str">
            <v>AGUSTIN GUZMAN CASTORENA</v>
          </cell>
          <cell r="E47">
            <v>3</v>
          </cell>
          <cell r="F47">
            <v>8</v>
          </cell>
          <cell r="G47" t="str">
            <v>JALACINGO</v>
          </cell>
          <cell r="H47" t="str">
            <v>EPAPA</v>
          </cell>
        </row>
        <row r="48">
          <cell r="A48" t="str">
            <v>30DTV0954L</v>
          </cell>
          <cell r="B48" t="str">
            <v>ENRIQUE C. REBSAMEN</v>
          </cell>
          <cell r="C48" t="str">
            <v>LIRIOS S/N</v>
          </cell>
          <cell r="D48" t="str">
            <v>GILBERTA HERRERA RIVERA</v>
          </cell>
          <cell r="E48">
            <v>3</v>
          </cell>
          <cell r="F48">
            <v>8</v>
          </cell>
          <cell r="G48" t="str">
            <v>MARTINEZ DE LA TORRE</v>
          </cell>
          <cell r="H48" t="str">
            <v>MARTINEZ DE LA TORRE</v>
          </cell>
        </row>
        <row r="49">
          <cell r="A49" t="str">
            <v>30DTV1389N</v>
          </cell>
          <cell r="B49" t="str">
            <v>JOSE VASCONCELOS</v>
          </cell>
          <cell r="C49" t="str">
            <v>COLONIA LUIS DONALDO COLOSIO</v>
          </cell>
          <cell r="D49" t="str">
            <v>LINO MOGOLLON Y GARRIDO</v>
          </cell>
          <cell r="E49">
            <v>3</v>
          </cell>
          <cell r="F49">
            <v>8</v>
          </cell>
          <cell r="G49" t="str">
            <v>MARTINEZ DE LA TORRE</v>
          </cell>
          <cell r="H49" t="str">
            <v>MARTINEZ DE LA TORRE</v>
          </cell>
        </row>
        <row r="50">
          <cell r="A50" t="str">
            <v>30DTV0286K</v>
          </cell>
          <cell r="B50" t="str">
            <v>ALFONSO ARROYO FLORES</v>
          </cell>
          <cell r="C50" t="str">
            <v>CONOCIDO</v>
          </cell>
          <cell r="D50" t="str">
            <v>DALID PAREDES ANDRADE</v>
          </cell>
          <cell r="E50">
            <v>3</v>
          </cell>
          <cell r="F50">
            <v>8</v>
          </cell>
          <cell r="G50" t="str">
            <v>MARTINEZ DE LA TORRE</v>
          </cell>
          <cell r="H50" t="str">
            <v>EL PROGRESO</v>
          </cell>
        </row>
        <row r="51">
          <cell r="A51" t="str">
            <v>30DTV1156Y</v>
          </cell>
          <cell r="B51" t="str">
            <v>NARCISO MENDOZA</v>
          </cell>
          <cell r="C51" t="str">
            <v>CONOCIDO</v>
          </cell>
          <cell r="D51" t="str">
            <v>MAURICIO PEREZ SERAFIN</v>
          </cell>
          <cell r="E51">
            <v>3</v>
          </cell>
          <cell r="F51">
            <v>8</v>
          </cell>
          <cell r="G51" t="str">
            <v>MARTINEZ DE LA TORRE</v>
          </cell>
          <cell r="H51" t="str">
            <v>JOSE MARIA MORELOS Y PAVON</v>
          </cell>
        </row>
        <row r="52">
          <cell r="A52" t="str">
            <v>30DTV0280Q</v>
          </cell>
          <cell r="B52" t="str">
            <v>JUSTO SIERRA</v>
          </cell>
          <cell r="C52" t="str">
            <v>CONOCIDO</v>
          </cell>
          <cell r="D52" t="str">
            <v>VICTOR ANDRADE CALLEJAS</v>
          </cell>
          <cell r="E52">
            <v>3</v>
          </cell>
          <cell r="F52">
            <v>8</v>
          </cell>
          <cell r="G52" t="str">
            <v>TLAPACOYAN</v>
          </cell>
          <cell r="H52" t="str">
            <v>EYTEPEQUEZ</v>
          </cell>
        </row>
        <row r="53">
          <cell r="A53" t="str">
            <v>30DTV0313R</v>
          </cell>
          <cell r="B53" t="str">
            <v>IGNACIO ALLENDE</v>
          </cell>
          <cell r="C53" t="str">
            <v>CONOCIDO</v>
          </cell>
          <cell r="D53" t="str">
            <v>LUCIA JARILLO VERNET</v>
          </cell>
          <cell r="E53">
            <v>3</v>
          </cell>
          <cell r="F53">
            <v>8</v>
          </cell>
          <cell r="G53" t="str">
            <v>TLAPACOYAN</v>
          </cell>
          <cell r="H53" t="str">
            <v>EL JOBO</v>
          </cell>
        </row>
        <row r="54">
          <cell r="A54" t="str">
            <v>30DTV0206I</v>
          </cell>
          <cell r="B54" t="str">
            <v>NIÐOS HEROES DE CHAPULTEPEC</v>
          </cell>
          <cell r="C54" t="str">
            <v>CONOCIDO</v>
          </cell>
          <cell r="D54" t="str">
            <v>NOEL RUDECINO GARCIA</v>
          </cell>
          <cell r="E54">
            <v>3</v>
          </cell>
          <cell r="F54">
            <v>8</v>
          </cell>
          <cell r="G54" t="str">
            <v>TLAPACOYAN</v>
          </cell>
          <cell r="H54" t="str">
            <v>PIEDRA PINTA</v>
          </cell>
        </row>
        <row r="55">
          <cell r="A55" t="str">
            <v>30DTV1799Q</v>
          </cell>
          <cell r="B55" t="str">
            <v>TELESECUNDARIA</v>
          </cell>
          <cell r="C55" t="str">
            <v>AVENIDA ELIAS FUENTES S/N</v>
          </cell>
          <cell r="D55" t="str">
            <v>MINERVA GONZALEZ LUCAS</v>
          </cell>
          <cell r="E55">
            <v>3</v>
          </cell>
          <cell r="F55">
            <v>8</v>
          </cell>
          <cell r="G55" t="str">
            <v>TLAPACOYAN</v>
          </cell>
          <cell r="H55" t="str">
            <v>SAN ISIDRO</v>
          </cell>
        </row>
        <row r="56">
          <cell r="A56" t="str">
            <v>30DTV0169V</v>
          </cell>
          <cell r="B56" t="str">
            <v>16 DE SEPTIEMBRE</v>
          </cell>
          <cell r="C56" t="str">
            <v>CONOCIDO</v>
          </cell>
          <cell r="D56" t="str">
            <v>ANASTACIO LOZANO JIMENEZ</v>
          </cell>
          <cell r="E56">
            <v>3</v>
          </cell>
          <cell r="F56">
            <v>8</v>
          </cell>
          <cell r="G56" t="str">
            <v>TLAPACOYAN</v>
          </cell>
          <cell r="H56" t="str">
            <v>SAN PEDRO TLAPACOYAN</v>
          </cell>
        </row>
        <row r="57">
          <cell r="A57" t="str">
            <v>30DTV0203L</v>
          </cell>
          <cell r="B57" t="str">
            <v>ROSARIO CASTELLANOS</v>
          </cell>
          <cell r="C57" t="str">
            <v>CONOCIDO</v>
          </cell>
          <cell r="D57" t="str">
            <v>VIRGINIA CORTES FABIAN</v>
          </cell>
          <cell r="E57">
            <v>3</v>
          </cell>
          <cell r="F57">
            <v>8</v>
          </cell>
          <cell r="G57" t="str">
            <v>TLAPACOYAN</v>
          </cell>
          <cell r="H57" t="str">
            <v>LA PALMILLA</v>
          </cell>
        </row>
        <row r="58">
          <cell r="A58" t="str">
            <v>30DTV0030K</v>
          </cell>
          <cell r="B58" t="str">
            <v>SOR JUANA INES DE LA CRUZ</v>
          </cell>
          <cell r="C58" t="str">
            <v>CONOCIDO</v>
          </cell>
          <cell r="D58" t="str">
            <v>SUNY EDETZA PADILLA HERNANDEZ</v>
          </cell>
          <cell r="E58">
            <v>3</v>
          </cell>
          <cell r="F58">
            <v>8</v>
          </cell>
          <cell r="G58" t="str">
            <v>TLAPACOYAN</v>
          </cell>
          <cell r="H58" t="str">
            <v>LUIS ECHEVERRIA</v>
          </cell>
        </row>
        <row r="59">
          <cell r="A59" t="str">
            <v>30DTV1755T</v>
          </cell>
          <cell r="B59" t="str">
            <v>JUAN ESCUTIA</v>
          </cell>
          <cell r="C59" t="str">
            <v>CALLE PRINCIPAL S/N</v>
          </cell>
          <cell r="D59" t="str">
            <v>ARMANDO CABRERA PAZOS</v>
          </cell>
          <cell r="E59">
            <v>3</v>
          </cell>
          <cell r="F59">
            <v>8</v>
          </cell>
          <cell r="G59" t="str">
            <v>TLAPACOYAN</v>
          </cell>
          <cell r="H59" t="str">
            <v>CONGREGACION HIDALGO</v>
          </cell>
        </row>
        <row r="60">
          <cell r="A60" t="str">
            <v>30DTV0665U</v>
          </cell>
          <cell r="B60" t="str">
            <v>DON FERNANDO GUTIERREZ BARRIOS</v>
          </cell>
          <cell r="C60" t="str">
            <v>JUSTA GARCIA KAST</v>
          </cell>
          <cell r="D60" t="str">
            <v>ANTONIO VAZQUEZ JIMENEZ</v>
          </cell>
          <cell r="E60">
            <v>4</v>
          </cell>
          <cell r="F60">
            <v>12</v>
          </cell>
          <cell r="G60" t="str">
            <v>MISANTLA</v>
          </cell>
          <cell r="H60" t="str">
            <v>MISANTLA</v>
          </cell>
        </row>
        <row r="61">
          <cell r="A61" t="str">
            <v>30DTV0040R</v>
          </cell>
          <cell r="B61" t="str">
            <v>GRAL. EMILIANO ZAPATA</v>
          </cell>
          <cell r="C61" t="str">
            <v>MIGUEL HIDALGO NUM. 2</v>
          </cell>
          <cell r="D61" t="str">
            <v>SOFIA VAZQUEZ CRUZ</v>
          </cell>
          <cell r="E61">
            <v>4</v>
          </cell>
          <cell r="F61">
            <v>12</v>
          </cell>
          <cell r="G61" t="str">
            <v>MISANTLA</v>
          </cell>
          <cell r="H61" t="str">
            <v>ARROYO HONDO</v>
          </cell>
        </row>
        <row r="62">
          <cell r="A62" t="str">
            <v>30DTV0463Y</v>
          </cell>
          <cell r="B62" t="str">
            <v>ROSARIO CASTELLANOS</v>
          </cell>
          <cell r="C62" t="str">
            <v>CONOCIDO</v>
          </cell>
          <cell r="D62" t="str">
            <v>RUBEN AVILA Y MARTINEZ</v>
          </cell>
          <cell r="E62">
            <v>4</v>
          </cell>
          <cell r="F62">
            <v>12</v>
          </cell>
          <cell r="G62" t="str">
            <v>MISANTLA</v>
          </cell>
          <cell r="H62" t="str">
            <v>COAPECHE</v>
          </cell>
        </row>
        <row r="63">
          <cell r="A63" t="str">
            <v>30DTV0013U</v>
          </cell>
          <cell r="B63" t="str">
            <v>MIGUEL HIDALGO Y COSTILLA</v>
          </cell>
          <cell r="C63" t="str">
            <v>ADOLFO LOPEZ MATEOS S/N</v>
          </cell>
          <cell r="D63" t="str">
            <v>SAMUEL GARCIA PORTILLA</v>
          </cell>
          <cell r="E63">
            <v>4</v>
          </cell>
          <cell r="F63">
            <v>12</v>
          </cell>
          <cell r="G63" t="str">
            <v>MISANTLA</v>
          </cell>
          <cell r="H63" t="str">
            <v>LA DEFENSA</v>
          </cell>
        </row>
        <row r="64">
          <cell r="A64" t="str">
            <v>30DTV0394S</v>
          </cell>
          <cell r="B64" t="str">
            <v>MANUEL TELLO</v>
          </cell>
          <cell r="C64" t="str">
            <v>CONOCIDO</v>
          </cell>
          <cell r="D64" t="str">
            <v>HECTOR MEZA GILBON</v>
          </cell>
          <cell r="E64">
            <v>4</v>
          </cell>
          <cell r="F64">
            <v>12</v>
          </cell>
          <cell r="G64" t="str">
            <v>MISANTLA</v>
          </cell>
          <cell r="H64" t="str">
            <v>LA LIBERTAD</v>
          </cell>
        </row>
        <row r="65">
          <cell r="A65" t="str">
            <v>30DTV0162B</v>
          </cell>
          <cell r="B65" t="str">
            <v>ALVARO GALVES Y FUENTES</v>
          </cell>
          <cell r="C65" t="str">
            <v>CONOCIDO</v>
          </cell>
          <cell r="D65" t="str">
            <v>MIGUEL BALDERAS Y DE LOS SANTOS</v>
          </cell>
          <cell r="E65">
            <v>4</v>
          </cell>
          <cell r="F65">
            <v>12</v>
          </cell>
          <cell r="G65" t="str">
            <v>MISANTLA</v>
          </cell>
          <cell r="H65" t="str">
            <v>MAXIMO GARCIA (LA GUADALUPE)</v>
          </cell>
        </row>
        <row r="66">
          <cell r="A66" t="str">
            <v>30DTV0260C</v>
          </cell>
          <cell r="B66" t="str">
            <v>GRAL. LAZARO CARDENAS DEL RIO</v>
          </cell>
          <cell r="C66" t="str">
            <v>CONOCIDO</v>
          </cell>
          <cell r="D66" t="str">
            <v>MARIA DE LOURDES L. MACIP RODRIGUEZ</v>
          </cell>
          <cell r="E66">
            <v>4</v>
          </cell>
          <cell r="F66">
            <v>12</v>
          </cell>
          <cell r="G66" t="str">
            <v>MISANTLA</v>
          </cell>
          <cell r="H66" t="str">
            <v>PALPOALA IXCAN</v>
          </cell>
        </row>
        <row r="67">
          <cell r="A67" t="str">
            <v>30DTV0161C</v>
          </cell>
          <cell r="B67" t="str">
            <v>RAFAEL RAMIREZ CASTAÑEDA</v>
          </cell>
          <cell r="C67" t="str">
            <v>EPIFANIO HERNANDEZ S/N ENTRE HIDALGO Y A.</v>
          </cell>
          <cell r="D67" t="str">
            <v>JOSEFINA MERIDA GONZALEZ</v>
          </cell>
          <cell r="E67">
            <v>4</v>
          </cell>
          <cell r="F67">
            <v>12</v>
          </cell>
          <cell r="G67" t="str">
            <v>MISANTLA</v>
          </cell>
          <cell r="H67" t="str">
            <v>LA PRIMAVERA</v>
          </cell>
        </row>
        <row r="68">
          <cell r="A68" t="str">
            <v>30DTV0397P</v>
          </cell>
          <cell r="B68" t="str">
            <v>LEONA VICARIO</v>
          </cell>
          <cell r="C68" t="str">
            <v>CONOCIDO</v>
          </cell>
          <cell r="D68" t="str">
            <v>JORGE CUPERTINO SANCHEZ ZAYAS</v>
          </cell>
          <cell r="E68">
            <v>4</v>
          </cell>
          <cell r="F68">
            <v>12</v>
          </cell>
          <cell r="G68" t="str">
            <v>MISANTLA</v>
          </cell>
          <cell r="H68" t="str">
            <v>LA REFORMA</v>
          </cell>
        </row>
        <row r="69">
          <cell r="A69" t="str">
            <v>30DTV0471G</v>
          </cell>
          <cell r="B69" t="str">
            <v>TELESECUNDARIA NUM. 471</v>
          </cell>
          <cell r="C69" t="str">
            <v>CONOCIDO</v>
          </cell>
          <cell r="D69" t="str">
            <v>MARTIN CENTENO TORRES</v>
          </cell>
          <cell r="E69">
            <v>4</v>
          </cell>
          <cell r="F69">
            <v>12</v>
          </cell>
          <cell r="G69" t="str">
            <v>MISANTLA</v>
          </cell>
          <cell r="H69" t="str">
            <v>SANTA CLARA</v>
          </cell>
        </row>
        <row r="70">
          <cell r="A70" t="str">
            <v>30DTV0259N</v>
          </cell>
          <cell r="B70" t="str">
            <v>RICARDO FLORES MAGON</v>
          </cell>
          <cell r="C70" t="str">
            <v>CONOCIDO</v>
          </cell>
          <cell r="D70" t="str">
            <v>CIRILO FERMIN LARA DEL ANGEL</v>
          </cell>
          <cell r="E70">
            <v>4</v>
          </cell>
          <cell r="F70">
            <v>12</v>
          </cell>
          <cell r="G70" t="str">
            <v>MISANTLA</v>
          </cell>
          <cell r="H70" t="str">
            <v>SANTA CRUZ HIDALGO</v>
          </cell>
        </row>
        <row r="71">
          <cell r="A71" t="str">
            <v>30DTV1550Z</v>
          </cell>
          <cell r="B71" t="str">
            <v>TELESECUNDARIA</v>
          </cell>
          <cell r="C71" t="str">
            <v>CONOCIDO</v>
          </cell>
          <cell r="D71" t="str">
            <v>BASILIA RIVERA GUZMAN</v>
          </cell>
          <cell r="E71">
            <v>4</v>
          </cell>
          <cell r="F71">
            <v>12</v>
          </cell>
          <cell r="G71" t="str">
            <v>MISANTLA</v>
          </cell>
          <cell r="H71" t="str">
            <v>POZA DEL TIGRE</v>
          </cell>
        </row>
        <row r="72">
          <cell r="A72" t="str">
            <v>30DTV0393T</v>
          </cell>
          <cell r="B72" t="str">
            <v>SOR JUANA INES DE LA CRUZ</v>
          </cell>
          <cell r="C72" t="str">
            <v>CONOCIDO</v>
          </cell>
          <cell r="D72" t="str">
            <v>SILVIA PARRA BARROSO</v>
          </cell>
          <cell r="E72">
            <v>4</v>
          </cell>
          <cell r="F72">
            <v>12</v>
          </cell>
          <cell r="G72" t="str">
            <v>NAUTLA</v>
          </cell>
          <cell r="H72" t="str">
            <v>LA MARTINICA</v>
          </cell>
        </row>
        <row r="73">
          <cell r="A73" t="str">
            <v>30DTV0187K</v>
          </cell>
          <cell r="B73" t="str">
            <v>BENITO JUAREZ GARCIA</v>
          </cell>
          <cell r="C73" t="str">
            <v>JOSE MARIA MORELOS Y PAVON NUM. 1</v>
          </cell>
          <cell r="D73" t="str">
            <v>MARIA EUGENIA PALACIOS MENDOZA</v>
          </cell>
          <cell r="E73">
            <v>5</v>
          </cell>
          <cell r="F73">
            <v>2</v>
          </cell>
          <cell r="G73" t="str">
            <v>ACAJETE</v>
          </cell>
          <cell r="H73" t="str">
            <v>ACAJETE</v>
          </cell>
        </row>
        <row r="74">
          <cell r="A74" t="str">
            <v>30DTV0166Y</v>
          </cell>
          <cell r="B74" t="str">
            <v>JAIME TORRES BODET</v>
          </cell>
          <cell r="C74" t="str">
            <v>VENUSTIANO CARRANZA NUM. 4</v>
          </cell>
          <cell r="D74" t="str">
            <v>SONIA MYRNA LENINA CARRETO BLANCO</v>
          </cell>
          <cell r="E74">
            <v>5</v>
          </cell>
          <cell r="F74">
            <v>2</v>
          </cell>
          <cell r="G74" t="str">
            <v>ACAJETE</v>
          </cell>
          <cell r="H74" t="str">
            <v>LA JOYA</v>
          </cell>
        </row>
        <row r="75">
          <cell r="A75" t="str">
            <v>30DTV0079C</v>
          </cell>
          <cell r="B75" t="str">
            <v>ANGEL HERMIDA RUIZ</v>
          </cell>
          <cell r="C75" t="str">
            <v>VICENTE GUERRERO NUM. 52</v>
          </cell>
          <cell r="D75" t="str">
            <v>JOAQUIN GARRIDO ZAVALETA</v>
          </cell>
          <cell r="E75">
            <v>5</v>
          </cell>
          <cell r="F75">
            <v>2</v>
          </cell>
          <cell r="G75" t="str">
            <v>BANDERILLA</v>
          </cell>
          <cell r="H75" t="str">
            <v>BANDERILLA</v>
          </cell>
        </row>
        <row r="76">
          <cell r="A76" t="str">
            <v>30DTV1314X</v>
          </cell>
          <cell r="B76" t="str">
            <v>TELESECUNDARIA</v>
          </cell>
          <cell r="C76" t="str">
            <v>PROLONGACION TEMAXCALAPA</v>
          </cell>
          <cell r="D76" t="str">
            <v>MARCELA MARIA DEL CARMEN ROSARIO GARCIA</v>
          </cell>
          <cell r="E76">
            <v>5</v>
          </cell>
          <cell r="F76">
            <v>2</v>
          </cell>
          <cell r="G76" t="str">
            <v>BANDERILLA</v>
          </cell>
          <cell r="H76" t="str">
            <v>BANDERILLA</v>
          </cell>
        </row>
        <row r="77">
          <cell r="A77" t="str">
            <v>30DTV0157Q</v>
          </cell>
          <cell r="B77" t="str">
            <v>TELESECUNDARIA NUM. 157</v>
          </cell>
          <cell r="C77" t="str">
            <v>EMILIANO ZAPATA NUM. 41</v>
          </cell>
          <cell r="D77" t="str">
            <v>ARIEL ORTIZ</v>
          </cell>
          <cell r="E77">
            <v>5</v>
          </cell>
          <cell r="F77">
            <v>2</v>
          </cell>
          <cell r="G77" t="str">
            <v>COACOATZINTLA</v>
          </cell>
          <cell r="H77" t="str">
            <v>COACOATZINTLA</v>
          </cell>
        </row>
        <row r="78">
          <cell r="A78" t="str">
            <v>30DTV0874Z</v>
          </cell>
          <cell r="B78" t="str">
            <v>REVOLUCION MEXICANA</v>
          </cell>
          <cell r="C78" t="str">
            <v>FRANCISCO LEON DE LA BARRERA S/N</v>
          </cell>
          <cell r="D78" t="str">
            <v>ANGELICA VELASCO LOPEZ</v>
          </cell>
          <cell r="E78">
            <v>5</v>
          </cell>
          <cell r="F78">
            <v>2</v>
          </cell>
          <cell r="G78" t="str">
            <v>XALAPA</v>
          </cell>
          <cell r="H78" t="str">
            <v>XALAPA-ENRIQUEZ</v>
          </cell>
        </row>
        <row r="79">
          <cell r="A79" t="str">
            <v>30DTV0138B</v>
          </cell>
          <cell r="B79" t="str">
            <v>SALVADOR DIAZ MIRON</v>
          </cell>
          <cell r="C79" t="str">
            <v>2 DE ABRIL NUM. 2</v>
          </cell>
          <cell r="D79" t="str">
            <v>JOSE DE JESUS MARTINEZ ALFONSO</v>
          </cell>
          <cell r="E79">
            <v>5</v>
          </cell>
          <cell r="F79">
            <v>2</v>
          </cell>
          <cell r="G79" t="str">
            <v>JILOTEPEC</v>
          </cell>
          <cell r="H79" t="str">
            <v>JILOTEPEC</v>
          </cell>
        </row>
        <row r="80">
          <cell r="A80" t="str">
            <v>30DTV1794V</v>
          </cell>
          <cell r="B80" t="str">
            <v>TELESECUNDARIA</v>
          </cell>
          <cell r="C80" t="str">
            <v>MIGUEL HIDALGO</v>
          </cell>
          <cell r="D80" t="str">
            <v>MARIA DOLORES CASTRO GARCIA</v>
          </cell>
          <cell r="E80">
            <v>5</v>
          </cell>
          <cell r="F80">
            <v>2</v>
          </cell>
          <cell r="G80" t="str">
            <v>JILOTEPEC</v>
          </cell>
          <cell r="H80" t="str">
            <v>PIEDRA DE AGUA</v>
          </cell>
        </row>
        <row r="81">
          <cell r="A81" t="str">
            <v>30DTV1339F</v>
          </cell>
          <cell r="B81" t="str">
            <v>ROSARIO CASTELLANOS</v>
          </cell>
          <cell r="C81" t="str">
            <v>CONOCIDO</v>
          </cell>
          <cell r="D81" t="str">
            <v>ROSA MARIA PLATAS SANCHEZ</v>
          </cell>
          <cell r="E81">
            <v>5</v>
          </cell>
          <cell r="F81">
            <v>2</v>
          </cell>
          <cell r="G81" t="str">
            <v>JILOTEPEC</v>
          </cell>
          <cell r="H81" t="str">
            <v>EL PUEBLITO (GARBANZAL)</v>
          </cell>
        </row>
        <row r="82">
          <cell r="A82" t="str">
            <v>30DTV0957I</v>
          </cell>
          <cell r="B82" t="str">
            <v>MELCHOR OCAMPO</v>
          </cell>
          <cell r="C82" t="str">
            <v>CALLE PRINCIPAL</v>
          </cell>
          <cell r="D82" t="str">
            <v>CARLOS SANTIAGO MONTOYA</v>
          </cell>
          <cell r="E82">
            <v>5</v>
          </cell>
          <cell r="F82">
            <v>2</v>
          </cell>
          <cell r="G82" t="str">
            <v>NAOLINCO</v>
          </cell>
          <cell r="H82" t="str">
            <v>SAN MARCOS ATESQUILAPAN (ATEXQUILAPAN)</v>
          </cell>
        </row>
        <row r="83">
          <cell r="A83" t="str">
            <v>30DTV0876Y</v>
          </cell>
          <cell r="B83" t="str">
            <v>SOR JUANA INES DE LA CRUZ</v>
          </cell>
          <cell r="C83" t="str">
            <v>AVENIDA CUAUHTEMOC NUM. 1</v>
          </cell>
          <cell r="D83" t="str">
            <v>CRUZ ELUZAI JARILLO ESCALONA</v>
          </cell>
          <cell r="E83">
            <v>5</v>
          </cell>
          <cell r="F83">
            <v>2</v>
          </cell>
          <cell r="G83" t="str">
            <v>NAOLINCO</v>
          </cell>
          <cell r="H83" t="str">
            <v>SAN PABLO COAPAN</v>
          </cell>
        </row>
        <row r="84">
          <cell r="A84" t="str">
            <v>30DTV0228U</v>
          </cell>
          <cell r="B84" t="str">
            <v>RICARDO FLORES MAGON</v>
          </cell>
          <cell r="C84" t="str">
            <v>SEGUNDA DE IGNACIO ZARAGOZA S/N</v>
          </cell>
          <cell r="D84" t="str">
            <v>ALEJANDRA RIVERA SANTIAGO</v>
          </cell>
          <cell r="E84">
            <v>5</v>
          </cell>
          <cell r="F84">
            <v>2</v>
          </cell>
          <cell r="G84" t="str">
            <v>LAS VIGAS DE RAMIREZ</v>
          </cell>
          <cell r="H84" t="str">
            <v>LAS VIGAS DE RAMIREZ</v>
          </cell>
        </row>
        <row r="85">
          <cell r="A85" t="str">
            <v>30DTV1663C</v>
          </cell>
          <cell r="B85" t="str">
            <v>TELESECUNDARIA</v>
          </cell>
          <cell r="C85" t="str">
            <v>CALLE PRINCIPAL S/N (FRENTE A LA QUESERIA)</v>
          </cell>
          <cell r="D85" t="str">
            <v>MARTHA ANGELICA VELASCO RIOS</v>
          </cell>
          <cell r="E85">
            <v>5</v>
          </cell>
          <cell r="F85">
            <v>2</v>
          </cell>
          <cell r="G85" t="str">
            <v>LAS VIGAS DE RAMIREZ</v>
          </cell>
          <cell r="H85" t="str">
            <v>CALAVERNAS</v>
          </cell>
        </row>
        <row r="86">
          <cell r="A86" t="str">
            <v>30DTV1719O</v>
          </cell>
          <cell r="B86" t="str">
            <v>RAFAEL RAMIREZ CASTAÑEDA</v>
          </cell>
          <cell r="C86" t="str">
            <v>CALZADA A LAS LAJAS S/N</v>
          </cell>
          <cell r="D86" t="str">
            <v>JOVITA LUNA NUÑEZ</v>
          </cell>
          <cell r="E86">
            <v>5</v>
          </cell>
          <cell r="F86">
            <v>2</v>
          </cell>
          <cell r="G86" t="str">
            <v>LAS VIGAS DE RAMIREZ</v>
          </cell>
          <cell r="H86" t="str">
            <v>EL PAISANO</v>
          </cell>
        </row>
        <row r="87">
          <cell r="A87" t="str">
            <v>30DTV0227V</v>
          </cell>
          <cell r="B87" t="str">
            <v>ALVARO GALVEZ Y FUENTES</v>
          </cell>
          <cell r="C87" t="str">
            <v>PLAZUELA DE LA CONSTITUCION NUM. 8</v>
          </cell>
          <cell r="D87" t="str">
            <v>ROBERTO FUERTES Y RENDON</v>
          </cell>
          <cell r="E87">
            <v>5</v>
          </cell>
          <cell r="F87">
            <v>2</v>
          </cell>
          <cell r="G87" t="str">
            <v>RAFAEL LUCIO</v>
          </cell>
          <cell r="H87" t="str">
            <v>RAFAEL LUCIO</v>
          </cell>
        </row>
        <row r="88">
          <cell r="A88" t="str">
            <v>30DTV1338G</v>
          </cell>
          <cell r="B88" t="str">
            <v>MARIANO AZUELA</v>
          </cell>
          <cell r="C88" t="str">
            <v>CONOCIDO</v>
          </cell>
          <cell r="D88" t="str">
            <v>ARTURO GUILLERMO RAMIREZ MADRID</v>
          </cell>
          <cell r="E88">
            <v>5</v>
          </cell>
          <cell r="F88">
            <v>2</v>
          </cell>
          <cell r="G88" t="str">
            <v>RAFAEL LUCIO</v>
          </cell>
          <cell r="H88" t="str">
            <v>PILETAS</v>
          </cell>
        </row>
        <row r="89">
          <cell r="A89" t="str">
            <v>30DTV0056S</v>
          </cell>
          <cell r="B89" t="str">
            <v>RICARDO FLORES MAGON</v>
          </cell>
          <cell r="C89" t="str">
            <v>LIBERTAD NUM. 24</v>
          </cell>
          <cell r="D89" t="str">
            <v>FATIMA PAZARAN CHAGOYA</v>
          </cell>
          <cell r="E89">
            <v>5</v>
          </cell>
          <cell r="F89">
            <v>2</v>
          </cell>
          <cell r="G89" t="str">
            <v>TLACOLULAN</v>
          </cell>
          <cell r="H89" t="str">
            <v>TLACOLULAN</v>
          </cell>
        </row>
        <row r="90">
          <cell r="A90" t="str">
            <v>30DTV1752W</v>
          </cell>
          <cell r="B90" t="str">
            <v>TELESECUNDARIA</v>
          </cell>
          <cell r="C90" t="str">
            <v>CALLE PRINCIPAL JUNTO A LA IGLESIA</v>
          </cell>
          <cell r="D90" t="str">
            <v>OFELIA TREJO MORGADO</v>
          </cell>
          <cell r="E90">
            <v>5</v>
          </cell>
          <cell r="F90">
            <v>2</v>
          </cell>
          <cell r="G90" t="str">
            <v>TLACOLULAN</v>
          </cell>
          <cell r="H90" t="str">
            <v>CEBOLLANA</v>
          </cell>
        </row>
        <row r="91">
          <cell r="A91" t="str">
            <v>30DTV0504H</v>
          </cell>
          <cell r="B91" t="str">
            <v>LAZARO CARDENAS DEL RIO</v>
          </cell>
          <cell r="C91" t="str">
            <v>MIGUEL HIDALGO NUM. 4</v>
          </cell>
          <cell r="D91" t="str">
            <v>ARTURO MEZA Y MORENO</v>
          </cell>
          <cell r="E91">
            <v>5</v>
          </cell>
          <cell r="F91">
            <v>2</v>
          </cell>
          <cell r="G91" t="str">
            <v>TONAYAN</v>
          </cell>
          <cell r="H91" t="str">
            <v>TONAYAN</v>
          </cell>
        </row>
        <row r="92">
          <cell r="A92" t="str">
            <v>30DTV0725S</v>
          </cell>
          <cell r="B92" t="str">
            <v>EMILIANO ZAPATA</v>
          </cell>
          <cell r="C92" t="str">
            <v>INDEPENDENCIA Y FLORES BELLO S/N</v>
          </cell>
          <cell r="D92" t="str">
            <v>SILVIO PASCUAL MORALES BUENO</v>
          </cell>
          <cell r="E92">
            <v>6</v>
          </cell>
          <cell r="F92">
            <v>2</v>
          </cell>
          <cell r="G92" t="str">
            <v>COATEPEC</v>
          </cell>
          <cell r="H92" t="str">
            <v>COATEPEC</v>
          </cell>
        </row>
        <row r="93">
          <cell r="A93" t="str">
            <v>30DTV0789C</v>
          </cell>
          <cell r="B93" t="str">
            <v>JOSE GILBERTO MARTINEZ HERNANDEZ</v>
          </cell>
          <cell r="C93" t="str">
            <v>PRIVADA DE ROA BARCENAS S/N</v>
          </cell>
          <cell r="D93" t="str">
            <v>JOEL CANTERO HERNANDEZ</v>
          </cell>
          <cell r="E93">
            <v>6</v>
          </cell>
          <cell r="F93">
            <v>2</v>
          </cell>
          <cell r="G93" t="str">
            <v>COATEPEC</v>
          </cell>
          <cell r="H93" t="str">
            <v>COATEPEC</v>
          </cell>
        </row>
        <row r="94">
          <cell r="A94" t="str">
            <v>30DTV0205J</v>
          </cell>
          <cell r="B94" t="str">
            <v>RAFAEL RAMIREZ</v>
          </cell>
          <cell r="C94" t="str">
            <v>CONOCIDO</v>
          </cell>
          <cell r="D94" t="str">
            <v>MARILU MARTINEZ GARCIA</v>
          </cell>
          <cell r="E94">
            <v>6</v>
          </cell>
          <cell r="F94">
            <v>2</v>
          </cell>
          <cell r="G94" t="str">
            <v>COATEPEC</v>
          </cell>
          <cell r="H94" t="str">
            <v>BELLA ESPERANZA</v>
          </cell>
        </row>
        <row r="95">
          <cell r="A95" t="str">
            <v>30DTV1180Y</v>
          </cell>
          <cell r="B95" t="str">
            <v>ALVARO GALVEZ Y FUENTES</v>
          </cell>
          <cell r="C95" t="str">
            <v>CONOCIDO</v>
          </cell>
          <cell r="D95" t="str">
            <v>ORLANDO ZUVIRI MERLO</v>
          </cell>
          <cell r="E95">
            <v>6</v>
          </cell>
          <cell r="F95">
            <v>2</v>
          </cell>
          <cell r="G95" t="str">
            <v>COATEPEC</v>
          </cell>
          <cell r="H95" t="str">
            <v>CUAUHTEMOC</v>
          </cell>
        </row>
        <row r="96">
          <cell r="A96" t="str">
            <v>30DTV0326V</v>
          </cell>
          <cell r="B96" t="str">
            <v>LAZARO CARDENAS DEL RIO</v>
          </cell>
          <cell r="C96" t="str">
            <v>LA TRINIDAD S/N</v>
          </cell>
          <cell r="D96" t="str">
            <v>RICARDO GAMALIEL MEZA HERNANDEZ</v>
          </cell>
          <cell r="E96">
            <v>6</v>
          </cell>
          <cell r="F96">
            <v>2</v>
          </cell>
          <cell r="G96" t="str">
            <v>COATEPEC</v>
          </cell>
          <cell r="H96" t="str">
            <v>LAS LOMAS</v>
          </cell>
        </row>
        <row r="97">
          <cell r="A97" t="str">
            <v>30DTV0560Z</v>
          </cell>
          <cell r="B97" t="str">
            <v>ALFONSO ARROYO FLORES</v>
          </cell>
          <cell r="C97" t="str">
            <v>PRIVADA DE INDEPENDENCIA S/N</v>
          </cell>
          <cell r="D97" t="str">
            <v>ARACELI DELIA GALVAN VIVEROS</v>
          </cell>
          <cell r="E97">
            <v>6</v>
          </cell>
          <cell r="F97">
            <v>2</v>
          </cell>
          <cell r="G97" t="str">
            <v>COATEPEC</v>
          </cell>
          <cell r="H97" t="str">
            <v>PACHO VIEJO</v>
          </cell>
        </row>
        <row r="98">
          <cell r="A98" t="str">
            <v>30DTV0033H</v>
          </cell>
          <cell r="B98" t="str">
            <v>ADALBERTO TEJEDA</v>
          </cell>
          <cell r="C98" t="str">
            <v>10 DE MAYO NUM. 16</v>
          </cell>
          <cell r="D98" t="str">
            <v>HUGO PECERO TORRES</v>
          </cell>
          <cell r="E98">
            <v>6</v>
          </cell>
          <cell r="F98">
            <v>2</v>
          </cell>
          <cell r="G98" t="str">
            <v>COATEPEC</v>
          </cell>
          <cell r="H98" t="str">
            <v>TUZAMAPAN</v>
          </cell>
        </row>
        <row r="99">
          <cell r="A99" t="str">
            <v>30DTV0863U</v>
          </cell>
          <cell r="B99" t="str">
            <v>ADOLFO RUIZ CORTINES</v>
          </cell>
          <cell r="C99" t="str">
            <v>EMILIANO ZAPATA S/N</v>
          </cell>
          <cell r="D99" t="str">
            <v>LUIS RICARDO ORELLAN HUERTA</v>
          </cell>
          <cell r="E99">
            <v>6</v>
          </cell>
          <cell r="F99">
            <v>2</v>
          </cell>
          <cell r="G99" t="str">
            <v>COATEPEC</v>
          </cell>
          <cell r="H99" t="str">
            <v>VAQUERIA</v>
          </cell>
        </row>
        <row r="100">
          <cell r="A100" t="str">
            <v>30DTV0158P</v>
          </cell>
          <cell r="B100" t="str">
            <v>BENITO JUAREZ GARCIA</v>
          </cell>
          <cell r="C100" t="str">
            <v>REVOLUCION S/N</v>
          </cell>
          <cell r="D100" t="str">
            <v>MARIA JUVENCIA G. PALMEROS RIVERA</v>
          </cell>
          <cell r="E100">
            <v>6</v>
          </cell>
          <cell r="F100">
            <v>2</v>
          </cell>
          <cell r="G100" t="str">
            <v>EMILIANO ZAPATA</v>
          </cell>
          <cell r="H100" t="str">
            <v>ALBORADA</v>
          </cell>
        </row>
        <row r="101">
          <cell r="A101" t="str">
            <v>30DTV0055T</v>
          </cell>
          <cell r="B101" t="str">
            <v>JOSE IGNACIO PAVON</v>
          </cell>
          <cell r="C101" t="str">
            <v>BENITO JUAREZ NUM. 132 BIS</v>
          </cell>
          <cell r="D101" t="str">
            <v>TITO LOBATO LOPEZ</v>
          </cell>
          <cell r="E101">
            <v>6</v>
          </cell>
          <cell r="F101">
            <v>2</v>
          </cell>
          <cell r="G101" t="str">
            <v>EMILIANO ZAPATA</v>
          </cell>
          <cell r="H101" t="str">
            <v>CHAVARRILLO</v>
          </cell>
        </row>
        <row r="102">
          <cell r="A102" t="str">
            <v>30DTV0160D</v>
          </cell>
          <cell r="B102" t="str">
            <v>5 DE MAYO</v>
          </cell>
          <cell r="C102" t="str">
            <v>MELCHOR OCAMPO S/N</v>
          </cell>
          <cell r="D102" t="str">
            <v>LUIS ENRIQUE MARTINEZ ORTEGA</v>
          </cell>
          <cell r="E102">
            <v>6</v>
          </cell>
          <cell r="F102">
            <v>2</v>
          </cell>
          <cell r="G102" t="str">
            <v>EMILIANO ZAPATA</v>
          </cell>
          <cell r="H102" t="str">
            <v>EL CHICO</v>
          </cell>
        </row>
        <row r="103">
          <cell r="A103" t="str">
            <v>30DTV0080S</v>
          </cell>
          <cell r="B103" t="str">
            <v>ADALBERTO TEJEDA</v>
          </cell>
          <cell r="C103" t="str">
            <v>AVENIDA SALVADOR DIAZ MIRON  NUM. 3</v>
          </cell>
          <cell r="D103" t="str">
            <v>FIDEL MEJIA DIAZ</v>
          </cell>
          <cell r="E103">
            <v>6</v>
          </cell>
          <cell r="F103">
            <v>2</v>
          </cell>
          <cell r="G103" t="str">
            <v>EMILIANO ZAPATA</v>
          </cell>
          <cell r="H103" t="str">
            <v>LA ESTANZUELA</v>
          </cell>
        </row>
        <row r="104">
          <cell r="A104" t="str">
            <v>30DTV0442L</v>
          </cell>
          <cell r="B104" t="str">
            <v>BENITO JUAREZ GARCIA</v>
          </cell>
          <cell r="C104" t="str">
            <v>CONOCIDO</v>
          </cell>
          <cell r="D104" t="str">
            <v>MARIA VICTORICA BARRADAS GONZALEZ</v>
          </cell>
          <cell r="E104">
            <v>6</v>
          </cell>
          <cell r="F104">
            <v>2</v>
          </cell>
          <cell r="G104" t="str">
            <v>EMILIANO ZAPATA</v>
          </cell>
          <cell r="H104" t="str">
            <v>PACHO NUEVO</v>
          </cell>
        </row>
        <row r="105">
          <cell r="A105" t="str">
            <v>30DTV0716K</v>
          </cell>
          <cell r="B105" t="str">
            <v>JUAN ESCUTIA</v>
          </cell>
          <cell r="C105" t="str">
            <v>GREGORIO ALVAREZ RUBIO S/N</v>
          </cell>
          <cell r="D105" t="str">
            <v>LUZ PASOS HERNANDEZ</v>
          </cell>
          <cell r="E105">
            <v>6</v>
          </cell>
          <cell r="F105">
            <v>2</v>
          </cell>
          <cell r="G105" t="str">
            <v>XALAPA</v>
          </cell>
          <cell r="H105" t="str">
            <v>XALAPA-ENRIQUEZ</v>
          </cell>
        </row>
        <row r="106">
          <cell r="A106" t="str">
            <v>30DTV1287Q</v>
          </cell>
          <cell r="B106" t="str">
            <v>JAIME TORRES BODET</v>
          </cell>
          <cell r="C106" t="str">
            <v>PRIMERA PRIVADA DE DIVISION DEL NORTE S/N</v>
          </cell>
          <cell r="D106" t="str">
            <v>ULDA ORTEGA GONZALEZ</v>
          </cell>
          <cell r="E106">
            <v>6</v>
          </cell>
          <cell r="F106">
            <v>2</v>
          </cell>
          <cell r="G106" t="str">
            <v>XALAPA</v>
          </cell>
          <cell r="H106" t="str">
            <v>XALAPA-ENRIQUEZ</v>
          </cell>
        </row>
        <row r="107">
          <cell r="A107" t="str">
            <v>30DTV0204K</v>
          </cell>
          <cell r="B107" t="str">
            <v>JUAN DE LA LUZ ENRIQUEZ</v>
          </cell>
          <cell r="C107" t="str">
            <v>ATRAS DEL JARDIN DE NIÑOS</v>
          </cell>
          <cell r="D107" t="str">
            <v>FLORA FERNANDEZ ORTIZ</v>
          </cell>
          <cell r="E107">
            <v>7</v>
          </cell>
          <cell r="F107">
            <v>4</v>
          </cell>
          <cell r="G107" t="str">
            <v>COTAXTLA</v>
          </cell>
          <cell r="H107" t="str">
            <v>COTAXTLA</v>
          </cell>
        </row>
        <row r="108">
          <cell r="A108" t="str">
            <v>30DTV0798K</v>
          </cell>
          <cell r="B108" t="str">
            <v>MARIA ENRIQUETA CAMARILLO</v>
          </cell>
          <cell r="C108" t="str">
            <v>FRENTE A LA FABRICA DE ACRILIA</v>
          </cell>
          <cell r="D108" t="str">
            <v>EDITH PEREZ VAZQUEZ</v>
          </cell>
          <cell r="E108">
            <v>7</v>
          </cell>
          <cell r="F108">
            <v>4</v>
          </cell>
          <cell r="G108" t="str">
            <v>COTAXTLA</v>
          </cell>
          <cell r="H108" t="str">
            <v>LA CAPILLA</v>
          </cell>
        </row>
        <row r="109">
          <cell r="A109" t="str">
            <v>30DTV0063B</v>
          </cell>
          <cell r="B109" t="str">
            <v>MOISES SAENZ GARZA</v>
          </cell>
          <cell r="C109" t="str">
            <v>NORTE 7 ESQUINA ORIENTE 2</v>
          </cell>
          <cell r="D109" t="str">
            <v>DORIS HERNANDEZ BALDERAS</v>
          </cell>
          <cell r="E109">
            <v>7</v>
          </cell>
          <cell r="F109">
            <v>4</v>
          </cell>
          <cell r="G109" t="str">
            <v>JAMAPA</v>
          </cell>
          <cell r="H109" t="str">
            <v>JAMAPA</v>
          </cell>
        </row>
        <row r="110">
          <cell r="A110" t="str">
            <v>30DTV0457N</v>
          </cell>
          <cell r="B110" t="str">
            <v>QUETZALCOATL</v>
          </cell>
          <cell r="C110" t="str">
            <v>ESQUINA ABARROTES MATAMBA</v>
          </cell>
          <cell r="D110" t="str">
            <v>PIO MANUEL PEREZ HERRERA</v>
          </cell>
          <cell r="E110">
            <v>7</v>
          </cell>
          <cell r="F110">
            <v>4</v>
          </cell>
          <cell r="G110" t="str">
            <v>JAMAPA</v>
          </cell>
          <cell r="H110" t="str">
            <v>LA MATAMBA (HIGUERA DE LAS RAICES)</v>
          </cell>
        </row>
        <row r="111">
          <cell r="A111" t="str">
            <v>30DTV0194U</v>
          </cell>
          <cell r="B111" t="str">
            <v>ADOLFO LOPEZ MATEOS</v>
          </cell>
          <cell r="C111" t="str">
            <v>AVENIDA MIRON Y MOSQUERA S/N</v>
          </cell>
          <cell r="D111" t="str">
            <v>EMILIO VALERIO MARTINEZ</v>
          </cell>
          <cell r="E111">
            <v>7</v>
          </cell>
          <cell r="F111">
            <v>4</v>
          </cell>
          <cell r="G111" t="str">
            <v>MEDELLIN</v>
          </cell>
          <cell r="H111" t="str">
            <v>MEDELLIN</v>
          </cell>
        </row>
        <row r="112">
          <cell r="A112" t="str">
            <v>30DTV1141W</v>
          </cell>
          <cell r="B112" t="str">
            <v>TELESECUNDARIA</v>
          </cell>
          <cell r="C112" t="str">
            <v>CONOCIDO JUNTO AL TANQUE ELEVADO</v>
          </cell>
          <cell r="D112" t="str">
            <v>NORMA RODRIGUEZ YEPEZ</v>
          </cell>
          <cell r="E112">
            <v>7</v>
          </cell>
          <cell r="F112">
            <v>4</v>
          </cell>
          <cell r="G112" t="str">
            <v>MEDELLIN</v>
          </cell>
          <cell r="H112" t="str">
            <v>CEDRAL</v>
          </cell>
        </row>
        <row r="113">
          <cell r="A113" t="str">
            <v>30DTV0591T</v>
          </cell>
          <cell r="B113" t="str">
            <v>CARLOS A. CARRILLO</v>
          </cell>
          <cell r="C113" t="str">
            <v>CERCA DE LA LAGUNA</v>
          </cell>
          <cell r="D113" t="str">
            <v>MARIBEL MORAN DIAZ</v>
          </cell>
          <cell r="E113">
            <v>7</v>
          </cell>
          <cell r="F113">
            <v>4</v>
          </cell>
          <cell r="G113" t="str">
            <v>MEDELLIN</v>
          </cell>
          <cell r="H113" t="str">
            <v>LA LAGUNA Y MONTE DEL CASTILLO</v>
          </cell>
        </row>
        <row r="114">
          <cell r="A114" t="str">
            <v>30DTV0002O</v>
          </cell>
          <cell r="B114" t="str">
            <v>MARTIRES DE RIO BLANCO</v>
          </cell>
          <cell r="C114" t="str">
            <v>AVENIDA 5 DE MAYO NUM. 318</v>
          </cell>
          <cell r="D114" t="str">
            <v>ADA LUZ CRUZ CAMARERO</v>
          </cell>
          <cell r="E114">
            <v>7</v>
          </cell>
          <cell r="F114">
            <v>4</v>
          </cell>
          <cell r="G114" t="str">
            <v>MEDELLIN</v>
          </cell>
          <cell r="H114" t="str">
            <v>PASO DEL TORO</v>
          </cell>
        </row>
        <row r="115">
          <cell r="A115" t="str">
            <v>30DTV1707J</v>
          </cell>
          <cell r="B115" t="str">
            <v>TELESECUNDARIA</v>
          </cell>
          <cell r="C115" t="str">
            <v>CARRETERA BOCA DEL RIO-PLAYA VACAS, KILOMETRO 1 1/2</v>
          </cell>
          <cell r="D115" t="str">
            <v>MARIA DEL PILAR HERMIDA HERNANDEZ</v>
          </cell>
          <cell r="E115">
            <v>7</v>
          </cell>
          <cell r="F115">
            <v>4</v>
          </cell>
          <cell r="G115" t="str">
            <v>MEDELLIN</v>
          </cell>
          <cell r="H115" t="str">
            <v>PRIMERO DE LA PALMA</v>
          </cell>
        </row>
        <row r="116">
          <cell r="A116" t="str">
            <v>30DTV1807I</v>
          </cell>
          <cell r="B116" t="str">
            <v>TELESECUNDARIA</v>
          </cell>
          <cell r="C116" t="str">
            <v>CARRETERA TEJAR MOZAMBIQUE</v>
          </cell>
          <cell r="D116" t="str">
            <v>NELSON ARTURO LEYVA MACIP</v>
          </cell>
          <cell r="E116">
            <v>7</v>
          </cell>
          <cell r="F116">
            <v>4</v>
          </cell>
          <cell r="G116" t="str">
            <v>MEDELLIN</v>
          </cell>
          <cell r="H116" t="str">
            <v>RANCHO DEL PADRE</v>
          </cell>
        </row>
        <row r="117">
          <cell r="A117" t="str">
            <v>30DTV0078D</v>
          </cell>
          <cell r="B117" t="str">
            <v>RAFAEL RAMIREZ</v>
          </cell>
          <cell r="C117" t="str">
            <v>5 DE MAYO S/N</v>
          </cell>
          <cell r="D117" t="str">
            <v>RUBI FRANCISCA ZAPATA RAMOS</v>
          </cell>
          <cell r="E117">
            <v>7</v>
          </cell>
          <cell r="F117">
            <v>4</v>
          </cell>
          <cell r="G117" t="str">
            <v>MEDELLIN</v>
          </cell>
          <cell r="H117" t="str">
            <v>LOS ROBLES</v>
          </cell>
        </row>
        <row r="118">
          <cell r="A118" t="str">
            <v>30DTV0226W</v>
          </cell>
          <cell r="B118" t="str">
            <v>TELESECUNDARIA NUM. 226</v>
          </cell>
          <cell r="C118" t="str">
            <v>ADOLFO SUGASTI NUM. 298</v>
          </cell>
          <cell r="D118" t="str">
            <v>ASUNCION JIMENEZ RAMIREZ</v>
          </cell>
          <cell r="E118">
            <v>7</v>
          </cell>
          <cell r="F118">
            <v>4</v>
          </cell>
          <cell r="G118" t="str">
            <v>VERACRUZ</v>
          </cell>
          <cell r="H118" t="str">
            <v>VERACRUZ</v>
          </cell>
        </row>
        <row r="119">
          <cell r="A119" t="str">
            <v>30DTV0288I</v>
          </cell>
          <cell r="B119" t="str">
            <v>RAFAEL RAMIREZ CASTAÑEDA</v>
          </cell>
          <cell r="C119" t="str">
            <v>CALLE 12 NUM. 1675</v>
          </cell>
          <cell r="D119" t="str">
            <v>VALERIANA SEGURA SUET</v>
          </cell>
          <cell r="E119">
            <v>7</v>
          </cell>
          <cell r="F119">
            <v>4</v>
          </cell>
          <cell r="G119" t="str">
            <v>VERACRUZ</v>
          </cell>
          <cell r="H119" t="str">
            <v>VERACRUZ</v>
          </cell>
        </row>
        <row r="120">
          <cell r="A120" t="str">
            <v>30DTV0988B</v>
          </cell>
          <cell r="B120" t="str">
            <v>ALFONSO REYES</v>
          </cell>
          <cell r="C120" t="str">
            <v>FLOR DE LIS NUM. 659</v>
          </cell>
          <cell r="D120" t="str">
            <v>GERMAN HERNANDEZ FLORES</v>
          </cell>
          <cell r="E120">
            <v>7</v>
          </cell>
          <cell r="F120">
            <v>4</v>
          </cell>
          <cell r="G120" t="str">
            <v>VERACRUZ</v>
          </cell>
          <cell r="H120" t="str">
            <v>VERACRUZ</v>
          </cell>
        </row>
        <row r="121">
          <cell r="A121" t="str">
            <v>30DTV1030R</v>
          </cell>
          <cell r="B121" t="str">
            <v>ALVARO GALVEZ Y FUENTES</v>
          </cell>
          <cell r="C121" t="str">
            <v>LAS ROSAS S/N ESQUINA LUIS M.</v>
          </cell>
          <cell r="D121" t="str">
            <v>MARTHA CRISTINA FLORES ESPINOSA</v>
          </cell>
          <cell r="E121">
            <v>7</v>
          </cell>
          <cell r="F121">
            <v>4</v>
          </cell>
          <cell r="G121" t="str">
            <v>VERACRUZ</v>
          </cell>
          <cell r="H121" t="str">
            <v>VERACRUZ</v>
          </cell>
        </row>
        <row r="122">
          <cell r="A122" t="str">
            <v>30DTV1140X</v>
          </cell>
          <cell r="B122" t="str">
            <v>ROSARIO CASTELLANOS</v>
          </cell>
          <cell r="C122" t="str">
            <v>ZAPOTE MANZANA 65</v>
          </cell>
          <cell r="D122" t="str">
            <v>LUCYNDA CERVANTES MUðIZ</v>
          </cell>
          <cell r="E122">
            <v>7</v>
          </cell>
          <cell r="F122">
            <v>4</v>
          </cell>
          <cell r="G122" t="str">
            <v>VERACRUZ</v>
          </cell>
          <cell r="H122" t="str">
            <v>VERACRUZ</v>
          </cell>
        </row>
        <row r="123">
          <cell r="A123" t="str">
            <v>30DTV1006R</v>
          </cell>
          <cell r="B123" t="str">
            <v>IGNACIO ZARAGOZA DE JESUS</v>
          </cell>
          <cell r="C123" t="str">
            <v>EMILIANO ZAPATA S/N</v>
          </cell>
          <cell r="D123" t="str">
            <v>ALFREDO ACEVEDO PALESTINO</v>
          </cell>
          <cell r="E123">
            <v>8</v>
          </cell>
          <cell r="F123">
            <v>3</v>
          </cell>
          <cell r="G123" t="str">
            <v>ACULTZINGO</v>
          </cell>
          <cell r="H123" t="str">
            <v>TECAMALUCAN</v>
          </cell>
        </row>
        <row r="124">
          <cell r="A124" t="str">
            <v>30DTV0111V</v>
          </cell>
          <cell r="B124" t="str">
            <v>ALVARO GALVEZ Y FUENTES</v>
          </cell>
          <cell r="C124" t="str">
            <v>8 ORIENTE NUM. 10</v>
          </cell>
          <cell r="D124" t="str">
            <v>CONCEPCION RAMIREZ LEON</v>
          </cell>
          <cell r="E124">
            <v>8</v>
          </cell>
          <cell r="F124">
            <v>3</v>
          </cell>
          <cell r="G124" t="str">
            <v>ATZACAN</v>
          </cell>
          <cell r="H124" t="str">
            <v>ATZACAN</v>
          </cell>
        </row>
        <row r="125">
          <cell r="A125" t="str">
            <v>30DTV0646F</v>
          </cell>
          <cell r="B125" t="str">
            <v>ALVARO OBREGON</v>
          </cell>
          <cell r="C125" t="str">
            <v>PROLONGACION DE AVENIDA IGNACIO ZARAGOZA  S/N</v>
          </cell>
          <cell r="D125" t="str">
            <v>BERNARDITA EDUVIGES TABLILLA JIMENEZ</v>
          </cell>
          <cell r="E125">
            <v>8</v>
          </cell>
          <cell r="F125">
            <v>3</v>
          </cell>
          <cell r="G125" t="str">
            <v>ATZACAN</v>
          </cell>
          <cell r="H125" t="str">
            <v>LA SIDRA</v>
          </cell>
        </row>
        <row r="126">
          <cell r="A126" t="str">
            <v>30DTV1801O</v>
          </cell>
          <cell r="B126" t="str">
            <v>TELESECUNDARIA</v>
          </cell>
          <cell r="C126" t="str">
            <v>CAMINO SECUNDARIO A LA PRIMARIA RAFAEL RAMIREZ</v>
          </cell>
          <cell r="D126" t="str">
            <v>GERMAN VICTOR MORALES HERNANDEZ</v>
          </cell>
          <cell r="E126">
            <v>8</v>
          </cell>
          <cell r="F126">
            <v>3</v>
          </cell>
          <cell r="G126" t="str">
            <v>IXHUATLANCILLO</v>
          </cell>
          <cell r="H126" t="str">
            <v>SAN ISIDRO</v>
          </cell>
        </row>
        <row r="127">
          <cell r="A127" t="str">
            <v>30DTV0710Q</v>
          </cell>
          <cell r="B127" t="str">
            <v>MIGUEL HIDALGO Y COSTILLA</v>
          </cell>
          <cell r="C127" t="str">
            <v>BENITO JUAREZ S/N</v>
          </cell>
          <cell r="D127" t="str">
            <v>CARLOS ALBERTO GARCIA FERNANDEZ</v>
          </cell>
          <cell r="E127">
            <v>8</v>
          </cell>
          <cell r="F127">
            <v>3</v>
          </cell>
          <cell r="G127" t="str">
            <v>IXTACZOQUITLAN</v>
          </cell>
          <cell r="H127" t="str">
            <v>CAMPO GRANDE</v>
          </cell>
        </row>
        <row r="128">
          <cell r="A128" t="str">
            <v>30DTV1634H</v>
          </cell>
          <cell r="B128" t="str">
            <v>TELESECUNDARIA</v>
          </cell>
          <cell r="C128" t="str">
            <v>AVENIDA LAZARO CARDENAS S/N</v>
          </cell>
          <cell r="D128" t="str">
            <v>JUAN ENRIQUE CHAVEZ BAUTISTA</v>
          </cell>
          <cell r="E128">
            <v>8</v>
          </cell>
          <cell r="F128">
            <v>3</v>
          </cell>
          <cell r="G128" t="str">
            <v>IXTACZOQUITLAN</v>
          </cell>
          <cell r="H128" t="str">
            <v>CUMBRE DE METLAC</v>
          </cell>
        </row>
        <row r="129">
          <cell r="A129" t="str">
            <v>30DTV0422Y</v>
          </cell>
          <cell r="B129" t="str">
            <v>FRANCISCO I. MADERO</v>
          </cell>
          <cell r="C129" t="str">
            <v>AVENIDA MIGUEL HIDALGO ESQUINA JOSEFA ORTIZ DE DOMINGUEZ</v>
          </cell>
          <cell r="D129" t="str">
            <v>ROMULO IVAN CRUZ SANCHEZ</v>
          </cell>
          <cell r="E129">
            <v>8</v>
          </cell>
          <cell r="F129">
            <v>3</v>
          </cell>
          <cell r="G129" t="str">
            <v>IXTACZOQUITLAN</v>
          </cell>
          <cell r="H129" t="str">
            <v>MOYOAPAN</v>
          </cell>
        </row>
        <row r="130">
          <cell r="A130" t="str">
            <v>30DTV0484K</v>
          </cell>
          <cell r="B130" t="str">
            <v>ARTICULO 123 CONSTITUCIONAL</v>
          </cell>
          <cell r="C130" t="str">
            <v>REFORMA S/N</v>
          </cell>
          <cell r="D130" t="str">
            <v>FELICIANO HERNANDEZ RUIZ</v>
          </cell>
          <cell r="E130">
            <v>8</v>
          </cell>
          <cell r="F130">
            <v>3</v>
          </cell>
          <cell r="G130" t="str">
            <v>IXTACZOQUITLAN</v>
          </cell>
          <cell r="H130" t="str">
            <v>POTRERILLO</v>
          </cell>
        </row>
        <row r="131">
          <cell r="A131" t="str">
            <v>30DTV1705L</v>
          </cell>
          <cell r="B131" t="str">
            <v>TELESECUNDARIA</v>
          </cell>
          <cell r="C131" t="str">
            <v>AGENCIA MUNICIPAL DE LA ESTANCIA</v>
          </cell>
          <cell r="D131" t="str">
            <v>HERIBERTO OMAR RAMIREZ HERNANDEZ</v>
          </cell>
          <cell r="E131">
            <v>8</v>
          </cell>
          <cell r="F131">
            <v>3</v>
          </cell>
          <cell r="G131" t="str">
            <v>MALTRATA</v>
          </cell>
          <cell r="H131" t="str">
            <v>LA ESTANCIA</v>
          </cell>
        </row>
        <row r="132">
          <cell r="A132" t="str">
            <v>30DTV1178J</v>
          </cell>
          <cell r="B132" t="str">
            <v>VICENTE GUERRERO</v>
          </cell>
          <cell r="C132" t="str">
            <v>CONOCIDO</v>
          </cell>
          <cell r="D132" t="str">
            <v>JORGE VERA ROMAN</v>
          </cell>
          <cell r="E132">
            <v>8</v>
          </cell>
          <cell r="F132">
            <v>3</v>
          </cell>
          <cell r="G132" t="str">
            <v>MALTRATA</v>
          </cell>
          <cell r="H132" t="str">
            <v>SAN JOSE SUCHIL</v>
          </cell>
        </row>
        <row r="133">
          <cell r="A133" t="str">
            <v>30DTV1463E</v>
          </cell>
          <cell r="B133" t="str">
            <v>LAURA ESQUIVEL</v>
          </cell>
          <cell r="C133" t="str">
            <v>CONOCIDO</v>
          </cell>
          <cell r="D133" t="str">
            <v>CALOS ALBERTO FLORES MENDOZA</v>
          </cell>
          <cell r="E133">
            <v>8</v>
          </cell>
          <cell r="F133">
            <v>3</v>
          </cell>
          <cell r="G133" t="str">
            <v>MARIANO ESCOBEDO</v>
          </cell>
          <cell r="H133" t="str">
            <v>SAN ISIDRO EL BERRO (EL BERRO)</v>
          </cell>
        </row>
        <row r="134">
          <cell r="A134" t="str">
            <v>30DTV1179I</v>
          </cell>
          <cell r="B134" t="str">
            <v>CITLALTEPETL</v>
          </cell>
          <cell r="C134" t="str">
            <v>CONOCIDO</v>
          </cell>
          <cell r="D134" t="str">
            <v>PEDRO ZAVALETA DE LA LUZ</v>
          </cell>
          <cell r="E134">
            <v>8</v>
          </cell>
          <cell r="F134">
            <v>3</v>
          </cell>
          <cell r="G134" t="str">
            <v>MARIANO ESCOBEDO</v>
          </cell>
          <cell r="H134" t="str">
            <v>CHICOLA</v>
          </cell>
        </row>
        <row r="135">
          <cell r="A135" t="str">
            <v>30DTV1796T</v>
          </cell>
          <cell r="B135" t="str">
            <v>TELESECUNDARIA</v>
          </cell>
          <cell r="C135" t="str">
            <v>JUNTO AL JARDIN DE NIÑOS BENITO JUAREZ</v>
          </cell>
          <cell r="D135" t="str">
            <v>NERI GABRIEL DIAZ VASQUEZ</v>
          </cell>
          <cell r="E135">
            <v>8</v>
          </cell>
          <cell r="F135">
            <v>3</v>
          </cell>
          <cell r="G135" t="str">
            <v>MARIANO ESCOBEDO</v>
          </cell>
          <cell r="H135" t="str">
            <v>EL MIRADOR</v>
          </cell>
        </row>
        <row r="136">
          <cell r="A136" t="str">
            <v>30DTV1795U</v>
          </cell>
          <cell r="B136" t="str">
            <v>TELESECUNDARIA</v>
          </cell>
          <cell r="C136" t="str">
            <v>JUNTO A LA PRIMARIA</v>
          </cell>
          <cell r="D136" t="str">
            <v>FELIX FRANCISCO BARRADAS DOMINGUEZ</v>
          </cell>
          <cell r="E136">
            <v>8</v>
          </cell>
          <cell r="F136">
            <v>3</v>
          </cell>
          <cell r="G136" t="str">
            <v>MARIANO ESCOBEDO</v>
          </cell>
          <cell r="H136" t="str">
            <v>OCOXOTLA</v>
          </cell>
        </row>
        <row r="137">
          <cell r="A137" t="str">
            <v>30DTV1464D</v>
          </cell>
          <cell r="B137" t="str">
            <v>TEXCAMALACA</v>
          </cell>
          <cell r="C137" t="str">
            <v>CONOCIDO</v>
          </cell>
          <cell r="D137" t="str">
            <v>CARLOS VAZQUEZ LUCAS</v>
          </cell>
          <cell r="E137">
            <v>8</v>
          </cell>
          <cell r="F137">
            <v>3</v>
          </cell>
          <cell r="G137" t="str">
            <v>MARIANO ESCOBEDO</v>
          </cell>
          <cell r="H137" t="str">
            <v>TEXMALACA</v>
          </cell>
        </row>
        <row r="138">
          <cell r="A138" t="str">
            <v>30DTV1465C</v>
          </cell>
          <cell r="B138" t="str">
            <v>FRANCISCO GONZALEZ BOCANEGRA</v>
          </cell>
          <cell r="C138" t="str">
            <v>CONOCIDO</v>
          </cell>
          <cell r="D138" t="str">
            <v>BLANCA MARICELA MARTINEZ PEREZ</v>
          </cell>
          <cell r="E138">
            <v>8</v>
          </cell>
          <cell r="F138">
            <v>3</v>
          </cell>
          <cell r="G138" t="str">
            <v>MARIANO ESCOBEDO</v>
          </cell>
          <cell r="H138" t="str">
            <v>XIQUILA</v>
          </cell>
        </row>
        <row r="139">
          <cell r="A139" t="str">
            <v>30DTV1802N</v>
          </cell>
          <cell r="B139" t="str">
            <v>REFORMA AGRARIA</v>
          </cell>
          <cell r="C139" t="str">
            <v>CAMINO A PALO VERDE S/N</v>
          </cell>
          <cell r="D139" t="str">
            <v>MAGALY HERNANDEZ HERNANDEZ</v>
          </cell>
          <cell r="E139">
            <v>8</v>
          </cell>
          <cell r="F139">
            <v>3</v>
          </cell>
          <cell r="G139" t="str">
            <v>NOGALES</v>
          </cell>
          <cell r="H139" t="str">
            <v>REFORMA</v>
          </cell>
        </row>
        <row r="140">
          <cell r="A140" t="str">
            <v>30DTV1534I</v>
          </cell>
          <cell r="B140" t="str">
            <v>ISABEL LA CATOLICA</v>
          </cell>
          <cell r="C140" t="str">
            <v>CONOCIDO</v>
          </cell>
          <cell r="D140" t="str">
            <v>CARLOS ROSAS GASPAR</v>
          </cell>
          <cell r="E140">
            <v>8</v>
          </cell>
          <cell r="F140">
            <v>3</v>
          </cell>
          <cell r="G140" t="str">
            <v>NOGALES</v>
          </cell>
          <cell r="H140" t="str">
            <v>LA ROSA</v>
          </cell>
        </row>
        <row r="141">
          <cell r="A141" t="str">
            <v>30DTV0851P</v>
          </cell>
          <cell r="B141" t="str">
            <v>FELIPE CARRILLO PUERTO</v>
          </cell>
          <cell r="C141" t="str">
            <v>MIGUEL HIDALGO S/N</v>
          </cell>
          <cell r="D141" t="str">
            <v>LETICIA VALENCIA BARRAGAN</v>
          </cell>
          <cell r="E141">
            <v>8</v>
          </cell>
          <cell r="F141">
            <v>3</v>
          </cell>
          <cell r="G141" t="str">
            <v>NOGALES</v>
          </cell>
          <cell r="H141" t="str">
            <v>TAZA DE AGUA OJO ZARCO</v>
          </cell>
        </row>
        <row r="142">
          <cell r="A142" t="str">
            <v>30DTV1642Q</v>
          </cell>
          <cell r="B142" t="str">
            <v>TELESECUNDARIA</v>
          </cell>
          <cell r="C142" t="str">
            <v>MIGUEL HIDALGO</v>
          </cell>
          <cell r="D142" t="str">
            <v>MERCEDES REYES MENDEZ</v>
          </cell>
          <cell r="E142">
            <v>8</v>
          </cell>
          <cell r="F142">
            <v>3</v>
          </cell>
          <cell r="G142" t="str">
            <v>NOGALES</v>
          </cell>
          <cell r="H142" t="str">
            <v>EMILIANO ZAPATA</v>
          </cell>
        </row>
        <row r="143">
          <cell r="A143" t="str">
            <v>30DTV0462Z</v>
          </cell>
          <cell r="B143" t="str">
            <v>NARCISO MENDOZA</v>
          </cell>
          <cell r="C143" t="str">
            <v>AVENIDA INDEPENDENCIA S/N</v>
          </cell>
          <cell r="D143" t="str">
            <v>ROSA AURORA LEAL HERRERA</v>
          </cell>
          <cell r="E143">
            <v>8</v>
          </cell>
          <cell r="F143">
            <v>3</v>
          </cell>
          <cell r="G143" t="str">
            <v>LA PERLA</v>
          </cell>
          <cell r="H143" t="str">
            <v>LA PERLA</v>
          </cell>
        </row>
        <row r="144">
          <cell r="A144" t="str">
            <v>30DTV1643P</v>
          </cell>
          <cell r="B144" t="str">
            <v>TELESECUNDARIA</v>
          </cell>
          <cell r="C144" t="str">
            <v>10 DE MAYO</v>
          </cell>
          <cell r="D144" t="str">
            <v>MARCO ARTURO RODRIGUEZ AVILA</v>
          </cell>
          <cell r="E144">
            <v>8</v>
          </cell>
          <cell r="F144">
            <v>3</v>
          </cell>
          <cell r="G144" t="str">
            <v>LA PERLA</v>
          </cell>
          <cell r="H144" t="str">
            <v>MACUILACATL GRANDE</v>
          </cell>
        </row>
        <row r="145">
          <cell r="A145" t="str">
            <v>30DTV1031Q</v>
          </cell>
          <cell r="B145" t="str">
            <v>FRANCISCO JAVIER MINA</v>
          </cell>
          <cell r="C145" t="str">
            <v>5 DE MAYO LOTE 122</v>
          </cell>
          <cell r="D145" t="str">
            <v>VICTORIA ELSA TORRES GONZALEZ</v>
          </cell>
          <cell r="E145">
            <v>8</v>
          </cell>
          <cell r="F145">
            <v>3</v>
          </cell>
          <cell r="G145" t="str">
            <v>RIO BLANCO</v>
          </cell>
          <cell r="H145" t="str">
            <v>RIO BLANCO</v>
          </cell>
        </row>
        <row r="146">
          <cell r="A146" t="str">
            <v>30DTV0172I</v>
          </cell>
          <cell r="B146" t="str">
            <v>CUAUHTEMOC</v>
          </cell>
          <cell r="C146" t="str">
            <v>INDEPENDENCIA S/N</v>
          </cell>
          <cell r="D146" t="str">
            <v>IGNACIO VELAZQUEZ ENAMORADO</v>
          </cell>
          <cell r="E146">
            <v>9</v>
          </cell>
          <cell r="F146">
            <v>10</v>
          </cell>
          <cell r="G146" t="str">
            <v>TIERRA BLANCA</v>
          </cell>
          <cell r="H146" t="str">
            <v>TIERRA BLANCA</v>
          </cell>
        </row>
        <row r="147">
          <cell r="A147" t="str">
            <v>30DTV1054A</v>
          </cell>
          <cell r="B147" t="str">
            <v>JUANA DE ASBAJE Y RAMIREZ</v>
          </cell>
          <cell r="C147" t="str">
            <v>CASTULO DELFIN LARA S/N</v>
          </cell>
          <cell r="D147" t="str">
            <v>ANA MARIA DE LOS ANGELES MARTINEZ ARAGO</v>
          </cell>
          <cell r="E147">
            <v>9</v>
          </cell>
          <cell r="F147">
            <v>10</v>
          </cell>
          <cell r="G147" t="str">
            <v>TIERRA BLANCA</v>
          </cell>
          <cell r="H147" t="str">
            <v>TIERRA BLANCA</v>
          </cell>
        </row>
        <row r="148">
          <cell r="A148" t="str">
            <v>30DTV0344K</v>
          </cell>
          <cell r="B148" t="str">
            <v>EMILIANO ZAPATA</v>
          </cell>
          <cell r="C148" t="str">
            <v>CONOCIDO</v>
          </cell>
          <cell r="D148" t="str">
            <v>MELITON UTRERA RODRIGUEZ</v>
          </cell>
          <cell r="E148">
            <v>9</v>
          </cell>
          <cell r="F148">
            <v>10</v>
          </cell>
          <cell r="G148" t="str">
            <v>TIERRA BLANCA</v>
          </cell>
          <cell r="H148" t="str">
            <v>BENITO JUAREZ</v>
          </cell>
        </row>
        <row r="149">
          <cell r="A149" t="str">
            <v>30DTV0838V</v>
          </cell>
          <cell r="B149" t="str">
            <v>JUAN ESCUTIA</v>
          </cell>
          <cell r="C149" t="str">
            <v>CONOCIDO</v>
          </cell>
          <cell r="D149" t="str">
            <v>GREGORIO HERRERA GARCIA</v>
          </cell>
          <cell r="E149">
            <v>9</v>
          </cell>
          <cell r="F149">
            <v>10</v>
          </cell>
          <cell r="G149" t="str">
            <v>TIERRA BLANCA</v>
          </cell>
          <cell r="H149" t="str">
            <v>LA CAMPANA (LA ICA)</v>
          </cell>
        </row>
        <row r="150">
          <cell r="A150" t="str">
            <v>30DTV0323Y</v>
          </cell>
          <cell r="B150" t="str">
            <v>CRISTOBAL COLON</v>
          </cell>
          <cell r="C150" t="str">
            <v>CONOCIDO</v>
          </cell>
          <cell r="D150" t="str">
            <v>JUANA CRUZ VICENCIO</v>
          </cell>
          <cell r="E150">
            <v>9</v>
          </cell>
          <cell r="F150">
            <v>10</v>
          </cell>
          <cell r="G150" t="str">
            <v>TIERRA BLANCA</v>
          </cell>
          <cell r="H150" t="str">
            <v>PASO COYOTE (EL COYOTE)</v>
          </cell>
        </row>
        <row r="151">
          <cell r="A151" t="str">
            <v>30DTV0518K</v>
          </cell>
          <cell r="B151" t="str">
            <v>JOSEFA ORTIZ DE DOMINGUEZ</v>
          </cell>
          <cell r="C151" t="str">
            <v>CONOCIDO</v>
          </cell>
          <cell r="D151" t="str">
            <v>ABRAHAM VAZQUEZ MARTINEZ</v>
          </cell>
          <cell r="E151">
            <v>9</v>
          </cell>
          <cell r="F151">
            <v>10</v>
          </cell>
          <cell r="G151" t="str">
            <v>TIERRA BLANCA</v>
          </cell>
          <cell r="H151" t="str">
            <v>LAZARO CARDENAS</v>
          </cell>
        </row>
        <row r="152">
          <cell r="A152" t="str">
            <v>30DTV0981I</v>
          </cell>
          <cell r="B152" t="str">
            <v>MISAEL DOMINGUEZ LOPEZ</v>
          </cell>
          <cell r="C152" t="str">
            <v>CONOCIDO</v>
          </cell>
          <cell r="D152" t="str">
            <v>ABRAHAM VAZQUEZ MARTINEZ</v>
          </cell>
          <cell r="E152">
            <v>9</v>
          </cell>
          <cell r="F152">
            <v>10</v>
          </cell>
          <cell r="G152" t="str">
            <v>TIERRA BLANCA</v>
          </cell>
          <cell r="H152" t="str">
            <v>HUIXCOLOTLA</v>
          </cell>
        </row>
        <row r="153">
          <cell r="A153" t="str">
            <v>30DTV0254S</v>
          </cell>
          <cell r="B153" t="str">
            <v>JOSE MARIA MORELOS Y PAVON</v>
          </cell>
          <cell r="C153" t="str">
            <v>CONOCIDO</v>
          </cell>
          <cell r="D153" t="str">
            <v>MARIA DE LA CRUZ SANCHEZ GARCIA</v>
          </cell>
          <cell r="E153">
            <v>9</v>
          </cell>
          <cell r="F153">
            <v>10</v>
          </cell>
          <cell r="G153" t="str">
            <v>TIERRA BLANCA</v>
          </cell>
          <cell r="H153" t="str">
            <v>EL JICARO</v>
          </cell>
        </row>
        <row r="154">
          <cell r="A154" t="str">
            <v>30DTV0167X</v>
          </cell>
          <cell r="B154" t="str">
            <v>ALFONSO ARROYO FLORES</v>
          </cell>
          <cell r="C154" t="str">
            <v>FRENTE AL PARQUE</v>
          </cell>
          <cell r="D154" t="str">
            <v>MARGARITA CORDOVA TAMAYO</v>
          </cell>
          <cell r="E154">
            <v>9</v>
          </cell>
          <cell r="F154">
            <v>10</v>
          </cell>
          <cell r="G154" t="str">
            <v>TIERRA BLANCA</v>
          </cell>
          <cell r="H154" t="str">
            <v>JOACHIN</v>
          </cell>
        </row>
        <row r="155">
          <cell r="A155" t="str">
            <v>30DTV0321Z</v>
          </cell>
          <cell r="B155" t="str">
            <v>VALENTIN GOMEZ FARIAS</v>
          </cell>
          <cell r="C155" t="str">
            <v>CONOCIDO</v>
          </cell>
          <cell r="D155" t="str">
            <v>MARINA BELEN CORTES HERNANDEZ</v>
          </cell>
          <cell r="E155">
            <v>9</v>
          </cell>
          <cell r="F155">
            <v>10</v>
          </cell>
          <cell r="G155" t="str">
            <v>TIERRA BLANCA</v>
          </cell>
          <cell r="H155" t="str">
            <v>PASO JULIAN</v>
          </cell>
        </row>
        <row r="156">
          <cell r="A156" t="str">
            <v>30DTV0888C</v>
          </cell>
          <cell r="B156" t="str">
            <v>BENITO JUAREZ GARCIA</v>
          </cell>
          <cell r="C156" t="str">
            <v>CALLE PRINCIPAL</v>
          </cell>
          <cell r="D156" t="str">
            <v>JOSE LINO DE LA FUENTE PERALTA</v>
          </cell>
          <cell r="E156">
            <v>9</v>
          </cell>
          <cell r="F156">
            <v>10</v>
          </cell>
          <cell r="G156" t="str">
            <v>TIERRA BLANCA</v>
          </cell>
          <cell r="H156" t="str">
            <v>QUECHULEÑO</v>
          </cell>
        </row>
        <row r="157">
          <cell r="A157" t="str">
            <v>30DTV0277C</v>
          </cell>
          <cell r="B157" t="str">
            <v>GABRIELA MISTRAL</v>
          </cell>
          <cell r="C157" t="str">
            <v>CONOCIDO</v>
          </cell>
          <cell r="D157" t="str">
            <v>JOSE MANUEL MORENO PEÐA</v>
          </cell>
          <cell r="E157">
            <v>9</v>
          </cell>
          <cell r="F157">
            <v>10</v>
          </cell>
          <cell r="G157" t="str">
            <v>TIERRA BLANCA</v>
          </cell>
          <cell r="H157" t="str">
            <v>SERENILLA DE ABAJO</v>
          </cell>
        </row>
        <row r="158">
          <cell r="A158" t="str">
            <v>30DTV0042P</v>
          </cell>
          <cell r="B158" t="str">
            <v>BENITO JUAREZ GARCIA</v>
          </cell>
          <cell r="C158" t="str">
            <v>CONOCIDO</v>
          </cell>
          <cell r="D158" t="str">
            <v>RENE HERNANDEZ CORRO</v>
          </cell>
          <cell r="E158">
            <v>9</v>
          </cell>
          <cell r="F158">
            <v>10</v>
          </cell>
          <cell r="G158" t="str">
            <v>TIERRA BLANCA</v>
          </cell>
          <cell r="H158" t="str">
            <v>SALVADOR GONZALO GARCIA</v>
          </cell>
        </row>
        <row r="159">
          <cell r="A159" t="str">
            <v>30DTV0086M</v>
          </cell>
          <cell r="B159" t="str">
            <v>EMILIANO ZAPATA</v>
          </cell>
          <cell r="C159" t="str">
            <v>CONOCIDO</v>
          </cell>
          <cell r="D159" t="str">
            <v>ADRIAN MACARIO GAMBOA CERVANTES</v>
          </cell>
          <cell r="E159">
            <v>9</v>
          </cell>
          <cell r="F159">
            <v>10</v>
          </cell>
          <cell r="G159" t="str">
            <v>TIERRA BLANCA</v>
          </cell>
          <cell r="H159" t="str">
            <v>LOS MANGOS</v>
          </cell>
        </row>
        <row r="160">
          <cell r="A160" t="str">
            <v>30DTV0037D</v>
          </cell>
          <cell r="B160" t="str">
            <v>JUSTO SIERRA</v>
          </cell>
          <cell r="C160" t="str">
            <v>PROGRESO NUM. 4</v>
          </cell>
          <cell r="D160" t="str">
            <v>IGNACIO BERNAL</v>
          </cell>
          <cell r="E160">
            <v>10</v>
          </cell>
          <cell r="F160">
            <v>9</v>
          </cell>
          <cell r="G160" t="str">
            <v>CATEMACO</v>
          </cell>
          <cell r="H160" t="str">
            <v>CATEMACO</v>
          </cell>
        </row>
        <row r="161">
          <cell r="A161" t="str">
            <v>30DTV0692R</v>
          </cell>
          <cell r="B161" t="str">
            <v>ALFONSO REYES</v>
          </cell>
          <cell r="C161" t="str">
            <v>FRENTE A LA CLINICA DEL IMSS</v>
          </cell>
          <cell r="D161" t="str">
            <v>YADIRA DELGADO SALVADOR</v>
          </cell>
          <cell r="E161">
            <v>10</v>
          </cell>
          <cell r="F161">
            <v>9</v>
          </cell>
          <cell r="G161" t="str">
            <v>CATEMACO</v>
          </cell>
          <cell r="H161" t="str">
            <v>LA CANDELARIA</v>
          </cell>
        </row>
        <row r="162">
          <cell r="A162" t="str">
            <v>30DTV0074H</v>
          </cell>
          <cell r="B162" t="str">
            <v>JOSE VASCONCELOS</v>
          </cell>
          <cell r="C162" t="str">
            <v>CONOCIDO</v>
          </cell>
          <cell r="D162" t="str">
            <v>TANIA MARIA HERNANDEZ VARGAS</v>
          </cell>
          <cell r="E162">
            <v>10</v>
          </cell>
          <cell r="F162">
            <v>9</v>
          </cell>
          <cell r="G162" t="str">
            <v>CATEMACO</v>
          </cell>
          <cell r="H162" t="str">
            <v>DOS AMATES</v>
          </cell>
        </row>
        <row r="163">
          <cell r="A163" t="str">
            <v>30DTV0405H</v>
          </cell>
          <cell r="B163" t="str">
            <v>20 DE NOVIEMBRE</v>
          </cell>
          <cell r="C163" t="str">
            <v>CARRETERA FEDERAL DEL GOLFO</v>
          </cell>
          <cell r="D163" t="str">
            <v>REYNALDA CRUZ PALAFOX</v>
          </cell>
          <cell r="E163">
            <v>10</v>
          </cell>
          <cell r="F163">
            <v>9</v>
          </cell>
          <cell r="G163" t="str">
            <v>CATEMACO</v>
          </cell>
          <cell r="H163" t="str">
            <v>MAXACAPAN</v>
          </cell>
        </row>
        <row r="164">
          <cell r="A164" t="str">
            <v>30DTV0406G</v>
          </cell>
          <cell r="B164" t="str">
            <v>ALVARO GALVEZ Y FUENTES</v>
          </cell>
          <cell r="C164" t="str">
            <v>LIC. ALVARO GALVEZ Y FUENTES</v>
          </cell>
          <cell r="D164" t="str">
            <v>ARMANDO SEBA PEREZ</v>
          </cell>
          <cell r="E164">
            <v>10</v>
          </cell>
          <cell r="F164">
            <v>9</v>
          </cell>
          <cell r="G164" t="str">
            <v>CATEMACO</v>
          </cell>
          <cell r="H164" t="str">
            <v>TEBANCA</v>
          </cell>
        </row>
        <row r="165">
          <cell r="A165" t="str">
            <v>30DTV0861W</v>
          </cell>
          <cell r="B165" t="str">
            <v>OTILIO MONTANO</v>
          </cell>
          <cell r="C165" t="str">
            <v>JOSE MARIA MORELOS Y PAVON S/N ESQUINA HILARIO C. SALAS</v>
          </cell>
          <cell r="D165" t="str">
            <v>RODOLFO SEBA QUINO</v>
          </cell>
          <cell r="E165">
            <v>10</v>
          </cell>
          <cell r="F165">
            <v>9</v>
          </cell>
          <cell r="G165" t="str">
            <v>CATEMACO</v>
          </cell>
          <cell r="H165" t="str">
            <v>LA VICTORIA</v>
          </cell>
        </row>
        <row r="166">
          <cell r="A166" t="str">
            <v>30DTV0559K</v>
          </cell>
          <cell r="B166" t="str">
            <v>MANUEL GUTIERREZ NAJERA</v>
          </cell>
          <cell r="C166" t="str">
            <v>20 DE NOVIEMBRE S/N</v>
          </cell>
          <cell r="D166" t="str">
            <v>EDGAR RUBEN ESCOBAR ARTIGAS</v>
          </cell>
          <cell r="E166">
            <v>10</v>
          </cell>
          <cell r="F166">
            <v>9</v>
          </cell>
          <cell r="G166" t="str">
            <v>CATEMACO</v>
          </cell>
          <cell r="H166" t="str">
            <v>ZAPOAPAN DE CABAÑAS</v>
          </cell>
        </row>
        <row r="167">
          <cell r="A167" t="str">
            <v>30DTV0673C</v>
          </cell>
          <cell r="B167" t="str">
            <v>24 DE FEBRERO</v>
          </cell>
          <cell r="C167" t="str">
            <v>CONOCIDO FRENTE A LA CLINICA IMSS</v>
          </cell>
          <cell r="D167" t="str">
            <v>ALMA CHRISTHIAN MONTERO AMADOR</v>
          </cell>
          <cell r="E167">
            <v>10</v>
          </cell>
          <cell r="F167">
            <v>9</v>
          </cell>
          <cell r="G167" t="str">
            <v>SAN ANDRES TUXTLA</v>
          </cell>
          <cell r="H167" t="str">
            <v>ABREVADERO</v>
          </cell>
        </row>
        <row r="168">
          <cell r="A168" t="str">
            <v>30DTV0807B</v>
          </cell>
          <cell r="B168" t="str">
            <v>SOR JUANA INES DE LA CRUZ</v>
          </cell>
          <cell r="C168" t="str">
            <v>CARRETERA A COMOAPAN 751</v>
          </cell>
          <cell r="D168" t="str">
            <v>ESTEBAN PALACIOS CRUZ</v>
          </cell>
          <cell r="E168">
            <v>10</v>
          </cell>
          <cell r="F168">
            <v>9</v>
          </cell>
          <cell r="G168" t="str">
            <v>SAN ANDRES TUXTLA</v>
          </cell>
          <cell r="H168" t="str">
            <v>CALERIA</v>
          </cell>
        </row>
        <row r="169">
          <cell r="A169" t="str">
            <v>30DTV1430N</v>
          </cell>
          <cell r="B169" t="str">
            <v>5 DE FEBRERO</v>
          </cell>
          <cell r="C169" t="str">
            <v>CONOCIDO JUNTO A LA CASA DE SALUD</v>
          </cell>
          <cell r="D169" t="str">
            <v>LEOVANI GERVACIO BUSTAMANTE HERNANDEZ</v>
          </cell>
          <cell r="E169">
            <v>10</v>
          </cell>
          <cell r="F169">
            <v>9</v>
          </cell>
          <cell r="G169" t="str">
            <v>SAN ANDRES TUXTLA</v>
          </cell>
          <cell r="H169" t="str">
            <v>CUESTA AMARILLA</v>
          </cell>
        </row>
        <row r="170">
          <cell r="A170" t="str">
            <v>30DTV1580U</v>
          </cell>
          <cell r="B170" t="str">
            <v>NIÐOS HEROES</v>
          </cell>
          <cell r="C170" t="str">
            <v>CONOCIDO JUNTO AL CAMPO DE FUTBOL</v>
          </cell>
          <cell r="D170" t="str">
            <v>ANDRES ISAIAS SANTIAGO CASTAÐEDA</v>
          </cell>
          <cell r="E170">
            <v>10</v>
          </cell>
          <cell r="F170">
            <v>9</v>
          </cell>
          <cell r="G170" t="str">
            <v>SAN ANDRES TUXTLA</v>
          </cell>
          <cell r="H170" t="str">
            <v>CUESTA DE LAJA</v>
          </cell>
        </row>
        <row r="171">
          <cell r="A171" t="str">
            <v>30DTV1431M</v>
          </cell>
          <cell r="B171" t="str">
            <v>NARCISO MENDOZA</v>
          </cell>
          <cell r="C171" t="str">
            <v>CONOCIDO AL LADO DEL CAMPO</v>
          </cell>
          <cell r="D171" t="str">
            <v>SUSANA AGUILAR ALVAREZ</v>
          </cell>
          <cell r="E171">
            <v>10</v>
          </cell>
          <cell r="F171">
            <v>9</v>
          </cell>
          <cell r="G171" t="str">
            <v>SAN ANDRES TUXTLA</v>
          </cell>
          <cell r="H171" t="str">
            <v>LAGUNETA</v>
          </cell>
        </row>
        <row r="172">
          <cell r="A172" t="str">
            <v>30DTV1432L</v>
          </cell>
          <cell r="B172" t="str">
            <v>JAIME NUNO</v>
          </cell>
          <cell r="C172" t="str">
            <v>CONOCIDO CERCA DE LA MICESLANEA GAVI</v>
          </cell>
          <cell r="D172" t="str">
            <v>LINA SILVIA CELJIL MIL</v>
          </cell>
          <cell r="E172">
            <v>10</v>
          </cell>
          <cell r="F172">
            <v>9</v>
          </cell>
          <cell r="G172" t="str">
            <v>SAN ANDRES TUXTLA</v>
          </cell>
          <cell r="H172" t="str">
            <v>LOS NARANJOS</v>
          </cell>
        </row>
        <row r="173">
          <cell r="A173" t="str">
            <v>30DTV1433K</v>
          </cell>
          <cell r="B173" t="str">
            <v>ISIDRO TORRES MORENO</v>
          </cell>
          <cell r="C173" t="str">
            <v>CONOCIDO ENTRANDO A LA COMUNIDAD</v>
          </cell>
          <cell r="D173" t="str">
            <v>MARIA ELENA AGUAS MORENO</v>
          </cell>
          <cell r="E173">
            <v>10</v>
          </cell>
          <cell r="F173">
            <v>9</v>
          </cell>
          <cell r="G173" t="str">
            <v>SAN ANDRES TUXTLA</v>
          </cell>
          <cell r="H173" t="str">
            <v>EL REMOLINO</v>
          </cell>
        </row>
        <row r="174">
          <cell r="A174" t="str">
            <v>30DTV0879V</v>
          </cell>
          <cell r="B174" t="str">
            <v>BENITO JUAREZ GARCIA</v>
          </cell>
          <cell r="C174" t="str">
            <v>ATRAS DEL MODULO DE POLICIA</v>
          </cell>
          <cell r="D174" t="str">
            <v>MANUEL CRUZ ALBAðIL</v>
          </cell>
          <cell r="E174">
            <v>10</v>
          </cell>
          <cell r="F174">
            <v>9</v>
          </cell>
          <cell r="G174" t="str">
            <v>SAN ANDRES TUXTLA</v>
          </cell>
          <cell r="H174" t="str">
            <v>TULAPAN</v>
          </cell>
        </row>
        <row r="175">
          <cell r="A175" t="str">
            <v>30DTV0883H</v>
          </cell>
          <cell r="B175" t="str">
            <v>JOSE MARIA MORELOS Y PAVON</v>
          </cell>
          <cell r="C175" t="str">
            <v>CONOCIDO</v>
          </cell>
          <cell r="D175" t="str">
            <v>RODOLFO ALFONSO HERNANDEZ RAMIREZ</v>
          </cell>
          <cell r="E175">
            <v>11</v>
          </cell>
          <cell r="F175">
            <v>24</v>
          </cell>
          <cell r="G175" t="str">
            <v>TANTOYUCA</v>
          </cell>
          <cell r="H175" t="str">
            <v>CHOTE ARRIBA</v>
          </cell>
        </row>
        <row r="176">
          <cell r="A176" t="str">
            <v>30DTV1583R</v>
          </cell>
          <cell r="B176" t="str">
            <v>MIGUEL DE CERVANTES</v>
          </cell>
          <cell r="C176" t="str">
            <v>CONOCIDO</v>
          </cell>
          <cell r="D176" t="str">
            <v>GABRIEL REYNA GUERRERO</v>
          </cell>
          <cell r="E176">
            <v>11</v>
          </cell>
          <cell r="F176">
            <v>24</v>
          </cell>
          <cell r="G176" t="str">
            <v>TANTOYUCA</v>
          </cell>
          <cell r="H176" t="str">
            <v>EL LIMON</v>
          </cell>
        </row>
        <row r="177">
          <cell r="A177" t="str">
            <v>30DTV0639W</v>
          </cell>
          <cell r="B177" t="str">
            <v>SOR JUANA INES DE LA CRUZ</v>
          </cell>
          <cell r="C177" t="str">
            <v>SOR JUANA INES DE LA CRUZ</v>
          </cell>
          <cell r="D177" t="str">
            <v>ELVIRA AZUARA SANCHEZ</v>
          </cell>
          <cell r="E177">
            <v>11</v>
          </cell>
          <cell r="F177">
            <v>24</v>
          </cell>
          <cell r="G177" t="str">
            <v>TANTOYUCA</v>
          </cell>
          <cell r="H177" t="str">
            <v>XILOXUCHITL</v>
          </cell>
        </row>
        <row r="178">
          <cell r="A178" t="str">
            <v>30DTV0501K</v>
          </cell>
          <cell r="B178" t="str">
            <v>EMILIANO ZAPATA</v>
          </cell>
          <cell r="C178" t="str">
            <v>CARRETERA TANTOYUCA-PLATON SANCHEZ KILOMETRO 8</v>
          </cell>
          <cell r="D178" t="str">
            <v>REYNA GUERRERO GABRIEL</v>
          </cell>
          <cell r="E178">
            <v>11</v>
          </cell>
          <cell r="F178">
            <v>24</v>
          </cell>
          <cell r="G178" t="str">
            <v>TANTOYUCA</v>
          </cell>
          <cell r="H178" t="str">
            <v>TEPATLAN</v>
          </cell>
        </row>
        <row r="179">
          <cell r="A179" t="str">
            <v>30DTV1497V</v>
          </cell>
          <cell r="B179" t="str">
            <v>VENUSTIANO CARRANZA</v>
          </cell>
          <cell r="C179" t="str">
            <v>CONOCIDO</v>
          </cell>
          <cell r="D179" t="str">
            <v>CLEMENTINA HERVER ESCOBAR</v>
          </cell>
          <cell r="E179">
            <v>11</v>
          </cell>
          <cell r="F179">
            <v>24</v>
          </cell>
          <cell r="G179" t="str">
            <v>TANTOYUCA</v>
          </cell>
          <cell r="H179" t="str">
            <v>EL LINDERO</v>
          </cell>
        </row>
        <row r="180">
          <cell r="A180" t="str">
            <v>30DTV1651Y</v>
          </cell>
          <cell r="B180" t="str">
            <v>TELESECUNDARIA</v>
          </cell>
          <cell r="C180" t="str">
            <v>FRENTE A LA PRIMARIA</v>
          </cell>
          <cell r="D180" t="str">
            <v>LIBRADO PEREZ MORALES</v>
          </cell>
          <cell r="E180">
            <v>11</v>
          </cell>
          <cell r="F180">
            <v>24</v>
          </cell>
          <cell r="G180" t="str">
            <v>TANTOYUCA</v>
          </cell>
          <cell r="H180" t="str">
            <v>CORRAL VIEJO LA LIMA</v>
          </cell>
        </row>
        <row r="181">
          <cell r="A181" t="str">
            <v>30DTV1027D</v>
          </cell>
          <cell r="B181" t="str">
            <v>RAUL LINCE MEDELLIN</v>
          </cell>
          <cell r="C181" t="str">
            <v>REVOLUCION S/N</v>
          </cell>
          <cell r="D181" t="str">
            <v>RODOLFO ALFONSO RAMIREZ</v>
          </cell>
          <cell r="E181">
            <v>11</v>
          </cell>
          <cell r="F181">
            <v>24</v>
          </cell>
          <cell r="G181" t="str">
            <v>TANTOYUCA</v>
          </cell>
          <cell r="H181" t="str">
            <v>LA ESTANZUELA</v>
          </cell>
        </row>
        <row r="182">
          <cell r="A182" t="str">
            <v>30DTV1364E</v>
          </cell>
          <cell r="B182" t="str">
            <v>FRANCISCO MOROSINI CORDERO</v>
          </cell>
          <cell r="C182" t="str">
            <v>CONOCIDO</v>
          </cell>
          <cell r="D182" t="str">
            <v>JAIME ERNESTO DEL ANGEL CASTILLO</v>
          </cell>
          <cell r="E182">
            <v>11</v>
          </cell>
          <cell r="F182">
            <v>24</v>
          </cell>
          <cell r="G182" t="str">
            <v>TANTOYUCA</v>
          </cell>
          <cell r="H182" t="str">
            <v>GUAYABO CHICO</v>
          </cell>
        </row>
        <row r="183">
          <cell r="A183" t="str">
            <v>30DTV1787L</v>
          </cell>
          <cell r="B183" t="str">
            <v>TELESECUNDARIA</v>
          </cell>
          <cell r="C183" t="str">
            <v>AL LADO DE LA CONASUPO</v>
          </cell>
          <cell r="D183" t="str">
            <v>GRACIELA MATEOS MELGOZA</v>
          </cell>
          <cell r="E183">
            <v>11</v>
          </cell>
          <cell r="F183">
            <v>24</v>
          </cell>
          <cell r="G183" t="str">
            <v>TANTOYUCA</v>
          </cell>
          <cell r="H183" t="str">
            <v>GUAYALAR</v>
          </cell>
        </row>
        <row r="184">
          <cell r="A184" t="str">
            <v>30DTV0777Y</v>
          </cell>
          <cell r="B184" t="str">
            <v>JUAN DE LA BARRERA</v>
          </cell>
          <cell r="C184" t="str">
            <v>CONOCIDO</v>
          </cell>
          <cell r="D184" t="str">
            <v>LIBRADO PEREZ MORALES</v>
          </cell>
          <cell r="E184">
            <v>11</v>
          </cell>
          <cell r="F184">
            <v>24</v>
          </cell>
          <cell r="G184" t="str">
            <v>TANTOYUCA</v>
          </cell>
          <cell r="H184" t="str">
            <v>MAGUEY SEGUNDO</v>
          </cell>
        </row>
        <row r="185">
          <cell r="A185" t="str">
            <v>30DTV1045T</v>
          </cell>
          <cell r="B185" t="str">
            <v>LUIS DONALDO COLOSIO MURRIETA</v>
          </cell>
          <cell r="C185" t="str">
            <v>CARRETERA NACIONAL MEXICO, TUXPAN, TAMPICO KILOMETRO 83</v>
          </cell>
          <cell r="D185" t="str">
            <v>CARLOS RODRIGUEZ HERNANDEZ</v>
          </cell>
          <cell r="E185">
            <v>11</v>
          </cell>
          <cell r="F185">
            <v>24</v>
          </cell>
          <cell r="G185" t="str">
            <v>TANTOYUCA</v>
          </cell>
          <cell r="H185" t="str">
            <v>MONTE GRANDE</v>
          </cell>
        </row>
        <row r="186">
          <cell r="A186" t="str">
            <v>30DTV0761X</v>
          </cell>
          <cell r="B186" t="str">
            <v>JUAN ESCUTIA</v>
          </cell>
          <cell r="C186" t="str">
            <v>CONOCIDO</v>
          </cell>
          <cell r="D186" t="str">
            <v>CLEMENTINA HERVER ESCOBAR</v>
          </cell>
          <cell r="E186">
            <v>11</v>
          </cell>
          <cell r="F186">
            <v>24</v>
          </cell>
          <cell r="G186" t="str">
            <v>TANTOYUCA</v>
          </cell>
          <cell r="H186" t="str">
            <v>MORALILLO</v>
          </cell>
        </row>
        <row r="187">
          <cell r="A187" t="str">
            <v>30DTV1365D</v>
          </cell>
          <cell r="B187" t="str">
            <v>TELESECUNDARIA</v>
          </cell>
          <cell r="C187" t="str">
            <v>CONOCIDO</v>
          </cell>
          <cell r="D187" t="str">
            <v>EPIFANIO CRUZ HERNANDEZ</v>
          </cell>
          <cell r="E187">
            <v>11</v>
          </cell>
          <cell r="F187">
            <v>24</v>
          </cell>
          <cell r="G187" t="str">
            <v>TANTOYUCA</v>
          </cell>
          <cell r="H187" t="str">
            <v>PALMA ALTA</v>
          </cell>
        </row>
        <row r="188">
          <cell r="A188" t="str">
            <v>30DTV0059P</v>
          </cell>
          <cell r="B188" t="str">
            <v>JOSE VASCONCELOS</v>
          </cell>
          <cell r="C188" t="str">
            <v>CONOCIDO</v>
          </cell>
          <cell r="D188" t="str">
            <v>BARRENCHEA CRUZ FAUSTA</v>
          </cell>
          <cell r="E188">
            <v>11</v>
          </cell>
          <cell r="F188">
            <v>24</v>
          </cell>
          <cell r="G188" t="str">
            <v>TANTOYUCA</v>
          </cell>
          <cell r="H188" t="str">
            <v>PALMITO</v>
          </cell>
        </row>
        <row r="189">
          <cell r="A189" t="str">
            <v>30DTV1186S</v>
          </cell>
          <cell r="B189" t="str">
            <v>JAIME TORRES BODET</v>
          </cell>
          <cell r="C189" t="str">
            <v>CONOCIDO</v>
          </cell>
          <cell r="D189" t="str">
            <v>JORGE LUIS OLMEDO GARCIA</v>
          </cell>
          <cell r="E189">
            <v>11</v>
          </cell>
          <cell r="F189">
            <v>24</v>
          </cell>
          <cell r="G189" t="str">
            <v>TANTOYUCA</v>
          </cell>
          <cell r="H189" t="str">
            <v>EL PORVENIR CHOPOPO</v>
          </cell>
        </row>
        <row r="190">
          <cell r="A190" t="str">
            <v>30DTV1498U</v>
          </cell>
          <cell r="B190" t="str">
            <v>MANUEL GUTIERREZ NAJERA</v>
          </cell>
          <cell r="C190" t="str">
            <v>CONOCIDO</v>
          </cell>
          <cell r="D190" t="str">
            <v>KARLA CRISTY LARA ARGUELLES</v>
          </cell>
          <cell r="E190">
            <v>11</v>
          </cell>
          <cell r="F190">
            <v>24</v>
          </cell>
          <cell r="G190" t="str">
            <v>TANTOYUCA</v>
          </cell>
          <cell r="H190" t="str">
            <v>TETILLAS</v>
          </cell>
        </row>
        <row r="191">
          <cell r="A191" t="str">
            <v>30DTV1499T</v>
          </cell>
          <cell r="B191" t="str">
            <v>BENITO JUAREZ GARCIA</v>
          </cell>
          <cell r="C191" t="str">
            <v>CONOCIDO</v>
          </cell>
          <cell r="D191" t="str">
            <v>JESUS MANUEL VARON PERUSQUIA</v>
          </cell>
          <cell r="E191">
            <v>11</v>
          </cell>
          <cell r="F191">
            <v>24</v>
          </cell>
          <cell r="G191" t="str">
            <v>TANTOYUCA</v>
          </cell>
          <cell r="H191" t="str">
            <v>LA TINAJA SAN GABRIEL</v>
          </cell>
        </row>
        <row r="192">
          <cell r="A192" t="str">
            <v>30DTV1584Q</v>
          </cell>
          <cell r="B192" t="str">
            <v>JAIME NUNO</v>
          </cell>
          <cell r="C192" t="str">
            <v>CONOCIDO</v>
          </cell>
          <cell r="D192" t="str">
            <v>MARTHA ELENA CASTELLANOS RODRIGUEZ</v>
          </cell>
          <cell r="E192">
            <v>11</v>
          </cell>
          <cell r="F192">
            <v>24</v>
          </cell>
          <cell r="G192" t="str">
            <v>TANTOYUCA</v>
          </cell>
          <cell r="H192" t="str">
            <v>IXTLAR</v>
          </cell>
        </row>
        <row r="193">
          <cell r="A193" t="str">
            <v>30DTV0502J</v>
          </cell>
          <cell r="B193" t="str">
            <v>RAFAEL RAMIREZ</v>
          </cell>
          <cell r="C193" t="str">
            <v>CARRETERA SAN NICOLAS-COYOLES KILOMETRO 3</v>
          </cell>
          <cell r="D193" t="str">
            <v>ESTELA GUERRERO GONZALEZ</v>
          </cell>
          <cell r="E193">
            <v>11</v>
          </cell>
          <cell r="F193">
            <v>24</v>
          </cell>
          <cell r="G193" t="str">
            <v>TANTOYUCA</v>
          </cell>
          <cell r="H193" t="str">
            <v>EL MEZQUITE</v>
          </cell>
        </row>
        <row r="194">
          <cell r="A194" t="str">
            <v>30DTV0089J</v>
          </cell>
          <cell r="B194" t="str">
            <v>FRANCISCO VILLA</v>
          </cell>
          <cell r="C194" t="str">
            <v>4 DE ENERO S/N</v>
          </cell>
          <cell r="D194" t="str">
            <v>MARIA DEL ROSARIO CRUZ TREVIÑO</v>
          </cell>
          <cell r="E194">
            <v>12</v>
          </cell>
          <cell r="F194">
            <v>6</v>
          </cell>
          <cell r="G194" t="str">
            <v>CAZONES</v>
          </cell>
          <cell r="H194" t="str">
            <v>CAZONES DE HERRERA</v>
          </cell>
        </row>
        <row r="195">
          <cell r="A195" t="str">
            <v>30DTV0089J</v>
          </cell>
          <cell r="B195" t="str">
            <v>FRANCISCO VILLA</v>
          </cell>
          <cell r="C195" t="str">
            <v>4 DE ENERO S/N</v>
          </cell>
          <cell r="D195" t="str">
            <v>MARIA DEL ROSARIO CRUZ TREVIÑO</v>
          </cell>
          <cell r="E195">
            <v>12</v>
          </cell>
          <cell r="F195">
            <v>6</v>
          </cell>
          <cell r="G195" t="str">
            <v>CAZONES</v>
          </cell>
          <cell r="H195" t="str">
            <v>CAZONES DE HERRERA</v>
          </cell>
        </row>
        <row r="196">
          <cell r="A196" t="str">
            <v>30DTV0459L</v>
          </cell>
          <cell r="B196" t="str">
            <v>LAZARO CARDENAS DEL RIO</v>
          </cell>
          <cell r="C196" t="str">
            <v>CONOCIDO CARRETERA POZA RICA-BARRA DE CAZONES</v>
          </cell>
          <cell r="D196" t="str">
            <v>BASILIO RODRIGUEZ ANZURES</v>
          </cell>
          <cell r="E196">
            <v>12</v>
          </cell>
          <cell r="F196">
            <v>6</v>
          </cell>
          <cell r="G196" t="str">
            <v>CAZONES</v>
          </cell>
          <cell r="H196" t="str">
            <v>BARRA DE CAZONES</v>
          </cell>
        </row>
        <row r="197">
          <cell r="A197" t="str">
            <v>30DTV1567Z</v>
          </cell>
          <cell r="B197" t="str">
            <v>JUAN RULFO</v>
          </cell>
          <cell r="C197" t="str">
            <v>CONOCIDO</v>
          </cell>
          <cell r="D197" t="str">
            <v>AGUSTIN BAUZA DEL MAZO</v>
          </cell>
          <cell r="E197">
            <v>12</v>
          </cell>
          <cell r="F197">
            <v>6</v>
          </cell>
          <cell r="G197" t="str">
            <v>CAZONES</v>
          </cell>
          <cell r="H197" t="str">
            <v>BUENAVISTA</v>
          </cell>
        </row>
        <row r="198">
          <cell r="A198" t="str">
            <v>30DTV0369T</v>
          </cell>
          <cell r="B198" t="str">
            <v>RAFAEL RAMIREZ</v>
          </cell>
          <cell r="C198" t="str">
            <v>LUIS ECHEVERRIA ALVAREZ S/N</v>
          </cell>
          <cell r="D198" t="str">
            <v>SUSANA GARCIA MARTINEZ</v>
          </cell>
          <cell r="E198">
            <v>12</v>
          </cell>
          <cell r="F198">
            <v>6</v>
          </cell>
          <cell r="G198" t="str">
            <v>CAZONES</v>
          </cell>
          <cell r="H198" t="str">
            <v>LA ENCANTADA</v>
          </cell>
        </row>
        <row r="199">
          <cell r="A199" t="str">
            <v>30DTV1486P</v>
          </cell>
          <cell r="B199" t="str">
            <v>OCTAVIO PAZ</v>
          </cell>
          <cell r="C199" t="str">
            <v>CONOCIDO</v>
          </cell>
          <cell r="D199" t="str">
            <v>MIGUEL ANGEL REDONDO PADILLA</v>
          </cell>
          <cell r="E199">
            <v>12</v>
          </cell>
          <cell r="F199">
            <v>6</v>
          </cell>
          <cell r="G199" t="str">
            <v>CAZONES</v>
          </cell>
          <cell r="H199" t="str">
            <v>LIMON CHIQUITO</v>
          </cell>
        </row>
        <row r="200">
          <cell r="A200" t="str">
            <v>30DTV0853N</v>
          </cell>
          <cell r="B200" t="str">
            <v>EMILIANO ZAPATA</v>
          </cell>
          <cell r="C200" t="str">
            <v>CONOCIDO</v>
          </cell>
          <cell r="D200" t="str">
            <v>HECTOR LEONEL FLORES LARA</v>
          </cell>
          <cell r="E200">
            <v>12</v>
          </cell>
          <cell r="F200">
            <v>6</v>
          </cell>
          <cell r="G200" t="str">
            <v>CAZONES</v>
          </cell>
          <cell r="H200" t="str">
            <v>PLAN DE LIMON</v>
          </cell>
        </row>
        <row r="201">
          <cell r="A201" t="str">
            <v>30DTV0509C</v>
          </cell>
          <cell r="B201" t="str">
            <v>SOR JUANA INES DE LA CRUZ</v>
          </cell>
          <cell r="C201" t="str">
            <v>CONOCIDO</v>
          </cell>
          <cell r="D201" t="str">
            <v>ELSA GAYTAN ROSALES</v>
          </cell>
          <cell r="E201">
            <v>12</v>
          </cell>
          <cell r="F201">
            <v>6</v>
          </cell>
          <cell r="G201" t="str">
            <v>CAZONES</v>
          </cell>
          <cell r="H201" t="str">
            <v>RANCHO NUEVO</v>
          </cell>
        </row>
        <row r="202">
          <cell r="A202" t="str">
            <v>30DTV0193V</v>
          </cell>
          <cell r="B202" t="str">
            <v>FRANCISCO JAVIER CLAVIJERO</v>
          </cell>
          <cell r="C202" t="str">
            <v>VERACRUZ ESQUINA BENITO JUAREZ</v>
          </cell>
          <cell r="D202" t="str">
            <v>JOSEFA CABALLERO ORTIZ</v>
          </cell>
          <cell r="E202">
            <v>12</v>
          </cell>
          <cell r="F202">
            <v>6</v>
          </cell>
          <cell r="G202" t="str">
            <v>COATZINTLA</v>
          </cell>
          <cell r="H202" t="str">
            <v>COATZINTLA</v>
          </cell>
        </row>
        <row r="203">
          <cell r="A203" t="str">
            <v>30DTV0193V</v>
          </cell>
          <cell r="B203" t="str">
            <v>FRANCISCO JAVIER CLAVIJERO</v>
          </cell>
          <cell r="C203" t="str">
            <v>VERACRUZ ESQUINA BENITO JUAREZ</v>
          </cell>
          <cell r="D203" t="str">
            <v>JOSEFA CABALLERO ORTIZ</v>
          </cell>
          <cell r="E203">
            <v>12</v>
          </cell>
          <cell r="F203">
            <v>6</v>
          </cell>
          <cell r="G203" t="str">
            <v>COATZINTLA</v>
          </cell>
          <cell r="H203" t="str">
            <v>COATZINTLA</v>
          </cell>
        </row>
        <row r="204">
          <cell r="A204" t="str">
            <v>30DTV1487O</v>
          </cell>
          <cell r="B204" t="str">
            <v>ROSARIO CASTELLANOS</v>
          </cell>
          <cell r="C204" t="str">
            <v>COLONIA INFONAVIT</v>
          </cell>
          <cell r="D204" t="str">
            <v>HORACIO ASSAEL DEL MAZO JUAREZ</v>
          </cell>
          <cell r="E204">
            <v>12</v>
          </cell>
          <cell r="F204">
            <v>6</v>
          </cell>
          <cell r="G204" t="str">
            <v>COATZINTLA</v>
          </cell>
          <cell r="H204" t="str">
            <v>COATZINTLA</v>
          </cell>
        </row>
        <row r="205">
          <cell r="A205" t="str">
            <v>30DTV0694P</v>
          </cell>
          <cell r="B205" t="str">
            <v>LAZARO CARDENAS DEL RIO</v>
          </cell>
          <cell r="C205" t="str">
            <v>CERCA CLINICA COPLAMAR</v>
          </cell>
          <cell r="D205" t="str">
            <v>FACUNDO BARRIENTOS NARVAEZ</v>
          </cell>
          <cell r="E205">
            <v>12</v>
          </cell>
          <cell r="F205">
            <v>6</v>
          </cell>
          <cell r="G205" t="str">
            <v>PAPANTLA</v>
          </cell>
          <cell r="H205" t="str">
            <v>MOZUTLA</v>
          </cell>
        </row>
        <row r="206">
          <cell r="A206" t="str">
            <v>30DTV0460A</v>
          </cell>
          <cell r="B206" t="str">
            <v>FRANCISCO I. MADERO</v>
          </cell>
          <cell r="C206" t="str">
            <v>AVENIDA DEL ESTUDIANTE S/N</v>
          </cell>
          <cell r="D206" t="str">
            <v>JOSE ANTONIO GAYTAN ROSALES</v>
          </cell>
          <cell r="E206">
            <v>12</v>
          </cell>
          <cell r="F206">
            <v>6</v>
          </cell>
          <cell r="G206" t="str">
            <v>PAPANTLA</v>
          </cell>
          <cell r="H206" t="str">
            <v>SOMBRERETE</v>
          </cell>
        </row>
        <row r="207">
          <cell r="A207" t="str">
            <v>30DTV0329S</v>
          </cell>
          <cell r="B207" t="str">
            <v>ENRIQUE CHAVEZ VAZQUEZ</v>
          </cell>
          <cell r="C207" t="str">
            <v>LUIS ECHEVERRIA S/N</v>
          </cell>
          <cell r="D207" t="str">
            <v>ANTONIO MODESTO JIMENEZ</v>
          </cell>
          <cell r="E207">
            <v>12</v>
          </cell>
          <cell r="F207">
            <v>6</v>
          </cell>
          <cell r="G207" t="str">
            <v>POZA RICA DE HIDALGO</v>
          </cell>
          <cell r="H207" t="str">
            <v>POZA RICA DE HIDALGO</v>
          </cell>
        </row>
        <row r="208">
          <cell r="A208" t="str">
            <v>30DTV0534B</v>
          </cell>
          <cell r="B208" t="str">
            <v>5 DE MAYO</v>
          </cell>
          <cell r="C208" t="str">
            <v>RAMON LOPEZ VELARDE S/N</v>
          </cell>
          <cell r="D208" t="str">
            <v>SARA HERNANDEZ HERNANDEZ</v>
          </cell>
          <cell r="E208">
            <v>12</v>
          </cell>
          <cell r="F208">
            <v>6</v>
          </cell>
          <cell r="G208" t="str">
            <v>POZA RICA DE HIDALGO</v>
          </cell>
          <cell r="H208" t="str">
            <v>POZA RICA DE HIDALGO</v>
          </cell>
        </row>
        <row r="209">
          <cell r="A209" t="str">
            <v>30DTV1344R</v>
          </cell>
          <cell r="B209" t="str">
            <v>OCTAVIO PAZ</v>
          </cell>
          <cell r="C209" t="str">
            <v>COLONIA VILLA DE LAS FLORES</v>
          </cell>
          <cell r="D209" t="str">
            <v>ELIZABETH HIGAREDA CASANOVA</v>
          </cell>
          <cell r="E209">
            <v>12</v>
          </cell>
          <cell r="F209">
            <v>6</v>
          </cell>
          <cell r="G209" t="str">
            <v>POZA RICA DE HIDALGO</v>
          </cell>
          <cell r="H209" t="str">
            <v>POZA RICA DE HIDALGO</v>
          </cell>
        </row>
        <row r="210">
          <cell r="A210" t="str">
            <v>30DTV0377B</v>
          </cell>
          <cell r="B210" t="str">
            <v>REVOLUCION MEXICANA</v>
          </cell>
          <cell r="C210" t="str">
            <v>ANTIGUO CAMPO DE AVIACION</v>
          </cell>
          <cell r="D210" t="str">
            <v>XOCHITL DURAN MAITRET</v>
          </cell>
          <cell r="E210">
            <v>13</v>
          </cell>
          <cell r="F210">
            <v>20</v>
          </cell>
          <cell r="G210" t="str">
            <v>COXQUIHUI</v>
          </cell>
          <cell r="H210" t="str">
            <v>COXQUIHUI</v>
          </cell>
        </row>
        <row r="211">
          <cell r="A211" t="str">
            <v>30DTV1359T</v>
          </cell>
          <cell r="B211" t="str">
            <v>MIGUEL ALEMAN VALDES</v>
          </cell>
          <cell r="C211" t="str">
            <v>CONOCIDO</v>
          </cell>
          <cell r="D211" t="str">
            <v>VICKY ELIZABETH PEÑA QUIJANO</v>
          </cell>
          <cell r="E211">
            <v>13</v>
          </cell>
          <cell r="F211">
            <v>20</v>
          </cell>
          <cell r="G211" t="str">
            <v>COXQUIHUI</v>
          </cell>
          <cell r="H211" t="str">
            <v>ADOLFO RUIZ CORTINES</v>
          </cell>
        </row>
        <row r="212">
          <cell r="A212" t="str">
            <v>30DTV0220B</v>
          </cell>
          <cell r="B212" t="str">
            <v>NIÑOS HEROES</v>
          </cell>
          <cell r="C212" t="str">
            <v>GUADALUPE VICTORIA S/N</v>
          </cell>
          <cell r="D212" t="str">
            <v>CECILIA OLMEDO DE LEON</v>
          </cell>
          <cell r="E212">
            <v>13</v>
          </cell>
          <cell r="F212">
            <v>20</v>
          </cell>
          <cell r="G212" t="str">
            <v>COXQUIHUI</v>
          </cell>
          <cell r="H212" t="str">
            <v>ARENAL</v>
          </cell>
        </row>
        <row r="213">
          <cell r="A213" t="str">
            <v>30DTV0938U</v>
          </cell>
          <cell r="B213" t="str">
            <v>FRANCISCO I. MADERO</v>
          </cell>
          <cell r="C213" t="str">
            <v>CONOCIDO</v>
          </cell>
          <cell r="D213" t="str">
            <v>ANTONIO PERALTA GUZMAN</v>
          </cell>
          <cell r="E213">
            <v>13</v>
          </cell>
          <cell r="F213">
            <v>20</v>
          </cell>
          <cell r="G213" t="str">
            <v>COXQUIHUI</v>
          </cell>
          <cell r="H213" t="str">
            <v>CUAUHTEMOC (EL JOBO)</v>
          </cell>
        </row>
        <row r="214">
          <cell r="A214" t="str">
            <v>30DTV0866R</v>
          </cell>
          <cell r="B214" t="str">
            <v>VICENTE GUERRERO</v>
          </cell>
          <cell r="C214" t="str">
            <v>CONOCIDO</v>
          </cell>
          <cell r="D214" t="str">
            <v>MARTIN SOLIS GARCIA</v>
          </cell>
          <cell r="E214">
            <v>13</v>
          </cell>
          <cell r="F214">
            <v>20</v>
          </cell>
          <cell r="G214" t="str">
            <v>COXQUIHUI</v>
          </cell>
          <cell r="H214" t="str">
            <v>JOSE MARIA MORELOS</v>
          </cell>
        </row>
        <row r="215">
          <cell r="A215" t="str">
            <v>30DTV0939T</v>
          </cell>
          <cell r="B215" t="str">
            <v>MARIANO MATAMOROS</v>
          </cell>
          <cell r="C215" t="str">
            <v>CALLE EJIDAL</v>
          </cell>
          <cell r="D215" t="str">
            <v>VERONICA AIDA PASTRANA CRUZ</v>
          </cell>
          <cell r="E215">
            <v>13</v>
          </cell>
          <cell r="F215">
            <v>20</v>
          </cell>
          <cell r="G215" t="str">
            <v>COXQUIHUI</v>
          </cell>
          <cell r="H215" t="str">
            <v>OJITE DE MATAMOROS</v>
          </cell>
        </row>
        <row r="216">
          <cell r="A216" t="str">
            <v>30DTV0386J</v>
          </cell>
          <cell r="B216" t="str">
            <v>LAZARO CARDENAS DEL RIO</v>
          </cell>
          <cell r="C216" t="str">
            <v>PROFR. ALFONSO ARROYO FLORES S/N</v>
          </cell>
          <cell r="D216" t="str">
            <v>FLOR GUILLERMINA AMARO SANCHEZ</v>
          </cell>
          <cell r="E216">
            <v>13</v>
          </cell>
          <cell r="F216">
            <v>20</v>
          </cell>
          <cell r="G216" t="str">
            <v>COXQUIHUI</v>
          </cell>
          <cell r="H216" t="str">
            <v>SABANAS DE XALOSTOC</v>
          </cell>
        </row>
        <row r="217">
          <cell r="A217" t="str">
            <v>30DTV1216W</v>
          </cell>
          <cell r="B217" t="str">
            <v>NARCISO MENDOZA</v>
          </cell>
          <cell r="C217" t="str">
            <v>CONOCIDO</v>
          </cell>
          <cell r="D217" t="str">
            <v>JAIME HERNANDEZ PEREZ</v>
          </cell>
          <cell r="E217">
            <v>13</v>
          </cell>
          <cell r="F217">
            <v>20</v>
          </cell>
          <cell r="G217" t="str">
            <v>COXQUIHUI</v>
          </cell>
          <cell r="H217" t="str">
            <v>COLONIA DANTE DELGADO RANNAURO</v>
          </cell>
        </row>
        <row r="218">
          <cell r="A218" t="str">
            <v>30DTV0379Z</v>
          </cell>
          <cell r="B218" t="str">
            <v>AQUILES SERDAN</v>
          </cell>
          <cell r="C218" t="str">
            <v>JUVENTUD S/N</v>
          </cell>
          <cell r="D218" t="str">
            <v>CECILIA VALENCIA PEREZ</v>
          </cell>
          <cell r="E218">
            <v>13</v>
          </cell>
          <cell r="F218">
            <v>20</v>
          </cell>
          <cell r="G218" t="str">
            <v>CHUMATLAN</v>
          </cell>
          <cell r="H218" t="str">
            <v>CHUMATLAN</v>
          </cell>
        </row>
        <row r="219">
          <cell r="A219" t="str">
            <v>30DTV0024Z</v>
          </cell>
          <cell r="B219" t="str">
            <v>BENEMERITO DE LAS AMERICAS</v>
          </cell>
          <cell r="C219" t="str">
            <v>VICENTE GUERRERO S/N</v>
          </cell>
          <cell r="D219" t="str">
            <v>MANUEL OMAR DIAZ ORTEGA</v>
          </cell>
          <cell r="E219">
            <v>13</v>
          </cell>
          <cell r="F219">
            <v>20</v>
          </cell>
          <cell r="G219" t="str">
            <v>ESPINAL</v>
          </cell>
          <cell r="H219" t="str">
            <v>ESPINAL</v>
          </cell>
        </row>
        <row r="220">
          <cell r="A220" t="str">
            <v>30DTV0190Y</v>
          </cell>
          <cell r="B220" t="str">
            <v>FRANCISCO ZARCO</v>
          </cell>
          <cell r="C220" t="str">
            <v>EMILIANO ZAPATA NUM. 12</v>
          </cell>
          <cell r="D220" t="str">
            <v>GIL HUMBERTO PATIÑO MARTAGON</v>
          </cell>
          <cell r="E220">
            <v>13</v>
          </cell>
          <cell r="F220">
            <v>20</v>
          </cell>
          <cell r="G220" t="str">
            <v>ESPINAL</v>
          </cell>
          <cell r="H220" t="str">
            <v>COMALTECO</v>
          </cell>
        </row>
        <row r="221">
          <cell r="A221" t="str">
            <v>30DTV1111B</v>
          </cell>
          <cell r="B221" t="str">
            <v>SIMBOLOS PATRIOS</v>
          </cell>
          <cell r="C221" t="str">
            <v>NIÑOS HEROES S/N</v>
          </cell>
          <cell r="D221" t="str">
            <v>GUSTAVO ALEJANDRO DOMINGUEZ CHAIREZ</v>
          </cell>
          <cell r="E221">
            <v>13</v>
          </cell>
          <cell r="F221">
            <v>20</v>
          </cell>
          <cell r="G221" t="str">
            <v>ESPINAL</v>
          </cell>
          <cell r="H221" t="str">
            <v>CHAPULTEPEC</v>
          </cell>
        </row>
        <row r="222">
          <cell r="A222" t="str">
            <v>30DTV1217V</v>
          </cell>
          <cell r="B222" t="str">
            <v>GUILLERMO GONZALEZ CAMARENA</v>
          </cell>
          <cell r="C222" t="str">
            <v>CONOCIDO</v>
          </cell>
          <cell r="D222" t="str">
            <v>JULIO MARTINEZ HERNANDEZ</v>
          </cell>
          <cell r="E222">
            <v>13</v>
          </cell>
          <cell r="F222">
            <v>20</v>
          </cell>
          <cell r="G222" t="str">
            <v>ESPINAL</v>
          </cell>
          <cell r="H222" t="str">
            <v>EL ERMITAÑO</v>
          </cell>
        </row>
        <row r="223">
          <cell r="A223" t="str">
            <v>30DTV0279A</v>
          </cell>
          <cell r="B223" t="str">
            <v>ALVARO GALVEZ Y FUENTES</v>
          </cell>
          <cell r="C223" t="str">
            <v>CONOCIDO</v>
          </cell>
          <cell r="D223" t="str">
            <v>HERMENEGILDO BALDEMAR GONZALEZ GARCIA</v>
          </cell>
          <cell r="E223">
            <v>13</v>
          </cell>
          <cell r="F223">
            <v>20</v>
          </cell>
          <cell r="G223" t="str">
            <v>ESPINAL</v>
          </cell>
          <cell r="H223" t="str">
            <v>MIGUEL ALEMAN VALDES</v>
          </cell>
        </row>
        <row r="224">
          <cell r="A224" t="str">
            <v>30DTV0573D</v>
          </cell>
          <cell r="B224" t="str">
            <v>JUAN ESCUTIA</v>
          </cell>
          <cell r="C224" t="str">
            <v>MINA S/N</v>
          </cell>
          <cell r="D224" t="str">
            <v>MARIA DE LOS ANGELES MUJICA MARTINEZ</v>
          </cell>
          <cell r="E224">
            <v>13</v>
          </cell>
          <cell r="F224">
            <v>20</v>
          </cell>
          <cell r="G224" t="str">
            <v>ESPINAL</v>
          </cell>
          <cell r="H224" t="str">
            <v>EL MIRADOR</v>
          </cell>
        </row>
        <row r="225">
          <cell r="A225" t="str">
            <v>30DTV1570N</v>
          </cell>
          <cell r="B225" t="str">
            <v>GABRIELA MISTRAL</v>
          </cell>
          <cell r="C225" t="str">
            <v>CONOCIDO</v>
          </cell>
          <cell r="D225" t="str">
            <v>ALBERTO AMADEO CERVANTES PEREZ</v>
          </cell>
          <cell r="E225">
            <v>13</v>
          </cell>
          <cell r="F225">
            <v>20</v>
          </cell>
          <cell r="G225" t="str">
            <v>ESPINAL</v>
          </cell>
          <cell r="H225" t="str">
            <v>LA LUNA</v>
          </cell>
        </row>
        <row r="226">
          <cell r="A226" t="str">
            <v>30DTV0511R</v>
          </cell>
          <cell r="B226" t="str">
            <v>EMILIANO ZAPATA</v>
          </cell>
          <cell r="C226" t="str">
            <v>CALLEJON SANTA CRUZ</v>
          </cell>
          <cell r="D226" t="str">
            <v>ENRIQUE MARIN SIMON</v>
          </cell>
          <cell r="E226">
            <v>13</v>
          </cell>
          <cell r="F226">
            <v>20</v>
          </cell>
          <cell r="G226" t="str">
            <v>ZOZOCOLCO DE HIDALGO</v>
          </cell>
          <cell r="H226" t="str">
            <v>ZOZOCOLCO DE HIDALGO</v>
          </cell>
        </row>
        <row r="227">
          <cell r="A227" t="str">
            <v>30DTV1226C</v>
          </cell>
          <cell r="B227" t="str">
            <v>LUIS DONALDO COLOSIO MURRIETA</v>
          </cell>
          <cell r="C227" t="str">
            <v>CONOCIDO</v>
          </cell>
          <cell r="D227" t="str">
            <v>LENIN VLADIMIR OLMOS LOPEZ</v>
          </cell>
          <cell r="E227">
            <v>13</v>
          </cell>
          <cell r="F227">
            <v>20</v>
          </cell>
          <cell r="G227" t="str">
            <v>ZOZOCOLCO DE HIDALGO</v>
          </cell>
          <cell r="H227" t="str">
            <v>ANAYAL NUMERO UNO</v>
          </cell>
        </row>
        <row r="228">
          <cell r="A228" t="str">
            <v>30DTV0376C</v>
          </cell>
          <cell r="B228" t="str">
            <v>IGNACIO DE LA LLAVE</v>
          </cell>
          <cell r="C228" t="str">
            <v>CONOCIDO</v>
          </cell>
          <cell r="D228" t="str">
            <v>ESTEFANIA TORRES VAZQUEZ</v>
          </cell>
          <cell r="E228">
            <v>13</v>
          </cell>
          <cell r="F228">
            <v>20</v>
          </cell>
          <cell r="G228" t="str">
            <v>ZOZOCOLCO DE HIDALGO</v>
          </cell>
          <cell r="H228" t="str">
            <v>TECUANTEPEC</v>
          </cell>
        </row>
        <row r="229">
          <cell r="A229" t="str">
            <v>30DTV1110C</v>
          </cell>
          <cell r="B229" t="str">
            <v>FERNANDO MONTES DE OCA</v>
          </cell>
          <cell r="C229" t="str">
            <v>PRINCIPAL S/N</v>
          </cell>
          <cell r="D229" t="str">
            <v>VIOLETA XOCHIHUA ABURTO</v>
          </cell>
          <cell r="E229">
            <v>13</v>
          </cell>
          <cell r="F229">
            <v>20</v>
          </cell>
          <cell r="G229" t="str">
            <v>ZOZOCOLCO DE HIDALGO</v>
          </cell>
          <cell r="H229" t="str">
            <v>ZAPOTAL</v>
          </cell>
        </row>
        <row r="230">
          <cell r="A230" t="str">
            <v>30DTV0469S</v>
          </cell>
          <cell r="B230" t="str">
            <v>ANTONIO BONILLA FRANCISCO</v>
          </cell>
          <cell r="C230" t="str">
            <v>5 DE MAYO S/N</v>
          </cell>
          <cell r="D230" t="str">
            <v>SUJEY LEAL PEREZ</v>
          </cell>
          <cell r="E230">
            <v>13</v>
          </cell>
          <cell r="F230">
            <v>20</v>
          </cell>
          <cell r="G230" t="str">
            <v>ZOZOCOLCO DE HIDALGO</v>
          </cell>
          <cell r="H230" t="str">
            <v>ZOZOCOLCO DE GUERRERO</v>
          </cell>
        </row>
        <row r="231">
          <cell r="A231" t="str">
            <v>30DTV1761D</v>
          </cell>
          <cell r="B231" t="str">
            <v>BENITO JUAREZ GARCIA</v>
          </cell>
          <cell r="C231" t="str">
            <v>AVENIDA PRINCIPAL SIN NUMERO</v>
          </cell>
          <cell r="D231" t="str">
            <v>OVIDIO ORTIGOZA DIAZ</v>
          </cell>
          <cell r="E231">
            <v>13</v>
          </cell>
          <cell r="F231">
            <v>20</v>
          </cell>
          <cell r="G231" t="str">
            <v>ZOZOCOLCO DE HIDALGO</v>
          </cell>
          <cell r="H231" t="str">
            <v>TRES CRUCES UNO</v>
          </cell>
        </row>
        <row r="232">
          <cell r="A232" t="str">
            <v>30DTV0296R</v>
          </cell>
          <cell r="B232" t="str">
            <v>JUSTO SIERRA</v>
          </cell>
          <cell r="C232" t="str">
            <v>JUVENTUD ESQUINA MADERO</v>
          </cell>
          <cell r="D232" t="str">
            <v>VICTOR HUGO AGUILERA LUNA</v>
          </cell>
          <cell r="E232">
            <v>14</v>
          </cell>
          <cell r="F232">
            <v>7</v>
          </cell>
          <cell r="G232" t="str">
            <v>GUTIERREZ ZAMORA</v>
          </cell>
          <cell r="H232" t="str">
            <v>GUTIERREZ ZAMORA</v>
          </cell>
        </row>
        <row r="233">
          <cell r="A233" t="str">
            <v>30DTV1603O</v>
          </cell>
          <cell r="B233" t="str">
            <v>TELESECUNDARIA</v>
          </cell>
          <cell r="C233" t="str">
            <v>FRENTE A LA ESCUELA PRIMARIA</v>
          </cell>
          <cell r="D233" t="str">
            <v>WENCESLAO MARTINEZ VAZQUEZ</v>
          </cell>
          <cell r="E233">
            <v>14</v>
          </cell>
          <cell r="F233">
            <v>7</v>
          </cell>
          <cell r="G233" t="str">
            <v>GUTIERREZ ZAMORA</v>
          </cell>
          <cell r="H233" t="str">
            <v>CACAHUATAL</v>
          </cell>
        </row>
        <row r="234">
          <cell r="A234" t="str">
            <v>30DTV0049I</v>
          </cell>
          <cell r="B234" t="str">
            <v>MANUEL GUTIERREZ ZAMORA</v>
          </cell>
          <cell r="C234" t="str">
            <v>JUNTO AL KINDER</v>
          </cell>
          <cell r="D234" t="str">
            <v>ESPERANZA BONILLA PEðA</v>
          </cell>
          <cell r="E234">
            <v>14</v>
          </cell>
          <cell r="F234">
            <v>7</v>
          </cell>
          <cell r="G234" t="str">
            <v>GUTIERREZ ZAMORA</v>
          </cell>
          <cell r="H234" t="str">
            <v>CARRILLO PUERTO (SANTA ROSA)</v>
          </cell>
        </row>
        <row r="235">
          <cell r="A235" t="str">
            <v>30DTV0195T</v>
          </cell>
          <cell r="B235" t="str">
            <v>JAIME TORRES BODET</v>
          </cell>
          <cell r="C235" t="str">
            <v>JUNTO AL AUDITORIO MUNICIPAL</v>
          </cell>
          <cell r="D235" t="str">
            <v>ZOIRE LETICIA HERRERA GARCIA</v>
          </cell>
          <cell r="E235">
            <v>14</v>
          </cell>
          <cell r="F235">
            <v>7</v>
          </cell>
          <cell r="G235" t="str">
            <v>GUTIERREZ ZAMORA</v>
          </cell>
          <cell r="H235" t="str">
            <v>HERMENEGILDO GALEANA</v>
          </cell>
        </row>
        <row r="236">
          <cell r="A236" t="str">
            <v>30DTV0237B</v>
          </cell>
          <cell r="B236" t="str">
            <v>ADALBERTO TEJEDA</v>
          </cell>
          <cell r="C236" t="str">
            <v>JUNTO AL AUDITORIO MUNICIPAL</v>
          </cell>
          <cell r="D236" t="str">
            <v>MARTIN ALEJANDRO SANCHEZ HERRERA</v>
          </cell>
          <cell r="E236">
            <v>14</v>
          </cell>
          <cell r="F236">
            <v>7</v>
          </cell>
          <cell r="G236" t="str">
            <v>GUTIERREZ ZAMORA</v>
          </cell>
          <cell r="H236" t="str">
            <v>IGNACIO M. ALTAMIRANO (PLAN DE ALTAMIRANO)</v>
          </cell>
        </row>
        <row r="237">
          <cell r="A237" t="str">
            <v>30DTV0052W</v>
          </cell>
          <cell r="B237" t="str">
            <v>ALVARO GALVEZ Y FUENTES</v>
          </cell>
          <cell r="C237" t="str">
            <v>JUNTO AL TELEBACHILLERATO</v>
          </cell>
          <cell r="D237" t="str">
            <v>REYES GRAGEDA MONTES</v>
          </cell>
          <cell r="E237">
            <v>14</v>
          </cell>
          <cell r="F237">
            <v>7</v>
          </cell>
          <cell r="G237" t="str">
            <v>GUTIERREZ ZAMORA</v>
          </cell>
          <cell r="H237" t="str">
            <v>LOMAS DE ARENA</v>
          </cell>
        </row>
        <row r="238">
          <cell r="A238" t="str">
            <v>30DTV0871C</v>
          </cell>
          <cell r="B238" t="str">
            <v>MIGUEL ALEMAN VALDES</v>
          </cell>
          <cell r="C238" t="str">
            <v>POR LA ESCUELA PRIMARIA</v>
          </cell>
          <cell r="D238" t="str">
            <v>JAVIER MORGADO CALLEJAS</v>
          </cell>
          <cell r="E238">
            <v>14</v>
          </cell>
          <cell r="F238">
            <v>7</v>
          </cell>
          <cell r="G238" t="str">
            <v>GUTIERREZ ZAMORA</v>
          </cell>
          <cell r="H238" t="str">
            <v>RAFAEL VALENZUELA</v>
          </cell>
        </row>
        <row r="239">
          <cell r="A239" t="str">
            <v>30DTV0885F</v>
          </cell>
          <cell r="B239" t="str">
            <v>AQUILES SERDAN</v>
          </cell>
          <cell r="C239" t="str">
            <v>MEDANOS S/N</v>
          </cell>
          <cell r="D239" t="str">
            <v>JOEL AGUILERA LUNA</v>
          </cell>
          <cell r="E239">
            <v>14</v>
          </cell>
          <cell r="F239">
            <v>7</v>
          </cell>
          <cell r="G239" t="str">
            <v>TECOLUTLA</v>
          </cell>
          <cell r="H239" t="str">
            <v>TECOLUTLA</v>
          </cell>
        </row>
        <row r="240">
          <cell r="A240" t="str">
            <v>30DTV0618J</v>
          </cell>
          <cell r="B240" t="str">
            <v>SALVADOR DIAZ MIRON</v>
          </cell>
          <cell r="C240" t="str">
            <v>JUNTO AL CAMPO DE FUTBOL</v>
          </cell>
          <cell r="D240" t="str">
            <v>ADAN CRODA LEON</v>
          </cell>
          <cell r="E240">
            <v>14</v>
          </cell>
          <cell r="F240">
            <v>7</v>
          </cell>
          <cell r="G240" t="str">
            <v>TECOLUTLA</v>
          </cell>
          <cell r="H240" t="str">
            <v>BOCA DE LIMA</v>
          </cell>
        </row>
        <row r="241">
          <cell r="A241" t="str">
            <v>30DTV0973Z</v>
          </cell>
          <cell r="B241" t="str">
            <v>MOISES SAENZ GARZA</v>
          </cell>
          <cell r="C241" t="str">
            <v>POR LA CASETA TELEFONICA</v>
          </cell>
          <cell r="D241" t="str">
            <v>JACINTO HERNANDEZ Y HERNANDEZ</v>
          </cell>
          <cell r="E241">
            <v>14</v>
          </cell>
          <cell r="F241">
            <v>7</v>
          </cell>
          <cell r="G241" t="str">
            <v>TECOLUTLA</v>
          </cell>
          <cell r="H241" t="str">
            <v>CAÑADA RICA</v>
          </cell>
        </row>
        <row r="242">
          <cell r="A242" t="str">
            <v>30DTV0763V</v>
          </cell>
          <cell r="B242" t="str">
            <v>XICOTENCATL</v>
          </cell>
          <cell r="C242" t="str">
            <v>FRENTE A LA IGLESIA</v>
          </cell>
          <cell r="D242" t="str">
            <v>ANDRES RAMIREZ PEREZ</v>
          </cell>
          <cell r="E242">
            <v>14</v>
          </cell>
          <cell r="F242">
            <v>7</v>
          </cell>
          <cell r="G242" t="str">
            <v>TECOLUTLA</v>
          </cell>
          <cell r="H242" t="str">
            <v>CRUZ DE LOS ESTEROS</v>
          </cell>
        </row>
        <row r="243">
          <cell r="A243" t="str">
            <v>30DTV0336B</v>
          </cell>
          <cell r="B243" t="str">
            <v>FRANCISCO I. MADERO</v>
          </cell>
          <cell r="C243" t="str">
            <v>JUNTO AL CAMPO DE FUTBOL</v>
          </cell>
          <cell r="D243" t="str">
            <v>ERNESTO MEUNIER VAZQUEZ</v>
          </cell>
          <cell r="E243">
            <v>14</v>
          </cell>
          <cell r="F243">
            <v>7</v>
          </cell>
          <cell r="G243" t="str">
            <v>TECOLUTLA</v>
          </cell>
          <cell r="H243" t="str">
            <v>EL FUERTE DE ANAYA</v>
          </cell>
        </row>
        <row r="244">
          <cell r="A244" t="str">
            <v>30DTV0229T</v>
          </cell>
          <cell r="B244" t="str">
            <v>ALVARO GALVEZ Y FUENTES</v>
          </cell>
          <cell r="C244" t="str">
            <v>AVENIDA CONSTITUYENTES S/N</v>
          </cell>
          <cell r="D244" t="str">
            <v>MARINA GOMEZ REYNOSO</v>
          </cell>
          <cell r="E244">
            <v>14</v>
          </cell>
          <cell r="F244">
            <v>7</v>
          </cell>
          <cell r="G244" t="str">
            <v>TECOLUTLA</v>
          </cell>
          <cell r="H244" t="str">
            <v>LA GUADALUPE</v>
          </cell>
        </row>
        <row r="245">
          <cell r="A245" t="str">
            <v>30DTV0184N</v>
          </cell>
          <cell r="B245" t="str">
            <v>RAMON LOPEZ VELARDE</v>
          </cell>
          <cell r="C245" t="str">
            <v>REVOLUCION NUM. 37</v>
          </cell>
          <cell r="D245" t="str">
            <v>RODOLFO TIRADO LOPEZ</v>
          </cell>
          <cell r="E245">
            <v>14</v>
          </cell>
          <cell r="F245">
            <v>7</v>
          </cell>
          <cell r="G245" t="str">
            <v>TECOLUTLA</v>
          </cell>
          <cell r="H245" t="str">
            <v>HUEYTEPEC</v>
          </cell>
        </row>
        <row r="246">
          <cell r="A246" t="str">
            <v>30DTV1063I</v>
          </cell>
          <cell r="B246" t="str">
            <v>CRISTOBAL COLON</v>
          </cell>
          <cell r="C246" t="str">
            <v>CALLE PRINCIPAL</v>
          </cell>
          <cell r="D246" t="str">
            <v>JOSE ALEJANDRO RAMIREZ MORGADO</v>
          </cell>
          <cell r="E246">
            <v>14</v>
          </cell>
          <cell r="F246">
            <v>7</v>
          </cell>
          <cell r="G246" t="str">
            <v>TECOLUTLA</v>
          </cell>
          <cell r="H246" t="str">
            <v>MONTE GORDO</v>
          </cell>
        </row>
        <row r="247">
          <cell r="A247" t="str">
            <v>30DTV0262A</v>
          </cell>
          <cell r="B247" t="str">
            <v>ALFREDO V. BONFIL</v>
          </cell>
          <cell r="C247" t="str">
            <v>JUNTO AL CAMPO DE FUTBOL</v>
          </cell>
          <cell r="D247" t="str">
            <v>CAMILO SEDANO CONTRERAS</v>
          </cell>
          <cell r="E247">
            <v>14</v>
          </cell>
          <cell r="F247">
            <v>7</v>
          </cell>
          <cell r="G247" t="str">
            <v>TECOLUTLA</v>
          </cell>
          <cell r="H247" t="str">
            <v>PASO DEL PROGRESO</v>
          </cell>
        </row>
        <row r="248">
          <cell r="A248" t="str">
            <v>30DTV0886E</v>
          </cell>
          <cell r="B248" t="str">
            <v>HERMANOS SERDAN</v>
          </cell>
          <cell r="C248" t="str">
            <v>JUNTO A LA CASETA TELEFONICA</v>
          </cell>
          <cell r="D248" t="str">
            <v>MONICA K. GRANADOS SANTA MARIA</v>
          </cell>
          <cell r="E248">
            <v>14</v>
          </cell>
          <cell r="F248">
            <v>7</v>
          </cell>
          <cell r="G248" t="str">
            <v>TECOLUTLA</v>
          </cell>
          <cell r="H248" t="str">
            <v>JOSE MARIA PINO SUAREZ</v>
          </cell>
        </row>
        <row r="249">
          <cell r="A249" t="str">
            <v>30DTV0662X</v>
          </cell>
          <cell r="B249" t="str">
            <v>VICENTE GUERRERO</v>
          </cell>
          <cell r="C249" t="str">
            <v>COLONIA VICENTE GUERRERO</v>
          </cell>
          <cell r="D249" t="str">
            <v>DELIA JUANA PEREZ BUJAN</v>
          </cell>
          <cell r="E249">
            <v>15</v>
          </cell>
          <cell r="F249">
            <v>8</v>
          </cell>
          <cell r="G249" t="str">
            <v>MARTINEZ DE LA TORRE</v>
          </cell>
          <cell r="H249" t="str">
            <v>MARTINEZ DE LA TORRE</v>
          </cell>
        </row>
        <row r="250">
          <cell r="A250" t="str">
            <v>30DTV0389G</v>
          </cell>
          <cell r="B250" t="str">
            <v>ADOLFO LOPEZ MATEOS</v>
          </cell>
          <cell r="C250" t="str">
            <v>CONOCIDO</v>
          </cell>
          <cell r="D250" t="str">
            <v>GLORIA SANDOVAL SERAFIN</v>
          </cell>
          <cell r="E250">
            <v>15</v>
          </cell>
          <cell r="F250">
            <v>8</v>
          </cell>
          <cell r="G250" t="str">
            <v>MARTINEZ DE LA TORRE</v>
          </cell>
          <cell r="H250" t="str">
            <v>ARROYO BLANCO</v>
          </cell>
        </row>
        <row r="251">
          <cell r="A251" t="str">
            <v>30DTV0590U</v>
          </cell>
          <cell r="B251" t="str">
            <v>NIÑOS HEROES</v>
          </cell>
          <cell r="C251" t="str">
            <v>CONOCIDO</v>
          </cell>
          <cell r="D251" t="str">
            <v>DIMAS IGNACIO SALINAS MARTINEZ</v>
          </cell>
          <cell r="E251">
            <v>15</v>
          </cell>
          <cell r="F251">
            <v>8</v>
          </cell>
          <cell r="G251" t="str">
            <v>MARTINEZ DE LA TORRE</v>
          </cell>
          <cell r="H251" t="str">
            <v>ARROYO DEL POTRERO</v>
          </cell>
        </row>
        <row r="252">
          <cell r="A252" t="str">
            <v>30DTV0007J</v>
          </cell>
          <cell r="B252" t="str">
            <v>JOSE REVUELTAS</v>
          </cell>
          <cell r="C252" t="str">
            <v>MIGUEL HIDALGO S/N</v>
          </cell>
          <cell r="D252" t="str">
            <v>MARIA LOPEZ MARTINEZ</v>
          </cell>
          <cell r="E252">
            <v>15</v>
          </cell>
          <cell r="F252">
            <v>8</v>
          </cell>
          <cell r="G252" t="str">
            <v>MARTINEZ DE LA TORRE</v>
          </cell>
          <cell r="H252" t="str">
            <v>FELIPE CARRILLO PUERTO</v>
          </cell>
        </row>
        <row r="253">
          <cell r="A253" t="str">
            <v>30DTV0066Z</v>
          </cell>
          <cell r="B253" t="str">
            <v>IGNACIO MANUEL ALTAMIRANO</v>
          </cell>
          <cell r="C253" t="str">
            <v>CONOCIDO</v>
          </cell>
          <cell r="D253" t="str">
            <v>BERTOLDINA TEJEDA PEÐA</v>
          </cell>
          <cell r="E253">
            <v>15</v>
          </cell>
          <cell r="F253">
            <v>8</v>
          </cell>
          <cell r="G253" t="str">
            <v>MARTINEZ DE LA TORRE</v>
          </cell>
          <cell r="H253" t="str">
            <v>MANANTIALES</v>
          </cell>
        </row>
        <row r="254">
          <cell r="A254" t="str">
            <v>30DTV0390W</v>
          </cell>
          <cell r="B254" t="str">
            <v>ISIDRO ALAMILLO CONTRERAS</v>
          </cell>
          <cell r="C254" t="str">
            <v>VICENTE GUERRERO NUM. 14</v>
          </cell>
          <cell r="D254" t="str">
            <v>CESAR MANUEL VILLALOBOS ARMENTA</v>
          </cell>
          <cell r="E254">
            <v>15</v>
          </cell>
          <cell r="F254">
            <v>8</v>
          </cell>
          <cell r="G254" t="str">
            <v>MARTINEZ DE LA TORRE</v>
          </cell>
          <cell r="H254" t="str">
            <v>MARIA DE LA TORRE</v>
          </cell>
        </row>
        <row r="255">
          <cell r="A255" t="str">
            <v>30DTV0338Z</v>
          </cell>
          <cell r="B255" t="str">
            <v>MARIANO AZUELA</v>
          </cell>
          <cell r="C255" t="str">
            <v>CONOCIDO</v>
          </cell>
          <cell r="D255" t="str">
            <v>DARIO CRUZ MARTINEZ</v>
          </cell>
          <cell r="E255">
            <v>15</v>
          </cell>
          <cell r="F255">
            <v>8</v>
          </cell>
          <cell r="G255" t="str">
            <v>MARTINEZ DE LA TORRE</v>
          </cell>
          <cell r="H255" t="str">
            <v>LA PALMA</v>
          </cell>
        </row>
        <row r="256">
          <cell r="A256" t="str">
            <v>30DTV0815K</v>
          </cell>
          <cell r="B256" t="str">
            <v>LIC. ALVARO GALVEZ Y FUENTES</v>
          </cell>
          <cell r="C256" t="str">
            <v>CONOCIDO</v>
          </cell>
          <cell r="D256" t="str">
            <v>GLORIA ESTELA CARMEN ROJAS RAMIREZ</v>
          </cell>
          <cell r="E256">
            <v>15</v>
          </cell>
          <cell r="F256">
            <v>8</v>
          </cell>
          <cell r="G256" t="str">
            <v>MARTINEZ DE LA TORRE</v>
          </cell>
          <cell r="H256" t="str">
            <v>SALVADOR DIAZ MIRON</v>
          </cell>
        </row>
        <row r="257">
          <cell r="A257" t="str">
            <v>30DTV0816J</v>
          </cell>
          <cell r="B257" t="str">
            <v>PROFR. ARTEMIO DIAZ REYES</v>
          </cell>
          <cell r="C257" t="str">
            <v>CONOCIDO</v>
          </cell>
          <cell r="D257" t="str">
            <v>LYDIA YAZMIN BANDALA GONZALEZ</v>
          </cell>
          <cell r="E257">
            <v>15</v>
          </cell>
          <cell r="F257">
            <v>8</v>
          </cell>
          <cell r="G257" t="str">
            <v>MARTINEZ DE LA TORRE</v>
          </cell>
          <cell r="H257" t="str">
            <v>TEPETATE</v>
          </cell>
        </row>
        <row r="258">
          <cell r="A258" t="str">
            <v>30DTV1020K</v>
          </cell>
          <cell r="B258" t="str">
            <v>ALVARO GALVEZ Y FUENTES</v>
          </cell>
          <cell r="C258" t="str">
            <v>JUNTO A LA PRIMARIA</v>
          </cell>
          <cell r="D258" t="str">
            <v>DOLORES HERNANDEZ PEREZ</v>
          </cell>
          <cell r="E258">
            <v>15</v>
          </cell>
          <cell r="F258">
            <v>8</v>
          </cell>
          <cell r="G258" t="str">
            <v>PAPANTLA</v>
          </cell>
          <cell r="H258" t="str">
            <v>LLANOS DE SAN LORENZO</v>
          </cell>
        </row>
        <row r="259">
          <cell r="A259" t="str">
            <v>30DTV0381O</v>
          </cell>
          <cell r="B259" t="str">
            <v>BENITO JUAREZ GARCIA</v>
          </cell>
          <cell r="C259" t="str">
            <v>CALLE PRINCIPAL S/N</v>
          </cell>
          <cell r="D259" t="str">
            <v>NORMA ANGELICA MARTINEZ TIBURCIO</v>
          </cell>
          <cell r="E259">
            <v>15</v>
          </cell>
          <cell r="F259">
            <v>8</v>
          </cell>
          <cell r="G259" t="str">
            <v>PAPANTLA</v>
          </cell>
          <cell r="H259" t="str">
            <v>MESA CHICA LA GLORIA</v>
          </cell>
        </row>
        <row r="260">
          <cell r="A260" t="str">
            <v>30DTV0878W</v>
          </cell>
          <cell r="B260" t="str">
            <v>FERNANDO GUTIERREZ BARRIOS</v>
          </cell>
          <cell r="C260" t="str">
            <v>CONOCIDO</v>
          </cell>
          <cell r="D260" t="str">
            <v>RAUL GONZALEZ BENITEZ</v>
          </cell>
          <cell r="E260">
            <v>15</v>
          </cell>
          <cell r="F260">
            <v>8</v>
          </cell>
          <cell r="G260" t="str">
            <v>PAPANTLA</v>
          </cell>
          <cell r="H260" t="str">
            <v>EL PORVENIR NO. 2</v>
          </cell>
        </row>
        <row r="261">
          <cell r="A261" t="str">
            <v>30DTV0671E</v>
          </cell>
          <cell r="B261" t="str">
            <v>NIÐOS HEROES</v>
          </cell>
          <cell r="C261" t="str">
            <v>JUNTO AL AGOSTADERO</v>
          </cell>
          <cell r="D261" t="str">
            <v>GERMAN HERNANDEZ SUAREZ</v>
          </cell>
          <cell r="E261">
            <v>15</v>
          </cell>
          <cell r="F261">
            <v>8</v>
          </cell>
          <cell r="G261" t="str">
            <v>PAPANTLA</v>
          </cell>
          <cell r="H261" t="str">
            <v>VALSEQUILLO</v>
          </cell>
        </row>
        <row r="262">
          <cell r="A262" t="str">
            <v>30DTV0391V</v>
          </cell>
          <cell r="B262" t="str">
            <v>LAZARO CARDENAS DEL RIO</v>
          </cell>
          <cell r="C262" t="str">
            <v>CONOCIDO</v>
          </cell>
          <cell r="D262" t="str">
            <v>JOSE ANTONIO DE LA ROSA GONZALEZ</v>
          </cell>
          <cell r="E262">
            <v>15</v>
          </cell>
          <cell r="F262">
            <v>8</v>
          </cell>
          <cell r="G262" t="str">
            <v>SAN RAFAEL</v>
          </cell>
          <cell r="H262" t="str">
            <v>EL CABELLAL</v>
          </cell>
        </row>
        <row r="263">
          <cell r="A263" t="str">
            <v>30DTV0305I</v>
          </cell>
          <cell r="B263" t="str">
            <v>RICARDO FLORES MAGON</v>
          </cell>
          <cell r="C263" t="str">
            <v>CONOCIDO</v>
          </cell>
          <cell r="D263" t="str">
            <v>GUILLERMO MENDEZ GOMEZ</v>
          </cell>
          <cell r="E263">
            <v>15</v>
          </cell>
          <cell r="F263">
            <v>8</v>
          </cell>
          <cell r="G263" t="str">
            <v>SAN RAFAEL</v>
          </cell>
          <cell r="H263" t="str">
            <v>EL FAISAN</v>
          </cell>
        </row>
        <row r="264">
          <cell r="A264" t="str">
            <v>30DTV0387I</v>
          </cell>
          <cell r="B264" t="str">
            <v>BENITO JUAREZ GARCIA</v>
          </cell>
          <cell r="C264" t="str">
            <v>CONOCIDO</v>
          </cell>
          <cell r="D264" t="str">
            <v>MERCEDES SANCHEZ SEVILLA</v>
          </cell>
          <cell r="E264">
            <v>15</v>
          </cell>
          <cell r="F264">
            <v>8</v>
          </cell>
          <cell r="G264" t="str">
            <v>SAN RAFAEL</v>
          </cell>
          <cell r="H264" t="str">
            <v>EMILIANO ZAPATA</v>
          </cell>
        </row>
        <row r="265">
          <cell r="A265" t="str">
            <v>30DTV0198Q</v>
          </cell>
          <cell r="B265" t="str">
            <v>REMIGIO SILVA JIMENEZ</v>
          </cell>
          <cell r="C265" t="str">
            <v>AVENIDA GUADALUPE VICTORIA</v>
          </cell>
          <cell r="D265" t="str">
            <v>JOSE JOAQUIN TOLEDANOSANCHEZ</v>
          </cell>
          <cell r="E265">
            <v>15</v>
          </cell>
          <cell r="F265">
            <v>8</v>
          </cell>
          <cell r="G265" t="str">
            <v>SAN RAFAEL</v>
          </cell>
          <cell r="H265" t="str">
            <v>GUADALUPE VICTORIA</v>
          </cell>
        </row>
        <row r="266">
          <cell r="A266" t="str">
            <v>30DTV0663W</v>
          </cell>
          <cell r="B266" t="str">
            <v>MANUEL AVILA CAMACHO</v>
          </cell>
          <cell r="C266" t="str">
            <v>CONOCIDO</v>
          </cell>
          <cell r="D266" t="str">
            <v>JOSE CUEVAS Y JIMENEZ</v>
          </cell>
          <cell r="E266">
            <v>15</v>
          </cell>
          <cell r="F266">
            <v>8</v>
          </cell>
          <cell r="G266" t="str">
            <v>SAN RAFAEL</v>
          </cell>
          <cell r="H266" t="str">
            <v>MANUEL AVILA CAMACHO</v>
          </cell>
        </row>
        <row r="267">
          <cell r="A267" t="str">
            <v>30DTV0173H</v>
          </cell>
          <cell r="B267" t="str">
            <v>ADOLFO LOPEZ MATEOS</v>
          </cell>
          <cell r="C267" t="str">
            <v>EMILIANO ZAPATA NUM. 80</v>
          </cell>
          <cell r="D267" t="str">
            <v>LUCIA GUERRERO ORDUÐA</v>
          </cell>
          <cell r="E267">
            <v>15</v>
          </cell>
          <cell r="F267">
            <v>8</v>
          </cell>
          <cell r="G267" t="str">
            <v>SAN RAFAEL</v>
          </cell>
          <cell r="H267" t="str">
            <v>PUNTILLA ALDAMA</v>
          </cell>
        </row>
        <row r="268">
          <cell r="A268" t="str">
            <v>30DTV0189I</v>
          </cell>
          <cell r="B268" t="str">
            <v>JOSE VASCONCELOS</v>
          </cell>
          <cell r="C268" t="str">
            <v>VENUSTIANO CARRANZA Y ALDAMA</v>
          </cell>
          <cell r="D268" t="str">
            <v>GREGORIO ASCAðO TORRES</v>
          </cell>
          <cell r="E268">
            <v>16</v>
          </cell>
          <cell r="F268">
            <v>12</v>
          </cell>
          <cell r="G268" t="str">
            <v>COLIPA</v>
          </cell>
          <cell r="H268" t="str">
            <v>COLIPA</v>
          </cell>
        </row>
        <row r="269">
          <cell r="A269" t="str">
            <v>30DTV1315W</v>
          </cell>
          <cell r="B269" t="str">
            <v>JUAN RULFO</v>
          </cell>
          <cell r="C269" t="str">
            <v>CONOCIDO</v>
          </cell>
          <cell r="D269" t="str">
            <v>ROSA ELENA CAICEROS Y MARIN</v>
          </cell>
          <cell r="E269">
            <v>16</v>
          </cell>
          <cell r="F269">
            <v>12</v>
          </cell>
          <cell r="G269" t="str">
            <v>COLIPA</v>
          </cell>
          <cell r="H269" t="str">
            <v>COLONIA TEODORO A. DEHESA</v>
          </cell>
        </row>
        <row r="270">
          <cell r="A270" t="str">
            <v>30DTV0536Z</v>
          </cell>
          <cell r="B270" t="str">
            <v>JOSE MARTI</v>
          </cell>
          <cell r="C270" t="str">
            <v>CONOCIDO</v>
          </cell>
          <cell r="D270" t="str">
            <v>EDITH ZAYAS Y HERNANDEZ</v>
          </cell>
          <cell r="E270">
            <v>16</v>
          </cell>
          <cell r="F270">
            <v>12</v>
          </cell>
          <cell r="G270" t="str">
            <v>MISANTLA</v>
          </cell>
          <cell r="H270" t="str">
            <v>ARROYO FRIO</v>
          </cell>
        </row>
        <row r="271">
          <cell r="A271" t="str">
            <v>30DTV0127W</v>
          </cell>
          <cell r="B271" t="str">
            <v>VICENTE GUERRERO</v>
          </cell>
          <cell r="C271" t="str">
            <v>CONOCIDO</v>
          </cell>
          <cell r="D271" t="str">
            <v>DANIEL BUSTOS ADRIAN</v>
          </cell>
          <cell r="E271">
            <v>16</v>
          </cell>
          <cell r="F271">
            <v>12</v>
          </cell>
          <cell r="G271" t="str">
            <v>MISANTLA</v>
          </cell>
          <cell r="H271" t="str">
            <v>FRANCISCO SARABIA (PASO VIEJO)</v>
          </cell>
        </row>
        <row r="272">
          <cell r="A272" t="str">
            <v>30DTV1251B</v>
          </cell>
          <cell r="B272" t="str">
            <v>TELESECUNDARIA</v>
          </cell>
          <cell r="C272" t="str">
            <v>CONOCIDO</v>
          </cell>
          <cell r="D272" t="str">
            <v>YOLANDA CARRERA PEREZ</v>
          </cell>
          <cell r="E272">
            <v>16</v>
          </cell>
          <cell r="F272">
            <v>12</v>
          </cell>
          <cell r="G272" t="str">
            <v>MISANTLA</v>
          </cell>
          <cell r="H272" t="str">
            <v>GUADALUPE VICTORIA</v>
          </cell>
        </row>
        <row r="273">
          <cell r="A273" t="str">
            <v>30DTV0144M</v>
          </cell>
          <cell r="B273" t="str">
            <v>GRAL. IGNACIO ZARAGOZA</v>
          </cell>
          <cell r="C273" t="str">
            <v>CONOCIDO</v>
          </cell>
          <cell r="D273" t="str">
            <v>RUBEN MENDEZ TORRES</v>
          </cell>
          <cell r="E273">
            <v>16</v>
          </cell>
          <cell r="F273">
            <v>12</v>
          </cell>
          <cell r="G273" t="str">
            <v>MISANTLA</v>
          </cell>
          <cell r="H273" t="str">
            <v>IGNACIO ZARAGOZA (EL CHORRO)</v>
          </cell>
        </row>
        <row r="274">
          <cell r="A274" t="str">
            <v>30DTV0596O</v>
          </cell>
          <cell r="B274" t="str">
            <v>ALFONSO ARROYO FLORES</v>
          </cell>
          <cell r="C274" t="str">
            <v>CONOCIDO</v>
          </cell>
          <cell r="D274" t="str">
            <v>NARCISO CHACON HERNANDEZ</v>
          </cell>
          <cell r="E274">
            <v>16</v>
          </cell>
          <cell r="F274">
            <v>12</v>
          </cell>
          <cell r="G274" t="str">
            <v>MISANTLA</v>
          </cell>
          <cell r="H274" t="str">
            <v>LA REFORMA (KILOMETRO 9)</v>
          </cell>
        </row>
        <row r="275">
          <cell r="A275" t="str">
            <v>30DTV0038C</v>
          </cell>
          <cell r="B275" t="str">
            <v>JUSTO SIERRA MENDEZ</v>
          </cell>
          <cell r="C275" t="str">
            <v>JUNTO A LA CLINICA</v>
          </cell>
          <cell r="D275" t="str">
            <v>YOLANDA CARRERA PEREZ</v>
          </cell>
          <cell r="E275">
            <v>16</v>
          </cell>
          <cell r="F275">
            <v>12</v>
          </cell>
          <cell r="G275" t="str">
            <v>MISANTLA</v>
          </cell>
          <cell r="H275" t="str">
            <v>MOXILLON</v>
          </cell>
        </row>
        <row r="276">
          <cell r="A276" t="str">
            <v>30DTV0345J</v>
          </cell>
          <cell r="B276" t="str">
            <v>ALVARO GALVEZ Y FUENTES</v>
          </cell>
          <cell r="C276" t="str">
            <v>CONOCIDO</v>
          </cell>
          <cell r="D276" t="str">
            <v>ALBERTINA ALEJO MARTINEZ</v>
          </cell>
          <cell r="E276">
            <v>16</v>
          </cell>
          <cell r="F276">
            <v>12</v>
          </cell>
          <cell r="G276" t="str">
            <v>MISANTLA</v>
          </cell>
          <cell r="H276" t="str">
            <v>PLAN DE LA VEGA</v>
          </cell>
        </row>
        <row r="277">
          <cell r="A277" t="str">
            <v>30DTV0667S</v>
          </cell>
          <cell r="B277" t="str">
            <v>SOR JUANA INES DE LA CRUZ</v>
          </cell>
          <cell r="C277" t="str">
            <v>CONOCIDO</v>
          </cell>
          <cell r="D277" t="str">
            <v>SIXTO BORJAS Y DE LOS SANTOS</v>
          </cell>
          <cell r="E277">
            <v>16</v>
          </cell>
          <cell r="F277">
            <v>12</v>
          </cell>
          <cell r="G277" t="str">
            <v>MISANTLA</v>
          </cell>
          <cell r="H277" t="str">
            <v>POXTITLAN</v>
          </cell>
        </row>
        <row r="278">
          <cell r="A278" t="str">
            <v>30DTV0258O</v>
          </cell>
          <cell r="B278" t="str">
            <v>CONSTITUCION DE 1917</v>
          </cell>
          <cell r="C278" t="str">
            <v>CINCO DE MAYO Y 16 DE SEPTIEMBRE</v>
          </cell>
          <cell r="D278" t="str">
            <v>CONCEPCION CARDENAS</v>
          </cell>
          <cell r="E278">
            <v>16</v>
          </cell>
          <cell r="F278">
            <v>12</v>
          </cell>
          <cell r="G278" t="str">
            <v>MISANTLA</v>
          </cell>
          <cell r="H278" t="str">
            <v>VENUSTIANO CARRANZA</v>
          </cell>
        </row>
        <row r="279">
          <cell r="A279" t="str">
            <v>30DTV0696N</v>
          </cell>
          <cell r="B279" t="str">
            <v>VICENTE GUERRERO</v>
          </cell>
          <cell r="C279" t="str">
            <v>CONOCIDO</v>
          </cell>
          <cell r="D279" t="str">
            <v>ASUNCION GUZMAN AVILA</v>
          </cell>
          <cell r="E279">
            <v>16</v>
          </cell>
          <cell r="F279">
            <v>12</v>
          </cell>
          <cell r="G279" t="str">
            <v>MISANTLA</v>
          </cell>
          <cell r="H279" t="str">
            <v>LA PALMA (CASA BLANCA)</v>
          </cell>
        </row>
        <row r="280">
          <cell r="A280" t="str">
            <v>30DTV1516T</v>
          </cell>
          <cell r="B280" t="str">
            <v>LUIS DONALDO COLOSIO MURRIETA</v>
          </cell>
          <cell r="C280" t="str">
            <v>LA TOMA</v>
          </cell>
          <cell r="D280" t="str">
            <v>LUZ AURORA BANDALA Y LEON</v>
          </cell>
          <cell r="E280">
            <v>17</v>
          </cell>
          <cell r="F280">
            <v>21</v>
          </cell>
          <cell r="G280" t="str">
            <v>AYAHUALULCO</v>
          </cell>
          <cell r="H280" t="str">
            <v>AYAHUALULCO</v>
          </cell>
        </row>
        <row r="281">
          <cell r="A281" t="str">
            <v>30DTV0223Z</v>
          </cell>
          <cell r="B281" t="str">
            <v>RAFAEL RAMIREZ</v>
          </cell>
          <cell r="C281" t="str">
            <v>CONOCIDO</v>
          </cell>
          <cell r="D281" t="str">
            <v>CIRILO ACOSTA TOTOMOL</v>
          </cell>
          <cell r="E281">
            <v>17</v>
          </cell>
          <cell r="F281">
            <v>21</v>
          </cell>
          <cell r="G281" t="str">
            <v>AYAHUALULCO</v>
          </cell>
          <cell r="H281" t="str">
            <v>LOS ALTOS</v>
          </cell>
        </row>
        <row r="282">
          <cell r="A282" t="str">
            <v>30DTV1372N</v>
          </cell>
          <cell r="B282" t="str">
            <v>JAIME TORRES BODET</v>
          </cell>
          <cell r="C282" t="str">
            <v>CONOCIDO</v>
          </cell>
          <cell r="D282" t="str">
            <v>VERONICA GUADALUPE VAZQUEZ GALVAN</v>
          </cell>
          <cell r="E282">
            <v>17</v>
          </cell>
          <cell r="F282">
            <v>21</v>
          </cell>
          <cell r="G282" t="str">
            <v>AYAHUALULCO</v>
          </cell>
          <cell r="H282" t="str">
            <v>TLALCONTENO</v>
          </cell>
        </row>
        <row r="283">
          <cell r="A283" t="str">
            <v>30DTV0557M</v>
          </cell>
          <cell r="B283" t="str">
            <v>VICENTE GUERRERO</v>
          </cell>
          <cell r="C283" t="str">
            <v>CONOCIDO</v>
          </cell>
          <cell r="D283" t="str">
            <v>LILIANA GUADALUPE MARTINEZ BUBANDEL</v>
          </cell>
          <cell r="E283">
            <v>17</v>
          </cell>
          <cell r="F283">
            <v>21</v>
          </cell>
          <cell r="G283" t="str">
            <v>AYAHUALULCO</v>
          </cell>
          <cell r="H283" t="str">
            <v>EL TRIUNFO</v>
          </cell>
        </row>
        <row r="284">
          <cell r="A284" t="str">
            <v>30DTV0250W</v>
          </cell>
          <cell r="B284" t="str">
            <v>SANTIAGO CASTILLO FLORES</v>
          </cell>
          <cell r="C284" t="str">
            <v>CONOCIDO</v>
          </cell>
          <cell r="D284" t="str">
            <v>MOISES GUMERCINDO AGUILAR</v>
          </cell>
          <cell r="E284">
            <v>17</v>
          </cell>
          <cell r="F284">
            <v>21</v>
          </cell>
          <cell r="G284" t="str">
            <v>JALACINGO</v>
          </cell>
          <cell r="H284" t="str">
            <v>ORILLA DEL MONTE</v>
          </cell>
        </row>
        <row r="285">
          <cell r="A285" t="str">
            <v>30DTV1064H</v>
          </cell>
          <cell r="B285" t="str">
            <v>CARLOS A. CARRILLO</v>
          </cell>
          <cell r="C285" t="str">
            <v>CALLE PRINCIPAL</v>
          </cell>
          <cell r="D285" t="str">
            <v>ARMANDO JULIAN JUSTO</v>
          </cell>
          <cell r="E285">
            <v>17</v>
          </cell>
          <cell r="F285">
            <v>21</v>
          </cell>
          <cell r="G285" t="str">
            <v>JALACINGO</v>
          </cell>
          <cell r="H285" t="str">
            <v>VISTA HERMOSA</v>
          </cell>
        </row>
        <row r="286">
          <cell r="A286" t="str">
            <v>30DTV1628X</v>
          </cell>
          <cell r="B286" t="str">
            <v>TELESECUNDARIA</v>
          </cell>
          <cell r="C286" t="str">
            <v>CONOCIDO</v>
          </cell>
          <cell r="D286" t="str">
            <v>ALBERTO LARA MENDEZ</v>
          </cell>
          <cell r="E286">
            <v>17</v>
          </cell>
          <cell r="F286">
            <v>21</v>
          </cell>
          <cell r="G286" t="str">
            <v>LAS MINAS</v>
          </cell>
          <cell r="H286" t="str">
            <v>LANDACO</v>
          </cell>
        </row>
        <row r="287">
          <cell r="A287" t="str">
            <v>30DTV1629W</v>
          </cell>
          <cell r="B287" t="str">
            <v>TELESECUNDARIA</v>
          </cell>
          <cell r="C287" t="str">
            <v>CONOCIDO</v>
          </cell>
          <cell r="D287" t="str">
            <v>CECILIO GONZALEZ MARIN</v>
          </cell>
          <cell r="E287">
            <v>17</v>
          </cell>
          <cell r="F287">
            <v>21</v>
          </cell>
          <cell r="G287" t="str">
            <v>LAS MINAS</v>
          </cell>
          <cell r="H287" t="str">
            <v>ZOMELAHUACAN</v>
          </cell>
        </row>
        <row r="288">
          <cell r="A288" t="str">
            <v>30DTV0249G</v>
          </cell>
          <cell r="B288" t="str">
            <v>LEANDRO VALLE</v>
          </cell>
          <cell r="C288" t="str">
            <v>CALLE DEL NOGAL NUM. 1</v>
          </cell>
          <cell r="D288" t="str">
            <v>MARIA NOSTROZA MESTIZA</v>
          </cell>
          <cell r="E288">
            <v>17</v>
          </cell>
          <cell r="F288">
            <v>21</v>
          </cell>
          <cell r="G288" t="str">
            <v>PEROTE</v>
          </cell>
          <cell r="H288" t="str">
            <v>PEROTE</v>
          </cell>
        </row>
        <row r="289">
          <cell r="A289" t="str">
            <v>30DTV0603H</v>
          </cell>
          <cell r="B289" t="str">
            <v>XAVIER VILLAURRUTIA</v>
          </cell>
          <cell r="C289" t="str">
            <v>MIGUEL ALEMAN S/N</v>
          </cell>
          <cell r="D289" t="str">
            <v>JOSE RODOLFO ARTEAGA LOZANO</v>
          </cell>
          <cell r="E289">
            <v>17</v>
          </cell>
          <cell r="F289">
            <v>21</v>
          </cell>
          <cell r="G289" t="str">
            <v>PEROTE</v>
          </cell>
          <cell r="H289" t="str">
            <v>PEROTE</v>
          </cell>
        </row>
        <row r="290">
          <cell r="A290" t="str">
            <v>30DTV1118V</v>
          </cell>
          <cell r="B290" t="str">
            <v>MOISES SAENZ GARZA</v>
          </cell>
          <cell r="C290" t="str">
            <v>CONOCIDO</v>
          </cell>
          <cell r="D290" t="str">
            <v>ALFONSO RAMIREZ PORTILLA</v>
          </cell>
          <cell r="E290">
            <v>17</v>
          </cell>
          <cell r="F290">
            <v>21</v>
          </cell>
          <cell r="G290" t="str">
            <v>PEROTE</v>
          </cell>
          <cell r="H290" t="str">
            <v>EL CONEJO</v>
          </cell>
        </row>
        <row r="291">
          <cell r="A291" t="str">
            <v>30DTV1200V</v>
          </cell>
          <cell r="B291" t="str">
            <v>JAIME TORRES BODET</v>
          </cell>
          <cell r="C291" t="str">
            <v>CONOCIDO</v>
          </cell>
          <cell r="D291" t="str">
            <v>ARTURO GARCIA SALAZAR</v>
          </cell>
          <cell r="E291">
            <v>17</v>
          </cell>
          <cell r="F291">
            <v>21</v>
          </cell>
          <cell r="G291" t="str">
            <v>PEROTE</v>
          </cell>
          <cell r="H291" t="str">
            <v>EL ESCOBILLO</v>
          </cell>
        </row>
        <row r="292">
          <cell r="A292" t="str">
            <v>30DTV1041X</v>
          </cell>
          <cell r="B292" t="str">
            <v>OCTAVIO PAZ</v>
          </cell>
          <cell r="C292" t="str">
            <v>CALLE PRINCIPAL</v>
          </cell>
          <cell r="D292" t="str">
            <v>ISAMEL RENE HERNANDEZ ABURTO</v>
          </cell>
          <cell r="E292">
            <v>17</v>
          </cell>
          <cell r="F292">
            <v>21</v>
          </cell>
          <cell r="G292" t="str">
            <v>PEROTE</v>
          </cell>
          <cell r="H292" t="str">
            <v>FRANCISCO I. MADERO</v>
          </cell>
        </row>
        <row r="293">
          <cell r="A293" t="str">
            <v>30DTV0545H</v>
          </cell>
          <cell r="B293" t="str">
            <v>BENITO JUAREZ GARCIA</v>
          </cell>
          <cell r="C293" t="str">
            <v>CONOCIDO</v>
          </cell>
          <cell r="D293" t="str">
            <v>JOSE BENITO MOTA MONFIL</v>
          </cell>
          <cell r="E293">
            <v>17</v>
          </cell>
          <cell r="F293">
            <v>21</v>
          </cell>
          <cell r="G293" t="str">
            <v>PEROTE</v>
          </cell>
          <cell r="H293" t="str">
            <v>LA GLORIA</v>
          </cell>
        </row>
        <row r="294">
          <cell r="A294" t="str">
            <v>30DTV1559R</v>
          </cell>
          <cell r="B294" t="str">
            <v>FRIDA KAHLO</v>
          </cell>
          <cell r="C294" t="str">
            <v>CONOCIDO</v>
          </cell>
          <cell r="D294" t="str">
            <v>MARIA CRISTINA HERNANDEZ GTEZ.</v>
          </cell>
          <cell r="E294">
            <v>17</v>
          </cell>
          <cell r="F294">
            <v>21</v>
          </cell>
          <cell r="G294" t="str">
            <v>PEROTE</v>
          </cell>
          <cell r="H294" t="str">
            <v>GUADALUPE VICTORIA</v>
          </cell>
        </row>
        <row r="295">
          <cell r="A295" t="str">
            <v>30DTV0477A</v>
          </cell>
          <cell r="B295" t="str">
            <v>NIÐOS HEROES</v>
          </cell>
          <cell r="C295" t="str">
            <v>CONOCIDO</v>
          </cell>
          <cell r="D295" t="str">
            <v>JOSE IRAM VIVEROS SANCHEZ</v>
          </cell>
          <cell r="E295">
            <v>17</v>
          </cell>
          <cell r="F295">
            <v>21</v>
          </cell>
          <cell r="G295" t="str">
            <v>PEROTE</v>
          </cell>
          <cell r="H295" t="str">
            <v>SAN ANTONIO LIMON (TOTALCO)</v>
          </cell>
        </row>
        <row r="296">
          <cell r="A296" t="str">
            <v>30DTV0060E</v>
          </cell>
          <cell r="B296" t="str">
            <v>SALVADOR DIAZ MIRON</v>
          </cell>
          <cell r="C296" t="str">
            <v>CONOCIDO</v>
          </cell>
          <cell r="D296" t="str">
            <v>MARIA CLOTILDE RAMON VAZQUEZ</v>
          </cell>
          <cell r="E296">
            <v>17</v>
          </cell>
          <cell r="F296">
            <v>21</v>
          </cell>
          <cell r="G296" t="str">
            <v>PEROTE</v>
          </cell>
          <cell r="H296" t="str">
            <v>LOS MOLINOS (SAN JOSE)</v>
          </cell>
        </row>
        <row r="297">
          <cell r="A297" t="str">
            <v>30DTV0224Y</v>
          </cell>
          <cell r="B297" t="str">
            <v>ALFONSO REYES</v>
          </cell>
          <cell r="C297" t="str">
            <v>ALFONSO REYES NUM. 1</v>
          </cell>
          <cell r="D297" t="str">
            <v>MIGUEL PEREZ MELCHOR</v>
          </cell>
          <cell r="E297">
            <v>17</v>
          </cell>
          <cell r="F297">
            <v>21</v>
          </cell>
          <cell r="G297" t="str">
            <v>PEROTE</v>
          </cell>
          <cell r="H297" t="str">
            <v>SAN ANTONIO TENEXTEPEC</v>
          </cell>
        </row>
        <row r="298">
          <cell r="A298" t="str">
            <v>30DTV1119U</v>
          </cell>
          <cell r="B298" t="str">
            <v>GUADALUPE VICTORIA</v>
          </cell>
          <cell r="C298" t="str">
            <v>CONOCIDO</v>
          </cell>
          <cell r="D298" t="str">
            <v>NOEL RIVERA FLORES</v>
          </cell>
          <cell r="E298">
            <v>17</v>
          </cell>
          <cell r="F298">
            <v>21</v>
          </cell>
          <cell r="G298" t="str">
            <v>PEROTE</v>
          </cell>
          <cell r="H298" t="str">
            <v>XALTEPEC (SAN ISIDRO XALTEPEC)</v>
          </cell>
        </row>
        <row r="299">
          <cell r="A299" t="str">
            <v>30DTV1717Q</v>
          </cell>
          <cell r="B299" t="str">
            <v>TELESECUNDARIA</v>
          </cell>
          <cell r="C299" t="str">
            <v>BENITO JUAREZ</v>
          </cell>
          <cell r="D299" t="str">
            <v>ARIADNA LIZBETH MONTES ORTEGA</v>
          </cell>
          <cell r="E299">
            <v>17</v>
          </cell>
          <cell r="F299">
            <v>21</v>
          </cell>
          <cell r="G299" t="str">
            <v>PEROTE</v>
          </cell>
          <cell r="H299" t="str">
            <v>EJIDO VEINTE DE NOVIEMBRE</v>
          </cell>
        </row>
        <row r="300">
          <cell r="A300" t="str">
            <v>30DTV0421Z</v>
          </cell>
          <cell r="B300" t="str">
            <v>SOR JUANA INES DE LA CRUZ</v>
          </cell>
          <cell r="C300" t="str">
            <v>CONOCIDO</v>
          </cell>
          <cell r="D300" t="str">
            <v>MIGUEL GARCIA Y JIMENEZ</v>
          </cell>
          <cell r="E300">
            <v>18</v>
          </cell>
          <cell r="F300">
            <v>17</v>
          </cell>
          <cell r="G300" t="str">
            <v>COMAPA</v>
          </cell>
          <cell r="H300" t="str">
            <v>BOCA DEL MONTE</v>
          </cell>
        </row>
        <row r="301">
          <cell r="A301" t="str">
            <v>30DTV1097Z</v>
          </cell>
          <cell r="B301" t="str">
            <v>AGUSTIN YAÐEZ</v>
          </cell>
          <cell r="C301" t="str">
            <v>CONOCIDO</v>
          </cell>
          <cell r="D301" t="str">
            <v>MA. DE LOS ANGELES ALEJANDRE TREJO</v>
          </cell>
          <cell r="E301">
            <v>18</v>
          </cell>
          <cell r="F301">
            <v>17</v>
          </cell>
          <cell r="G301" t="str">
            <v>COMAPA</v>
          </cell>
          <cell r="H301" t="str">
            <v>CERRITOS</v>
          </cell>
        </row>
        <row r="302">
          <cell r="A302" t="str">
            <v>30DTV1316V</v>
          </cell>
          <cell r="B302" t="str">
            <v>LAZARO CARDENAS DEL RIO</v>
          </cell>
          <cell r="C302" t="str">
            <v>CONOCIDO</v>
          </cell>
          <cell r="D302" t="str">
            <v>KARINA IVETTE BOYAIN LUNA</v>
          </cell>
          <cell r="E302">
            <v>18</v>
          </cell>
          <cell r="F302">
            <v>17</v>
          </cell>
          <cell r="G302" t="str">
            <v>COMAPA</v>
          </cell>
          <cell r="H302" t="str">
            <v>SAN FRANCISCO NACAXTLE</v>
          </cell>
        </row>
        <row r="303">
          <cell r="A303" t="str">
            <v>30DTV1511Y</v>
          </cell>
          <cell r="B303" t="str">
            <v>CUAUHTEMOC</v>
          </cell>
          <cell r="C303" t="str">
            <v>CONOCIDO</v>
          </cell>
          <cell r="D303" t="str">
            <v>CAMILO RIVERA LOPEZ</v>
          </cell>
          <cell r="E303">
            <v>18</v>
          </cell>
          <cell r="F303">
            <v>17</v>
          </cell>
          <cell r="G303" t="str">
            <v>COMAPA</v>
          </cell>
          <cell r="H303" t="str">
            <v>PASO PIMIENTA</v>
          </cell>
        </row>
        <row r="304">
          <cell r="A304" t="str">
            <v>30DTV1317U</v>
          </cell>
          <cell r="B304" t="str">
            <v>20 DE NOVIEMBRE DE 1910</v>
          </cell>
          <cell r="C304" t="str">
            <v>CONOCIDO</v>
          </cell>
          <cell r="D304" t="str">
            <v>JAQUELIN SANDOVAL OLIVARES</v>
          </cell>
          <cell r="E304">
            <v>18</v>
          </cell>
          <cell r="F304">
            <v>17</v>
          </cell>
          <cell r="G304" t="str">
            <v>COMAPA</v>
          </cell>
          <cell r="H304" t="str">
            <v>SONORA</v>
          </cell>
        </row>
        <row r="305">
          <cell r="A305" t="str">
            <v>30DTV1681S</v>
          </cell>
          <cell r="B305" t="str">
            <v>LEONA VICARIO</v>
          </cell>
          <cell r="C305" t="str">
            <v>ORILLA DE CARRETERA</v>
          </cell>
          <cell r="D305" t="str">
            <v>KARINA IVETTE BOYAIN LUNA</v>
          </cell>
          <cell r="E305">
            <v>18</v>
          </cell>
          <cell r="F305">
            <v>17</v>
          </cell>
          <cell r="G305" t="str">
            <v>COMAPA</v>
          </cell>
          <cell r="H305" t="str">
            <v>XONOTLA</v>
          </cell>
        </row>
        <row r="306">
          <cell r="A306" t="str">
            <v>30DTV0648D</v>
          </cell>
          <cell r="B306" t="str">
            <v>VISTA HERMOSA</v>
          </cell>
          <cell r="C306" t="str">
            <v>CONOCIDO</v>
          </cell>
          <cell r="D306" t="str">
            <v>VERONICA CABRERA MORENO</v>
          </cell>
          <cell r="E306">
            <v>18</v>
          </cell>
          <cell r="F306">
            <v>17</v>
          </cell>
          <cell r="G306" t="str">
            <v>COMAPA</v>
          </cell>
          <cell r="H306" t="str">
            <v>VISTA HERMOSA</v>
          </cell>
        </row>
        <row r="307">
          <cell r="A307" t="str">
            <v>30DTV0153U</v>
          </cell>
          <cell r="B307" t="str">
            <v>ERNESTO GARCIA CABRAL</v>
          </cell>
          <cell r="C307" t="str">
            <v>AVENIDA 5 Y CALLE 5 SUR NUM. 304</v>
          </cell>
          <cell r="D307" t="str">
            <v>JOSE LUIS GASPERIN MINA</v>
          </cell>
          <cell r="E307">
            <v>18</v>
          </cell>
          <cell r="F307">
            <v>17</v>
          </cell>
          <cell r="G307" t="str">
            <v>HUATUSCO</v>
          </cell>
          <cell r="H307" t="str">
            <v>HUATUSCO DE CHICUELLAR</v>
          </cell>
        </row>
        <row r="308">
          <cell r="A308" t="str">
            <v>30DTV1604N</v>
          </cell>
          <cell r="B308" t="str">
            <v>JOSE VASCONCELOS</v>
          </cell>
          <cell r="C308" t="str">
            <v>JUNTO A LA AGENCIA MUNICIPAL</v>
          </cell>
          <cell r="D308" t="str">
            <v>GEMMA SOLIS LOYO</v>
          </cell>
          <cell r="E308">
            <v>18</v>
          </cell>
          <cell r="F308">
            <v>17</v>
          </cell>
          <cell r="G308" t="str">
            <v>HUATUSCO</v>
          </cell>
          <cell r="H308" t="str">
            <v>ADOLFO RUIZ CORTINES (LA PASTORIA)</v>
          </cell>
        </row>
        <row r="309">
          <cell r="A309" t="str">
            <v>30DTV0942G</v>
          </cell>
          <cell r="B309" t="str">
            <v>MIGUEL HIDALGO Y COSTILLA</v>
          </cell>
          <cell r="C309" t="str">
            <v>CONOCIDO</v>
          </cell>
          <cell r="D309" t="str">
            <v>ROBERTO SOSA SARABIA</v>
          </cell>
          <cell r="E309">
            <v>18</v>
          </cell>
          <cell r="F309">
            <v>17</v>
          </cell>
          <cell r="G309" t="str">
            <v>HUATUSCO</v>
          </cell>
          <cell r="H309" t="str">
            <v>AMATIOPA (MESA LIMON)</v>
          </cell>
        </row>
        <row r="310">
          <cell r="A310" t="str">
            <v>30DTV1699R</v>
          </cell>
          <cell r="B310" t="str">
            <v>GUILLERMO GONZALEZ CAMARENA</v>
          </cell>
          <cell r="C310" t="str">
            <v>ORILLA DE CARRETERA S/N</v>
          </cell>
          <cell r="D310" t="str">
            <v>JAQUELIN SANDOVAL OLIVARES</v>
          </cell>
          <cell r="E310">
            <v>18</v>
          </cell>
          <cell r="F310">
            <v>17</v>
          </cell>
          <cell r="G310" t="str">
            <v>HUATUSCO</v>
          </cell>
          <cell r="H310" t="str">
            <v>COTECONTLA</v>
          </cell>
        </row>
        <row r="311">
          <cell r="A311" t="str">
            <v>30DTV0574C</v>
          </cell>
          <cell r="B311" t="str">
            <v>RICARDO FLORES MAGON</v>
          </cell>
          <cell r="C311" t="str">
            <v>CONOCIDO</v>
          </cell>
          <cell r="D311" t="str">
            <v>LEONARDO GUTIERREZ ORTIZ</v>
          </cell>
          <cell r="E311">
            <v>18</v>
          </cell>
          <cell r="F311">
            <v>17</v>
          </cell>
          <cell r="G311" t="str">
            <v>HUATUSCO</v>
          </cell>
          <cell r="H311" t="str">
            <v>CHAVAXTLA</v>
          </cell>
        </row>
        <row r="312">
          <cell r="A312" t="str">
            <v>30DTV1092D</v>
          </cell>
          <cell r="B312" t="str">
            <v>MANUEL ALMANZA GARCIA</v>
          </cell>
          <cell r="C312" t="str">
            <v>CONOCIDO</v>
          </cell>
          <cell r="D312" t="str">
            <v>CLARA LUZ MONROY BERZUNZA</v>
          </cell>
          <cell r="E312">
            <v>18</v>
          </cell>
          <cell r="F312">
            <v>17</v>
          </cell>
          <cell r="G312" t="str">
            <v>HUATUSCO</v>
          </cell>
          <cell r="H312" t="str">
            <v>ELOTEPEC</v>
          </cell>
        </row>
        <row r="313">
          <cell r="A313" t="str">
            <v>30DTV1354Y</v>
          </cell>
          <cell r="B313" t="str">
            <v>TELESECUNDARIA</v>
          </cell>
          <cell r="C313" t="str">
            <v>CONOCIDO</v>
          </cell>
          <cell r="D313" t="str">
            <v>CONSTANZA MAGDALENA PINO GARCIA</v>
          </cell>
          <cell r="E313">
            <v>18</v>
          </cell>
          <cell r="F313">
            <v>17</v>
          </cell>
          <cell r="G313" t="str">
            <v>HUATUSCO</v>
          </cell>
          <cell r="H313" t="str">
            <v>IXPILA</v>
          </cell>
        </row>
        <row r="314">
          <cell r="A314" t="str">
            <v>30DTV1723A</v>
          </cell>
          <cell r="B314" t="str">
            <v>TELESECUNDARIA</v>
          </cell>
          <cell r="C314" t="str">
            <v>ORILLA DEL CAMINO REAL S/N</v>
          </cell>
          <cell r="D314" t="str">
            <v>LAURA NALLELY LOPEZ DELGADO</v>
          </cell>
          <cell r="E314">
            <v>18</v>
          </cell>
          <cell r="F314">
            <v>17</v>
          </cell>
          <cell r="G314" t="str">
            <v>HUATUSCO</v>
          </cell>
          <cell r="H314" t="str">
            <v>RINCON TLAZALO</v>
          </cell>
        </row>
        <row r="315">
          <cell r="A315" t="str">
            <v>30DTV0737X</v>
          </cell>
          <cell r="B315" t="str">
            <v>ENRIQUE C. REBSAMEN</v>
          </cell>
          <cell r="C315" t="str">
            <v>CONOCIDO</v>
          </cell>
          <cell r="D315" t="str">
            <v>FLOR JUDITH HERRERA CASTRO</v>
          </cell>
          <cell r="E315">
            <v>18</v>
          </cell>
          <cell r="F315">
            <v>17</v>
          </cell>
          <cell r="G315" t="str">
            <v>HUATUSCO</v>
          </cell>
          <cell r="H315" t="str">
            <v>SABANAS</v>
          </cell>
        </row>
        <row r="316">
          <cell r="A316" t="str">
            <v>30DTV1605M</v>
          </cell>
          <cell r="B316" t="str">
            <v>JUSTO SIERRA MENDEZ</v>
          </cell>
          <cell r="C316" t="str">
            <v>JUNTO A LA AGENCIA MUNICIPAL</v>
          </cell>
          <cell r="D316" t="str">
            <v>GREGORIO HERNANDEZ PRADO</v>
          </cell>
          <cell r="E316">
            <v>18</v>
          </cell>
          <cell r="F316">
            <v>17</v>
          </cell>
          <cell r="G316" t="str">
            <v>HUATUSCO</v>
          </cell>
          <cell r="H316" t="str">
            <v>SAN DIEGO TETITLAN</v>
          </cell>
        </row>
        <row r="317">
          <cell r="A317" t="str">
            <v>30DTV1419R</v>
          </cell>
          <cell r="B317" t="str">
            <v>FRANCISCO I. MADERO</v>
          </cell>
          <cell r="C317" t="str">
            <v>CONOCIDO</v>
          </cell>
          <cell r="D317" t="str">
            <v>MARIA EUFEMIA CUACUA ARGUELLO</v>
          </cell>
          <cell r="E317">
            <v>18</v>
          </cell>
          <cell r="F317">
            <v>17</v>
          </cell>
          <cell r="G317" t="str">
            <v>HUATUSCO</v>
          </cell>
          <cell r="H317" t="str">
            <v>TENEJAPA</v>
          </cell>
        </row>
        <row r="318">
          <cell r="A318" t="str">
            <v>30DTV1420G</v>
          </cell>
          <cell r="B318" t="str">
            <v>QUETZALCOATL</v>
          </cell>
          <cell r="C318" t="str">
            <v>CONOCIDO</v>
          </cell>
          <cell r="D318" t="str">
            <v>VICTORIA DEYANIRA LUNA LOPEZ</v>
          </cell>
          <cell r="E318">
            <v>18</v>
          </cell>
          <cell r="F318">
            <v>17</v>
          </cell>
          <cell r="G318" t="str">
            <v>HUATUSCO</v>
          </cell>
          <cell r="H318" t="str">
            <v>TEPAMPA</v>
          </cell>
        </row>
        <row r="319">
          <cell r="A319" t="str">
            <v>30DTV0575B</v>
          </cell>
          <cell r="B319" t="str">
            <v>CONSTITUCION DE 1917</v>
          </cell>
          <cell r="C319" t="str">
            <v>CONOCIDO</v>
          </cell>
          <cell r="D319" t="str">
            <v>ALFONSO MONTAðO RUIZ</v>
          </cell>
          <cell r="E319">
            <v>18</v>
          </cell>
          <cell r="F319">
            <v>17</v>
          </cell>
          <cell r="G319" t="str">
            <v>HUATUSCO</v>
          </cell>
          <cell r="H319" t="str">
            <v>TLAMATOCA</v>
          </cell>
        </row>
        <row r="320">
          <cell r="A320" t="str">
            <v>30DTV1093C</v>
          </cell>
          <cell r="B320" t="str">
            <v>LUIS DONALDO COLOSIO MURRIETA</v>
          </cell>
          <cell r="C320" t="str">
            <v>CONOCIDO</v>
          </cell>
          <cell r="D320" t="str">
            <v>AMADA LOPEZ TAPIA</v>
          </cell>
          <cell r="E320">
            <v>18</v>
          </cell>
          <cell r="F320">
            <v>17</v>
          </cell>
          <cell r="G320" t="str">
            <v>HUATUSCO</v>
          </cell>
          <cell r="H320" t="str">
            <v>TLAVICTEPAN</v>
          </cell>
        </row>
        <row r="321">
          <cell r="A321" t="str">
            <v>30DTV0881J</v>
          </cell>
          <cell r="B321" t="str">
            <v>FRANCISCO VILLA</v>
          </cell>
          <cell r="C321" t="str">
            <v>C0NOCIDO</v>
          </cell>
          <cell r="D321" t="str">
            <v>BALTAZAR ZARATE CONTRERAS</v>
          </cell>
          <cell r="E321">
            <v>18</v>
          </cell>
          <cell r="F321">
            <v>17</v>
          </cell>
          <cell r="G321" t="str">
            <v>SOCHIAPA</v>
          </cell>
          <cell r="H321" t="str">
            <v>SOCHIAPA</v>
          </cell>
        </row>
        <row r="322">
          <cell r="A322" t="str">
            <v>30DTV1355X</v>
          </cell>
          <cell r="B322" t="str">
            <v>JAIME TORRES BODET</v>
          </cell>
          <cell r="C322" t="str">
            <v>CONOCIDO</v>
          </cell>
          <cell r="D322" t="str">
            <v>MAYRA GUADALUPE ZARATE LOPEZ</v>
          </cell>
          <cell r="E322">
            <v>18</v>
          </cell>
          <cell r="F322">
            <v>17</v>
          </cell>
          <cell r="G322" t="str">
            <v>SOCHIAPA</v>
          </cell>
          <cell r="H322" t="str">
            <v>GUADALUPE VICTORIA</v>
          </cell>
        </row>
        <row r="323">
          <cell r="A323" t="str">
            <v>30DTV0071K</v>
          </cell>
          <cell r="B323" t="str">
            <v>CUAUHTEMOC</v>
          </cell>
          <cell r="C323" t="str">
            <v>JUAN DE LA LUZ ENRIQUEZ S/N</v>
          </cell>
          <cell r="D323" t="str">
            <v>CIRANO SALGADO DIAZ</v>
          </cell>
          <cell r="E323">
            <v>18</v>
          </cell>
          <cell r="F323">
            <v>17</v>
          </cell>
          <cell r="G323" t="str">
            <v>ZENTLA</v>
          </cell>
          <cell r="H323" t="str">
            <v>COLONIA MANUEL GONZALEZ</v>
          </cell>
        </row>
        <row r="324">
          <cell r="A324" t="str">
            <v>30DTV0341N</v>
          </cell>
          <cell r="B324" t="str">
            <v>CUAUHTEMOC</v>
          </cell>
          <cell r="C324" t="str">
            <v>CONOCIDO</v>
          </cell>
          <cell r="D324" t="str">
            <v>ROMAN FONZALEZ ARIZMENDI</v>
          </cell>
          <cell r="E324">
            <v>18</v>
          </cell>
          <cell r="F324">
            <v>17</v>
          </cell>
          <cell r="G324" t="str">
            <v>ZENTLA</v>
          </cell>
          <cell r="H324" t="str">
            <v>CORAZON DE JESUS (PIÑA)</v>
          </cell>
        </row>
        <row r="325">
          <cell r="A325" t="str">
            <v>30DTV0104L</v>
          </cell>
          <cell r="B325" t="str">
            <v>EMILIANO ZAPATA</v>
          </cell>
          <cell r="C325" t="str">
            <v>CONOCIDO</v>
          </cell>
          <cell r="D325" t="str">
            <v>VERONICA HERNANDEZ GONZALEZ</v>
          </cell>
          <cell r="E325">
            <v>18</v>
          </cell>
          <cell r="F325">
            <v>17</v>
          </cell>
          <cell r="G325" t="str">
            <v>ZENTLA</v>
          </cell>
          <cell r="H325" t="str">
            <v>MATLALUCA</v>
          </cell>
        </row>
        <row r="326">
          <cell r="A326" t="str">
            <v>30DTV0925Q</v>
          </cell>
          <cell r="B326" t="str">
            <v>GREGORIO TORRES QUINTERO</v>
          </cell>
          <cell r="C326" t="str">
            <v>CERCA PARCELA ESCOLAR DE ESCUELA PRIMARIA</v>
          </cell>
          <cell r="D326" t="str">
            <v>JOSE SANCHEZ TORRES</v>
          </cell>
          <cell r="E326">
            <v>19</v>
          </cell>
          <cell r="F326">
            <v>17</v>
          </cell>
          <cell r="G326" t="str">
            <v>AMATLAN DE LOS REYES</v>
          </cell>
          <cell r="H326" t="str">
            <v>CACAHUATAL</v>
          </cell>
        </row>
        <row r="327">
          <cell r="A327" t="str">
            <v>30DTV1307N</v>
          </cell>
          <cell r="B327" t="str">
            <v>FRANCISCO JAVIER CLAVIJERO</v>
          </cell>
          <cell r="C327" t="str">
            <v>CONOCIDO</v>
          </cell>
          <cell r="D327" t="str">
            <v>DENISSE CANCINO DEL RIO</v>
          </cell>
          <cell r="E327">
            <v>19</v>
          </cell>
          <cell r="F327">
            <v>17</v>
          </cell>
          <cell r="G327" t="str">
            <v>AMATLAN DE LOS REYES</v>
          </cell>
          <cell r="H327" t="str">
            <v>CAÑADA BLANCA</v>
          </cell>
        </row>
        <row r="328">
          <cell r="A328" t="str">
            <v>30DTV0645G</v>
          </cell>
          <cell r="B328" t="str">
            <v>RICARDO FLORES MAGON</v>
          </cell>
          <cell r="C328" t="str">
            <v>CERCA DEL JARDIN DE NIÑOS Y DE ESCUELA PRIMARIA</v>
          </cell>
          <cell r="D328" t="str">
            <v>FELICITAS M. DEL R. GALIA CORTES</v>
          </cell>
          <cell r="E328">
            <v>19</v>
          </cell>
          <cell r="F328">
            <v>17</v>
          </cell>
          <cell r="G328" t="str">
            <v>AMATLAN DE LOS REYES</v>
          </cell>
          <cell r="H328" t="str">
            <v>SAN ANTONIO FRATERNIDAD</v>
          </cell>
        </row>
        <row r="329">
          <cell r="A329" t="str">
            <v>30DTV1038J</v>
          </cell>
          <cell r="B329" t="str">
            <v>JUSTO SIERRA</v>
          </cell>
          <cell r="C329" t="str">
            <v>CARRETERA FED. CORDOBA-VER. KILOMETRO8.1</v>
          </cell>
          <cell r="D329" t="str">
            <v>ELOISA MARTINEZ ZAMORA</v>
          </cell>
          <cell r="E329">
            <v>19</v>
          </cell>
          <cell r="F329">
            <v>17</v>
          </cell>
          <cell r="G329" t="str">
            <v>AMATLAN DE LOS REYES</v>
          </cell>
          <cell r="H329" t="str">
            <v>MANUEL LEON (SAN JOSE DE GRACIA)</v>
          </cell>
        </row>
        <row r="330">
          <cell r="A330" t="str">
            <v>30DTV1665A</v>
          </cell>
          <cell r="B330" t="str">
            <v>VICENTE RIVA PALACIO</v>
          </cell>
          <cell r="C330" t="str">
            <v>EN EL SALON SOCIAL, CERCA DE LA ESC. PRIM. FRANCISCO M. DE LA LLAVE</v>
          </cell>
          <cell r="D330" t="str">
            <v>LESLY GARCIA CABRERA</v>
          </cell>
          <cell r="E330">
            <v>19</v>
          </cell>
          <cell r="F330">
            <v>17</v>
          </cell>
          <cell r="G330" t="str">
            <v>AMATLAN DE LOS REYES</v>
          </cell>
          <cell r="H330" t="str">
            <v>EL OTATE</v>
          </cell>
        </row>
        <row r="331">
          <cell r="A331" t="str">
            <v>30DTV0043O</v>
          </cell>
          <cell r="B331" t="str">
            <v>GUILLERMO A. SHERWELL</v>
          </cell>
          <cell r="C331" t="str">
            <v>ALVARO GALVEZ Y FUENTES S/N</v>
          </cell>
          <cell r="D331" t="str">
            <v>ROBERTO S. PEREZ GRANADOS</v>
          </cell>
          <cell r="E331">
            <v>19</v>
          </cell>
          <cell r="F331">
            <v>17</v>
          </cell>
          <cell r="G331" t="str">
            <v>AMATLAN DE LOS REYES</v>
          </cell>
          <cell r="H331" t="str">
            <v>PARAJE NUEVO</v>
          </cell>
        </row>
        <row r="332">
          <cell r="A332" t="str">
            <v>30DTV1308M</v>
          </cell>
          <cell r="B332" t="str">
            <v>MIGUEL ALEMAN VALDES</v>
          </cell>
          <cell r="C332" t="str">
            <v>CONOCIDO</v>
          </cell>
          <cell r="D332" t="str">
            <v>MARIA SARA MORALES SANTIAGO</v>
          </cell>
          <cell r="E332">
            <v>19</v>
          </cell>
          <cell r="F332">
            <v>17</v>
          </cell>
          <cell r="G332" t="str">
            <v>AMATLAN DE LOS REYES</v>
          </cell>
          <cell r="H332" t="str">
            <v>OJO CHICO</v>
          </cell>
        </row>
        <row r="333">
          <cell r="A333" t="str">
            <v>30DTV0897K</v>
          </cell>
          <cell r="B333" t="str">
            <v>ENRIQUE C. REBSAMEN</v>
          </cell>
          <cell r="C333" t="str">
            <v>GERANIO S/N</v>
          </cell>
          <cell r="D333" t="str">
            <v>REYNA RESCALVO BALLONA</v>
          </cell>
          <cell r="E333">
            <v>19</v>
          </cell>
          <cell r="F333">
            <v>17</v>
          </cell>
          <cell r="G333" t="str">
            <v>ATOYAC</v>
          </cell>
          <cell r="H333" t="str">
            <v>ATOYAC</v>
          </cell>
        </row>
        <row r="334">
          <cell r="A334" t="str">
            <v>30DTV1131P</v>
          </cell>
          <cell r="B334" t="str">
            <v>ADOLFO RUIZ CORTINES</v>
          </cell>
          <cell r="C334" t="str">
            <v>CASA DEL CAMPESINO</v>
          </cell>
          <cell r="D334" t="str">
            <v>ROCIO LARA GODOS</v>
          </cell>
          <cell r="E334">
            <v>19</v>
          </cell>
          <cell r="F334">
            <v>17</v>
          </cell>
          <cell r="G334" t="str">
            <v>ATOYAC</v>
          </cell>
          <cell r="H334" t="str">
            <v>LA CHARCA</v>
          </cell>
        </row>
        <row r="335">
          <cell r="A335" t="str">
            <v>30DTV0927O</v>
          </cell>
          <cell r="B335" t="str">
            <v>GABRIELA MISTRAL</v>
          </cell>
          <cell r="C335" t="str">
            <v>CERCA DE LA S.S.A. Y DEL BENEFICIO DEL CAFE</v>
          </cell>
          <cell r="D335" t="str">
            <v>JUAN CARLOS MENDEZ</v>
          </cell>
          <cell r="E335">
            <v>19</v>
          </cell>
          <cell r="F335">
            <v>17</v>
          </cell>
          <cell r="G335" t="str">
            <v>ATOYAC</v>
          </cell>
          <cell r="H335" t="str">
            <v>MANZANILLO</v>
          </cell>
        </row>
        <row r="336">
          <cell r="A336" t="str">
            <v>30DTV0931A</v>
          </cell>
          <cell r="B336" t="str">
            <v>FELIPE CARRILLO PUERTO</v>
          </cell>
          <cell r="C336" t="str">
            <v>AVENIDA PONIENTE 2 S/N</v>
          </cell>
          <cell r="D336" t="str">
            <v>MARIANA CORTES GUZMAN</v>
          </cell>
          <cell r="E336">
            <v>19</v>
          </cell>
          <cell r="F336">
            <v>17</v>
          </cell>
          <cell r="G336" t="str">
            <v>CARRILLO PUERTO</v>
          </cell>
          <cell r="H336" t="str">
            <v>TAMARINDO</v>
          </cell>
        </row>
        <row r="337">
          <cell r="A337" t="str">
            <v>30DTV1678E</v>
          </cell>
          <cell r="B337" t="str">
            <v>FRANCISCO FERRER GUARDIA</v>
          </cell>
          <cell r="C337" t="str">
            <v>CONOCIDO EN LA ESCUELA PRIMARIA BELISARIO DOMINGUEZ</v>
          </cell>
          <cell r="D337" t="str">
            <v>ROSALBA MARTINEZ GONZALEZ</v>
          </cell>
          <cell r="E337">
            <v>19</v>
          </cell>
          <cell r="F337">
            <v>17</v>
          </cell>
          <cell r="G337" t="str">
            <v>CARRILLO PUERTO</v>
          </cell>
          <cell r="H337" t="str">
            <v>LOMA ANGOSTA</v>
          </cell>
        </row>
        <row r="338">
          <cell r="A338" t="str">
            <v>30DTV1679D</v>
          </cell>
          <cell r="B338" t="str">
            <v>PAULO FREIRE</v>
          </cell>
          <cell r="C338" t="str">
            <v>CAMINO PRINCIPAL S/N (CASA DEL CAMPESINO)</v>
          </cell>
          <cell r="D338" t="str">
            <v>JENNY RIVERA MORALES</v>
          </cell>
          <cell r="E338">
            <v>19</v>
          </cell>
          <cell r="F338">
            <v>17</v>
          </cell>
          <cell r="G338" t="str">
            <v>CARRILLO PUERTO</v>
          </cell>
          <cell r="H338" t="str">
            <v>EL PALMAR</v>
          </cell>
        </row>
        <row r="339">
          <cell r="A339" t="str">
            <v>30DTV1600R</v>
          </cell>
          <cell r="B339" t="str">
            <v>LEONA VICARIO</v>
          </cell>
          <cell r="C339" t="str">
            <v>JUNTO A LA AGENCIA MUNICIPAL</v>
          </cell>
          <cell r="D339" t="str">
            <v>CECILIO GONZALEZ MARIN</v>
          </cell>
          <cell r="E339">
            <v>19</v>
          </cell>
          <cell r="F339">
            <v>17</v>
          </cell>
          <cell r="G339" t="str">
            <v>CARRILLO PUERTO</v>
          </cell>
          <cell r="H339" t="str">
            <v>CERRO ALTO</v>
          </cell>
        </row>
        <row r="340">
          <cell r="A340" t="str">
            <v>30DTV0314Q</v>
          </cell>
          <cell r="B340" t="str">
            <v>LAZARO CARDENAS DEL RIO</v>
          </cell>
          <cell r="C340" t="str">
            <v>CERCA DEL JARDIN DE NIÑOS Y DE ESCUELA PRIMARIA</v>
          </cell>
          <cell r="D340" t="str">
            <v>MATEO CASTILLO FERNANDEZ</v>
          </cell>
          <cell r="E340">
            <v>19</v>
          </cell>
          <cell r="F340">
            <v>17</v>
          </cell>
          <cell r="G340" t="str">
            <v>CARRILLO PUERTO</v>
          </cell>
          <cell r="H340" t="str">
            <v>ARROYO AZUL</v>
          </cell>
        </row>
        <row r="341">
          <cell r="A341" t="str">
            <v>30DTV1411Z</v>
          </cell>
          <cell r="B341" t="str">
            <v>FRANCISCO ZARCO</v>
          </cell>
          <cell r="C341" t="str">
            <v>CONOCIDO</v>
          </cell>
          <cell r="D341" t="str">
            <v>ALBERTO ALARCON HERNANDEZ</v>
          </cell>
          <cell r="E341">
            <v>19</v>
          </cell>
          <cell r="F341">
            <v>17</v>
          </cell>
          <cell r="G341" t="str">
            <v>CARRILLO PUERTO</v>
          </cell>
          <cell r="H341" t="str">
            <v>PALO AMARILLO (MATA PIONCHE)</v>
          </cell>
        </row>
        <row r="342">
          <cell r="A342" t="str">
            <v>30DTV0054U</v>
          </cell>
          <cell r="B342" t="str">
            <v>SILVESTRE AGUILAR VARGAS</v>
          </cell>
          <cell r="C342" t="str">
            <v>AVENIDA 25 NUM. 521</v>
          </cell>
          <cell r="D342" t="str">
            <v>EULOGIO PEREZ JERONIMO</v>
          </cell>
          <cell r="E342">
            <v>19</v>
          </cell>
          <cell r="F342">
            <v>17</v>
          </cell>
          <cell r="G342" t="str">
            <v>CORDOBA</v>
          </cell>
          <cell r="H342" t="str">
            <v>CORDOBA</v>
          </cell>
        </row>
        <row r="343">
          <cell r="A343" t="str">
            <v>30DTV0899I</v>
          </cell>
          <cell r="B343" t="str">
            <v>VICENTE GUERRERO</v>
          </cell>
          <cell r="C343" t="str">
            <v>AVENIDA BUENOS AIRES S/N</v>
          </cell>
          <cell r="D343" t="str">
            <v>JULIAN FRANCO CHARGOY</v>
          </cell>
          <cell r="E343">
            <v>19</v>
          </cell>
          <cell r="F343">
            <v>17</v>
          </cell>
          <cell r="G343" t="str">
            <v>CORDOBA</v>
          </cell>
          <cell r="H343" t="str">
            <v>EL PORVENIR</v>
          </cell>
        </row>
        <row r="344">
          <cell r="A344" t="str">
            <v>30DTV0473E</v>
          </cell>
          <cell r="B344" t="str">
            <v>LAZARO CARDENAS DEL RIO</v>
          </cell>
          <cell r="C344" t="str">
            <v>CERCA PARCELA ESCOLAR DE ESCUELA PRIMARIA</v>
          </cell>
          <cell r="D344" t="str">
            <v>JAVIER MARTINEZ BOCANEGRA</v>
          </cell>
          <cell r="E344">
            <v>19</v>
          </cell>
          <cell r="F344">
            <v>17</v>
          </cell>
          <cell r="G344" t="str">
            <v>CORDOBA</v>
          </cell>
          <cell r="H344" t="str">
            <v>SAN RAFAEL CALERIA</v>
          </cell>
        </row>
        <row r="345">
          <cell r="A345" t="str">
            <v>30DTV0566U</v>
          </cell>
          <cell r="B345" t="str">
            <v>JOSE MARIA PINO SUAREZ</v>
          </cell>
          <cell r="C345" t="str">
            <v>FRENTE A LA CASA DEL CAMPESINO</v>
          </cell>
          <cell r="D345" t="str">
            <v>EMMA RESCALVO BALLONA</v>
          </cell>
          <cell r="E345">
            <v>19</v>
          </cell>
          <cell r="F345">
            <v>17</v>
          </cell>
          <cell r="G345" t="str">
            <v>CORDOBA</v>
          </cell>
          <cell r="H345" t="str">
            <v>EL PALENQUE PALOTAL</v>
          </cell>
        </row>
        <row r="346">
          <cell r="A346" t="str">
            <v>30DTV0651R</v>
          </cell>
          <cell r="B346" t="str">
            <v>IGNACIO MANUEL ALTAMIRANO</v>
          </cell>
          <cell r="C346" t="str">
            <v>CERCA DEL JARDIN DE NIÑOS</v>
          </cell>
          <cell r="D346" t="str">
            <v>ANA LILIA RAMIREZ TREJO</v>
          </cell>
          <cell r="E346">
            <v>19</v>
          </cell>
          <cell r="F346">
            <v>17</v>
          </cell>
          <cell r="G346" t="str">
            <v>CUITLAHUAC</v>
          </cell>
          <cell r="H346" t="str">
            <v>EL MAGUEY</v>
          </cell>
        </row>
        <row r="347">
          <cell r="A347" t="str">
            <v>30DTV1687M</v>
          </cell>
          <cell r="B347" t="str">
            <v>OCTAVIO PAZ</v>
          </cell>
          <cell r="C347" t="str">
            <v>AVENIDA UNO (CASA DEL CAMPESINO)</v>
          </cell>
          <cell r="D347" t="str">
            <v>DENISSE CANCINO DEL RIO</v>
          </cell>
          <cell r="E347">
            <v>19</v>
          </cell>
          <cell r="F347">
            <v>17</v>
          </cell>
          <cell r="G347" t="str">
            <v>CUITLAHUAC</v>
          </cell>
          <cell r="H347" t="str">
            <v>SAN FRANCISCO (MATA CLARA)</v>
          </cell>
        </row>
        <row r="348">
          <cell r="A348" t="str">
            <v>30DTV0900H</v>
          </cell>
          <cell r="B348" t="str">
            <v>JOSE VASCONCELOS</v>
          </cell>
          <cell r="C348" t="str">
            <v>CERCA DE ESCUELA PRIMARIA</v>
          </cell>
          <cell r="D348" t="str">
            <v>MARIA DE LA LUZ BRIONES REYES</v>
          </cell>
          <cell r="E348">
            <v>19</v>
          </cell>
          <cell r="F348">
            <v>17</v>
          </cell>
          <cell r="G348" t="str">
            <v>CUITLAHUAC</v>
          </cell>
          <cell r="H348" t="str">
            <v>MATA NARANJO (EL NANCHE)</v>
          </cell>
        </row>
        <row r="349">
          <cell r="A349" t="str">
            <v>30DTV0597N</v>
          </cell>
          <cell r="B349" t="str">
            <v>MEXICO</v>
          </cell>
          <cell r="C349" t="str">
            <v>CALLE DEL OLVIDO S/N</v>
          </cell>
          <cell r="D349" t="str">
            <v>LEONCIO GUZMAN REYES</v>
          </cell>
          <cell r="E349">
            <v>19</v>
          </cell>
          <cell r="F349">
            <v>17</v>
          </cell>
          <cell r="G349" t="str">
            <v>NARANJAL</v>
          </cell>
          <cell r="H349" t="str">
            <v>NARANJAL</v>
          </cell>
        </row>
        <row r="350">
          <cell r="A350" t="str">
            <v>30DTV1195Z</v>
          </cell>
          <cell r="B350" t="str">
            <v>VICENTE GUERRERO</v>
          </cell>
          <cell r="C350" t="str">
            <v>CONOCIDO</v>
          </cell>
          <cell r="D350" t="str">
            <v>SILVIA ISABEL GAONA HERNANDEZ</v>
          </cell>
          <cell r="E350">
            <v>19</v>
          </cell>
          <cell r="F350">
            <v>17</v>
          </cell>
          <cell r="G350" t="str">
            <v>NARANJAL</v>
          </cell>
          <cell r="H350" t="str">
            <v>ZOQUIAPA</v>
          </cell>
        </row>
        <row r="351">
          <cell r="A351" t="str">
            <v>30DTV0920V</v>
          </cell>
          <cell r="B351" t="str">
            <v>ADOLFO LOPEZ MATEOS</v>
          </cell>
          <cell r="C351" t="str">
            <v>CERCA DE PARCELA ESCOLAR DE ESCUELA PRIMARIA</v>
          </cell>
          <cell r="D351" t="str">
            <v>MARTIN VICENTE HERNANDEZ</v>
          </cell>
          <cell r="E351">
            <v>19</v>
          </cell>
          <cell r="F351">
            <v>17</v>
          </cell>
          <cell r="G351" t="str">
            <v>YANGA</v>
          </cell>
          <cell r="H351" t="str">
            <v>ADOLFO LOPEZ MATEOS (SAN JOSE DE ENMEDIO)</v>
          </cell>
        </row>
        <row r="352">
          <cell r="A352" t="str">
            <v>30DTV0844F</v>
          </cell>
          <cell r="B352" t="str">
            <v>SOR JUANA INES DE LA CRUZ</v>
          </cell>
          <cell r="C352" t="str">
            <v>CERCA DE EX-HACIENDA DE LA CONCEPCION</v>
          </cell>
          <cell r="D352" t="str">
            <v>MARIA DEL ROSARIO DOMINGUEZ VAZQUEZ</v>
          </cell>
          <cell r="E352">
            <v>19</v>
          </cell>
          <cell r="F352">
            <v>17</v>
          </cell>
          <cell r="G352" t="str">
            <v>YANGA</v>
          </cell>
          <cell r="H352" t="str">
            <v>EX-HACIENDA LA CONCEPCION (LA CONCHA)</v>
          </cell>
        </row>
        <row r="353">
          <cell r="A353" t="str">
            <v>30DTV0989A</v>
          </cell>
          <cell r="B353" t="str">
            <v>NIÐOS HEROES DE CHAPULTEPEC</v>
          </cell>
          <cell r="C353" t="str">
            <v>AVENIDA 2 NUM. 15</v>
          </cell>
          <cell r="D353" t="str">
            <v>LEONCIO GUZMAN REYES</v>
          </cell>
          <cell r="E353">
            <v>19</v>
          </cell>
          <cell r="F353">
            <v>17</v>
          </cell>
          <cell r="G353" t="str">
            <v>YANGA</v>
          </cell>
          <cell r="H353" t="str">
            <v>GENERAL JUAN JOSE BAZ (SAN JOSE DEL CORRAL)</v>
          </cell>
        </row>
        <row r="354">
          <cell r="A354" t="str">
            <v>30DTV0641K</v>
          </cell>
          <cell r="B354" t="str">
            <v>ADOLFO RUIZ CORTINES</v>
          </cell>
          <cell r="C354" t="str">
            <v>MELCHOR OCAMPO S/N</v>
          </cell>
          <cell r="D354" t="str">
            <v>MATILDE VAZQUEZ BARRADAS</v>
          </cell>
          <cell r="E354">
            <v>20</v>
          </cell>
          <cell r="F354">
            <v>15</v>
          </cell>
          <cell r="G354" t="str">
            <v>ACTOPAN</v>
          </cell>
          <cell r="H354" t="str">
            <v>PALMAS DE ABAJO</v>
          </cell>
        </row>
        <row r="355">
          <cell r="A355" t="str">
            <v>30DTV0644H</v>
          </cell>
          <cell r="B355" t="str">
            <v>ENRIQUE C. REBSAMEN</v>
          </cell>
          <cell r="C355" t="str">
            <v>CONOCIDO</v>
          </cell>
          <cell r="D355" t="str">
            <v>SALOME VERDEJO RODRIGUEZ</v>
          </cell>
          <cell r="E355">
            <v>20</v>
          </cell>
          <cell r="F355">
            <v>15</v>
          </cell>
          <cell r="G355" t="str">
            <v>ACTOPAN</v>
          </cell>
          <cell r="H355" t="str">
            <v>PASO DEL CEDRO</v>
          </cell>
        </row>
        <row r="356">
          <cell r="A356" t="str">
            <v>30DTV0337A</v>
          </cell>
          <cell r="B356" t="str">
            <v>ENRIQUE C. REBSAMEN</v>
          </cell>
          <cell r="C356" t="str">
            <v>VICENTE GUERRERO NUM. 125</v>
          </cell>
          <cell r="D356" t="str">
            <v>VICENTE LARA MORGADO</v>
          </cell>
          <cell r="E356">
            <v>20</v>
          </cell>
          <cell r="F356">
            <v>15</v>
          </cell>
          <cell r="G356" t="str">
            <v>ACTOPAN</v>
          </cell>
          <cell r="H356" t="str">
            <v>TINAJITAS</v>
          </cell>
        </row>
        <row r="357">
          <cell r="A357" t="str">
            <v>30DTV1012B</v>
          </cell>
          <cell r="B357" t="str">
            <v>24 DE FEBRERO</v>
          </cell>
          <cell r="C357" t="str">
            <v>CONOCIDO</v>
          </cell>
          <cell r="D357" t="str">
            <v>ADAN GONZALEZ LOPEZ</v>
          </cell>
          <cell r="E357">
            <v>20</v>
          </cell>
          <cell r="F357">
            <v>15</v>
          </cell>
          <cell r="G357" t="str">
            <v>ACTOPAN</v>
          </cell>
          <cell r="H357" t="str">
            <v>SAN JUAN VILLA RICA (VILLA RICA)</v>
          </cell>
        </row>
        <row r="358">
          <cell r="A358" t="str">
            <v>30DTV0123Z</v>
          </cell>
          <cell r="B358" t="str">
            <v>VIRGILIO URIBE</v>
          </cell>
          <cell r="C358" t="str">
            <v>MIGUEL HIDALGO NUM. 2</v>
          </cell>
          <cell r="D358" t="str">
            <v>JOEL HUERTA ROJAS</v>
          </cell>
          <cell r="E358">
            <v>20</v>
          </cell>
          <cell r="F358">
            <v>15</v>
          </cell>
          <cell r="G358" t="str">
            <v>ACTOPAN</v>
          </cell>
          <cell r="H358" t="str">
            <v>SAN ISIDRO</v>
          </cell>
        </row>
        <row r="359">
          <cell r="A359" t="str">
            <v>30DTV0239Z</v>
          </cell>
          <cell r="B359" t="str">
            <v>JOSE MARIA PINO SUAREZ</v>
          </cell>
          <cell r="C359" t="str">
            <v>CARRETERA CARDEL-CHACHALACAS KILOMETRO 1</v>
          </cell>
          <cell r="D359" t="str">
            <v>FRANCO VAZQUEZ RAMIREZ</v>
          </cell>
          <cell r="E359">
            <v>20</v>
          </cell>
          <cell r="F359">
            <v>15</v>
          </cell>
          <cell r="G359" t="str">
            <v>LA ANTIGUA</v>
          </cell>
          <cell r="H359" t="str">
            <v>JOSE CARDEL</v>
          </cell>
        </row>
        <row r="360">
          <cell r="A360" t="str">
            <v>30DTV0415O</v>
          </cell>
          <cell r="B360" t="str">
            <v>SALVADOR GONZALEZ LAGUNES</v>
          </cell>
          <cell r="C360" t="str">
            <v>URSULO GALVAN S/N</v>
          </cell>
          <cell r="D360" t="str">
            <v>PEDRO IXBA TOTO</v>
          </cell>
          <cell r="E360">
            <v>20</v>
          </cell>
          <cell r="F360">
            <v>15</v>
          </cell>
          <cell r="G360" t="str">
            <v>LA ANTIGUA</v>
          </cell>
          <cell r="H360" t="str">
            <v>SALMORAL</v>
          </cell>
        </row>
        <row r="361">
          <cell r="A361" t="str">
            <v>30DTV0491U</v>
          </cell>
          <cell r="B361" t="str">
            <v>MIGUEL ALEMAN VALDES</v>
          </cell>
          <cell r="C361" t="str">
            <v>CONOCIDO</v>
          </cell>
          <cell r="D361" t="str">
            <v>JOSEFINA CUELLAR PAZARAN</v>
          </cell>
          <cell r="E361">
            <v>20</v>
          </cell>
          <cell r="F361">
            <v>15</v>
          </cell>
          <cell r="G361" t="str">
            <v>PASO DE OVEJAS</v>
          </cell>
          <cell r="H361" t="str">
            <v>CANTARRANAS</v>
          </cell>
        </row>
        <row r="362">
          <cell r="A362" t="str">
            <v>30DTV0968O</v>
          </cell>
          <cell r="B362" t="str">
            <v>MIGUEL ALEMAN VALDES</v>
          </cell>
          <cell r="C362" t="str">
            <v>AVENIDA ADOLFO LOPEZ MATEOS S/N</v>
          </cell>
          <cell r="D362" t="str">
            <v>FLORENCIO PARRA VAZQUEZ</v>
          </cell>
          <cell r="E362">
            <v>20</v>
          </cell>
          <cell r="F362">
            <v>15</v>
          </cell>
          <cell r="G362" t="str">
            <v>PUENTE NACIONAL</v>
          </cell>
          <cell r="H362" t="str">
            <v>CABEZAS</v>
          </cell>
        </row>
        <row r="363">
          <cell r="A363" t="str">
            <v>30DTV0147J</v>
          </cell>
          <cell r="B363" t="str">
            <v>ADOLFO LOPEZ MATEOS</v>
          </cell>
          <cell r="C363" t="str">
            <v>16 DE SEPTIEMBRE NUM. 8</v>
          </cell>
          <cell r="D363" t="str">
            <v>IRENE LEON SANTOS</v>
          </cell>
          <cell r="E363">
            <v>20</v>
          </cell>
          <cell r="F363">
            <v>15</v>
          </cell>
          <cell r="G363" t="str">
            <v>URSULO GALVAN</v>
          </cell>
          <cell r="H363" t="str">
            <v>URSULO GALVAN</v>
          </cell>
        </row>
        <row r="364">
          <cell r="A364" t="str">
            <v>30DTV0895M</v>
          </cell>
          <cell r="B364" t="str">
            <v>MOISES SAENZ</v>
          </cell>
          <cell r="C364" t="str">
            <v>CALLE PRINCIPAL</v>
          </cell>
          <cell r="D364" t="str">
            <v>SAMUEL MORENO BASTIAN</v>
          </cell>
          <cell r="E364">
            <v>20</v>
          </cell>
          <cell r="F364">
            <v>15</v>
          </cell>
          <cell r="G364" t="str">
            <v>URSULO GALVAN</v>
          </cell>
          <cell r="H364" t="str">
            <v>EL PARAISO (LA CHARCA)</v>
          </cell>
        </row>
        <row r="365">
          <cell r="A365" t="str">
            <v>30DTV0350V</v>
          </cell>
          <cell r="B365" t="str">
            <v>IGNACIO ZARAGOZA</v>
          </cell>
          <cell r="C365" t="str">
            <v>CONOCIDO</v>
          </cell>
          <cell r="D365" t="str">
            <v>LEONARDA DOMINGO SANTIAGO</v>
          </cell>
          <cell r="E365">
            <v>20</v>
          </cell>
          <cell r="F365">
            <v>15</v>
          </cell>
          <cell r="G365" t="str">
            <v>URSULO GALVAN</v>
          </cell>
          <cell r="H365" t="str">
            <v>PASO DE DOÑA JUANA</v>
          </cell>
        </row>
        <row r="366">
          <cell r="A366" t="str">
            <v>30DTV1145S</v>
          </cell>
          <cell r="B366" t="str">
            <v>FERNANDO LOPEZ ARIAS</v>
          </cell>
          <cell r="C366" t="str">
            <v>CONOCIDO</v>
          </cell>
          <cell r="D366" t="str">
            <v>ANA LILA AGUIRRE HERNANDEZ</v>
          </cell>
          <cell r="E366">
            <v>20</v>
          </cell>
          <cell r="F366">
            <v>15</v>
          </cell>
          <cell r="G366" t="str">
            <v>URSULO GALVAN</v>
          </cell>
          <cell r="H366" t="str">
            <v>PLAYA DE CHACHALACAS</v>
          </cell>
        </row>
        <row r="367">
          <cell r="A367" t="str">
            <v>30DTV0131I</v>
          </cell>
          <cell r="B367" t="str">
            <v>IGNACIO ZARAGOZA</v>
          </cell>
          <cell r="C367" t="str">
            <v>CALZADA MEDICO Y CORONEL FRANCISCO TALAVERA</v>
          </cell>
          <cell r="D367" t="str">
            <v>JESUS R. CHAZZARINI RAMIREZ</v>
          </cell>
          <cell r="E367">
            <v>21</v>
          </cell>
          <cell r="F367">
            <v>22</v>
          </cell>
          <cell r="G367" t="str">
            <v>CAMARON DE TEJEDA</v>
          </cell>
          <cell r="H367" t="str">
            <v>CAMARON DE TEJEDA</v>
          </cell>
        </row>
        <row r="368">
          <cell r="A368" t="str">
            <v>30DTV0414P</v>
          </cell>
          <cell r="B368" t="str">
            <v>MARGARITA MAZA DE JUAREZ</v>
          </cell>
          <cell r="C368" t="str">
            <v>CONOCIDO CERCA DEL CAMPO DE FUTBOL</v>
          </cell>
          <cell r="D368" t="str">
            <v>ALMA LUZ VAZQUEZ HERNANDEZ</v>
          </cell>
          <cell r="E368">
            <v>21</v>
          </cell>
          <cell r="F368">
            <v>22</v>
          </cell>
          <cell r="G368" t="str">
            <v>CAMARON DE TEJEDA</v>
          </cell>
          <cell r="H368" t="str">
            <v>MATA DE AGUA</v>
          </cell>
        </row>
        <row r="369">
          <cell r="A369" t="str">
            <v>30DTV0994M</v>
          </cell>
          <cell r="B369" t="str">
            <v>VENUSTIANO CARRANZA</v>
          </cell>
          <cell r="C369" t="str">
            <v>HERALDO S/N</v>
          </cell>
          <cell r="D369" t="str">
            <v>JAIME TERAN Y RAMOS</v>
          </cell>
          <cell r="E369">
            <v>21</v>
          </cell>
          <cell r="F369">
            <v>22</v>
          </cell>
          <cell r="G369" t="str">
            <v>BOCA DEL RIO</v>
          </cell>
          <cell r="H369" t="str">
            <v>BOCA DEL RIO</v>
          </cell>
        </row>
        <row r="370">
          <cell r="A370" t="str">
            <v>30DTV0668R</v>
          </cell>
          <cell r="B370" t="str">
            <v>VICENTE GUERRERO</v>
          </cell>
          <cell r="C370" t="str">
            <v>CONOCIDO ENTRE JARDIN DE NIÑOS Y LA TIENDA DEL PUEBLO</v>
          </cell>
          <cell r="D370" t="str">
            <v>GIZET GARCIA GONZALEZ</v>
          </cell>
          <cell r="E370">
            <v>21</v>
          </cell>
          <cell r="F370">
            <v>22</v>
          </cell>
          <cell r="G370" t="str">
            <v>MANLIO FABIO ALTAMIRANO</v>
          </cell>
          <cell r="H370" t="str">
            <v>LA FIRMEZA</v>
          </cell>
        </row>
        <row r="371">
          <cell r="A371" t="str">
            <v>30DTV0416N</v>
          </cell>
          <cell r="B371" t="str">
            <v>EMILIANO ZAPATA</v>
          </cell>
          <cell r="C371" t="str">
            <v>CONOCIDO FRENTE AL JARDIN DE NIÑOS</v>
          </cell>
          <cell r="D371" t="str">
            <v>FLORA ANTONIA ROGEL FUENTES</v>
          </cell>
          <cell r="E371">
            <v>21</v>
          </cell>
          <cell r="F371">
            <v>22</v>
          </cell>
          <cell r="G371" t="str">
            <v>MANLIO FABIO ALTAMIRANO</v>
          </cell>
          <cell r="H371" t="str">
            <v>LOMA DE LOS CARMONA</v>
          </cell>
        </row>
        <row r="372">
          <cell r="A372" t="str">
            <v>30DTV0714M</v>
          </cell>
          <cell r="B372" t="str">
            <v>CUAUHTEMOC</v>
          </cell>
          <cell r="C372" t="str">
            <v>CONOCIDO EN LA LOMA JUNTO AL KINDER</v>
          </cell>
          <cell r="D372" t="str">
            <v>DOMINGO SANCHEZ CALLEJAS</v>
          </cell>
          <cell r="E372">
            <v>21</v>
          </cell>
          <cell r="F372">
            <v>22</v>
          </cell>
          <cell r="G372" t="str">
            <v>PASO DE OVEJAS</v>
          </cell>
          <cell r="H372" t="str">
            <v>PUENTE JULA</v>
          </cell>
        </row>
        <row r="373">
          <cell r="A373" t="str">
            <v>30DTV1724Z</v>
          </cell>
          <cell r="B373" t="str">
            <v>TELESECUNDARIA</v>
          </cell>
          <cell r="C373" t="str">
            <v>FRANCISCO VILLA NUM. 3</v>
          </cell>
          <cell r="D373" t="str">
            <v>EUDOXIA BELINDA PERE LOPEZ</v>
          </cell>
          <cell r="E373">
            <v>21</v>
          </cell>
          <cell r="F373">
            <v>22</v>
          </cell>
          <cell r="G373" t="str">
            <v>SOLEDAD DE DOBLADO</v>
          </cell>
          <cell r="H373" t="str">
            <v>LA UNION UNO</v>
          </cell>
        </row>
        <row r="374">
          <cell r="A374" t="str">
            <v>30DTV0256Q</v>
          </cell>
          <cell r="B374" t="str">
            <v>RICARDO FLORES MAGON</v>
          </cell>
          <cell r="C374" t="str">
            <v>HEROISMO ENTRE MURILLO Y URBINA</v>
          </cell>
          <cell r="D374" t="str">
            <v>NICOLAS LOEZA MORA</v>
          </cell>
          <cell r="E374">
            <v>21</v>
          </cell>
          <cell r="F374">
            <v>22</v>
          </cell>
          <cell r="G374" t="str">
            <v>VERACRUZ</v>
          </cell>
          <cell r="H374" t="str">
            <v>VERACRUZ</v>
          </cell>
        </row>
        <row r="375">
          <cell r="A375" t="str">
            <v>30DTV0256Q</v>
          </cell>
          <cell r="B375" t="str">
            <v>RICARDO FLORES MAGON</v>
          </cell>
          <cell r="C375" t="str">
            <v>HEROISMO ENTRE MURILLO Y URBINA</v>
          </cell>
          <cell r="D375" t="str">
            <v>NICOLAS LOEZA MORA</v>
          </cell>
          <cell r="E375">
            <v>21</v>
          </cell>
          <cell r="F375">
            <v>22</v>
          </cell>
          <cell r="G375" t="str">
            <v>VERACRUZ</v>
          </cell>
          <cell r="H375" t="str">
            <v>VERACRUZ</v>
          </cell>
        </row>
        <row r="376">
          <cell r="A376" t="str">
            <v>30DTV1065G</v>
          </cell>
          <cell r="B376" t="str">
            <v>JUSTO SIERRA</v>
          </cell>
          <cell r="C376" t="str">
            <v>TEMPOAL NUM. 18</v>
          </cell>
          <cell r="D376" t="str">
            <v>LUCILA ESPINOSA CAMPOMANES</v>
          </cell>
          <cell r="E376">
            <v>21</v>
          </cell>
          <cell r="F376">
            <v>22</v>
          </cell>
          <cell r="G376" t="str">
            <v>VERACRUZ</v>
          </cell>
          <cell r="H376" t="str">
            <v>VERACRUZ</v>
          </cell>
        </row>
        <row r="377">
          <cell r="A377" t="str">
            <v>30DTV0774A</v>
          </cell>
          <cell r="B377" t="str">
            <v>CARLOS A. CARRILLO</v>
          </cell>
          <cell r="C377" t="str">
            <v>INDEPENDENCIA S/N JUNTO A LA BODEGA AGROPECUARIA</v>
          </cell>
          <cell r="D377" t="str">
            <v>FELIX BOJORQUEZ ROJAS</v>
          </cell>
          <cell r="E377">
            <v>21</v>
          </cell>
          <cell r="F377">
            <v>22</v>
          </cell>
          <cell r="G377" t="str">
            <v>VERACRUZ</v>
          </cell>
          <cell r="H377" t="str">
            <v>SANTA RITA</v>
          </cell>
        </row>
        <row r="378">
          <cell r="A378" t="str">
            <v>30DTV0987C</v>
          </cell>
          <cell r="B378" t="str">
            <v>VALENTE DIAZ MORAN</v>
          </cell>
          <cell r="C378" t="str">
            <v>CALLE 5 ESQUINA CALLE 4</v>
          </cell>
          <cell r="D378" t="str">
            <v>NICOLAS LOEZA MORA</v>
          </cell>
          <cell r="E378">
            <v>21</v>
          </cell>
          <cell r="F378">
            <v>22</v>
          </cell>
          <cell r="G378" t="str">
            <v>VERACRUZ</v>
          </cell>
          <cell r="H378" t="str">
            <v>VALENTE DIAZ</v>
          </cell>
        </row>
        <row r="379">
          <cell r="A379" t="str">
            <v>30DTV0065Z</v>
          </cell>
          <cell r="B379" t="str">
            <v>JUAN ALVAREZ</v>
          </cell>
          <cell r="C379" t="str">
            <v>COMALCALCO S/N ESQUINA CHOLULA</v>
          </cell>
          <cell r="D379" t="str">
            <v>PORFIRIA DIAZ REYES</v>
          </cell>
          <cell r="E379">
            <v>21</v>
          </cell>
          <cell r="F379">
            <v>22</v>
          </cell>
          <cell r="G379" t="str">
            <v>VERACRUZ</v>
          </cell>
          <cell r="H379" t="str">
            <v>VARGAS</v>
          </cell>
        </row>
        <row r="380">
          <cell r="A380" t="str">
            <v>30DTV0143N</v>
          </cell>
          <cell r="B380" t="str">
            <v>ADOLFO LOPEZ MATEOS</v>
          </cell>
          <cell r="C380" t="str">
            <v>AMADO NERVO NUM. 96</v>
          </cell>
          <cell r="D380" t="str">
            <v>ENOHEMA FERNANDEZ FIGUEROA</v>
          </cell>
          <cell r="E380">
            <v>22</v>
          </cell>
          <cell r="F380">
            <v>10</v>
          </cell>
          <cell r="G380" t="str">
            <v>ACULA</v>
          </cell>
          <cell r="H380" t="str">
            <v>ACULA</v>
          </cell>
        </row>
        <row r="381">
          <cell r="A381" t="str">
            <v>30DTV0720X</v>
          </cell>
          <cell r="B381" t="str">
            <v>EMILIANO ZAPATA</v>
          </cell>
          <cell r="C381" t="str">
            <v>CONOCIDO</v>
          </cell>
          <cell r="D381" t="str">
            <v>PEDRO ANTONIO MOLINA LEYVA</v>
          </cell>
          <cell r="E381">
            <v>22</v>
          </cell>
          <cell r="F381">
            <v>10</v>
          </cell>
          <cell r="G381" t="str">
            <v>ACULA</v>
          </cell>
          <cell r="H381" t="str">
            <v>SAN MIGUEL XOCHITL (SAN MIGUEL EL SOLDADO)</v>
          </cell>
        </row>
        <row r="382">
          <cell r="A382" t="str">
            <v>30DTV0243M</v>
          </cell>
          <cell r="B382" t="str">
            <v>VALENTIN GOMEZ FARIAS</v>
          </cell>
          <cell r="C382" t="str">
            <v>BENITO JUAREZ S/N</v>
          </cell>
          <cell r="D382" t="str">
            <v>BRENDA NIKOY ORTIZ MARTINEZ</v>
          </cell>
          <cell r="E382">
            <v>22</v>
          </cell>
          <cell r="F382">
            <v>10</v>
          </cell>
          <cell r="G382" t="str">
            <v>AMATITLAN</v>
          </cell>
          <cell r="H382" t="str">
            <v>AMATITLAN</v>
          </cell>
        </row>
        <row r="383">
          <cell r="A383" t="str">
            <v>30DTV0090Z</v>
          </cell>
          <cell r="B383" t="str">
            <v>LAZARO CARDENAS DEL RIO</v>
          </cell>
          <cell r="C383" t="str">
            <v>CONOCIDO FRENTE AL JARDIN DE NIÑOS</v>
          </cell>
          <cell r="D383" t="str">
            <v>MARCIANO MATILDE ESCAMILLA</v>
          </cell>
          <cell r="E383">
            <v>22</v>
          </cell>
          <cell r="F383">
            <v>10</v>
          </cell>
          <cell r="G383" t="str">
            <v>AMATITLAN</v>
          </cell>
          <cell r="H383" t="str">
            <v>EL CORTE</v>
          </cell>
        </row>
        <row r="384">
          <cell r="A384" t="str">
            <v>30DTV1664B</v>
          </cell>
          <cell r="B384" t="str">
            <v>BENITO JUAREZ GARCIA</v>
          </cell>
          <cell r="C384" t="str">
            <v>DETRAS DEL CAMPO DE FUTBOL</v>
          </cell>
          <cell r="D384" t="str">
            <v>OSCAR CHAVEZ LOPEZ</v>
          </cell>
          <cell r="E384">
            <v>22</v>
          </cell>
          <cell r="F384">
            <v>10</v>
          </cell>
          <cell r="G384" t="str">
            <v>AMATITLAN</v>
          </cell>
          <cell r="H384" t="str">
            <v>DOS BOCAS</v>
          </cell>
        </row>
        <row r="385">
          <cell r="A385" t="str">
            <v>30DTV1408L</v>
          </cell>
          <cell r="B385" t="str">
            <v>TELESECUNDARIA</v>
          </cell>
          <cell r="C385" t="str">
            <v>CONOCIDO</v>
          </cell>
          <cell r="D385" t="str">
            <v>OSCAR CHAVEZ LOPEZ</v>
          </cell>
          <cell r="E385">
            <v>22</v>
          </cell>
          <cell r="F385">
            <v>10</v>
          </cell>
          <cell r="G385" t="str">
            <v>AMATITLAN</v>
          </cell>
          <cell r="H385" t="str">
            <v>EL MULATO</v>
          </cell>
        </row>
        <row r="386">
          <cell r="A386" t="str">
            <v>30DTV1322F</v>
          </cell>
          <cell r="B386" t="str">
            <v>JUANA DE ASBAJE</v>
          </cell>
          <cell r="C386" t="str">
            <v>CONOCIDO</v>
          </cell>
          <cell r="D386" t="str">
            <v>MARIA ESTELA PALACIOS VILLEGAS</v>
          </cell>
          <cell r="E386">
            <v>22</v>
          </cell>
          <cell r="F386">
            <v>10</v>
          </cell>
          <cell r="G386" t="str">
            <v>AMATITLAN</v>
          </cell>
          <cell r="H386" t="str">
            <v>RANCHO NUEVO (LOS CERROS)</v>
          </cell>
        </row>
        <row r="387">
          <cell r="A387" t="str">
            <v>30DTV0410T</v>
          </cell>
          <cell r="B387" t="str">
            <v>CIPRIANO VILLASANA JIMENEZ</v>
          </cell>
          <cell r="C387" t="str">
            <v>PROLONGACION VIA SAN GABRIEL NUM. 1808</v>
          </cell>
          <cell r="D387" t="str">
            <v>FELIX PEREZ GARCIA</v>
          </cell>
          <cell r="E387">
            <v>22</v>
          </cell>
          <cell r="F387">
            <v>10</v>
          </cell>
          <cell r="G387" t="str">
            <v>COSAMALOAPAN DE CARPIO</v>
          </cell>
          <cell r="H387" t="str">
            <v>COSAMALOAPAN</v>
          </cell>
        </row>
        <row r="388">
          <cell r="A388" t="str">
            <v>30DTV0426U</v>
          </cell>
          <cell r="B388" t="str">
            <v>RAFAEL RAMIREZ</v>
          </cell>
          <cell r="C388" t="str">
            <v>CONOCIDO CALLE PRINCIPAL</v>
          </cell>
          <cell r="D388" t="str">
            <v>SANTOS GUTIERREZ ZARATE</v>
          </cell>
          <cell r="E388">
            <v>22</v>
          </cell>
          <cell r="F388">
            <v>10</v>
          </cell>
          <cell r="G388" t="str">
            <v>COSAMALOAPAN DE CARPIO</v>
          </cell>
          <cell r="H388" t="str">
            <v>FERNANDO LOPEZ ARIAS</v>
          </cell>
        </row>
        <row r="389">
          <cell r="A389" t="str">
            <v>30DTV0099Q</v>
          </cell>
          <cell r="B389" t="str">
            <v>ENRIQUE C. REBSAMEN</v>
          </cell>
          <cell r="C389" t="str">
            <v>12 DE OCTUBRE S/N</v>
          </cell>
          <cell r="D389" t="str">
            <v>RUTH EUGENIO REYES</v>
          </cell>
          <cell r="E389">
            <v>22</v>
          </cell>
          <cell r="F389">
            <v>10</v>
          </cell>
          <cell r="G389" t="str">
            <v>COSAMALOAPAN DE CARPIO</v>
          </cell>
          <cell r="H389" t="str">
            <v>NOPALTEPEC</v>
          </cell>
        </row>
        <row r="390">
          <cell r="A390" t="str">
            <v>30DTV0408E</v>
          </cell>
          <cell r="B390" t="str">
            <v>LAZARO CARDENAS DEL RIO</v>
          </cell>
          <cell r="C390" t="str">
            <v>FRENTE AL TELEBACHILLERATO</v>
          </cell>
          <cell r="D390" t="str">
            <v>GRISELDA ELISA CANO TOVILLA</v>
          </cell>
          <cell r="E390">
            <v>22</v>
          </cell>
          <cell r="F390">
            <v>10</v>
          </cell>
          <cell r="G390" t="str">
            <v>COSAMALOAPAN DE CARPIO</v>
          </cell>
          <cell r="H390" t="str">
            <v>SAN FRANCISCO (OYOZONTLE)</v>
          </cell>
        </row>
        <row r="391">
          <cell r="A391" t="str">
            <v>30DTV0174G</v>
          </cell>
          <cell r="B391" t="str">
            <v>MIGUEL HIDALGO Y COSTILLA</v>
          </cell>
          <cell r="C391" t="str">
            <v>CARRETERA FED. COSAMALOAPAN-CD. ALEMAN KILOMETRO 22</v>
          </cell>
          <cell r="D391" t="str">
            <v>RAFEL SANCHEZ RIVERA</v>
          </cell>
          <cell r="E391">
            <v>22</v>
          </cell>
          <cell r="F391">
            <v>10</v>
          </cell>
          <cell r="G391" t="str">
            <v>COSAMALOAPAN DE CARPIO</v>
          </cell>
          <cell r="H391" t="str">
            <v>PARAISO NOVILLERO</v>
          </cell>
        </row>
        <row r="392">
          <cell r="A392" t="str">
            <v>30DTV0549D</v>
          </cell>
          <cell r="B392" t="str">
            <v>NIÐOS HEROES</v>
          </cell>
          <cell r="C392" t="str">
            <v>JUNTO AL JARDIN DE NIÑOS</v>
          </cell>
          <cell r="D392" t="str">
            <v>IVON LORENA RUIZ ROSAS</v>
          </cell>
          <cell r="E392">
            <v>22</v>
          </cell>
          <cell r="F392">
            <v>10</v>
          </cell>
          <cell r="G392" t="str">
            <v>COSAMALOAPAN DE CARPIO</v>
          </cell>
          <cell r="H392" t="str">
            <v>POBLADO DOS (AMPLIACION PIEDRAS NEGRAS)</v>
          </cell>
        </row>
        <row r="393">
          <cell r="A393" t="str">
            <v>30DTV0740K</v>
          </cell>
          <cell r="B393" t="str">
            <v>VICENTE SUAREZ</v>
          </cell>
          <cell r="C393" t="str">
            <v>CONOCIDO</v>
          </cell>
          <cell r="D393" t="str">
            <v>FLOR MARIA MARTINEZ PEREZ</v>
          </cell>
          <cell r="E393">
            <v>22</v>
          </cell>
          <cell r="F393">
            <v>10</v>
          </cell>
          <cell r="G393" t="str">
            <v>IXMATLAHUACAN</v>
          </cell>
          <cell r="H393" t="str">
            <v>MOZAPA</v>
          </cell>
        </row>
        <row r="394">
          <cell r="A394" t="str">
            <v>30DTV0570G</v>
          </cell>
          <cell r="B394" t="str">
            <v>FRANCISCO JAVIER CLAVIJERO</v>
          </cell>
          <cell r="C394" t="str">
            <v>FRENTE A LA AGENCIA MUNICIPAL</v>
          </cell>
          <cell r="D394" t="str">
            <v>GUADALUPE PRADO ROSALES</v>
          </cell>
          <cell r="E394">
            <v>22</v>
          </cell>
          <cell r="F394">
            <v>10</v>
          </cell>
          <cell r="G394" t="str">
            <v>TRES VALLES</v>
          </cell>
          <cell r="H394" t="str">
            <v>POBLADO TRES</v>
          </cell>
        </row>
        <row r="395">
          <cell r="A395" t="str">
            <v>30DTV0568S</v>
          </cell>
          <cell r="B395" t="str">
            <v>CONSTITUCION MEXICANA</v>
          </cell>
          <cell r="C395" t="str">
            <v>BOULEVARD MIGUEL ALEMAN S/N</v>
          </cell>
          <cell r="D395" t="str">
            <v>FRANCISCO RAMON HERNANDEZ</v>
          </cell>
          <cell r="E395">
            <v>22</v>
          </cell>
          <cell r="F395">
            <v>10</v>
          </cell>
          <cell r="G395" t="str">
            <v>CARLOS A. CARRILLO</v>
          </cell>
          <cell r="H395" t="str">
            <v>CARLOS A. CARRILLO</v>
          </cell>
        </row>
        <row r="396">
          <cell r="A396" t="str">
            <v>30DTV0333E</v>
          </cell>
          <cell r="B396" t="str">
            <v>FRANCISCO JAVIER CLAVIJERO</v>
          </cell>
          <cell r="C396" t="str">
            <v>FRENTE AL TEMPLO EVANGELICO</v>
          </cell>
          <cell r="D396" t="str">
            <v>ARNULFO AGUILERA MUÑOZ</v>
          </cell>
          <cell r="E396">
            <v>22</v>
          </cell>
          <cell r="F396">
            <v>10</v>
          </cell>
          <cell r="G396" t="str">
            <v>CARLOS A. CARRILLO</v>
          </cell>
          <cell r="H396" t="str">
            <v>TILAPA</v>
          </cell>
        </row>
        <row r="397">
          <cell r="A397" t="str">
            <v>30DTV0084O</v>
          </cell>
          <cell r="B397" t="str">
            <v>EMILIANO ZAPATA</v>
          </cell>
          <cell r="C397" t="str">
            <v>PRIMITIVO R. VALENCIA NUM. 1</v>
          </cell>
          <cell r="D397" t="str">
            <v>GUADALUPE LARA MEZA</v>
          </cell>
          <cell r="E397">
            <v>23</v>
          </cell>
          <cell r="F397">
            <v>9</v>
          </cell>
          <cell r="G397" t="str">
            <v>ANGEL R. CABADA</v>
          </cell>
          <cell r="H397" t="str">
            <v>ANGEL R. CABADA</v>
          </cell>
        </row>
        <row r="398">
          <cell r="A398" t="str">
            <v>30DTV0556N</v>
          </cell>
          <cell r="B398" t="str">
            <v>IGNACIO RAMIREZ</v>
          </cell>
          <cell r="C398" t="str">
            <v>JUNTO AL CAMPO DEPORTIVO</v>
          </cell>
          <cell r="D398" t="str">
            <v>JOSE LUIS AGUILAR RIVERA</v>
          </cell>
          <cell r="E398">
            <v>23</v>
          </cell>
          <cell r="F398">
            <v>9</v>
          </cell>
          <cell r="G398" t="str">
            <v>ANGEL R. CABADA</v>
          </cell>
          <cell r="H398" t="str">
            <v>BRAZO DE LA PALMA (EL RINCON CALIENTE)</v>
          </cell>
        </row>
        <row r="399">
          <cell r="A399" t="str">
            <v>30DTV1371O</v>
          </cell>
          <cell r="B399" t="str">
            <v>TELESECUNDARIA</v>
          </cell>
          <cell r="C399" t="str">
            <v>CONOCIDO JUNTO AL CAMPO DEPORTIVO</v>
          </cell>
          <cell r="D399" t="str">
            <v>ROSA USCANGA CARVAJAL</v>
          </cell>
          <cell r="E399">
            <v>23</v>
          </cell>
          <cell r="F399">
            <v>9</v>
          </cell>
          <cell r="G399" t="str">
            <v>ANGEL R. CABADA</v>
          </cell>
          <cell r="H399" t="str">
            <v>LA ESPERANZA</v>
          </cell>
        </row>
        <row r="400">
          <cell r="A400" t="str">
            <v>30DTV0070L</v>
          </cell>
          <cell r="B400" t="str">
            <v>VICENTE GUERRERO</v>
          </cell>
          <cell r="C400" t="str">
            <v>CALLE PRINCIPAL S/N</v>
          </cell>
          <cell r="D400" t="str">
            <v>ROSA DEL CARMEN ANDRADE FOMPEROSA</v>
          </cell>
          <cell r="E400">
            <v>23</v>
          </cell>
          <cell r="F400">
            <v>9</v>
          </cell>
          <cell r="G400" t="str">
            <v>ANGEL R. CABADA</v>
          </cell>
          <cell r="H400" t="str">
            <v>LA FLORIDA</v>
          </cell>
        </row>
        <row r="401">
          <cell r="A401" t="str">
            <v>30DTV0550T</v>
          </cell>
          <cell r="B401" t="str">
            <v>MIGUEL HIDALGO Y COSTILLA</v>
          </cell>
          <cell r="C401" t="str">
            <v>MIGUEL HIDALGO Y COSTILLA</v>
          </cell>
          <cell r="D401" t="str">
            <v>SONIA HERNANDEZ RODRIGUEZ</v>
          </cell>
          <cell r="E401">
            <v>23</v>
          </cell>
          <cell r="F401">
            <v>9</v>
          </cell>
          <cell r="G401" t="str">
            <v>ANGEL R. CABADA</v>
          </cell>
          <cell r="H401" t="str">
            <v>LAGUNA DE MAJAHUAL (RIO DE CAÑAS EJIDO)</v>
          </cell>
        </row>
        <row r="402">
          <cell r="A402" t="str">
            <v>30DTV1130Q</v>
          </cell>
          <cell r="B402" t="str">
            <v>LUIS DONALDO COLOSIO MURRIETA</v>
          </cell>
          <cell r="C402" t="str">
            <v>JUNTO A LA IGLESIA CATOLICA</v>
          </cell>
          <cell r="D402" t="str">
            <v>DEMETRIO SERRANO SAAVEDRA</v>
          </cell>
          <cell r="E402">
            <v>23</v>
          </cell>
          <cell r="F402">
            <v>9</v>
          </cell>
          <cell r="G402" t="str">
            <v>ANGEL R. CABADA</v>
          </cell>
          <cell r="H402" t="str">
            <v>LOS LIRIOS</v>
          </cell>
        </row>
        <row r="403">
          <cell r="A403" t="str">
            <v>30DTV0010X</v>
          </cell>
          <cell r="B403" t="str">
            <v>ALFONSO ARROYO FLORES</v>
          </cell>
          <cell r="C403" t="str">
            <v>5 DE MAYO S/N</v>
          </cell>
          <cell r="D403" t="str">
            <v>MIGUELANGEL ANDRADE FOMPEROSA</v>
          </cell>
          <cell r="E403">
            <v>23</v>
          </cell>
          <cell r="F403">
            <v>9</v>
          </cell>
          <cell r="G403" t="str">
            <v>ANGEL R. CABADA</v>
          </cell>
          <cell r="H403" t="str">
            <v>EL PORVENIR</v>
          </cell>
        </row>
        <row r="404">
          <cell r="A404" t="str">
            <v>30DTV1667Z</v>
          </cell>
          <cell r="B404" t="str">
            <v>TELESECUNDARIA</v>
          </cell>
          <cell r="C404" t="str">
            <v>16 DE SEPTIEMBRE S/N</v>
          </cell>
          <cell r="D404" t="str">
            <v>ANGELA ISABEL AGUILAR BARROSO</v>
          </cell>
          <cell r="E404">
            <v>23</v>
          </cell>
          <cell r="F404">
            <v>9</v>
          </cell>
          <cell r="G404" t="str">
            <v>ANGEL R. CABADA</v>
          </cell>
          <cell r="H404" t="str">
            <v>EL PROGRESO MAJAHUAL</v>
          </cell>
        </row>
        <row r="405">
          <cell r="A405" t="str">
            <v>30DTV0269U</v>
          </cell>
          <cell r="B405" t="str">
            <v>VENUSTIANO CARRANZA</v>
          </cell>
          <cell r="C405" t="str">
            <v>CONSTITUCION NUM. 12</v>
          </cell>
          <cell r="D405" t="str">
            <v>EDGARDO VERA HERNANDEZ</v>
          </cell>
          <cell r="E405">
            <v>23</v>
          </cell>
          <cell r="F405">
            <v>9</v>
          </cell>
          <cell r="G405" t="str">
            <v>ANGEL R. CABADA</v>
          </cell>
          <cell r="H405" t="str">
            <v>SAN JUAN DE LOS REYES (LUIS VALENZUELA)</v>
          </cell>
        </row>
        <row r="406">
          <cell r="A406" t="str">
            <v>30DTV1493Z</v>
          </cell>
          <cell r="B406" t="str">
            <v>MARTIRES DE TLATELOLCO</v>
          </cell>
          <cell r="C406" t="str">
            <v>PRINCIPAL (COMISARIADO EJIDAL)</v>
          </cell>
          <cell r="D406" t="str">
            <v>SILVIA DIAZ ROMAN</v>
          </cell>
          <cell r="E406">
            <v>23</v>
          </cell>
          <cell r="F406">
            <v>9</v>
          </cell>
          <cell r="G406" t="str">
            <v>ANGEL R. CABADA</v>
          </cell>
          <cell r="H406" t="str">
            <v>CHONEGAL</v>
          </cell>
        </row>
        <row r="407">
          <cell r="A407" t="str">
            <v>30DTV0045M</v>
          </cell>
          <cell r="B407" t="str">
            <v>VIDAL DIAZ MUÐOZ</v>
          </cell>
          <cell r="C407" t="str">
            <v>AVENIDA MAGISTERIO NUM. 14</v>
          </cell>
          <cell r="D407" t="str">
            <v>FREDY ANDRADE ZAPOTL</v>
          </cell>
          <cell r="E407">
            <v>23</v>
          </cell>
          <cell r="F407">
            <v>9</v>
          </cell>
          <cell r="G407" t="str">
            <v>LERDO DE TEJADA</v>
          </cell>
          <cell r="H407" t="str">
            <v>LERDO DE TEJADA</v>
          </cell>
        </row>
        <row r="408">
          <cell r="A408" t="str">
            <v>30DTV0588F</v>
          </cell>
          <cell r="B408" t="str">
            <v>ALFONSO ARROYO FLORES</v>
          </cell>
          <cell r="C408" t="str">
            <v>ANDADOR INGENIO EL POTRERO S/N</v>
          </cell>
          <cell r="D408" t="str">
            <v>BEATRIZ AMPARO TORRES RANGEL</v>
          </cell>
          <cell r="E408">
            <v>23</v>
          </cell>
          <cell r="F408">
            <v>9</v>
          </cell>
          <cell r="G408" t="str">
            <v>LERDO DE TEJADA</v>
          </cell>
          <cell r="H408" t="str">
            <v>LERDO DE TEJADA</v>
          </cell>
        </row>
        <row r="409">
          <cell r="A409" t="str">
            <v>30DTV0953M</v>
          </cell>
          <cell r="B409" t="str">
            <v>SEBASTIAN LERDO DE TEJADA</v>
          </cell>
          <cell r="C409" t="str">
            <v>CARRETERA FEDERAL</v>
          </cell>
          <cell r="D409" t="str">
            <v>FRANCO ADRIANA VIRGINIA</v>
          </cell>
          <cell r="E409">
            <v>23</v>
          </cell>
          <cell r="F409">
            <v>9</v>
          </cell>
          <cell r="G409" t="str">
            <v>LERDO DE TEJADA</v>
          </cell>
          <cell r="H409" t="str">
            <v>LERDO DE TEJADA</v>
          </cell>
        </row>
        <row r="410">
          <cell r="A410" t="str">
            <v>30DTV0026Y</v>
          </cell>
          <cell r="B410" t="str">
            <v>JAIME TORRES BODET</v>
          </cell>
          <cell r="C410" t="str">
            <v>INDEPENDENCIA NUM. 100</v>
          </cell>
          <cell r="D410" t="str">
            <v>EFIGENIO HUERTA RODRIGUEZ</v>
          </cell>
          <cell r="E410">
            <v>23</v>
          </cell>
          <cell r="F410">
            <v>9</v>
          </cell>
          <cell r="G410" t="str">
            <v>SALTABARRANCA</v>
          </cell>
          <cell r="H410" t="str">
            <v>SALTABARRANCA</v>
          </cell>
        </row>
        <row r="411">
          <cell r="A411" t="str">
            <v>30DTV0311T</v>
          </cell>
          <cell r="B411" t="str">
            <v>CUAUHTEMOC</v>
          </cell>
          <cell r="C411" t="str">
            <v>MELCHOR OCAMPO S/N</v>
          </cell>
          <cell r="D411" t="str">
            <v>VALENTIN MONTALVO NARANJO</v>
          </cell>
          <cell r="E411">
            <v>23</v>
          </cell>
          <cell r="F411">
            <v>9</v>
          </cell>
          <cell r="G411" t="str">
            <v>SALTABARRANCA</v>
          </cell>
          <cell r="H411" t="str">
            <v>ZAMORA CALETON</v>
          </cell>
        </row>
        <row r="412">
          <cell r="A412" t="str">
            <v>30DTV0208G</v>
          </cell>
          <cell r="B412" t="str">
            <v>RAFAEL RAMIREZ</v>
          </cell>
          <cell r="C412" t="str">
            <v>EMILIANO ZAPATA S/N</v>
          </cell>
          <cell r="D412" t="str">
            <v>DORIS LOYO RESYES</v>
          </cell>
          <cell r="E412">
            <v>23</v>
          </cell>
          <cell r="F412">
            <v>9</v>
          </cell>
          <cell r="G412" t="str">
            <v>SAN ANDRES TUXTLA</v>
          </cell>
          <cell r="H412" t="str">
            <v>LA NUEVA VICTORIA</v>
          </cell>
        </row>
        <row r="413">
          <cell r="A413" t="str">
            <v>30DTV0756L</v>
          </cell>
          <cell r="B413" t="str">
            <v>SALVADOR DIAZ MIRON</v>
          </cell>
          <cell r="C413" t="str">
            <v>MIGUEL HIDALGO S/N</v>
          </cell>
          <cell r="D413" t="str">
            <v>TERESA DE JESUS MARTINEZ AMBROSIO</v>
          </cell>
          <cell r="E413">
            <v>23</v>
          </cell>
          <cell r="F413">
            <v>9</v>
          </cell>
          <cell r="G413" t="str">
            <v>SAN ANDRES TUXTLA</v>
          </cell>
          <cell r="H413" t="str">
            <v>SALINAS ROCA PARTIDA</v>
          </cell>
        </row>
        <row r="414">
          <cell r="A414" t="str">
            <v>30DTV0135E</v>
          </cell>
          <cell r="B414" t="str">
            <v>SOR JUANA INES DE LA CRUZ</v>
          </cell>
          <cell r="C414" t="str">
            <v>EJIDO S/N</v>
          </cell>
          <cell r="D414" t="str">
            <v>GENOVEVA MARTINEZ MIGUEL</v>
          </cell>
          <cell r="E414">
            <v>24</v>
          </cell>
          <cell r="F414">
            <v>19</v>
          </cell>
          <cell r="G414" t="str">
            <v>PLAYA VICENTE</v>
          </cell>
          <cell r="H414" t="str">
            <v>PLAYA VICENTE</v>
          </cell>
        </row>
        <row r="415">
          <cell r="A415" t="str">
            <v>30DTV0294T</v>
          </cell>
          <cell r="B415" t="str">
            <v>EMILIANO ZAPATA</v>
          </cell>
          <cell r="C415" t="str">
            <v>CONOCIDO</v>
          </cell>
          <cell r="D415" t="str">
            <v>SERGIO VELAZQUEZ CUEVAS</v>
          </cell>
          <cell r="E415">
            <v>24</v>
          </cell>
          <cell r="F415">
            <v>19</v>
          </cell>
          <cell r="G415" t="str">
            <v>PLAYA VICENTE</v>
          </cell>
          <cell r="H415" t="str">
            <v>ABASOLO DEL VALLE</v>
          </cell>
        </row>
        <row r="416">
          <cell r="A416" t="str">
            <v>30DTV0963T</v>
          </cell>
          <cell r="B416" t="str">
            <v>ALVARO GALVEZ Y FUENTES</v>
          </cell>
          <cell r="C416" t="str">
            <v>CALLE PRINCIPAL</v>
          </cell>
          <cell r="D416" t="str">
            <v>FLOR ALICIA ESLAVA RODRIGUEZ</v>
          </cell>
          <cell r="E416">
            <v>24</v>
          </cell>
          <cell r="F416">
            <v>19</v>
          </cell>
          <cell r="G416" t="str">
            <v>PLAYA VICENTE</v>
          </cell>
          <cell r="H416" t="str">
            <v>ARROYO BERMEJO</v>
          </cell>
        </row>
        <row r="417">
          <cell r="A417" t="str">
            <v>30DTV1623B</v>
          </cell>
          <cell r="B417" t="str">
            <v>JOSE VASCONCELOS CALDERON</v>
          </cell>
          <cell r="C417" t="str">
            <v>CAMINO A ZAPOTAL ESQUINA ORIZABA</v>
          </cell>
          <cell r="D417" t="str">
            <v>ELVIRA NAVARRETE CASTILLO</v>
          </cell>
          <cell r="E417">
            <v>24</v>
          </cell>
          <cell r="F417">
            <v>19</v>
          </cell>
          <cell r="G417" t="str">
            <v>PLAYA VICENTE</v>
          </cell>
          <cell r="H417" t="str">
            <v>CHILAPA DEL CARMEN</v>
          </cell>
        </row>
        <row r="418">
          <cell r="A418" t="str">
            <v>30DTV0752P</v>
          </cell>
          <cell r="B418" t="str">
            <v>MIGUEL HIDALGO Y COSTILLA</v>
          </cell>
          <cell r="C418" t="str">
            <v>CALLE PRINCIPAL</v>
          </cell>
          <cell r="D418" t="str">
            <v>JUAN RANULFO EUSEBIO CORTES</v>
          </cell>
          <cell r="E418">
            <v>24</v>
          </cell>
          <cell r="F418">
            <v>19</v>
          </cell>
          <cell r="G418" t="str">
            <v>PLAYA VICENTE</v>
          </cell>
          <cell r="H418" t="str">
            <v>EDEN DE LAS FLORES</v>
          </cell>
        </row>
        <row r="419">
          <cell r="A419" t="str">
            <v>30DTV0266X</v>
          </cell>
          <cell r="B419" t="str">
            <v>DIECINUEVE DE MARZO</v>
          </cell>
          <cell r="C419" t="str">
            <v>CONOCIDO</v>
          </cell>
          <cell r="D419" t="str">
            <v>MARIA ANTONIA CALLEJAS PESTAðA</v>
          </cell>
          <cell r="E419">
            <v>24</v>
          </cell>
          <cell r="F419">
            <v>19</v>
          </cell>
          <cell r="G419" t="str">
            <v>PLAYA VICENTE</v>
          </cell>
          <cell r="H419" t="str">
            <v>LEALTAD DE MUÑOZ</v>
          </cell>
        </row>
        <row r="420">
          <cell r="A420" t="str">
            <v>30DTV0492T</v>
          </cell>
          <cell r="B420" t="str">
            <v>CARMEN SERDAN ALATRISTE</v>
          </cell>
          <cell r="C420" t="str">
            <v>CONOCIDO</v>
          </cell>
          <cell r="D420" t="str">
            <v>LUZ BELINDA MARTINEZ LOPEZ</v>
          </cell>
          <cell r="E420">
            <v>24</v>
          </cell>
          <cell r="F420">
            <v>19</v>
          </cell>
          <cell r="G420" t="str">
            <v>PLAYA VICENTE</v>
          </cell>
          <cell r="H420" t="str">
            <v>LA NUEVA ERA</v>
          </cell>
        </row>
        <row r="421">
          <cell r="A421" t="str">
            <v>30DTV0154T</v>
          </cell>
          <cell r="B421" t="str">
            <v>EMILIANO ZAPATA</v>
          </cell>
          <cell r="C421" t="str">
            <v>CONOCIDO</v>
          </cell>
          <cell r="D421" t="str">
            <v>BLANCA LIBIA HERNANDEZ MADRIGAL</v>
          </cell>
          <cell r="E421">
            <v>24</v>
          </cell>
          <cell r="F421">
            <v>19</v>
          </cell>
          <cell r="G421" t="str">
            <v>PLAYA VICENTE</v>
          </cell>
          <cell r="H421" t="str">
            <v>EL SERRANO</v>
          </cell>
        </row>
        <row r="422">
          <cell r="A422" t="str">
            <v>30DTV0433D</v>
          </cell>
          <cell r="B422" t="str">
            <v>JAIME TORRES BODET</v>
          </cell>
          <cell r="C422" t="str">
            <v>EMILIANO ZAPATA S/N</v>
          </cell>
          <cell r="D422" t="str">
            <v>PEDRO PEREZ SOLIS</v>
          </cell>
          <cell r="E422">
            <v>24</v>
          </cell>
          <cell r="F422">
            <v>19</v>
          </cell>
          <cell r="G422" t="str">
            <v>PLAYA VICENTE</v>
          </cell>
          <cell r="H422" t="str">
            <v>TOMATE RIO MANSO</v>
          </cell>
        </row>
        <row r="423">
          <cell r="A423" t="str">
            <v>30DTV1718P</v>
          </cell>
          <cell r="B423" t="str">
            <v>TELESECUNDARIA</v>
          </cell>
          <cell r="C423" t="str">
            <v>CASA EJIDAL FRENTE A LA ESCUELA PRIMARIA</v>
          </cell>
          <cell r="D423" t="str">
            <v>IGNACIO BARRIOS Y PULIDO</v>
          </cell>
          <cell r="E423">
            <v>24</v>
          </cell>
          <cell r="F423">
            <v>19</v>
          </cell>
          <cell r="G423" t="str">
            <v>PLAYA VICENTE</v>
          </cell>
          <cell r="H423" t="str">
            <v>TOMATILLO</v>
          </cell>
        </row>
        <row r="424">
          <cell r="A424" t="str">
            <v>30DTV0494R</v>
          </cell>
          <cell r="B424" t="str">
            <v>JUSTO SIERRA MENDEZ</v>
          </cell>
          <cell r="C424" t="str">
            <v>CONOCIDO</v>
          </cell>
          <cell r="D424" t="str">
            <v>TEOFILA MARTINEZ ENRIQUEZ</v>
          </cell>
          <cell r="E424">
            <v>24</v>
          </cell>
          <cell r="F424">
            <v>19</v>
          </cell>
          <cell r="G424" t="str">
            <v>PLAYA VICENTE</v>
          </cell>
          <cell r="H424" t="str">
            <v>LA UNION JUAN ENRIQUEZ</v>
          </cell>
        </row>
        <row r="425">
          <cell r="A425" t="str">
            <v>30DTV0136D</v>
          </cell>
          <cell r="B425" t="str">
            <v>JOSEFA ORTIZ DE DOMINGUEZ</v>
          </cell>
          <cell r="C425" t="str">
            <v>CONOCIDO</v>
          </cell>
          <cell r="D425" t="str">
            <v>RENE GARCIA ORTEGA</v>
          </cell>
          <cell r="E425">
            <v>24</v>
          </cell>
          <cell r="F425">
            <v>19</v>
          </cell>
          <cell r="G425" t="str">
            <v>PLAYA VICENTE</v>
          </cell>
          <cell r="H425" t="str">
            <v>LA VICTORIA</v>
          </cell>
        </row>
        <row r="426">
          <cell r="A426" t="str">
            <v>30DTV0343L</v>
          </cell>
          <cell r="B426" t="str">
            <v>GREGORIO TORRES QUINTERO</v>
          </cell>
          <cell r="C426" t="str">
            <v>C0NOCIDO</v>
          </cell>
          <cell r="D426" t="str">
            <v>RUBEN SEGUNDO MORA</v>
          </cell>
          <cell r="E426">
            <v>24</v>
          </cell>
          <cell r="F426">
            <v>19</v>
          </cell>
          <cell r="G426" t="str">
            <v>SANTIAGO SOCHIAPAN</v>
          </cell>
          <cell r="H426" t="str">
            <v>XOCHIAPA</v>
          </cell>
        </row>
        <row r="427">
          <cell r="A427" t="str">
            <v>30DTV1198X</v>
          </cell>
          <cell r="B427" t="str">
            <v>TELESECUNDARIA</v>
          </cell>
          <cell r="C427" t="str">
            <v>CONOCIDO</v>
          </cell>
          <cell r="D427" t="str">
            <v>ERIKA FERNANDEZ CABRERA</v>
          </cell>
          <cell r="E427">
            <v>24</v>
          </cell>
          <cell r="F427">
            <v>19</v>
          </cell>
          <cell r="G427" t="str">
            <v>SANTIAGO SOCHIAPAN</v>
          </cell>
          <cell r="H427" t="str">
            <v>ARROYO COLORADO CRUZ VERDE</v>
          </cell>
        </row>
        <row r="428">
          <cell r="A428" t="str">
            <v>30DTV0434C</v>
          </cell>
          <cell r="B428" t="str">
            <v>LEONA VICARIO</v>
          </cell>
          <cell r="C428" t="str">
            <v>CONOCIDO</v>
          </cell>
          <cell r="D428" t="str">
            <v>FRANCISCO JAVIER CANELA VALDES</v>
          </cell>
          <cell r="E428">
            <v>24</v>
          </cell>
          <cell r="F428">
            <v>19</v>
          </cell>
          <cell r="G428" t="str">
            <v>SANTIAGO SOCHIAPAN</v>
          </cell>
          <cell r="H428" t="str">
            <v>BOCA DEL MONTE</v>
          </cell>
        </row>
        <row r="429">
          <cell r="A429" t="str">
            <v>30DTV0285L</v>
          </cell>
          <cell r="B429" t="str">
            <v>INDEPENDENCIA</v>
          </cell>
          <cell r="C429" t="str">
            <v>PROLONGACION ENRIQUEZ S/N</v>
          </cell>
          <cell r="D429" t="str">
            <v>SAMUEL LIMON AGUILAR</v>
          </cell>
          <cell r="E429">
            <v>25</v>
          </cell>
          <cell r="F429">
            <v>14</v>
          </cell>
          <cell r="G429" t="str">
            <v>ACAYUCAN</v>
          </cell>
          <cell r="H429" t="str">
            <v>ACAYUCAN</v>
          </cell>
        </row>
        <row r="430">
          <cell r="A430" t="str">
            <v>30DTV0797L</v>
          </cell>
          <cell r="B430" t="str">
            <v>JOSEFA ORTIZ DE DOMINGUEZ</v>
          </cell>
          <cell r="C430" t="str">
            <v>CONOCIDO ENTRADA PRINCIPAL</v>
          </cell>
          <cell r="D430" t="str">
            <v>GUILLERMO LOYDA CRUZ</v>
          </cell>
          <cell r="E430">
            <v>25</v>
          </cell>
          <cell r="F430">
            <v>14</v>
          </cell>
          <cell r="G430" t="str">
            <v>ACAYUCAN</v>
          </cell>
          <cell r="H430" t="str">
            <v>AGUAPINOLE (CUAPINOLE)</v>
          </cell>
        </row>
        <row r="431">
          <cell r="A431" t="str">
            <v>30DTV1402R</v>
          </cell>
          <cell r="B431" t="str">
            <v>MIGUEL HIDALGO Y COSTILLA</v>
          </cell>
          <cell r="C431" t="str">
            <v>CONOCIDO</v>
          </cell>
          <cell r="D431" t="str">
            <v>AMADO ANGEL LOYO</v>
          </cell>
          <cell r="E431">
            <v>25</v>
          </cell>
          <cell r="F431">
            <v>14</v>
          </cell>
          <cell r="G431" t="str">
            <v>ACAYUCAN</v>
          </cell>
          <cell r="H431" t="str">
            <v>CASCAJAL DEL RIO (CASCAJALILLO)</v>
          </cell>
        </row>
        <row r="432">
          <cell r="A432" t="str">
            <v>30DTV0551S</v>
          </cell>
          <cell r="B432" t="str">
            <v>NIÐOS HEROES</v>
          </cell>
          <cell r="C432" t="str">
            <v>JUNTO AL ALBERGUE ESCOLAR</v>
          </cell>
          <cell r="D432" t="str">
            <v>BULMARO CORTEZ ALEMAN</v>
          </cell>
          <cell r="E432">
            <v>25</v>
          </cell>
          <cell r="F432">
            <v>14</v>
          </cell>
          <cell r="G432" t="str">
            <v>ACAYUCAN</v>
          </cell>
          <cell r="H432" t="str">
            <v>COLONIA HIDALGO</v>
          </cell>
        </row>
        <row r="433">
          <cell r="A433" t="str">
            <v>30DTV0921U</v>
          </cell>
          <cell r="B433" t="str">
            <v>JUSTO SIERRA</v>
          </cell>
          <cell r="C433" t="str">
            <v>CONOCIDO ENTRADA A LA COMUNIDAD</v>
          </cell>
          <cell r="D433" t="str">
            <v>LUZ MARIA CONSTANTINO RIOS</v>
          </cell>
          <cell r="E433">
            <v>25</v>
          </cell>
          <cell r="F433">
            <v>14</v>
          </cell>
          <cell r="G433" t="str">
            <v>ACAYUCAN</v>
          </cell>
          <cell r="H433" t="str">
            <v>COMEJEN</v>
          </cell>
        </row>
        <row r="434">
          <cell r="A434" t="str">
            <v>30DTV0241O</v>
          </cell>
          <cell r="B434" t="str">
            <v>JOSE VASCONCELOS</v>
          </cell>
          <cell r="C434" t="str">
            <v>GONZALEZ CABALLERO 2. JUNTO A CLINICA IMSS</v>
          </cell>
          <cell r="D434" t="str">
            <v>JESUS MANUEL MALDONADO ALFONSO</v>
          </cell>
          <cell r="E434">
            <v>25</v>
          </cell>
          <cell r="F434">
            <v>14</v>
          </cell>
          <cell r="G434" t="str">
            <v>ACAYUCAN</v>
          </cell>
          <cell r="H434" t="str">
            <v>CORRAL NUEVO</v>
          </cell>
        </row>
        <row r="435">
          <cell r="A435" t="str">
            <v>30DTV0150X</v>
          </cell>
          <cell r="B435" t="str">
            <v>CUAUHTEMOC</v>
          </cell>
          <cell r="C435" t="str">
            <v>BENITO JUAREZ NUM. 1</v>
          </cell>
          <cell r="D435" t="str">
            <v>PEDRO BALDERRAMA VALENCIA</v>
          </cell>
          <cell r="E435">
            <v>25</v>
          </cell>
          <cell r="F435">
            <v>14</v>
          </cell>
          <cell r="G435" t="str">
            <v>ACAYUCAN</v>
          </cell>
          <cell r="H435" t="str">
            <v>ESPERANZA MALOTA</v>
          </cell>
        </row>
        <row r="436">
          <cell r="A436" t="str">
            <v>30DTV1135L</v>
          </cell>
          <cell r="B436" t="str">
            <v>JOSE MARIA MORELOS Y PAVON</v>
          </cell>
          <cell r="C436" t="str">
            <v>BENITO JUAREZ S/N</v>
          </cell>
          <cell r="D436" t="str">
            <v>ALFONSO FELICIANO VITAL</v>
          </cell>
          <cell r="E436">
            <v>25</v>
          </cell>
          <cell r="F436">
            <v>14</v>
          </cell>
          <cell r="G436" t="str">
            <v>ACAYUCAN</v>
          </cell>
          <cell r="H436" t="str">
            <v>EL HATO</v>
          </cell>
        </row>
        <row r="437">
          <cell r="A437" t="str">
            <v>30DTV0718I</v>
          </cell>
          <cell r="B437" t="str">
            <v>NICOLAS BRAVO</v>
          </cell>
          <cell r="C437" t="str">
            <v>BELISARIO DOMINGUEZ S/N</v>
          </cell>
          <cell r="D437" t="str">
            <v>MARIA DEL CARMEN BASILIO GUTIERREZ</v>
          </cell>
          <cell r="E437">
            <v>25</v>
          </cell>
          <cell r="F437">
            <v>14</v>
          </cell>
          <cell r="G437" t="str">
            <v>ACAYUCAN</v>
          </cell>
          <cell r="H437" t="str">
            <v>CONGREGACION HIDALGO</v>
          </cell>
        </row>
        <row r="438">
          <cell r="A438" t="str">
            <v>30DTV1124F</v>
          </cell>
          <cell r="B438" t="str">
            <v>TELESECUNDARIA</v>
          </cell>
          <cell r="C438" t="str">
            <v>CONOCIDO ENTRADA PRINCIPAL COMUNIDAD</v>
          </cell>
          <cell r="D438" t="str">
            <v>JOSEFA MARIA MARTINEZ CASTILLO</v>
          </cell>
          <cell r="E438">
            <v>25</v>
          </cell>
          <cell r="F438">
            <v>14</v>
          </cell>
          <cell r="G438" t="str">
            <v>ACAYUCAN</v>
          </cell>
          <cell r="H438" t="str">
            <v>IXHUAPAN</v>
          </cell>
        </row>
        <row r="439">
          <cell r="A439" t="str">
            <v>30DTV1204R</v>
          </cell>
          <cell r="B439" t="str">
            <v>FRIDA KAHLO</v>
          </cell>
          <cell r="C439" t="str">
            <v>CONOCIDO</v>
          </cell>
          <cell r="D439" t="str">
            <v>JOSE ALBERTO MARTINEZ HERNANDEZ</v>
          </cell>
          <cell r="E439">
            <v>25</v>
          </cell>
          <cell r="F439">
            <v>14</v>
          </cell>
          <cell r="G439" t="str">
            <v>ACAYUCAN</v>
          </cell>
          <cell r="H439" t="str">
            <v>IXTAGAPA</v>
          </cell>
        </row>
        <row r="440">
          <cell r="A440" t="str">
            <v>30DTV1404P</v>
          </cell>
          <cell r="B440" t="str">
            <v>SALVADOR DIAZ MIRON</v>
          </cell>
          <cell r="C440" t="str">
            <v>VENUSTIANO CARRANZA S/N</v>
          </cell>
          <cell r="D440" t="str">
            <v>LUZ MARIA CONSTANTINO RIOS</v>
          </cell>
          <cell r="E440">
            <v>25</v>
          </cell>
          <cell r="F440">
            <v>14</v>
          </cell>
          <cell r="G440" t="str">
            <v>ACAYUCAN</v>
          </cell>
          <cell r="H440" t="str">
            <v>QUIAMOLOAPAN</v>
          </cell>
        </row>
        <row r="441">
          <cell r="A441" t="str">
            <v>30DTV1553X</v>
          </cell>
          <cell r="B441" t="str">
            <v>TELESECUNDARIA</v>
          </cell>
          <cell r="C441" t="str">
            <v>CONOCIDO ENTRADA PRINCIPAL</v>
          </cell>
          <cell r="D441" t="str">
            <v>JUDITH RIVERA MARIN</v>
          </cell>
          <cell r="E441">
            <v>25</v>
          </cell>
          <cell r="F441">
            <v>14</v>
          </cell>
          <cell r="G441" t="str">
            <v>ACAYUCAN</v>
          </cell>
          <cell r="H441" t="str">
            <v>SANTA RITA LAUREL</v>
          </cell>
        </row>
        <row r="442">
          <cell r="A442" t="str">
            <v>30DTV1406N</v>
          </cell>
          <cell r="B442" t="str">
            <v>EMILIANO ZAPATA</v>
          </cell>
          <cell r="C442" t="str">
            <v>CONOCIDO</v>
          </cell>
          <cell r="D442" t="str">
            <v>LORENZO ZAMUDIO LOYO</v>
          </cell>
          <cell r="E442">
            <v>25</v>
          </cell>
          <cell r="F442">
            <v>14</v>
          </cell>
          <cell r="G442" t="str">
            <v>ACAYUCAN</v>
          </cell>
          <cell r="H442" t="str">
            <v>TIERRA COLORADA</v>
          </cell>
        </row>
        <row r="443">
          <cell r="A443" t="str">
            <v>30DTV1660F</v>
          </cell>
          <cell r="B443" t="str">
            <v>FRANCISCO MOROSINI CORDERO</v>
          </cell>
          <cell r="C443" t="str">
            <v>2 DE ABRIL S/N</v>
          </cell>
          <cell r="D443" t="str">
            <v>VERONICA DEL SOCORRO NATERAS LOPEZ</v>
          </cell>
          <cell r="E443">
            <v>25</v>
          </cell>
          <cell r="F443">
            <v>14</v>
          </cell>
          <cell r="G443" t="str">
            <v>ACAYUCAN</v>
          </cell>
          <cell r="H443" t="str">
            <v>ALFREDO CUADRA I. PIÑA</v>
          </cell>
        </row>
        <row r="444">
          <cell r="A444" t="str">
            <v>30DTV1403Q</v>
          </cell>
          <cell r="B444" t="str">
            <v>LEONA VICARIO</v>
          </cell>
          <cell r="C444" t="str">
            <v>CONOCIDO</v>
          </cell>
          <cell r="D444" t="str">
            <v>IGNACIO FRANCISCO ENRIQUEZ</v>
          </cell>
          <cell r="E444">
            <v>25</v>
          </cell>
          <cell r="F444">
            <v>14</v>
          </cell>
          <cell r="G444" t="str">
            <v>ACAYUCAN</v>
          </cell>
          <cell r="H444" t="str">
            <v>PITALILLO</v>
          </cell>
        </row>
        <row r="445">
          <cell r="A445" t="str">
            <v>30DTV0446H</v>
          </cell>
          <cell r="B445" t="str">
            <v>SEBASTIAN LERDO DE TEJADA</v>
          </cell>
          <cell r="C445" t="str">
            <v>JOSE MARIA MORELOS Y PAVON S/N JUNTO AL JARDIN DE NIÑOS</v>
          </cell>
          <cell r="D445" t="str">
            <v>ANGEL ISRAEL MONTES DE OCA GALVAN</v>
          </cell>
          <cell r="E445">
            <v>25</v>
          </cell>
          <cell r="F445">
            <v>14</v>
          </cell>
          <cell r="G445" t="str">
            <v>JALTIPAN</v>
          </cell>
          <cell r="H445" t="str">
            <v>LAS LOMAS DE TACAMICHAPAN</v>
          </cell>
        </row>
        <row r="446">
          <cell r="A446" t="str">
            <v>30DTV0248H</v>
          </cell>
          <cell r="B446" t="str">
            <v>TELESECUNDARIA NUM. 248</v>
          </cell>
          <cell r="C446" t="str">
            <v>JOSE MARIA MORELOS Y PAVON S/N ENTRADA PRINCIPAL A LA COMUNIDAD</v>
          </cell>
          <cell r="D446" t="str">
            <v>ROBERTO CASTILLEJOS CASTANEIRA</v>
          </cell>
          <cell r="E446">
            <v>25</v>
          </cell>
          <cell r="F446">
            <v>14</v>
          </cell>
          <cell r="G446" t="str">
            <v>JUAN RODRIGUEZ CLARA</v>
          </cell>
          <cell r="H446" t="str">
            <v>NOPALAPAN</v>
          </cell>
        </row>
        <row r="447">
          <cell r="A447" t="str">
            <v>30DTV0450U</v>
          </cell>
          <cell r="B447" t="str">
            <v>LAZARO CARDENAS DEL RIO</v>
          </cell>
          <cell r="C447" t="str">
            <v>ARISTA S/N JUNTO AL CEMENTERIO MUNICIPAL</v>
          </cell>
          <cell r="D447" t="str">
            <v>FRANCISCO ENRIQUE SALAZAR DEL MORAL</v>
          </cell>
          <cell r="E447">
            <v>25</v>
          </cell>
          <cell r="F447">
            <v>14</v>
          </cell>
          <cell r="G447" t="str">
            <v>SOCONUSCO</v>
          </cell>
          <cell r="H447" t="str">
            <v>SOCONUSCO</v>
          </cell>
        </row>
        <row r="448">
          <cell r="A448" t="str">
            <v>30DTV1264F</v>
          </cell>
          <cell r="B448" t="str">
            <v>FERNANDO MONTES DE OCA</v>
          </cell>
          <cell r="C448" t="str">
            <v>CONOCIDO</v>
          </cell>
          <cell r="D448" t="str">
            <v>VICTORIA AGUILERA ORTIZ</v>
          </cell>
          <cell r="E448">
            <v>25</v>
          </cell>
          <cell r="F448">
            <v>14</v>
          </cell>
          <cell r="G448" t="str">
            <v>SOCONUSCO</v>
          </cell>
          <cell r="H448" t="str">
            <v>LA COLMENA</v>
          </cell>
        </row>
        <row r="449">
          <cell r="A449" t="str">
            <v>30DTV1505N</v>
          </cell>
          <cell r="B449" t="str">
            <v>FERNANDO ANAYA MONROY</v>
          </cell>
          <cell r="C449" t="str">
            <v>CONOCIDO</v>
          </cell>
          <cell r="D449" t="str">
            <v>FLORINDA INFANTE CRUZ</v>
          </cell>
          <cell r="E449">
            <v>25</v>
          </cell>
          <cell r="F449">
            <v>14</v>
          </cell>
          <cell r="G449" t="str">
            <v>SOCONUSCO</v>
          </cell>
          <cell r="H449" t="str">
            <v>CHALCOMULCO</v>
          </cell>
        </row>
        <row r="450">
          <cell r="A450" t="str">
            <v>30DTV0146K</v>
          </cell>
          <cell r="B450" t="str">
            <v>IGNACIO MANUEL ALTAMIRANO</v>
          </cell>
          <cell r="C450" t="str">
            <v>VICENTE GUERRERO S/N JUNTO AL PARQUE</v>
          </cell>
          <cell r="D450" t="str">
            <v>CARMEN BARRAGAN REYES</v>
          </cell>
          <cell r="E450">
            <v>25</v>
          </cell>
          <cell r="F450">
            <v>14</v>
          </cell>
          <cell r="G450" t="str">
            <v>SOCONUSCO</v>
          </cell>
          <cell r="H450" t="str">
            <v>CHOGOTA</v>
          </cell>
        </row>
        <row r="451">
          <cell r="A451" t="str">
            <v>30DTV0686G</v>
          </cell>
          <cell r="B451" t="str">
            <v>RAFAEL RAMIREZ</v>
          </cell>
          <cell r="C451" t="str">
            <v>CONOCIDO CAMINO A EL RUBI</v>
          </cell>
          <cell r="D451" t="str">
            <v>FELIX ALBERTO VALDES BARRAGAN</v>
          </cell>
          <cell r="E451">
            <v>25</v>
          </cell>
          <cell r="F451">
            <v>14</v>
          </cell>
          <cell r="G451" t="str">
            <v>SOCONUSCO</v>
          </cell>
          <cell r="H451" t="str">
            <v>EJIDO LA VIRGEN</v>
          </cell>
        </row>
        <row r="452">
          <cell r="A452" t="str">
            <v>30DTV1743O</v>
          </cell>
          <cell r="B452" t="str">
            <v>PABLO GARCIA MONTILLA</v>
          </cell>
          <cell r="C452" t="str">
            <v>CALLE HIDALGO</v>
          </cell>
          <cell r="D452" t="str">
            <v>LIUDMILE MARLENE NAVARRETE ESCALENTE</v>
          </cell>
          <cell r="E452">
            <v>25</v>
          </cell>
          <cell r="F452">
            <v>14</v>
          </cell>
          <cell r="G452" t="str">
            <v>TEXISTEPEC</v>
          </cell>
          <cell r="H452" t="str">
            <v>FRANCISCO I. MADERO</v>
          </cell>
        </row>
        <row r="453">
          <cell r="A453" t="str">
            <v>30DTV1158W</v>
          </cell>
          <cell r="B453" t="str">
            <v>JAIME NUNO</v>
          </cell>
          <cell r="C453" t="str">
            <v>CONOCIDO FRENTE A ESCUELA PRIMARIA</v>
          </cell>
          <cell r="D453" t="str">
            <v>VERONICA DEL S. NATERAS  LOPEZ</v>
          </cell>
          <cell r="E453">
            <v>25</v>
          </cell>
          <cell r="F453">
            <v>14</v>
          </cell>
          <cell r="G453" t="str">
            <v>TEXISTEPEC</v>
          </cell>
          <cell r="H453" t="str">
            <v>OJO DE AGUA</v>
          </cell>
        </row>
        <row r="454">
          <cell r="A454" t="str">
            <v>30DTV0332F</v>
          </cell>
          <cell r="B454" t="str">
            <v>ADOLFO LOPEZ MATEOS</v>
          </cell>
          <cell r="C454" t="str">
            <v>ESQUINA</v>
          </cell>
          <cell r="D454" t="str">
            <v>ANDREA TORRES ESTRADA</v>
          </cell>
          <cell r="E454">
            <v>26</v>
          </cell>
          <cell r="F454">
            <v>5</v>
          </cell>
          <cell r="G454" t="str">
            <v>COATZACOALCOS</v>
          </cell>
          <cell r="H454" t="str">
            <v>COATZACOALCOS</v>
          </cell>
        </row>
        <row r="455">
          <cell r="A455" t="str">
            <v>30DTV0095U</v>
          </cell>
          <cell r="B455" t="str">
            <v>LAZARO CARDENAS DEL RIO</v>
          </cell>
          <cell r="C455" t="str">
            <v>IGNACIO DE LA LLAVE NUM. 105</v>
          </cell>
          <cell r="D455" t="str">
            <v>BENITO GOMEZ MARTINEZ</v>
          </cell>
          <cell r="E455">
            <v>26</v>
          </cell>
          <cell r="F455">
            <v>5</v>
          </cell>
          <cell r="G455" t="str">
            <v>COATZACOALCOS</v>
          </cell>
          <cell r="H455" t="str">
            <v>ALLENDE</v>
          </cell>
        </row>
        <row r="456">
          <cell r="A456" t="str">
            <v>30DTV0999H</v>
          </cell>
          <cell r="B456" t="str">
            <v>GABRIELA MISTRAL</v>
          </cell>
          <cell r="C456" t="str">
            <v>CONOCIDO</v>
          </cell>
          <cell r="D456" t="str">
            <v>LIZBETH AVILA ORTEGON</v>
          </cell>
          <cell r="E456">
            <v>26</v>
          </cell>
          <cell r="F456">
            <v>5</v>
          </cell>
          <cell r="G456" t="str">
            <v>COATZACOALCOS</v>
          </cell>
          <cell r="H456" t="str">
            <v>LAS BARRILLAS</v>
          </cell>
        </row>
        <row r="457">
          <cell r="A457" t="str">
            <v>30DTV0562Y</v>
          </cell>
          <cell r="B457" t="str">
            <v>JUSTO SIERRA</v>
          </cell>
          <cell r="C457" t="str">
            <v>CONOCIDO</v>
          </cell>
          <cell r="D457" t="str">
            <v>GABINO HERNANDEZ GARCIA</v>
          </cell>
          <cell r="E457">
            <v>26</v>
          </cell>
          <cell r="F457">
            <v>5</v>
          </cell>
          <cell r="G457" t="str">
            <v>COATZACOALCOS</v>
          </cell>
          <cell r="H457" t="str">
            <v>LA ESPERANZA</v>
          </cell>
        </row>
        <row r="458">
          <cell r="A458" t="str">
            <v>30DTV0563X</v>
          </cell>
          <cell r="B458" t="str">
            <v>LAZARO CARDENAS DEL RIO</v>
          </cell>
          <cell r="C458" t="str">
            <v>CALLE 8 DE MAYO ESQUINA HILARIO C. SALAS</v>
          </cell>
          <cell r="D458" t="str">
            <v>IMELDA RAMIREZ CERVANTES</v>
          </cell>
          <cell r="E458">
            <v>26</v>
          </cell>
          <cell r="F458">
            <v>5</v>
          </cell>
          <cell r="G458" t="str">
            <v>COATZACOALCOS</v>
          </cell>
          <cell r="H458" t="str">
            <v>GAVILAN SUR BIS</v>
          </cell>
        </row>
        <row r="459">
          <cell r="A459" t="str">
            <v>30DTV0113T</v>
          </cell>
          <cell r="B459" t="str">
            <v>ALVARO GALVEZ Y FUENTES</v>
          </cell>
          <cell r="C459" t="str">
            <v>CONSTITUCION ESQUINA VENUSTIANO CARRANZA</v>
          </cell>
          <cell r="D459" t="str">
            <v>FERNANDO JUAN ROSAS Y LEON</v>
          </cell>
          <cell r="E459">
            <v>26</v>
          </cell>
          <cell r="F459">
            <v>5</v>
          </cell>
          <cell r="G459" t="str">
            <v>COSOLEACAQUE</v>
          </cell>
          <cell r="H459" t="str">
            <v>BARRANCAS (BUENOS AIRES)</v>
          </cell>
        </row>
        <row r="460">
          <cell r="A460" t="str">
            <v>30DTV1159V</v>
          </cell>
          <cell r="B460" t="str">
            <v>12 DE OCTUBRE</v>
          </cell>
          <cell r="C460" t="str">
            <v>CONOCIDO</v>
          </cell>
          <cell r="D460" t="str">
            <v>RICARDO DIAZ MARTINEZ</v>
          </cell>
          <cell r="E460">
            <v>26</v>
          </cell>
          <cell r="F460">
            <v>5</v>
          </cell>
          <cell r="G460" t="str">
            <v>COSOLEACAQUE</v>
          </cell>
          <cell r="H460" t="str">
            <v>CANTICAS</v>
          </cell>
        </row>
        <row r="461">
          <cell r="A461" t="str">
            <v>30DTV0729O</v>
          </cell>
          <cell r="B461" t="str">
            <v>RICARDO FLORES MAGON</v>
          </cell>
          <cell r="C461" t="str">
            <v>16 DE SEPTIEMBRE NUM. 132</v>
          </cell>
          <cell r="D461" t="str">
            <v>CANDIDO MARQUEZ CASTELLANO</v>
          </cell>
          <cell r="E461">
            <v>26</v>
          </cell>
          <cell r="F461">
            <v>5</v>
          </cell>
          <cell r="G461" t="str">
            <v>COSOLEACAQUE</v>
          </cell>
          <cell r="H461" t="str">
            <v>ESTERO DEL PANTANO</v>
          </cell>
        </row>
        <row r="462">
          <cell r="A462" t="str">
            <v>30DTV1627Y</v>
          </cell>
          <cell r="B462" t="str">
            <v>TELESECUNDARIA</v>
          </cell>
          <cell r="C462" t="str">
            <v>MANZANA NUM. 14 LOTE 1</v>
          </cell>
          <cell r="D462" t="str">
            <v>RITA MARIA MARTINEZ RAMIREZ</v>
          </cell>
          <cell r="E462">
            <v>26</v>
          </cell>
          <cell r="F462">
            <v>5</v>
          </cell>
          <cell r="G462" t="str">
            <v>COSOLEACAQUE</v>
          </cell>
          <cell r="H462" t="str">
            <v>MINATITLAN</v>
          </cell>
        </row>
        <row r="463">
          <cell r="A463" t="str">
            <v>30DTV1230P</v>
          </cell>
          <cell r="B463" t="str">
            <v>GUADALUPE VICTORIA</v>
          </cell>
          <cell r="C463" t="str">
            <v>CONOCIDO</v>
          </cell>
          <cell r="D463" t="str">
            <v>GADIEL HERNANDEZ HIPOLITO</v>
          </cell>
          <cell r="E463">
            <v>26</v>
          </cell>
          <cell r="F463">
            <v>5</v>
          </cell>
          <cell r="G463" t="str">
            <v>CHINAMECA</v>
          </cell>
          <cell r="H463" t="str">
            <v>AGUA FRIA</v>
          </cell>
        </row>
        <row r="464">
          <cell r="A464" t="str">
            <v>30DTV1231O</v>
          </cell>
          <cell r="B464" t="str">
            <v>SOR JUANA INES DE LA CRUZ</v>
          </cell>
          <cell r="C464" t="str">
            <v>CONOCIDO</v>
          </cell>
          <cell r="D464" t="str">
            <v>MODESTA J. GALLARDO CABALLERO</v>
          </cell>
          <cell r="E464">
            <v>26</v>
          </cell>
          <cell r="F464">
            <v>5</v>
          </cell>
          <cell r="G464" t="str">
            <v>CHINAMECA</v>
          </cell>
          <cell r="H464" t="str">
            <v>LOS CERRITOS</v>
          </cell>
        </row>
        <row r="465">
          <cell r="A465" t="str">
            <v>30DTV0901G</v>
          </cell>
          <cell r="B465" t="str">
            <v>LIC. FERNANDO LOPEZ ARIAS</v>
          </cell>
          <cell r="C465" t="str">
            <v>CONOCIDO</v>
          </cell>
          <cell r="D465" t="str">
            <v>OMAR MENDOZA MIJANGOS</v>
          </cell>
          <cell r="E465">
            <v>26</v>
          </cell>
          <cell r="F465">
            <v>5</v>
          </cell>
          <cell r="G465" t="str">
            <v>CHINAMECA</v>
          </cell>
          <cell r="H465" t="str">
            <v>CHACALAPA</v>
          </cell>
        </row>
        <row r="466">
          <cell r="A466" t="str">
            <v>30DTV1160K</v>
          </cell>
          <cell r="B466" t="str">
            <v>JUAN ESCUTIA</v>
          </cell>
          <cell r="C466" t="str">
            <v>CONOCIDO</v>
          </cell>
          <cell r="D466" t="str">
            <v>SIXTO ALFREDO ARROYO MORALES</v>
          </cell>
          <cell r="E466">
            <v>26</v>
          </cell>
          <cell r="F466">
            <v>5</v>
          </cell>
          <cell r="G466" t="str">
            <v>IXHUATLAN DEL SURESTE</v>
          </cell>
          <cell r="H466" t="str">
            <v>BARRAGANTITLAN</v>
          </cell>
        </row>
        <row r="467">
          <cell r="A467" t="str">
            <v>30DTV1475J</v>
          </cell>
          <cell r="B467" t="str">
            <v>TELESECUNDARIA</v>
          </cell>
          <cell r="C467" t="str">
            <v>CONOCIDO</v>
          </cell>
          <cell r="D467" t="str">
            <v>LORENA CRUZ JIMENEZ</v>
          </cell>
          <cell r="E467">
            <v>26</v>
          </cell>
          <cell r="F467">
            <v>5</v>
          </cell>
          <cell r="G467" t="str">
            <v>IXHUATLAN DEL SURESTE</v>
          </cell>
          <cell r="H467" t="str">
            <v>SANTA CLARA</v>
          </cell>
        </row>
        <row r="468">
          <cell r="A468" t="str">
            <v>30DTV1233M</v>
          </cell>
          <cell r="B468" t="str">
            <v>SALVADOR DIAZ MIRON</v>
          </cell>
          <cell r="C468" t="str">
            <v>CONOCIDO</v>
          </cell>
          <cell r="D468" t="str">
            <v>MARCOS HERNANDEZ JACOME</v>
          </cell>
          <cell r="E468">
            <v>26</v>
          </cell>
          <cell r="F468">
            <v>5</v>
          </cell>
          <cell r="G468" t="str">
            <v>IXHUATLAN DEL SURESTE</v>
          </cell>
          <cell r="H468" t="str">
            <v>COYOLAR</v>
          </cell>
        </row>
        <row r="469">
          <cell r="A469" t="str">
            <v>30DTV1247P</v>
          </cell>
          <cell r="B469" t="str">
            <v>FRANCISCO I. MADERO</v>
          </cell>
          <cell r="C469" t="str">
            <v>CONOCIDO</v>
          </cell>
          <cell r="D469" t="str">
            <v>INES VEGA LOPEZ</v>
          </cell>
          <cell r="E469">
            <v>26</v>
          </cell>
          <cell r="F469">
            <v>5</v>
          </cell>
          <cell r="G469" t="str">
            <v>IXHUATLAN DEL SURESTE</v>
          </cell>
          <cell r="H469" t="str">
            <v>EL TUNEL</v>
          </cell>
        </row>
        <row r="470">
          <cell r="A470" t="str">
            <v>30DTV0664V</v>
          </cell>
          <cell r="B470" t="str">
            <v>AGUSTIN YAÐEZ</v>
          </cell>
          <cell r="C470" t="str">
            <v>COLONIA PATRIA LIBRE</v>
          </cell>
          <cell r="D470" t="str">
            <v>MARIA ISABEL VILLAVICENCIO TORRES</v>
          </cell>
          <cell r="E470">
            <v>26</v>
          </cell>
          <cell r="F470">
            <v>5</v>
          </cell>
          <cell r="G470" t="str">
            <v>MINATITLAN</v>
          </cell>
          <cell r="H470" t="str">
            <v>MINATITLAN</v>
          </cell>
        </row>
        <row r="471">
          <cell r="A471" t="str">
            <v>30DTV0649C</v>
          </cell>
          <cell r="B471" t="str">
            <v>BENITO JUAREZ GARCIA</v>
          </cell>
          <cell r="C471" t="str">
            <v>CONOCIDO</v>
          </cell>
          <cell r="D471" t="str">
            <v>VICTOR MANUEL BLANQUET RUIZ</v>
          </cell>
          <cell r="E471">
            <v>26</v>
          </cell>
          <cell r="F471">
            <v>5</v>
          </cell>
          <cell r="G471" t="str">
            <v>MINATITLAN</v>
          </cell>
          <cell r="H471" t="str">
            <v>LAS LOMAS</v>
          </cell>
        </row>
        <row r="472">
          <cell r="A472" t="str">
            <v>30DTV1684P</v>
          </cell>
          <cell r="B472" t="str">
            <v>MORY</v>
          </cell>
          <cell r="C472" t="str">
            <v>CALLE LAZARO CARDENAS PRINCIPAL</v>
          </cell>
          <cell r="D472" t="str">
            <v>CARLOS DE JESUS RAGA CARMONA</v>
          </cell>
          <cell r="E472">
            <v>26</v>
          </cell>
          <cell r="F472">
            <v>5</v>
          </cell>
          <cell r="G472" t="str">
            <v>MINATITLAN</v>
          </cell>
          <cell r="H472" t="str">
            <v>EL DIAMANTE</v>
          </cell>
        </row>
        <row r="473">
          <cell r="A473" t="str">
            <v>30DTV1564C</v>
          </cell>
          <cell r="B473" t="str">
            <v>TELESECUNDARIA</v>
          </cell>
          <cell r="C473" t="str">
            <v>CONOCIDO</v>
          </cell>
          <cell r="D473" t="str">
            <v>ISRAEL VERA CALLEJAS</v>
          </cell>
          <cell r="E473">
            <v>26</v>
          </cell>
          <cell r="F473">
            <v>5</v>
          </cell>
          <cell r="G473" t="str">
            <v>MINATITLAN</v>
          </cell>
          <cell r="H473" t="str">
            <v>EMILIANO ZAPATA</v>
          </cell>
        </row>
        <row r="474">
          <cell r="A474" t="str">
            <v>30DTV0956J</v>
          </cell>
          <cell r="B474" t="str">
            <v>TELESECUNDARIA NUM. 956</v>
          </cell>
          <cell r="C474" t="str">
            <v>CONOCIDO</v>
          </cell>
          <cell r="D474" t="str">
            <v>SIXTO GARCIA ESCOBAR</v>
          </cell>
          <cell r="E474">
            <v>26</v>
          </cell>
          <cell r="F474">
            <v>5</v>
          </cell>
          <cell r="G474" t="str">
            <v>MOLOACAN</v>
          </cell>
          <cell r="H474" t="str">
            <v>NUEVO TEAPA</v>
          </cell>
        </row>
        <row r="475">
          <cell r="A475" t="str">
            <v>30DTV1762C</v>
          </cell>
          <cell r="B475" t="str">
            <v>TELESECUNDARIA</v>
          </cell>
          <cell r="C475" t="str">
            <v>EMILIANO ZAPATA S/N</v>
          </cell>
          <cell r="D475" t="str">
            <v>JULIETA CHINCHURRETA HERNANDEZ</v>
          </cell>
          <cell r="E475">
            <v>26</v>
          </cell>
          <cell r="F475">
            <v>5</v>
          </cell>
          <cell r="G475" t="str">
            <v>AGUA DULCE</v>
          </cell>
          <cell r="H475" t="str">
            <v>EJIDO EL BURRO</v>
          </cell>
        </row>
        <row r="476">
          <cell r="A476" t="str">
            <v>30DTV0898J</v>
          </cell>
          <cell r="B476" t="str">
            <v>CARLOS A. CARRILLO</v>
          </cell>
          <cell r="C476" t="str">
            <v>CONOCIDO</v>
          </cell>
          <cell r="D476" t="str">
            <v>MARIA DE LOS ANGELES TORRUCO SOTELO</v>
          </cell>
          <cell r="E476">
            <v>26</v>
          </cell>
          <cell r="F476">
            <v>5</v>
          </cell>
          <cell r="G476" t="str">
            <v>AGUA DULCE</v>
          </cell>
          <cell r="H476" t="str">
            <v>EL CEDRAL</v>
          </cell>
        </row>
        <row r="477">
          <cell r="A477" t="str">
            <v>30DTV1538E</v>
          </cell>
          <cell r="B477" t="str">
            <v>TELESECUNDARIA</v>
          </cell>
          <cell r="C477" t="str">
            <v>CONOCIDO</v>
          </cell>
          <cell r="D477" t="str">
            <v>TAURINO MARTINEZ MEZA</v>
          </cell>
          <cell r="E477">
            <v>26</v>
          </cell>
          <cell r="F477">
            <v>5</v>
          </cell>
          <cell r="G477" t="str">
            <v>AGUA DULCE</v>
          </cell>
          <cell r="H477" t="str">
            <v>EJIDO LOS SOLDADOS</v>
          </cell>
        </row>
        <row r="478">
          <cell r="A478" t="str">
            <v>30DTV0564W</v>
          </cell>
          <cell r="B478" t="str">
            <v>MANUEL GUTIERREZ NAJERA</v>
          </cell>
          <cell r="C478" t="str">
            <v>CONOCIDO</v>
          </cell>
          <cell r="D478" t="str">
            <v>GUILLERMO MATEOS TORRES</v>
          </cell>
          <cell r="E478">
            <v>26</v>
          </cell>
          <cell r="F478">
            <v>5</v>
          </cell>
          <cell r="G478" t="str">
            <v>AGUA DULCE</v>
          </cell>
          <cell r="H478" t="str">
            <v>TONALA</v>
          </cell>
        </row>
        <row r="479">
          <cell r="A479" t="str">
            <v>30DTV1161J</v>
          </cell>
          <cell r="B479" t="str">
            <v>LUIS DONALDO COLOSIO MURRIETA</v>
          </cell>
          <cell r="C479" t="str">
            <v>CONOCIDO</v>
          </cell>
          <cell r="D479" t="str">
            <v>ERNESTO PEREZ RODRIGUEZ</v>
          </cell>
          <cell r="E479">
            <v>26</v>
          </cell>
          <cell r="F479">
            <v>5</v>
          </cell>
          <cell r="G479" t="str">
            <v>AGUA DULCE</v>
          </cell>
          <cell r="H479" t="str">
            <v>LOS MANANTIALES</v>
          </cell>
        </row>
        <row r="480">
          <cell r="A480" t="str">
            <v>30DTV0118O</v>
          </cell>
          <cell r="B480" t="str">
            <v>NICOLAS BRAVO</v>
          </cell>
          <cell r="C480" t="str">
            <v>AVENIDA OBRERO MUNDIAL S/N</v>
          </cell>
          <cell r="D480" t="str">
            <v>BERNARDINA CASTAÑEDA REYES</v>
          </cell>
          <cell r="E480">
            <v>27</v>
          </cell>
          <cell r="F480">
            <v>1</v>
          </cell>
          <cell r="G480" t="str">
            <v>NARANJOS AMATLAN</v>
          </cell>
          <cell r="H480" t="str">
            <v>AMATLAN</v>
          </cell>
        </row>
        <row r="481">
          <cell r="A481" t="str">
            <v>30DTV0023A</v>
          </cell>
          <cell r="B481" t="str">
            <v>BENITO JUAREZ GARCIA</v>
          </cell>
          <cell r="C481" t="str">
            <v>CONOCIDO</v>
          </cell>
          <cell r="D481" t="str">
            <v>NORMA CRUZ DOLORES</v>
          </cell>
          <cell r="E481">
            <v>27</v>
          </cell>
          <cell r="F481">
            <v>1</v>
          </cell>
          <cell r="G481" t="str">
            <v>NARANJOS AMATLAN</v>
          </cell>
          <cell r="H481" t="str">
            <v>GALEANA</v>
          </cell>
        </row>
        <row r="482">
          <cell r="A482" t="str">
            <v>30DTV1426A</v>
          </cell>
          <cell r="B482" t="str">
            <v>MELCHOR OCAMPO</v>
          </cell>
          <cell r="C482" t="str">
            <v>CONOCIDO</v>
          </cell>
          <cell r="D482" t="str">
            <v>BRENDA ARLETH MELLADO ZUðIGA</v>
          </cell>
          <cell r="E482">
            <v>27</v>
          </cell>
          <cell r="F482">
            <v>1</v>
          </cell>
          <cell r="G482" t="str">
            <v>NARANJOS AMATLAN</v>
          </cell>
          <cell r="H482" t="str">
            <v>OCAMPO (MELCHOR OCAMPO)</v>
          </cell>
        </row>
        <row r="483">
          <cell r="A483" t="str">
            <v>30DTV1245R</v>
          </cell>
          <cell r="B483" t="str">
            <v>JOSE MARIA MORELOS Y PAVON</v>
          </cell>
          <cell r="C483" t="str">
            <v>CONOCIDO</v>
          </cell>
          <cell r="D483" t="str">
            <v>JAIR EDUARDO HERNANDEZ DIONICIO</v>
          </cell>
          <cell r="E483">
            <v>27</v>
          </cell>
          <cell r="F483">
            <v>1</v>
          </cell>
          <cell r="G483" t="str">
            <v>NARANJOS AMATLAN</v>
          </cell>
          <cell r="H483" t="str">
            <v>ZARAGOZA</v>
          </cell>
        </row>
        <row r="484">
          <cell r="A484" t="str">
            <v>30DTV1568Z</v>
          </cell>
          <cell r="B484" t="str">
            <v>CARMEN SERDAN</v>
          </cell>
          <cell r="C484" t="str">
            <v>CONOCIDO</v>
          </cell>
          <cell r="D484" t="str">
            <v>LETICIA ESCALANTE GONZALEZ</v>
          </cell>
          <cell r="E484">
            <v>27</v>
          </cell>
          <cell r="F484">
            <v>1</v>
          </cell>
          <cell r="G484" t="str">
            <v>CITLALTEPETL</v>
          </cell>
          <cell r="H484" t="str">
            <v>LA CEIBA</v>
          </cell>
        </row>
        <row r="485">
          <cell r="A485" t="str">
            <v>30DTV1620E</v>
          </cell>
          <cell r="B485" t="str">
            <v>IGNACIO MANUEL ALTAMIRANO</v>
          </cell>
          <cell r="C485" t="str">
            <v>CAMINO A LA CEIBA, JUNTO A LA ESCUELA PRIMARIA</v>
          </cell>
          <cell r="D485" t="str">
            <v>VIRGINIA NARCISO MATIAS</v>
          </cell>
          <cell r="E485">
            <v>27</v>
          </cell>
          <cell r="F485">
            <v>1</v>
          </cell>
          <cell r="G485" t="str">
            <v>CITLALTEPETL</v>
          </cell>
          <cell r="H485" t="str">
            <v>RANCHO NUEVO</v>
          </cell>
        </row>
        <row r="486">
          <cell r="A486" t="str">
            <v>30DTV0862V</v>
          </cell>
          <cell r="B486" t="str">
            <v>MIGUEL HIDALGO Y COSTILLA</v>
          </cell>
          <cell r="C486" t="str">
            <v>ESQUINA MIGUEL HIDALGO Y REYES SANTIAGO</v>
          </cell>
          <cell r="D486" t="str">
            <v>MOISES FLORES SANTOS</v>
          </cell>
          <cell r="E486">
            <v>27</v>
          </cell>
          <cell r="F486">
            <v>1</v>
          </cell>
          <cell r="G486" t="str">
            <v>CITLALTEPETL</v>
          </cell>
          <cell r="H486" t="str">
            <v>RINCON DEL HIGO</v>
          </cell>
        </row>
        <row r="487">
          <cell r="A487" t="str">
            <v>30DTV1455W</v>
          </cell>
          <cell r="B487" t="str">
            <v>AMADO NERVO</v>
          </cell>
          <cell r="C487" t="str">
            <v>CONOCIDO</v>
          </cell>
          <cell r="D487" t="str">
            <v>ISABEL NARCISO MATIAS</v>
          </cell>
          <cell r="E487">
            <v>27</v>
          </cell>
          <cell r="F487">
            <v>1</v>
          </cell>
          <cell r="G487" t="str">
            <v>CITLALTEPETL</v>
          </cell>
          <cell r="H487" t="str">
            <v>LAS SABINAS</v>
          </cell>
        </row>
        <row r="488">
          <cell r="A488" t="str">
            <v>30DTV0061D</v>
          </cell>
          <cell r="B488" t="str">
            <v>JAIME NUNO</v>
          </cell>
          <cell r="C488" t="str">
            <v>20 DE NOVIEMBRE S/N</v>
          </cell>
          <cell r="D488" t="str">
            <v>JOSE LUIS VITE GALVAN</v>
          </cell>
          <cell r="E488">
            <v>27</v>
          </cell>
          <cell r="F488">
            <v>1</v>
          </cell>
          <cell r="G488" t="str">
            <v>CHINAMPA DE GOROSTIZA</v>
          </cell>
          <cell r="H488" t="str">
            <v>CHINAMPA DE GOROSTIZA</v>
          </cell>
        </row>
        <row r="489">
          <cell r="A489" t="str">
            <v>30DTV0941H</v>
          </cell>
          <cell r="B489" t="str">
            <v>EMILIANO ZAPATA</v>
          </cell>
          <cell r="C489" t="str">
            <v>ADOLFO LOPEZ MATEOS</v>
          </cell>
          <cell r="D489" t="str">
            <v>ISAAC RUIZ ARELLANO</v>
          </cell>
          <cell r="E489">
            <v>27</v>
          </cell>
          <cell r="F489">
            <v>1</v>
          </cell>
          <cell r="G489" t="str">
            <v>CHINAMPA DE GOROSTIZA</v>
          </cell>
          <cell r="H489" t="str">
            <v>KILOMETRO VEINTIDOS</v>
          </cell>
        </row>
        <row r="490">
          <cell r="A490" t="str">
            <v>30DTV0868P</v>
          </cell>
          <cell r="B490" t="str">
            <v>SALVADOR DIAZ MIRON</v>
          </cell>
          <cell r="C490" t="str">
            <v>CONOCIDO</v>
          </cell>
          <cell r="D490" t="str">
            <v>VIRGINIA ELIZABETH CORDOBA ISLAS</v>
          </cell>
          <cell r="E490">
            <v>27</v>
          </cell>
          <cell r="F490">
            <v>1</v>
          </cell>
          <cell r="G490" t="str">
            <v>CHINAMPA DE GOROSTIZA</v>
          </cell>
          <cell r="H490" t="str">
            <v>LOS ORGANOS</v>
          </cell>
        </row>
        <row r="491">
          <cell r="A491" t="str">
            <v>30DTV0572E</v>
          </cell>
          <cell r="B491" t="str">
            <v>NIÐOS HEROES</v>
          </cell>
          <cell r="C491" t="str">
            <v>CORREGIDORA S/N</v>
          </cell>
          <cell r="D491" t="str">
            <v>ARMANDO GONZALEZ RAMOS</v>
          </cell>
          <cell r="E491">
            <v>27</v>
          </cell>
          <cell r="F491">
            <v>1</v>
          </cell>
          <cell r="G491" t="str">
            <v>CHINAMPA DE GOROSTIZA</v>
          </cell>
          <cell r="H491" t="str">
            <v>LA PIMIENTA</v>
          </cell>
        </row>
        <row r="492">
          <cell r="A492" t="str">
            <v>30DTV1694W</v>
          </cell>
          <cell r="B492" t="str">
            <v>TELESECUNDARIA</v>
          </cell>
          <cell r="C492" t="str">
            <v>FRANCISCO GONZALEZ BOCANEGRA NUM. 10</v>
          </cell>
          <cell r="D492" t="str">
            <v>VICTORIA GARCIA PEREZ</v>
          </cell>
          <cell r="E492">
            <v>27</v>
          </cell>
          <cell r="F492">
            <v>1</v>
          </cell>
          <cell r="G492" t="str">
            <v>CHINAMPA DE GOROSTIZA</v>
          </cell>
          <cell r="H492" t="str">
            <v>KILOMETRO VEINTICUATRO</v>
          </cell>
        </row>
        <row r="493">
          <cell r="A493" t="str">
            <v>30DTV1128B</v>
          </cell>
          <cell r="B493" t="str">
            <v>VENUSTIANO CARRANZA</v>
          </cell>
          <cell r="C493" t="str">
            <v>CONOCIDO</v>
          </cell>
          <cell r="D493" t="str">
            <v>ANABEL LICONA LOPEZ</v>
          </cell>
          <cell r="E493">
            <v>27</v>
          </cell>
          <cell r="F493">
            <v>1</v>
          </cell>
          <cell r="G493" t="str">
            <v>CHONTLA</v>
          </cell>
          <cell r="H493" t="str">
            <v>COMALES NARANJADO</v>
          </cell>
        </row>
        <row r="494">
          <cell r="A494" t="str">
            <v>30DTV0870D</v>
          </cell>
          <cell r="B494" t="str">
            <v>DON BENITO JUAREZ GARCIA</v>
          </cell>
          <cell r="C494" t="str">
            <v>CONOCIDO</v>
          </cell>
          <cell r="D494" t="str">
            <v>ALMA GUADALUPE BETANCOURT DEL ANGEL</v>
          </cell>
          <cell r="E494">
            <v>27</v>
          </cell>
          <cell r="F494">
            <v>1</v>
          </cell>
          <cell r="G494" t="str">
            <v>CHONTLA</v>
          </cell>
          <cell r="H494" t="str">
            <v>MAGOZAL</v>
          </cell>
        </row>
        <row r="495">
          <cell r="A495" t="str">
            <v>30DTV1318T</v>
          </cell>
          <cell r="B495" t="str">
            <v>JOSE IGNACIO ALLENDE</v>
          </cell>
          <cell r="C495" t="str">
            <v>CONOCIDO</v>
          </cell>
          <cell r="D495" t="str">
            <v>PABLO SOTELO ORTIZ</v>
          </cell>
          <cell r="E495">
            <v>27</v>
          </cell>
          <cell r="F495">
            <v>1</v>
          </cell>
          <cell r="G495" t="str">
            <v>CHONTLA</v>
          </cell>
          <cell r="H495" t="str">
            <v>LAS CANOAS</v>
          </cell>
        </row>
        <row r="496">
          <cell r="A496" t="str">
            <v>30DTV1621D</v>
          </cell>
          <cell r="B496" t="str">
            <v>JAIME TORRES BODET</v>
          </cell>
          <cell r="C496" t="str">
            <v>JUVENIL S/N FRENTE AL CAMPO DEPORTIVO</v>
          </cell>
          <cell r="D496" t="str">
            <v>AQUILINA CRUZ SANTOS</v>
          </cell>
          <cell r="E496">
            <v>27</v>
          </cell>
          <cell r="F496">
            <v>1</v>
          </cell>
          <cell r="G496" t="str">
            <v>CHONTLA</v>
          </cell>
          <cell r="H496" t="str">
            <v>CRUZ MANANTIAL</v>
          </cell>
        </row>
        <row r="497">
          <cell r="A497" t="str">
            <v>30DTV1456V</v>
          </cell>
          <cell r="B497" t="str">
            <v>TELESECUNDARIA</v>
          </cell>
          <cell r="C497" t="str">
            <v>CONOCIDO</v>
          </cell>
          <cell r="D497" t="str">
            <v>SILVIA ANASTASIO DE LA CRUZ</v>
          </cell>
          <cell r="E497">
            <v>27</v>
          </cell>
          <cell r="F497">
            <v>1</v>
          </cell>
          <cell r="G497" t="str">
            <v>CHONTLA</v>
          </cell>
          <cell r="H497" t="str">
            <v>LOS CALLEJONES</v>
          </cell>
        </row>
        <row r="498">
          <cell r="A498" t="str">
            <v>30DTV1533J</v>
          </cell>
          <cell r="B498" t="str">
            <v>OCTAVIO PAZ</v>
          </cell>
          <cell r="C498" t="str">
            <v>CONOCIDO</v>
          </cell>
          <cell r="D498" t="str">
            <v>BIANEY CRUZ RAMIREZ</v>
          </cell>
          <cell r="E498">
            <v>27</v>
          </cell>
          <cell r="F498">
            <v>1</v>
          </cell>
          <cell r="G498" t="str">
            <v>CHONTLA</v>
          </cell>
          <cell r="H498" t="str">
            <v>LAS CRUCES</v>
          </cell>
        </row>
        <row r="499">
          <cell r="A499" t="str">
            <v>30DTV1716R</v>
          </cell>
          <cell r="B499" t="str">
            <v>TELESECUNDARIA</v>
          </cell>
          <cell r="C499" t="str">
            <v>CALLE CUAUHTEMOC S/N</v>
          </cell>
          <cell r="D499" t="str">
            <v>MARIA DEL SOCORRO MENDEZ CARRILLO</v>
          </cell>
          <cell r="E499">
            <v>27</v>
          </cell>
          <cell r="F499">
            <v>1</v>
          </cell>
          <cell r="G499" t="str">
            <v>CHONTLA</v>
          </cell>
          <cell r="H499" t="str">
            <v>LA GARITA</v>
          </cell>
        </row>
        <row r="500">
          <cell r="A500" t="str">
            <v>30DTV0804E</v>
          </cell>
          <cell r="B500" t="str">
            <v>VICENTE GUERRERO</v>
          </cell>
          <cell r="C500" t="str">
            <v>CONOCIDO</v>
          </cell>
          <cell r="D500" t="str">
            <v>JUANA GUERRERO LUNA</v>
          </cell>
          <cell r="E500">
            <v>27</v>
          </cell>
          <cell r="F500">
            <v>1</v>
          </cell>
          <cell r="G500" t="str">
            <v>CHONTLA</v>
          </cell>
          <cell r="H500" t="str">
            <v>MATA DE OTATE</v>
          </cell>
        </row>
        <row r="501">
          <cell r="A501" t="str">
            <v>30DTV1731J</v>
          </cell>
          <cell r="B501" t="str">
            <v>TELESECUNDARIA</v>
          </cell>
          <cell r="C501" t="str">
            <v>CALLE PRINCIPAL S/N</v>
          </cell>
          <cell r="D501" t="str">
            <v>ALMA GUADALUPE BETANCOURT DEL ANGEL</v>
          </cell>
          <cell r="E501">
            <v>27</v>
          </cell>
          <cell r="F501">
            <v>1</v>
          </cell>
          <cell r="G501" t="str">
            <v>OZULUAMA DE MASCAREÐAS</v>
          </cell>
          <cell r="H501" t="str">
            <v>ESTACION CORONEL MASCAREÐAS</v>
          </cell>
        </row>
        <row r="502">
          <cell r="A502" t="str">
            <v>30DTV1766Z</v>
          </cell>
          <cell r="B502" t="str">
            <v>TELESECUNDARIA</v>
          </cell>
          <cell r="C502" t="str">
            <v>CARRETERA OZULUAMA-ALTO DEL TIGRE S/N</v>
          </cell>
          <cell r="D502" t="str">
            <v>RODOLFO MARTINEZ GASPAR</v>
          </cell>
          <cell r="E502">
            <v>27</v>
          </cell>
          <cell r="F502">
            <v>1</v>
          </cell>
          <cell r="G502" t="str">
            <v>OZULUAMA DE MASCAREÑAS</v>
          </cell>
          <cell r="H502" t="str">
            <v>LAS BREAS</v>
          </cell>
        </row>
        <row r="503">
          <cell r="A503" t="str">
            <v>30DTV1767Y</v>
          </cell>
          <cell r="B503" t="str">
            <v>TELESECUNDARIA</v>
          </cell>
          <cell r="C503" t="str">
            <v>AVENIDA ALEGRIA NUM. 19</v>
          </cell>
          <cell r="D503" t="str">
            <v>MONICA LEAL GONZALEZ</v>
          </cell>
          <cell r="E503">
            <v>27</v>
          </cell>
          <cell r="F503">
            <v>1</v>
          </cell>
          <cell r="G503" t="str">
            <v>OZULUAMA DE MASCAREÑAS</v>
          </cell>
          <cell r="H503" t="str">
            <v>CUATRO PALMAS</v>
          </cell>
        </row>
        <row r="504">
          <cell r="A504" t="str">
            <v>30DTV1220I</v>
          </cell>
          <cell r="B504" t="str">
            <v>HERIBERTO JARA CORONA</v>
          </cell>
          <cell r="C504" t="str">
            <v>CONOCIDO</v>
          </cell>
          <cell r="D504" t="str">
            <v>ADELA ELIZABETH JUAREZ DEL ANGEL</v>
          </cell>
          <cell r="E504">
            <v>27</v>
          </cell>
          <cell r="F504">
            <v>1</v>
          </cell>
          <cell r="G504" t="str">
            <v>OZULUAMA DE MASCAREÐAS</v>
          </cell>
          <cell r="H504" t="str">
            <v>EL MERCADO</v>
          </cell>
        </row>
        <row r="505">
          <cell r="A505" t="str">
            <v>30DTV0832A</v>
          </cell>
          <cell r="B505" t="str">
            <v>SOR JUANA INES DE LA CRUZ</v>
          </cell>
          <cell r="C505" t="str">
            <v>CONOCIDO</v>
          </cell>
          <cell r="D505" t="str">
            <v>JOSE HERNANDEZ RAMIREZ</v>
          </cell>
          <cell r="E505">
            <v>27</v>
          </cell>
          <cell r="F505">
            <v>1</v>
          </cell>
          <cell r="G505" t="str">
            <v>TAMALIN</v>
          </cell>
          <cell r="H505" t="str">
            <v>MAMEY LA MAR</v>
          </cell>
        </row>
        <row r="506">
          <cell r="A506" t="str">
            <v>30DTV1750Y</v>
          </cell>
          <cell r="B506" t="str">
            <v>TELESECUNDARIA</v>
          </cell>
          <cell r="C506" t="str">
            <v>CALLE INSURGENTES S/N</v>
          </cell>
          <cell r="D506" t="str">
            <v>CARINA LOPEZ SANTIAGO</v>
          </cell>
          <cell r="E506">
            <v>27</v>
          </cell>
          <cell r="F506">
            <v>1</v>
          </cell>
          <cell r="G506" t="str">
            <v>TAMALIN</v>
          </cell>
          <cell r="H506" t="str">
            <v>CALMECATE</v>
          </cell>
        </row>
        <row r="507">
          <cell r="A507" t="str">
            <v>30DTV0759I</v>
          </cell>
          <cell r="B507" t="str">
            <v>VENUSTIANO CARRANZA</v>
          </cell>
          <cell r="C507" t="str">
            <v>CONOCIDO</v>
          </cell>
          <cell r="D507" t="str">
            <v>MARIA ALEJANDRA OLMEDO VAZQUEZ</v>
          </cell>
          <cell r="E507">
            <v>27</v>
          </cell>
          <cell r="F507">
            <v>1</v>
          </cell>
          <cell r="G507" t="str">
            <v>TAMALIN</v>
          </cell>
          <cell r="H507" t="str">
            <v>LOS POTREROS</v>
          </cell>
        </row>
        <row r="508">
          <cell r="A508" t="str">
            <v>30DTV1732I</v>
          </cell>
          <cell r="B508" t="str">
            <v>TELESECUNDARIA</v>
          </cell>
          <cell r="C508" t="str">
            <v>CALLE PRINCIPAL S/N</v>
          </cell>
          <cell r="D508" t="str">
            <v>JONATHAN AMARO SAN ROMAN</v>
          </cell>
          <cell r="E508">
            <v>27</v>
          </cell>
          <cell r="F508">
            <v>1</v>
          </cell>
          <cell r="G508" t="str">
            <v>TAMALIN</v>
          </cell>
          <cell r="H508" t="str">
            <v>EL RINCON</v>
          </cell>
        </row>
        <row r="509">
          <cell r="A509" t="str">
            <v>30DTV0374E</v>
          </cell>
          <cell r="B509" t="str">
            <v>BENITO JUAREZ GARCIA</v>
          </cell>
          <cell r="C509" t="str">
            <v>CONOCIDO</v>
          </cell>
          <cell r="D509" t="str">
            <v>ELIZABETH NARCISO SANTOS</v>
          </cell>
          <cell r="E509">
            <v>27</v>
          </cell>
          <cell r="F509">
            <v>1</v>
          </cell>
          <cell r="G509" t="str">
            <v>TANTIMA</v>
          </cell>
          <cell r="H509" t="str">
            <v>GUTIERREZ ZAMORA</v>
          </cell>
        </row>
        <row r="510">
          <cell r="A510" t="str">
            <v>30DTV1751X</v>
          </cell>
          <cell r="B510" t="str">
            <v>TELESECUNDARIA</v>
          </cell>
          <cell r="C510" t="str">
            <v>CALLE LIC. ADOLFO LOPEZ MATEOS</v>
          </cell>
          <cell r="D510" t="str">
            <v>JOSSELINE SARAI BONILLA MARTINEZ</v>
          </cell>
          <cell r="E510">
            <v>27</v>
          </cell>
          <cell r="F510">
            <v>1</v>
          </cell>
          <cell r="G510" t="str">
            <v>TANTIMA</v>
          </cell>
          <cell r="H510" t="str">
            <v>NUEVO XUCHITL</v>
          </cell>
        </row>
        <row r="511">
          <cell r="A511" t="str">
            <v>30DTV0712O</v>
          </cell>
          <cell r="B511" t="str">
            <v>EMILIANO ZAPATA</v>
          </cell>
          <cell r="C511" t="str">
            <v>CONOCIDO</v>
          </cell>
          <cell r="D511" t="str">
            <v>AIDE ALMORA CASTAN</v>
          </cell>
          <cell r="E511">
            <v>27</v>
          </cell>
          <cell r="F511">
            <v>1</v>
          </cell>
          <cell r="G511" t="str">
            <v>TANTIMA</v>
          </cell>
          <cell r="H511" t="str">
            <v>SAN LORENZO</v>
          </cell>
        </row>
        <row r="512">
          <cell r="A512" t="str">
            <v>30DTV0032I</v>
          </cell>
          <cell r="B512" t="str">
            <v>VICENTE GUERRERO</v>
          </cell>
          <cell r="C512" t="str">
            <v>CONOCIDO</v>
          </cell>
          <cell r="D512" t="str">
            <v>ABAD BERMUDEZ BERNAL</v>
          </cell>
          <cell r="E512">
            <v>27</v>
          </cell>
          <cell r="F512">
            <v>1</v>
          </cell>
          <cell r="G512" t="str">
            <v>TANTIMA</v>
          </cell>
          <cell r="H512" t="str">
            <v>EL ANONO CUCHARAS</v>
          </cell>
        </row>
        <row r="513">
          <cell r="A513" t="str">
            <v>30DTV1730K</v>
          </cell>
          <cell r="B513" t="str">
            <v>DIEGO RIVERA</v>
          </cell>
          <cell r="C513" t="str">
            <v>CALLE PRINCIPAL S/N</v>
          </cell>
          <cell r="D513" t="str">
            <v>MINERVA CRUZ HERNANDEZ</v>
          </cell>
          <cell r="E513">
            <v>27</v>
          </cell>
          <cell r="F513">
            <v>1</v>
          </cell>
          <cell r="G513" t="str">
            <v>TANTIMA</v>
          </cell>
          <cell r="H513" t="str">
            <v>LA PUENTE</v>
          </cell>
        </row>
        <row r="514">
          <cell r="A514" t="str">
            <v>30DTV1611X</v>
          </cell>
          <cell r="B514" t="str">
            <v>FRIDA KAHLO CALDERON</v>
          </cell>
          <cell r="C514" t="str">
            <v>AGENCIA MUNICIPAL</v>
          </cell>
          <cell r="D514" t="str">
            <v>MARIA DEL PILAR BENITEZ MAR</v>
          </cell>
          <cell r="E514">
            <v>27</v>
          </cell>
          <cell r="F514">
            <v>1</v>
          </cell>
          <cell r="G514" t="str">
            <v>TANTIMA</v>
          </cell>
          <cell r="H514" t="str">
            <v>EL ZAPOTAL</v>
          </cell>
        </row>
        <row r="515">
          <cell r="A515" t="str">
            <v>30DTV1735F</v>
          </cell>
          <cell r="B515" t="str">
            <v>TELESECUNDARIA</v>
          </cell>
          <cell r="C515" t="str">
            <v>CALLE PRINCIPAL S/N</v>
          </cell>
          <cell r="D515" t="str">
            <v>JESUS MANUEL CASADOS GONZALEZ</v>
          </cell>
          <cell r="E515">
            <v>27</v>
          </cell>
          <cell r="F515">
            <v>1</v>
          </cell>
          <cell r="G515" t="str">
            <v>TANTIMA</v>
          </cell>
          <cell r="H515" t="str">
            <v>EL MIRADOR</v>
          </cell>
        </row>
        <row r="516">
          <cell r="A516" t="str">
            <v>30DTV1622C</v>
          </cell>
          <cell r="B516" t="str">
            <v>TELESECUNDARIA</v>
          </cell>
          <cell r="C516" t="str">
            <v>CALLE PRINCIPAL S/N</v>
          </cell>
          <cell r="D516" t="str">
            <v>MARIA ARACELI CORDOVA CEBALLOS</v>
          </cell>
          <cell r="E516">
            <v>28</v>
          </cell>
          <cell r="F516">
            <v>18</v>
          </cell>
          <cell r="G516" t="str">
            <v>PAPANTLA</v>
          </cell>
          <cell r="H516" t="str">
            <v>EL PITAL</v>
          </cell>
        </row>
        <row r="517">
          <cell r="A517" t="str">
            <v>30DTV0375D</v>
          </cell>
          <cell r="B517" t="str">
            <v>QUETZALCOATL</v>
          </cell>
          <cell r="C517" t="str">
            <v>JUNTO AL KINDER JOSEFINA BARRAGAN</v>
          </cell>
          <cell r="D517" t="str">
            <v>MARTHA SANTES DIEGO</v>
          </cell>
          <cell r="E517">
            <v>28</v>
          </cell>
          <cell r="F517">
            <v>18</v>
          </cell>
          <cell r="G517" t="str">
            <v>PAPANTLA</v>
          </cell>
          <cell r="H517" t="str">
            <v>LA VICTORIA KILOMETRO 47</v>
          </cell>
        </row>
        <row r="518">
          <cell r="A518" t="str">
            <v>30DTV0159O</v>
          </cell>
          <cell r="B518" t="str">
            <v>LAS AMERICAS</v>
          </cell>
          <cell r="C518" t="str">
            <v>PRINCIPAL NUM. 213</v>
          </cell>
          <cell r="D518" t="str">
            <v>MARIA GUADALUPE BERRONES RIVERA</v>
          </cell>
          <cell r="E518">
            <v>28</v>
          </cell>
          <cell r="F518">
            <v>18</v>
          </cell>
          <cell r="G518" t="str">
            <v>POZA RICA DE HIDALGO</v>
          </cell>
          <cell r="H518" t="str">
            <v>POZA RICA DE HIDALGO</v>
          </cell>
        </row>
        <row r="519">
          <cell r="A519" t="str">
            <v>30DTV0753O</v>
          </cell>
          <cell r="B519" t="str">
            <v>MARGARITA GUERRERO DE GIBB</v>
          </cell>
          <cell r="C519" t="str">
            <v>PLAN DE AYUTLA S/N</v>
          </cell>
          <cell r="D519" t="str">
            <v>ENRIQUE AZUARA MORALES</v>
          </cell>
          <cell r="E519">
            <v>28</v>
          </cell>
          <cell r="F519">
            <v>18</v>
          </cell>
          <cell r="G519" t="str">
            <v>POZA RICA DE HIDALGO</v>
          </cell>
          <cell r="H519" t="str">
            <v>POZA RICA DE HIDALGO</v>
          </cell>
        </row>
        <row r="520">
          <cell r="A520" t="str">
            <v>30DTV0048J</v>
          </cell>
          <cell r="B520" t="str">
            <v>MARIA ENRIQUETA CAMARILLO DE PEREYRA</v>
          </cell>
          <cell r="C520" t="str">
            <v>CONOCIDO FRENTE AL JARDIN DE NIÑOS GUADALUPE AMOR.</v>
          </cell>
          <cell r="D520" t="str">
            <v>CAMILO ANGEL BONILLA LOPEZ</v>
          </cell>
          <cell r="E520">
            <v>28</v>
          </cell>
          <cell r="F520">
            <v>18</v>
          </cell>
          <cell r="G520" t="str">
            <v>TIHUATLAN</v>
          </cell>
          <cell r="H520" t="str">
            <v>CHICHIMANTLA SEGUNDO</v>
          </cell>
        </row>
        <row r="521">
          <cell r="A521" t="str">
            <v>30DTV0304J</v>
          </cell>
          <cell r="B521" t="str">
            <v>IGNACIO ZARAGOZA</v>
          </cell>
          <cell r="C521" t="str">
            <v>CAMPESINA ESQUINA CON 5 DE MAYO</v>
          </cell>
          <cell r="D521" t="str">
            <v>NORA SILVIA PECERO HERNANDEZ</v>
          </cell>
          <cell r="E521">
            <v>28</v>
          </cell>
          <cell r="F521">
            <v>18</v>
          </cell>
          <cell r="G521" t="str">
            <v>TIHUATLAN</v>
          </cell>
          <cell r="H521" t="str">
            <v>FRANCISCO VILLA</v>
          </cell>
        </row>
        <row r="522">
          <cell r="A522" t="str">
            <v>30DTV0225X</v>
          </cell>
          <cell r="B522" t="str">
            <v>JOSE MARIA MORELOS Y PAVON</v>
          </cell>
          <cell r="C522" t="str">
            <v>JUNTO A LA PRIMARIA MIGUEL HIDALGO</v>
          </cell>
          <cell r="D522" t="str">
            <v>ROQUE SAN MARTIN ZURITA</v>
          </cell>
          <cell r="E522">
            <v>28</v>
          </cell>
          <cell r="F522">
            <v>18</v>
          </cell>
          <cell r="G522" t="str">
            <v>TIHUATLAN</v>
          </cell>
          <cell r="H522" t="str">
            <v>JILIAPA SEGUNDO</v>
          </cell>
        </row>
        <row r="523">
          <cell r="A523" t="str">
            <v>30DTV1037K</v>
          </cell>
          <cell r="B523" t="str">
            <v>EMILIANO ZAPATA</v>
          </cell>
          <cell r="C523" t="str">
            <v>CALLE PRINCIPAL</v>
          </cell>
          <cell r="D523" t="str">
            <v>JAVIER ARADILLAS PEREZ</v>
          </cell>
          <cell r="E523">
            <v>28</v>
          </cell>
          <cell r="F523">
            <v>18</v>
          </cell>
          <cell r="G523" t="str">
            <v>TIHUATLAN</v>
          </cell>
          <cell r="H523" t="str">
            <v>MAMEY</v>
          </cell>
        </row>
        <row r="524">
          <cell r="A524" t="str">
            <v>30DTV0041Q</v>
          </cell>
          <cell r="B524" t="str">
            <v>SALVADOR DIAZ MIRON</v>
          </cell>
          <cell r="C524" t="str">
            <v>JUNTO AL KINDER GASPARA TREMARI DE FLORENTINI</v>
          </cell>
          <cell r="D524" t="str">
            <v>LUIS ARMANDO COBOS DOMINGUEZ</v>
          </cell>
          <cell r="E524">
            <v>28</v>
          </cell>
          <cell r="F524">
            <v>18</v>
          </cell>
          <cell r="G524" t="str">
            <v>TIHUATLAN</v>
          </cell>
          <cell r="H524" t="str">
            <v>SAN PEDRO MIAHUAPAN</v>
          </cell>
        </row>
        <row r="525">
          <cell r="A525" t="str">
            <v>30DTV0984F</v>
          </cell>
          <cell r="B525" t="str">
            <v>BENITO JUAREZ GARCIA</v>
          </cell>
          <cell r="C525" t="str">
            <v>AL FONDO DE LA CALLE PRINCIPAL</v>
          </cell>
          <cell r="D525" t="str">
            <v>PATRICIA ARANDA DIAZ</v>
          </cell>
          <cell r="E525">
            <v>28</v>
          </cell>
          <cell r="F525">
            <v>18</v>
          </cell>
          <cell r="G525" t="str">
            <v>TIHUATLAN</v>
          </cell>
          <cell r="H525" t="str">
            <v>SAN NICOLAS</v>
          </cell>
        </row>
        <row r="526">
          <cell r="A526" t="str">
            <v>30DTV0771D</v>
          </cell>
          <cell r="B526" t="str">
            <v>LAZARO CARDENAS DEL RIO</v>
          </cell>
          <cell r="C526" t="str">
            <v>FRENTE AL KINDER POR LA IGLESIA</v>
          </cell>
          <cell r="D526" t="str">
            <v>MARIA ANTONIA GUERRERO LOPEZ</v>
          </cell>
          <cell r="E526">
            <v>28</v>
          </cell>
          <cell r="F526">
            <v>18</v>
          </cell>
          <cell r="G526" t="str">
            <v>TIHUATLAN</v>
          </cell>
          <cell r="H526" t="str">
            <v>SEBASTIAN LERDO DE TEJADA</v>
          </cell>
        </row>
        <row r="527">
          <cell r="A527" t="str">
            <v>30DTV0486I</v>
          </cell>
          <cell r="B527" t="str">
            <v>MIGUEL HIDALGO Y COSTILLA</v>
          </cell>
          <cell r="C527" t="str">
            <v>FRENTE AL CAMPO DEPORTIVO</v>
          </cell>
          <cell r="D527" t="str">
            <v>NORA IDALIA GAYTAN ROSALES</v>
          </cell>
          <cell r="E527">
            <v>28</v>
          </cell>
          <cell r="F527">
            <v>18</v>
          </cell>
          <cell r="G527" t="str">
            <v>TIHUATLAN</v>
          </cell>
          <cell r="H527" t="str">
            <v>LA UNION</v>
          </cell>
        </row>
        <row r="528">
          <cell r="A528" t="str">
            <v>30DTV0727Q</v>
          </cell>
          <cell r="B528" t="str">
            <v>JOSE MARIA MORELOS Y PAVON</v>
          </cell>
          <cell r="C528" t="str">
            <v>JOSE MARIA MORELOS Y PAVON</v>
          </cell>
          <cell r="D528" t="str">
            <v>RAFAEL CONTRERAS MARTINEZ</v>
          </cell>
          <cell r="E528">
            <v>29</v>
          </cell>
          <cell r="F528">
            <v>16</v>
          </cell>
          <cell r="G528" t="str">
            <v>COATZINTLA</v>
          </cell>
          <cell r="H528" t="str">
            <v>COATZINTLA</v>
          </cell>
        </row>
        <row r="529">
          <cell r="A529" t="str">
            <v>30DTV1228A</v>
          </cell>
          <cell r="B529" t="str">
            <v>21 DE MARZO</v>
          </cell>
          <cell r="C529" t="str">
            <v>CONOCIDO</v>
          </cell>
          <cell r="D529" t="str">
            <v>EPIGMENIO GARCIA HERRERA</v>
          </cell>
          <cell r="E529">
            <v>29</v>
          </cell>
          <cell r="F529">
            <v>16</v>
          </cell>
          <cell r="G529" t="str">
            <v>COATZINTLA</v>
          </cell>
          <cell r="H529" t="str">
            <v>COLONIA MIGUEL HIDALGO</v>
          </cell>
        </row>
        <row r="530">
          <cell r="A530" t="str">
            <v>30DTV0726R</v>
          </cell>
          <cell r="B530" t="str">
            <v>FELIPE CARRILLO PUERTO</v>
          </cell>
          <cell r="C530" t="str">
            <v>AQUILES SERDAN S/N</v>
          </cell>
          <cell r="D530" t="str">
            <v>MAGALI GONZALEZ SALAZAR</v>
          </cell>
          <cell r="E530">
            <v>29</v>
          </cell>
          <cell r="F530">
            <v>16</v>
          </cell>
          <cell r="G530" t="str">
            <v>COATZINTLA</v>
          </cell>
          <cell r="H530" t="str">
            <v>CORRALILLOS</v>
          </cell>
        </row>
        <row r="531">
          <cell r="A531" t="str">
            <v>30DTV0368U</v>
          </cell>
          <cell r="B531" t="str">
            <v>ADOLFO LOPEZ MATEOS</v>
          </cell>
          <cell r="C531" t="str">
            <v>ARBOL TRISTE NUM. 103</v>
          </cell>
          <cell r="D531" t="str">
            <v>ESTEBAN MOLINA VALDIVIA</v>
          </cell>
          <cell r="E531">
            <v>29</v>
          </cell>
          <cell r="F531">
            <v>16</v>
          </cell>
          <cell r="G531" t="str">
            <v>COATZINTLA</v>
          </cell>
          <cell r="H531" t="str">
            <v>PALMA SOLA</v>
          </cell>
        </row>
        <row r="532">
          <cell r="A532" t="str">
            <v>30DTV0933Z</v>
          </cell>
          <cell r="B532" t="str">
            <v>IGNACIO LOPEZ RAYON</v>
          </cell>
          <cell r="C532" t="str">
            <v>JUNTO A LA CLINICA RURAL</v>
          </cell>
          <cell r="D532" t="str">
            <v>RENATO RUIZ SANCHEZ</v>
          </cell>
          <cell r="E532">
            <v>29</v>
          </cell>
          <cell r="F532">
            <v>16</v>
          </cell>
          <cell r="G532" t="str">
            <v>COATZINTLA</v>
          </cell>
          <cell r="H532" t="str">
            <v>EL VIZCAINO</v>
          </cell>
        </row>
        <row r="533">
          <cell r="A533" t="str">
            <v>30DTV0255R</v>
          </cell>
          <cell r="B533" t="str">
            <v>NIÐOS HEROES</v>
          </cell>
          <cell r="C533" t="str">
            <v>PINO SUAREZ S/N</v>
          </cell>
          <cell r="D533" t="str">
            <v>MARGARITA PEREZ GARCIA</v>
          </cell>
          <cell r="E533">
            <v>29</v>
          </cell>
          <cell r="F533">
            <v>16</v>
          </cell>
          <cell r="G533" t="str">
            <v>PAPANTLA</v>
          </cell>
          <cell r="H533" t="str">
            <v>CARRIZAL</v>
          </cell>
        </row>
        <row r="534">
          <cell r="A534" t="str">
            <v>30DTV0782J</v>
          </cell>
          <cell r="B534" t="str">
            <v>LAZARO CARDENAS DEL RIO</v>
          </cell>
          <cell r="C534" t="str">
            <v>FRENTE AL PARQUE</v>
          </cell>
          <cell r="D534" t="str">
            <v>ARIEL LOPEZ GONZALEZ</v>
          </cell>
          <cell r="E534">
            <v>29</v>
          </cell>
          <cell r="F534">
            <v>16</v>
          </cell>
          <cell r="G534" t="str">
            <v>PAPANTLA</v>
          </cell>
          <cell r="H534" t="str">
            <v>DONATO MARQUEZ AZUARA</v>
          </cell>
        </row>
        <row r="535">
          <cell r="A535" t="str">
            <v>30DTV1366C</v>
          </cell>
          <cell r="B535" t="str">
            <v>JOSE VASCONCELOS</v>
          </cell>
          <cell r="C535" t="str">
            <v>CONOCIDO</v>
          </cell>
          <cell r="D535" t="str">
            <v>ENEDINA SANCHEZ MORALES</v>
          </cell>
          <cell r="E535">
            <v>29</v>
          </cell>
          <cell r="F535">
            <v>16</v>
          </cell>
          <cell r="G535" t="str">
            <v>PAPANTLA</v>
          </cell>
          <cell r="H535" t="str">
            <v>SANTA AGUEDA</v>
          </cell>
        </row>
        <row r="536">
          <cell r="A536" t="str">
            <v>30DTV1154Z</v>
          </cell>
          <cell r="B536" t="str">
            <v>IGNACIO ZARAGOZA</v>
          </cell>
          <cell r="C536" t="str">
            <v>AL FINAL DE LA CALLE UNO, ATRAS DE LA IGLESIA</v>
          </cell>
          <cell r="D536" t="str">
            <v>JUANA ESTELA NORIEGA PERALTA</v>
          </cell>
          <cell r="E536">
            <v>29</v>
          </cell>
          <cell r="F536">
            <v>16</v>
          </cell>
          <cell r="G536" t="str">
            <v>PAPANTLA</v>
          </cell>
          <cell r="H536" t="str">
            <v>VICENTE HERRERA</v>
          </cell>
        </row>
        <row r="537">
          <cell r="A537" t="str">
            <v>30DTV1007Q</v>
          </cell>
          <cell r="B537" t="str">
            <v>EMILIANO ZAPATA</v>
          </cell>
          <cell r="C537" t="str">
            <v>JUNTO AL JARDIN DE NIÑOS</v>
          </cell>
          <cell r="D537" t="str">
            <v>PEDRO MARTINEZ FERNANDEZ</v>
          </cell>
          <cell r="E537">
            <v>29</v>
          </cell>
          <cell r="F537">
            <v>16</v>
          </cell>
          <cell r="G537" t="str">
            <v>PAPANTLA</v>
          </cell>
          <cell r="H537" t="str">
            <v>LA GUASIMA</v>
          </cell>
        </row>
        <row r="538">
          <cell r="A538" t="str">
            <v>30DTV0535A</v>
          </cell>
          <cell r="B538" t="str">
            <v>CUAUHTEMOC</v>
          </cell>
          <cell r="C538" t="str">
            <v>ESQUINA IGNACIO DE LA LLAVE Y VENUSTIANO CARRANZA S/N</v>
          </cell>
          <cell r="D538" t="str">
            <v>SIXTA PALACIOS CRUZ</v>
          </cell>
          <cell r="E538">
            <v>29</v>
          </cell>
          <cell r="F538">
            <v>16</v>
          </cell>
          <cell r="G538" t="str">
            <v>POZA RICA DE HIDALGO</v>
          </cell>
          <cell r="H538" t="str">
            <v>POZA RICA DE HIDALGO</v>
          </cell>
        </row>
        <row r="539">
          <cell r="A539" t="str">
            <v>30DTV0672D</v>
          </cell>
          <cell r="B539" t="str">
            <v>GUADALUPE VICTORIA</v>
          </cell>
          <cell r="C539" t="str">
            <v>COLONIA GUADALUPE VICTORIA</v>
          </cell>
          <cell r="D539" t="str">
            <v>JUAN OLMEDO CRUZ</v>
          </cell>
          <cell r="E539">
            <v>29</v>
          </cell>
          <cell r="F539">
            <v>16</v>
          </cell>
          <cell r="G539" t="str">
            <v>POZA RICA DE HIDALGO</v>
          </cell>
          <cell r="H539" t="str">
            <v>POZA RICA DE HIDALGO</v>
          </cell>
        </row>
        <row r="540">
          <cell r="A540" t="str">
            <v>30DTV0826Q</v>
          </cell>
          <cell r="B540" t="str">
            <v>BENITO JUAREZ GARCIA</v>
          </cell>
          <cell r="C540" t="str">
            <v>MANZANA NUM. 5</v>
          </cell>
          <cell r="D540" t="str">
            <v>MARIA LUISA SANCHEZ HERNANDEZ</v>
          </cell>
          <cell r="E540">
            <v>29</v>
          </cell>
          <cell r="F540">
            <v>16</v>
          </cell>
          <cell r="G540" t="str">
            <v>POZA RICA DE HIDALGO</v>
          </cell>
          <cell r="H540" t="str">
            <v>POZA RICA DE HIDALGO</v>
          </cell>
        </row>
        <row r="541">
          <cell r="A541" t="str">
            <v>30DTV0682K</v>
          </cell>
          <cell r="B541" t="str">
            <v>SALVADOR DIAZ MIRON</v>
          </cell>
          <cell r="C541" t="str">
            <v>CALLE PRINCIPAL</v>
          </cell>
          <cell r="D541" t="str">
            <v>MARIA GUADALUPE SANCHEZ PALAFOX</v>
          </cell>
          <cell r="E541">
            <v>30</v>
          </cell>
          <cell r="F541">
            <v>20</v>
          </cell>
          <cell r="G541" t="str">
            <v>COAHUITLAN</v>
          </cell>
          <cell r="H541" t="str">
            <v>PROGRESO DE ZARAGOZA</v>
          </cell>
        </row>
        <row r="542">
          <cell r="A542" t="str">
            <v>30DTV1202T</v>
          </cell>
          <cell r="B542" t="str">
            <v>IGNACIO ALLENDE</v>
          </cell>
          <cell r="C542" t="str">
            <v>CONOCIDO</v>
          </cell>
          <cell r="D542" t="str">
            <v>RAFAEL GONZALEZ CORTES</v>
          </cell>
          <cell r="E542">
            <v>30</v>
          </cell>
          <cell r="F542">
            <v>20</v>
          </cell>
          <cell r="G542" t="str">
            <v>COAHUITLAN</v>
          </cell>
          <cell r="H542" t="str">
            <v>COAHUITLAN</v>
          </cell>
        </row>
        <row r="543">
          <cell r="A543" t="str">
            <v>30DTV0991P</v>
          </cell>
          <cell r="B543" t="str">
            <v>SALVADOR NOVO</v>
          </cell>
          <cell r="C543" t="str">
            <v>JUNTO A LA ESCUELA PRIMARIA JUAN ESCUTIA</v>
          </cell>
          <cell r="D543" t="str">
            <v>EUGENIO GARCIA LOPEZ</v>
          </cell>
          <cell r="E543">
            <v>30</v>
          </cell>
          <cell r="F543">
            <v>20</v>
          </cell>
          <cell r="G543" t="str">
            <v>COAHUITLAN</v>
          </cell>
          <cell r="H543" t="str">
            <v>MACEDONIO ALONSO</v>
          </cell>
        </row>
        <row r="544">
          <cell r="A544" t="str">
            <v>30DTV0005L</v>
          </cell>
          <cell r="B544" t="str">
            <v>GRAL. LAZARO CARDENAS DEL RIO</v>
          </cell>
          <cell r="C544" t="str">
            <v>JUNTO A LA CASA DEL CAMPESINO</v>
          </cell>
          <cell r="D544" t="str">
            <v>JAVIER CARDENAS SANCHEZ</v>
          </cell>
          <cell r="E544">
            <v>30</v>
          </cell>
          <cell r="F544">
            <v>20</v>
          </cell>
          <cell r="G544" t="str">
            <v>COXQUIHUI</v>
          </cell>
          <cell r="H544" t="str">
            <v>SABANETA</v>
          </cell>
        </row>
        <row r="545">
          <cell r="A545" t="str">
            <v>30DTV0222Z</v>
          </cell>
          <cell r="B545" t="str">
            <v>BENITO JUAREZ GARCIA</v>
          </cell>
          <cell r="C545" t="str">
            <v>PORFIRIO DIAZ S/N</v>
          </cell>
          <cell r="D545" t="str">
            <v>GUILLERMINA MARROQUIN PATIÑO</v>
          </cell>
          <cell r="E545">
            <v>30</v>
          </cell>
          <cell r="F545">
            <v>20</v>
          </cell>
          <cell r="G545" t="str">
            <v>COYUTLA</v>
          </cell>
          <cell r="H545" t="str">
            <v>COYUTLA</v>
          </cell>
        </row>
        <row r="546">
          <cell r="A546" t="str">
            <v>30DTV1517S</v>
          </cell>
          <cell r="B546" t="str">
            <v>PROFR. ALFONSO CRUZ Y FLORES</v>
          </cell>
          <cell r="C546" t="str">
            <v>CONOCIDO</v>
          </cell>
          <cell r="D546" t="str">
            <v>ALFREDO RAGA AVILES</v>
          </cell>
          <cell r="E546">
            <v>30</v>
          </cell>
          <cell r="F546">
            <v>20</v>
          </cell>
          <cell r="G546" t="str">
            <v>COYUTLA</v>
          </cell>
          <cell r="H546" t="str">
            <v>CALALCO</v>
          </cell>
        </row>
        <row r="547">
          <cell r="A547" t="str">
            <v>30DTV1042W</v>
          </cell>
          <cell r="B547" t="str">
            <v>RAMON LOPEZ VELARDE</v>
          </cell>
          <cell r="C547" t="str">
            <v>FRENTE AL COLEGIO DE BACHILLERES TECNOLOGICO AGROPECUARIO</v>
          </cell>
          <cell r="D547" t="str">
            <v>FRANCISCO JAVIER ALMORA TOLENTINO</v>
          </cell>
          <cell r="E547">
            <v>30</v>
          </cell>
          <cell r="F547">
            <v>20</v>
          </cell>
          <cell r="G547" t="str">
            <v>COYUTLA</v>
          </cell>
          <cell r="H547" t="str">
            <v>LA CHACA</v>
          </cell>
        </row>
        <row r="548">
          <cell r="A548" t="str">
            <v>30DTV1527Z</v>
          </cell>
          <cell r="B548" t="str">
            <v>VENUSTIANO CARRANZA</v>
          </cell>
          <cell r="C548" t="str">
            <v>CONOCIDO</v>
          </cell>
          <cell r="D548" t="str">
            <v>MARIA ELENA DIAS MORALES</v>
          </cell>
          <cell r="E548">
            <v>30</v>
          </cell>
          <cell r="F548">
            <v>20</v>
          </cell>
          <cell r="G548" t="str">
            <v>COYUTLA</v>
          </cell>
          <cell r="H548" t="str">
            <v>LA PALMA</v>
          </cell>
        </row>
        <row r="549">
          <cell r="A549" t="str">
            <v>30DTV0731C</v>
          </cell>
          <cell r="B549" t="str">
            <v>VICENTE GUERRERO</v>
          </cell>
          <cell r="C549" t="str">
            <v>NIÑOS HEROES S/N</v>
          </cell>
          <cell r="D549" t="str">
            <v>NAYELI PEREZ JIMENEZ</v>
          </cell>
          <cell r="E549">
            <v>30</v>
          </cell>
          <cell r="F549">
            <v>20</v>
          </cell>
          <cell r="G549" t="str">
            <v>COYUTLA</v>
          </cell>
          <cell r="H549" t="str">
            <v>EL PANORAMA</v>
          </cell>
        </row>
        <row r="550">
          <cell r="A550" t="str">
            <v>30DTV0732B</v>
          </cell>
          <cell r="B550" t="str">
            <v>ESCUDO NACIONAL</v>
          </cell>
          <cell r="C550" t="str">
            <v>JUNTO A LA ESCUELA PRIMARIA</v>
          </cell>
          <cell r="D550" t="str">
            <v>ABEL POSEROS LEANDRO</v>
          </cell>
          <cell r="E550">
            <v>30</v>
          </cell>
          <cell r="F550">
            <v>20</v>
          </cell>
          <cell r="G550" t="str">
            <v>COYUTLA</v>
          </cell>
          <cell r="H550" t="str">
            <v>TULAPILLA</v>
          </cell>
        </row>
        <row r="551">
          <cell r="A551" t="str">
            <v>30DTV1685O</v>
          </cell>
          <cell r="B551" t="str">
            <v>NIÐOS HEROES</v>
          </cell>
          <cell r="C551" t="str">
            <v>CALLE REVOLUCION S/N</v>
          </cell>
          <cell r="D551" t="str">
            <v>HILARIO LOPEZ MENDEZ</v>
          </cell>
          <cell r="E551">
            <v>30</v>
          </cell>
          <cell r="F551">
            <v>20</v>
          </cell>
          <cell r="G551" t="str">
            <v>COYUTLA</v>
          </cell>
          <cell r="H551" t="str">
            <v>CRUZ VERDE</v>
          </cell>
        </row>
        <row r="552">
          <cell r="A552" t="str">
            <v>30DTV0385K</v>
          </cell>
          <cell r="B552" t="str">
            <v>ADOLFO LOPEZ MATEOS</v>
          </cell>
          <cell r="C552" t="str">
            <v>BENITO JUAREZ S/N</v>
          </cell>
          <cell r="D552" t="str">
            <v>FRANCISCO ROSALES JIMENEZ</v>
          </cell>
          <cell r="E552">
            <v>30</v>
          </cell>
          <cell r="F552">
            <v>20</v>
          </cell>
          <cell r="G552" t="str">
            <v>ESPINAL</v>
          </cell>
          <cell r="H552" t="str">
            <v>EL CIRUELO</v>
          </cell>
        </row>
        <row r="553">
          <cell r="A553" t="str">
            <v>30DTV0183O</v>
          </cell>
          <cell r="B553" t="str">
            <v>CUAUHTEMOC</v>
          </cell>
          <cell r="C553" t="str">
            <v>ALLENDE Y JUAREZ S/N</v>
          </cell>
          <cell r="D553" t="str">
            <v>PAZ MARCIAL CARDENAS</v>
          </cell>
          <cell r="E553">
            <v>30</v>
          </cell>
          <cell r="F553">
            <v>20</v>
          </cell>
          <cell r="G553" t="str">
            <v>ESPINAL</v>
          </cell>
          <cell r="H553" t="str">
            <v>ENTABLADERO</v>
          </cell>
        </row>
        <row r="554">
          <cell r="A554" t="str">
            <v>30DTV0372G</v>
          </cell>
          <cell r="B554" t="str">
            <v>PEDRO MARIA ANAYA</v>
          </cell>
          <cell r="C554" t="str">
            <v>JUNTO AL ALBERGUE BILING▄E</v>
          </cell>
          <cell r="D554" t="str">
            <v>VERONICA BALDERRAMA MARTINEZ</v>
          </cell>
          <cell r="E554">
            <v>30</v>
          </cell>
          <cell r="F554">
            <v>20</v>
          </cell>
          <cell r="G554" t="str">
            <v>ESPINAL</v>
          </cell>
          <cell r="H554" t="str">
            <v>MELCHOR OCAMPO</v>
          </cell>
        </row>
        <row r="555">
          <cell r="A555" t="str">
            <v>30DTV0362Z</v>
          </cell>
          <cell r="B555" t="str">
            <v>FRANCISCO I. MADERO</v>
          </cell>
          <cell r="C555" t="str">
            <v>JUNTO AL CAMPO DEPORTIVO</v>
          </cell>
          <cell r="D555" t="str">
            <v>ELOISA MORENO GUTIEEREZ</v>
          </cell>
          <cell r="E555">
            <v>30</v>
          </cell>
          <cell r="F555">
            <v>20</v>
          </cell>
          <cell r="G555" t="str">
            <v>ESPINAL</v>
          </cell>
          <cell r="H555" t="str">
            <v>POZA LARGA ZAPOTAL</v>
          </cell>
        </row>
        <row r="556">
          <cell r="A556" t="str">
            <v>30DTV1095A</v>
          </cell>
          <cell r="B556" t="str">
            <v>MANUEL PAYNO</v>
          </cell>
          <cell r="C556" t="str">
            <v>TOTONACAPAN S/N</v>
          </cell>
          <cell r="D556" t="str">
            <v>DANIEL ANDRADE HERNANDEZ</v>
          </cell>
          <cell r="E556">
            <v>30</v>
          </cell>
          <cell r="F556">
            <v>20</v>
          </cell>
          <cell r="G556" t="str">
            <v>ESPINAL</v>
          </cell>
          <cell r="H556" t="str">
            <v>SAN LEONCIO JAMAYA</v>
          </cell>
        </row>
        <row r="557">
          <cell r="A557" t="str">
            <v>30DTV1094B</v>
          </cell>
          <cell r="B557" t="str">
            <v>NETZAHUALCOYOTL</v>
          </cell>
          <cell r="C557" t="str">
            <v>JUNTO AL ALBERGUE BILING▄E</v>
          </cell>
          <cell r="D557" t="str">
            <v>NELIDA GONZALEZ BAEZ</v>
          </cell>
          <cell r="E557">
            <v>30</v>
          </cell>
          <cell r="F557">
            <v>20</v>
          </cell>
          <cell r="G557" t="str">
            <v>ESPINAL</v>
          </cell>
          <cell r="H557" t="str">
            <v>ARENAL</v>
          </cell>
        </row>
        <row r="558">
          <cell r="A558" t="str">
            <v>30DTV0383M</v>
          </cell>
          <cell r="B558" t="str">
            <v>FILOMENO MATA</v>
          </cell>
          <cell r="C558" t="str">
            <v>CINCO DE MAYO S/N</v>
          </cell>
          <cell r="D558" t="str">
            <v>AGUSTIN QUIÑONEZ Y MEZA</v>
          </cell>
          <cell r="E558">
            <v>30</v>
          </cell>
          <cell r="F558">
            <v>20</v>
          </cell>
          <cell r="G558" t="str">
            <v>FILOMENO MATA</v>
          </cell>
          <cell r="H558" t="str">
            <v>FILOMENO MATA</v>
          </cell>
        </row>
        <row r="559">
          <cell r="A559" t="str">
            <v>30DTV1324D</v>
          </cell>
          <cell r="B559" t="str">
            <v>NARCISO MENDOZA</v>
          </cell>
          <cell r="C559" t="str">
            <v>CONOCIDO</v>
          </cell>
          <cell r="D559" t="str">
            <v>DANIEL GARCIA CASTILLO</v>
          </cell>
          <cell r="E559">
            <v>30</v>
          </cell>
          <cell r="F559">
            <v>20</v>
          </cell>
          <cell r="G559" t="str">
            <v>FILOMENO MATA</v>
          </cell>
          <cell r="H559" t="str">
            <v>FRANCISCO VILLA</v>
          </cell>
        </row>
        <row r="560">
          <cell r="A560" t="str">
            <v>30DTV1203S</v>
          </cell>
          <cell r="B560" t="str">
            <v>EMILIANO ZAPATA</v>
          </cell>
          <cell r="C560" t="str">
            <v>CONOCIDO</v>
          </cell>
          <cell r="D560" t="str">
            <v>IGNACIO SOSA PEREZ</v>
          </cell>
          <cell r="E560">
            <v>30</v>
          </cell>
          <cell r="F560">
            <v>20</v>
          </cell>
          <cell r="G560" t="str">
            <v>FILOMENO MATA</v>
          </cell>
          <cell r="H560" t="str">
            <v>CERRO GRANDE</v>
          </cell>
        </row>
        <row r="561">
          <cell r="A561" t="str">
            <v>30DTV1336I</v>
          </cell>
          <cell r="B561" t="str">
            <v>HELIODORO DAVILA</v>
          </cell>
          <cell r="C561" t="str">
            <v>CONOCIDO</v>
          </cell>
          <cell r="D561" t="str">
            <v>MELCHOR GARCIA ANDRES</v>
          </cell>
          <cell r="E561">
            <v>30</v>
          </cell>
          <cell r="F561">
            <v>20</v>
          </cell>
          <cell r="G561" t="str">
            <v>FILOMENO MATA</v>
          </cell>
          <cell r="H561" t="str">
            <v>COLONIA ELEODORO DAVILA</v>
          </cell>
        </row>
        <row r="562">
          <cell r="A562" t="str">
            <v>30DTV0378A</v>
          </cell>
          <cell r="B562" t="str">
            <v>ADOLFO LOPEZ MATEOS</v>
          </cell>
          <cell r="C562" t="str">
            <v>VICENTE GUERRERO</v>
          </cell>
          <cell r="D562" t="str">
            <v>JUAN JOSE PALACIO MARILES</v>
          </cell>
          <cell r="E562">
            <v>30</v>
          </cell>
          <cell r="F562">
            <v>20</v>
          </cell>
          <cell r="G562" t="str">
            <v>MECATLAN</v>
          </cell>
          <cell r="H562" t="str">
            <v>MECATLAN</v>
          </cell>
        </row>
        <row r="563">
          <cell r="A563" t="str">
            <v>30DTV1089Q</v>
          </cell>
          <cell r="B563" t="str">
            <v>JOSEFA ORTIZ DE DOMINGUEZ</v>
          </cell>
          <cell r="C563" t="str">
            <v>JUNTO A LA CASA CAMPESINA</v>
          </cell>
          <cell r="D563" t="str">
            <v>ALEJANDRO GARCIA TREJO</v>
          </cell>
          <cell r="E563">
            <v>30</v>
          </cell>
          <cell r="F563">
            <v>20</v>
          </cell>
          <cell r="G563" t="str">
            <v>MECATLAN</v>
          </cell>
          <cell r="H563" t="str">
            <v>RANCHO ALEGRE</v>
          </cell>
        </row>
        <row r="564">
          <cell r="A564" t="str">
            <v>30DTV0384L</v>
          </cell>
          <cell r="B564" t="str">
            <v>LEONA VICARIO</v>
          </cell>
          <cell r="C564" t="str">
            <v>CALLE PRINCIPAL</v>
          </cell>
          <cell r="D564" t="str">
            <v>LEOCADIO HERNANDEZ GARCIA</v>
          </cell>
          <cell r="E564">
            <v>30</v>
          </cell>
          <cell r="F564">
            <v>20</v>
          </cell>
          <cell r="G564" t="str">
            <v>MECATLAN</v>
          </cell>
          <cell r="H564" t="str">
            <v>RICARDO FLORES MAGON</v>
          </cell>
        </row>
        <row r="565">
          <cell r="A565" t="str">
            <v>30DTV1617R</v>
          </cell>
          <cell r="B565" t="str">
            <v>RAFAEL RAMIREZ CASTAÐEDA</v>
          </cell>
          <cell r="C565" t="str">
            <v>JUNTO A LA TIENDA COMUNITARIA</v>
          </cell>
          <cell r="D565" t="str">
            <v>ARTURO MARQUES MORALES</v>
          </cell>
          <cell r="E565">
            <v>30</v>
          </cell>
          <cell r="F565">
            <v>20</v>
          </cell>
          <cell r="G565" t="str">
            <v>MECATLAN</v>
          </cell>
          <cell r="H565" t="str">
            <v>LA CRUZ</v>
          </cell>
        </row>
        <row r="566">
          <cell r="A566" t="str">
            <v>30DTV1360I</v>
          </cell>
          <cell r="B566" t="str">
            <v>ALVARO GALVEZ Y FUENTES</v>
          </cell>
          <cell r="C566" t="str">
            <v>CONOCIDO</v>
          </cell>
          <cell r="D566" t="str">
            <v>MARIO OLARTE RAMIREZ</v>
          </cell>
          <cell r="E566">
            <v>30</v>
          </cell>
          <cell r="F566">
            <v>20</v>
          </cell>
          <cell r="G566" t="str">
            <v>MECATLAN</v>
          </cell>
          <cell r="H566" t="str">
            <v>CUHUIXANATH</v>
          </cell>
        </row>
        <row r="567">
          <cell r="A567" t="str">
            <v>30DTV1255Y</v>
          </cell>
          <cell r="B567" t="str">
            <v>CUITLAHUAC</v>
          </cell>
          <cell r="C567" t="str">
            <v>COLONIA CUAUHTEMOC</v>
          </cell>
          <cell r="D567" t="str">
            <v>ROMAN VALENCIA PEREZ</v>
          </cell>
          <cell r="E567">
            <v>31</v>
          </cell>
          <cell r="F567">
            <v>20</v>
          </cell>
          <cell r="G567" t="str">
            <v>PAPANTLA</v>
          </cell>
          <cell r="H567" t="str">
            <v>PAPANTLA DE OLARTE</v>
          </cell>
        </row>
        <row r="568">
          <cell r="A568" t="str">
            <v>30DTV1256X</v>
          </cell>
          <cell r="B568" t="str">
            <v>RAFAEL RAMIREZ</v>
          </cell>
          <cell r="C568" t="str">
            <v>RIO MISANTLA S/N</v>
          </cell>
          <cell r="D568" t="str">
            <v>JESUS ARAUJO LOPEZ</v>
          </cell>
          <cell r="E568">
            <v>31</v>
          </cell>
          <cell r="F568">
            <v>20</v>
          </cell>
          <cell r="G568" t="str">
            <v>PAPANTLA</v>
          </cell>
          <cell r="H568" t="str">
            <v>PAPANTLA DE OLARTE</v>
          </cell>
        </row>
        <row r="569">
          <cell r="A569" t="str">
            <v>30DTV0261B</v>
          </cell>
          <cell r="B569" t="str">
            <v>RUBEN DARIO</v>
          </cell>
          <cell r="C569" t="str">
            <v>CONOCIDO</v>
          </cell>
          <cell r="D569" t="str">
            <v>NORMA PEREZ FLORES</v>
          </cell>
          <cell r="E569">
            <v>31</v>
          </cell>
          <cell r="F569">
            <v>20</v>
          </cell>
          <cell r="G569" t="str">
            <v>PAPANTLA</v>
          </cell>
          <cell r="H569" t="str">
            <v>IGNACIO ALLENDE</v>
          </cell>
        </row>
        <row r="570">
          <cell r="A570" t="str">
            <v>30DTV0382N</v>
          </cell>
          <cell r="B570" t="str">
            <v>JOSEFA ORTIZ DE DOMINGUEZ</v>
          </cell>
          <cell r="C570" t="str">
            <v>CONOCIDO</v>
          </cell>
          <cell r="D570" t="str">
            <v>JOSEFINA MENDEZ SANCHEZ</v>
          </cell>
          <cell r="E570">
            <v>31</v>
          </cell>
          <cell r="F570">
            <v>20</v>
          </cell>
          <cell r="G570" t="str">
            <v>PAPANTLA</v>
          </cell>
          <cell r="H570" t="str">
            <v>BELISARIO DOMINGUEZ</v>
          </cell>
        </row>
        <row r="571">
          <cell r="A571" t="str">
            <v>30DTV0822U</v>
          </cell>
          <cell r="B571" t="str">
            <v>JUAN ESCUTIA</v>
          </cell>
          <cell r="C571" t="str">
            <v>JUNTO A LA ESCUELA PRIMARIA</v>
          </cell>
          <cell r="D571" t="str">
            <v>EDER HERNANDEZ OLIVARES</v>
          </cell>
          <cell r="E571">
            <v>31</v>
          </cell>
          <cell r="F571">
            <v>20</v>
          </cell>
          <cell r="G571" t="str">
            <v>PAPANTLA</v>
          </cell>
          <cell r="H571" t="str">
            <v>CUYUXQUIHUI</v>
          </cell>
        </row>
        <row r="572">
          <cell r="A572" t="str">
            <v>30DTV1709H</v>
          </cell>
          <cell r="B572" t="str">
            <v>FRANCISCO PRIMO VERDAD Y RAMOS</v>
          </cell>
          <cell r="C572" t="str">
            <v>CALLE EMILIANO ZAPATA S/N</v>
          </cell>
          <cell r="D572" t="str">
            <v>RAUL HERNANDEZ CASTRO</v>
          </cell>
          <cell r="E572">
            <v>31</v>
          </cell>
          <cell r="F572">
            <v>20</v>
          </cell>
          <cell r="G572" t="str">
            <v>PAPANTLA</v>
          </cell>
          <cell r="H572" t="str">
            <v>EL CHOTE</v>
          </cell>
        </row>
        <row r="573">
          <cell r="A573" t="str">
            <v>30DTV1361H</v>
          </cell>
          <cell r="B573" t="str">
            <v>FRANCISCO VILLA</v>
          </cell>
          <cell r="C573" t="str">
            <v>CONOCIDO</v>
          </cell>
          <cell r="D573" t="str">
            <v>EDGAR DAVID ALEJANDRO COLON GARCIA</v>
          </cell>
          <cell r="E573">
            <v>31</v>
          </cell>
          <cell r="F573">
            <v>20</v>
          </cell>
          <cell r="G573" t="str">
            <v>PAPANTLA</v>
          </cell>
          <cell r="H573" t="str">
            <v>FRANCISCO VILLA</v>
          </cell>
        </row>
        <row r="574">
          <cell r="A574" t="str">
            <v>30DTV0278B</v>
          </cell>
          <cell r="B574" t="str">
            <v>FELIPE CARRILLO PUERTO</v>
          </cell>
          <cell r="C574" t="str">
            <v>CONOCIDO</v>
          </cell>
          <cell r="D574" t="str">
            <v>JOEL PEREZ PEREZ</v>
          </cell>
          <cell r="E574">
            <v>31</v>
          </cell>
          <cell r="F574">
            <v>20</v>
          </cell>
          <cell r="G574" t="str">
            <v>PAPANTLA</v>
          </cell>
          <cell r="H574" t="str">
            <v>JOLOAPAN</v>
          </cell>
        </row>
        <row r="575">
          <cell r="A575" t="str">
            <v>30DTV0003N</v>
          </cell>
          <cell r="B575" t="str">
            <v>RAMON ESPINOSA VILLANUEVA</v>
          </cell>
          <cell r="C575" t="str">
            <v>16 DE SEPTIEMBRE NUM. 25</v>
          </cell>
          <cell r="D575" t="str">
            <v>HEBERTO VAZQUEZ HERNANDEZ</v>
          </cell>
          <cell r="E575">
            <v>31</v>
          </cell>
          <cell r="F575">
            <v>20</v>
          </cell>
          <cell r="G575" t="str">
            <v>PAPANTLA</v>
          </cell>
          <cell r="H575" t="str">
            <v>PUEBLILLO</v>
          </cell>
        </row>
        <row r="576">
          <cell r="A576" t="str">
            <v>30DTV1520F</v>
          </cell>
          <cell r="B576" t="str">
            <v>MIGUEL ALEMAN VALDES</v>
          </cell>
          <cell r="C576" t="str">
            <v>CONOCIDO</v>
          </cell>
          <cell r="D576" t="str">
            <v>CARLOS ALBERTO VAZQUEZ PEREZ</v>
          </cell>
          <cell r="E576">
            <v>31</v>
          </cell>
          <cell r="F576">
            <v>20</v>
          </cell>
          <cell r="G576" t="str">
            <v>PAPANTLA</v>
          </cell>
          <cell r="H576" t="str">
            <v>RAFAEL ROSAS</v>
          </cell>
        </row>
        <row r="577">
          <cell r="A577" t="str">
            <v>30DTV0022B</v>
          </cell>
          <cell r="B577" t="str">
            <v>CUAUHTEMOC</v>
          </cell>
          <cell r="C577" t="str">
            <v>CARRETERA PRINCIPAL</v>
          </cell>
          <cell r="D577" t="str">
            <v>JOSE GUADALUPE PEREZ CAMARILLO</v>
          </cell>
          <cell r="E577">
            <v>31</v>
          </cell>
          <cell r="F577">
            <v>20</v>
          </cell>
          <cell r="G577" t="str">
            <v>PAPANTLA</v>
          </cell>
          <cell r="H577" t="str">
            <v>EL REMOLINO</v>
          </cell>
        </row>
        <row r="578">
          <cell r="A578" t="str">
            <v>30DTV1670M</v>
          </cell>
          <cell r="B578" t="str">
            <v>JOSÉ DE JESÚS NUÑEZ Y DOMÍNGUEZ</v>
          </cell>
          <cell r="C578" t="str">
            <v>DURANGO S/N</v>
          </cell>
          <cell r="D578" t="str">
            <v>MILITZA VENCES RICO</v>
          </cell>
          <cell r="E578">
            <v>31</v>
          </cell>
          <cell r="F578">
            <v>20</v>
          </cell>
          <cell r="G578" t="str">
            <v>PAPANTLA</v>
          </cell>
          <cell r="H578" t="str">
            <v>CONGREGACION TARACUAN</v>
          </cell>
        </row>
        <row r="579">
          <cell r="A579" t="str">
            <v>30DTV0962U</v>
          </cell>
          <cell r="B579" t="str">
            <v>LAZARO CARDENAS DEL RIO</v>
          </cell>
          <cell r="C579" t="str">
            <v>ENTRADA PRINCIPAL</v>
          </cell>
          <cell r="D579" t="str">
            <v>MARCO ANTONIO CASTELLANOS ALARCON</v>
          </cell>
          <cell r="E579">
            <v>31</v>
          </cell>
          <cell r="F579">
            <v>20</v>
          </cell>
          <cell r="G579" t="str">
            <v>PAPANTLA</v>
          </cell>
          <cell r="H579" t="str">
            <v>INSURGENTES SOCIALISTAS</v>
          </cell>
        </row>
        <row r="580">
          <cell r="A580" t="str">
            <v>30DTV0021C</v>
          </cell>
          <cell r="B580" t="str">
            <v>PENSADOR MEXICANO</v>
          </cell>
          <cell r="C580" t="str">
            <v>CARRETERA FEDERAL NAUTLA CARDEL</v>
          </cell>
          <cell r="D580" t="str">
            <v>HILDA IRMA MADRID ORTEGA</v>
          </cell>
          <cell r="E580">
            <v>32</v>
          </cell>
          <cell r="F580">
            <v>8</v>
          </cell>
          <cell r="G580" t="str">
            <v>NAUTLA</v>
          </cell>
          <cell r="H580" t="str">
            <v>NAUTLA</v>
          </cell>
        </row>
        <row r="581">
          <cell r="A581" t="str">
            <v>30DTV0185M</v>
          </cell>
          <cell r="B581" t="str">
            <v>BENITO JUAREZ GARCIA</v>
          </cell>
          <cell r="C581" t="str">
            <v>CONOCIDO</v>
          </cell>
          <cell r="D581" t="str">
            <v>EDITH RODRIGUEZ Y LEON</v>
          </cell>
          <cell r="E581">
            <v>32</v>
          </cell>
          <cell r="F581">
            <v>8</v>
          </cell>
          <cell r="G581" t="str">
            <v>NAUTLA</v>
          </cell>
          <cell r="H581" t="str">
            <v>ADALBERTO TEJEDA</v>
          </cell>
        </row>
        <row r="582">
          <cell r="A582" t="str">
            <v>30DTV0094V</v>
          </cell>
          <cell r="B582" t="str">
            <v>AGUSTIN IZQUIERDO QUESSNEL</v>
          </cell>
          <cell r="C582" t="str">
            <v>CALLE PRINCIPAL S/N</v>
          </cell>
          <cell r="D582" t="str">
            <v>VICTOR LOPEZ MORGADO</v>
          </cell>
          <cell r="E582">
            <v>32</v>
          </cell>
          <cell r="F582">
            <v>8</v>
          </cell>
          <cell r="G582" t="str">
            <v>NAUTLA</v>
          </cell>
          <cell r="H582" t="str">
            <v>BARRA DE PALMAS</v>
          </cell>
        </row>
        <row r="583">
          <cell r="A583" t="str">
            <v>30DTV0392U</v>
          </cell>
          <cell r="B583" t="str">
            <v>EMILIANO ZAPATA</v>
          </cell>
          <cell r="C583" t="str">
            <v>CONOCIDO</v>
          </cell>
          <cell r="D583" t="str">
            <v>FRANCISCO GUZMAN Y MARTINEZ</v>
          </cell>
          <cell r="E583">
            <v>32</v>
          </cell>
          <cell r="F583">
            <v>8</v>
          </cell>
          <cell r="G583" t="str">
            <v>NAUTLA</v>
          </cell>
          <cell r="H583" t="str">
            <v>ISLA DE CHAPACHAPA</v>
          </cell>
        </row>
        <row r="584">
          <cell r="A584" t="str">
            <v>30DTV0019O</v>
          </cell>
          <cell r="B584" t="str">
            <v>SOR JUANA INES DE LA CRUZ</v>
          </cell>
          <cell r="C584" t="str">
            <v>CONOCIDO</v>
          </cell>
          <cell r="D584" t="str">
            <v>LEOPOLDO PEREZ PORTILLA</v>
          </cell>
          <cell r="E584">
            <v>32</v>
          </cell>
          <cell r="F584">
            <v>8</v>
          </cell>
          <cell r="G584" t="str">
            <v>NAUTLA</v>
          </cell>
          <cell r="H584" t="str">
            <v>JICALTEPEC</v>
          </cell>
        </row>
        <row r="585">
          <cell r="A585" t="str">
            <v>30DTV0834Z</v>
          </cell>
          <cell r="B585" t="str">
            <v>ARNULFO VIVEROS AGUILAR</v>
          </cell>
          <cell r="C585" t="str">
            <v>CONOCIDO</v>
          </cell>
          <cell r="D585" t="str">
            <v>JUANA PALLARES LARIOS</v>
          </cell>
          <cell r="E585">
            <v>32</v>
          </cell>
          <cell r="F585">
            <v>8</v>
          </cell>
          <cell r="G585" t="str">
            <v>TECOLUTLA</v>
          </cell>
          <cell r="H585" t="str">
            <v>CASITAS</v>
          </cell>
        </row>
        <row r="586">
          <cell r="A586" t="str">
            <v>30DTV0307G</v>
          </cell>
          <cell r="B586" t="str">
            <v>BENITO JUAREZ GARCIA</v>
          </cell>
          <cell r="C586" t="str">
            <v>PROLONGACION RUBEN DARIO S/N</v>
          </cell>
          <cell r="D586" t="str">
            <v>CLEMENTINO CASTELLANOS GALINDO</v>
          </cell>
          <cell r="E586">
            <v>32</v>
          </cell>
          <cell r="F586">
            <v>8</v>
          </cell>
          <cell r="G586" t="str">
            <v>SAN RAFAEL</v>
          </cell>
          <cell r="H586" t="str">
            <v>SAN RAFAEL</v>
          </cell>
        </row>
        <row r="587">
          <cell r="A587" t="str">
            <v>30DTV0480O</v>
          </cell>
          <cell r="B587" t="str">
            <v>MIGUEL ALEMAN VALDES</v>
          </cell>
          <cell r="C587" t="str">
            <v>CONOCIDO</v>
          </cell>
          <cell r="D587" t="str">
            <v>ALEJANDRO RIVERA LOPEZ</v>
          </cell>
          <cell r="E587">
            <v>32</v>
          </cell>
          <cell r="F587">
            <v>8</v>
          </cell>
          <cell r="G587" t="str">
            <v>SAN RAFAEL</v>
          </cell>
          <cell r="H587" t="str">
            <v>CEMENTERAS DEL PITAL</v>
          </cell>
        </row>
        <row r="588">
          <cell r="A588" t="str">
            <v>30DTV0029V</v>
          </cell>
          <cell r="B588" t="str">
            <v>JUSTO SIERRA</v>
          </cell>
          <cell r="C588" t="str">
            <v>CONOCIDO</v>
          </cell>
          <cell r="D588" t="str">
            <v>ELIA HERNANDEZ CISNEROS</v>
          </cell>
          <cell r="E588">
            <v>32</v>
          </cell>
          <cell r="F588">
            <v>8</v>
          </cell>
          <cell r="G588" t="str">
            <v>SAN RAFAEL</v>
          </cell>
          <cell r="H588" t="str">
            <v>EL PITAL</v>
          </cell>
        </row>
        <row r="589">
          <cell r="A589" t="str">
            <v>30DTV0253T</v>
          </cell>
          <cell r="B589" t="str">
            <v>ERNESTO TORAL LOMBARD</v>
          </cell>
          <cell r="C589" t="str">
            <v>CONOCIDO</v>
          </cell>
          <cell r="D589" t="str">
            <v>MARIO OLARTE MONTIEL</v>
          </cell>
          <cell r="E589">
            <v>32</v>
          </cell>
          <cell r="F589">
            <v>8</v>
          </cell>
          <cell r="G589" t="str">
            <v>SAN RAFAEL</v>
          </cell>
          <cell r="H589" t="str">
            <v>TRES ENCINOS</v>
          </cell>
        </row>
        <row r="590">
          <cell r="A590" t="str">
            <v>30DTV1125E</v>
          </cell>
          <cell r="B590" t="str">
            <v>MIGUEL HIDALGO Y COSTILLA</v>
          </cell>
          <cell r="C590" t="str">
            <v>CONOCIDO</v>
          </cell>
          <cell r="D590" t="str">
            <v>NOE GONZALEZ CARAZA</v>
          </cell>
          <cell r="E590">
            <v>33</v>
          </cell>
          <cell r="F590">
            <v>12</v>
          </cell>
          <cell r="G590" t="str">
            <v>ALTO LUCERO DE GUTIERREZ BARRIOS</v>
          </cell>
          <cell r="H590" t="str">
            <v>PEDREGAL</v>
          </cell>
        </row>
        <row r="591">
          <cell r="A591" t="str">
            <v>30DTV1410Z</v>
          </cell>
          <cell r="B591" t="str">
            <v>TELESECUNDARIA</v>
          </cell>
          <cell r="C591" t="str">
            <v>CONOCIDO</v>
          </cell>
          <cell r="D591" t="str">
            <v>ELOINA HERNANDEZ PERDOMO</v>
          </cell>
          <cell r="E591">
            <v>33</v>
          </cell>
          <cell r="F591">
            <v>12</v>
          </cell>
          <cell r="G591" t="str">
            <v>COLIPA</v>
          </cell>
          <cell r="H591" t="str">
            <v>CERRO DEL AGUACATE</v>
          </cell>
        </row>
        <row r="592">
          <cell r="A592" t="str">
            <v>30DTV1630L</v>
          </cell>
          <cell r="B592" t="str">
            <v>TELESECUNDARIA</v>
          </cell>
          <cell r="C592" t="str">
            <v>CALLE PRINCIPAL S/N</v>
          </cell>
          <cell r="D592" t="str">
            <v>NATIVIDAD ALEJANDRO MONZON</v>
          </cell>
          <cell r="E592">
            <v>33</v>
          </cell>
          <cell r="F592">
            <v>12</v>
          </cell>
          <cell r="G592" t="str">
            <v>CHICONQUIACO</v>
          </cell>
          <cell r="H592" t="str">
            <v>EL CAPULIN</v>
          </cell>
        </row>
        <row r="593">
          <cell r="A593" t="str">
            <v>30DTV1631K</v>
          </cell>
          <cell r="B593" t="str">
            <v>TELESECUNDARIA</v>
          </cell>
          <cell r="C593" t="str">
            <v>FRENTE A LA CARRETERA (ENTRADA A LA POBLACION)</v>
          </cell>
          <cell r="D593" t="str">
            <v>MARGARITA RODRIGUEZ GONZALEZ</v>
          </cell>
          <cell r="E593">
            <v>33</v>
          </cell>
          <cell r="F593">
            <v>12</v>
          </cell>
          <cell r="G593" t="str">
            <v>CHICONQUIACO</v>
          </cell>
          <cell r="H593" t="str">
            <v>PLAN DE LA ESTRELLA</v>
          </cell>
        </row>
        <row r="594">
          <cell r="A594" t="str">
            <v>30DTV1632J</v>
          </cell>
          <cell r="B594" t="str">
            <v>TELESECUNDARIA</v>
          </cell>
          <cell r="C594" t="str">
            <v>CALLE PRINCIPAL S/N</v>
          </cell>
          <cell r="D594" t="str">
            <v>SILVIA TORIZ JIMENEZ</v>
          </cell>
          <cell r="E594">
            <v>33</v>
          </cell>
          <cell r="F594">
            <v>12</v>
          </cell>
          <cell r="G594" t="str">
            <v>CHICONQUIACO</v>
          </cell>
          <cell r="H594" t="str">
            <v>LOMA PLAN</v>
          </cell>
        </row>
        <row r="595">
          <cell r="A595" t="str">
            <v>30DTV1633I</v>
          </cell>
          <cell r="B595" t="str">
            <v>TELESECUNDARIA</v>
          </cell>
          <cell r="C595" t="str">
            <v>CALLE PRINCIPAL</v>
          </cell>
          <cell r="D595" t="str">
            <v>GUADALUPE GILBON RUIZ</v>
          </cell>
          <cell r="E595">
            <v>33</v>
          </cell>
          <cell r="F595">
            <v>12</v>
          </cell>
          <cell r="G595" t="str">
            <v>CHICONQUIACO</v>
          </cell>
          <cell r="H595" t="str">
            <v>LAS PAREDES</v>
          </cell>
        </row>
        <row r="596">
          <cell r="A596" t="str">
            <v>30DTV0683J</v>
          </cell>
          <cell r="B596" t="str">
            <v>NIÐOS HEROES</v>
          </cell>
          <cell r="C596" t="str">
            <v>CONOCIDO</v>
          </cell>
          <cell r="D596" t="str">
            <v>ROGELIO LOPEZ JULIO</v>
          </cell>
          <cell r="E596">
            <v>33</v>
          </cell>
          <cell r="F596">
            <v>12</v>
          </cell>
          <cell r="G596" t="str">
            <v>CHICONQUIACO</v>
          </cell>
          <cell r="H596" t="str">
            <v>LA SOMBRA</v>
          </cell>
        </row>
        <row r="597">
          <cell r="A597" t="str">
            <v>30DTV0212T</v>
          </cell>
          <cell r="B597" t="str">
            <v>ENRIQUE C. REBSAMEN</v>
          </cell>
          <cell r="C597" t="str">
            <v>REFORMA Y ALLENDE</v>
          </cell>
          <cell r="D597" t="str">
            <v>FERNANDO TORRES VAZQUEZ</v>
          </cell>
          <cell r="E597">
            <v>33</v>
          </cell>
          <cell r="F597">
            <v>12</v>
          </cell>
          <cell r="G597" t="str">
            <v>JUCHIQUE DE FERRER</v>
          </cell>
          <cell r="H597" t="str">
            <v>JUCHIQUE DE FERRER</v>
          </cell>
        </row>
        <row r="598">
          <cell r="A598" t="str">
            <v>30DTV1704M</v>
          </cell>
          <cell r="B598" t="str">
            <v>TELESECUNDARIA</v>
          </cell>
          <cell r="C598" t="str">
            <v>CALLE PRINCIPAL S/N (SALIDA A VILLA RICA)</v>
          </cell>
          <cell r="D598" t="str">
            <v>MARCO ANTONIO HERRERA BRAVO</v>
          </cell>
          <cell r="E598">
            <v>33</v>
          </cell>
          <cell r="F598">
            <v>12</v>
          </cell>
          <cell r="G598" t="str">
            <v>JUCHIQUE DE FERRER</v>
          </cell>
          <cell r="H598" t="str">
            <v>CARRIZAL</v>
          </cell>
        </row>
        <row r="599">
          <cell r="A599" t="str">
            <v>30DTV0688E</v>
          </cell>
          <cell r="B599" t="str">
            <v>VENUSTIANO CARRANZA</v>
          </cell>
          <cell r="C599" t="str">
            <v>CONOCIDO</v>
          </cell>
          <cell r="D599" t="str">
            <v>YOEL HERNANDEZ PEREZ</v>
          </cell>
          <cell r="E599">
            <v>33</v>
          </cell>
          <cell r="F599">
            <v>12</v>
          </cell>
          <cell r="G599" t="str">
            <v>JUCHIQUE DE FERRER</v>
          </cell>
          <cell r="H599" t="str">
            <v>EL CHAPARRAL</v>
          </cell>
        </row>
        <row r="600">
          <cell r="A600" t="str">
            <v>30DTV0339Z</v>
          </cell>
          <cell r="B600" t="str">
            <v>BENITO JUAREZ GARCIA</v>
          </cell>
          <cell r="C600" t="str">
            <v>CONOCIDO</v>
          </cell>
          <cell r="D600" t="str">
            <v>JAQUELINE DIAZ MORENO</v>
          </cell>
          <cell r="E600">
            <v>33</v>
          </cell>
          <cell r="F600">
            <v>12</v>
          </cell>
          <cell r="G600" t="str">
            <v>JUCHIQUE DE FERRER</v>
          </cell>
          <cell r="H600" t="str">
            <v>DOS ARROYOS</v>
          </cell>
        </row>
        <row r="601">
          <cell r="A601" t="str">
            <v>30DTV0014T</v>
          </cell>
          <cell r="B601" t="str">
            <v>HERIBERTO JARA CORONA</v>
          </cell>
          <cell r="C601" t="str">
            <v>CONOCIDO</v>
          </cell>
          <cell r="D601" t="str">
            <v>MAGDALENA  BARRERA MORALES</v>
          </cell>
          <cell r="E601">
            <v>33</v>
          </cell>
          <cell r="F601">
            <v>12</v>
          </cell>
          <cell r="G601" t="str">
            <v>JUCHIQUE DE FERRER</v>
          </cell>
          <cell r="H601" t="str">
            <v>LA ESPERANZA</v>
          </cell>
        </row>
        <row r="602">
          <cell r="A602" t="str">
            <v>30DTV0395R</v>
          </cell>
          <cell r="B602" t="str">
            <v>BENITO JUAREZ GARCIA</v>
          </cell>
          <cell r="C602" t="str">
            <v>CONOCIDO</v>
          </cell>
          <cell r="D602" t="str">
            <v>GLORIA ESTELA BALDERAS Y VAZQUEZ</v>
          </cell>
          <cell r="E602">
            <v>33</v>
          </cell>
          <cell r="F602">
            <v>12</v>
          </cell>
          <cell r="G602" t="str">
            <v>JUCHIQUE DE FERRER</v>
          </cell>
          <cell r="H602" t="str">
            <v>LAGUNA DE FARFAN</v>
          </cell>
        </row>
        <row r="603">
          <cell r="A603" t="str">
            <v>30DTV0202M</v>
          </cell>
          <cell r="B603" t="str">
            <v>LAZARO CARDENAS DEL RIO</v>
          </cell>
          <cell r="C603" t="str">
            <v>CONOCIDO</v>
          </cell>
          <cell r="D603" t="str">
            <v>VENANCIO CELIS TORRES</v>
          </cell>
          <cell r="E603">
            <v>33</v>
          </cell>
          <cell r="F603">
            <v>12</v>
          </cell>
          <cell r="G603" t="str">
            <v>JUCHIQUE DE FERRER</v>
          </cell>
          <cell r="H603" t="str">
            <v>PLAN DE LA FLOR</v>
          </cell>
        </row>
        <row r="604">
          <cell r="A604" t="str">
            <v>30DTV0179B</v>
          </cell>
          <cell r="B604" t="str">
            <v>ADOLFO LOPEZ MATEOS</v>
          </cell>
          <cell r="C604" t="str">
            <v>MIGUEL HIDALGO Y ORIENTE</v>
          </cell>
          <cell r="D604" t="str">
            <v>RAMIRO HERNANDEZ OVALLES</v>
          </cell>
          <cell r="E604">
            <v>33</v>
          </cell>
          <cell r="F604">
            <v>12</v>
          </cell>
          <cell r="G604" t="str">
            <v>JUCHIQUE DE FERRER</v>
          </cell>
          <cell r="H604" t="str">
            <v>PLAN DE LAS HAYAS</v>
          </cell>
        </row>
        <row r="605">
          <cell r="A605" t="str">
            <v>30DTV1052C</v>
          </cell>
          <cell r="B605" t="str">
            <v>MIGUEL HIDALGO Y COSTILLA</v>
          </cell>
          <cell r="C605" t="str">
            <v>FRENTE A LA PRIMARIA</v>
          </cell>
          <cell r="D605" t="str">
            <v>ASUNCION RUIZ Y CAICEROS</v>
          </cell>
          <cell r="E605">
            <v>33</v>
          </cell>
          <cell r="F605">
            <v>12</v>
          </cell>
          <cell r="G605" t="str">
            <v>JUCHIQUE DE FERRER</v>
          </cell>
          <cell r="H605" t="str">
            <v>PORFIRIO DIAZ (EL NARANJAL)</v>
          </cell>
        </row>
        <row r="606">
          <cell r="A606" t="str">
            <v>30DTV1185T</v>
          </cell>
          <cell r="B606" t="str">
            <v>TELESECUNDARIA</v>
          </cell>
          <cell r="C606" t="str">
            <v>CALLE PRINCIPAL</v>
          </cell>
          <cell r="D606" t="str">
            <v>OMAR ISRAEL CAICEROS HERNANDEZ</v>
          </cell>
          <cell r="E606">
            <v>33</v>
          </cell>
          <cell r="F606">
            <v>12</v>
          </cell>
          <cell r="G606" t="str">
            <v>JUCHIQUE DE FERRER</v>
          </cell>
          <cell r="H606" t="str">
            <v>SANTA ROSA SUR</v>
          </cell>
        </row>
        <row r="607">
          <cell r="A607" t="str">
            <v>30DTV0309E</v>
          </cell>
          <cell r="B607" t="str">
            <v>ALVARO GALVEZ Y FUENTES</v>
          </cell>
          <cell r="C607" t="str">
            <v>CAROLINO ANAYA S/N</v>
          </cell>
          <cell r="D607" t="str">
            <v>OFELIA CORDOVA GARCIA</v>
          </cell>
          <cell r="E607">
            <v>33</v>
          </cell>
          <cell r="F607">
            <v>12</v>
          </cell>
          <cell r="G607" t="str">
            <v>JUCHIQUE DE FERRER</v>
          </cell>
          <cell r="H607" t="str">
            <v>SANTIAGO XIHUITLAN</v>
          </cell>
        </row>
        <row r="608">
          <cell r="A608" t="str">
            <v>30DTV0170K</v>
          </cell>
          <cell r="B608" t="str">
            <v>MIGUEL HIDALGO Y COSTILLA</v>
          </cell>
          <cell r="C608" t="str">
            <v>CONOCIDO</v>
          </cell>
          <cell r="D608" t="str">
            <v>LETICIA RENDON LANDA</v>
          </cell>
          <cell r="E608">
            <v>33</v>
          </cell>
          <cell r="F608">
            <v>12</v>
          </cell>
          <cell r="G608" t="str">
            <v>YECUATLA</v>
          </cell>
          <cell r="H608" t="str">
            <v>CRISTOBAL HIDALGO</v>
          </cell>
        </row>
        <row r="609">
          <cell r="A609" t="str">
            <v>30DTV0990Q</v>
          </cell>
          <cell r="B609" t="str">
            <v>EMILIANO ZAPATA</v>
          </cell>
          <cell r="C609" t="str">
            <v>CONOCIDO</v>
          </cell>
          <cell r="D609" t="str">
            <v>SERGIO MEZA GILBON</v>
          </cell>
          <cell r="E609">
            <v>33</v>
          </cell>
          <cell r="F609">
            <v>12</v>
          </cell>
          <cell r="G609" t="str">
            <v>YECUATLA</v>
          </cell>
          <cell r="H609" t="str">
            <v>CUAUTITLAN DEL PARRAL</v>
          </cell>
        </row>
        <row r="610">
          <cell r="A610" t="str">
            <v>30DTV0697M</v>
          </cell>
          <cell r="B610" t="str">
            <v>QUETZALCOATL</v>
          </cell>
          <cell r="C610" t="str">
            <v>CONOCIDO</v>
          </cell>
          <cell r="D610" t="str">
            <v>AMELIA HERNANDEZ FERNANDEZ</v>
          </cell>
          <cell r="E610">
            <v>33</v>
          </cell>
          <cell r="F610">
            <v>12</v>
          </cell>
          <cell r="G610" t="str">
            <v>YECUATLA</v>
          </cell>
          <cell r="H610" t="str">
            <v>INDEPENDENCIA (LA INDIA)</v>
          </cell>
        </row>
        <row r="611">
          <cell r="A611" t="str">
            <v>30DTV1053B</v>
          </cell>
          <cell r="B611" t="str">
            <v>TELESECUNDARIA</v>
          </cell>
          <cell r="C611" t="str">
            <v>CALLE PRINCIPAL</v>
          </cell>
          <cell r="D611" t="str">
            <v>HECTOR HUGO RUANO CONTRERAS</v>
          </cell>
          <cell r="E611">
            <v>33</v>
          </cell>
          <cell r="F611">
            <v>12</v>
          </cell>
          <cell r="G611" t="str">
            <v>YECUATLA</v>
          </cell>
          <cell r="H611" t="str">
            <v>LA UNION</v>
          </cell>
        </row>
        <row r="612">
          <cell r="A612" t="str">
            <v>30DTV0334D</v>
          </cell>
          <cell r="B612" t="str">
            <v>ALVARO GALVEZ Y FUENTES</v>
          </cell>
          <cell r="C612" t="str">
            <v>FRENTE AL CAMPO DEPORTIVO</v>
          </cell>
          <cell r="D612" t="str">
            <v>HECTOR GRIJALVA LOPEZ</v>
          </cell>
          <cell r="E612">
            <v>34</v>
          </cell>
          <cell r="F612">
            <v>2</v>
          </cell>
          <cell r="G612" t="str">
            <v>ACTOPAN</v>
          </cell>
          <cell r="H612" t="str">
            <v>LA ESPERANZA</v>
          </cell>
        </row>
        <row r="613">
          <cell r="A613" t="str">
            <v>30DTV0215Q</v>
          </cell>
          <cell r="B613" t="str">
            <v>SALVADOR ALLENDE</v>
          </cell>
          <cell r="C613" t="str">
            <v>BENITO JUAREZ NUM. 1</v>
          </cell>
          <cell r="D613" t="str">
            <v>AUGUSTA CARIDAD AHUMADA GALVAN</v>
          </cell>
          <cell r="E613">
            <v>34</v>
          </cell>
          <cell r="F613">
            <v>2</v>
          </cell>
          <cell r="G613" t="str">
            <v>ACTOPAN</v>
          </cell>
          <cell r="H613" t="str">
            <v>LOS IDOLOS</v>
          </cell>
        </row>
        <row r="614">
          <cell r="A614" t="str">
            <v>30DTV0719H</v>
          </cell>
          <cell r="B614" t="str">
            <v>JOSE VASCONCELOS</v>
          </cell>
          <cell r="C614" t="str">
            <v>CONOCIDO JUNTO AL CAMPO DEPORTIVO</v>
          </cell>
          <cell r="D614" t="str">
            <v>ALBERTINA JIMENEZ RONZON</v>
          </cell>
          <cell r="E614">
            <v>34</v>
          </cell>
          <cell r="F614">
            <v>2</v>
          </cell>
          <cell r="G614" t="str">
            <v>ACTOPAN</v>
          </cell>
          <cell r="H614" t="str">
            <v>PASO DE LA MILPA</v>
          </cell>
        </row>
        <row r="615">
          <cell r="A615" t="str">
            <v>30DTV0858I</v>
          </cell>
          <cell r="B615" t="str">
            <v>CUAUHTEMOC</v>
          </cell>
          <cell r="C615" t="str">
            <v>CONOCIDO ENTRADA DEL POBLADO</v>
          </cell>
          <cell r="D615" t="str">
            <v>WILBERTH ENRIQUE PACHECO MENA</v>
          </cell>
          <cell r="E615">
            <v>34</v>
          </cell>
          <cell r="F615">
            <v>2</v>
          </cell>
          <cell r="G615" t="str">
            <v>ACTOPAN</v>
          </cell>
          <cell r="H615" t="str">
            <v>VILLA NUEVA</v>
          </cell>
        </row>
        <row r="616">
          <cell r="A616" t="str">
            <v>30DTV0348G</v>
          </cell>
          <cell r="B616" t="str">
            <v>NIÐOS HEROES</v>
          </cell>
          <cell r="C616" t="str">
            <v>CARRETERA MEXICO-VERACRUZ KILOMETRO 357.5</v>
          </cell>
          <cell r="D616" t="str">
            <v>OMAR ARCOS REBOLLEDO</v>
          </cell>
          <cell r="E616">
            <v>34</v>
          </cell>
          <cell r="F616">
            <v>2</v>
          </cell>
          <cell r="G616" t="str">
            <v>EMILIANO ZAPATA</v>
          </cell>
          <cell r="H616" t="str">
            <v>DOS RIOS</v>
          </cell>
        </row>
        <row r="617">
          <cell r="A617" t="str">
            <v>30DTV0432E</v>
          </cell>
          <cell r="B617" t="str">
            <v>ENRIQUE C. REBSAMEN</v>
          </cell>
          <cell r="C617" t="str">
            <v>CONOCIDO</v>
          </cell>
          <cell r="D617" t="str">
            <v>MARIA LUCINA ANDRADE DIAZ</v>
          </cell>
          <cell r="E617">
            <v>34</v>
          </cell>
          <cell r="F617">
            <v>2</v>
          </cell>
          <cell r="G617" t="str">
            <v>EMILIANO ZAPATA</v>
          </cell>
          <cell r="H617" t="str">
            <v>EL AGUAJE</v>
          </cell>
        </row>
        <row r="618">
          <cell r="A618" t="str">
            <v>30DTV0349F</v>
          </cell>
          <cell r="B618" t="str">
            <v>JUSTO SIERRA</v>
          </cell>
          <cell r="C618" t="str">
            <v>JOSE MARIA MORELOS Y PAVON S/N</v>
          </cell>
          <cell r="D618" t="str">
            <v>MANUEL VILLA JARVIO</v>
          </cell>
          <cell r="E618">
            <v>34</v>
          </cell>
          <cell r="F618">
            <v>2</v>
          </cell>
          <cell r="G618" t="str">
            <v>EMILIANO ZAPATA</v>
          </cell>
          <cell r="H618" t="str">
            <v>BUENA VISTA</v>
          </cell>
        </row>
        <row r="619">
          <cell r="A619" t="str">
            <v>30DTV0128V</v>
          </cell>
          <cell r="B619" t="str">
            <v>JOSE CALAZAN LEON</v>
          </cell>
          <cell r="C619" t="str">
            <v>NIÑOS HEROES NUM. 3</v>
          </cell>
          <cell r="D619" t="str">
            <v>ELENA SOTO ARROYO</v>
          </cell>
          <cell r="E619">
            <v>34</v>
          </cell>
          <cell r="F619">
            <v>2</v>
          </cell>
          <cell r="G619" t="str">
            <v>EMILIANO ZAPATA</v>
          </cell>
          <cell r="H619" t="str">
            <v>VILLA EMILIANO ZAPATA (EL CARRIZAL)</v>
          </cell>
        </row>
        <row r="620">
          <cell r="A620" t="str">
            <v>30DTV1036L</v>
          </cell>
          <cell r="B620" t="str">
            <v>TELESECUNDARIA</v>
          </cell>
          <cell r="C620" t="str">
            <v>CALLE PRINCIPAL JUNTO A ESCUELA PRIMARIA</v>
          </cell>
          <cell r="D620" t="str">
            <v>GEMA EDITH VALENCIA ACOSTA</v>
          </cell>
          <cell r="E620">
            <v>34</v>
          </cell>
          <cell r="F620">
            <v>2</v>
          </cell>
          <cell r="G620" t="str">
            <v>EMILIANO ZAPATA</v>
          </cell>
          <cell r="H620" t="str">
            <v>EL GUAYABO</v>
          </cell>
        </row>
        <row r="621">
          <cell r="A621" t="str">
            <v>30DTV0805D</v>
          </cell>
          <cell r="B621" t="str">
            <v>VENUSTIANO CARRANZA</v>
          </cell>
          <cell r="C621" t="str">
            <v>CONOCIDO</v>
          </cell>
          <cell r="D621" t="str">
            <v>LUCY DEL CARMEN CAPISTRAN RODRIGUEZ</v>
          </cell>
          <cell r="E621">
            <v>34</v>
          </cell>
          <cell r="F621">
            <v>2</v>
          </cell>
          <cell r="G621" t="str">
            <v>EMILIANO ZAPATA</v>
          </cell>
          <cell r="H621" t="str">
            <v>EL LENCERO</v>
          </cell>
        </row>
        <row r="622">
          <cell r="A622" t="str">
            <v>30DTV0923S</v>
          </cell>
          <cell r="B622" t="str">
            <v>BENITO JUAREZ GARCIA</v>
          </cell>
          <cell r="C622" t="str">
            <v>CONOCIDO JUNTO AL CAMPO DEPORTIVO</v>
          </cell>
          <cell r="D622" t="str">
            <v>EFREN EMILIO ARCOS REVOLLEDO</v>
          </cell>
          <cell r="E622">
            <v>34</v>
          </cell>
          <cell r="F622">
            <v>2</v>
          </cell>
          <cell r="G622" t="str">
            <v>EMILIANO ZAPATA</v>
          </cell>
          <cell r="H622" t="str">
            <v>PALO GACHO</v>
          </cell>
        </row>
        <row r="623">
          <cell r="A623" t="str">
            <v>30DTV0108H</v>
          </cell>
          <cell r="B623" t="str">
            <v>ADOLFO LOPEZ MATEOS</v>
          </cell>
          <cell r="C623" t="str">
            <v>CONOCIDO JUNTO A ESCUELA PRIMARIA</v>
          </cell>
          <cell r="D623" t="str">
            <v>PROSPERO ARICIAGA ALVARADO</v>
          </cell>
          <cell r="E623">
            <v>34</v>
          </cell>
          <cell r="F623">
            <v>2</v>
          </cell>
          <cell r="G623" t="str">
            <v>EMILIANO ZAPATA</v>
          </cell>
          <cell r="H623" t="str">
            <v>PLAN DEL RIO</v>
          </cell>
        </row>
        <row r="624">
          <cell r="A624" t="str">
            <v>30DTV0306H</v>
          </cell>
          <cell r="B624" t="str">
            <v>MIGUEL ALEMAN VALDES</v>
          </cell>
          <cell r="C624" t="str">
            <v>CONOCIDO FRENTE AL CAMPO DEPORTIVO</v>
          </cell>
          <cell r="D624" t="str">
            <v>ABRAHAM MORALES JIMENEZ</v>
          </cell>
          <cell r="E624">
            <v>34</v>
          </cell>
          <cell r="F624">
            <v>2</v>
          </cell>
          <cell r="G624" t="str">
            <v>EMILIANO ZAPATA</v>
          </cell>
          <cell r="H624" t="str">
            <v>RANCHO VIEJO</v>
          </cell>
        </row>
        <row r="625">
          <cell r="A625" t="str">
            <v>30DTV0006K</v>
          </cell>
          <cell r="B625" t="str">
            <v>EMILIANO ZAPATA</v>
          </cell>
          <cell r="C625" t="str">
            <v>16 DE SEPTIEMBRE S/N</v>
          </cell>
          <cell r="D625" t="str">
            <v>MARIA DEL CARMEN ARROYO Y MARTINEZ</v>
          </cell>
          <cell r="E625">
            <v>34</v>
          </cell>
          <cell r="F625">
            <v>2</v>
          </cell>
          <cell r="G625" t="str">
            <v>EMILIANO ZAPATA</v>
          </cell>
          <cell r="H625" t="str">
            <v>RINCONADA</v>
          </cell>
        </row>
        <row r="626">
          <cell r="A626" t="str">
            <v>30DTV0781K</v>
          </cell>
          <cell r="B626" t="str">
            <v>SEBASTIAN LERDO DE TEJADA</v>
          </cell>
          <cell r="C626" t="str">
            <v>COLONIA SEBASTIAN LERDO DE TEJADA</v>
          </cell>
          <cell r="D626" t="str">
            <v>TERESA DE JESUS HILAREDA CASANOVA</v>
          </cell>
          <cell r="E626">
            <v>34</v>
          </cell>
          <cell r="F626">
            <v>2</v>
          </cell>
          <cell r="G626" t="str">
            <v>XALAPA</v>
          </cell>
          <cell r="H626" t="str">
            <v>XALAPA-ENRIQUEZ</v>
          </cell>
        </row>
        <row r="627">
          <cell r="A627" t="str">
            <v>30DTV0271I</v>
          </cell>
          <cell r="B627" t="str">
            <v>LAZARO CARDENAS DEL RIO</v>
          </cell>
          <cell r="C627" t="str">
            <v>JOSE MARIA MORELOS Y PAVON S/N</v>
          </cell>
          <cell r="D627" t="str">
            <v>JORGE VERA LOPEZ</v>
          </cell>
          <cell r="E627">
            <v>35</v>
          </cell>
          <cell r="F627">
            <v>13</v>
          </cell>
          <cell r="G627" t="str">
            <v>ALTO LUCERO DE GUTIERREZ BARRIOS</v>
          </cell>
          <cell r="H627" t="str">
            <v>ALTO LUCERO</v>
          </cell>
        </row>
        <row r="628">
          <cell r="A628" t="str">
            <v>30DTV1551Z</v>
          </cell>
          <cell r="B628" t="str">
            <v>MIGUEL HIDALGO Y COSTILLA</v>
          </cell>
          <cell r="C628" t="str">
            <v>GUADALUPE VICTORIA S/N</v>
          </cell>
          <cell r="D628" t="str">
            <v>GLORIA LOPEZ RODRIGUEZ</v>
          </cell>
          <cell r="E628">
            <v>35</v>
          </cell>
          <cell r="F628">
            <v>13</v>
          </cell>
          <cell r="G628" t="str">
            <v>ALTO LUCERO DE GUTIERREZ BARRIOS</v>
          </cell>
          <cell r="H628" t="str">
            <v>ALTO DEL TIZAR</v>
          </cell>
        </row>
        <row r="629">
          <cell r="A629" t="str">
            <v>30DTV0092X</v>
          </cell>
          <cell r="B629" t="str">
            <v>JOSE MARIA MORELOS Y PAVON</v>
          </cell>
          <cell r="C629" t="str">
            <v>MIGUEL HIDALGO NUM. 12</v>
          </cell>
          <cell r="D629" t="str">
            <v>FRANCISCO LOPEZ LOPEZ</v>
          </cell>
          <cell r="E629">
            <v>35</v>
          </cell>
          <cell r="F629">
            <v>13</v>
          </cell>
          <cell r="G629" t="str">
            <v>ALTO LUCERO DE GUTIERREZ BARRIOS</v>
          </cell>
          <cell r="H629" t="str">
            <v>CERRILLOS DE DIAZ</v>
          </cell>
        </row>
        <row r="630">
          <cell r="A630" t="str">
            <v>30DTV1552Y</v>
          </cell>
          <cell r="B630" t="str">
            <v>LUIS DONALDO COLOSIO MURRIETA</v>
          </cell>
          <cell r="C630" t="str">
            <v>CONOCIDO MONTE VERDE CHIVERIA</v>
          </cell>
          <cell r="D630" t="str">
            <v>HEBERT ACOSTA</v>
          </cell>
          <cell r="E630">
            <v>35</v>
          </cell>
          <cell r="F630">
            <v>13</v>
          </cell>
          <cell r="G630" t="str">
            <v>ALTO LUCERO DE GUTIERREZ BARRIOS</v>
          </cell>
          <cell r="H630" t="str">
            <v>MONTE VERDE CHIVERIA</v>
          </cell>
        </row>
        <row r="631">
          <cell r="A631" t="str">
            <v>30DTV0643I</v>
          </cell>
          <cell r="B631" t="str">
            <v>IGNACIO ALDAMA</v>
          </cell>
          <cell r="C631" t="str">
            <v>CONOCIDO</v>
          </cell>
          <cell r="D631" t="str">
            <v>YENNY ICZARINA MARTINEZ AGUAYO</v>
          </cell>
          <cell r="E631">
            <v>35</v>
          </cell>
          <cell r="F631">
            <v>13</v>
          </cell>
          <cell r="G631" t="str">
            <v>ALTO LUCERO DE GUTIERREZ BARRIOS</v>
          </cell>
          <cell r="H631" t="str">
            <v>RANCHO NUEVO</v>
          </cell>
        </row>
        <row r="632">
          <cell r="A632" t="str">
            <v>30DTV1049P</v>
          </cell>
          <cell r="B632" t="str">
            <v>ALVARO GALVEZ Y FUENTES</v>
          </cell>
          <cell r="C632" t="str">
            <v>INDEPENDENCIA S/N</v>
          </cell>
          <cell r="D632" t="str">
            <v>MARTIN AUGUSTO MIRON BLANCO</v>
          </cell>
          <cell r="E632">
            <v>35</v>
          </cell>
          <cell r="F632">
            <v>13</v>
          </cell>
          <cell r="G632" t="str">
            <v>ALTO LUCERO DE GUTIERREZ BARRIOS</v>
          </cell>
          <cell r="H632" t="str">
            <v>TIERRA BLANCA</v>
          </cell>
        </row>
        <row r="633">
          <cell r="A633" t="str">
            <v>30DTV1501R</v>
          </cell>
          <cell r="B633" t="str">
            <v>MOISES SAENZ GARZA</v>
          </cell>
          <cell r="C633" t="str">
            <v>CONOCIDO</v>
          </cell>
          <cell r="D633" t="str">
            <v>GUILLERMO RAMIREZ HERNANDEZ</v>
          </cell>
          <cell r="E633">
            <v>35</v>
          </cell>
          <cell r="F633">
            <v>13</v>
          </cell>
          <cell r="G633" t="str">
            <v>ALTO LUCERO DE GUTIERREZ BARRIOS</v>
          </cell>
          <cell r="H633" t="str">
            <v>XOMOTLA</v>
          </cell>
        </row>
        <row r="634">
          <cell r="A634" t="str">
            <v>30DTV0152V</v>
          </cell>
          <cell r="B634" t="str">
            <v>RAFAEL HERNANDEZ OCHOA</v>
          </cell>
          <cell r="C634" t="str">
            <v>MARTIRES DEL 28 DE AGOSTO NUM. 241</v>
          </cell>
          <cell r="D634" t="str">
            <v>FELICITAS MORALES ROSAS</v>
          </cell>
          <cell r="E634">
            <v>35</v>
          </cell>
          <cell r="F634">
            <v>13</v>
          </cell>
          <cell r="G634" t="str">
            <v>XALAPA</v>
          </cell>
          <cell r="H634" t="str">
            <v>XALAPA-ENRIQUEZ</v>
          </cell>
        </row>
        <row r="635">
          <cell r="A635" t="str">
            <v>30DTV0813M</v>
          </cell>
          <cell r="B635" t="str">
            <v>BENITO FENTANES</v>
          </cell>
          <cell r="C635" t="str">
            <v>TINAKU S/N</v>
          </cell>
          <cell r="D635" t="str">
            <v>ENRIQUE RIVERA YðIGUEZ</v>
          </cell>
          <cell r="E635">
            <v>35</v>
          </cell>
          <cell r="F635">
            <v>13</v>
          </cell>
          <cell r="G635" t="str">
            <v>XALAPA</v>
          </cell>
          <cell r="H635" t="str">
            <v>XALAPA-ENRIQUEZ</v>
          </cell>
        </row>
        <row r="636">
          <cell r="A636" t="str">
            <v>30DTV1616S</v>
          </cell>
          <cell r="B636" t="str">
            <v>GUADALUPE VICTORIA</v>
          </cell>
          <cell r="C636" t="str">
            <v>BERENJENAS ESQUINA CAMINO ANTIGUO A CHILTOYAC</v>
          </cell>
          <cell r="D636" t="str">
            <v>ALBERTO SANTAMARIA BELTRAN</v>
          </cell>
          <cell r="E636">
            <v>35</v>
          </cell>
          <cell r="F636">
            <v>13</v>
          </cell>
          <cell r="G636" t="str">
            <v>XALAPA</v>
          </cell>
          <cell r="H636" t="str">
            <v>XALAPA-ENRIQUEZ</v>
          </cell>
        </row>
        <row r="637">
          <cell r="A637" t="str">
            <v>30DTV0062C</v>
          </cell>
          <cell r="B637" t="str">
            <v>NIÑOS HEROES</v>
          </cell>
          <cell r="C637" t="str">
            <v>ALLENDE NUM. 13</v>
          </cell>
          <cell r="D637" t="str">
            <v>BENIGNA RIVERA GONZALEZ</v>
          </cell>
          <cell r="E637">
            <v>35</v>
          </cell>
          <cell r="F637">
            <v>13</v>
          </cell>
          <cell r="G637" t="str">
            <v>XALAPA</v>
          </cell>
          <cell r="H637" t="str">
            <v>CHILTOYAC</v>
          </cell>
        </row>
        <row r="638">
          <cell r="A638" t="str">
            <v>30DTV0137C</v>
          </cell>
          <cell r="B638" t="str">
            <v>ALVARO GALVEZ Y FUENTES</v>
          </cell>
          <cell r="C638" t="str">
            <v>IGNACIO ALLENTE NUM. 22</v>
          </cell>
          <cell r="D638" t="str">
            <v>CARLOTA ROSAS RIVERA</v>
          </cell>
          <cell r="E638">
            <v>35</v>
          </cell>
          <cell r="F638">
            <v>13</v>
          </cell>
          <cell r="G638" t="str">
            <v>JILOTEPEC</v>
          </cell>
          <cell r="H638" t="str">
            <v>LA CONCEPCION</v>
          </cell>
        </row>
        <row r="639">
          <cell r="A639" t="str">
            <v>30DTV0346I</v>
          </cell>
          <cell r="B639" t="str">
            <v>LAZARO CARDENAS DEL RIO</v>
          </cell>
          <cell r="C639" t="str">
            <v>MISION S/N CENTRO</v>
          </cell>
          <cell r="D639" t="str">
            <v>BONFILIA MARTINEZ PEDRAZA</v>
          </cell>
          <cell r="E639">
            <v>35</v>
          </cell>
          <cell r="F639">
            <v>13</v>
          </cell>
          <cell r="G639" t="str">
            <v>NAOLINCO</v>
          </cell>
          <cell r="H639" t="str">
            <v>EL ESPINAL</v>
          </cell>
        </row>
        <row r="640">
          <cell r="A640" t="str">
            <v>30DTV0979U</v>
          </cell>
          <cell r="B640" t="str">
            <v>JUAN DE LA BARRERA</v>
          </cell>
          <cell r="C640" t="str">
            <v>CONOCIDO</v>
          </cell>
          <cell r="D640" t="str">
            <v>ESTEBAN JOSUE SALDAðA FRUCTUOSO</v>
          </cell>
          <cell r="E640">
            <v>35</v>
          </cell>
          <cell r="F640">
            <v>13</v>
          </cell>
          <cell r="G640" t="str">
            <v>TEPETLAN</v>
          </cell>
          <cell r="H640" t="str">
            <v>VICENTE GUERRERO (TEPETATES)</v>
          </cell>
        </row>
        <row r="641">
          <cell r="A641" t="str">
            <v>30DTV0842H</v>
          </cell>
          <cell r="B641" t="str">
            <v>SOR JUANA INES DE LA CRUZ</v>
          </cell>
          <cell r="C641" t="str">
            <v>POTRERO DEL BORDO</v>
          </cell>
          <cell r="D641" t="str">
            <v>JOSE DE JESUS LANDA JUAREZ</v>
          </cell>
          <cell r="E641">
            <v>35</v>
          </cell>
          <cell r="F641">
            <v>13</v>
          </cell>
          <cell r="G641" t="str">
            <v>TLALNELHUAYOCAN</v>
          </cell>
          <cell r="H641" t="str">
            <v>SAN ANTONIO HIDALGO</v>
          </cell>
        </row>
        <row r="642">
          <cell r="A642" t="str">
            <v>30DTV0799J</v>
          </cell>
          <cell r="B642" t="str">
            <v>ANGEL JOSE HERMIDA RUIZ</v>
          </cell>
          <cell r="C642" t="str">
            <v>SUR 7 NUM. 1</v>
          </cell>
          <cell r="D642" t="str">
            <v>ANGEL YEPEZ ENRIQUEZ</v>
          </cell>
          <cell r="E642">
            <v>36</v>
          </cell>
          <cell r="F642">
            <v>4</v>
          </cell>
          <cell r="G642" t="str">
            <v>ALVARADO</v>
          </cell>
          <cell r="H642" t="str">
            <v>ALVARADO</v>
          </cell>
        </row>
        <row r="643">
          <cell r="A643" t="str">
            <v>30DTV0681L</v>
          </cell>
          <cell r="B643" t="str">
            <v>TELESECUNDARIA</v>
          </cell>
          <cell r="C643" t="str">
            <v>FRENTE AL TELEBACHILLERATO</v>
          </cell>
          <cell r="D643" t="str">
            <v>ROLANDO VERGARA ALMENDRA</v>
          </cell>
          <cell r="E643">
            <v>36</v>
          </cell>
          <cell r="F643">
            <v>4</v>
          </cell>
          <cell r="G643" t="str">
            <v>ALVARADO</v>
          </cell>
          <cell r="H643" t="str">
            <v>ARBOLILLO</v>
          </cell>
        </row>
        <row r="644">
          <cell r="A644" t="str">
            <v>30DTV0264Z</v>
          </cell>
          <cell r="B644" t="str">
            <v>VALENTE CRUZ MENDIOLA</v>
          </cell>
          <cell r="C644" t="str">
            <v>FRENTE A LA CLINICA DE S.A.</v>
          </cell>
          <cell r="D644" t="str">
            <v>JOSE JUAN PALACIOS ARIAS</v>
          </cell>
          <cell r="E644">
            <v>36</v>
          </cell>
          <cell r="F644">
            <v>4</v>
          </cell>
          <cell r="G644" t="str">
            <v>ALVARADO</v>
          </cell>
          <cell r="H644" t="str">
            <v>COSTA DE LA PALMA</v>
          </cell>
        </row>
        <row r="645">
          <cell r="A645" t="str">
            <v>30DTV0859H</v>
          </cell>
          <cell r="B645" t="str">
            <v>ALVARO GALVEZ Y FUENTES</v>
          </cell>
          <cell r="C645" t="str">
            <v>FRENTE AL PARQUE DEPORTIVO</v>
          </cell>
          <cell r="D645" t="str">
            <v>ALBA VALERIO MONTANE</v>
          </cell>
          <cell r="E645">
            <v>36</v>
          </cell>
          <cell r="F645">
            <v>4</v>
          </cell>
          <cell r="G645" t="str">
            <v>ALVARADO</v>
          </cell>
          <cell r="H645" t="str">
            <v>MANDINGA Y MATOZA</v>
          </cell>
        </row>
        <row r="646">
          <cell r="A646" t="str">
            <v>30DTV0555O</v>
          </cell>
          <cell r="B646" t="str">
            <v>EMILIANO ZAPATA</v>
          </cell>
          <cell r="C646" t="str">
            <v>JUNTO AL TANQUE DE AGUA</v>
          </cell>
          <cell r="D646" t="str">
            <v>ALICIA HERNANDEZ RAMON</v>
          </cell>
          <cell r="E646">
            <v>36</v>
          </cell>
          <cell r="F646">
            <v>4</v>
          </cell>
          <cell r="G646" t="str">
            <v>ALVARADO</v>
          </cell>
          <cell r="H646" t="str">
            <v>LA PIEDRA</v>
          </cell>
        </row>
        <row r="647">
          <cell r="A647" t="str">
            <v>30DTV0308F</v>
          </cell>
          <cell r="B647" t="str">
            <v>MARIA DE JESUS GUTIERREZ MUNGUIA</v>
          </cell>
          <cell r="C647" t="str">
            <v>JUNTO A LA ESCUELA PRIMARIA</v>
          </cell>
          <cell r="D647" t="str">
            <v>LUCINDA DEL CARMEN TIBURCIO ARANO</v>
          </cell>
          <cell r="E647">
            <v>36</v>
          </cell>
          <cell r="F647">
            <v>4</v>
          </cell>
          <cell r="G647" t="str">
            <v>ALVARADO</v>
          </cell>
          <cell r="H647" t="str">
            <v>RINCON DE LA PALMA</v>
          </cell>
        </row>
        <row r="648">
          <cell r="A648" t="str">
            <v>30DTV0230I</v>
          </cell>
          <cell r="B648" t="str">
            <v>LAZARO CARDENAS DEL RIO</v>
          </cell>
          <cell r="C648" t="str">
            <v>JUNTO A LA ESCUELA PRIMARIA Y JARDIN</v>
          </cell>
          <cell r="D648" t="str">
            <v>SAMUEL ANDERICA MANCILLA</v>
          </cell>
          <cell r="E648">
            <v>36</v>
          </cell>
          <cell r="F648">
            <v>4</v>
          </cell>
          <cell r="G648" t="str">
            <v>ALVARADO</v>
          </cell>
          <cell r="H648" t="str">
            <v>SALINAS</v>
          </cell>
        </row>
        <row r="649">
          <cell r="A649" t="str">
            <v>30DTV0417M</v>
          </cell>
          <cell r="B649" t="str">
            <v>JOSE MARIA MORELOS Y PAVON</v>
          </cell>
          <cell r="C649" t="str">
            <v>FRENTE AL CAMPO DE FUTBOL</v>
          </cell>
          <cell r="D649" t="str">
            <v>ENRIQUE FLORES RODRIGUEZ</v>
          </cell>
          <cell r="E649">
            <v>36</v>
          </cell>
          <cell r="F649">
            <v>4</v>
          </cell>
          <cell r="G649" t="str">
            <v>ALVARADO</v>
          </cell>
          <cell r="H649" t="str">
            <v>EL ZAPOTE</v>
          </cell>
        </row>
        <row r="650">
          <cell r="A650" t="str">
            <v>30DTV0140Q</v>
          </cell>
          <cell r="B650" t="str">
            <v>JOSE VASCONCELOS</v>
          </cell>
          <cell r="C650" t="str">
            <v>ROSAURA SANTIAGO LARA S/N FRENTE A LA PRIMARIA FEDERAL</v>
          </cell>
          <cell r="D650" t="str">
            <v>REYNA GUADALUPE USCANGA USCANGA</v>
          </cell>
          <cell r="E650">
            <v>36</v>
          </cell>
          <cell r="F650">
            <v>4</v>
          </cell>
          <cell r="G650" t="str">
            <v>ALVARADO</v>
          </cell>
          <cell r="H650" t="str">
            <v>PASO NACIONAL</v>
          </cell>
        </row>
        <row r="651">
          <cell r="A651" t="str">
            <v>30DTV0163A</v>
          </cell>
          <cell r="B651" t="str">
            <v>MARIANO ABASOLO</v>
          </cell>
          <cell r="C651" t="str">
            <v>CALLE 21 S/N</v>
          </cell>
          <cell r="D651" t="str">
            <v>JAIME LAGUNES LAGUNES</v>
          </cell>
          <cell r="E651">
            <v>36</v>
          </cell>
          <cell r="F651">
            <v>4</v>
          </cell>
          <cell r="G651" t="str">
            <v>BOCA DEL RIO</v>
          </cell>
          <cell r="H651" t="str">
            <v>BOCA DEL RIO</v>
          </cell>
        </row>
        <row r="652">
          <cell r="A652" t="str">
            <v>30DTV0724T</v>
          </cell>
          <cell r="B652" t="str">
            <v>TELESECUNDARIA</v>
          </cell>
          <cell r="C652" t="str">
            <v>CALLE 8 ESQUINA AVENIDA JALISCO</v>
          </cell>
          <cell r="D652" t="str">
            <v>IRENE ALVARADO MORALES</v>
          </cell>
          <cell r="E652">
            <v>36</v>
          </cell>
          <cell r="F652">
            <v>4</v>
          </cell>
          <cell r="G652" t="str">
            <v>BOCA DEL RIO</v>
          </cell>
          <cell r="H652" t="str">
            <v>BOCA DEL RIO</v>
          </cell>
        </row>
        <row r="653">
          <cell r="A653" t="str">
            <v>30DTV0625T</v>
          </cell>
          <cell r="B653" t="str">
            <v>TIERRA Y LIBERTAD</v>
          </cell>
          <cell r="C653" t="str">
            <v>FRENTE AL CAMPO DE FUTBOL</v>
          </cell>
          <cell r="D653" t="str">
            <v>MONICA VAZQUEZ CRUZ</v>
          </cell>
          <cell r="E653">
            <v>36</v>
          </cell>
          <cell r="F653">
            <v>4</v>
          </cell>
          <cell r="G653" t="str">
            <v>TLALIXCOYAN</v>
          </cell>
          <cell r="H653" t="str">
            <v>MATA CABESTRO</v>
          </cell>
        </row>
        <row r="654">
          <cell r="A654" t="str">
            <v>30DTV1056Z</v>
          </cell>
          <cell r="B654" t="str">
            <v>MIGUEL ALEMAN VALDES</v>
          </cell>
          <cell r="C654" t="str">
            <v>FRANCISCO I. MADERO S/N</v>
          </cell>
          <cell r="D654" t="str">
            <v>LUCILA CARBALLO HERNANDEZ</v>
          </cell>
          <cell r="E654">
            <v>36</v>
          </cell>
          <cell r="F654">
            <v>4</v>
          </cell>
          <cell r="G654" t="str">
            <v>VERACRUZ</v>
          </cell>
          <cell r="H654" t="str">
            <v>DOS LOMAS</v>
          </cell>
        </row>
        <row r="655">
          <cell r="A655" t="str">
            <v>30DTV0251V</v>
          </cell>
          <cell r="B655" t="str">
            <v>NIÐOS HEROES DE CHAPULTEPEC</v>
          </cell>
          <cell r="C655" t="str">
            <v>JUNTO AL TANQUE DE AGUA</v>
          </cell>
          <cell r="D655" t="str">
            <v>RICARDO LOPEZ MONTERO</v>
          </cell>
          <cell r="E655">
            <v>37</v>
          </cell>
          <cell r="F655">
            <v>15</v>
          </cell>
          <cell r="G655" t="str">
            <v>LA ANTIGUA</v>
          </cell>
          <cell r="H655" t="str">
            <v>LA ANTIGUA</v>
          </cell>
        </row>
        <row r="656">
          <cell r="A656" t="str">
            <v>30DTV0926P</v>
          </cell>
          <cell r="B656" t="str">
            <v>NETZAHUALCOYOTL</v>
          </cell>
          <cell r="C656" t="str">
            <v>CONOCIDO</v>
          </cell>
          <cell r="D656" t="str">
            <v>ROBERTO DOMINGUEZ VIVEROS</v>
          </cell>
          <cell r="E656">
            <v>37</v>
          </cell>
          <cell r="F656">
            <v>15</v>
          </cell>
          <cell r="G656" t="str">
            <v>LA ANTIGUA</v>
          </cell>
          <cell r="H656" t="str">
            <v>LA PUREZA</v>
          </cell>
        </row>
        <row r="657">
          <cell r="A657" t="str">
            <v>30DTV0087L</v>
          </cell>
          <cell r="B657" t="str">
            <v>ADOLFO RUIZ CORTINES</v>
          </cell>
          <cell r="C657" t="str">
            <v>FRENTE GALLO S/N FRENTE AL TELEBACHILLERATO</v>
          </cell>
          <cell r="D657" t="str">
            <v>FRANCISCO JAVIER RAMIREZ HERNANDEZ</v>
          </cell>
          <cell r="E657">
            <v>37</v>
          </cell>
          <cell r="F657">
            <v>15</v>
          </cell>
          <cell r="G657" t="str">
            <v>MANLIO FABIO ALTAMIRANO</v>
          </cell>
          <cell r="H657" t="str">
            <v>TENENEXPAN</v>
          </cell>
        </row>
        <row r="658">
          <cell r="A658" t="str">
            <v>30DTV0098R</v>
          </cell>
          <cell r="B658" t="str">
            <v>CUAUHTEMOC</v>
          </cell>
          <cell r="C658" t="str">
            <v>CONOCIDO</v>
          </cell>
          <cell r="D658" t="str">
            <v>RUBEN MONTIEL PERDOMO</v>
          </cell>
          <cell r="E658">
            <v>37</v>
          </cell>
          <cell r="F658">
            <v>15</v>
          </cell>
          <cell r="G658" t="str">
            <v>PASO DE OVEJAS</v>
          </cell>
          <cell r="H658" t="str">
            <v>ACAZONICA</v>
          </cell>
        </row>
        <row r="659">
          <cell r="A659" t="str">
            <v>30DTV0244L</v>
          </cell>
          <cell r="B659" t="str">
            <v>IGNACIO ALLENDE</v>
          </cell>
          <cell r="C659" t="str">
            <v>MIGUEL HIDALGO NUM. 1</v>
          </cell>
          <cell r="D659" t="str">
            <v>ALMA ROSA GONZALEZ ROJAS</v>
          </cell>
          <cell r="E659">
            <v>37</v>
          </cell>
          <cell r="F659">
            <v>15</v>
          </cell>
          <cell r="G659" t="str">
            <v>PASO DE OVEJAS</v>
          </cell>
          <cell r="H659" t="str">
            <v>ANGOSTILLO</v>
          </cell>
        </row>
        <row r="660">
          <cell r="A660" t="str">
            <v>30DTV0635Z</v>
          </cell>
          <cell r="B660" t="str">
            <v>MIGUEL HIDALGO Y COSTILLA</v>
          </cell>
          <cell r="C660" t="str">
            <v>FRENTE AL CENTRO SOCIAL</v>
          </cell>
          <cell r="D660" t="str">
            <v>YOLANDA CASTILLO HERNANDEZ</v>
          </cell>
          <cell r="E660">
            <v>37</v>
          </cell>
          <cell r="F660">
            <v>15</v>
          </cell>
          <cell r="G660" t="str">
            <v>PASO DE OVEJAS</v>
          </cell>
          <cell r="H660" t="str">
            <v>CERRO GUZMAN</v>
          </cell>
        </row>
        <row r="661">
          <cell r="A661" t="str">
            <v>30DTV0247I</v>
          </cell>
          <cell r="B661" t="str">
            <v>GRACIANO VALENZUELA</v>
          </cell>
          <cell r="C661" t="str">
            <v>JUNTO AL CAMPO DEPORTIVO</v>
          </cell>
          <cell r="D661" t="str">
            <v>PERBIS PRIETO FERNANDEZ</v>
          </cell>
          <cell r="E661">
            <v>37</v>
          </cell>
          <cell r="F661">
            <v>15</v>
          </cell>
          <cell r="G661" t="str">
            <v>PASO DE OVEJAS</v>
          </cell>
          <cell r="H661" t="str">
            <v>EL FAISAN</v>
          </cell>
        </row>
        <row r="662">
          <cell r="A662" t="str">
            <v>30DTV1715S</v>
          </cell>
          <cell r="B662" t="str">
            <v>ENRIQUE C. REBSAMEN</v>
          </cell>
          <cell r="C662" t="str">
            <v>CALLE PRINCIPAL S/N (CASA DEL CAMPESINO)</v>
          </cell>
          <cell r="D662" t="str">
            <v>SANDRA RUTH MURRIETA SUAREZ</v>
          </cell>
          <cell r="E662">
            <v>37</v>
          </cell>
          <cell r="F662">
            <v>15</v>
          </cell>
          <cell r="G662" t="str">
            <v>PASO DE OVEJAS</v>
          </cell>
          <cell r="H662" t="str">
            <v>PALMARITOS</v>
          </cell>
        </row>
        <row r="663">
          <cell r="A663" t="str">
            <v>30DTV1770L</v>
          </cell>
          <cell r="B663" t="str">
            <v>TELESECUNDARIA</v>
          </cell>
          <cell r="C663" t="str">
            <v>CASA DEL CAMPESINO FRENTE AL PARQUE S/N</v>
          </cell>
          <cell r="D663" t="str">
            <v>JESSICA TORRES QUIROZ</v>
          </cell>
          <cell r="E663">
            <v>37</v>
          </cell>
          <cell r="F663">
            <v>15</v>
          </cell>
          <cell r="G663" t="str">
            <v>PASO DE OVEJAS</v>
          </cell>
          <cell r="H663" t="str">
            <v>RANCHO NUEVO</v>
          </cell>
        </row>
        <row r="664">
          <cell r="A664" t="str">
            <v>30DTV0031J</v>
          </cell>
          <cell r="B664" t="str">
            <v>ABEL S. RODRIGUEZ</v>
          </cell>
          <cell r="C664" t="str">
            <v>CAMINO AL CEMENTERIO MUNICIPAL (ATRAS DE LA IGLESIA)</v>
          </cell>
          <cell r="D664" t="str">
            <v>EZEQUIEL EUSEBIO HERNANDEZ</v>
          </cell>
          <cell r="E664">
            <v>37</v>
          </cell>
          <cell r="F664">
            <v>15</v>
          </cell>
          <cell r="G664" t="str">
            <v>PASO DE OVEJAS</v>
          </cell>
          <cell r="H664" t="str">
            <v>TOLOME</v>
          </cell>
        </row>
        <row r="665">
          <cell r="A665" t="str">
            <v>30DTV0852O</v>
          </cell>
          <cell r="B665" t="str">
            <v>CONSTITUCION DE 1917</v>
          </cell>
          <cell r="C665" t="str">
            <v>A LA ENTRADA DEL PUEBLO</v>
          </cell>
          <cell r="D665" t="str">
            <v>VICENTE SOLAR VASQUEZ</v>
          </cell>
          <cell r="E665">
            <v>37</v>
          </cell>
          <cell r="F665">
            <v>15</v>
          </cell>
          <cell r="G665" t="str">
            <v>SOLEDAD DE DOBLADO</v>
          </cell>
          <cell r="H665" t="str">
            <v>MATA CAZUELA</v>
          </cell>
        </row>
        <row r="666">
          <cell r="A666" t="str">
            <v>30DTV0238A</v>
          </cell>
          <cell r="B666" t="str">
            <v>CUAUHTEMOC</v>
          </cell>
          <cell r="C666" t="str">
            <v>AVENIDA VERACRUZ ESQUINA PLAYA AVENTURAS</v>
          </cell>
          <cell r="D666" t="str">
            <v>FRANCISCO OLGUIN FERNANDEZ</v>
          </cell>
          <cell r="E666">
            <v>37</v>
          </cell>
          <cell r="F666">
            <v>15</v>
          </cell>
          <cell r="G666" t="str">
            <v>VERACRUZ</v>
          </cell>
          <cell r="H666" t="str">
            <v>VERACRUZ</v>
          </cell>
        </row>
        <row r="667">
          <cell r="A667" t="str">
            <v>30DTV1400T</v>
          </cell>
          <cell r="B667" t="str">
            <v>BENITO JUAREZ GARCIA</v>
          </cell>
          <cell r="C667" t="str">
            <v>COLONIA AMAPOLAS II</v>
          </cell>
          <cell r="D667" t="str">
            <v>MARTHA FERIA ARIAS</v>
          </cell>
          <cell r="E667">
            <v>37</v>
          </cell>
          <cell r="F667">
            <v>15</v>
          </cell>
          <cell r="G667" t="str">
            <v>VERACRUZ</v>
          </cell>
          <cell r="H667" t="str">
            <v>VERACRUZ</v>
          </cell>
        </row>
        <row r="668">
          <cell r="A668" t="str">
            <v>30DTV0919F</v>
          </cell>
          <cell r="B668" t="str">
            <v>JOSE AZUETA</v>
          </cell>
          <cell r="C668" t="str">
            <v>A UN COSTADO DEL PUEBLO</v>
          </cell>
          <cell r="D668" t="str">
            <v>JOSE SANCHEZ BARBADILLO</v>
          </cell>
          <cell r="E668">
            <v>37</v>
          </cell>
          <cell r="F668">
            <v>15</v>
          </cell>
          <cell r="G668" t="str">
            <v>VERACRUZ</v>
          </cell>
          <cell r="H668" t="str">
            <v>CABO VERDE</v>
          </cell>
        </row>
        <row r="669">
          <cell r="A669" t="str">
            <v>30DTV0130J</v>
          </cell>
          <cell r="B669" t="str">
            <v>CARLOS PELLICER</v>
          </cell>
          <cell r="C669" t="str">
            <v>A LA ENTRADA DEL PUEBLO POR EL SUR</v>
          </cell>
          <cell r="D669" t="str">
            <v>EMILIO VALERIO MARTINEZ</v>
          </cell>
          <cell r="E669">
            <v>37</v>
          </cell>
          <cell r="F669">
            <v>15</v>
          </cell>
          <cell r="G669" t="str">
            <v>VERACRUZ</v>
          </cell>
          <cell r="H669" t="str">
            <v>DELFINO VICTORIA (SANTA FE)</v>
          </cell>
        </row>
        <row r="670">
          <cell r="A670" t="str">
            <v>30DTV1068D</v>
          </cell>
          <cell r="B670" t="str">
            <v>JOSEFA ORTIZ DE DOMINGUEZ</v>
          </cell>
          <cell r="C670" t="str">
            <v>ROSARIO ANDRADE ESQUINA PETROLEROS</v>
          </cell>
          <cell r="D670" t="str">
            <v>CLEOTILDE J. REYES DOMINGUEZ</v>
          </cell>
          <cell r="E670">
            <v>37</v>
          </cell>
          <cell r="F670">
            <v>15</v>
          </cell>
          <cell r="G670" t="str">
            <v>VERACRUZ</v>
          </cell>
          <cell r="H670" t="str">
            <v>COLONIA EL RENACIMIENTO</v>
          </cell>
        </row>
        <row r="671">
          <cell r="A671" t="str">
            <v>30DTV0630E</v>
          </cell>
          <cell r="B671" t="str">
            <v>LAZARO CARDENAS DEL RIO</v>
          </cell>
          <cell r="C671" t="str">
            <v>CERCA DE LA IGLESIA</v>
          </cell>
          <cell r="D671" t="str">
            <v>MOISES CATANA PALACIOS</v>
          </cell>
          <cell r="E671">
            <v>38</v>
          </cell>
          <cell r="F671">
            <v>9</v>
          </cell>
          <cell r="G671" t="str">
            <v>ANGEL R. CABADA</v>
          </cell>
          <cell r="H671" t="str">
            <v>PASO DEL INGENIO</v>
          </cell>
        </row>
        <row r="672">
          <cell r="A672" t="str">
            <v>30DTV0149H</v>
          </cell>
          <cell r="B672" t="str">
            <v>BENITO JUAREZ GARCIA</v>
          </cell>
          <cell r="C672" t="str">
            <v>BENITO JUAREZ S/N</v>
          </cell>
          <cell r="D672" t="str">
            <v>JOSE LUIS SANCHEZ AMADOR</v>
          </cell>
          <cell r="E672">
            <v>38</v>
          </cell>
          <cell r="F672">
            <v>9</v>
          </cell>
          <cell r="G672" t="str">
            <v>ANGEL R. CABADA</v>
          </cell>
          <cell r="H672" t="str">
            <v>TECOLAPAN</v>
          </cell>
        </row>
        <row r="673">
          <cell r="A673" t="str">
            <v>30DTV0199P</v>
          </cell>
          <cell r="B673" t="str">
            <v>SALVADOR DIAZ MIRON</v>
          </cell>
          <cell r="C673" t="str">
            <v>CARRETERA NACIONAL KILOMETRO 98</v>
          </cell>
          <cell r="D673" t="str">
            <v>JOSE ALBERTO CAMPOS SERRANO</v>
          </cell>
          <cell r="E673">
            <v>38</v>
          </cell>
          <cell r="F673">
            <v>9</v>
          </cell>
          <cell r="G673" t="str">
            <v>ANGEL R. CABADA</v>
          </cell>
          <cell r="H673" t="str">
            <v>TULA</v>
          </cell>
        </row>
        <row r="674">
          <cell r="A674" t="str">
            <v>30DTV1548L</v>
          </cell>
          <cell r="B674" t="str">
            <v>LEONA VICARIO</v>
          </cell>
          <cell r="C674" t="str">
            <v>CONOCIDO</v>
          </cell>
          <cell r="D674" t="str">
            <v>ALFREDO VICTORIO DIAS</v>
          </cell>
          <cell r="E674">
            <v>38</v>
          </cell>
          <cell r="F674">
            <v>9</v>
          </cell>
          <cell r="G674" t="str">
            <v>SAN ANDRES TUXTLA</v>
          </cell>
          <cell r="H674" t="str">
            <v>AHUACAPAN</v>
          </cell>
        </row>
        <row r="675">
          <cell r="A675" t="str">
            <v>30DTV0495Q</v>
          </cell>
          <cell r="B675" t="str">
            <v>JAIME TORRES BODET</v>
          </cell>
          <cell r="C675" t="str">
            <v>CARRETERA SANTIAGO TUXTLA-ISLA KILOMETRO 30</v>
          </cell>
          <cell r="D675" t="str">
            <v>RENE GABINO GARCIA</v>
          </cell>
          <cell r="E675">
            <v>38</v>
          </cell>
          <cell r="F675">
            <v>9</v>
          </cell>
          <cell r="G675" t="str">
            <v>SAN ANDRES TUXTLA</v>
          </cell>
          <cell r="H675" t="str">
            <v>LAS GALERAS</v>
          </cell>
        </row>
        <row r="676">
          <cell r="A676" t="str">
            <v>30DTV1155Z</v>
          </cell>
          <cell r="B676" t="str">
            <v>CUAUHTEMOC</v>
          </cell>
          <cell r="C676" t="str">
            <v>CONOCIDO</v>
          </cell>
          <cell r="D676" t="str">
            <v>RAFAEL HUMBERTO PALE SOLIS</v>
          </cell>
          <cell r="E676">
            <v>38</v>
          </cell>
          <cell r="F676">
            <v>9</v>
          </cell>
          <cell r="G676" t="str">
            <v>SAN ANDRES TUXTLA</v>
          </cell>
          <cell r="H676" t="str">
            <v>NACIMIENTOS DE XOGAPAN (FRANCISCO I. MADERO)</v>
          </cell>
        </row>
        <row r="677">
          <cell r="A677" t="str">
            <v>30DTV1147Q</v>
          </cell>
          <cell r="B677" t="str">
            <v>SEBASTIAN LERDO DE TEJADA</v>
          </cell>
          <cell r="C677" t="str">
            <v>CONOCIDO</v>
          </cell>
          <cell r="D677" t="str">
            <v>JESIKA JANET RAMIREZ SOSA</v>
          </cell>
          <cell r="E677">
            <v>38</v>
          </cell>
          <cell r="F677">
            <v>9</v>
          </cell>
          <cell r="G677" t="str">
            <v>SAN ANDRES TUXTLA</v>
          </cell>
          <cell r="H677" t="str">
            <v>LA REDONDA</v>
          </cell>
        </row>
        <row r="678">
          <cell r="A678" t="str">
            <v>30DTV1581T</v>
          </cell>
          <cell r="B678" t="str">
            <v>GUILLERMO PRIETO</v>
          </cell>
          <cell r="C678" t="str">
            <v>CONOCIDO</v>
          </cell>
          <cell r="D678" t="str">
            <v>MANUEL EULALIO OY MIXTEGA</v>
          </cell>
          <cell r="E678">
            <v>38</v>
          </cell>
          <cell r="F678">
            <v>9</v>
          </cell>
          <cell r="G678" t="str">
            <v>SAN ANDRES TUXTLA</v>
          </cell>
          <cell r="H678" t="str">
            <v>SAN LEOPOLDO</v>
          </cell>
        </row>
        <row r="679">
          <cell r="A679" t="str">
            <v>30DTV0242N</v>
          </cell>
          <cell r="B679" t="str">
            <v>JOSE MARIA MORELOS Y PAVON</v>
          </cell>
          <cell r="C679" t="str">
            <v>INDEPENDENCIA Y CINCO DE MAYO</v>
          </cell>
          <cell r="D679" t="str">
            <v>GENARO BENITO POLONIO</v>
          </cell>
          <cell r="E679">
            <v>38</v>
          </cell>
          <cell r="F679">
            <v>9</v>
          </cell>
          <cell r="G679" t="str">
            <v>SAN ANDRES TUXTLA</v>
          </cell>
          <cell r="H679" t="str">
            <v>TILAPAN</v>
          </cell>
        </row>
        <row r="680">
          <cell r="A680" t="str">
            <v>30DTV0357O</v>
          </cell>
          <cell r="B680" t="str">
            <v>FRANCISCO A. CASTELLANOS</v>
          </cell>
          <cell r="C680" t="str">
            <v>ANTONIO VELEZ S/N</v>
          </cell>
          <cell r="D680" t="str">
            <v>ROSA DEL CARMEN ARENAS ALCANTARA</v>
          </cell>
          <cell r="E680">
            <v>38</v>
          </cell>
          <cell r="F680">
            <v>9</v>
          </cell>
          <cell r="G680" t="str">
            <v>SANTIAGO TUXTLA</v>
          </cell>
          <cell r="H680" t="str">
            <v>SANTIAGO TUXTLA</v>
          </cell>
        </row>
        <row r="681">
          <cell r="A681" t="str">
            <v>30DTV1437G</v>
          </cell>
          <cell r="B681" t="str">
            <v>MIGUEL ALEMAN</v>
          </cell>
          <cell r="C681" t="str">
            <v>FRENTE AREZ S/N, FRENTE A LA IGLESIA</v>
          </cell>
          <cell r="D681" t="str">
            <v>JORGE LEONEL PAZARAN GUERRA</v>
          </cell>
          <cell r="E681">
            <v>38</v>
          </cell>
          <cell r="F681">
            <v>9</v>
          </cell>
          <cell r="G681" t="str">
            <v>SANTIAGO TUXTLA</v>
          </cell>
          <cell r="H681" t="str">
            <v>ARROYO LARGO</v>
          </cell>
        </row>
        <row r="682">
          <cell r="A682" t="str">
            <v>30DTV1721C</v>
          </cell>
          <cell r="B682" t="str">
            <v>NIÑOS HEROES DE CHAPULTEPEC</v>
          </cell>
          <cell r="C682" t="str">
            <v>CALLE PRINCIPAL S/N</v>
          </cell>
          <cell r="D682" t="str">
            <v>ANTONIO DEL RIO JUAREZ</v>
          </cell>
          <cell r="E682">
            <v>38</v>
          </cell>
          <cell r="F682">
            <v>9</v>
          </cell>
          <cell r="G682" t="str">
            <v>SANTIAGO TUXTLA</v>
          </cell>
          <cell r="H682" t="str">
            <v>EL COYOL</v>
          </cell>
        </row>
        <row r="683">
          <cell r="A683" t="str">
            <v>30DTV0176E</v>
          </cell>
          <cell r="B683" t="str">
            <v>EMILIANO ZAPATA</v>
          </cell>
          <cell r="C683" t="str">
            <v>INSURGENTES Y 20 DE NOVIEMBRE S/N</v>
          </cell>
          <cell r="D683" t="str">
            <v>VENANCIO AZAMAR MENDOZA</v>
          </cell>
          <cell r="E683">
            <v>38</v>
          </cell>
          <cell r="F683">
            <v>9</v>
          </cell>
          <cell r="G683" t="str">
            <v>SANTIAGO TUXTLA</v>
          </cell>
          <cell r="H683" t="str">
            <v>FRANCISCO I. MADERO</v>
          </cell>
        </row>
        <row r="684">
          <cell r="A684" t="str">
            <v>30DTV1395Y</v>
          </cell>
          <cell r="B684" t="str">
            <v>IGNACIO ALDAMA</v>
          </cell>
          <cell r="C684" t="str">
            <v>CONOCIDO</v>
          </cell>
          <cell r="D684" t="str">
            <v>PEDRO GARCIA CANDELARIO</v>
          </cell>
          <cell r="E684">
            <v>38</v>
          </cell>
          <cell r="F684">
            <v>9</v>
          </cell>
          <cell r="G684" t="str">
            <v>SANTIAGO TUXTLA</v>
          </cell>
          <cell r="H684" t="str">
            <v>MAXYAPAN</v>
          </cell>
        </row>
        <row r="685">
          <cell r="A685" t="str">
            <v>30DTV0497O</v>
          </cell>
          <cell r="B685" t="str">
            <v>RAFAEL RAMIREZ</v>
          </cell>
          <cell r="C685" t="str">
            <v>JUNTO AL CAMPO DE FUTBOL</v>
          </cell>
          <cell r="D685" t="str">
            <v>GELACIO BRAVO AGUILAR</v>
          </cell>
          <cell r="E685">
            <v>38</v>
          </cell>
          <cell r="F685">
            <v>9</v>
          </cell>
          <cell r="G685" t="str">
            <v>SANTIAGO TUXTLA</v>
          </cell>
          <cell r="H685" t="str">
            <v>MEDELLIN</v>
          </cell>
        </row>
        <row r="686">
          <cell r="A686" t="str">
            <v>30DTV0880K</v>
          </cell>
          <cell r="B686" t="str">
            <v>BELISARIO DOMINGUEZ</v>
          </cell>
          <cell r="C686" t="str">
            <v>KILOMETRO 25 CARRETERA SANTIAGO TUXTLA-ISLA, CAMINO A ZAPOTAL</v>
          </cell>
          <cell r="D686" t="str">
            <v>LUIS ZAPO COTO</v>
          </cell>
          <cell r="E686">
            <v>38</v>
          </cell>
          <cell r="F686">
            <v>9</v>
          </cell>
          <cell r="G686" t="str">
            <v>SANTIAGO TUXTLA</v>
          </cell>
          <cell r="H686" t="str">
            <v>EL MORILLO</v>
          </cell>
        </row>
        <row r="687">
          <cell r="A687" t="str">
            <v>30DTV0498N</v>
          </cell>
          <cell r="B687" t="str">
            <v>JOSE JUAN TABLADA</v>
          </cell>
          <cell r="C687" t="str">
            <v>JUNTO AL CAMPO DEPORTIVO</v>
          </cell>
          <cell r="D687" t="str">
            <v>EDGARDO CECILIO RAMIREZ SOSA</v>
          </cell>
          <cell r="E687">
            <v>38</v>
          </cell>
          <cell r="F687">
            <v>9</v>
          </cell>
          <cell r="G687" t="str">
            <v>SANTIAGO TUXTLA</v>
          </cell>
          <cell r="H687" t="str">
            <v>OJO DE AGUA</v>
          </cell>
        </row>
        <row r="688">
          <cell r="A688" t="str">
            <v>30DTV1438F</v>
          </cell>
          <cell r="B688" t="str">
            <v>ROSARIO CASTELLANOS</v>
          </cell>
          <cell r="C688" t="str">
            <v>CONOCIDO</v>
          </cell>
          <cell r="D688" t="str">
            <v>JULIO CESAR OLIVEROS GALLARDO</v>
          </cell>
          <cell r="E688">
            <v>38</v>
          </cell>
          <cell r="F688">
            <v>9</v>
          </cell>
          <cell r="G688" t="str">
            <v>SANTIAGO TUXTLA</v>
          </cell>
          <cell r="H688" t="str">
            <v>EL PLATANAR</v>
          </cell>
        </row>
        <row r="689">
          <cell r="A689" t="str">
            <v>30DTV0449E</v>
          </cell>
          <cell r="B689" t="str">
            <v>MEXICO</v>
          </cell>
          <cell r="C689" t="str">
            <v>CERCA DEL JARDIN DE NIÑOS</v>
          </cell>
          <cell r="D689" t="str">
            <v>JOSEFINA DE LA MAZA ROSARIO</v>
          </cell>
          <cell r="E689">
            <v>38</v>
          </cell>
          <cell r="F689">
            <v>9</v>
          </cell>
          <cell r="G689" t="str">
            <v>SANTIAGO TUXTLA</v>
          </cell>
          <cell r="H689" t="str">
            <v>SEHUALACA</v>
          </cell>
        </row>
        <row r="690">
          <cell r="A690" t="str">
            <v>30DTV0437Z</v>
          </cell>
          <cell r="B690" t="str">
            <v>MELCHOR OCAMPO</v>
          </cell>
          <cell r="C690" t="str">
            <v>CARRETERA COSTERA DEL GOLFO</v>
          </cell>
          <cell r="D690" t="str">
            <v>LUIS DAVID MENDOZA</v>
          </cell>
          <cell r="E690">
            <v>38</v>
          </cell>
          <cell r="F690">
            <v>9</v>
          </cell>
          <cell r="G690" t="str">
            <v>SANTIAGO TUXTLA</v>
          </cell>
          <cell r="H690" t="str">
            <v>TAPALAPAN</v>
          </cell>
        </row>
        <row r="691">
          <cell r="A691" t="str">
            <v>30DTV0330H</v>
          </cell>
          <cell r="B691" t="str">
            <v>BELISARIO DOMINGUEZ</v>
          </cell>
          <cell r="C691" t="str">
            <v>KILOMETRO 22 CARRETERA SANTIAGO TUXTLA-ISLA</v>
          </cell>
          <cell r="D691" t="str">
            <v>GABRIELA MARTINEZ PULIDO</v>
          </cell>
          <cell r="E691">
            <v>38</v>
          </cell>
          <cell r="F691">
            <v>9</v>
          </cell>
          <cell r="G691" t="str">
            <v>SANTIAGO TUXTLA</v>
          </cell>
          <cell r="H691" t="str">
            <v>TIBERNAL</v>
          </cell>
        </row>
        <row r="692">
          <cell r="A692" t="str">
            <v>30DTV1549K</v>
          </cell>
          <cell r="B692" t="str">
            <v>HEBERTO CASTILLO</v>
          </cell>
          <cell r="C692" t="str">
            <v>CONOCIDO</v>
          </cell>
          <cell r="D692" t="str">
            <v>SUENDY MERCEDES HERNANDEZ VERA</v>
          </cell>
          <cell r="E692">
            <v>38</v>
          </cell>
          <cell r="F692">
            <v>9</v>
          </cell>
          <cell r="G692" t="str">
            <v>SANTIAGO TUXTLA</v>
          </cell>
          <cell r="H692" t="str">
            <v>XIGüIPILINCAN</v>
          </cell>
        </row>
        <row r="693">
          <cell r="A693" t="str">
            <v>30DTV1722B</v>
          </cell>
          <cell r="B693" t="str">
            <v>CUITLAHUAC</v>
          </cell>
          <cell r="C693" t="str">
            <v>CALLE PRINCIPAL S/N</v>
          </cell>
          <cell r="D693" t="str">
            <v>ARMANDO BECERRA LOPEZ</v>
          </cell>
          <cell r="E693">
            <v>38</v>
          </cell>
          <cell r="F693">
            <v>9</v>
          </cell>
          <cell r="G693" t="str">
            <v>SANTIAGO TUXTLA</v>
          </cell>
          <cell r="H693" t="str">
            <v>EL ZAPOTAL</v>
          </cell>
        </row>
        <row r="694">
          <cell r="A694" t="str">
            <v>30DTV1792X</v>
          </cell>
          <cell r="B694" t="str">
            <v>MARIANO AZUELA</v>
          </cell>
          <cell r="C694" t="str">
            <v>CARRETERA A ISLETILLA</v>
          </cell>
          <cell r="D694" t="str">
            <v>VICTOR CASTILLO DOMINGUEZ</v>
          </cell>
          <cell r="E694">
            <v>38</v>
          </cell>
          <cell r="F694">
            <v>9</v>
          </cell>
          <cell r="G694" t="str">
            <v>SANTIAGO TUXTLA</v>
          </cell>
          <cell r="H694" t="str">
            <v>LA PITAHAYA</v>
          </cell>
        </row>
        <row r="695">
          <cell r="A695" t="str">
            <v>30DTV1003U</v>
          </cell>
          <cell r="B695" t="str">
            <v>IGNACIO MANUEL ALTAMIRANO</v>
          </cell>
          <cell r="C695" t="str">
            <v>JUNTO A LA IGLESIA</v>
          </cell>
          <cell r="D695" t="str">
            <v>JOSE ENRIQUE VELA VELA</v>
          </cell>
          <cell r="E695">
            <v>38</v>
          </cell>
          <cell r="F695">
            <v>9</v>
          </cell>
          <cell r="G695" t="str">
            <v>SANTIAGO TUXTLA</v>
          </cell>
          <cell r="H695" t="str">
            <v>LAS POCHOTAS</v>
          </cell>
        </row>
        <row r="696">
          <cell r="A696" t="str">
            <v>30DTV0295S</v>
          </cell>
          <cell r="B696" t="str">
            <v>GUADALUPE VICTORIA</v>
          </cell>
          <cell r="C696" t="str">
            <v>FRENTE A LA NESTLE</v>
          </cell>
          <cell r="D696" t="str">
            <v>MARTIN MATLA PORRAS</v>
          </cell>
          <cell r="E696">
            <v>38</v>
          </cell>
          <cell r="F696">
            <v>9</v>
          </cell>
          <cell r="G696" t="str">
            <v>SOTEAPAN</v>
          </cell>
          <cell r="H696" t="str">
            <v>COLONIA LA MAGDALENA</v>
          </cell>
        </row>
        <row r="697">
          <cell r="A697" t="str">
            <v>30DTV0581M</v>
          </cell>
          <cell r="B697" t="str">
            <v>CUAUHTEMOC</v>
          </cell>
          <cell r="C697" t="str">
            <v>AMADO NERVO S/N</v>
          </cell>
          <cell r="D697" t="str">
            <v>YARA DEL CARMEN ROJANO PARRA</v>
          </cell>
          <cell r="E697">
            <v>39</v>
          </cell>
          <cell r="F697">
            <v>19</v>
          </cell>
          <cell r="G697" t="str">
            <v>JUAN RODRIGUEZ CLARA</v>
          </cell>
          <cell r="H697" t="str">
            <v>JUAN RODRIGUEZ CLARA</v>
          </cell>
        </row>
        <row r="698">
          <cell r="A698" t="str">
            <v>30DTV1072Q</v>
          </cell>
          <cell r="B698" t="str">
            <v>NIÐOS HEROES</v>
          </cell>
          <cell r="C698" t="str">
            <v>CASA DEL COMISARIADO EJIDAL</v>
          </cell>
          <cell r="D698" t="str">
            <v>ALEJANDRO MUNGUIA HERNANDEZ</v>
          </cell>
          <cell r="E698">
            <v>39</v>
          </cell>
          <cell r="F698">
            <v>19</v>
          </cell>
          <cell r="G698" t="str">
            <v>JUAN RODRIGUEZ CLARA</v>
          </cell>
          <cell r="H698" t="str">
            <v>ANGOSTURA</v>
          </cell>
        </row>
        <row r="699">
          <cell r="A699" t="str">
            <v>30DTV0582L</v>
          </cell>
          <cell r="B699" t="str">
            <v>ENRIQUE C. REBSAMEN</v>
          </cell>
          <cell r="C699" t="str">
            <v>CONOCIDO ENTRADA A COMUNIDAD</v>
          </cell>
          <cell r="D699" t="str">
            <v>ROBERTO CARLOS SAN MARTIN RAMIREZ</v>
          </cell>
          <cell r="E699">
            <v>39</v>
          </cell>
          <cell r="F699">
            <v>19</v>
          </cell>
          <cell r="G699" t="str">
            <v>JUAN RODRIGUEZ CLARA</v>
          </cell>
          <cell r="H699" t="str">
            <v>EL BLANCO</v>
          </cell>
        </row>
        <row r="700">
          <cell r="A700" t="str">
            <v>30DTV0445I</v>
          </cell>
          <cell r="B700" t="str">
            <v>RICARDO FLORES MAGON</v>
          </cell>
          <cell r="C700" t="str">
            <v>CONOCIDO CENTRO DE COMUNIDAD</v>
          </cell>
          <cell r="D700" t="str">
            <v>VERONICA CECILIA TLAPANCO RAMIREZ</v>
          </cell>
          <cell r="E700">
            <v>39</v>
          </cell>
          <cell r="F700">
            <v>19</v>
          </cell>
          <cell r="G700" t="str">
            <v>JUAN RODRIGUEZ CLARA</v>
          </cell>
          <cell r="H700" t="str">
            <v>LA CAÑADA</v>
          </cell>
        </row>
        <row r="701">
          <cell r="A701" t="str">
            <v>30DTV0583K</v>
          </cell>
          <cell r="B701" t="str">
            <v>EMILIANO ZAPATA</v>
          </cell>
          <cell r="C701" t="str">
            <v>CONOCIDO ENTRADA DE COMUNIDAD</v>
          </cell>
          <cell r="D701" t="str">
            <v>MARIA CATALINA GRACIA YOBAL TELLEZ</v>
          </cell>
          <cell r="E701">
            <v>39</v>
          </cell>
          <cell r="F701">
            <v>19</v>
          </cell>
          <cell r="G701" t="str">
            <v>JUAN RODRIGUEZ CLARA</v>
          </cell>
          <cell r="H701" t="str">
            <v>CASAS VIEJAS</v>
          </cell>
        </row>
        <row r="702">
          <cell r="A702" t="str">
            <v>30DTV0584J</v>
          </cell>
          <cell r="B702" t="str">
            <v>VICENTE GUERRERO</v>
          </cell>
          <cell r="C702" t="str">
            <v>CALLE PRINCIPAL  ENTRADA A COMUNIDAD</v>
          </cell>
          <cell r="D702" t="str">
            <v>DAYSSI DE JESUS ALEGRIA REYES</v>
          </cell>
          <cell r="E702">
            <v>39</v>
          </cell>
          <cell r="F702">
            <v>19</v>
          </cell>
          <cell r="G702" t="str">
            <v>JUAN RODRIGUEZ CLARA</v>
          </cell>
          <cell r="H702" t="str">
            <v>COLONIA DOMINGUEZ</v>
          </cell>
        </row>
        <row r="703">
          <cell r="A703" t="str">
            <v>30DTV1059W</v>
          </cell>
          <cell r="B703" t="str">
            <v>FRANCISCO VILLA</v>
          </cell>
          <cell r="C703" t="str">
            <v>CALLE PRINCIPAL</v>
          </cell>
          <cell r="D703" t="str">
            <v>SANDRA LUZ LEAL MUÐOZ</v>
          </cell>
          <cell r="E703">
            <v>39</v>
          </cell>
          <cell r="F703">
            <v>19</v>
          </cell>
          <cell r="G703" t="str">
            <v>JUAN RODRIGUEZ CLARA</v>
          </cell>
          <cell r="H703" t="str">
            <v>COLONIA 20 DE NOVIEMBRE (PANCHO VILLA)</v>
          </cell>
        </row>
        <row r="704">
          <cell r="A704" t="str">
            <v>30DTV0454Q</v>
          </cell>
          <cell r="B704" t="str">
            <v>JUAN ESCUTIA</v>
          </cell>
          <cell r="C704" t="str">
            <v>ENTRADA A LA COMUNIDAD</v>
          </cell>
          <cell r="D704" t="str">
            <v>JUAN EDEN SANTOS GARCIA</v>
          </cell>
          <cell r="E704">
            <v>39</v>
          </cell>
          <cell r="F704">
            <v>19</v>
          </cell>
          <cell r="G704" t="str">
            <v>JUAN RODRIGUEZ CLARA</v>
          </cell>
          <cell r="H704" t="str">
            <v>HUAYACANES</v>
          </cell>
        </row>
        <row r="705">
          <cell r="A705" t="str">
            <v>30DTV0585I</v>
          </cell>
          <cell r="B705" t="str">
            <v>BENITO JUAREZ GARCIA</v>
          </cell>
          <cell r="C705" t="str">
            <v>CONOCIDO</v>
          </cell>
          <cell r="D705" t="str">
            <v>PAULA VAZQUEZ BRAVO</v>
          </cell>
          <cell r="E705">
            <v>39</v>
          </cell>
          <cell r="F705">
            <v>19</v>
          </cell>
          <cell r="G705" t="str">
            <v>JUAN RODRIGUEZ CLARA</v>
          </cell>
          <cell r="H705" t="str">
            <v>LA ISLETA</v>
          </cell>
        </row>
        <row r="706">
          <cell r="A706" t="str">
            <v>30DTV0443K</v>
          </cell>
          <cell r="B706" t="str">
            <v>JUSTO SIERRA</v>
          </cell>
          <cell r="C706" t="str">
            <v>CONOCIDO</v>
          </cell>
          <cell r="D706" t="str">
            <v>VIRGILIA BAUTISTA MONTAðO</v>
          </cell>
          <cell r="E706">
            <v>39</v>
          </cell>
          <cell r="F706">
            <v>19</v>
          </cell>
          <cell r="G706" t="str">
            <v>JUAN RODRIGUEZ CLARA</v>
          </cell>
          <cell r="H706" t="str">
            <v>JIMBA</v>
          </cell>
        </row>
        <row r="707">
          <cell r="A707" t="str">
            <v>30DTV0586H</v>
          </cell>
          <cell r="B707" t="str">
            <v>AMADO NERVO</v>
          </cell>
          <cell r="C707" t="str">
            <v>CONOCIDO CERCA DE LA PRIMARIA</v>
          </cell>
          <cell r="D707" t="str">
            <v>LUIS IVAN PERALTA REYES</v>
          </cell>
          <cell r="E707">
            <v>39</v>
          </cell>
          <cell r="F707">
            <v>19</v>
          </cell>
          <cell r="G707" t="str">
            <v>JUAN RODRIGUEZ CLARA</v>
          </cell>
          <cell r="H707" t="str">
            <v>MIGUEL HIDALGO</v>
          </cell>
        </row>
        <row r="708">
          <cell r="A708" t="str">
            <v>30DTV0310U</v>
          </cell>
          <cell r="B708" t="str">
            <v>IGNACIO ZARAGOZA</v>
          </cell>
          <cell r="C708" t="str">
            <v>MIGUEL HIDALGO S/N ENTRADA AL POBLADO</v>
          </cell>
          <cell r="D708" t="str">
            <v>LUZ DEL ALBA VILLA NOGUEIRA</v>
          </cell>
          <cell r="E708">
            <v>39</v>
          </cell>
          <cell r="F708">
            <v>19</v>
          </cell>
          <cell r="G708" t="str">
            <v>JUAN RODRIGUEZ CLARA</v>
          </cell>
          <cell r="H708" t="str">
            <v>PALO MIGUEL</v>
          </cell>
        </row>
        <row r="709">
          <cell r="A709" t="str">
            <v>30DTV0952N</v>
          </cell>
          <cell r="B709" t="str">
            <v>JAIME NUNO</v>
          </cell>
          <cell r="C709" t="str">
            <v>FINAL DEL POBLADO</v>
          </cell>
          <cell r="D709" t="str">
            <v>HERMES FLORES HERNANDEZ</v>
          </cell>
          <cell r="E709">
            <v>39</v>
          </cell>
          <cell r="F709">
            <v>19</v>
          </cell>
          <cell r="G709" t="str">
            <v>JUAN RODRIGUEZ CLARA</v>
          </cell>
          <cell r="H709" t="str">
            <v>PASO DEL GANADO</v>
          </cell>
        </row>
        <row r="710">
          <cell r="A710" t="str">
            <v>30DTV0218N</v>
          </cell>
          <cell r="B710" t="str">
            <v>SOR JUANA INES DE LA CRUZ</v>
          </cell>
          <cell r="C710" t="str">
            <v>CONOCIDO</v>
          </cell>
          <cell r="D710" t="str">
            <v>SANDRA LUZ DE JESUS ROJAS</v>
          </cell>
          <cell r="E710">
            <v>39</v>
          </cell>
          <cell r="F710">
            <v>19</v>
          </cell>
          <cell r="G710" t="str">
            <v>JUAN RODRIGUEZ CLARA</v>
          </cell>
          <cell r="H710" t="str">
            <v>LOS TIGRES (SAN MARCOS)</v>
          </cell>
        </row>
        <row r="711">
          <cell r="A711" t="str">
            <v>30DTV0587G</v>
          </cell>
          <cell r="B711" t="str">
            <v>JUAN ESCUTIA</v>
          </cell>
          <cell r="C711" t="str">
            <v>CONOCIDO CERCA DEL TELEBACHILLERATO</v>
          </cell>
          <cell r="D711" t="str">
            <v>EMMA CARVALLO GARCIA</v>
          </cell>
          <cell r="E711">
            <v>39</v>
          </cell>
          <cell r="F711">
            <v>19</v>
          </cell>
          <cell r="G711" t="str">
            <v>JUAN RODRIGUEZ CLARA</v>
          </cell>
          <cell r="H711" t="str">
            <v>LA UNION</v>
          </cell>
        </row>
        <row r="712">
          <cell r="A712" t="str">
            <v>30DTV1153A</v>
          </cell>
          <cell r="B712" t="str">
            <v>FRANCISCO I. MADERO</v>
          </cell>
          <cell r="C712" t="str">
            <v>EN LA ESCUELA PRIMARIA</v>
          </cell>
          <cell r="D712" t="str">
            <v>MAYRA AIDA NAVA PATIÐO</v>
          </cell>
          <cell r="E712">
            <v>39</v>
          </cell>
          <cell r="F712">
            <v>19</v>
          </cell>
          <cell r="G712" t="str">
            <v>JUAN RODRIGUEZ CLARA</v>
          </cell>
          <cell r="H712" t="str">
            <v>NUEVA ESPERANZA</v>
          </cell>
        </row>
        <row r="713">
          <cell r="A713" t="str">
            <v>30DTV0730D</v>
          </cell>
          <cell r="B713" t="str">
            <v>SEBASTIAN LERDO DE TEJADA</v>
          </cell>
          <cell r="C713" t="str">
            <v>FIDEL VELAZQUEZ NUM. 2</v>
          </cell>
          <cell r="D713" t="str">
            <v>ABACUC SANCHEZ GUZMAN</v>
          </cell>
          <cell r="E713">
            <v>40</v>
          </cell>
          <cell r="F713">
            <v>5</v>
          </cell>
          <cell r="G713" t="str">
            <v>COSOLEACAQUE</v>
          </cell>
          <cell r="H713" t="str">
            <v>COSOLEACAQUE</v>
          </cell>
        </row>
        <row r="714">
          <cell r="A714" t="str">
            <v>30DTV0936W</v>
          </cell>
          <cell r="B714" t="str">
            <v>ALVARO GALVEZ Y FUENTES</v>
          </cell>
          <cell r="C714" t="str">
            <v>BENITO JUAREZ NUM. 26</v>
          </cell>
          <cell r="D714" t="str">
            <v>JUVENTINO GOMEZ NAVARRETE</v>
          </cell>
          <cell r="E714">
            <v>40</v>
          </cell>
          <cell r="F714">
            <v>5</v>
          </cell>
          <cell r="G714" t="str">
            <v>COSOLEACAQUE</v>
          </cell>
          <cell r="H714" t="str">
            <v>COSOLEACAQUE</v>
          </cell>
        </row>
        <row r="715">
          <cell r="A715" t="str">
            <v>30DTV0116Q</v>
          </cell>
          <cell r="B715" t="str">
            <v>MIGUEL HIDALGO Y COSTILLA</v>
          </cell>
          <cell r="C715" t="str">
            <v>MIGUEL HIDALGO S/N</v>
          </cell>
          <cell r="D715" t="str">
            <v>ZENAIDA GONZALEZ VARGAS</v>
          </cell>
          <cell r="E715">
            <v>40</v>
          </cell>
          <cell r="F715">
            <v>5</v>
          </cell>
          <cell r="G715" t="str">
            <v>COSOLEACAQUE</v>
          </cell>
          <cell r="H715" t="str">
            <v>COACOTLA</v>
          </cell>
        </row>
        <row r="716">
          <cell r="A716" t="str">
            <v>30DTV0937V</v>
          </cell>
          <cell r="B716" t="str">
            <v>GRAL. LAZARO CARDENAS DEL RIO</v>
          </cell>
          <cell r="C716" t="str">
            <v>CARRETERA A TEMEX</v>
          </cell>
          <cell r="D716" t="str">
            <v>OLGA GONZALEZ VARGAS</v>
          </cell>
          <cell r="E716">
            <v>40</v>
          </cell>
          <cell r="F716">
            <v>5</v>
          </cell>
          <cell r="G716" t="str">
            <v>COSOLEACAQUE</v>
          </cell>
          <cell r="H716" t="str">
            <v>JOSE F. GUTIERREZ</v>
          </cell>
        </row>
        <row r="717">
          <cell r="A717" t="str">
            <v>30DTV1229Z</v>
          </cell>
          <cell r="B717" t="str">
            <v>JOSE MARIA MORELOS Y PAVON</v>
          </cell>
          <cell r="C717" t="str">
            <v>CONOCIDO</v>
          </cell>
          <cell r="D717" t="str">
            <v>NOELIA VENTURA GONZALEZ</v>
          </cell>
          <cell r="E717">
            <v>40</v>
          </cell>
          <cell r="F717">
            <v>5</v>
          </cell>
          <cell r="G717" t="str">
            <v>COSOLEACAQUE</v>
          </cell>
          <cell r="H717" t="str">
            <v>SAN PEDRO MARTIR</v>
          </cell>
        </row>
        <row r="718">
          <cell r="A718" t="str">
            <v>30DTV0935X</v>
          </cell>
          <cell r="B718" t="str">
            <v>FRANCISCO I. MADERO</v>
          </cell>
          <cell r="C718" t="str">
            <v>ENTRADA AL POBLADO</v>
          </cell>
          <cell r="D718" t="str">
            <v>ELVIRA AURORA MENDOZA RIOS</v>
          </cell>
          <cell r="E718">
            <v>40</v>
          </cell>
          <cell r="F718">
            <v>5</v>
          </cell>
          <cell r="G718" t="str">
            <v>COSOLEACAQUE</v>
          </cell>
          <cell r="H718" t="str">
            <v>SAN ANTONIO</v>
          </cell>
        </row>
        <row r="719">
          <cell r="A719" t="str">
            <v>30DTV1096Z</v>
          </cell>
          <cell r="B719" t="str">
            <v>RUBEN DARIO</v>
          </cell>
          <cell r="C719" t="str">
            <v>REVOLUCION S/N</v>
          </cell>
          <cell r="D719" t="str">
            <v>MARIA DE LOURDES VILLANUEVA SANCHEZ</v>
          </cell>
          <cell r="E719">
            <v>40</v>
          </cell>
          <cell r="F719">
            <v>5</v>
          </cell>
          <cell r="G719" t="str">
            <v>CHINAMECA</v>
          </cell>
          <cell r="H719" t="str">
            <v>ATEPONTA</v>
          </cell>
        </row>
        <row r="720">
          <cell r="A720" t="str">
            <v>30DTV1232N</v>
          </cell>
          <cell r="B720" t="str">
            <v>IGNACIO ALLENDE</v>
          </cell>
          <cell r="C720" t="str">
            <v>CONOCIDO</v>
          </cell>
          <cell r="D720" t="str">
            <v>MABEL SUAREZ MAYO</v>
          </cell>
          <cell r="E720">
            <v>40</v>
          </cell>
          <cell r="F720">
            <v>5</v>
          </cell>
          <cell r="G720" t="str">
            <v>HIDALGOTITLAN</v>
          </cell>
          <cell r="H720" t="str">
            <v>IGNACIO ALLENDE EL GRANDE</v>
          </cell>
        </row>
        <row r="721">
          <cell r="A721" t="str">
            <v>30DTV1698S</v>
          </cell>
          <cell r="B721" t="str">
            <v>IZCOATL</v>
          </cell>
          <cell r="C721" t="str">
            <v>MIGUEL HIDALGO NUM. 44</v>
          </cell>
          <cell r="D721" t="str">
            <v>ROBERTO CHONCOA VALDERRAMA</v>
          </cell>
          <cell r="E721">
            <v>40</v>
          </cell>
          <cell r="F721">
            <v>5</v>
          </cell>
          <cell r="G721" t="str">
            <v>HIDALGOTITLAN</v>
          </cell>
          <cell r="H721" t="str">
            <v>JAVIER ROJO GOMEZ</v>
          </cell>
        </row>
        <row r="722">
          <cell r="A722" t="str">
            <v>30DTV0947B</v>
          </cell>
          <cell r="B722" t="str">
            <v>BENITO JUAREZ GARCIA</v>
          </cell>
          <cell r="C722" t="str">
            <v>CONOCIDO</v>
          </cell>
          <cell r="D722" t="str">
            <v>AMALIA HERNANDEZ SAN AGUSTIN</v>
          </cell>
          <cell r="E722">
            <v>40</v>
          </cell>
          <cell r="F722">
            <v>5</v>
          </cell>
          <cell r="G722" t="str">
            <v>JALTIPAN</v>
          </cell>
          <cell r="H722" t="str">
            <v>AHUATEPEC</v>
          </cell>
        </row>
        <row r="723">
          <cell r="A723" t="str">
            <v>30DTV1706K</v>
          </cell>
          <cell r="B723" t="str">
            <v>CALMECATL</v>
          </cell>
          <cell r="C723" t="str">
            <v>CALLE 5 DE MAYO S/N</v>
          </cell>
          <cell r="D723" t="str">
            <v>JAZMIN MARIA SOLANO MENDOZA</v>
          </cell>
          <cell r="E723">
            <v>40</v>
          </cell>
          <cell r="F723">
            <v>5</v>
          </cell>
          <cell r="G723" t="str">
            <v>MECAYAPAN</v>
          </cell>
          <cell r="H723" t="str">
            <v>ENCINO AMARILLO</v>
          </cell>
        </row>
        <row r="724">
          <cell r="A724" t="str">
            <v>30DTV1234L</v>
          </cell>
          <cell r="B724" t="str">
            <v>IGNACIO RAMIREZ</v>
          </cell>
          <cell r="C724" t="str">
            <v>CONOCIDO</v>
          </cell>
          <cell r="D724" t="str">
            <v>CLARA BAUTISTA ORTIZ</v>
          </cell>
          <cell r="E724">
            <v>40</v>
          </cell>
          <cell r="F724">
            <v>5</v>
          </cell>
          <cell r="G724" t="str">
            <v>MECAYAPAN</v>
          </cell>
          <cell r="H724" t="str">
            <v>SAN ANDRES CHAMILPA</v>
          </cell>
        </row>
        <row r="725">
          <cell r="A725" t="str">
            <v>30DTV1577G</v>
          </cell>
          <cell r="B725" t="str">
            <v>NIÐOS HEROES</v>
          </cell>
          <cell r="C725" t="str">
            <v>CONOCIDO</v>
          </cell>
          <cell r="D725" t="str">
            <v>VERONICA RODRIGUEZ ANZURES</v>
          </cell>
          <cell r="E725">
            <v>40</v>
          </cell>
          <cell r="F725">
            <v>5</v>
          </cell>
          <cell r="G725" t="str">
            <v>PAJAPAN</v>
          </cell>
          <cell r="H725" t="str">
            <v>COSCAPAN</v>
          </cell>
        </row>
        <row r="726">
          <cell r="A726" t="str">
            <v>30DTV1254Z</v>
          </cell>
          <cell r="B726" t="str">
            <v>JOSE VASCONCELOS</v>
          </cell>
          <cell r="C726" t="str">
            <v>CONOCIDO</v>
          </cell>
          <cell r="D726" t="str">
            <v>VIRNA VALENZUELA ZAMORA</v>
          </cell>
          <cell r="E726">
            <v>40</v>
          </cell>
          <cell r="F726">
            <v>5</v>
          </cell>
          <cell r="G726" t="str">
            <v>PAJAPAN</v>
          </cell>
          <cell r="H726" t="str">
            <v>JICACAL</v>
          </cell>
        </row>
        <row r="727">
          <cell r="A727" t="str">
            <v>30DTV1390C</v>
          </cell>
          <cell r="B727" t="str">
            <v>LUIS DONALDO COLOSIO MURRIETA</v>
          </cell>
          <cell r="C727" t="str">
            <v>CONOCIDO</v>
          </cell>
          <cell r="D727" t="str">
            <v>YOLANDA CABRERA SANTIAGO</v>
          </cell>
          <cell r="E727">
            <v>40</v>
          </cell>
          <cell r="F727">
            <v>5</v>
          </cell>
          <cell r="G727" t="str">
            <v>PAJAPAN</v>
          </cell>
          <cell r="H727" t="str">
            <v>EL MANGAL</v>
          </cell>
        </row>
        <row r="728">
          <cell r="A728" t="str">
            <v>30DTV0821V</v>
          </cell>
          <cell r="B728" t="str">
            <v>NICOLAS BRAVO</v>
          </cell>
          <cell r="C728" t="str">
            <v>RICARDO FLORES MAGON S/N</v>
          </cell>
          <cell r="D728" t="str">
            <v>JOSE ALFREDO UTRERA QUEVEDO</v>
          </cell>
          <cell r="E728">
            <v>40</v>
          </cell>
          <cell r="F728">
            <v>5</v>
          </cell>
          <cell r="G728" t="str">
            <v>PAJAPAN</v>
          </cell>
          <cell r="H728" t="str">
            <v>MINZAPAN</v>
          </cell>
        </row>
        <row r="729">
          <cell r="A729" t="str">
            <v>30DTV1235K</v>
          </cell>
          <cell r="B729" t="str">
            <v>MIGUEL ALEMAN VALDES</v>
          </cell>
          <cell r="C729" t="str">
            <v>FRANCISCO I. MADERO S/N</v>
          </cell>
          <cell r="D729" t="str">
            <v>JULIO CESAR DE PAZ RAMIREZ</v>
          </cell>
          <cell r="E729">
            <v>40</v>
          </cell>
          <cell r="F729">
            <v>5</v>
          </cell>
          <cell r="G729" t="str">
            <v>PAJAPAN</v>
          </cell>
          <cell r="H729" t="str">
            <v>SAN JUAN VOLADOR</v>
          </cell>
        </row>
        <row r="730">
          <cell r="A730" t="str">
            <v>30DTV1539D</v>
          </cell>
          <cell r="B730" t="str">
            <v>ADOLFO RUIZ CORTINES</v>
          </cell>
          <cell r="C730" t="str">
            <v>CONOCIDO</v>
          </cell>
          <cell r="D730" t="str">
            <v>IRVING OMAR DE LA CRUZ BOCANEGRA</v>
          </cell>
          <cell r="E730">
            <v>40</v>
          </cell>
          <cell r="F730">
            <v>5</v>
          </cell>
          <cell r="G730" t="str">
            <v>PAJAPAN</v>
          </cell>
          <cell r="H730" t="str">
            <v>URSULO GALVAN</v>
          </cell>
        </row>
        <row r="731">
          <cell r="A731" t="str">
            <v>30DTV0316O</v>
          </cell>
          <cell r="B731" t="str">
            <v>EMILIANO ZAPATA</v>
          </cell>
          <cell r="C731" t="str">
            <v>IGNACIO ZARAGOZA S/N</v>
          </cell>
          <cell r="D731" t="str">
            <v>LUCIA CRISTEN ARGUELLES</v>
          </cell>
          <cell r="E731">
            <v>40</v>
          </cell>
          <cell r="F731">
            <v>5</v>
          </cell>
          <cell r="G731" t="str">
            <v>SAYULA DE ALEMAN</v>
          </cell>
          <cell r="H731" t="str">
            <v>ALMAGRES</v>
          </cell>
        </row>
        <row r="732">
          <cell r="A732" t="str">
            <v>30DTV0831B</v>
          </cell>
          <cell r="B732" t="str">
            <v>SOR JUANA INES DE LA CRUZ</v>
          </cell>
          <cell r="C732" t="str">
            <v>MIGUEL ALEMAN PONIENTE S/N</v>
          </cell>
          <cell r="D732" t="str">
            <v>JAVIER SULVARAN ANTONIO</v>
          </cell>
          <cell r="E732">
            <v>40</v>
          </cell>
          <cell r="F732">
            <v>5</v>
          </cell>
          <cell r="G732" t="str">
            <v>SAYULA DE ALEMAN</v>
          </cell>
          <cell r="H732" t="str">
            <v>CRUZ DEL MILAGRO</v>
          </cell>
        </row>
        <row r="733">
          <cell r="A733" t="str">
            <v>30DTV0145L</v>
          </cell>
          <cell r="B733" t="str">
            <v>ADOLFO LOPEZ MATEOS</v>
          </cell>
          <cell r="C733" t="str">
            <v>ADOLFO LOPEZ MATEOS S/N</v>
          </cell>
          <cell r="D733" t="str">
            <v>ARMANDO LOPEZ ZEFERINO</v>
          </cell>
          <cell r="E733">
            <v>40</v>
          </cell>
          <cell r="F733">
            <v>5</v>
          </cell>
          <cell r="G733" t="str">
            <v>SAYULA DE ALEMAN</v>
          </cell>
          <cell r="H733" t="str">
            <v>EL JUILE</v>
          </cell>
        </row>
        <row r="734">
          <cell r="A734" t="str">
            <v>30DTV1725Z</v>
          </cell>
          <cell r="B734" t="str">
            <v>FERNANDO MONTES DE OCA</v>
          </cell>
          <cell r="C734" t="str">
            <v>MIGUEL ALEMAN S/N</v>
          </cell>
          <cell r="D734" t="str">
            <v>SEVERA PATRACA GONZALEZ</v>
          </cell>
          <cell r="E734">
            <v>40</v>
          </cell>
          <cell r="F734">
            <v>5</v>
          </cell>
          <cell r="G734" t="str">
            <v>SOTEAPAN</v>
          </cell>
          <cell r="H734" t="str">
            <v>AMAMALOYA</v>
          </cell>
        </row>
        <row r="735">
          <cell r="A735" t="str">
            <v>30DTV1266D</v>
          </cell>
          <cell r="B735" t="str">
            <v>OCTAVIO PAZ</v>
          </cell>
          <cell r="C735" t="str">
            <v>ORIENTE S/N</v>
          </cell>
          <cell r="D735" t="str">
            <v>ROSALBA USCANGA MONTALVO</v>
          </cell>
          <cell r="E735">
            <v>40</v>
          </cell>
          <cell r="F735">
            <v>5</v>
          </cell>
          <cell r="G735" t="str">
            <v>SOTEAPAN</v>
          </cell>
          <cell r="H735" t="str">
            <v>BUENA VISTA</v>
          </cell>
        </row>
        <row r="736">
          <cell r="A736" t="str">
            <v>30DTV1610Y</v>
          </cell>
          <cell r="B736" t="str">
            <v>MIGUEL HIDALGO Y COSTILLA</v>
          </cell>
          <cell r="C736" t="str">
            <v>JUNTO A LA AGENCIA MUNICIPAL</v>
          </cell>
          <cell r="D736" t="str">
            <v>FATIMA ARELLANO RODRIGUEZ</v>
          </cell>
          <cell r="E736">
            <v>40</v>
          </cell>
          <cell r="F736">
            <v>5</v>
          </cell>
          <cell r="G736" t="str">
            <v>SOTEAPAN</v>
          </cell>
          <cell r="H736" t="str">
            <v>CUILONIA NUEVA</v>
          </cell>
        </row>
        <row r="737">
          <cell r="A737" t="str">
            <v>30DTV1726Y</v>
          </cell>
          <cell r="B737" t="str">
            <v>MARIO MORENO REYES</v>
          </cell>
          <cell r="C737" t="str">
            <v>LA ESTRIBERA S/N</v>
          </cell>
          <cell r="D737" t="str">
            <v>PERLA JANETH HERNANDEZ LOPEZ</v>
          </cell>
          <cell r="E737">
            <v>40</v>
          </cell>
          <cell r="F737">
            <v>5</v>
          </cell>
          <cell r="G737" t="str">
            <v>SOTEAPAN</v>
          </cell>
          <cell r="H737" t="str">
            <v>LA ESTRIBERA</v>
          </cell>
        </row>
        <row r="738">
          <cell r="A738" t="str">
            <v>30DTV1115Y</v>
          </cell>
          <cell r="B738" t="str">
            <v>MIGUEL DE CERVANTES SAAVEDRA</v>
          </cell>
          <cell r="C738" t="str">
            <v>CALLE PRINCIPAL</v>
          </cell>
          <cell r="D738" t="str">
            <v>JOSE LUIS MENDEZ MARTINEZ</v>
          </cell>
          <cell r="E738">
            <v>40</v>
          </cell>
          <cell r="F738">
            <v>5</v>
          </cell>
          <cell r="G738" t="str">
            <v>SOTEAPAN</v>
          </cell>
          <cell r="H738" t="str">
            <v>MIRADOR SALTILLO</v>
          </cell>
        </row>
        <row r="739">
          <cell r="A739" t="str">
            <v>30DTV1078K</v>
          </cell>
          <cell r="B739" t="str">
            <v>BENITO JUAREZ GARCIA</v>
          </cell>
          <cell r="C739" t="str">
            <v>CONOCIDO</v>
          </cell>
          <cell r="D739" t="str">
            <v>BENJAMIN JAIME BERNABE CAMPOS</v>
          </cell>
          <cell r="E739">
            <v>40</v>
          </cell>
          <cell r="F739">
            <v>5</v>
          </cell>
          <cell r="G739" t="str">
            <v>SOTEAPAN</v>
          </cell>
          <cell r="H739" t="str">
            <v>MORELOS</v>
          </cell>
        </row>
        <row r="740">
          <cell r="A740" t="str">
            <v>30DTV1484R</v>
          </cell>
          <cell r="B740" t="str">
            <v>FRANCISCO JAVIER CLAVIJERO</v>
          </cell>
          <cell r="C740" t="str">
            <v>CONOCIDO</v>
          </cell>
          <cell r="D740" t="str">
            <v>DIANA ISABEL APARICIO GUTIERREZ</v>
          </cell>
          <cell r="E740">
            <v>40</v>
          </cell>
          <cell r="F740">
            <v>5</v>
          </cell>
          <cell r="G740" t="str">
            <v>SOTEAPAN</v>
          </cell>
          <cell r="H740" t="str">
            <v>OCOTAL CHICO</v>
          </cell>
        </row>
        <row r="741">
          <cell r="A741" t="str">
            <v>30DTV1267C</v>
          </cell>
          <cell r="B741" t="str">
            <v>FRANCISCO MOROSINI CORDERO</v>
          </cell>
          <cell r="C741" t="str">
            <v>5 DE FEBRERO S/N</v>
          </cell>
          <cell r="D741" t="str">
            <v>EDGAR CARRILLO ANDRADE</v>
          </cell>
          <cell r="E741">
            <v>40</v>
          </cell>
          <cell r="F741">
            <v>5</v>
          </cell>
          <cell r="G741" t="str">
            <v>SOTEAPAN</v>
          </cell>
          <cell r="H741" t="str">
            <v>OCOZOTEPEC</v>
          </cell>
        </row>
        <row r="742">
          <cell r="A742" t="str">
            <v>30DTV1114Z</v>
          </cell>
          <cell r="B742" t="str">
            <v>VICENTE GUERRERO</v>
          </cell>
          <cell r="C742" t="str">
            <v>CONOCIDO</v>
          </cell>
          <cell r="D742" t="str">
            <v>BERNARDO RIVERA BAUTISTA</v>
          </cell>
          <cell r="E742">
            <v>40</v>
          </cell>
          <cell r="F742">
            <v>5</v>
          </cell>
          <cell r="G742" t="str">
            <v>SOTEAPAN</v>
          </cell>
          <cell r="H742" t="str">
            <v>SAN FERNANDO</v>
          </cell>
        </row>
        <row r="743">
          <cell r="A743" t="str">
            <v>30DTV1112A</v>
          </cell>
          <cell r="B743" t="str">
            <v>FRANCISCO GONZALEZ BOCANEGRA</v>
          </cell>
          <cell r="C743" t="str">
            <v>CONOCIDO</v>
          </cell>
          <cell r="D743" t="str">
            <v>ELENA GARCIA SANTOS</v>
          </cell>
          <cell r="E743">
            <v>40</v>
          </cell>
          <cell r="F743">
            <v>5</v>
          </cell>
          <cell r="G743" t="str">
            <v>SOTEAPAN</v>
          </cell>
          <cell r="H743" t="str">
            <v>EL TULIN</v>
          </cell>
        </row>
        <row r="744">
          <cell r="A744" t="str">
            <v>30DTV1483S</v>
          </cell>
          <cell r="B744" t="str">
            <v>JAIME TORRES BODET</v>
          </cell>
          <cell r="C744" t="str">
            <v>CONOCIDO</v>
          </cell>
          <cell r="D744" t="str">
            <v>GERSON JOAQUIN MELCHI CANO</v>
          </cell>
          <cell r="E744">
            <v>40</v>
          </cell>
          <cell r="F744">
            <v>5</v>
          </cell>
          <cell r="G744" t="str">
            <v>SOTEAPAN</v>
          </cell>
          <cell r="H744" t="str">
            <v>HILARIO C. SALAS</v>
          </cell>
        </row>
        <row r="745">
          <cell r="A745" t="str">
            <v>30DTV1540T</v>
          </cell>
          <cell r="B745" t="str">
            <v>LUIS DONALDO COLOSIO MURRIETA</v>
          </cell>
          <cell r="C745" t="str">
            <v>ALLENDE S/N</v>
          </cell>
          <cell r="D745" t="str">
            <v>LEONARDO CHIÐAS CARTAGENA</v>
          </cell>
          <cell r="E745">
            <v>40</v>
          </cell>
          <cell r="F745">
            <v>5</v>
          </cell>
          <cell r="G745" t="str">
            <v>SOTEAPAN</v>
          </cell>
          <cell r="H745" t="str">
            <v>LAS PALOMAS (BAJO PALOMA)</v>
          </cell>
        </row>
        <row r="746">
          <cell r="A746" t="str">
            <v>30DTV1763B</v>
          </cell>
          <cell r="B746" t="str">
            <v>TELESECUNDARIA</v>
          </cell>
          <cell r="C746" t="str">
            <v>CALLE PRINCIPAL S/N (CASA DEL COMISARIADO EJIDAL)</v>
          </cell>
          <cell r="D746" t="str">
            <v>MARIELA PEREZ VIDAL</v>
          </cell>
          <cell r="E746">
            <v>40</v>
          </cell>
          <cell r="F746">
            <v>5</v>
          </cell>
          <cell r="G746" t="str">
            <v>TATAHUICAPAN DE JUAREZ</v>
          </cell>
          <cell r="H746" t="str">
            <v>MEZCALAPA</v>
          </cell>
        </row>
        <row r="747">
          <cell r="A747" t="str">
            <v>30DTV1764A</v>
          </cell>
          <cell r="B747" t="str">
            <v>EMILIO CARBALLIDO</v>
          </cell>
          <cell r="C747" t="str">
            <v>BENITO JUAREZ S/N</v>
          </cell>
          <cell r="D747" t="str">
            <v>GERSON JOAQUIN MELCHICANO</v>
          </cell>
          <cell r="E747">
            <v>40</v>
          </cell>
          <cell r="F747">
            <v>5</v>
          </cell>
          <cell r="G747" t="str">
            <v>TATAHUICAPAN DE JUAREZ</v>
          </cell>
          <cell r="H747" t="str">
            <v>EL MIRADOR PILAPA</v>
          </cell>
        </row>
        <row r="748">
          <cell r="A748" t="str">
            <v>30DTV1485Q</v>
          </cell>
          <cell r="B748" t="str">
            <v>VALENTIN GOMEZ FARIAS</v>
          </cell>
          <cell r="C748" t="str">
            <v>CONOCIDO</v>
          </cell>
          <cell r="D748" t="str">
            <v>URIEL ARQUIMIDES ARIAS PAVA</v>
          </cell>
          <cell r="E748">
            <v>40</v>
          </cell>
          <cell r="F748">
            <v>5</v>
          </cell>
          <cell r="G748" t="str">
            <v>TATAHUICAPAN DE JUAREZ</v>
          </cell>
          <cell r="H748" t="str">
            <v>PILAPILLO</v>
          </cell>
        </row>
        <row r="749">
          <cell r="A749" t="str">
            <v>30DTV1294Z</v>
          </cell>
          <cell r="B749" t="str">
            <v>VENUSTIANO CARRANZA</v>
          </cell>
          <cell r="C749" t="str">
            <v>CONOCIDO</v>
          </cell>
          <cell r="D749" t="str">
            <v>JESUS ZARATE MEZA</v>
          </cell>
          <cell r="E749">
            <v>40</v>
          </cell>
          <cell r="F749">
            <v>5</v>
          </cell>
          <cell r="G749" t="str">
            <v>TATAHUICAPAN DE JUAREZ</v>
          </cell>
          <cell r="H749" t="str">
            <v>ZAPOAPAN</v>
          </cell>
        </row>
        <row r="750">
          <cell r="A750" t="str">
            <v>30DTV1541S</v>
          </cell>
          <cell r="B750" t="str">
            <v>RAFAEL RAMIREZ CASTAÐEDA</v>
          </cell>
          <cell r="C750" t="str">
            <v>CONOCIDO</v>
          </cell>
          <cell r="D750" t="str">
            <v>ALBERTA RODRIGUEZ ANZURES</v>
          </cell>
          <cell r="E750">
            <v>40</v>
          </cell>
          <cell r="F750">
            <v>5</v>
          </cell>
          <cell r="G750" t="str">
            <v>TATAHUICAPAN DE JUAREZ</v>
          </cell>
          <cell r="H750" t="str">
            <v>ZAPOTITLAN</v>
          </cell>
        </row>
        <row r="751">
          <cell r="A751" t="str">
            <v>30DTV0418L</v>
          </cell>
          <cell r="B751" t="str">
            <v>JOSE MARIA MUÑOZ HERNANDEZ</v>
          </cell>
          <cell r="C751" t="str">
            <v>CONOCIDO</v>
          </cell>
          <cell r="D751" t="str">
            <v>GLENDA CORTES ROSALES</v>
          </cell>
          <cell r="E751">
            <v>41</v>
          </cell>
          <cell r="F751">
            <v>3</v>
          </cell>
          <cell r="G751" t="str">
            <v>ATZACAN</v>
          </cell>
          <cell r="H751" t="str">
            <v>DOS RIOS (TOCUILA)</v>
          </cell>
        </row>
        <row r="752">
          <cell r="A752" t="str">
            <v>30DTV0565V</v>
          </cell>
          <cell r="B752" t="str">
            <v>FELIPE CARRILLO PUERTO</v>
          </cell>
          <cell r="C752" t="str">
            <v>CONOCIDO</v>
          </cell>
          <cell r="D752" t="str">
            <v>MIGUEL ANGEL GUERRA SANDOVAL</v>
          </cell>
          <cell r="E752">
            <v>41</v>
          </cell>
          <cell r="F752">
            <v>3</v>
          </cell>
          <cell r="G752" t="str">
            <v>CORDOBA</v>
          </cell>
          <cell r="H752" t="str">
            <v>SAN JOSE DE TAPIA</v>
          </cell>
        </row>
        <row r="753">
          <cell r="A753" t="str">
            <v>30DTV0012V</v>
          </cell>
          <cell r="B753" t="str">
            <v>ALFREDO V. BONFIL</v>
          </cell>
          <cell r="C753" t="str">
            <v>JOSE MARIA MORELOS Y PAVON NUM. 1 ESQUINA AVENIDA PORFIRIO DIAZ</v>
          </cell>
          <cell r="D753" t="str">
            <v>JOSE ANGEL C. CORTES QUINTERO</v>
          </cell>
          <cell r="E753">
            <v>41</v>
          </cell>
          <cell r="F753">
            <v>3</v>
          </cell>
          <cell r="G753" t="str">
            <v>CHOCAMAN</v>
          </cell>
          <cell r="H753" t="str">
            <v>CHOCAMAN</v>
          </cell>
        </row>
        <row r="754">
          <cell r="A754" t="str">
            <v>30DTV0795N</v>
          </cell>
          <cell r="B754" t="str">
            <v>FILOMENO VAZQUEZ JIMENEZ</v>
          </cell>
          <cell r="C754" t="str">
            <v>C0NOCIDO</v>
          </cell>
          <cell r="D754" t="str">
            <v>HERLINDA   MARIETA DE JESUS GARCIA</v>
          </cell>
          <cell r="E754">
            <v>41</v>
          </cell>
          <cell r="F754">
            <v>3</v>
          </cell>
          <cell r="G754" t="str">
            <v>CHOCAMAN</v>
          </cell>
          <cell r="H754" t="str">
            <v>CHOCAMAN</v>
          </cell>
        </row>
        <row r="755">
          <cell r="A755" t="str">
            <v>30DTV1790Z</v>
          </cell>
          <cell r="B755" t="str">
            <v>TELESECUNDARIA</v>
          </cell>
          <cell r="C755" t="str">
            <v>CONOCIDO</v>
          </cell>
          <cell r="D755" t="str">
            <v>MARIA GRACIELA KRAUSS LOPEZ</v>
          </cell>
          <cell r="E755">
            <v>41</v>
          </cell>
          <cell r="F755">
            <v>3</v>
          </cell>
          <cell r="G755" t="str">
            <v>CHOCAMAN</v>
          </cell>
          <cell r="H755" t="str">
            <v>CALAQUIOCO</v>
          </cell>
        </row>
        <row r="756">
          <cell r="A756" t="str">
            <v>30DTV0869O</v>
          </cell>
          <cell r="B756" t="str">
            <v>JUAN ESCUTIA</v>
          </cell>
          <cell r="C756" t="str">
            <v>CONOCIDO</v>
          </cell>
          <cell r="D756" t="str">
            <v>FRANCO MUÑOZ DE JESUS</v>
          </cell>
          <cell r="E756">
            <v>41</v>
          </cell>
          <cell r="F756">
            <v>3</v>
          </cell>
          <cell r="G756" t="str">
            <v>CHOCAMAN</v>
          </cell>
          <cell r="H756" t="str">
            <v>TETLA</v>
          </cell>
        </row>
        <row r="757">
          <cell r="A757" t="str">
            <v>30DTV1319S</v>
          </cell>
          <cell r="B757" t="str">
            <v>TELESECUNDARIA</v>
          </cell>
          <cell r="C757" t="str">
            <v>C0NOCIDO</v>
          </cell>
          <cell r="D757" t="str">
            <v>CECILIA PAEZ FALCON</v>
          </cell>
          <cell r="E757">
            <v>41</v>
          </cell>
          <cell r="F757">
            <v>3</v>
          </cell>
          <cell r="G757" t="str">
            <v>FORTIN</v>
          </cell>
          <cell r="H757" t="str">
            <v>FORTIN DE LAS FLORES</v>
          </cell>
        </row>
        <row r="758">
          <cell r="A758" t="str">
            <v>30DTV0044N</v>
          </cell>
          <cell r="B758" t="str">
            <v>ESFUERZO CAMPESINO</v>
          </cell>
          <cell r="C758" t="str">
            <v>AVENIDA ALDAMA NUM. 3</v>
          </cell>
          <cell r="D758" t="str">
            <v>RAMIRO SANCHEZ EUGENIO</v>
          </cell>
          <cell r="E758">
            <v>41</v>
          </cell>
          <cell r="F758">
            <v>3</v>
          </cell>
          <cell r="G758" t="str">
            <v>FORTIN</v>
          </cell>
          <cell r="H758" t="str">
            <v>MONTE BLANCO</v>
          </cell>
        </row>
        <row r="759">
          <cell r="A759" t="str">
            <v>30DTV1462F</v>
          </cell>
          <cell r="B759" t="str">
            <v>DIGNA OCHOA Y PLACIDO</v>
          </cell>
          <cell r="C759" t="str">
            <v>CONOCIDO</v>
          </cell>
          <cell r="D759" t="str">
            <v>MARIA ELENA SANTOS RODRIGUEZ</v>
          </cell>
          <cell r="E759">
            <v>41</v>
          </cell>
          <cell r="F759">
            <v>3</v>
          </cell>
          <cell r="G759" t="str">
            <v>IXTACZOQUITLAN</v>
          </cell>
          <cell r="H759" t="str">
            <v>FRESNAL</v>
          </cell>
        </row>
        <row r="760">
          <cell r="A760" t="str">
            <v>30DTV0709A</v>
          </cell>
          <cell r="B760" t="str">
            <v>TENOCH</v>
          </cell>
          <cell r="C760" t="str">
            <v>CONOCIDO</v>
          </cell>
          <cell r="D760" t="str">
            <v>ROCIO ROMERO FLORES</v>
          </cell>
          <cell r="E760">
            <v>41</v>
          </cell>
          <cell r="F760">
            <v>3</v>
          </cell>
          <cell r="G760" t="str">
            <v>IXTACZOQUITLAN</v>
          </cell>
          <cell r="H760" t="str">
            <v>SUMIDERO</v>
          </cell>
        </row>
        <row r="761">
          <cell r="A761" t="str">
            <v>30DTV0317N</v>
          </cell>
          <cell r="B761" t="str">
            <v>HEROES DE LA PATRIA</v>
          </cell>
          <cell r="C761" t="str">
            <v>CONOCIDO</v>
          </cell>
          <cell r="D761" t="str">
            <v>CONCEPCION GONZALEZ PRIETO</v>
          </cell>
          <cell r="E761">
            <v>41</v>
          </cell>
          <cell r="F761">
            <v>3</v>
          </cell>
          <cell r="G761" t="str">
            <v>IXTACZOQUITLAN</v>
          </cell>
          <cell r="H761" t="str">
            <v>ZAPOAPAN</v>
          </cell>
        </row>
        <row r="762">
          <cell r="A762" t="str">
            <v>30DTV0081R</v>
          </cell>
          <cell r="B762" t="str">
            <v>ALVARO GALVEZ Y FUENTES</v>
          </cell>
          <cell r="C762" t="str">
            <v>AVENIDA 7 CALLE 3 NUM. 14</v>
          </cell>
          <cell r="D762" t="str">
            <v>ADRIAN VAZQUEZ DIAZ</v>
          </cell>
          <cell r="E762">
            <v>41</v>
          </cell>
          <cell r="F762">
            <v>3</v>
          </cell>
          <cell r="G762" t="str">
            <v>TOMATLAN</v>
          </cell>
          <cell r="H762" t="str">
            <v>TOMATLAN</v>
          </cell>
        </row>
        <row r="763">
          <cell r="A763" t="str">
            <v>30DTV0850Q</v>
          </cell>
          <cell r="B763" t="str">
            <v>JOSE VASCONCELOS</v>
          </cell>
          <cell r="C763" t="str">
            <v>CONOCIDO</v>
          </cell>
          <cell r="D763" t="str">
            <v>JOSE ISIDRO MORENO NORIEGA</v>
          </cell>
          <cell r="E763">
            <v>41</v>
          </cell>
          <cell r="F763">
            <v>3</v>
          </cell>
          <cell r="G763" t="str">
            <v>TOMATLAN</v>
          </cell>
          <cell r="H763" t="str">
            <v>TECAMA</v>
          </cell>
        </row>
        <row r="764">
          <cell r="A764" t="str">
            <v>30DTV0016R</v>
          </cell>
          <cell r="B764" t="str">
            <v>GABINO BARREDA</v>
          </cell>
          <cell r="C764" t="str">
            <v>CONOCIDO</v>
          </cell>
          <cell r="D764" t="str">
            <v>OSCAR ROLANDO RICARDI GARCIA</v>
          </cell>
          <cell r="E764">
            <v>42</v>
          </cell>
          <cell r="F764">
            <v>11</v>
          </cell>
          <cell r="G764" t="str">
            <v>PANUCO</v>
          </cell>
          <cell r="H764" t="str">
            <v>CHIJOL DIECISIETE</v>
          </cell>
        </row>
        <row r="765">
          <cell r="A765" t="str">
            <v>30DTV0069W</v>
          </cell>
          <cell r="B765" t="str">
            <v>RICARDO FLORES MAGON</v>
          </cell>
          <cell r="C765" t="str">
            <v>CONOCIDO</v>
          </cell>
          <cell r="D765" t="str">
            <v>JUAN CARLOS SAGAON DE LA TORRE</v>
          </cell>
          <cell r="E765">
            <v>42</v>
          </cell>
          <cell r="F765">
            <v>11</v>
          </cell>
          <cell r="G765" t="str">
            <v>PANUCO</v>
          </cell>
          <cell r="H765" t="str">
            <v>ESTACION MENDEZ</v>
          </cell>
        </row>
        <row r="766">
          <cell r="A766" t="str">
            <v>30DTV0791R</v>
          </cell>
          <cell r="B766" t="str">
            <v>MIGUEL HIDALGO Y COSTILLA</v>
          </cell>
          <cell r="C766" t="str">
            <v>CALLE PRINCIPAL</v>
          </cell>
          <cell r="D766" t="str">
            <v>PORFIRIO LOYA PULIDO</v>
          </cell>
          <cell r="E766">
            <v>42</v>
          </cell>
          <cell r="F766">
            <v>11</v>
          </cell>
          <cell r="G766" t="str">
            <v>PANUCO</v>
          </cell>
          <cell r="H766" t="str">
            <v>CALENTADORES</v>
          </cell>
        </row>
        <row r="767">
          <cell r="A767" t="str">
            <v>30DTV0669Q</v>
          </cell>
          <cell r="B767" t="str">
            <v>RAFAEL RAMIREZ</v>
          </cell>
          <cell r="C767" t="str">
            <v>AVENIDA LAS TORRES S/N ENTRE LA 2° Y 3°</v>
          </cell>
          <cell r="D767" t="str">
            <v>MARIA EVANGELINA ORTA CARVAJAL</v>
          </cell>
          <cell r="E767">
            <v>42</v>
          </cell>
          <cell r="F767">
            <v>11</v>
          </cell>
          <cell r="G767" t="str">
            <v>PANUCO</v>
          </cell>
          <cell r="H767" t="str">
            <v>MORALILLO</v>
          </cell>
        </row>
        <row r="768">
          <cell r="A768" t="str">
            <v>30DTV0877X</v>
          </cell>
          <cell r="B768" t="str">
            <v>LAZARO CARDENAS DEL RIO</v>
          </cell>
          <cell r="C768" t="str">
            <v>CONOCIDO</v>
          </cell>
          <cell r="D768" t="str">
            <v>MARIA BERTHA C. GUILLEN SALAS</v>
          </cell>
          <cell r="E768">
            <v>42</v>
          </cell>
          <cell r="F768">
            <v>11</v>
          </cell>
          <cell r="G768" t="str">
            <v>PANUCO</v>
          </cell>
          <cell r="H768" t="str">
            <v>OVIEDO</v>
          </cell>
        </row>
        <row r="769">
          <cell r="A769" t="str">
            <v>30DTV1138I</v>
          </cell>
          <cell r="B769" t="str">
            <v>BENITO JUAREZ GARCIA</v>
          </cell>
          <cell r="C769" t="str">
            <v>CONOCIDO</v>
          </cell>
          <cell r="D769" t="str">
            <v>LUIS MARTIN RUIZ HERNANDEZ</v>
          </cell>
          <cell r="E769">
            <v>42</v>
          </cell>
          <cell r="F769">
            <v>11</v>
          </cell>
          <cell r="G769" t="str">
            <v>PANUCO</v>
          </cell>
          <cell r="H769" t="str">
            <v>EX-HACIENDA CHINTON (LA QUINA)</v>
          </cell>
        </row>
        <row r="770">
          <cell r="A770" t="str">
            <v>30DTV0748C</v>
          </cell>
          <cell r="B770" t="str">
            <v>JOSE MARTI</v>
          </cell>
          <cell r="C770" t="str">
            <v>CONOCIDO</v>
          </cell>
          <cell r="D770" t="str">
            <v>ALFONSO JAVIER MARCIAL LUNA</v>
          </cell>
          <cell r="E770">
            <v>42</v>
          </cell>
          <cell r="F770">
            <v>11</v>
          </cell>
          <cell r="G770" t="str">
            <v>PANUCO</v>
          </cell>
          <cell r="H770" t="str">
            <v>EL MOLINO</v>
          </cell>
        </row>
        <row r="771">
          <cell r="A771" t="str">
            <v>30DTV1332M</v>
          </cell>
          <cell r="B771" t="str">
            <v>NIÐOS HEROES</v>
          </cell>
          <cell r="C771" t="str">
            <v>CONOCIDO</v>
          </cell>
          <cell r="D771" t="str">
            <v>IVETT LOPEZ GUTIERREZ</v>
          </cell>
          <cell r="E771">
            <v>42</v>
          </cell>
          <cell r="F771">
            <v>11</v>
          </cell>
          <cell r="G771" t="str">
            <v>PANUCO</v>
          </cell>
          <cell r="H771" t="str">
            <v>JABONCILLO</v>
          </cell>
        </row>
        <row r="772">
          <cell r="A772" t="str">
            <v>30DTV0960W</v>
          </cell>
          <cell r="B772" t="str">
            <v>JOSE VASCONCELOS</v>
          </cell>
          <cell r="C772" t="str">
            <v>CALLE PRINCIPAL</v>
          </cell>
          <cell r="D772" t="str">
            <v>RUBEN RUBIO CAMARIN</v>
          </cell>
          <cell r="E772">
            <v>42</v>
          </cell>
          <cell r="F772">
            <v>11</v>
          </cell>
          <cell r="G772" t="str">
            <v>PANUCO</v>
          </cell>
          <cell r="H772" t="str">
            <v>AQUILES SERDAN</v>
          </cell>
        </row>
        <row r="773">
          <cell r="A773" t="str">
            <v>30DTV1771K</v>
          </cell>
          <cell r="B773" t="str">
            <v>DESIDERIO PAVON HERNANDEZ</v>
          </cell>
          <cell r="C773" t="str">
            <v>JUNTO AL CAMPO DEPORTIVO</v>
          </cell>
          <cell r="D773" t="str">
            <v>VICTOR ABRAHAM CASTELLANOS FLORES</v>
          </cell>
          <cell r="E773">
            <v>42</v>
          </cell>
          <cell r="F773">
            <v>11</v>
          </cell>
          <cell r="G773" t="str">
            <v>PANUCO</v>
          </cell>
          <cell r="H773" t="str">
            <v>PALMAS REALES</v>
          </cell>
        </row>
        <row r="774">
          <cell r="A774" t="str">
            <v>30DTV1018W</v>
          </cell>
          <cell r="B774" t="str">
            <v>JESUS REYES HEROLES</v>
          </cell>
          <cell r="C774" t="str">
            <v>CONOCIDO</v>
          </cell>
          <cell r="D774" t="str">
            <v>MARCELINA RIVAS GEA</v>
          </cell>
          <cell r="E774">
            <v>42</v>
          </cell>
          <cell r="F774">
            <v>11</v>
          </cell>
          <cell r="G774" t="str">
            <v>PANUCO</v>
          </cell>
          <cell r="H774" t="str">
            <v>VEGA DE OTATES</v>
          </cell>
        </row>
        <row r="775">
          <cell r="A775" t="str">
            <v>30DTV0475C</v>
          </cell>
          <cell r="B775" t="str">
            <v>AMADO NERVO</v>
          </cell>
          <cell r="C775" t="str">
            <v>CONOCIDO</v>
          </cell>
          <cell r="D775" t="str">
            <v>MARTHA MIRANDA CALDERON</v>
          </cell>
          <cell r="E775">
            <v>42</v>
          </cell>
          <cell r="F775">
            <v>11</v>
          </cell>
          <cell r="G775" t="str">
            <v>PANUCO</v>
          </cell>
          <cell r="H775" t="str">
            <v>COLONIA PILOTO</v>
          </cell>
        </row>
        <row r="776">
          <cell r="A776" t="str">
            <v>30DTV1337H</v>
          </cell>
          <cell r="B776" t="str">
            <v>CARLOS A. CARRILLO</v>
          </cell>
          <cell r="C776" t="str">
            <v>CONOCIDO</v>
          </cell>
          <cell r="D776" t="str">
            <v>FELIPE DELGADO DELGADO</v>
          </cell>
          <cell r="E776">
            <v>42</v>
          </cell>
          <cell r="F776">
            <v>11</v>
          </cell>
          <cell r="G776" t="str">
            <v>PANUCO</v>
          </cell>
          <cell r="H776" t="str">
            <v>BUENAVISTA (MAHUAVES)</v>
          </cell>
        </row>
        <row r="777">
          <cell r="A777" t="str">
            <v>30DTV0846D</v>
          </cell>
          <cell r="B777" t="str">
            <v>ENRIQUE C. REBSAMEN</v>
          </cell>
          <cell r="C777" t="str">
            <v>CONOCIDO</v>
          </cell>
          <cell r="D777" t="str">
            <v>NORIS HERNANDEZ HERNANDEZ</v>
          </cell>
          <cell r="E777">
            <v>42</v>
          </cell>
          <cell r="F777">
            <v>11</v>
          </cell>
          <cell r="G777" t="str">
            <v>PANUCO</v>
          </cell>
          <cell r="H777" t="str">
            <v>LAZARO CARDENAS</v>
          </cell>
        </row>
        <row r="778">
          <cell r="A778" t="str">
            <v>30DTV0997J</v>
          </cell>
          <cell r="B778" t="str">
            <v>SOR JUANA INES DE LA CRUZ</v>
          </cell>
          <cell r="C778" t="str">
            <v>CALLE PRINCIPAL</v>
          </cell>
          <cell r="D778" t="str">
            <v>ANDRES ANDRADE PICON</v>
          </cell>
          <cell r="E778">
            <v>42</v>
          </cell>
          <cell r="F778">
            <v>11</v>
          </cell>
          <cell r="G778" t="str">
            <v>PANUCO</v>
          </cell>
          <cell r="H778" t="str">
            <v>CENTRO DE POBLACION NUEVO PANUCO (LA PITAYA)</v>
          </cell>
        </row>
        <row r="779">
          <cell r="A779" t="str">
            <v>30DTV1675H</v>
          </cell>
          <cell r="B779" t="str">
            <v>TELESECUNDARIA</v>
          </cell>
          <cell r="C779" t="str">
            <v>CALLE FRANCISCO I. MADERO NUM. 52</v>
          </cell>
          <cell r="D779" t="str">
            <v>JORGE OBED ONTIVEROS MARTINEZ</v>
          </cell>
          <cell r="E779">
            <v>43</v>
          </cell>
          <cell r="F779">
            <v>24</v>
          </cell>
          <cell r="G779" t="str">
            <v>BENITO JUAREZ</v>
          </cell>
          <cell r="H779" t="str">
            <v>CALACO</v>
          </cell>
        </row>
        <row r="780">
          <cell r="A780" t="str">
            <v>30DTV0860X</v>
          </cell>
          <cell r="B780" t="str">
            <v>GUADALUPE VICTORIA</v>
          </cell>
          <cell r="C780" t="str">
            <v>PINO SUAREZ S/N</v>
          </cell>
          <cell r="D780" t="str">
            <v>ANTONIO HERNANDEZ DE LA CRUZ</v>
          </cell>
          <cell r="E780">
            <v>43</v>
          </cell>
          <cell r="F780">
            <v>24</v>
          </cell>
          <cell r="G780" t="str">
            <v>BENITO JUAREZ</v>
          </cell>
          <cell r="H780" t="str">
            <v>HUEYCUATITLA</v>
          </cell>
        </row>
        <row r="781">
          <cell r="A781" t="str">
            <v>30DTV0930B</v>
          </cell>
          <cell r="B781" t="str">
            <v>JOSEFA ORTIZ DE DOMINGUEZ</v>
          </cell>
          <cell r="C781" t="str">
            <v>CONOCIDO</v>
          </cell>
          <cell r="D781" t="str">
            <v>LUZ MARIA DEL ANGEL SANTANDER</v>
          </cell>
          <cell r="E781">
            <v>43</v>
          </cell>
          <cell r="F781">
            <v>24</v>
          </cell>
          <cell r="G781" t="str">
            <v>BENITO JUAREZ</v>
          </cell>
          <cell r="H781" t="str">
            <v>IXTACAHUAYO</v>
          </cell>
        </row>
        <row r="782">
          <cell r="A782" t="str">
            <v>30DTV0455P</v>
          </cell>
          <cell r="B782" t="str">
            <v>CUAUHTEMOC</v>
          </cell>
          <cell r="C782" t="str">
            <v>MANUEL F. SARABIA NUM. 1</v>
          </cell>
          <cell r="D782" t="str">
            <v>ARTURO HERNANDEZ HERNANDEZ</v>
          </cell>
          <cell r="E782">
            <v>43</v>
          </cell>
          <cell r="F782">
            <v>24</v>
          </cell>
          <cell r="G782" t="str">
            <v>BENITO JUAREZ</v>
          </cell>
          <cell r="H782" t="str">
            <v>PRIMO VERDAD (SAN MIGUEL)</v>
          </cell>
        </row>
        <row r="783">
          <cell r="A783" t="str">
            <v>30DTV1673J</v>
          </cell>
          <cell r="B783" t="str">
            <v>JAIME TORRES BODET</v>
          </cell>
          <cell r="C783" t="str">
            <v>CALLE LIBERTAD S/N</v>
          </cell>
          <cell r="D783" t="str">
            <v>SALVADOR SAN ROMAN DE LA CRUZ</v>
          </cell>
          <cell r="E783">
            <v>43</v>
          </cell>
          <cell r="F783">
            <v>24</v>
          </cell>
          <cell r="G783" t="str">
            <v>BENITO JUAREZ</v>
          </cell>
          <cell r="H783" t="str">
            <v>PALTZOQUITEMPA</v>
          </cell>
        </row>
        <row r="784">
          <cell r="A784" t="str">
            <v>30DTV1374L</v>
          </cell>
          <cell r="B784" t="str">
            <v>JOSE VASCONCELOS</v>
          </cell>
          <cell r="C784" t="str">
            <v>CONOCIDO</v>
          </cell>
          <cell r="D784" t="str">
            <v>KARLA EVELIN ARENAS GONZALEZ</v>
          </cell>
          <cell r="E784">
            <v>43</v>
          </cell>
          <cell r="F784">
            <v>24</v>
          </cell>
          <cell r="G784" t="str">
            <v>BENITO JUAREZ</v>
          </cell>
          <cell r="H784" t="str">
            <v>PILPUERTA</v>
          </cell>
        </row>
        <row r="785">
          <cell r="A785" t="str">
            <v>30DTV1028C</v>
          </cell>
          <cell r="B785" t="str">
            <v>ENRIQUE C. REBSAMEN</v>
          </cell>
          <cell r="C785" t="str">
            <v>FRENTE AL PARQUE</v>
          </cell>
          <cell r="D785" t="str">
            <v>ALFREDO CORTES AVILA</v>
          </cell>
          <cell r="E785">
            <v>43</v>
          </cell>
          <cell r="F785">
            <v>24</v>
          </cell>
          <cell r="G785" t="str">
            <v>BENITO JUAREZ</v>
          </cell>
          <cell r="H785" t="str">
            <v>TENANTITLA</v>
          </cell>
        </row>
        <row r="786">
          <cell r="A786" t="str">
            <v>30DTV1674I</v>
          </cell>
          <cell r="B786" t="str">
            <v>TELESECUNDARIA</v>
          </cell>
          <cell r="C786" t="str">
            <v>NETZAHUALCOYOTL S/N</v>
          </cell>
          <cell r="D786" t="str">
            <v>JESUS ANDRES PEREZ RAMIREZ</v>
          </cell>
          <cell r="E786">
            <v>43</v>
          </cell>
          <cell r="F786">
            <v>24</v>
          </cell>
          <cell r="G786" t="str">
            <v>BENITO JUAREZ</v>
          </cell>
          <cell r="H786" t="str">
            <v>YUPILTITLA</v>
          </cell>
        </row>
        <row r="787">
          <cell r="A787" t="str">
            <v>30DTV1676G</v>
          </cell>
          <cell r="B787" t="str">
            <v>ZEFERINO FRANCISCO HERNANDEZ</v>
          </cell>
          <cell r="C787" t="str">
            <v>CARRETERA A COLOTLAN S/N</v>
          </cell>
          <cell r="D787" t="str">
            <v>NARCISO AURELIO MONTIEL HERNANDEZ</v>
          </cell>
          <cell r="E787">
            <v>43</v>
          </cell>
          <cell r="F787">
            <v>24</v>
          </cell>
          <cell r="G787" t="str">
            <v>BENITO JUAREZ</v>
          </cell>
          <cell r="H787" t="str">
            <v>LA REFORMA</v>
          </cell>
        </row>
        <row r="788">
          <cell r="A788" t="str">
            <v>30DTV1691Z</v>
          </cell>
          <cell r="B788" t="str">
            <v>TELESECUNDARIA</v>
          </cell>
          <cell r="C788" t="str">
            <v>MOCTEZUMA NUM. 15</v>
          </cell>
          <cell r="D788" t="str">
            <v>DANIEL RAMIREZ DE LA CRUZ</v>
          </cell>
          <cell r="E788">
            <v>43</v>
          </cell>
          <cell r="F788">
            <v>24</v>
          </cell>
          <cell r="G788" t="str">
            <v>BENITO JUAREZ</v>
          </cell>
          <cell r="H788" t="str">
            <v>COACHUMO COMUN</v>
          </cell>
        </row>
        <row r="789">
          <cell r="A789" t="str">
            <v>30DTV0632C</v>
          </cell>
          <cell r="B789" t="str">
            <v>BELISARIO DOMINGUEZ</v>
          </cell>
          <cell r="C789" t="str">
            <v>PIPILA NUM. 1</v>
          </cell>
          <cell r="D789" t="str">
            <v>IDALID  VICENCIO CORTES</v>
          </cell>
          <cell r="E789">
            <v>43</v>
          </cell>
          <cell r="F789">
            <v>24</v>
          </cell>
          <cell r="G789" t="str">
            <v>CHICONTEPEC</v>
          </cell>
          <cell r="H789" t="str">
            <v>AHUATENO</v>
          </cell>
        </row>
        <row r="790">
          <cell r="A790" t="str">
            <v>30DTV1414W</v>
          </cell>
          <cell r="B790" t="str">
            <v>VANGUARDIA</v>
          </cell>
          <cell r="C790" t="str">
            <v>CONOCIDO</v>
          </cell>
          <cell r="D790" t="str">
            <v>JACOBO CAMARGO TORRES</v>
          </cell>
          <cell r="E790">
            <v>43</v>
          </cell>
          <cell r="F790">
            <v>24</v>
          </cell>
          <cell r="G790" t="str">
            <v>CHICONTEPEC</v>
          </cell>
          <cell r="H790" t="str">
            <v>AHUATITLA ABAJO</v>
          </cell>
        </row>
        <row r="791">
          <cell r="A791" t="str">
            <v>30DTV0246J</v>
          </cell>
          <cell r="B791" t="str">
            <v>MARGARITA MAZA DE JUAREZ</v>
          </cell>
          <cell r="C791" t="str">
            <v>CONOCIDO</v>
          </cell>
          <cell r="D791" t="str">
            <v>MARTHA SUSANA FERNANDEZ MENDEZ</v>
          </cell>
          <cell r="E791">
            <v>43</v>
          </cell>
          <cell r="F791">
            <v>24</v>
          </cell>
          <cell r="G791" t="str">
            <v>CHICONTEPEC</v>
          </cell>
          <cell r="H791" t="str">
            <v>ALAHUALTITLA</v>
          </cell>
        </row>
        <row r="792">
          <cell r="A792" t="str">
            <v>30DTV0008I</v>
          </cell>
          <cell r="B792" t="str">
            <v>GRACIANO VALENZUELA</v>
          </cell>
          <cell r="C792" t="str">
            <v>CONOCIDO</v>
          </cell>
          <cell r="D792" t="str">
            <v>JAIME MARTINEZ MARTINEZ</v>
          </cell>
          <cell r="E792">
            <v>43</v>
          </cell>
          <cell r="F792">
            <v>24</v>
          </cell>
          <cell r="G792" t="str">
            <v>CHICONTEPEC</v>
          </cell>
          <cell r="H792" t="str">
            <v>ALAXTITLA IXCACUATITLA</v>
          </cell>
        </row>
        <row r="793">
          <cell r="A793" t="str">
            <v>30DTV1070S</v>
          </cell>
          <cell r="B793" t="str">
            <v>LUIS DONALDO COLOSIO MURRIETA</v>
          </cell>
          <cell r="C793" t="str">
            <v>CONOCIDO</v>
          </cell>
          <cell r="D793" t="str">
            <v>LAFREDO MARTINEZ CONTRERAS</v>
          </cell>
          <cell r="E793">
            <v>43</v>
          </cell>
          <cell r="F793">
            <v>24</v>
          </cell>
          <cell r="G793" t="str">
            <v>CHICONTEPEC</v>
          </cell>
          <cell r="H793" t="str">
            <v>CALLEJON CARRIZALILLO</v>
          </cell>
        </row>
        <row r="794">
          <cell r="A794" t="str">
            <v>30DTV1009O</v>
          </cell>
          <cell r="B794" t="str">
            <v>MANUEL FUENTES SARABIA</v>
          </cell>
          <cell r="C794" t="str">
            <v>CONOCIDO</v>
          </cell>
          <cell r="D794" t="str">
            <v>HERMES FLORES HERNANDEZ</v>
          </cell>
          <cell r="E794">
            <v>43</v>
          </cell>
          <cell r="F794">
            <v>24</v>
          </cell>
          <cell r="G794" t="str">
            <v>CHICONTEPEC</v>
          </cell>
          <cell r="H794" t="str">
            <v>CHAPIXTLA</v>
          </cell>
        </row>
        <row r="795">
          <cell r="A795" t="str">
            <v>30DTV0051X</v>
          </cell>
          <cell r="B795" t="str">
            <v>BENITO JUAREZ GARCIA</v>
          </cell>
          <cell r="C795" t="str">
            <v>CONOCIDO</v>
          </cell>
          <cell r="D795" t="str">
            <v>ANTONIO ORELLAN NAVA</v>
          </cell>
          <cell r="E795">
            <v>43</v>
          </cell>
          <cell r="F795">
            <v>24</v>
          </cell>
          <cell r="G795" t="str">
            <v>CHICONTEPEC</v>
          </cell>
          <cell r="H795" t="str">
            <v>LINDERO AGUA FRIA</v>
          </cell>
        </row>
        <row r="796">
          <cell r="A796" t="str">
            <v>30DTV1236J</v>
          </cell>
          <cell r="B796" t="str">
            <v>IGNACIO MANUEL ALTAMIRANO</v>
          </cell>
          <cell r="C796" t="str">
            <v>CONOCIDO</v>
          </cell>
          <cell r="D796" t="str">
            <v>HECTOR CUAUHTEMOC MARQUEZ MARTINEZ</v>
          </cell>
          <cell r="E796">
            <v>43</v>
          </cell>
          <cell r="F796">
            <v>24</v>
          </cell>
          <cell r="G796" t="str">
            <v>CHICONTEPEC</v>
          </cell>
          <cell r="H796" t="str">
            <v>LA PAGUA</v>
          </cell>
        </row>
        <row r="797">
          <cell r="A797" t="str">
            <v>30DTV0652Q</v>
          </cell>
          <cell r="B797" t="str">
            <v>BENITO JUAREZ GARCIA</v>
          </cell>
          <cell r="C797" t="str">
            <v>FRANCISCO VILLA NUM. 4</v>
          </cell>
          <cell r="D797" t="str">
            <v>ELSIE ROSARIO CUERVO VERA</v>
          </cell>
          <cell r="E797">
            <v>43</v>
          </cell>
          <cell r="F797">
            <v>24</v>
          </cell>
          <cell r="G797" t="str">
            <v>CHICONTEPEC</v>
          </cell>
          <cell r="H797" t="str">
            <v>PASTORIA</v>
          </cell>
        </row>
        <row r="798">
          <cell r="A798" t="str">
            <v>30DTV1164G</v>
          </cell>
          <cell r="B798" t="str">
            <v>OCTAVIO PAZ</v>
          </cell>
          <cell r="C798" t="str">
            <v>CONOCIDO</v>
          </cell>
          <cell r="D798" t="str">
            <v>FIDENCIO HERNANDEZ SEBASTIAN</v>
          </cell>
          <cell r="E798">
            <v>43</v>
          </cell>
          <cell r="F798">
            <v>24</v>
          </cell>
          <cell r="G798" t="str">
            <v>CHICONTEPEC</v>
          </cell>
          <cell r="H798" t="str">
            <v>PEMUXTITLA</v>
          </cell>
        </row>
        <row r="799">
          <cell r="A799" t="str">
            <v>30DTV0361A</v>
          </cell>
          <cell r="B799" t="str">
            <v>LEOPOLDO KIEL</v>
          </cell>
          <cell r="C799" t="str">
            <v>5 DE FEBRERO NUM. 3</v>
          </cell>
          <cell r="D799" t="str">
            <v>JULIO CESAR OLIVARES HERNANDEZ</v>
          </cell>
          <cell r="E799">
            <v>43</v>
          </cell>
          <cell r="F799">
            <v>24</v>
          </cell>
          <cell r="G799" t="str">
            <v>CHICONTEPEC</v>
          </cell>
          <cell r="H799" t="str">
            <v>SASALTITLA</v>
          </cell>
        </row>
        <row r="800">
          <cell r="A800" t="str">
            <v>30DTV0780L</v>
          </cell>
          <cell r="B800" t="str">
            <v>CARLOS A. CARRILLO</v>
          </cell>
          <cell r="C800" t="str">
            <v>CONOCIDO</v>
          </cell>
          <cell r="D800" t="str">
            <v>HECTOR VERA HERNANDEZ</v>
          </cell>
          <cell r="E800">
            <v>43</v>
          </cell>
          <cell r="F800">
            <v>24</v>
          </cell>
          <cell r="G800" t="str">
            <v>CHICONTEPEC</v>
          </cell>
          <cell r="H800" t="str">
            <v>EL TECOMATE</v>
          </cell>
        </row>
        <row r="801">
          <cell r="A801" t="str">
            <v>30DTV0470H</v>
          </cell>
          <cell r="B801" t="str">
            <v>IGNACIO ZARAGOZA</v>
          </cell>
          <cell r="C801" t="str">
            <v>CARRETERA AHUATENO KILOMETRO 6</v>
          </cell>
          <cell r="D801" t="str">
            <v>MAVEL VICENCIO CORTES</v>
          </cell>
          <cell r="E801">
            <v>43</v>
          </cell>
          <cell r="F801">
            <v>24</v>
          </cell>
          <cell r="G801" t="str">
            <v>CHICONTEPEC</v>
          </cell>
          <cell r="H801" t="str">
            <v>TEMOCTLA</v>
          </cell>
        </row>
        <row r="802">
          <cell r="A802" t="str">
            <v>30DTV1692Y</v>
          </cell>
          <cell r="B802" t="str">
            <v>FRANCISCO GONZALEZ BOCANEGRA</v>
          </cell>
          <cell r="C802" t="str">
            <v>CALLE PRINCIPAL S/N</v>
          </cell>
          <cell r="D802" t="str">
            <v>SAUL MARTINEZ LEON</v>
          </cell>
          <cell r="E802">
            <v>43</v>
          </cell>
          <cell r="F802">
            <v>24</v>
          </cell>
          <cell r="G802" t="str">
            <v>CHICONTEPEC</v>
          </cell>
          <cell r="H802" t="str">
            <v>TIOCUAYO</v>
          </cell>
        </row>
        <row r="803">
          <cell r="A803" t="str">
            <v>30DTV0425V</v>
          </cell>
          <cell r="B803" t="str">
            <v>NIÐOS HEROES</v>
          </cell>
          <cell r="C803" t="str">
            <v>CONOCIDO</v>
          </cell>
          <cell r="D803" t="str">
            <v>SUSANA AVILA HINOJOSA</v>
          </cell>
          <cell r="E803">
            <v>43</v>
          </cell>
          <cell r="F803">
            <v>24</v>
          </cell>
          <cell r="G803" t="str">
            <v>CHICONTEPEC</v>
          </cell>
          <cell r="H803" t="str">
            <v>TEPETZINTLA</v>
          </cell>
        </row>
        <row r="804">
          <cell r="A804" t="str">
            <v>30DTV0803F</v>
          </cell>
          <cell r="B804" t="str">
            <v>JUSTO SIERRA</v>
          </cell>
          <cell r="C804" t="str">
            <v>JUNTO A LA PRIMARIA</v>
          </cell>
          <cell r="D804" t="str">
            <v>ROMAN MARTINEZ DE LA CRUZ</v>
          </cell>
          <cell r="E804">
            <v>43</v>
          </cell>
          <cell r="F804">
            <v>24</v>
          </cell>
          <cell r="G804" t="str">
            <v>CHICONTEPEC</v>
          </cell>
          <cell r="H804" t="str">
            <v>TLANEMPA COMUN</v>
          </cell>
        </row>
        <row r="805">
          <cell r="A805" t="str">
            <v>30DTV1569Y</v>
          </cell>
          <cell r="B805" t="str">
            <v>AGUSTIN MELGAR</v>
          </cell>
          <cell r="C805" t="str">
            <v>CONOCIDO</v>
          </cell>
          <cell r="D805" t="str">
            <v>HUMBERTO BERNABE MARTINEZ</v>
          </cell>
          <cell r="E805">
            <v>43</v>
          </cell>
          <cell r="F805">
            <v>24</v>
          </cell>
          <cell r="G805" t="str">
            <v>CHICONTEPEC</v>
          </cell>
          <cell r="H805" t="str">
            <v>TLAQUEXTLA TENEXTITLA</v>
          </cell>
        </row>
        <row r="806">
          <cell r="A806" t="str">
            <v>30DTV1693X</v>
          </cell>
          <cell r="B806" t="str">
            <v>TELESECUNDARIA</v>
          </cell>
          <cell r="C806" t="str">
            <v>23 DE FEBRERO NUM. 5</v>
          </cell>
          <cell r="D806" t="str">
            <v>ALFREDO RIVERA DEL ANGEL</v>
          </cell>
          <cell r="E806">
            <v>43</v>
          </cell>
          <cell r="F806">
            <v>24</v>
          </cell>
          <cell r="G806" t="str">
            <v>CHICONTEPEC</v>
          </cell>
          <cell r="H806" t="str">
            <v>EL CHOTE SANTA TERESA</v>
          </cell>
        </row>
        <row r="807">
          <cell r="A807" t="str">
            <v>30DTV0760Y</v>
          </cell>
          <cell r="B807" t="str">
            <v>JUAN ENRIQUE PESTALOZZI</v>
          </cell>
          <cell r="C807" t="str">
            <v>FRENTE AL CENTRO DE SALUD</v>
          </cell>
          <cell r="D807" t="str">
            <v>ERIC SANCHEZ CUERVO</v>
          </cell>
          <cell r="E807">
            <v>44</v>
          </cell>
          <cell r="F807">
            <v>1</v>
          </cell>
          <cell r="G807" t="str">
            <v>TAMIAHUA</v>
          </cell>
          <cell r="H807" t="str">
            <v>BALCAZAR</v>
          </cell>
        </row>
        <row r="808">
          <cell r="A808" t="str">
            <v>30DTV1727X</v>
          </cell>
          <cell r="B808" t="str">
            <v>TELESECUNDARIA</v>
          </cell>
          <cell r="C808" t="str">
            <v>CALLE PRINCIPAL, FRENTE A LA LAGUNA</v>
          </cell>
          <cell r="D808" t="str">
            <v>STEPHANY HUERTA MENDEZ</v>
          </cell>
          <cell r="E808">
            <v>44</v>
          </cell>
          <cell r="F808">
            <v>1</v>
          </cell>
          <cell r="G808" t="str">
            <v>TAMIAHUA</v>
          </cell>
          <cell r="H808" t="str">
            <v>ISLA DEL IDOLO (ISLA EL IDOLO)</v>
          </cell>
        </row>
        <row r="809">
          <cell r="A809" t="str">
            <v>30DTV0500L</v>
          </cell>
          <cell r="B809" t="str">
            <v>MIGUEL HIDALGO Y COSTILLA</v>
          </cell>
          <cell r="C809" t="str">
            <v>CONOCIDO</v>
          </cell>
          <cell r="D809" t="str">
            <v>ANTONIO SOTO CRUZ</v>
          </cell>
          <cell r="E809">
            <v>44</v>
          </cell>
          <cell r="F809">
            <v>1</v>
          </cell>
          <cell r="G809" t="str">
            <v>TAMIAHUA</v>
          </cell>
          <cell r="H809" t="str">
            <v>EL MESON</v>
          </cell>
        </row>
        <row r="810">
          <cell r="A810" t="str">
            <v>30DTV0908Z</v>
          </cell>
          <cell r="B810" t="str">
            <v>EMILIANO ZAPATA</v>
          </cell>
          <cell r="C810" t="str">
            <v>CONOCIDO</v>
          </cell>
          <cell r="D810" t="str">
            <v>HECTOR BARRIOS SANCHEZ</v>
          </cell>
          <cell r="E810">
            <v>44</v>
          </cell>
          <cell r="F810">
            <v>1</v>
          </cell>
          <cell r="G810" t="str">
            <v>TAMIAHUA</v>
          </cell>
          <cell r="H810" t="str">
            <v>PALO BLANCO</v>
          </cell>
        </row>
        <row r="811">
          <cell r="A811" t="str">
            <v>30DTV0025Z</v>
          </cell>
          <cell r="B811" t="str">
            <v>BENITO JUAREZ GARCIA</v>
          </cell>
          <cell r="C811" t="str">
            <v>CONOCIDO</v>
          </cell>
          <cell r="D811" t="str">
            <v>WULFRANO SOLIS MARTINEZ</v>
          </cell>
          <cell r="E811">
            <v>44</v>
          </cell>
          <cell r="F811">
            <v>1</v>
          </cell>
          <cell r="G811" t="str">
            <v>TAMIAHUA</v>
          </cell>
          <cell r="H811" t="str">
            <v>SAN MARCOS</v>
          </cell>
        </row>
        <row r="812">
          <cell r="A812" t="str">
            <v>30DTV0360B</v>
          </cell>
          <cell r="B812" t="str">
            <v>ADOLFO LOPEZ MATEOS</v>
          </cell>
          <cell r="C812" t="str">
            <v>CARRETERA TAMIAHUA-NARANJOS</v>
          </cell>
          <cell r="D812" t="str">
            <v>RICARDO BARRIOS RODRIGUEZ</v>
          </cell>
          <cell r="E812">
            <v>44</v>
          </cell>
          <cell r="F812">
            <v>1</v>
          </cell>
          <cell r="G812" t="str">
            <v>TAMIAHUA</v>
          </cell>
          <cell r="H812" t="str">
            <v>TAMPACHE</v>
          </cell>
        </row>
        <row r="813">
          <cell r="A813" t="str">
            <v>30DTV1457U</v>
          </cell>
          <cell r="B813" t="str">
            <v>PRIMERO DE MAYO</v>
          </cell>
          <cell r="C813" t="str">
            <v>CONOCIDO</v>
          </cell>
          <cell r="D813" t="str">
            <v>EDGAR OMAR HUERTA MENDEZ</v>
          </cell>
          <cell r="E813">
            <v>44</v>
          </cell>
          <cell r="F813">
            <v>1</v>
          </cell>
          <cell r="G813" t="str">
            <v>TAMIAHUA</v>
          </cell>
          <cell r="H813" t="str">
            <v>TANCOCHIN</v>
          </cell>
        </row>
        <row r="814">
          <cell r="A814" t="str">
            <v>30DTV0778X</v>
          </cell>
          <cell r="B814" t="str">
            <v>JUAN ESCUTIA</v>
          </cell>
          <cell r="C814" t="str">
            <v>CONOCIDO</v>
          </cell>
          <cell r="D814" t="str">
            <v>MARYSA MARTINEZ SALAZAR</v>
          </cell>
          <cell r="E814">
            <v>44</v>
          </cell>
          <cell r="F814">
            <v>1</v>
          </cell>
          <cell r="G814" t="str">
            <v>TAMIAHUA</v>
          </cell>
          <cell r="H814" t="str">
            <v>TANTALAMOS</v>
          </cell>
        </row>
        <row r="815">
          <cell r="A815" t="str">
            <v>30DTV0064A</v>
          </cell>
          <cell r="B815" t="str">
            <v>RICARDO FLORES MAGON</v>
          </cell>
          <cell r="C815" t="str">
            <v>VENUSTIANO CARRANZA KILOMETRO 27 CARRETERA TUXPAM-TAMIAHUA</v>
          </cell>
          <cell r="D815" t="str">
            <v>MARILU CAREAGA RAMOS</v>
          </cell>
          <cell r="E815">
            <v>44</v>
          </cell>
          <cell r="F815">
            <v>1</v>
          </cell>
          <cell r="G815" t="str">
            <v>TAMIAHUA</v>
          </cell>
          <cell r="H815" t="str">
            <v>VENUSTIANO CARRANZA</v>
          </cell>
        </row>
        <row r="816">
          <cell r="A816" t="str">
            <v>30DTV0505G</v>
          </cell>
          <cell r="B816" t="str">
            <v>MOISES SAENZ</v>
          </cell>
          <cell r="C816" t="str">
            <v>ROSAL NUM. 2</v>
          </cell>
          <cell r="D816" t="str">
            <v>ERASMO ORTEGA PEREZ</v>
          </cell>
          <cell r="E816">
            <v>44</v>
          </cell>
          <cell r="F816">
            <v>1</v>
          </cell>
          <cell r="G816" t="str">
            <v>TUXPAM</v>
          </cell>
          <cell r="H816" t="str">
            <v>TUXPAM DE RODRIGUEZ CANO</v>
          </cell>
        </row>
        <row r="817">
          <cell r="A817" t="str">
            <v>30DTV1283U</v>
          </cell>
          <cell r="B817" t="str">
            <v>AGUSTIN MELGAR</v>
          </cell>
          <cell r="C817" t="str">
            <v>COLONIA LOS MANGOS</v>
          </cell>
          <cell r="D817" t="str">
            <v>MARIA LUISA MEZA HERNANDEZ</v>
          </cell>
          <cell r="E817">
            <v>44</v>
          </cell>
          <cell r="F817">
            <v>1</v>
          </cell>
          <cell r="G817" t="str">
            <v>TUXPAM</v>
          </cell>
          <cell r="H817" t="str">
            <v>TUXPAM DE RODRIGUEZ CANO</v>
          </cell>
        </row>
        <row r="818">
          <cell r="A818" t="str">
            <v>30DTV1284T</v>
          </cell>
          <cell r="B818" t="str">
            <v>BELISARIO DOMINGUEZ</v>
          </cell>
          <cell r="C818" t="str">
            <v>COLONIA FAUSTO VEGA SANTANDER</v>
          </cell>
          <cell r="D818" t="str">
            <v>JACINTO DEL ANGEL SANTIAGO</v>
          </cell>
          <cell r="E818">
            <v>44</v>
          </cell>
          <cell r="F818">
            <v>1</v>
          </cell>
          <cell r="G818" t="str">
            <v>TUXPAM</v>
          </cell>
          <cell r="H818" t="str">
            <v>TUXPAM DE RODRIGUEZ CANO</v>
          </cell>
        </row>
        <row r="819">
          <cell r="A819" t="str">
            <v>30DTV0772C</v>
          </cell>
          <cell r="B819" t="str">
            <v>NIÐOS HEROES DE CHAPULTEPEC</v>
          </cell>
          <cell r="C819" t="str">
            <v>RUIZ GOMEZ S/N</v>
          </cell>
          <cell r="D819" t="str">
            <v>MARIA ELENA GONZALEZ GERARDO</v>
          </cell>
          <cell r="E819">
            <v>44</v>
          </cell>
          <cell r="F819">
            <v>1</v>
          </cell>
          <cell r="G819" t="str">
            <v>TUXPAM</v>
          </cell>
          <cell r="H819" t="str">
            <v>BUENOS AIRES</v>
          </cell>
        </row>
        <row r="820">
          <cell r="A820" t="str">
            <v>30DTV0366W</v>
          </cell>
          <cell r="B820" t="str">
            <v>BENITO JUAREZ GARCIA</v>
          </cell>
          <cell r="C820" t="str">
            <v>FRENTE AL CAMPO DE FUTBOL</v>
          </cell>
          <cell r="D820" t="str">
            <v>MARIBEL GARCIA LAGUNES</v>
          </cell>
          <cell r="E820">
            <v>44</v>
          </cell>
          <cell r="F820">
            <v>1</v>
          </cell>
          <cell r="G820" t="str">
            <v>TUXPAM</v>
          </cell>
          <cell r="H820" t="str">
            <v>CHALAHUITE</v>
          </cell>
        </row>
        <row r="821">
          <cell r="A821" t="str">
            <v>30DTV0328T</v>
          </cell>
          <cell r="B821" t="str">
            <v>20 DE NOVIEMBRE</v>
          </cell>
          <cell r="C821" t="str">
            <v>CONOCIDO</v>
          </cell>
          <cell r="D821" t="str">
            <v>MIGUEL ANGEL MARTINEZ CRUZ</v>
          </cell>
          <cell r="E821">
            <v>44</v>
          </cell>
          <cell r="F821">
            <v>1</v>
          </cell>
          <cell r="G821" t="str">
            <v>TUXPAM</v>
          </cell>
          <cell r="H821" t="str">
            <v>JUANA MOZA</v>
          </cell>
        </row>
        <row r="822">
          <cell r="A822" t="str">
            <v>30DTV0627R</v>
          </cell>
          <cell r="B822" t="str">
            <v>JOSE VASCONCELOS</v>
          </cell>
          <cell r="C822" t="str">
            <v>CARRETERA TUXPAM-TAMPICO PASANDO OJITE DESVIACION</v>
          </cell>
          <cell r="D822" t="str">
            <v>NELIDA MARTINEZ VAZQUEZ</v>
          </cell>
          <cell r="E822">
            <v>44</v>
          </cell>
          <cell r="F822">
            <v>1</v>
          </cell>
          <cell r="G822" t="str">
            <v>TUXPAM</v>
          </cell>
          <cell r="H822" t="str">
            <v>NALUA</v>
          </cell>
        </row>
        <row r="823">
          <cell r="A823" t="str">
            <v>30DTV1637E</v>
          </cell>
          <cell r="B823" t="str">
            <v>TELESECUNDARIA</v>
          </cell>
          <cell r="C823" t="str">
            <v>CALLE PRINCIPAL AL LADO DE LA IGLESIA</v>
          </cell>
          <cell r="D823" t="str">
            <v>JOSE ELIAS RODRIGUEZ RANGEL</v>
          </cell>
          <cell r="E823">
            <v>44</v>
          </cell>
          <cell r="F823">
            <v>1</v>
          </cell>
          <cell r="G823" t="str">
            <v>TUXPAM</v>
          </cell>
          <cell r="H823" t="str">
            <v>TRONCONAL DE HERRERA BELTRAN</v>
          </cell>
        </row>
        <row r="824">
          <cell r="A824" t="str">
            <v>30DTV0001P</v>
          </cell>
          <cell r="B824" t="str">
            <v>LEYES DE REFORMA</v>
          </cell>
          <cell r="C824" t="str">
            <v>AVENIDA REVOLUCION NUM. 12</v>
          </cell>
          <cell r="D824" t="str">
            <v>RAMON BONILLA LOPEZ</v>
          </cell>
          <cell r="E824">
            <v>45</v>
          </cell>
          <cell r="F824">
            <v>16</v>
          </cell>
          <cell r="G824" t="str">
            <v>HUAYACOCOTLA</v>
          </cell>
          <cell r="H824" t="str">
            <v>HUAYACOCOTLA</v>
          </cell>
        </row>
        <row r="825">
          <cell r="A825" t="str">
            <v>30DTV1793W</v>
          </cell>
          <cell r="B825" t="str">
            <v>TELESECUNDARIA</v>
          </cell>
          <cell r="C825" t="str">
            <v>CALLE PRINCIPAL S/N POR LA CLINICA SSA</v>
          </cell>
          <cell r="D825" t="str">
            <v>ROBERTO CRUZ CLEOFAS</v>
          </cell>
          <cell r="E825">
            <v>45</v>
          </cell>
          <cell r="F825">
            <v>16</v>
          </cell>
          <cell r="G825" t="str">
            <v>HUAYACOCOTLA</v>
          </cell>
          <cell r="H825" t="str">
            <v>LAS BLANCAS (PALO GORDO)</v>
          </cell>
        </row>
        <row r="826">
          <cell r="A826" t="str">
            <v>30DTV0533C</v>
          </cell>
          <cell r="B826" t="str">
            <v>FRANCISCO VILLA</v>
          </cell>
          <cell r="C826" t="str">
            <v>AGUSTIN TREJO</v>
          </cell>
          <cell r="D826" t="str">
            <v>EFREN DEL ANGEL RUIZ</v>
          </cell>
          <cell r="E826">
            <v>45</v>
          </cell>
          <cell r="F826">
            <v>16</v>
          </cell>
          <cell r="G826" t="str">
            <v>HUAYACOCOTLA</v>
          </cell>
          <cell r="H826" t="str">
            <v>CARBONERO JACALES</v>
          </cell>
        </row>
        <row r="827">
          <cell r="A827" t="str">
            <v>30DTV0576A</v>
          </cell>
          <cell r="B827" t="str">
            <v>ALFONSO ARROYO FLORES</v>
          </cell>
          <cell r="C827" t="str">
            <v>CONOCIDO</v>
          </cell>
          <cell r="D827" t="str">
            <v>SONIA CORTES LUNA</v>
          </cell>
          <cell r="E827">
            <v>45</v>
          </cell>
          <cell r="F827">
            <v>16</v>
          </cell>
          <cell r="G827" t="str">
            <v>HUAYACOCOTLA</v>
          </cell>
          <cell r="H827" t="str">
            <v>PALO BENDITO</v>
          </cell>
        </row>
        <row r="828">
          <cell r="A828" t="str">
            <v>30DTV1351A</v>
          </cell>
          <cell r="B828" t="str">
            <v>TELESECUNDARIA</v>
          </cell>
          <cell r="C828" t="str">
            <v>CONOCIDO</v>
          </cell>
          <cell r="D828" t="str">
            <v>CELEDONIA JERONIMA RAMIREZ MUðOZ</v>
          </cell>
          <cell r="E828">
            <v>45</v>
          </cell>
          <cell r="F828">
            <v>16</v>
          </cell>
          <cell r="G828" t="str">
            <v>HUAYACOCOTLA</v>
          </cell>
          <cell r="H828" t="str">
            <v>POTRERO DE MONROY</v>
          </cell>
        </row>
        <row r="829">
          <cell r="A829" t="str">
            <v>30DTV1421F</v>
          </cell>
          <cell r="B829" t="str">
            <v>ANTONIO LOPEZ DE SANTA ANNA</v>
          </cell>
          <cell r="C829" t="str">
            <v>CONOCIDO</v>
          </cell>
          <cell r="D829" t="str">
            <v>BRISERDA VICENCIO SALAS SOLIS</v>
          </cell>
          <cell r="E829">
            <v>45</v>
          </cell>
          <cell r="F829">
            <v>16</v>
          </cell>
          <cell r="G829" t="str">
            <v>HUAYACOCOTLA</v>
          </cell>
          <cell r="H829" t="str">
            <v>TENANGO DE SAN MIGUEL</v>
          </cell>
        </row>
        <row r="830">
          <cell r="A830" t="str">
            <v>30DTV1700Q</v>
          </cell>
          <cell r="B830" t="str">
            <v>TELESECUNDARIA</v>
          </cell>
          <cell r="C830" t="str">
            <v>CALLE PRINCIPAL JUNTO AL SALON EJIDAL</v>
          </cell>
          <cell r="D830" t="str">
            <v>LORENA LUCAS ZAMUDIO</v>
          </cell>
          <cell r="E830">
            <v>45</v>
          </cell>
          <cell r="F830">
            <v>16</v>
          </cell>
          <cell r="G830" t="str">
            <v>HUAYACOCOTLA</v>
          </cell>
          <cell r="H830" t="str">
            <v>TZIMENTEY (LAS PIEDRAS)</v>
          </cell>
        </row>
        <row r="831">
          <cell r="A831" t="str">
            <v>30DTV0532D</v>
          </cell>
          <cell r="B831" t="str">
            <v>MARIA ENRIQUETA CAMARILLO</v>
          </cell>
          <cell r="C831" t="str">
            <v>CALLE PRINCIPAL</v>
          </cell>
          <cell r="D831" t="str">
            <v>CARLOS AUGUSTO CRUZ ACOSTA</v>
          </cell>
          <cell r="E831">
            <v>45</v>
          </cell>
          <cell r="F831">
            <v>16</v>
          </cell>
          <cell r="G831" t="str">
            <v>HUAYACOCOTLA</v>
          </cell>
          <cell r="H831" t="str">
            <v>ZILACATIPAN (TENAXCALZINGO)</v>
          </cell>
        </row>
        <row r="832">
          <cell r="A832" t="str">
            <v>30DTV0872B</v>
          </cell>
          <cell r="B832" t="str">
            <v>MIGUEL ALEMAN VALDES</v>
          </cell>
          <cell r="C832" t="str">
            <v>CONOCIDO</v>
          </cell>
          <cell r="D832" t="str">
            <v>LUIS GUILLERMO SIORDIA VAZQUEZ</v>
          </cell>
          <cell r="E832">
            <v>45</v>
          </cell>
          <cell r="F832">
            <v>16</v>
          </cell>
          <cell r="G832" t="str">
            <v>HUAYACOCOTLA</v>
          </cell>
          <cell r="H832" t="str">
            <v>ZONZONAPA</v>
          </cell>
        </row>
        <row r="833">
          <cell r="A833" t="str">
            <v>30DTV0115R</v>
          </cell>
          <cell r="B833" t="str">
            <v>SALVADOR DIAZ MIRON</v>
          </cell>
          <cell r="C833" t="str">
            <v>AVENIDA GALEANA S/N</v>
          </cell>
          <cell r="D833" t="str">
            <v>BLANCA YASMIN RAMIREZ SANCHEZ</v>
          </cell>
          <cell r="E833">
            <v>45</v>
          </cell>
          <cell r="F833">
            <v>16</v>
          </cell>
          <cell r="G833" t="str">
            <v>ILAMATLAN</v>
          </cell>
          <cell r="H833" t="str">
            <v>ILAMATLAN</v>
          </cell>
        </row>
        <row r="834">
          <cell r="A834" t="str">
            <v>30DTV1646M</v>
          </cell>
          <cell r="B834" t="str">
            <v>TELESECUNDARIA</v>
          </cell>
          <cell r="C834" t="str">
            <v>TLATEMPA S/N</v>
          </cell>
          <cell r="D834" t="str">
            <v>CARLO MAGNO TORRES TAPIA</v>
          </cell>
          <cell r="E834">
            <v>45</v>
          </cell>
          <cell r="F834">
            <v>16</v>
          </cell>
          <cell r="G834" t="str">
            <v>ILAMATLAN</v>
          </cell>
          <cell r="H834" t="str">
            <v>AMATEPEC</v>
          </cell>
        </row>
        <row r="835">
          <cell r="A835" t="str">
            <v>30DTV1753V</v>
          </cell>
          <cell r="B835" t="str">
            <v>TELESECUNDARIA</v>
          </cell>
          <cell r="C835" t="str">
            <v>CALLE PRINCIPAL S/N</v>
          </cell>
          <cell r="D835" t="str">
            <v>MARTIN MATLA PORRAS</v>
          </cell>
          <cell r="E835">
            <v>45</v>
          </cell>
          <cell r="F835">
            <v>16</v>
          </cell>
          <cell r="G835" t="str">
            <v>ILAMATLAN</v>
          </cell>
          <cell r="H835" t="str">
            <v>ATEMPA</v>
          </cell>
        </row>
        <row r="836">
          <cell r="A836" t="str">
            <v>30DTV0739V</v>
          </cell>
          <cell r="B836" t="str">
            <v>LAZARO CARDENAS DEL RIO</v>
          </cell>
          <cell r="C836" t="str">
            <v>CONOCIDO</v>
          </cell>
          <cell r="D836" t="str">
            <v>NELI ABIGAIL LOPEZ SANTOS</v>
          </cell>
          <cell r="E836">
            <v>45</v>
          </cell>
          <cell r="F836">
            <v>16</v>
          </cell>
          <cell r="G836" t="str">
            <v>ILAMATLAN</v>
          </cell>
          <cell r="H836" t="str">
            <v>COACOACO</v>
          </cell>
        </row>
        <row r="837">
          <cell r="A837" t="str">
            <v>30DTV1349M</v>
          </cell>
          <cell r="B837" t="str">
            <v>VICENTE GUERRERO</v>
          </cell>
          <cell r="C837" t="str">
            <v>CONOCIDO</v>
          </cell>
          <cell r="D837" t="str">
            <v>MELITON CRUZ RIVERA</v>
          </cell>
          <cell r="E837">
            <v>45</v>
          </cell>
          <cell r="F837">
            <v>16</v>
          </cell>
          <cell r="G837" t="str">
            <v>ILAMATLAN</v>
          </cell>
          <cell r="H837" t="str">
            <v>CHAHUATLAN</v>
          </cell>
        </row>
        <row r="838">
          <cell r="A838" t="str">
            <v>30DTV1299V</v>
          </cell>
          <cell r="B838" t="str">
            <v>LUIS DONALDO COLOSIO MURRIETA</v>
          </cell>
          <cell r="C838" t="str">
            <v>CONOCIDO</v>
          </cell>
          <cell r="D838" t="str">
            <v>YULIANNA ELPIDIA BERNABE PALACIOS</v>
          </cell>
          <cell r="E838">
            <v>45</v>
          </cell>
          <cell r="F838">
            <v>16</v>
          </cell>
          <cell r="G838" t="str">
            <v>ILAMATLAN</v>
          </cell>
          <cell r="H838" t="str">
            <v>HUITZTIPAN</v>
          </cell>
        </row>
        <row r="839">
          <cell r="A839" t="str">
            <v>30DTV1350B</v>
          </cell>
          <cell r="B839" t="str">
            <v>FRANCISCO I. MADERO</v>
          </cell>
          <cell r="C839" t="str">
            <v>CONOCIDO</v>
          </cell>
          <cell r="D839" t="str">
            <v>JESUS EDUARDO ARTEAGA FLORES</v>
          </cell>
          <cell r="E839">
            <v>45</v>
          </cell>
          <cell r="F839">
            <v>16</v>
          </cell>
          <cell r="G839" t="str">
            <v>ILAMATLAN</v>
          </cell>
          <cell r="H839" t="str">
            <v>SAN GREGORIO</v>
          </cell>
        </row>
        <row r="840">
          <cell r="A840" t="str">
            <v>30DTV1647L</v>
          </cell>
          <cell r="B840" t="str">
            <v>TELESECUNDARIA</v>
          </cell>
          <cell r="C840" t="str">
            <v>AGENCIA MUNICIPAL</v>
          </cell>
          <cell r="D840" t="str">
            <v>NAZARET ALAVARADO CENTENO</v>
          </cell>
          <cell r="E840">
            <v>45</v>
          </cell>
          <cell r="F840">
            <v>16</v>
          </cell>
          <cell r="G840" t="str">
            <v>ILAMATLAN</v>
          </cell>
          <cell r="H840" t="str">
            <v>TECAPA</v>
          </cell>
        </row>
        <row r="841">
          <cell r="A841" t="str">
            <v>30DTV0943F</v>
          </cell>
          <cell r="B841" t="str">
            <v>BENITO JUAREZ GARCIA</v>
          </cell>
          <cell r="C841" t="str">
            <v>CONOCIDO</v>
          </cell>
          <cell r="D841" t="str">
            <v>RUFINO CORTES RAMIREZ</v>
          </cell>
          <cell r="E841">
            <v>45</v>
          </cell>
          <cell r="F841">
            <v>16</v>
          </cell>
          <cell r="G841" t="str">
            <v>ILAMATLAN</v>
          </cell>
          <cell r="H841" t="str">
            <v>XOXOCAPA</v>
          </cell>
        </row>
        <row r="842">
          <cell r="A842" t="str">
            <v>30DTV0837W</v>
          </cell>
          <cell r="B842" t="str">
            <v>AQUILES SERDAN</v>
          </cell>
          <cell r="C842" t="str">
            <v>C0NOCIDO</v>
          </cell>
          <cell r="D842" t="str">
            <v>NOE ALVARADO MENDEZ</v>
          </cell>
          <cell r="E842">
            <v>45</v>
          </cell>
          <cell r="F842">
            <v>16</v>
          </cell>
          <cell r="G842" t="str">
            <v>TEXCATEPEC</v>
          </cell>
          <cell r="H842" t="str">
            <v>TEXCATEPEC</v>
          </cell>
        </row>
        <row r="843">
          <cell r="A843" t="str">
            <v>30DTV1648K</v>
          </cell>
          <cell r="B843" t="str">
            <v>TELESECUNDARIA</v>
          </cell>
          <cell r="C843" t="str">
            <v>CALLE PRINCIPAL S/N</v>
          </cell>
          <cell r="D843" t="str">
            <v>EMANUEL SAAVEDRA RAMIREZ</v>
          </cell>
          <cell r="E843">
            <v>45</v>
          </cell>
          <cell r="F843">
            <v>16</v>
          </cell>
          <cell r="G843" t="str">
            <v>TEXCATEPEC</v>
          </cell>
          <cell r="H843" t="str">
            <v>AMAXAC</v>
          </cell>
        </row>
        <row r="844">
          <cell r="A844" t="str">
            <v>30DTV1352Z</v>
          </cell>
          <cell r="B844" t="str">
            <v>JUSTO SIERRA</v>
          </cell>
          <cell r="C844" t="str">
            <v>CONOCIDO</v>
          </cell>
          <cell r="D844" t="str">
            <v>RAUL HERNANDEZ CASTRO</v>
          </cell>
          <cell r="E844">
            <v>45</v>
          </cell>
          <cell r="F844">
            <v>16</v>
          </cell>
          <cell r="G844" t="str">
            <v>TEXCATEPEC</v>
          </cell>
          <cell r="H844" t="str">
            <v>AYOTUXTLA</v>
          </cell>
        </row>
        <row r="845">
          <cell r="A845" t="str">
            <v>30DTV1445P</v>
          </cell>
          <cell r="B845" t="str">
            <v>RICARDO FLORES MAGON</v>
          </cell>
          <cell r="C845" t="str">
            <v>CONOCIDO</v>
          </cell>
          <cell r="D845" t="str">
            <v>JAIRZHINIO HILARIO HERNANDEZ MARQUEZ</v>
          </cell>
          <cell r="E845">
            <v>45</v>
          </cell>
          <cell r="F845">
            <v>16</v>
          </cell>
          <cell r="G845" t="str">
            <v>TEXCATEPEC</v>
          </cell>
          <cell r="H845" t="str">
            <v>EL PAPATLAR</v>
          </cell>
        </row>
        <row r="846">
          <cell r="A846" t="str">
            <v>30DTV1658R</v>
          </cell>
          <cell r="B846" t="str">
            <v>TELESECUNDARIA</v>
          </cell>
          <cell r="C846" t="str">
            <v>CALLE PRINCIPAL S/N</v>
          </cell>
          <cell r="D846" t="str">
            <v>MIGUEL MORENO LEAL</v>
          </cell>
          <cell r="E846">
            <v>45</v>
          </cell>
          <cell r="F846">
            <v>16</v>
          </cell>
          <cell r="G846" t="str">
            <v>TEXCATEPEC</v>
          </cell>
          <cell r="H846" t="str">
            <v>PIE DE LA CUESTA</v>
          </cell>
        </row>
        <row r="847">
          <cell r="A847" t="str">
            <v>30DTV0845E</v>
          </cell>
          <cell r="B847" t="str">
            <v>GREGORIO LOPEZ Y FUENTES</v>
          </cell>
          <cell r="C847" t="str">
            <v>CALLE PRINCIPAL</v>
          </cell>
          <cell r="D847" t="str">
            <v>ELIAS HERNANDEZ MARTINEZ</v>
          </cell>
          <cell r="E847">
            <v>45</v>
          </cell>
          <cell r="F847">
            <v>16</v>
          </cell>
          <cell r="G847" t="str">
            <v>ZACUALPAN</v>
          </cell>
          <cell r="H847" t="str">
            <v>ATIXTACA</v>
          </cell>
        </row>
        <row r="848">
          <cell r="A848" t="str">
            <v>30DTV1289O</v>
          </cell>
          <cell r="B848" t="str">
            <v>OCTAVIO PAZ</v>
          </cell>
          <cell r="C848" t="str">
            <v>CONOCIDO</v>
          </cell>
          <cell r="D848" t="str">
            <v>DOMINGA GARCIA GARCIA</v>
          </cell>
          <cell r="E848">
            <v>45</v>
          </cell>
          <cell r="F848">
            <v>16</v>
          </cell>
          <cell r="G848" t="str">
            <v>ZACUALPAN</v>
          </cell>
          <cell r="H848" t="str">
            <v>CANALEJAS DE OTATES</v>
          </cell>
        </row>
        <row r="849">
          <cell r="A849" t="str">
            <v>30DTV1803M</v>
          </cell>
          <cell r="B849" t="str">
            <v>TELESECUNDARIA</v>
          </cell>
          <cell r="C849" t="str">
            <v>CALLE PRINCIPAL S/N</v>
          </cell>
          <cell r="D849" t="str">
            <v>SELFA CASADOS BLANCA ISABEL</v>
          </cell>
          <cell r="E849">
            <v>45</v>
          </cell>
          <cell r="F849">
            <v>16</v>
          </cell>
          <cell r="G849" t="str">
            <v>ZACUALPAN</v>
          </cell>
          <cell r="H849" t="str">
            <v>CERRO CHATO</v>
          </cell>
        </row>
        <row r="850">
          <cell r="A850" t="str">
            <v>30DTV1335J</v>
          </cell>
          <cell r="B850" t="str">
            <v>ALVARO GALVEZ Y FUENTES</v>
          </cell>
          <cell r="C850" t="str">
            <v>CONOCIDO</v>
          </cell>
          <cell r="D850" t="str">
            <v>LIDIA HEIDI PEREZ ESPINOZA</v>
          </cell>
          <cell r="E850">
            <v>45</v>
          </cell>
          <cell r="F850">
            <v>16</v>
          </cell>
          <cell r="G850" t="str">
            <v>ZACUALPAN</v>
          </cell>
          <cell r="H850" t="str">
            <v>GENERAL PRIM (SAN FRANCISCO)</v>
          </cell>
        </row>
        <row r="851">
          <cell r="A851" t="str">
            <v>30DTV0776Z</v>
          </cell>
          <cell r="B851" t="str">
            <v>BENITO JUAREZ GARCIA</v>
          </cell>
          <cell r="C851" t="str">
            <v>CARRETERA ZONTECOMATLAN-CHICONTEPEC</v>
          </cell>
          <cell r="D851" t="str">
            <v>DAVID ALVAREZ VITE</v>
          </cell>
          <cell r="E851">
            <v>45</v>
          </cell>
          <cell r="F851">
            <v>16</v>
          </cell>
          <cell r="G851" t="str">
            <v>ZONTECOMATLAN DE LOPEZ Y FUENTES</v>
          </cell>
          <cell r="H851" t="str">
            <v>CUATECOMACO</v>
          </cell>
        </row>
        <row r="852">
          <cell r="A852" t="str">
            <v>30DTV1290D</v>
          </cell>
          <cell r="B852" t="str">
            <v>CUAUHTEMOC</v>
          </cell>
          <cell r="C852" t="str">
            <v>CONOCIDO</v>
          </cell>
          <cell r="D852" t="str">
            <v>JAIME HERNANDEZ PEREZ</v>
          </cell>
          <cell r="E852">
            <v>45</v>
          </cell>
          <cell r="F852">
            <v>16</v>
          </cell>
          <cell r="G852" t="str">
            <v>ZONTECOMATLAN DE LOPEZ Y FUENTES</v>
          </cell>
          <cell r="H852" t="str">
            <v>EL CUAYO (LA ESPERANZA)</v>
          </cell>
        </row>
        <row r="853">
          <cell r="A853" t="str">
            <v>30DTV1291C</v>
          </cell>
          <cell r="B853" t="str">
            <v>JOSE VASCONCELOS</v>
          </cell>
          <cell r="C853" t="str">
            <v>CONOCIDO</v>
          </cell>
          <cell r="D853" t="str">
            <v>FREDDY RAMIREZ BELIO</v>
          </cell>
          <cell r="E853">
            <v>45</v>
          </cell>
          <cell r="F853">
            <v>16</v>
          </cell>
          <cell r="G853" t="str">
            <v>ZONTECOMATLAN DE LOPEZ Y FUENTES</v>
          </cell>
          <cell r="H853" t="str">
            <v>LIMONTITLA</v>
          </cell>
        </row>
        <row r="854">
          <cell r="A854" t="str">
            <v>30DTV1638D</v>
          </cell>
          <cell r="B854" t="str">
            <v>TELESECUNDARIA</v>
          </cell>
          <cell r="C854" t="str">
            <v>JUNTO A LA PRIMARIA</v>
          </cell>
          <cell r="D854" t="str">
            <v>ALMA DELIA HERNANDEZ HERNANDEZ</v>
          </cell>
          <cell r="E854">
            <v>45</v>
          </cell>
          <cell r="F854">
            <v>16</v>
          </cell>
          <cell r="G854" t="str">
            <v>ZONTECOMATLAN DE LOPEZ Y FUENTES</v>
          </cell>
          <cell r="H854" t="str">
            <v>OTLATZINTLA</v>
          </cell>
        </row>
        <row r="855">
          <cell r="A855" t="str">
            <v>30DTV1292B</v>
          </cell>
          <cell r="B855" t="str">
            <v>JOSE MARIA MORELOS Y PAVON</v>
          </cell>
          <cell r="C855" t="str">
            <v>CONOCIDO</v>
          </cell>
          <cell r="D855" t="str">
            <v>MARIA MAGDALENA RODRIGUEZ MORA</v>
          </cell>
          <cell r="E855">
            <v>45</v>
          </cell>
          <cell r="F855">
            <v>16</v>
          </cell>
          <cell r="G855" t="str">
            <v>ZONTECOMATLAN DE LOPEZ Y FUENTES</v>
          </cell>
          <cell r="H855" t="str">
            <v>JOSE MARIA PINO SUAREZ</v>
          </cell>
        </row>
        <row r="856">
          <cell r="A856" t="str">
            <v>30DTV0896L</v>
          </cell>
          <cell r="B856" t="str">
            <v>DON MIGUEL HIDALGO Y COSTILLA</v>
          </cell>
          <cell r="C856" t="str">
            <v>CONOCIDO</v>
          </cell>
          <cell r="D856" t="str">
            <v>ATZIN FUENTES GUMARO</v>
          </cell>
          <cell r="E856">
            <v>45</v>
          </cell>
          <cell r="F856">
            <v>16</v>
          </cell>
          <cell r="G856" t="str">
            <v>ZONTECOMATLAN DE LOPEZ Y FUENTES</v>
          </cell>
          <cell r="H856" t="str">
            <v>EL PUENTE</v>
          </cell>
        </row>
        <row r="857">
          <cell r="A857" t="str">
            <v>30DTV1508K</v>
          </cell>
          <cell r="B857" t="str">
            <v>IGNACIO MANUEL ALTAMIRANO</v>
          </cell>
          <cell r="C857" t="str">
            <v>CONOCIDO</v>
          </cell>
          <cell r="D857" t="str">
            <v>ROSENDO MARIN HERNANDEZ</v>
          </cell>
          <cell r="E857">
            <v>45</v>
          </cell>
          <cell r="F857">
            <v>16</v>
          </cell>
          <cell r="G857" t="str">
            <v>ZONTECOMATLAN DE LOPEZ Y FUENTES</v>
          </cell>
          <cell r="H857" t="str">
            <v>TECOMAJAPA</v>
          </cell>
        </row>
        <row r="858">
          <cell r="A858" t="str">
            <v>30DTV1453Y</v>
          </cell>
          <cell r="B858" t="str">
            <v>TELESECUNDARIA</v>
          </cell>
          <cell r="C858" t="str">
            <v>CONOCIDO</v>
          </cell>
          <cell r="D858" t="str">
            <v>MARIA DE LOS ANGELES CONTRERAS TORRES</v>
          </cell>
          <cell r="E858">
            <v>45</v>
          </cell>
          <cell r="F858">
            <v>16</v>
          </cell>
          <cell r="G858" t="str">
            <v>ZONTECOMATLAN DE LOPEZ Y FUENTES</v>
          </cell>
          <cell r="H858" t="str">
            <v>TENAMICOYA</v>
          </cell>
        </row>
        <row r="859">
          <cell r="A859" t="str">
            <v>30DTV1293A</v>
          </cell>
          <cell r="B859" t="str">
            <v>RAFAEL RAMIREZ</v>
          </cell>
          <cell r="C859" t="str">
            <v>CONOCIDO</v>
          </cell>
          <cell r="D859" t="str">
            <v>YONATHAN PALLARES LARIOS</v>
          </cell>
          <cell r="E859">
            <v>45</v>
          </cell>
          <cell r="F859">
            <v>16</v>
          </cell>
          <cell r="G859" t="str">
            <v>ZONTECOMATLAN DE LOPEZ Y FUENTES</v>
          </cell>
          <cell r="H859" t="str">
            <v>SANTA MARIA LA VICTORIA</v>
          </cell>
        </row>
        <row r="860">
          <cell r="A860" t="str">
            <v>30DTV1325C</v>
          </cell>
          <cell r="B860" t="str">
            <v>TELESECUNDARIA</v>
          </cell>
          <cell r="C860" t="str">
            <v>CONOCIDO</v>
          </cell>
          <cell r="D860" t="str">
            <v>NOE GARCIA LICONA</v>
          </cell>
          <cell r="E860">
            <v>46</v>
          </cell>
          <cell r="F860">
            <v>16</v>
          </cell>
          <cell r="G860" t="str">
            <v>IXHUATLAN DE MADERO</v>
          </cell>
          <cell r="H860" t="str">
            <v>EL AGUACATE BARRIO ARRIBA</v>
          </cell>
        </row>
        <row r="861">
          <cell r="A861" t="str">
            <v>30DTV1422E</v>
          </cell>
          <cell r="B861" t="str">
            <v>DIGNA OCHOA</v>
          </cell>
          <cell r="C861" t="str">
            <v>CONOCIDO</v>
          </cell>
          <cell r="D861" t="str">
            <v>GABRIEL DE LUNA SANTES</v>
          </cell>
          <cell r="E861">
            <v>46</v>
          </cell>
          <cell r="F861">
            <v>16</v>
          </cell>
          <cell r="G861" t="str">
            <v>IXHUATLAN DE MADERO</v>
          </cell>
          <cell r="H861" t="str">
            <v>CHAPOPOTE</v>
          </cell>
        </row>
        <row r="862">
          <cell r="A862" t="str">
            <v>30DTV1201U</v>
          </cell>
          <cell r="B862" t="str">
            <v>TENOCHTITLAN</v>
          </cell>
          <cell r="C862" t="str">
            <v>CONOCIDO</v>
          </cell>
          <cell r="D862" t="str">
            <v>FRANCISCO JAVIER CHABLE CANUL</v>
          </cell>
          <cell r="E862">
            <v>46</v>
          </cell>
          <cell r="F862">
            <v>16</v>
          </cell>
          <cell r="G862" t="str">
            <v>IXHUATLAN DE MADERO</v>
          </cell>
          <cell r="H862" t="str">
            <v>HUEXOTITLA</v>
          </cell>
        </row>
        <row r="863">
          <cell r="A863" t="str">
            <v>30DTV1701P</v>
          </cell>
          <cell r="B863" t="str">
            <v>FRANCISCO INDALECIO MADERO</v>
          </cell>
          <cell r="C863" t="str">
            <v>CALLE PRINCIPAL S/N</v>
          </cell>
          <cell r="D863" t="str">
            <v>DANIEL RAMOS ROSAS</v>
          </cell>
          <cell r="E863">
            <v>46</v>
          </cell>
          <cell r="F863">
            <v>16</v>
          </cell>
          <cell r="G863" t="str">
            <v>IXHUATLAN DE MADERO</v>
          </cell>
          <cell r="H863" t="str">
            <v>JONOTAL AZTECA</v>
          </cell>
        </row>
        <row r="864">
          <cell r="A864" t="str">
            <v>30DTV1326B</v>
          </cell>
          <cell r="B864" t="str">
            <v>GUILLERMO GONZALEZ CAMARENA</v>
          </cell>
          <cell r="C864" t="str">
            <v>CONOCIDO</v>
          </cell>
          <cell r="D864" t="str">
            <v>MARCOS HERNANDEZ MARTINEZ</v>
          </cell>
          <cell r="E864">
            <v>46</v>
          </cell>
          <cell r="F864">
            <v>16</v>
          </cell>
          <cell r="G864" t="str">
            <v>IXHUATLAN DE MADERO</v>
          </cell>
          <cell r="H864" t="str">
            <v>JOYA CHICA</v>
          </cell>
        </row>
        <row r="865">
          <cell r="A865" t="str">
            <v>30DTV0873A</v>
          </cell>
          <cell r="B865" t="str">
            <v>CUAUHTEMOC</v>
          </cell>
          <cell r="C865" t="str">
            <v>JUNTO AL PARQUE</v>
          </cell>
          <cell r="D865" t="str">
            <v>ANGEL TEJEDA CUERVO</v>
          </cell>
          <cell r="E865">
            <v>46</v>
          </cell>
          <cell r="F865">
            <v>16</v>
          </cell>
          <cell r="G865" t="str">
            <v>IXHUATLAN DE MADERO</v>
          </cell>
          <cell r="H865" t="str">
            <v>EL LIMON</v>
          </cell>
        </row>
        <row r="866">
          <cell r="A866" t="str">
            <v>30DTV1173O</v>
          </cell>
          <cell r="B866" t="str">
            <v>TELESECUNDARIA</v>
          </cell>
          <cell r="C866" t="str">
            <v>CONOCIDO</v>
          </cell>
          <cell r="D866" t="str">
            <v>JAVIER CALLES SOSA</v>
          </cell>
          <cell r="E866">
            <v>46</v>
          </cell>
          <cell r="F866">
            <v>16</v>
          </cell>
          <cell r="G866" t="str">
            <v>IXHUATLAN DE MADERO</v>
          </cell>
          <cell r="H866" t="str">
            <v>EL MIRADOR</v>
          </cell>
        </row>
        <row r="867">
          <cell r="A867" t="str">
            <v>30DTV1328Z</v>
          </cell>
          <cell r="B867" t="str">
            <v>HEBERTO CASTILLO MARTINEZ</v>
          </cell>
          <cell r="C867" t="str">
            <v>CONOCIDO</v>
          </cell>
          <cell r="D867" t="str">
            <v>BALDOMERO CASTRO SANAVIA</v>
          </cell>
          <cell r="E867">
            <v>46</v>
          </cell>
          <cell r="F867">
            <v>16</v>
          </cell>
          <cell r="G867" t="str">
            <v>IXHUATLAN DE MADERO</v>
          </cell>
          <cell r="H867" t="str">
            <v>MOLANGO</v>
          </cell>
        </row>
        <row r="868">
          <cell r="A868" t="str">
            <v>30DTV0514O</v>
          </cell>
          <cell r="B868" t="str">
            <v>LAZARO CARDENAS DEL RIO</v>
          </cell>
          <cell r="C868" t="str">
            <v>CONOCIDO</v>
          </cell>
          <cell r="D868" t="str">
            <v>JUVENCIO RAMIREZ DOMINGA</v>
          </cell>
          <cell r="E868">
            <v>46</v>
          </cell>
          <cell r="F868">
            <v>16</v>
          </cell>
          <cell r="G868" t="str">
            <v>IXHUATLAN DE MADERO</v>
          </cell>
          <cell r="H868" t="str">
            <v>OJITAL CUAYO</v>
          </cell>
        </row>
        <row r="869">
          <cell r="A869" t="str">
            <v>30DTV1327A</v>
          </cell>
          <cell r="B869" t="str">
            <v>EMILIO CARBALLIDO</v>
          </cell>
          <cell r="C869" t="str">
            <v>CONOCIDO</v>
          </cell>
          <cell r="D869" t="str">
            <v>JOSE ALFREDO RODRIGUEZ ANZUREZ</v>
          </cell>
          <cell r="E869">
            <v>46</v>
          </cell>
          <cell r="F869">
            <v>16</v>
          </cell>
          <cell r="G869" t="str">
            <v>IXHUATLAN DE MADERO</v>
          </cell>
          <cell r="H869" t="str">
            <v>PAHUA GRANDE</v>
          </cell>
        </row>
        <row r="870">
          <cell r="A870" t="str">
            <v>30DTV1172P</v>
          </cell>
          <cell r="B870" t="str">
            <v>JOSE MARIA MORELOS Y PAVON</v>
          </cell>
          <cell r="C870" t="str">
            <v>CONOCIDO</v>
          </cell>
          <cell r="D870" t="str">
            <v>FERNANDO JAVIER AGUILAR CRUZ</v>
          </cell>
          <cell r="E870">
            <v>46</v>
          </cell>
          <cell r="F870">
            <v>16</v>
          </cell>
          <cell r="G870" t="str">
            <v>IXHUATLAN DE MADERO</v>
          </cell>
          <cell r="H870" t="str">
            <v>PIEDRA GRANDE LA SIERRA</v>
          </cell>
        </row>
        <row r="871">
          <cell r="A871" t="str">
            <v>30DTV1329Z</v>
          </cell>
          <cell r="B871" t="str">
            <v>TENOCHTITLAN</v>
          </cell>
          <cell r="C871" t="str">
            <v>CONOCIDO</v>
          </cell>
          <cell r="D871" t="str">
            <v>ELSA RAMONA MORALES</v>
          </cell>
          <cell r="E871">
            <v>46</v>
          </cell>
          <cell r="F871">
            <v>16</v>
          </cell>
          <cell r="G871" t="str">
            <v>IXHUATLAN DE MADERO</v>
          </cell>
          <cell r="H871" t="str">
            <v>PIEDRA GRANDE CHIJOLITO</v>
          </cell>
        </row>
        <row r="872">
          <cell r="A872" t="str">
            <v>30DTV1666Z</v>
          </cell>
          <cell r="B872" t="str">
            <v>TELESECUNDARIA</v>
          </cell>
          <cell r="C872" t="str">
            <v>CALLE PRINCIPAL</v>
          </cell>
          <cell r="D872" t="str">
            <v>ARGELIA CASTILLO HERNANDEZ</v>
          </cell>
          <cell r="E872">
            <v>46</v>
          </cell>
          <cell r="F872">
            <v>16</v>
          </cell>
          <cell r="G872" t="str">
            <v>IXHUATLAN DE MADERO</v>
          </cell>
          <cell r="H872" t="str">
            <v>PLAN DEL ENCINAL (EL ENCINAL)</v>
          </cell>
        </row>
        <row r="873">
          <cell r="A873" t="str">
            <v>30DTV1091E</v>
          </cell>
          <cell r="B873" t="str">
            <v>BENITO JUAREZ GARCIA</v>
          </cell>
          <cell r="C873" t="str">
            <v>CONOCIDO</v>
          </cell>
          <cell r="D873" t="str">
            <v>ELISA CABALLERO VILLEGAS</v>
          </cell>
          <cell r="E873">
            <v>46</v>
          </cell>
          <cell r="F873">
            <v>16</v>
          </cell>
          <cell r="G873" t="str">
            <v>IXHUATLAN DE MADERO</v>
          </cell>
          <cell r="H873" t="str">
            <v>PUYECACO</v>
          </cell>
        </row>
        <row r="874">
          <cell r="A874" t="str">
            <v>30DTV1331N</v>
          </cell>
          <cell r="B874" t="str">
            <v>VICENTE GUERRERO</v>
          </cell>
          <cell r="C874" t="str">
            <v>CONOCIDO</v>
          </cell>
          <cell r="D874" t="str">
            <v>ABSALON MATA SANCHEZ</v>
          </cell>
          <cell r="E874">
            <v>46</v>
          </cell>
          <cell r="F874">
            <v>16</v>
          </cell>
          <cell r="G874" t="str">
            <v>IXHUATLAN DE MADERO</v>
          </cell>
          <cell r="H874" t="str">
            <v>SAN FRANCISCO</v>
          </cell>
        </row>
        <row r="875">
          <cell r="A875" t="str">
            <v>30DTV0370I</v>
          </cell>
          <cell r="B875" t="str">
            <v>EMILIANO ZAPATA</v>
          </cell>
          <cell r="C875" t="str">
            <v>CALLE PRINCIPAL</v>
          </cell>
          <cell r="D875" t="str">
            <v>BLANCA RUTH REYES ARANDA</v>
          </cell>
          <cell r="E875">
            <v>46</v>
          </cell>
          <cell r="F875">
            <v>16</v>
          </cell>
          <cell r="G875" t="str">
            <v>IXHUATLAN DE MADERO</v>
          </cell>
          <cell r="H875" t="str">
            <v>SAN MARTIN</v>
          </cell>
        </row>
        <row r="876">
          <cell r="A876" t="str">
            <v>30DTV0009H</v>
          </cell>
          <cell r="B876" t="str">
            <v>BENITO JUAREZ GARCIA</v>
          </cell>
          <cell r="C876" t="str">
            <v>CONOCIDO</v>
          </cell>
          <cell r="D876" t="str">
            <v>BRUS LENNIN LEYVA CUERVO</v>
          </cell>
          <cell r="E876">
            <v>46</v>
          </cell>
          <cell r="F876">
            <v>16</v>
          </cell>
          <cell r="G876" t="str">
            <v>IXHUATLAN DE MADERO</v>
          </cell>
          <cell r="H876" t="str">
            <v>TZILTZACUAPAN</v>
          </cell>
        </row>
        <row r="877">
          <cell r="A877" t="str">
            <v>30DTV0011W</v>
          </cell>
          <cell r="B877" t="str">
            <v>JOSE AZUETA</v>
          </cell>
          <cell r="C877" t="str">
            <v>CONOCIDO</v>
          </cell>
          <cell r="D877" t="str">
            <v>PETRA BARRA URRUTIA</v>
          </cell>
          <cell r="E877">
            <v>46</v>
          </cell>
          <cell r="F877">
            <v>16</v>
          </cell>
          <cell r="G877" t="str">
            <v>IXHUATLAN DE MADERO</v>
          </cell>
          <cell r="H877" t="str">
            <v>TZOCOHUITE</v>
          </cell>
        </row>
        <row r="878">
          <cell r="A878" t="str">
            <v>30DTV1507L</v>
          </cell>
          <cell r="B878" t="str">
            <v>BENITO JUAREZ GARCIA</v>
          </cell>
          <cell r="C878" t="str">
            <v>CONOCIDO</v>
          </cell>
          <cell r="D878" t="str">
            <v>BERNARDO SALAZAR PEREZ</v>
          </cell>
          <cell r="E878">
            <v>46</v>
          </cell>
          <cell r="F878">
            <v>16</v>
          </cell>
          <cell r="G878" t="str">
            <v>IXHUATLAN DE MADERO</v>
          </cell>
          <cell r="H878" t="str">
            <v>ZAPOTE BRAVO</v>
          </cell>
        </row>
        <row r="879">
          <cell r="A879" t="str">
            <v>30DTV1383T</v>
          </cell>
          <cell r="B879" t="str">
            <v>MELCHOR OCAMPO</v>
          </cell>
          <cell r="C879" t="str">
            <v>CONOCIDO</v>
          </cell>
          <cell r="D879" t="str">
            <v>RAMIRO CORTES ROSAS</v>
          </cell>
          <cell r="E879">
            <v>46</v>
          </cell>
          <cell r="F879">
            <v>16</v>
          </cell>
          <cell r="G879" t="str">
            <v>IXHUATLAN DE MADERO</v>
          </cell>
          <cell r="H879" t="str">
            <v>AYOTLA</v>
          </cell>
        </row>
        <row r="880">
          <cell r="A880" t="str">
            <v>30DTV0656M</v>
          </cell>
          <cell r="B880" t="str">
            <v>FRANCISCO JAVIER CLAVIJERO</v>
          </cell>
          <cell r="C880" t="str">
            <v>CONOCIDO</v>
          </cell>
          <cell r="D880" t="str">
            <v>JUVENAL PEÐA RIVERA</v>
          </cell>
          <cell r="E880">
            <v>46</v>
          </cell>
          <cell r="F880">
            <v>16</v>
          </cell>
          <cell r="G880" t="str">
            <v>IXHUATLAN DE MADERO</v>
          </cell>
          <cell r="H880" t="str">
            <v>GENERAL FELIPE ANGELES</v>
          </cell>
        </row>
        <row r="881">
          <cell r="A881" t="str">
            <v>30DTV1385R</v>
          </cell>
          <cell r="B881" t="str">
            <v>TELESECUNDARIA</v>
          </cell>
          <cell r="C881" t="str">
            <v>CONOCIDO</v>
          </cell>
          <cell r="D881" t="str">
            <v>JOSE ARMANDO ZAYAS Y GUEVARA</v>
          </cell>
          <cell r="E881">
            <v>46</v>
          </cell>
          <cell r="F881">
            <v>16</v>
          </cell>
          <cell r="G881" t="str">
            <v>IXHUATLAN DE MADERO</v>
          </cell>
          <cell r="H881" t="str">
            <v>SIETE PALMAS BARRIO ARRIBA</v>
          </cell>
        </row>
        <row r="882">
          <cell r="A882" t="str">
            <v>30DTV1323E</v>
          </cell>
          <cell r="B882" t="str">
            <v>JOSE VASCONCELOS</v>
          </cell>
          <cell r="C882" t="str">
            <v>CONOCIDO</v>
          </cell>
          <cell r="D882" t="str">
            <v>ELSA LAURA MARTINEZ SANDOVAL</v>
          </cell>
          <cell r="E882">
            <v>46</v>
          </cell>
          <cell r="F882">
            <v>16</v>
          </cell>
          <cell r="G882" t="str">
            <v>POZA RICA DE HIDALGO</v>
          </cell>
          <cell r="H882" t="str">
            <v>VILLA DE LAS FLORES</v>
          </cell>
        </row>
        <row r="883">
          <cell r="A883" t="str">
            <v>30DTV0120C</v>
          </cell>
          <cell r="B883" t="str">
            <v>ADOLFO LOPEZ MATEOS</v>
          </cell>
          <cell r="C883" t="str">
            <v>ZAPOTITLAN NUM. 7</v>
          </cell>
          <cell r="D883" t="str">
            <v>NOE BARRA URRUTIA</v>
          </cell>
          <cell r="E883">
            <v>46</v>
          </cell>
          <cell r="F883">
            <v>16</v>
          </cell>
          <cell r="G883" t="str">
            <v>CASTILLO DE TEAYO</v>
          </cell>
          <cell r="H883" t="str">
            <v>CASTILLO DE TEAYO</v>
          </cell>
        </row>
        <row r="884">
          <cell r="A884" t="str">
            <v>30DTV1375K</v>
          </cell>
          <cell r="B884" t="str">
            <v>NIÐOS HEROES</v>
          </cell>
          <cell r="C884" t="str">
            <v>CONOCIDO</v>
          </cell>
          <cell r="D884" t="str">
            <v>GERMAN HERNANDEZ DIAZ</v>
          </cell>
          <cell r="E884">
            <v>46</v>
          </cell>
          <cell r="F884">
            <v>16</v>
          </cell>
          <cell r="G884" t="str">
            <v>CASTILLO DE TEAYO</v>
          </cell>
          <cell r="H884" t="str">
            <v>EL BEJUCAL</v>
          </cell>
        </row>
        <row r="885">
          <cell r="A885" t="str">
            <v>30DTV0035F</v>
          </cell>
          <cell r="B885" t="str">
            <v>EMILIANO ZAPATA</v>
          </cell>
          <cell r="C885" t="str">
            <v>CONOCIDO</v>
          </cell>
          <cell r="D885" t="str">
            <v>ROBERTO WILVOUR VERA BERMUDEZ</v>
          </cell>
          <cell r="E885">
            <v>46</v>
          </cell>
          <cell r="F885">
            <v>16</v>
          </cell>
          <cell r="G885" t="str">
            <v>CASTILLO DE TEAYO</v>
          </cell>
          <cell r="H885" t="str">
            <v>LA DEFENSA</v>
          </cell>
        </row>
        <row r="886">
          <cell r="A886" t="str">
            <v>30DTV0175F</v>
          </cell>
          <cell r="B886" t="str">
            <v>ALFONSO ARROYO FLORES</v>
          </cell>
          <cell r="C886" t="str">
            <v>CONOCIDO</v>
          </cell>
          <cell r="D886" t="str">
            <v>JORGE GREZ VERA</v>
          </cell>
          <cell r="E886">
            <v>46</v>
          </cell>
          <cell r="F886">
            <v>16</v>
          </cell>
          <cell r="G886" t="str">
            <v>CASTILLO DE TEAYO</v>
          </cell>
          <cell r="H886" t="str">
            <v>LA GUADALUPE</v>
          </cell>
        </row>
        <row r="887">
          <cell r="A887" t="str">
            <v>30DTV0833Z</v>
          </cell>
          <cell r="B887" t="str">
            <v>MIGUEL HIDALGO Y COSTILLA</v>
          </cell>
          <cell r="C887" t="str">
            <v>CONOCIDO</v>
          </cell>
          <cell r="D887" t="str">
            <v>JUAN HERNANDEZ HERNANDEZ</v>
          </cell>
          <cell r="E887">
            <v>46</v>
          </cell>
          <cell r="F887">
            <v>16</v>
          </cell>
          <cell r="G887" t="str">
            <v>CASTILLO DE TEAYO</v>
          </cell>
          <cell r="H887" t="str">
            <v>LA LIMA NUEVA</v>
          </cell>
        </row>
        <row r="888">
          <cell r="A888" t="str">
            <v>30DTV0364Y</v>
          </cell>
          <cell r="B888" t="str">
            <v>EMILIANO ZAPATA</v>
          </cell>
          <cell r="C888" t="str">
            <v>CONOCIDO</v>
          </cell>
          <cell r="D888" t="str">
            <v>JOAQUIN MELO LOPEZ</v>
          </cell>
          <cell r="E888">
            <v>46</v>
          </cell>
          <cell r="F888">
            <v>16</v>
          </cell>
          <cell r="G888" t="str">
            <v>CASTILLO DE TEAYO</v>
          </cell>
          <cell r="H888" t="str">
            <v>EL MANTE</v>
          </cell>
        </row>
        <row r="889">
          <cell r="A889" t="str">
            <v>30DTV0762W</v>
          </cell>
          <cell r="B889" t="str">
            <v>VALENTIN GOMEZ FARIAS</v>
          </cell>
          <cell r="C889" t="str">
            <v>CONOCIDO</v>
          </cell>
          <cell r="D889" t="str">
            <v>GUDELIA HERNANDEZ MARTINEZ</v>
          </cell>
          <cell r="E889">
            <v>46</v>
          </cell>
          <cell r="F889">
            <v>16</v>
          </cell>
          <cell r="G889" t="str">
            <v>CASTILLO DE TEAYO</v>
          </cell>
          <cell r="H889" t="str">
            <v>SANTA CRUZ</v>
          </cell>
        </row>
        <row r="890">
          <cell r="A890" t="str">
            <v>30DTV0617K</v>
          </cell>
          <cell r="B890" t="str">
            <v>BELISARIO DOMINGUEZ</v>
          </cell>
          <cell r="C890" t="str">
            <v>JUNTO A LA CLINICA</v>
          </cell>
          <cell r="D890" t="str">
            <v>ARODI ESCAMILLA MENDOZA</v>
          </cell>
          <cell r="E890">
            <v>46</v>
          </cell>
          <cell r="F890">
            <v>16</v>
          </cell>
          <cell r="G890" t="str">
            <v>CASTILLO DE TEAYO</v>
          </cell>
          <cell r="H890" t="str">
            <v>TEAYO</v>
          </cell>
        </row>
        <row r="891">
          <cell r="A891" t="str">
            <v>30DTV0240P</v>
          </cell>
          <cell r="B891" t="str">
            <v>NICOLAS BRAVO</v>
          </cell>
          <cell r="C891" t="str">
            <v>CONOCIDO</v>
          </cell>
          <cell r="D891" t="str">
            <v>CRISOGONO MELO GUTIEREZ</v>
          </cell>
          <cell r="E891">
            <v>46</v>
          </cell>
          <cell r="F891">
            <v>16</v>
          </cell>
          <cell r="G891" t="str">
            <v>CASTILLO DE TEAYO</v>
          </cell>
          <cell r="H891" t="str">
            <v>EL XUCHITL</v>
          </cell>
        </row>
        <row r="892">
          <cell r="A892" t="str">
            <v>30DTV0891Q</v>
          </cell>
          <cell r="B892" t="str">
            <v>FERNANDO GUTIERREZ BARRIOS</v>
          </cell>
          <cell r="C892" t="str">
            <v>CONOCIDO</v>
          </cell>
          <cell r="D892" t="str">
            <v>ISABEL MEJIA ARROYO</v>
          </cell>
          <cell r="E892">
            <v>46</v>
          </cell>
          <cell r="F892">
            <v>16</v>
          </cell>
          <cell r="G892" t="str">
            <v>TIHUATLAN</v>
          </cell>
          <cell r="H892" t="str">
            <v>EL HORCON</v>
          </cell>
        </row>
        <row r="893">
          <cell r="A893" t="str">
            <v>30DTV1221H</v>
          </cell>
          <cell r="B893" t="str">
            <v>SERAFIN DE OLARTE</v>
          </cell>
          <cell r="C893" t="str">
            <v>COLONIA JARDIN</v>
          </cell>
          <cell r="D893" t="str">
            <v>FLORENCIO RUBEN REYES GARCIA</v>
          </cell>
          <cell r="E893">
            <v>47</v>
          </cell>
          <cell r="F893">
            <v>7</v>
          </cell>
          <cell r="G893" t="str">
            <v>PAPANTLA</v>
          </cell>
          <cell r="H893" t="str">
            <v>PAPANTLA DE OLARTE</v>
          </cell>
        </row>
        <row r="894">
          <cell r="A894" t="str">
            <v>30DTV1347O</v>
          </cell>
          <cell r="B894" t="str">
            <v>TELESECUNDARIA</v>
          </cell>
          <cell r="C894" t="str">
            <v>COLONIA UNIDAD Y TRABAJO</v>
          </cell>
          <cell r="D894" t="str">
            <v>EMILIO ARMANDO MENDEZ Y NAVARRETE</v>
          </cell>
          <cell r="E894">
            <v>47</v>
          </cell>
          <cell r="F894">
            <v>7</v>
          </cell>
          <cell r="G894" t="str">
            <v>PAPANTLA</v>
          </cell>
          <cell r="H894" t="str">
            <v>PAPANTLA DE OLARTE</v>
          </cell>
        </row>
        <row r="895">
          <cell r="A895" t="str">
            <v>30DTV0637Y</v>
          </cell>
          <cell r="B895" t="str">
            <v>BENITO JUAREZ GARCIA</v>
          </cell>
          <cell r="C895" t="str">
            <v>CONOCIDO</v>
          </cell>
          <cell r="D895" t="str">
            <v>MERCEDES SARMIENTOS ORDUÑA</v>
          </cell>
          <cell r="E895">
            <v>47</v>
          </cell>
          <cell r="F895">
            <v>7</v>
          </cell>
          <cell r="G895" t="str">
            <v>PAPANTLA</v>
          </cell>
          <cell r="H895" t="str">
            <v>EL CEDRAL</v>
          </cell>
        </row>
        <row r="896">
          <cell r="A896" t="str">
            <v>30DTV0706D</v>
          </cell>
          <cell r="B896" t="str">
            <v>IGNACIO RAMIREZ</v>
          </cell>
          <cell r="C896" t="str">
            <v>CONOCIDO</v>
          </cell>
          <cell r="D896" t="str">
            <v>JUAN VLADIMIR LORENZANA TEJADA</v>
          </cell>
          <cell r="E896">
            <v>47</v>
          </cell>
          <cell r="F896">
            <v>7</v>
          </cell>
          <cell r="G896" t="str">
            <v>PAPANTLA</v>
          </cell>
          <cell r="H896" t="str">
            <v>LA COLMENA (LA LOMA)</v>
          </cell>
        </row>
        <row r="897">
          <cell r="A897" t="str">
            <v>30DTV1004T</v>
          </cell>
          <cell r="B897" t="str">
            <v>ENRIQUE C. REBSAMEN</v>
          </cell>
          <cell r="C897" t="str">
            <v>JUNTO A LA ESCUELA PRIMARIA</v>
          </cell>
          <cell r="D897" t="str">
            <v>PRISCILIANO AVENDAðO Y HERNANDEZ</v>
          </cell>
          <cell r="E897">
            <v>47</v>
          </cell>
          <cell r="F897">
            <v>7</v>
          </cell>
          <cell r="G897" t="str">
            <v>PAPANTLA</v>
          </cell>
          <cell r="H897" t="str">
            <v>GILDARDO MUÑOZ</v>
          </cell>
        </row>
        <row r="898">
          <cell r="A898" t="str">
            <v>30DTV0599L</v>
          </cell>
          <cell r="B898" t="str">
            <v>BENITO JUAREZ GARCIA</v>
          </cell>
          <cell r="C898" t="str">
            <v>CARRETERA CHOTE-COYUTLA</v>
          </cell>
          <cell r="D898" t="str">
            <v>FRANCISCO CASTILLO MUÐOZ</v>
          </cell>
          <cell r="E898">
            <v>47</v>
          </cell>
          <cell r="F898">
            <v>7</v>
          </cell>
          <cell r="G898" t="str">
            <v>PAPANTLA</v>
          </cell>
          <cell r="H898" t="str">
            <v>GUADALUPE VICTORIA</v>
          </cell>
        </row>
        <row r="899">
          <cell r="A899" t="str">
            <v>30DTV0488G</v>
          </cell>
          <cell r="B899" t="str">
            <v>GUADALUPE VICTORIA</v>
          </cell>
          <cell r="C899" t="str">
            <v>CONOCIDO</v>
          </cell>
          <cell r="D899" t="str">
            <v>LAUREANO CRUZ GOMEZ</v>
          </cell>
          <cell r="E899">
            <v>47</v>
          </cell>
          <cell r="F899">
            <v>7</v>
          </cell>
          <cell r="G899" t="str">
            <v>PAPANTLA</v>
          </cell>
          <cell r="H899" t="str">
            <v>JOSE MARIA MORELOS</v>
          </cell>
        </row>
        <row r="900">
          <cell r="A900" t="str">
            <v>30DTV1086T</v>
          </cell>
          <cell r="B900" t="str">
            <v>GREGORIO TORRES QUINTERO</v>
          </cell>
          <cell r="C900" t="str">
            <v>RICARDO FLORES MAGON S/N</v>
          </cell>
          <cell r="D900" t="str">
            <v>HILARION MORENO JIMENEZ</v>
          </cell>
          <cell r="E900">
            <v>47</v>
          </cell>
          <cell r="F900">
            <v>7</v>
          </cell>
          <cell r="G900" t="str">
            <v>PAPANTLA</v>
          </cell>
          <cell r="H900" t="str">
            <v>OJITAL VIEJO</v>
          </cell>
        </row>
        <row r="901">
          <cell r="A901" t="str">
            <v>30DTV1083W</v>
          </cell>
          <cell r="B901" t="str">
            <v>OCTAVIO PAZ</v>
          </cell>
          <cell r="C901" t="str">
            <v>CONOCIDO</v>
          </cell>
          <cell r="D901" t="str">
            <v>IVONEE MENDEZ CASTRO</v>
          </cell>
          <cell r="E901">
            <v>47</v>
          </cell>
          <cell r="F901">
            <v>7</v>
          </cell>
          <cell r="G901" t="str">
            <v>PAPANTLA</v>
          </cell>
          <cell r="H901" t="str">
            <v>PABANCO</v>
          </cell>
        </row>
        <row r="902">
          <cell r="A902" t="str">
            <v>30DTV0327U</v>
          </cell>
          <cell r="B902" t="str">
            <v>JOSE VASCONCELOS</v>
          </cell>
          <cell r="C902" t="str">
            <v>CALLE PRINCIPAL</v>
          </cell>
          <cell r="D902" t="str">
            <v>ELENA CARLOTA MAVIL SANCHEZ</v>
          </cell>
          <cell r="E902">
            <v>47</v>
          </cell>
          <cell r="F902">
            <v>7</v>
          </cell>
          <cell r="G902" t="str">
            <v>PAPANTLA</v>
          </cell>
          <cell r="H902" t="str">
            <v>PASO DEL CORREO</v>
          </cell>
        </row>
        <row r="903">
          <cell r="A903" t="str">
            <v>30DTV0380P</v>
          </cell>
          <cell r="B903" t="str">
            <v>EMILIANO ZAPATA</v>
          </cell>
          <cell r="C903" t="str">
            <v>CARRETERA CHOTE-ESPINAL S/N</v>
          </cell>
          <cell r="D903" t="str">
            <v>HORTENCIA HERNANDEZ MARQUEZ</v>
          </cell>
          <cell r="E903">
            <v>47</v>
          </cell>
          <cell r="F903">
            <v>7</v>
          </cell>
          <cell r="G903" t="str">
            <v>PAPANTLA</v>
          </cell>
          <cell r="H903" t="str">
            <v>PASO DE VALENCIA</v>
          </cell>
        </row>
        <row r="904">
          <cell r="A904" t="str">
            <v>30DTV0824S</v>
          </cell>
          <cell r="B904" t="str">
            <v>ANTONIO CASO</v>
          </cell>
          <cell r="C904" t="str">
            <v>JOSE MARIA MORELOS Y PAVON</v>
          </cell>
          <cell r="D904" t="str">
            <v>NUBIA ALEIDA MARTINEZ VITE</v>
          </cell>
          <cell r="E904">
            <v>47</v>
          </cell>
          <cell r="F904">
            <v>7</v>
          </cell>
          <cell r="G904" t="str">
            <v>PAPANTLA</v>
          </cell>
          <cell r="H904" t="str">
            <v>PLAN DE HIDALGO</v>
          </cell>
        </row>
        <row r="905">
          <cell r="A905" t="str">
            <v>30DTV0300N</v>
          </cell>
          <cell r="B905" t="str">
            <v>BENITO JUAREZ GARCIA</v>
          </cell>
          <cell r="C905" t="str">
            <v>CALLE PRINCIPAL</v>
          </cell>
          <cell r="D905" t="str">
            <v>JORGE HONORIO MORALES BARRIOS</v>
          </cell>
          <cell r="E905">
            <v>47</v>
          </cell>
          <cell r="F905">
            <v>7</v>
          </cell>
          <cell r="G905" t="str">
            <v>PAPANTLA</v>
          </cell>
          <cell r="H905" t="str">
            <v>PUXTLA</v>
          </cell>
        </row>
        <row r="906">
          <cell r="A906" t="str">
            <v>30DTV1488N</v>
          </cell>
          <cell r="B906" t="str">
            <v>TELESECUNDARIA</v>
          </cell>
          <cell r="C906" t="str">
            <v>CONOCIDO</v>
          </cell>
          <cell r="D906" t="str">
            <v>MIGUEL ANGEL SOLIS RAMIREZ</v>
          </cell>
          <cell r="E906">
            <v>47</v>
          </cell>
          <cell r="F906">
            <v>7</v>
          </cell>
          <cell r="G906" t="str">
            <v>PAPANTLA</v>
          </cell>
          <cell r="H906" t="str">
            <v>LA REFORMA PASO DEL CORREO</v>
          </cell>
        </row>
        <row r="907">
          <cell r="A907" t="str">
            <v>30DTV1021J</v>
          </cell>
          <cell r="B907" t="str">
            <v>MARIANO AZUELA</v>
          </cell>
          <cell r="C907" t="str">
            <v>FRENTE A LA PRIMARIA</v>
          </cell>
          <cell r="D907" t="str">
            <v>JOSE ELIGIO CRUZ GARCIA</v>
          </cell>
          <cell r="E907">
            <v>47</v>
          </cell>
          <cell r="F907">
            <v>7</v>
          </cell>
          <cell r="G907" t="str">
            <v>PAPANTLA</v>
          </cell>
          <cell r="H907" t="str">
            <v>SAN LORENZO</v>
          </cell>
        </row>
        <row r="908">
          <cell r="A908" t="str">
            <v>30DTV1022I</v>
          </cell>
          <cell r="B908" t="str">
            <v>MOISES SAENZ</v>
          </cell>
          <cell r="C908" t="str">
            <v>JUNTO A LA PRIMARIA</v>
          </cell>
          <cell r="D908" t="str">
            <v>FRANCISCO HERNANDEZ CARDENAS</v>
          </cell>
          <cell r="E908">
            <v>47</v>
          </cell>
          <cell r="F908">
            <v>7</v>
          </cell>
          <cell r="G908" t="str">
            <v>PAPANTLA</v>
          </cell>
          <cell r="H908" t="str">
            <v>VISTA HERMOSA DE MADERO</v>
          </cell>
        </row>
        <row r="909">
          <cell r="A909" t="str">
            <v>30DTV0191X</v>
          </cell>
          <cell r="B909" t="str">
            <v>ALFONSO ARROYO FLORES</v>
          </cell>
          <cell r="C909" t="str">
            <v>CONOCIDO</v>
          </cell>
          <cell r="D909" t="str">
            <v>RAFAEL LANDA FERNANDEZ</v>
          </cell>
          <cell r="E909">
            <v>48</v>
          </cell>
          <cell r="F909">
            <v>8</v>
          </cell>
          <cell r="G909" t="str">
            <v>ATZALAN</v>
          </cell>
          <cell r="H909" t="str">
            <v>ALMANZA</v>
          </cell>
        </row>
        <row r="910">
          <cell r="A910" t="str">
            <v>30DTV1593Y</v>
          </cell>
          <cell r="B910" t="str">
            <v>TELESECUNDARIA</v>
          </cell>
          <cell r="C910" t="str">
            <v>AL LADO DERECHO DE LA ESCUELA PRIMARIA  BENITO JUAREZ</v>
          </cell>
          <cell r="D910" t="str">
            <v>MARICRUZ FLORES MONTERO</v>
          </cell>
          <cell r="E910">
            <v>48</v>
          </cell>
          <cell r="F910">
            <v>8</v>
          </cell>
          <cell r="G910" t="str">
            <v>ATZALAN</v>
          </cell>
          <cell r="H910" t="str">
            <v>COPALILLO I</v>
          </cell>
        </row>
        <row r="911">
          <cell r="A911" t="str">
            <v>30DTV1492Z</v>
          </cell>
          <cell r="B911" t="str">
            <v>TELESECUNDARIA</v>
          </cell>
          <cell r="C911" t="str">
            <v>CONOCIDO</v>
          </cell>
          <cell r="D911" t="str">
            <v>GONZALO LOZANO CARBALLO</v>
          </cell>
          <cell r="E911">
            <v>48</v>
          </cell>
          <cell r="F911">
            <v>8</v>
          </cell>
          <cell r="G911" t="str">
            <v>ATZALAN</v>
          </cell>
          <cell r="H911" t="str">
            <v>CHAPARRO GRANDE</v>
          </cell>
        </row>
        <row r="912">
          <cell r="A912" t="str">
            <v>30DTV0700J</v>
          </cell>
          <cell r="B912" t="str">
            <v>CUAUHTEMOC</v>
          </cell>
          <cell r="C912" t="str">
            <v>CONOCIDO</v>
          </cell>
          <cell r="D912" t="str">
            <v>LUIS ESTEBAN Y DOMINGUEZ</v>
          </cell>
          <cell r="E912">
            <v>48</v>
          </cell>
          <cell r="F912">
            <v>8</v>
          </cell>
          <cell r="G912" t="str">
            <v>ATZALAN</v>
          </cell>
          <cell r="H912" t="str">
            <v>PAHUA HUECA</v>
          </cell>
        </row>
        <row r="913">
          <cell r="A913" t="str">
            <v>30DTV1595W</v>
          </cell>
          <cell r="B913" t="str">
            <v>TELESECUNDARIA</v>
          </cell>
          <cell r="C913" t="str">
            <v>AL LADO DERECHO DE LA ESCUELA PRIMARIA MIGUEL HIDALGO</v>
          </cell>
          <cell r="D913" t="str">
            <v>GEU ROSALES GONZALEZ</v>
          </cell>
          <cell r="E913">
            <v>48</v>
          </cell>
          <cell r="F913">
            <v>8</v>
          </cell>
          <cell r="G913" t="str">
            <v>ATZALAN</v>
          </cell>
          <cell r="H913" t="str">
            <v>PALMARCILLO</v>
          </cell>
        </row>
        <row r="914">
          <cell r="A914" t="str">
            <v>30DTV1596V</v>
          </cell>
          <cell r="B914" t="str">
            <v>TELESECUNDARIA</v>
          </cell>
          <cell r="C914" t="str">
            <v>AL LADO DERECHO DE LA ESCUELA PRIMARIA  BENITO JUAREZ</v>
          </cell>
          <cell r="D914" t="str">
            <v>JUAN CARLOS MARTINEZ REYES</v>
          </cell>
          <cell r="E914">
            <v>48</v>
          </cell>
          <cell r="F914">
            <v>8</v>
          </cell>
          <cell r="G914" t="str">
            <v>ATZALAN</v>
          </cell>
          <cell r="H914" t="str">
            <v>LA PALMA</v>
          </cell>
        </row>
        <row r="915">
          <cell r="A915" t="str">
            <v>30DTV0126X</v>
          </cell>
          <cell r="B915" t="str">
            <v>EMILIANO ZAPATA</v>
          </cell>
          <cell r="C915" t="str">
            <v>INSURGENTES S/N</v>
          </cell>
          <cell r="D915" t="str">
            <v>SERGIO OROZCO ROJAS</v>
          </cell>
          <cell r="E915">
            <v>48</v>
          </cell>
          <cell r="F915">
            <v>8</v>
          </cell>
          <cell r="G915" t="str">
            <v>ATZALAN</v>
          </cell>
          <cell r="H915" t="str">
            <v>PLAN DE ARROYOS</v>
          </cell>
        </row>
        <row r="916">
          <cell r="A916" t="str">
            <v>30DTV0192W</v>
          </cell>
          <cell r="B916" t="str">
            <v>ENRIQUE C. REBSAMEN</v>
          </cell>
          <cell r="C916" t="str">
            <v>CONOCIDO</v>
          </cell>
          <cell r="D916" t="str">
            <v>CELESTINO HERNANDEZ CELIS</v>
          </cell>
          <cell r="E916">
            <v>48</v>
          </cell>
          <cell r="F916">
            <v>8</v>
          </cell>
          <cell r="G916" t="str">
            <v>ATZALAN</v>
          </cell>
          <cell r="H916" t="str">
            <v>POMPEYA</v>
          </cell>
        </row>
        <row r="917">
          <cell r="A917" t="str">
            <v>30DTV0708B</v>
          </cell>
          <cell r="B917" t="str">
            <v>JESUS REYES HEROLES</v>
          </cell>
          <cell r="C917" t="str">
            <v>CONOCIDO</v>
          </cell>
          <cell r="D917" t="str">
            <v>JOSE C. HERNANDEZ CHACON</v>
          </cell>
          <cell r="E917">
            <v>48</v>
          </cell>
          <cell r="F917">
            <v>8</v>
          </cell>
          <cell r="G917" t="str">
            <v>ATZALAN</v>
          </cell>
          <cell r="H917" t="str">
            <v>TIERRA NUEVA</v>
          </cell>
        </row>
        <row r="918">
          <cell r="A918" t="str">
            <v>30DTV0544I</v>
          </cell>
          <cell r="B918" t="str">
            <v>CONSTITUCION DE 1917</v>
          </cell>
          <cell r="C918" t="str">
            <v>CONOCIDO</v>
          </cell>
          <cell r="D918" t="str">
            <v>AGUSTIN GUZMAN RODRIGUEZ</v>
          </cell>
          <cell r="E918">
            <v>48</v>
          </cell>
          <cell r="F918">
            <v>8</v>
          </cell>
          <cell r="G918" t="str">
            <v>ATZALAN</v>
          </cell>
          <cell r="H918" t="str">
            <v>SAN PEDRO ALTEPEPAN</v>
          </cell>
        </row>
        <row r="919">
          <cell r="A919" t="str">
            <v>30DTV0929M</v>
          </cell>
          <cell r="B919" t="str">
            <v>AMADO NERVO</v>
          </cell>
          <cell r="C919" t="str">
            <v>CONOCIDO</v>
          </cell>
          <cell r="D919" t="str">
            <v>VICTOR MANUEL GALEANA Y ALVARADO</v>
          </cell>
          <cell r="E919">
            <v>48</v>
          </cell>
          <cell r="F919">
            <v>8</v>
          </cell>
          <cell r="G919" t="str">
            <v>ATZALAN</v>
          </cell>
          <cell r="H919" t="str">
            <v>EL AZOTAL</v>
          </cell>
        </row>
        <row r="920">
          <cell r="A920" t="str">
            <v>30DTV0178C</v>
          </cell>
          <cell r="B920" t="str">
            <v>LAZARO CARDENAS DEL RIO</v>
          </cell>
          <cell r="C920" t="str">
            <v>CONOCIDO</v>
          </cell>
          <cell r="D920" t="str">
            <v>MAYANIN A. GUZMAN JACOME</v>
          </cell>
          <cell r="E920">
            <v>48</v>
          </cell>
          <cell r="F920">
            <v>8</v>
          </cell>
          <cell r="G920" t="str">
            <v>ATZALAN</v>
          </cell>
          <cell r="H920" t="str">
            <v>NORBERTO AGUIRRE PALANCARES</v>
          </cell>
        </row>
        <row r="921">
          <cell r="A921" t="str">
            <v>30DTV1067E</v>
          </cell>
          <cell r="B921" t="str">
            <v>TELESECUNDARIA</v>
          </cell>
          <cell r="C921" t="str">
            <v>AVENIDA PEDERNALES S/N</v>
          </cell>
          <cell r="D921" t="str">
            <v>ZOYLA LIBERTAD MADRID ANDRADE</v>
          </cell>
          <cell r="E921">
            <v>48</v>
          </cell>
          <cell r="F921">
            <v>8</v>
          </cell>
          <cell r="G921" t="str">
            <v>ATZALAN</v>
          </cell>
          <cell r="H921" t="str">
            <v>TOMATA ANEXO PILARES</v>
          </cell>
        </row>
        <row r="922">
          <cell r="A922" t="str">
            <v>30DTV1772J</v>
          </cell>
          <cell r="B922" t="str">
            <v>TELESECUNDARIA</v>
          </cell>
          <cell r="C922" t="str">
            <v>GALVARINO BARRIO S/N</v>
          </cell>
          <cell r="D922" t="str">
            <v>ROSENDO CARDOSO HERNANDEZ</v>
          </cell>
          <cell r="E922">
            <v>48</v>
          </cell>
          <cell r="F922">
            <v>8</v>
          </cell>
          <cell r="G922" t="str">
            <v>MARTINEZ DE LA TORRE</v>
          </cell>
          <cell r="H922" t="str">
            <v>ARROYO DE FIERRO</v>
          </cell>
        </row>
        <row r="923">
          <cell r="A923" t="str">
            <v>30DTV0299O</v>
          </cell>
          <cell r="B923" t="str">
            <v>VALENTIN GOMEZ FARIAS</v>
          </cell>
          <cell r="C923" t="str">
            <v>CONOCIDO</v>
          </cell>
          <cell r="D923" t="str">
            <v>ROBERTO RIVERA ANDRADE</v>
          </cell>
          <cell r="E923">
            <v>48</v>
          </cell>
          <cell r="F923">
            <v>8</v>
          </cell>
          <cell r="G923" t="str">
            <v>MARTINEZ DE LA TORRE</v>
          </cell>
          <cell r="H923" t="str">
            <v>ARROYO NEGRO</v>
          </cell>
        </row>
        <row r="924">
          <cell r="A924" t="str">
            <v>30DTV0097S</v>
          </cell>
          <cell r="B924" t="str">
            <v>INDEPENDENCIA</v>
          </cell>
          <cell r="C924" t="str">
            <v>PROLONGACION PRIMERO DE MAYO S/N</v>
          </cell>
          <cell r="D924" t="str">
            <v>RICARDO CASTILLO HERNANDEZ</v>
          </cell>
          <cell r="E924">
            <v>48</v>
          </cell>
          <cell r="F924">
            <v>8</v>
          </cell>
          <cell r="G924" t="str">
            <v>MARTINEZ DE LA TORRE</v>
          </cell>
          <cell r="H924" t="str">
            <v>INDEPENDENCIA</v>
          </cell>
        </row>
        <row r="925">
          <cell r="A925" t="str">
            <v>30DTV0465W</v>
          </cell>
          <cell r="B925" t="str">
            <v>RAFAEL RAMIREZ</v>
          </cell>
          <cell r="C925" t="str">
            <v>CONOCIDO</v>
          </cell>
          <cell r="D925" t="str">
            <v>OMAR PEREZ GONZALEZ</v>
          </cell>
          <cell r="E925">
            <v>48</v>
          </cell>
          <cell r="F925">
            <v>8</v>
          </cell>
          <cell r="G925" t="str">
            <v>MARTINEZ DE LA TORRE</v>
          </cell>
          <cell r="H925" t="str">
            <v>LOMA DE LAS FLORES</v>
          </cell>
        </row>
        <row r="926">
          <cell r="A926" t="str">
            <v>30DTV0699K</v>
          </cell>
          <cell r="B926" t="str">
            <v>NIÐOS HEROES</v>
          </cell>
          <cell r="C926" t="str">
            <v>CONOCIDO</v>
          </cell>
          <cell r="D926" t="str">
            <v>REYNA MARTINEZ HERRERA</v>
          </cell>
          <cell r="E926">
            <v>48</v>
          </cell>
          <cell r="F926">
            <v>8</v>
          </cell>
          <cell r="G926" t="str">
            <v>MARTINEZ DE LA TORRE</v>
          </cell>
          <cell r="H926" t="str">
            <v>LA PIEDRILLA</v>
          </cell>
        </row>
        <row r="927">
          <cell r="A927" t="str">
            <v>30DTV1034N</v>
          </cell>
          <cell r="B927" t="str">
            <v>MANUEL AVILA CAMACHO</v>
          </cell>
          <cell r="C927" t="str">
            <v>CONOCIDO</v>
          </cell>
          <cell r="D927" t="str">
            <v>ADAN MENDOZA CASILDA</v>
          </cell>
          <cell r="E927">
            <v>48</v>
          </cell>
          <cell r="F927">
            <v>8</v>
          </cell>
          <cell r="G927" t="str">
            <v>MARTINEZ DE LA TORRE</v>
          </cell>
          <cell r="H927" t="str">
            <v>PUEBLO VIEJO UNO</v>
          </cell>
        </row>
        <row r="928">
          <cell r="A928" t="str">
            <v>30DTV0843G</v>
          </cell>
          <cell r="B928" t="str">
            <v>DIEGO RIVERA</v>
          </cell>
          <cell r="C928" t="str">
            <v>CONOCIDO</v>
          </cell>
          <cell r="D928" t="str">
            <v>FLORENCIA L. PALESTINA RODRIGUEZ</v>
          </cell>
          <cell r="E928">
            <v>48</v>
          </cell>
          <cell r="F928">
            <v>8</v>
          </cell>
          <cell r="G928" t="str">
            <v>TLAPACOYAN</v>
          </cell>
          <cell r="H928" t="str">
            <v>JAVIER ROJO GOMEZ</v>
          </cell>
        </row>
        <row r="929">
          <cell r="A929" t="str">
            <v>30DTV0165Z</v>
          </cell>
          <cell r="B929" t="str">
            <v>JUSTO SIERRA MENDEZ</v>
          </cell>
          <cell r="C929" t="str">
            <v>CONOCIDO</v>
          </cell>
          <cell r="D929" t="str">
            <v>GERARDO RAMOS PEðA</v>
          </cell>
          <cell r="E929">
            <v>48</v>
          </cell>
          <cell r="F929">
            <v>8</v>
          </cell>
          <cell r="G929" t="str">
            <v>TLAPACOYAN</v>
          </cell>
          <cell r="H929" t="str">
            <v>OTRA BANDA</v>
          </cell>
        </row>
        <row r="930">
          <cell r="A930" t="str">
            <v>30DTV1098Y</v>
          </cell>
          <cell r="B930" t="str">
            <v>JOSE MARIA MATA</v>
          </cell>
          <cell r="C930" t="str">
            <v>CONOCIDO</v>
          </cell>
          <cell r="D930" t="str">
            <v>MARIA DEL ROCIO DIAZ BARRAGAN</v>
          </cell>
          <cell r="E930">
            <v>49</v>
          </cell>
          <cell r="F930">
            <v>12</v>
          </cell>
          <cell r="G930" t="str">
            <v>ALTOTONGA</v>
          </cell>
          <cell r="H930" t="str">
            <v>QUILATE ANTIGUO</v>
          </cell>
        </row>
        <row r="931">
          <cell r="A931" t="str">
            <v>30DTV1601Q</v>
          </cell>
          <cell r="B931" t="str">
            <v>INDEPENDENCIA</v>
          </cell>
          <cell r="C931" t="str">
            <v>JUNTO A LA AGENCIA MUNICIPAL</v>
          </cell>
          <cell r="D931" t="str">
            <v>MARGARITO BARBADILLO Y PEREZ</v>
          </cell>
          <cell r="E931">
            <v>49</v>
          </cell>
          <cell r="F931">
            <v>12</v>
          </cell>
          <cell r="G931" t="str">
            <v>CHICONQUIACO</v>
          </cell>
          <cell r="H931" t="str">
            <v>GUTIERREZ ZAMORA</v>
          </cell>
        </row>
        <row r="932">
          <cell r="A932" t="str">
            <v>30DTV0713N</v>
          </cell>
          <cell r="B932" t="str">
            <v>JAIME TORRES BODET</v>
          </cell>
          <cell r="C932" t="str">
            <v>CONOCIDO</v>
          </cell>
          <cell r="D932" t="str">
            <v>CRISTINA ALEJANDRO Y LAGUNES</v>
          </cell>
          <cell r="E932">
            <v>49</v>
          </cell>
          <cell r="F932">
            <v>12</v>
          </cell>
          <cell r="G932" t="str">
            <v>MISANTLA</v>
          </cell>
          <cell r="H932" t="str">
            <v>CHAPACHAPA</v>
          </cell>
        </row>
        <row r="933">
          <cell r="A933" t="str">
            <v>30DTV0634A</v>
          </cell>
          <cell r="B933" t="str">
            <v>GREGORIO TORRES QUINTERO</v>
          </cell>
          <cell r="C933" t="str">
            <v>CONOCIDO</v>
          </cell>
          <cell r="D933" t="str">
            <v>REYNALDO HERNANDEZ ABURTO</v>
          </cell>
          <cell r="E933">
            <v>49</v>
          </cell>
          <cell r="F933">
            <v>12</v>
          </cell>
          <cell r="G933" t="str">
            <v>MISANTLA</v>
          </cell>
          <cell r="H933" t="str">
            <v>LOS IDOLOS</v>
          </cell>
        </row>
        <row r="934">
          <cell r="A934" t="str">
            <v>30DTV1252A</v>
          </cell>
          <cell r="B934" t="str">
            <v>FRANCISCO GONZALEZ BOCANEGRA</v>
          </cell>
          <cell r="C934" t="str">
            <v>CONOCIDO</v>
          </cell>
          <cell r="D934" t="str">
            <v>EDGAR ADIM JIMENEZ ALVAREZ</v>
          </cell>
          <cell r="E934">
            <v>49</v>
          </cell>
          <cell r="F934">
            <v>12</v>
          </cell>
          <cell r="G934" t="str">
            <v>MISANTLA</v>
          </cell>
          <cell r="H934" t="str">
            <v>JUAN JACOBO TORRES (LA MONERA)</v>
          </cell>
        </row>
        <row r="935">
          <cell r="A935" t="str">
            <v>30DTV1046S</v>
          </cell>
          <cell r="B935" t="str">
            <v>LIC. BENITO JUAREZ GARCIA</v>
          </cell>
          <cell r="C935" t="str">
            <v>FRENTE A LA PRIMARIA</v>
          </cell>
          <cell r="D935" t="str">
            <v>TOMAS SANCHEZ JIMENEZ</v>
          </cell>
          <cell r="E935">
            <v>49</v>
          </cell>
          <cell r="F935">
            <v>12</v>
          </cell>
          <cell r="G935" t="str">
            <v>MISANTLA</v>
          </cell>
          <cell r="H935" t="str">
            <v>LA LIMA</v>
          </cell>
        </row>
        <row r="936">
          <cell r="A936" t="str">
            <v>30DTV0666T</v>
          </cell>
          <cell r="B936" t="str">
            <v>AMADO NERVO</v>
          </cell>
          <cell r="C936" t="str">
            <v>CONOCIDO</v>
          </cell>
          <cell r="D936" t="str">
            <v>ERNESTO SALVADOR CAICEROS CASTELLANOS</v>
          </cell>
          <cell r="E936">
            <v>49</v>
          </cell>
          <cell r="F936">
            <v>12</v>
          </cell>
          <cell r="G936" t="str">
            <v>MISANTLA</v>
          </cell>
          <cell r="H936" t="str">
            <v>LOMA DEL COJOLITE</v>
          </cell>
        </row>
        <row r="937">
          <cell r="A937" t="str">
            <v>30DTV0537Z</v>
          </cell>
          <cell r="B937" t="str">
            <v>AMADO NERVO</v>
          </cell>
          <cell r="C937" t="str">
            <v>CONOCIDO</v>
          </cell>
          <cell r="D937" t="str">
            <v>ISIDRO MUJICA MARTINEZ</v>
          </cell>
          <cell r="E937">
            <v>49</v>
          </cell>
          <cell r="F937">
            <v>12</v>
          </cell>
          <cell r="G937" t="str">
            <v>MISANTLA</v>
          </cell>
          <cell r="H937" t="str">
            <v>MANUEL GUTIERREZ NAJERA</v>
          </cell>
        </row>
        <row r="938">
          <cell r="A938" t="str">
            <v>30DTV0164Z</v>
          </cell>
          <cell r="B938" t="str">
            <v>EMILIANO ZAPATA</v>
          </cell>
          <cell r="C938" t="str">
            <v>CONOCIDO</v>
          </cell>
          <cell r="D938" t="str">
            <v>JOSE LUIS CARRERA RODRIGUEZ</v>
          </cell>
          <cell r="E938">
            <v>49</v>
          </cell>
          <cell r="F938">
            <v>12</v>
          </cell>
          <cell r="G938" t="str">
            <v>MISANTLA</v>
          </cell>
          <cell r="H938" t="str">
            <v>PASO BLANCO</v>
          </cell>
        </row>
        <row r="939">
          <cell r="A939" t="str">
            <v>30DTV1575I</v>
          </cell>
          <cell r="B939" t="str">
            <v>PROFR. JAIME SANCHEZ MARQUEZ</v>
          </cell>
          <cell r="C939" t="str">
            <v>GARDENIAS S/N</v>
          </cell>
          <cell r="D939" t="str">
            <v>JOSE LUIS CORDOVA Y ARROYO</v>
          </cell>
          <cell r="E939">
            <v>49</v>
          </cell>
          <cell r="F939">
            <v>12</v>
          </cell>
          <cell r="G939" t="str">
            <v>MISANTLA</v>
          </cell>
          <cell r="H939" t="str">
            <v>PLAN DE LA VEGA</v>
          </cell>
        </row>
        <row r="940">
          <cell r="A940" t="str">
            <v>30DTV0790S</v>
          </cell>
          <cell r="B940" t="str">
            <v>AMADO NERVO</v>
          </cell>
          <cell r="C940" t="str">
            <v>CONOCIDO</v>
          </cell>
          <cell r="D940" t="str">
            <v>HUMBERTO FERNANDEZ Y RENDON</v>
          </cell>
          <cell r="E940">
            <v>49</v>
          </cell>
          <cell r="F940">
            <v>12</v>
          </cell>
          <cell r="G940" t="str">
            <v>MISANTLA</v>
          </cell>
          <cell r="H940" t="str">
            <v>EL POZON</v>
          </cell>
        </row>
        <row r="941">
          <cell r="A941" t="str">
            <v>30DTV0399N</v>
          </cell>
          <cell r="B941" t="str">
            <v>EMILIANO ZAPATA</v>
          </cell>
          <cell r="C941" t="str">
            <v>CONOCIDO</v>
          </cell>
          <cell r="D941" t="str">
            <v>GUILIBALDO BADILLO GONZALEZ</v>
          </cell>
          <cell r="E941">
            <v>49</v>
          </cell>
          <cell r="F941">
            <v>12</v>
          </cell>
          <cell r="G941" t="str">
            <v>MISANTLA</v>
          </cell>
          <cell r="H941" t="str">
            <v>PUEBLO VIEJO</v>
          </cell>
        </row>
        <row r="942">
          <cell r="A942" t="str">
            <v>30DTV0398O</v>
          </cell>
          <cell r="B942" t="str">
            <v>LAZARO CARDENAS DEL RIO</v>
          </cell>
          <cell r="C942" t="str">
            <v>CONOCIDO</v>
          </cell>
          <cell r="D942" t="str">
            <v>GUILLERMO SOLANO QUINTERO</v>
          </cell>
          <cell r="E942">
            <v>49</v>
          </cell>
          <cell r="F942">
            <v>12</v>
          </cell>
          <cell r="G942" t="str">
            <v>MISANTLA</v>
          </cell>
          <cell r="H942" t="str">
            <v>SALVADOR DIAZ MIRON</v>
          </cell>
        </row>
        <row r="943">
          <cell r="A943" t="str">
            <v>30DTV0485J</v>
          </cell>
          <cell r="B943" t="str">
            <v>VICENTE GUERRERO</v>
          </cell>
          <cell r="C943" t="str">
            <v>CONOCIDO</v>
          </cell>
          <cell r="D943" t="str">
            <v>PEDRO PABLO KUMUL AGUIRRE</v>
          </cell>
          <cell r="E943">
            <v>49</v>
          </cell>
          <cell r="F943">
            <v>12</v>
          </cell>
          <cell r="G943" t="str">
            <v>MISANTLA</v>
          </cell>
          <cell r="H943" t="str">
            <v>VICENTE GUERRERO</v>
          </cell>
        </row>
        <row r="944">
          <cell r="A944" t="str">
            <v>30DTV0875Z</v>
          </cell>
          <cell r="B944" t="str">
            <v>IGNACIO ZARAGOZA</v>
          </cell>
          <cell r="C944" t="str">
            <v>CONOCIDO</v>
          </cell>
          <cell r="D944" t="str">
            <v>DORANTES LOEZA RAUL ROSARIO</v>
          </cell>
          <cell r="E944">
            <v>49</v>
          </cell>
          <cell r="F944">
            <v>12</v>
          </cell>
          <cell r="G944" t="str">
            <v>MISANTLA</v>
          </cell>
          <cell r="H944" t="str">
            <v>VILLA NUEVA</v>
          </cell>
        </row>
        <row r="945">
          <cell r="A945" t="str">
            <v>30DTV1197Y</v>
          </cell>
          <cell r="B945" t="str">
            <v>5 DE FEBRERO</v>
          </cell>
          <cell r="C945" t="str">
            <v>CONOCIDO</v>
          </cell>
          <cell r="D945" t="str">
            <v>MIGUEL CAMACHO TRUJILLO</v>
          </cell>
          <cell r="E945">
            <v>49</v>
          </cell>
          <cell r="F945">
            <v>12</v>
          </cell>
          <cell r="G945" t="str">
            <v>MISANTLA</v>
          </cell>
          <cell r="H945" t="str">
            <v>LOS TRAPICHES</v>
          </cell>
        </row>
        <row r="946">
          <cell r="A946" t="str">
            <v>30DTV1500S</v>
          </cell>
          <cell r="B946" t="str">
            <v>OCTAVIO PAZ</v>
          </cell>
          <cell r="C946" t="str">
            <v>CONOCIDO</v>
          </cell>
          <cell r="D946" t="str">
            <v>MARTHA NITZI CARGAS COLUMNA</v>
          </cell>
          <cell r="E946">
            <v>49</v>
          </cell>
          <cell r="F946">
            <v>12</v>
          </cell>
          <cell r="G946" t="str">
            <v>MISANTLA</v>
          </cell>
          <cell r="H946" t="str">
            <v>LAS LOMAS</v>
          </cell>
        </row>
        <row r="947">
          <cell r="A947" t="str">
            <v>30DTV1039I</v>
          </cell>
          <cell r="B947" t="str">
            <v>PAXIL</v>
          </cell>
          <cell r="C947" t="str">
            <v>CALLE PRINCIPAL</v>
          </cell>
          <cell r="D947" t="str">
            <v>ENA CRUZ HERNANDEZ</v>
          </cell>
          <cell r="E947">
            <v>49</v>
          </cell>
          <cell r="F947">
            <v>12</v>
          </cell>
          <cell r="G947" t="str">
            <v>MISANTLA</v>
          </cell>
          <cell r="H947" t="str">
            <v>MORELOS</v>
          </cell>
        </row>
        <row r="948">
          <cell r="A948" t="str">
            <v>30DTV0745F</v>
          </cell>
          <cell r="B948" t="str">
            <v>SOR JUANA INES DE LA CRUZ</v>
          </cell>
          <cell r="C948" t="str">
            <v>CONOCIDO</v>
          </cell>
          <cell r="D948" t="str">
            <v>ARSENIA PATRICIA HERNANDEZ Y PEREZ</v>
          </cell>
          <cell r="E948">
            <v>49</v>
          </cell>
          <cell r="F948">
            <v>12</v>
          </cell>
          <cell r="G948" t="str">
            <v>MISANTLA</v>
          </cell>
          <cell r="H948" t="str">
            <v>PUERTO PALCHAN</v>
          </cell>
        </row>
        <row r="949">
          <cell r="A949" t="str">
            <v>30DTV1253Z</v>
          </cell>
          <cell r="B949" t="str">
            <v>LUIS DONALDO COLOSIO MURRIETA</v>
          </cell>
          <cell r="C949" t="str">
            <v>CONOCIDO</v>
          </cell>
          <cell r="D949" t="str">
            <v>AURELIO CARRERA OROSTICO</v>
          </cell>
          <cell r="E949">
            <v>49</v>
          </cell>
          <cell r="F949">
            <v>12</v>
          </cell>
          <cell r="G949" t="str">
            <v>MISANTLA</v>
          </cell>
          <cell r="H949" t="str">
            <v>LOMA DEL MIRASOL</v>
          </cell>
        </row>
        <row r="950">
          <cell r="A950" t="str">
            <v>30DTV0210V</v>
          </cell>
          <cell r="B950" t="str">
            <v>CUAUHTEMOC</v>
          </cell>
          <cell r="C950" t="str">
            <v>JORGE SERDAN S/N</v>
          </cell>
          <cell r="D950" t="str">
            <v>FELIX ALONSO MONTOYA</v>
          </cell>
          <cell r="E950">
            <v>49</v>
          </cell>
          <cell r="F950">
            <v>12</v>
          </cell>
          <cell r="G950" t="str">
            <v>TENOCHTITLAN</v>
          </cell>
          <cell r="H950" t="str">
            <v>TENOCHTITLAN</v>
          </cell>
        </row>
        <row r="951">
          <cell r="A951" t="str">
            <v>30DTV0503I</v>
          </cell>
          <cell r="B951" t="str">
            <v>JULIAN CARRILLO</v>
          </cell>
          <cell r="C951" t="str">
            <v>CONOCIDO</v>
          </cell>
          <cell r="D951" t="str">
            <v>DANIEL ALBERTO SANCHEZ BASILIO</v>
          </cell>
          <cell r="E951">
            <v>49</v>
          </cell>
          <cell r="F951">
            <v>12</v>
          </cell>
          <cell r="G951" t="str">
            <v>TENOCHTITLAN</v>
          </cell>
          <cell r="H951" t="str">
            <v>EL COLORADO</v>
          </cell>
        </row>
        <row r="952">
          <cell r="A952" t="str">
            <v>30DTV0171J</v>
          </cell>
          <cell r="B952" t="str">
            <v>JOSEFA ORTIZ DE DOMINGUEZ</v>
          </cell>
          <cell r="C952" t="str">
            <v>CONOCIDO</v>
          </cell>
          <cell r="D952" t="str">
            <v>EDUARDO GUEVARA MEZA</v>
          </cell>
          <cell r="E952">
            <v>49</v>
          </cell>
          <cell r="F952">
            <v>12</v>
          </cell>
          <cell r="G952" t="str">
            <v>YECUATLA</v>
          </cell>
          <cell r="H952" t="str">
            <v>LEONA VICARIO</v>
          </cell>
        </row>
        <row r="953">
          <cell r="A953" t="str">
            <v>30DTV0155S</v>
          </cell>
          <cell r="B953" t="str">
            <v>EMILIANO ZAPATA</v>
          </cell>
          <cell r="C953" t="str">
            <v>16 DE SEPTIEMBRE S/N</v>
          </cell>
          <cell r="D953" t="str">
            <v>RAMON SILVIA MONTIEL</v>
          </cell>
          <cell r="E953">
            <v>50</v>
          </cell>
          <cell r="F953">
            <v>13</v>
          </cell>
          <cell r="G953" t="str">
            <v>APAZAPAN</v>
          </cell>
          <cell r="H953" t="str">
            <v>APAZAPAN</v>
          </cell>
        </row>
        <row r="954">
          <cell r="A954" t="str">
            <v>30DTV0538Y</v>
          </cell>
          <cell r="B954" t="str">
            <v>ADOLFO LOPEZ MATEOS</v>
          </cell>
          <cell r="C954" t="str">
            <v>CONOCIDO</v>
          </cell>
          <cell r="D954" t="str">
            <v>ELIODIN GARCIA FLORES</v>
          </cell>
          <cell r="E954">
            <v>50</v>
          </cell>
          <cell r="F954">
            <v>13</v>
          </cell>
          <cell r="G954" t="str">
            <v>APAZAPAN</v>
          </cell>
          <cell r="H954" t="str">
            <v>AGUA CALIENTE</v>
          </cell>
        </row>
        <row r="955">
          <cell r="A955" t="str">
            <v>30DTV0539X</v>
          </cell>
          <cell r="B955" t="str">
            <v>FRANCISCO JAVIER CLAVIJERO</v>
          </cell>
          <cell r="C955" t="str">
            <v>CONOCIDO</v>
          </cell>
          <cell r="D955" t="str">
            <v>EDUVINA ESPINOZA DIAZ</v>
          </cell>
          <cell r="E955">
            <v>50</v>
          </cell>
          <cell r="F955">
            <v>13</v>
          </cell>
          <cell r="G955" t="str">
            <v>APAZAPAN</v>
          </cell>
          <cell r="H955" t="str">
            <v>CHAHUAPAN</v>
          </cell>
        </row>
        <row r="956">
          <cell r="A956" t="str">
            <v>30DTV0272H</v>
          </cell>
          <cell r="B956" t="str">
            <v>MIGUEL HIDALGO Y COSTILLA</v>
          </cell>
          <cell r="C956" t="str">
            <v>INDEPENDENCIA NUM. 5</v>
          </cell>
          <cell r="D956" t="str">
            <v>HONORIO PEREZ NAVARRO</v>
          </cell>
          <cell r="E956">
            <v>50</v>
          </cell>
          <cell r="F956">
            <v>13</v>
          </cell>
          <cell r="G956" t="str">
            <v>APAZAPAN</v>
          </cell>
          <cell r="H956" t="str">
            <v>CERRO COLORADO (ESTACION APAZAPAN)</v>
          </cell>
        </row>
        <row r="957">
          <cell r="A957" t="str">
            <v>30DTV0540M</v>
          </cell>
          <cell r="B957" t="str">
            <v>LUIS DONALDO COLOSIO MURRIETA</v>
          </cell>
          <cell r="C957" t="str">
            <v>CONOCIDO</v>
          </cell>
          <cell r="D957" t="str">
            <v>FRANCISCO GUARDIA MEJIA</v>
          </cell>
          <cell r="E957">
            <v>50</v>
          </cell>
          <cell r="F957">
            <v>13</v>
          </cell>
          <cell r="G957" t="str">
            <v>EMILIANO ZAPATA</v>
          </cell>
          <cell r="H957" t="str">
            <v>CERRO GORDO</v>
          </cell>
        </row>
        <row r="958">
          <cell r="A958" t="str">
            <v>30DTV0265Y</v>
          </cell>
          <cell r="B958" t="str">
            <v>RAFAEL RAMIREZ</v>
          </cell>
          <cell r="C958" t="str">
            <v>20 DE NOVIEMBRE S/N</v>
          </cell>
          <cell r="D958" t="str">
            <v>GILBERTO PEREZ CUERVO</v>
          </cell>
          <cell r="E958">
            <v>50</v>
          </cell>
          <cell r="F958">
            <v>13</v>
          </cell>
          <cell r="G958" t="str">
            <v>EMILIANO ZAPATA</v>
          </cell>
          <cell r="H958" t="str">
            <v>EL PALMAR (ESTACION EL PALMAR)</v>
          </cell>
        </row>
        <row r="959">
          <cell r="A959" t="str">
            <v>30DTV0541L</v>
          </cell>
          <cell r="B959" t="str">
            <v>EMILIANO ZAPATA</v>
          </cell>
          <cell r="C959" t="str">
            <v>CONOCIDO</v>
          </cell>
          <cell r="D959" t="str">
            <v>GLORIA MORALES GARCIA</v>
          </cell>
          <cell r="E959">
            <v>50</v>
          </cell>
          <cell r="F959">
            <v>13</v>
          </cell>
          <cell r="G959" t="str">
            <v>EMILIANO ZAPATA</v>
          </cell>
          <cell r="H959" t="str">
            <v>PINOLTEPEC</v>
          </cell>
        </row>
        <row r="960">
          <cell r="A960" t="str">
            <v>30DTV0472F</v>
          </cell>
          <cell r="B960" t="str">
            <v>JOSE VASCONCELOS</v>
          </cell>
          <cell r="C960" t="str">
            <v>CONSTITUCION S/N</v>
          </cell>
          <cell r="D960" t="str">
            <v>PEREZ PABLO EDUARDO</v>
          </cell>
          <cell r="E960">
            <v>50</v>
          </cell>
          <cell r="F960">
            <v>13</v>
          </cell>
          <cell r="G960" t="str">
            <v>EMILIANO ZAPATA</v>
          </cell>
          <cell r="H960" t="str">
            <v>EL ROBLE</v>
          </cell>
        </row>
        <row r="961">
          <cell r="A961" t="str">
            <v>30DTV0168W</v>
          </cell>
          <cell r="B961" t="str">
            <v>NICOLAS BRAVO</v>
          </cell>
          <cell r="C961" t="str">
            <v>TOLUCA NUM. 201</v>
          </cell>
          <cell r="D961" t="str">
            <v>SERGIO JORGE VALENCIA TORRES</v>
          </cell>
          <cell r="E961">
            <v>50</v>
          </cell>
          <cell r="F961">
            <v>13</v>
          </cell>
          <cell r="G961" t="str">
            <v>XALAPA</v>
          </cell>
          <cell r="H961" t="str">
            <v>XALAPA-ENRIQUEZ</v>
          </cell>
        </row>
        <row r="962">
          <cell r="A962" t="str">
            <v>30DTV0168W</v>
          </cell>
          <cell r="B962" t="str">
            <v>NICOLAS BRAVO</v>
          </cell>
          <cell r="C962" t="str">
            <v>TOLUCA NUM. 201</v>
          </cell>
          <cell r="D962" t="str">
            <v>SERGIO JORGE VALENCIA TORRES</v>
          </cell>
          <cell r="E962">
            <v>50</v>
          </cell>
          <cell r="F962">
            <v>13</v>
          </cell>
          <cell r="G962" t="str">
            <v>XALAPA</v>
          </cell>
          <cell r="H962" t="str">
            <v>XALAPA-ENRIQUEZ</v>
          </cell>
        </row>
        <row r="963">
          <cell r="A963" t="str">
            <v>30DTV0580N</v>
          </cell>
          <cell r="B963" t="str">
            <v>CAROLINO ANAYA</v>
          </cell>
          <cell r="C963" t="str">
            <v>RIO SOTO LA MARINA</v>
          </cell>
          <cell r="D963" t="str">
            <v>BERTIN GALINDO VICENCIO</v>
          </cell>
          <cell r="E963">
            <v>50</v>
          </cell>
          <cell r="F963">
            <v>13</v>
          </cell>
          <cell r="G963" t="str">
            <v>XALAPA</v>
          </cell>
          <cell r="H963" t="str">
            <v>XALAPA-ENRIQUEZ</v>
          </cell>
        </row>
        <row r="964">
          <cell r="A964" t="str">
            <v>30DTV0580N</v>
          </cell>
          <cell r="B964" t="str">
            <v>CAROLINO ANAYA</v>
          </cell>
          <cell r="C964" t="str">
            <v>RIO SOTO LA MARINA</v>
          </cell>
          <cell r="D964" t="str">
            <v>BERTIN GALINDO VICENCIO</v>
          </cell>
          <cell r="E964">
            <v>50</v>
          </cell>
          <cell r="F964">
            <v>13</v>
          </cell>
          <cell r="G964" t="str">
            <v>XALAPA</v>
          </cell>
          <cell r="H964" t="str">
            <v>XALAPA-ENRIQUEZ</v>
          </cell>
        </row>
        <row r="965">
          <cell r="A965" t="str">
            <v>30DTV1618Q</v>
          </cell>
          <cell r="B965" t="str">
            <v>AURELIANO HERNANDEZ PALACIOS</v>
          </cell>
          <cell r="C965" t="str">
            <v>FRANCISCO I. MADERO NUM. 4</v>
          </cell>
          <cell r="D965" t="str">
            <v>ELVIRA GARCIA MARTINEZ</v>
          </cell>
          <cell r="E965">
            <v>50</v>
          </cell>
          <cell r="F965">
            <v>13</v>
          </cell>
          <cell r="G965" t="str">
            <v>XALAPA</v>
          </cell>
          <cell r="H965" t="str">
            <v>XALAPA-ENRIQUEZ</v>
          </cell>
        </row>
        <row r="966">
          <cell r="A966" t="str">
            <v>30DTV0631D</v>
          </cell>
          <cell r="B966" t="str">
            <v>JESUS REYES HEROLES</v>
          </cell>
          <cell r="C966" t="str">
            <v>AVENIDA 1 DE ENERO NUM. 4</v>
          </cell>
          <cell r="D966" t="str">
            <v>RAFAEL ARROYO VILLEGAS</v>
          </cell>
          <cell r="E966">
            <v>50</v>
          </cell>
          <cell r="F966">
            <v>13</v>
          </cell>
          <cell r="G966" t="str">
            <v>XALAPA</v>
          </cell>
          <cell r="H966" t="str">
            <v>LAS TRANCAS</v>
          </cell>
        </row>
        <row r="967">
          <cell r="A967" t="str">
            <v>30DTV0351U</v>
          </cell>
          <cell r="B967" t="str">
            <v>HERIBERTO JARA CORONA</v>
          </cell>
          <cell r="C967" t="str">
            <v>URSULO GALVAN NUM. 151</v>
          </cell>
          <cell r="D967" t="str">
            <v>PRISCILIANO CRUZ VAZQUEZ</v>
          </cell>
          <cell r="E967">
            <v>50</v>
          </cell>
          <cell r="F967">
            <v>13</v>
          </cell>
          <cell r="G967" t="str">
            <v>JALCOMULCO</v>
          </cell>
          <cell r="H967" t="str">
            <v>JALCOMULCO</v>
          </cell>
        </row>
        <row r="968">
          <cell r="A968" t="str">
            <v>30DTV1535H</v>
          </cell>
          <cell r="B968" t="str">
            <v>SALVADOR DIAZ MIRON</v>
          </cell>
          <cell r="C968" t="str">
            <v>CONOCIDO</v>
          </cell>
          <cell r="D968" t="str">
            <v>SANDRA CECILIA GONZALEZ GUZMAN</v>
          </cell>
          <cell r="E968">
            <v>51</v>
          </cell>
          <cell r="F968">
            <v>3</v>
          </cell>
          <cell r="G968" t="str">
            <v>ACULTZINGO</v>
          </cell>
          <cell r="H968" t="str">
            <v>ACATLA</v>
          </cell>
        </row>
        <row r="969">
          <cell r="A969" t="str">
            <v>30DTV1655U</v>
          </cell>
          <cell r="B969" t="str">
            <v>LEYES DE REFORMA</v>
          </cell>
          <cell r="C969" t="str">
            <v>FRENTE A LA CASA DE SALUD</v>
          </cell>
          <cell r="D969" t="str">
            <v>ADRIANA CONTRERAS IRENE</v>
          </cell>
          <cell r="E969">
            <v>51</v>
          </cell>
          <cell r="F969">
            <v>3</v>
          </cell>
          <cell r="G969" t="str">
            <v>ACULTZINGO</v>
          </cell>
          <cell r="H969" t="str">
            <v>VISTAHERMOSA</v>
          </cell>
        </row>
        <row r="970">
          <cell r="A970" t="str">
            <v>30DTV1661E</v>
          </cell>
          <cell r="B970" t="str">
            <v>SIMON BOLIVAR</v>
          </cell>
          <cell r="C970" t="str">
            <v>A 30 METROS DE LA ESCUELA, A UN COSTADO DEL TEMPLO</v>
          </cell>
          <cell r="D970" t="str">
            <v>ORLANDO MARTINEZ SAYAGO</v>
          </cell>
          <cell r="E970">
            <v>51</v>
          </cell>
          <cell r="F970">
            <v>3</v>
          </cell>
          <cell r="G970" t="str">
            <v>ACULTZINGO</v>
          </cell>
          <cell r="H970" t="str">
            <v>LINDA VISTA</v>
          </cell>
        </row>
        <row r="971">
          <cell r="A971" t="str">
            <v>30DTV1341U</v>
          </cell>
          <cell r="B971" t="str">
            <v>ALVARO GALVES Y FUENTES</v>
          </cell>
          <cell r="C971" t="str">
            <v>CENTRO</v>
          </cell>
          <cell r="D971" t="str">
            <v>OSIEL FELIPE HERNANDEZ GUTIERREZ</v>
          </cell>
          <cell r="E971">
            <v>51</v>
          </cell>
          <cell r="F971">
            <v>3</v>
          </cell>
          <cell r="G971" t="str">
            <v>AQUILA</v>
          </cell>
          <cell r="H971" t="str">
            <v>AQUILA</v>
          </cell>
        </row>
        <row r="972">
          <cell r="A972" t="str">
            <v>30DTV1536G</v>
          </cell>
          <cell r="B972" t="str">
            <v>TELESECUNDARIA</v>
          </cell>
          <cell r="C972" t="str">
            <v>CONOCIDO</v>
          </cell>
          <cell r="D972" t="str">
            <v>MAGALI MARIN ALVAREZ</v>
          </cell>
          <cell r="E972">
            <v>51</v>
          </cell>
          <cell r="F972">
            <v>3</v>
          </cell>
          <cell r="G972" t="str">
            <v>AQUILA</v>
          </cell>
          <cell r="H972" t="str">
            <v>CUMBRES DE AQUILA</v>
          </cell>
        </row>
        <row r="973">
          <cell r="A973" t="str">
            <v>30DTV0722V</v>
          </cell>
          <cell r="B973" t="str">
            <v>NETZAHUALCOYOTL</v>
          </cell>
          <cell r="C973" t="str">
            <v>JUNTO AL PARQUE</v>
          </cell>
          <cell r="D973" t="str">
            <v>MIRANDA ROSAS CUAUHTEMOC F.</v>
          </cell>
          <cell r="E973">
            <v>51</v>
          </cell>
          <cell r="F973">
            <v>3</v>
          </cell>
          <cell r="G973" t="str">
            <v>ASTACINGA</v>
          </cell>
          <cell r="H973" t="str">
            <v>ASTACINGA</v>
          </cell>
        </row>
        <row r="974">
          <cell r="A974" t="str">
            <v>30DTV1668Y</v>
          </cell>
          <cell r="B974" t="str">
            <v>CUAUHTEMOC</v>
          </cell>
          <cell r="C974" t="str">
            <v>EN LA AGENCIA MUNICIPAL</v>
          </cell>
          <cell r="D974" t="str">
            <v>NAARA LIDIA PEREZ ALEJO</v>
          </cell>
          <cell r="E974">
            <v>51</v>
          </cell>
          <cell r="F974">
            <v>3</v>
          </cell>
          <cell r="G974" t="str">
            <v>ASTACINGA</v>
          </cell>
          <cell r="H974" t="str">
            <v>ACUAYUCAN</v>
          </cell>
        </row>
        <row r="975">
          <cell r="A975" t="str">
            <v>30DTV0525U</v>
          </cell>
          <cell r="B975" t="str">
            <v>BENITO JUAREZ GARCIA</v>
          </cell>
          <cell r="C975" t="str">
            <v>BENITO JUAREZ S/N</v>
          </cell>
          <cell r="D975" t="str">
            <v>ANTONIO GONZALEZ AARON</v>
          </cell>
          <cell r="E975">
            <v>51</v>
          </cell>
          <cell r="F975">
            <v>3</v>
          </cell>
          <cell r="G975" t="str">
            <v>ATLAHUILCO</v>
          </cell>
          <cell r="H975" t="str">
            <v>ATLAHUILCO</v>
          </cell>
        </row>
        <row r="976">
          <cell r="A976" t="str">
            <v>30DTV1656T</v>
          </cell>
          <cell r="B976" t="str">
            <v>FRANCISCO VILLA</v>
          </cell>
          <cell r="C976" t="str">
            <v>LOCAL DE AGENCIA MUNICIPAL</v>
          </cell>
          <cell r="D976" t="str">
            <v>SARA LUQUEZ SANCHEZ</v>
          </cell>
          <cell r="E976">
            <v>51</v>
          </cell>
          <cell r="F976">
            <v>3</v>
          </cell>
          <cell r="G976" t="str">
            <v>ATLAHUILCO</v>
          </cell>
          <cell r="H976" t="str">
            <v>ACULTZINAPA (SAN MIGUELITO)</v>
          </cell>
        </row>
        <row r="977">
          <cell r="A977" t="str">
            <v>30DTV1309L</v>
          </cell>
          <cell r="B977" t="str">
            <v>NIÐOS HEROES</v>
          </cell>
          <cell r="C977" t="str">
            <v>CONOCIDO</v>
          </cell>
          <cell r="D977" t="str">
            <v>JUAN OBED JUAREZ RODRIGUEZ</v>
          </cell>
          <cell r="E977">
            <v>51</v>
          </cell>
          <cell r="F977">
            <v>3</v>
          </cell>
          <cell r="G977" t="str">
            <v>ATLAHUILCO</v>
          </cell>
          <cell r="H977" t="str">
            <v>ZACAMILOLA</v>
          </cell>
        </row>
        <row r="978">
          <cell r="A978" t="str">
            <v>30DTV1652X</v>
          </cell>
          <cell r="B978" t="str">
            <v>TELESECUNDARIA</v>
          </cell>
          <cell r="C978" t="str">
            <v>SUBAGENCIA MUNICIPAL</v>
          </cell>
          <cell r="D978" t="str">
            <v>RODOLFO ACOSTA TORRES</v>
          </cell>
          <cell r="E978">
            <v>51</v>
          </cell>
          <cell r="F978">
            <v>3</v>
          </cell>
          <cell r="G978" t="str">
            <v>ATLAHUILCO</v>
          </cell>
          <cell r="H978" t="str">
            <v>TERRERO</v>
          </cell>
        </row>
        <row r="979">
          <cell r="A979" t="str">
            <v>30DTV0998I</v>
          </cell>
          <cell r="B979" t="str">
            <v>5 DE MAYO</v>
          </cell>
          <cell r="C979" t="str">
            <v>CONOCIDO</v>
          </cell>
          <cell r="D979" t="str">
            <v>CRESCENCIA RIVERA VAZQUEZ</v>
          </cell>
          <cell r="E979">
            <v>51</v>
          </cell>
          <cell r="F979">
            <v>3</v>
          </cell>
          <cell r="G979" t="str">
            <v>CAMERINO Z. MENDOZA</v>
          </cell>
          <cell r="H979" t="str">
            <v>LA CUESTA</v>
          </cell>
        </row>
        <row r="980">
          <cell r="A980" t="str">
            <v>30DTV1461G</v>
          </cell>
          <cell r="B980" t="str">
            <v>VENUSTIANO CARRANZA</v>
          </cell>
          <cell r="C980" t="str">
            <v>CONOCIDO</v>
          </cell>
          <cell r="D980" t="str">
            <v>MONICA DEL REFUGIO SOTO LARIOS</v>
          </cell>
          <cell r="E980">
            <v>51</v>
          </cell>
          <cell r="F980">
            <v>3</v>
          </cell>
          <cell r="G980" t="str">
            <v>CAMERINO Z. MENDOZA</v>
          </cell>
          <cell r="H980" t="str">
            <v>NECOXTLA</v>
          </cell>
        </row>
        <row r="981">
          <cell r="A981" t="str">
            <v>30DTV0027X</v>
          </cell>
          <cell r="B981" t="str">
            <v>LAZARO CARDENAS DEL RIO</v>
          </cell>
          <cell r="C981" t="str">
            <v>CASA DEL CAMPESINO ALTOS</v>
          </cell>
          <cell r="D981" t="str">
            <v>IRAIS MONTIEL FLORES</v>
          </cell>
          <cell r="E981">
            <v>51</v>
          </cell>
          <cell r="F981">
            <v>3</v>
          </cell>
          <cell r="G981" t="str">
            <v>IXTACZOQUITLAN</v>
          </cell>
          <cell r="H981" t="str">
            <v>TUXPANGUILLO</v>
          </cell>
        </row>
        <row r="982">
          <cell r="A982" t="str">
            <v>30DTV1769W</v>
          </cell>
          <cell r="B982" t="str">
            <v>TELESECUNDARIA</v>
          </cell>
          <cell r="C982" t="str">
            <v>EN LA CASA DE SALUD A UN COSTADO DE LA PRIMARIA PATRIA</v>
          </cell>
          <cell r="D982" t="str">
            <v>RUT GUADALUPE LOYO MELCHOR</v>
          </cell>
          <cell r="E982">
            <v>51</v>
          </cell>
          <cell r="F982">
            <v>3</v>
          </cell>
          <cell r="G982" t="str">
            <v>MIXTLA DE ALTAMIRANO</v>
          </cell>
          <cell r="H982" t="str">
            <v>TLAXCANTLA (OCOMANALCO)</v>
          </cell>
        </row>
        <row r="983">
          <cell r="A983" t="str">
            <v>30DTV1710X</v>
          </cell>
          <cell r="B983" t="str">
            <v>ANDRES QUINTANA ROO</v>
          </cell>
          <cell r="C983" t="str">
            <v>EN AGENCIA MUNICIPAL</v>
          </cell>
          <cell r="D983" t="str">
            <v>EDY SUSANO AZUA HERRERA</v>
          </cell>
          <cell r="E983">
            <v>51</v>
          </cell>
          <cell r="F983">
            <v>3</v>
          </cell>
          <cell r="G983" t="str">
            <v>MIXTLA DE ALTAMIRANO</v>
          </cell>
          <cell r="H983" t="str">
            <v>XOCHITLA</v>
          </cell>
        </row>
        <row r="984">
          <cell r="A984" t="str">
            <v>30DTV1791Y</v>
          </cell>
          <cell r="B984" t="str">
            <v>DAVID ALFARO SIQUEIROS</v>
          </cell>
          <cell r="C984" t="str">
            <v>EN EL JARDIN DE NIñOS LAZARO CARDENAS DEL RIO</v>
          </cell>
          <cell r="D984" t="str">
            <v>LUIS MANUEL DOMINGUEZ BARRADAS</v>
          </cell>
          <cell r="E984">
            <v>51</v>
          </cell>
          <cell r="F984">
            <v>3</v>
          </cell>
          <cell r="G984" t="str">
            <v>MIXTLA DE ALTAMIRANO</v>
          </cell>
          <cell r="H984" t="str">
            <v>BARRIO CUARTO</v>
          </cell>
        </row>
        <row r="985">
          <cell r="A985" t="str">
            <v>30DTV1711W</v>
          </cell>
          <cell r="B985" t="str">
            <v>JOSE VASCONCELOS</v>
          </cell>
          <cell r="C985" t="str">
            <v>A UN LADO DE LA PRIMARIA</v>
          </cell>
          <cell r="D985" t="str">
            <v>MIGUEL ANGEL MONTIEL CID</v>
          </cell>
          <cell r="E985">
            <v>51</v>
          </cell>
          <cell r="F985">
            <v>3</v>
          </cell>
          <cell r="G985" t="str">
            <v>MIXTLA DE ALTAMIRANO</v>
          </cell>
          <cell r="H985" t="str">
            <v>AXOXOHUILCO</v>
          </cell>
        </row>
        <row r="986">
          <cell r="A986" t="str">
            <v>30DTV1720D</v>
          </cell>
          <cell r="B986" t="str">
            <v>TELESECUNDARIA</v>
          </cell>
          <cell r="C986" t="str">
            <v>ESCUELA PRIMARIA NARCISO MENDOZA</v>
          </cell>
          <cell r="D986" t="str">
            <v>IVAN OSORIO PEREZ</v>
          </cell>
          <cell r="E986">
            <v>51</v>
          </cell>
          <cell r="F986">
            <v>3</v>
          </cell>
          <cell r="G986" t="str">
            <v>RAFAEL DELGADO</v>
          </cell>
          <cell r="H986" t="str">
            <v>TZONCOLCO</v>
          </cell>
        </row>
        <row r="987">
          <cell r="A987" t="str">
            <v>30DTV1261I</v>
          </cell>
          <cell r="B987" t="str">
            <v>JOSE VASCONCELOS</v>
          </cell>
          <cell r="C987" t="str">
            <v>CONOCIDO</v>
          </cell>
          <cell r="D987" t="str">
            <v>SILVIA VILLARINO ZETINA</v>
          </cell>
          <cell r="E987">
            <v>51</v>
          </cell>
          <cell r="F987">
            <v>3</v>
          </cell>
          <cell r="G987" t="str">
            <v>RAFAEL DELGADO</v>
          </cell>
          <cell r="H987" t="str">
            <v>XALTITITLA</v>
          </cell>
        </row>
        <row r="988">
          <cell r="A988" t="str">
            <v>30DTV1657S</v>
          </cell>
          <cell r="B988" t="str">
            <v>RAFAEL DELGADO SAINZ</v>
          </cell>
          <cell r="C988" t="str">
            <v>CALLE LOS ALAMOS FRENTE AL CAMPO DEPORTIVO</v>
          </cell>
          <cell r="D988" t="str">
            <v>CAROLINA OSORIO MENDEZ</v>
          </cell>
          <cell r="E988">
            <v>51</v>
          </cell>
          <cell r="F988">
            <v>3</v>
          </cell>
          <cell r="G988" t="str">
            <v>RAFAEL DELGADO</v>
          </cell>
          <cell r="H988" t="str">
            <v>HUELLETECOXCO</v>
          </cell>
        </row>
        <row r="989">
          <cell r="A989" t="str">
            <v>30DTV1579E</v>
          </cell>
          <cell r="B989" t="str">
            <v>LIBERTAD</v>
          </cell>
          <cell r="C989" t="str">
            <v>CONOCIDO</v>
          </cell>
          <cell r="D989" t="str">
            <v>MILTON CARRERA SAENZ</v>
          </cell>
          <cell r="E989">
            <v>51</v>
          </cell>
          <cell r="F989">
            <v>3</v>
          </cell>
          <cell r="G989" t="str">
            <v>LOS REYES</v>
          </cell>
          <cell r="H989" t="str">
            <v>ATLANCA</v>
          </cell>
        </row>
        <row r="990">
          <cell r="A990" t="str">
            <v>30DTV1654V</v>
          </cell>
          <cell r="B990" t="str">
            <v>FRANCISCO MARQUEZ PANIAGUA</v>
          </cell>
          <cell r="C990" t="str">
            <v>A 10 METROS DEL JARDIN DE NIÑOS BENITO JUAREZ</v>
          </cell>
          <cell r="D990" t="str">
            <v>JORGE BARRIENTOS CLEMENTE</v>
          </cell>
          <cell r="E990">
            <v>51</v>
          </cell>
          <cell r="F990">
            <v>3</v>
          </cell>
          <cell r="G990" t="str">
            <v>LOS REYES</v>
          </cell>
          <cell r="H990" t="str">
            <v>CUACABALLO</v>
          </cell>
        </row>
        <row r="991">
          <cell r="A991" t="str">
            <v>30DTV1333L</v>
          </cell>
          <cell r="B991" t="str">
            <v>ROSARIO CASTELLANOS</v>
          </cell>
          <cell r="C991" t="str">
            <v>C0NOCIDO</v>
          </cell>
          <cell r="D991" t="str">
            <v>MARIA TERESA PIMENTEL CARBAJAL</v>
          </cell>
          <cell r="E991">
            <v>51</v>
          </cell>
          <cell r="F991">
            <v>3</v>
          </cell>
          <cell r="G991" t="str">
            <v>SAN ANDRES TENEJAPAN</v>
          </cell>
          <cell r="H991" t="str">
            <v>SAN ANDRES TENEJAPAN</v>
          </cell>
        </row>
        <row r="992">
          <cell r="A992" t="str">
            <v>30DTV1342T</v>
          </cell>
          <cell r="B992" t="str">
            <v>EMILIANO ZAPATA</v>
          </cell>
          <cell r="C992" t="str">
            <v>CONOCIDO</v>
          </cell>
          <cell r="D992" t="str">
            <v>MAYTE CORTES RAMIREZ</v>
          </cell>
          <cell r="E992">
            <v>51</v>
          </cell>
          <cell r="F992">
            <v>3</v>
          </cell>
          <cell r="G992" t="str">
            <v>SOLEDAD ATZOMPA</v>
          </cell>
          <cell r="H992" t="str">
            <v>ACULTZINAPA</v>
          </cell>
        </row>
        <row r="993">
          <cell r="A993" t="str">
            <v>30DTV0613O</v>
          </cell>
          <cell r="B993" t="str">
            <v>BENITO JUAREZ GARCIA</v>
          </cell>
          <cell r="C993" t="str">
            <v>CONOCIDO</v>
          </cell>
          <cell r="D993" t="str">
            <v>AGUSTIN LOPEZ AGUILAR</v>
          </cell>
          <cell r="E993">
            <v>51</v>
          </cell>
          <cell r="F993">
            <v>3</v>
          </cell>
          <cell r="G993" t="str">
            <v>SOLEDAD ATZOMPA</v>
          </cell>
          <cell r="H993" t="str">
            <v>ATZOMPA</v>
          </cell>
        </row>
        <row r="994">
          <cell r="A994" t="str">
            <v>30DTV1265E</v>
          </cell>
          <cell r="B994" t="str">
            <v>JOSE MARIA MORELOS Y PAVON</v>
          </cell>
          <cell r="C994" t="str">
            <v>CONOCIDO</v>
          </cell>
          <cell r="D994" t="str">
            <v>CARLOS STEVE VERA CANTO</v>
          </cell>
          <cell r="E994">
            <v>51</v>
          </cell>
          <cell r="F994">
            <v>3</v>
          </cell>
          <cell r="G994" t="str">
            <v>SOLEDAD ATZOMPA</v>
          </cell>
          <cell r="H994" t="str">
            <v>TEPAXAPA</v>
          </cell>
        </row>
        <row r="995">
          <cell r="A995" t="str">
            <v>30DTV1343S</v>
          </cell>
          <cell r="B995" t="str">
            <v>RICARDO FLORES MAGON</v>
          </cell>
          <cell r="C995" t="str">
            <v>CONOCIDO</v>
          </cell>
          <cell r="D995" t="str">
            <v>JOSE AMBROSIO MARTINEZ HERNANDEZ</v>
          </cell>
          <cell r="E995">
            <v>51</v>
          </cell>
          <cell r="F995">
            <v>3</v>
          </cell>
          <cell r="G995" t="str">
            <v>SOLEDAD ATZOMPA</v>
          </cell>
          <cell r="H995" t="str">
            <v>TLATILPA</v>
          </cell>
        </row>
        <row r="996">
          <cell r="A996" t="str">
            <v>30DTV0217O</v>
          </cell>
          <cell r="B996" t="str">
            <v>CUAUHTEMOC</v>
          </cell>
          <cell r="C996" t="str">
            <v>DENTRO DEL POBLADO</v>
          </cell>
          <cell r="D996" t="str">
            <v>CONSTANTINO HERNANDEZ MALDONADO</v>
          </cell>
          <cell r="E996">
            <v>51</v>
          </cell>
          <cell r="F996">
            <v>3</v>
          </cell>
          <cell r="G996" t="str">
            <v>TEQUILA</v>
          </cell>
          <cell r="H996" t="str">
            <v>TEQUILA</v>
          </cell>
        </row>
        <row r="997">
          <cell r="A997" t="str">
            <v>30DTV1662D</v>
          </cell>
          <cell r="B997" t="str">
            <v>TELESECUNDARIA</v>
          </cell>
          <cell r="C997" t="str">
            <v>JUNTO A LA PRIMARIA DE LA COMUNIDAD FRENTE A LA IGLESIA</v>
          </cell>
          <cell r="D997" t="str">
            <v>ARACELY DOMINGUEZ ROJAS</v>
          </cell>
          <cell r="E997">
            <v>51</v>
          </cell>
          <cell r="F997">
            <v>3</v>
          </cell>
          <cell r="G997" t="str">
            <v>TEQUILA</v>
          </cell>
          <cell r="H997" t="str">
            <v>COXITITLA</v>
          </cell>
        </row>
        <row r="998">
          <cell r="A998" t="str">
            <v>30DTV1742P</v>
          </cell>
          <cell r="B998" t="str">
            <v>16 DE SEPTIEMBRE</v>
          </cell>
          <cell r="C998" t="str">
            <v>CALLE PRINCIPAL S/N</v>
          </cell>
          <cell r="D998" t="str">
            <v>NOEL JESUS ROMERO ESCAMILLA</v>
          </cell>
          <cell r="E998">
            <v>51</v>
          </cell>
          <cell r="F998">
            <v>3</v>
          </cell>
          <cell r="G998" t="str">
            <v>TEQUILA</v>
          </cell>
          <cell r="H998" t="str">
            <v>OXTOTITLA</v>
          </cell>
        </row>
        <row r="999">
          <cell r="A999" t="str">
            <v>30DTV1444Q</v>
          </cell>
          <cell r="B999" t="str">
            <v>MIGUEL HIDALGO Y COSTILLA</v>
          </cell>
          <cell r="C999" t="str">
            <v>CONOCIDO</v>
          </cell>
          <cell r="D999" t="str">
            <v>VICTOR ODIN CHACON NAVARRETE</v>
          </cell>
          <cell r="E999">
            <v>51</v>
          </cell>
          <cell r="F999">
            <v>3</v>
          </cell>
          <cell r="G999" t="str">
            <v>TEQUILA</v>
          </cell>
          <cell r="H999" t="str">
            <v>TLECUAXCO</v>
          </cell>
        </row>
        <row r="1000">
          <cell r="A1000" t="str">
            <v>30DTV1653W</v>
          </cell>
          <cell r="B1000" t="str">
            <v>CUITLAHUAC</v>
          </cell>
          <cell r="C1000" t="str">
            <v>ACTUALMENTE EN LA ESCUELA PRIMARIA</v>
          </cell>
          <cell r="D1000" t="str">
            <v>ZULY GEORGINA LOPEZ GOMEZ</v>
          </cell>
          <cell r="E1000">
            <v>51</v>
          </cell>
          <cell r="F1000">
            <v>3</v>
          </cell>
          <cell r="G1000" t="str">
            <v>TEQUILA</v>
          </cell>
          <cell r="H1000" t="str">
            <v>MOXALA</v>
          </cell>
        </row>
        <row r="1001">
          <cell r="A1001" t="str">
            <v>30DTV0785G</v>
          </cell>
          <cell r="B1001" t="str">
            <v>BENITO JUAREZ GARCIA</v>
          </cell>
          <cell r="C1001" t="str">
            <v>DENTRO DEL POBLADO</v>
          </cell>
          <cell r="D1001" t="str">
            <v>EUSEBIO RODRIGUEZ CONTRERAS</v>
          </cell>
          <cell r="E1001">
            <v>51</v>
          </cell>
          <cell r="F1001">
            <v>3</v>
          </cell>
          <cell r="G1001" t="str">
            <v>TLAQUILPA</v>
          </cell>
          <cell r="H1001" t="str">
            <v>TLAQUILPA</v>
          </cell>
        </row>
        <row r="1002">
          <cell r="A1002" t="str">
            <v>30DTV1757R</v>
          </cell>
          <cell r="B1002" t="str">
            <v>MARIA ARIAS BERNAL</v>
          </cell>
          <cell r="C1002" t="str">
            <v>CALLE PRINCIPAL DE TONALIXCO</v>
          </cell>
          <cell r="D1002" t="str">
            <v>BRENDA I. HUERTA ABURTO</v>
          </cell>
          <cell r="E1002">
            <v>51</v>
          </cell>
          <cell r="F1002">
            <v>3</v>
          </cell>
          <cell r="G1002" t="str">
            <v>TLILAPAN</v>
          </cell>
          <cell r="H1002" t="str">
            <v>TONALIXCO</v>
          </cell>
        </row>
        <row r="1003">
          <cell r="A1003" t="str">
            <v>30DTV0245K</v>
          </cell>
          <cell r="B1003" t="str">
            <v>JUAN ESCUTIA</v>
          </cell>
          <cell r="C1003" t="str">
            <v>DENTRO DEL POBLADO</v>
          </cell>
          <cell r="D1003" t="str">
            <v>HECTOR SAUL VIVEROS POZOS</v>
          </cell>
          <cell r="E1003">
            <v>51</v>
          </cell>
          <cell r="F1003">
            <v>3</v>
          </cell>
          <cell r="G1003" t="str">
            <v>XOXOCOTLA</v>
          </cell>
          <cell r="H1003" t="str">
            <v>XOXOCOTLA</v>
          </cell>
        </row>
        <row r="1004">
          <cell r="A1004" t="str">
            <v>30DTV1760E</v>
          </cell>
          <cell r="B1004" t="str">
            <v>RAFAEL RAMIREZ CASTAÐEDA</v>
          </cell>
          <cell r="C1004" t="str">
            <v>ENTRE PROXIMA CALLE LINDA ESTRELLA Y LA PRIMARIA  NIÑOS HEROES</v>
          </cell>
          <cell r="D1004" t="str">
            <v>JOSE LUIS RODRIGUEZ PEREZ</v>
          </cell>
          <cell r="E1004">
            <v>51</v>
          </cell>
          <cell r="F1004">
            <v>3</v>
          </cell>
          <cell r="G1004" t="str">
            <v>ZONGOLICA</v>
          </cell>
          <cell r="H1004" t="str">
            <v>TLACUILOLTECATL CHICO (NOGALES)</v>
          </cell>
        </row>
        <row r="1005">
          <cell r="A1005" t="str">
            <v>30DTV0728P</v>
          </cell>
          <cell r="B1005" t="str">
            <v>TELESECUNDARIA</v>
          </cell>
          <cell r="C1005" t="str">
            <v>GENOVEVO DE LA O.</v>
          </cell>
          <cell r="D1005" t="str">
            <v>VICTOR MANUEL ALVARADO COLORADO</v>
          </cell>
          <cell r="E1005">
            <v>52</v>
          </cell>
          <cell r="F1005">
            <v>10</v>
          </cell>
          <cell r="G1005" t="str">
            <v>COSAMALOAPAN DE CARPIO</v>
          </cell>
          <cell r="H1005" t="str">
            <v>COSAMALOAPAN</v>
          </cell>
        </row>
        <row r="1006">
          <cell r="A1006" t="str">
            <v>30DTV0436A</v>
          </cell>
          <cell r="B1006" t="str">
            <v>MANUEL ACUÐA</v>
          </cell>
          <cell r="C1006" t="str">
            <v>5 DE FEBRERO ESQUINA 21 DE MARZO</v>
          </cell>
          <cell r="D1006" t="str">
            <v>MARIA LUISA RUIZ LOPEZ</v>
          </cell>
          <cell r="E1006">
            <v>52</v>
          </cell>
          <cell r="F1006">
            <v>10</v>
          </cell>
          <cell r="G1006" t="str">
            <v>COSAMALOAPAN DE CARPIO</v>
          </cell>
          <cell r="H1006" t="str">
            <v>SAN ANTONIO TEXAS</v>
          </cell>
        </row>
        <row r="1007">
          <cell r="A1007" t="str">
            <v>30DTV0093W</v>
          </cell>
          <cell r="B1007" t="str">
            <v>ANGEL ESTRADA LOYO</v>
          </cell>
          <cell r="C1007" t="str">
            <v>AVENIDA REFORMA S/N ESQUINA VICENTE GUERRERO</v>
          </cell>
          <cell r="D1007" t="str">
            <v>BALNCA LETICIA SOLANO CAPI</v>
          </cell>
          <cell r="E1007">
            <v>52</v>
          </cell>
          <cell r="F1007">
            <v>10</v>
          </cell>
          <cell r="G1007" t="str">
            <v>CHACALTIANGUIS</v>
          </cell>
          <cell r="H1007" t="str">
            <v>CHACALTIANGUIS</v>
          </cell>
        </row>
        <row r="1008">
          <cell r="A1008" t="str">
            <v>30DTV0523W</v>
          </cell>
          <cell r="B1008" t="str">
            <v>JUSTO SIERRA</v>
          </cell>
          <cell r="C1008" t="str">
            <v>CONOCIDO</v>
          </cell>
          <cell r="D1008" t="str">
            <v>OLGA MARGARITA NERI PATIðO</v>
          </cell>
          <cell r="E1008">
            <v>52</v>
          </cell>
          <cell r="F1008">
            <v>10</v>
          </cell>
          <cell r="G1008" t="str">
            <v>CHACALTIANGUIS</v>
          </cell>
          <cell r="H1008" t="str">
            <v>JOACHIN</v>
          </cell>
        </row>
        <row r="1009">
          <cell r="A1009" t="str">
            <v>30DTV0524V</v>
          </cell>
          <cell r="B1009" t="str">
            <v>JESUS REYES HEROLES</v>
          </cell>
          <cell r="C1009" t="str">
            <v>CONOCIDO</v>
          </cell>
          <cell r="D1009" t="str">
            <v>PAULA VAZQUEZ BRAVO</v>
          </cell>
          <cell r="E1009">
            <v>52</v>
          </cell>
          <cell r="F1009">
            <v>10</v>
          </cell>
          <cell r="G1009" t="str">
            <v>CHACALTIANGUIS</v>
          </cell>
          <cell r="H1009" t="str">
            <v>LAGUNA DE LAGARTO</v>
          </cell>
        </row>
        <row r="1010">
          <cell r="A1010" t="str">
            <v>30DTV0849A</v>
          </cell>
          <cell r="B1010" t="str">
            <v>MANUEL GUTIERREZ NAJERA</v>
          </cell>
          <cell r="C1010" t="str">
            <v>CONOCIDO</v>
          </cell>
          <cell r="D1010" t="str">
            <v>MARISOL REYES HERNANDEZ</v>
          </cell>
          <cell r="E1010">
            <v>52</v>
          </cell>
          <cell r="F1010">
            <v>10</v>
          </cell>
          <cell r="G1010" t="str">
            <v>CHACALTIANGUIS</v>
          </cell>
          <cell r="H1010" t="str">
            <v>MATA DE CAÑA</v>
          </cell>
        </row>
        <row r="1011">
          <cell r="A1011" t="str">
            <v>30DTV0322Z</v>
          </cell>
          <cell r="B1011" t="str">
            <v>EMILIANO ZAPATA</v>
          </cell>
          <cell r="C1011" t="str">
            <v>CONOCIDO</v>
          </cell>
          <cell r="D1011" t="str">
            <v>ELOY CORRO NIETO</v>
          </cell>
          <cell r="E1011">
            <v>52</v>
          </cell>
          <cell r="F1011">
            <v>10</v>
          </cell>
          <cell r="G1011" t="str">
            <v>CHACALTIANGUIS</v>
          </cell>
          <cell r="H1011" t="str">
            <v>MOYOTA</v>
          </cell>
        </row>
        <row r="1012">
          <cell r="A1012" t="str">
            <v>30DTV0430G</v>
          </cell>
          <cell r="B1012" t="str">
            <v>HERIBERTO JARA CORONA</v>
          </cell>
          <cell r="C1012" t="str">
            <v>CONOCIDO</v>
          </cell>
          <cell r="D1012" t="str">
            <v>MARIA ANGELICA SAGRARIO CONTRERAS ARENAS</v>
          </cell>
          <cell r="E1012">
            <v>52</v>
          </cell>
          <cell r="F1012">
            <v>10</v>
          </cell>
          <cell r="G1012" t="str">
            <v>CHACALTIANGUIS</v>
          </cell>
          <cell r="H1012" t="str">
            <v>PASO DEL CURA</v>
          </cell>
        </row>
        <row r="1013">
          <cell r="A1013" t="str">
            <v>30DTV0867Q</v>
          </cell>
          <cell r="B1013" t="str">
            <v>TELESECUNDARIA</v>
          </cell>
          <cell r="C1013" t="str">
            <v>CONOCIDO</v>
          </cell>
          <cell r="D1013" t="str">
            <v>LILIANA TRONCO SANCHEZ</v>
          </cell>
          <cell r="E1013">
            <v>52</v>
          </cell>
          <cell r="F1013">
            <v>10</v>
          </cell>
          <cell r="G1013" t="str">
            <v>CHACALTIANGUIS</v>
          </cell>
          <cell r="H1013" t="str">
            <v>LAS SABANETAS</v>
          </cell>
        </row>
        <row r="1014">
          <cell r="A1014" t="str">
            <v>30DTV0319L</v>
          </cell>
          <cell r="B1014" t="str">
            <v>MIGUEL HIDALGO Y COSTILLA</v>
          </cell>
          <cell r="C1014" t="str">
            <v>CONOCIDO</v>
          </cell>
          <cell r="D1014" t="str">
            <v>OMAR CHAVEZ TORRECILLA</v>
          </cell>
          <cell r="E1014">
            <v>52</v>
          </cell>
          <cell r="F1014">
            <v>10</v>
          </cell>
          <cell r="G1014" t="str">
            <v>CHACALTIANGUIS</v>
          </cell>
          <cell r="H1014" t="str">
            <v>TORNO LARGO</v>
          </cell>
        </row>
        <row r="1015">
          <cell r="A1015" t="str">
            <v>30DTV0124Z</v>
          </cell>
          <cell r="B1015" t="str">
            <v>JUAN ESCUTIA</v>
          </cell>
          <cell r="C1015" t="str">
            <v>BOULEVARD 5 DE MAYO Y GPE VICTORIA</v>
          </cell>
          <cell r="D1015" t="str">
            <v>CELSO BLANCO MORALES</v>
          </cell>
          <cell r="E1015">
            <v>52</v>
          </cell>
          <cell r="F1015">
            <v>10</v>
          </cell>
          <cell r="G1015" t="str">
            <v>TLACOJALPAN</v>
          </cell>
          <cell r="H1015" t="str">
            <v>TLACOJALPAN</v>
          </cell>
        </row>
        <row r="1016">
          <cell r="A1016" t="str">
            <v>30DTV0034G</v>
          </cell>
          <cell r="B1016" t="str">
            <v>ALVARO GALVEZ Y FUENTES</v>
          </cell>
          <cell r="C1016" t="str">
            <v>FRANCISCO I. MADERO Y NORTE NUM. 1</v>
          </cell>
          <cell r="D1016" t="str">
            <v>GLORIA ALBERTA ORTEGA RODRIGUEZ</v>
          </cell>
          <cell r="E1016">
            <v>52</v>
          </cell>
          <cell r="F1016">
            <v>10</v>
          </cell>
          <cell r="G1016" t="str">
            <v>TUXTILLA</v>
          </cell>
          <cell r="H1016" t="str">
            <v>TUXTILLA</v>
          </cell>
        </row>
        <row r="1017">
          <cell r="A1017" t="str">
            <v>30DTV1532K</v>
          </cell>
          <cell r="B1017" t="str">
            <v>DAVID ALFARO SIQUEIROS</v>
          </cell>
          <cell r="C1017" t="str">
            <v>COLONIA LA GANADERA</v>
          </cell>
          <cell r="D1017" t="str">
            <v>BEATRIZ RAMIREZ OSORIO</v>
          </cell>
          <cell r="E1017">
            <v>52</v>
          </cell>
          <cell r="F1017">
            <v>10</v>
          </cell>
          <cell r="G1017" t="str">
            <v>TRES VALLES</v>
          </cell>
          <cell r="H1017" t="str">
            <v>TRES VALLES</v>
          </cell>
        </row>
        <row r="1018">
          <cell r="A1018" t="str">
            <v>30DTV0216P</v>
          </cell>
          <cell r="B1018" t="str">
            <v>TELESECUNDARIA NUM. 216</v>
          </cell>
          <cell r="C1018" t="str">
            <v>CONOCIDO</v>
          </cell>
          <cell r="D1018" t="str">
            <v>JOEL OCHOA GARCIA</v>
          </cell>
          <cell r="E1018">
            <v>52</v>
          </cell>
          <cell r="F1018">
            <v>10</v>
          </cell>
          <cell r="G1018" t="str">
            <v>TRES VALLES</v>
          </cell>
          <cell r="H1018" t="str">
            <v>PARAISO RIO TONTO</v>
          </cell>
        </row>
        <row r="1019">
          <cell r="A1019" t="str">
            <v>30DTV0934Y</v>
          </cell>
          <cell r="B1019" t="str">
            <v>MIGUEL LERDO DE TEJADA</v>
          </cell>
          <cell r="C1019" t="str">
            <v>AVENIDA 20 DE NOVIEMBRE NUM. 11</v>
          </cell>
          <cell r="D1019" t="str">
            <v>FABIOLA SILVA ROMAN</v>
          </cell>
          <cell r="E1019">
            <v>52</v>
          </cell>
          <cell r="F1019">
            <v>10</v>
          </cell>
          <cell r="G1019" t="str">
            <v>TRES VALLES</v>
          </cell>
          <cell r="H1019" t="str">
            <v>LA GUADALUPE</v>
          </cell>
        </row>
        <row r="1020">
          <cell r="A1020" t="str">
            <v>30DTV1241V</v>
          </cell>
          <cell r="B1020" t="str">
            <v>TELESECUNDARIA</v>
          </cell>
          <cell r="C1020" t="str">
            <v>CONOCIDO</v>
          </cell>
          <cell r="D1020" t="str">
            <v>AUGUSTA OSORIO MARIN</v>
          </cell>
          <cell r="E1020">
            <v>52</v>
          </cell>
          <cell r="F1020">
            <v>10</v>
          </cell>
          <cell r="G1020" t="str">
            <v>CARLOS A. CARRILLO</v>
          </cell>
          <cell r="H1020" t="str">
            <v>GUASIMAL</v>
          </cell>
        </row>
        <row r="1021">
          <cell r="A1021" t="str">
            <v>30DTV0083P</v>
          </cell>
          <cell r="B1021" t="str">
            <v>ADOLFO LOPEZ MATEOS</v>
          </cell>
          <cell r="C1021" t="str">
            <v>MELCHOR OCAMPO NUM. 921</v>
          </cell>
          <cell r="D1021" t="str">
            <v>GLORIA DEL C.   PEREZ HERNANDEZ</v>
          </cell>
          <cell r="E1021">
            <v>53</v>
          </cell>
          <cell r="F1021">
            <v>14</v>
          </cell>
          <cell r="G1021" t="str">
            <v>HUEYAPAN DE OCAMPO</v>
          </cell>
          <cell r="H1021" t="str">
            <v>HUEYAPAN DE OCAMPO</v>
          </cell>
        </row>
        <row r="1022">
          <cell r="A1022" t="str">
            <v>30DTV1321G</v>
          </cell>
          <cell r="B1022" t="str">
            <v>BENITO JUAREZ GARCIA</v>
          </cell>
          <cell r="C1022" t="str">
            <v>CONOCIDO</v>
          </cell>
          <cell r="D1022" t="str">
            <v>JULIO CESAR SALGADO CANO</v>
          </cell>
          <cell r="E1022">
            <v>53</v>
          </cell>
          <cell r="F1022">
            <v>14</v>
          </cell>
          <cell r="G1022" t="str">
            <v>HUEYAPAN DE OCAMPO</v>
          </cell>
          <cell r="H1022" t="str">
            <v>EL AGUACATE</v>
          </cell>
        </row>
        <row r="1023">
          <cell r="A1023" t="str">
            <v>30DTV1502Q</v>
          </cell>
          <cell r="B1023" t="str">
            <v>LUIS PASTEUR</v>
          </cell>
          <cell r="C1023" t="str">
            <v>CONOCIDO</v>
          </cell>
          <cell r="D1023" t="str">
            <v>TERESA NAVARRO RAMIREZ</v>
          </cell>
          <cell r="E1023">
            <v>53</v>
          </cell>
          <cell r="F1023">
            <v>14</v>
          </cell>
          <cell r="G1023" t="str">
            <v>HUEYAPAN DE OCAMPO</v>
          </cell>
          <cell r="H1023" t="str">
            <v>BARROSA</v>
          </cell>
        </row>
        <row r="1024">
          <cell r="A1024" t="str">
            <v>30DTV1503P</v>
          </cell>
          <cell r="B1024" t="str">
            <v>LUIS DONALDO COLOSIO MURRIETA</v>
          </cell>
          <cell r="C1024" t="str">
            <v>CONOCIDO</v>
          </cell>
          <cell r="D1024" t="str">
            <v>DULCE MARIA DOMINGUEZ RUIZ</v>
          </cell>
          <cell r="E1024">
            <v>53</v>
          </cell>
          <cell r="F1024">
            <v>14</v>
          </cell>
          <cell r="G1024" t="str">
            <v>HUEYAPAN DE OCAMPO</v>
          </cell>
          <cell r="H1024" t="str">
            <v>CERRO DE CASTRO</v>
          </cell>
        </row>
        <row r="1025">
          <cell r="A1025" t="str">
            <v>30DTV1554W</v>
          </cell>
          <cell r="B1025" t="str">
            <v>TELESECUNDARIA</v>
          </cell>
          <cell r="C1025" t="str">
            <v>CONOCIDO</v>
          </cell>
          <cell r="D1025" t="str">
            <v>ALAN DE JESUS VISOZO HERNANDEZ</v>
          </cell>
          <cell r="E1025">
            <v>53</v>
          </cell>
          <cell r="F1025">
            <v>14</v>
          </cell>
          <cell r="G1025" t="str">
            <v>HUEYAPAN DE OCAMPO</v>
          </cell>
          <cell r="H1025" t="str">
            <v>CINCO DE MAYO</v>
          </cell>
        </row>
        <row r="1026">
          <cell r="A1026" t="str">
            <v>30DTV0806C</v>
          </cell>
          <cell r="B1026" t="str">
            <v>MIGUEL ALEMAN GONZALEZ</v>
          </cell>
          <cell r="C1026" t="str">
            <v>CONOCIDO</v>
          </cell>
          <cell r="D1026" t="str">
            <v>JUAN RAMON PARRA DIAZ</v>
          </cell>
          <cell r="E1026">
            <v>53</v>
          </cell>
          <cell r="F1026">
            <v>14</v>
          </cell>
          <cell r="G1026" t="str">
            <v>HUEYAPAN DE OCAMPO</v>
          </cell>
          <cell r="H1026" t="str">
            <v>COYOL DE GONZALEZ</v>
          </cell>
        </row>
        <row r="1027">
          <cell r="A1027" t="str">
            <v>30DTV0125Y</v>
          </cell>
          <cell r="B1027" t="str">
            <v>REVOLUCION</v>
          </cell>
          <cell r="C1027" t="str">
            <v>REVOLUCION NUM. 86</v>
          </cell>
          <cell r="D1027" t="str">
            <v>CRISTINA GUTIERREZ PESTAðA</v>
          </cell>
          <cell r="E1027">
            <v>53</v>
          </cell>
          <cell r="F1027">
            <v>14</v>
          </cell>
          <cell r="G1027" t="str">
            <v>HUEYAPAN DE OCAMPO</v>
          </cell>
          <cell r="H1027" t="str">
            <v>CUATOTOLAPAN ESTACION</v>
          </cell>
        </row>
        <row r="1028">
          <cell r="A1028" t="str">
            <v>30DTV0738W</v>
          </cell>
          <cell r="B1028" t="str">
            <v>JOSE VASCONCELOS</v>
          </cell>
          <cell r="C1028" t="str">
            <v>BENITO JUAREZ S/N</v>
          </cell>
          <cell r="D1028" t="str">
            <v>BULMARO SANCHEZ CRUZ</v>
          </cell>
          <cell r="E1028">
            <v>53</v>
          </cell>
          <cell r="F1028">
            <v>14</v>
          </cell>
          <cell r="G1028" t="str">
            <v>HUEYAPAN DE OCAMPO</v>
          </cell>
          <cell r="H1028" t="str">
            <v>CUATOTOLAPAN VIEJO</v>
          </cell>
        </row>
        <row r="1029">
          <cell r="A1029" t="str">
            <v>30DTV0903E</v>
          </cell>
          <cell r="B1029" t="str">
            <v>CARLOS A. CARRILLO</v>
          </cell>
          <cell r="C1029" t="str">
            <v>EMILIO CARRANZA NUM. 17</v>
          </cell>
          <cell r="D1029" t="str">
            <v>LORENA G. MARTINEZ BARRIOS</v>
          </cell>
          <cell r="E1029">
            <v>53</v>
          </cell>
          <cell r="F1029">
            <v>14</v>
          </cell>
          <cell r="G1029" t="str">
            <v>HUEYAPAN DE OCAMPO</v>
          </cell>
          <cell r="H1029" t="str">
            <v>LA GLORIA</v>
          </cell>
        </row>
        <row r="1030">
          <cell r="A1030" t="str">
            <v>30DTV1237I</v>
          </cell>
          <cell r="B1030" t="str">
            <v>VENUSTIANO CARRANZA</v>
          </cell>
          <cell r="C1030" t="str">
            <v>CONOCIDO</v>
          </cell>
          <cell r="D1030" t="str">
            <v>ROBERTO ALEMAN GOMEZ</v>
          </cell>
          <cell r="E1030">
            <v>53</v>
          </cell>
          <cell r="F1030">
            <v>14</v>
          </cell>
          <cell r="G1030" t="str">
            <v>HUEYAPAN DE OCAMPO</v>
          </cell>
          <cell r="H1030" t="str">
            <v>COLONIA HERMOSA</v>
          </cell>
        </row>
        <row r="1031">
          <cell r="A1031" t="str">
            <v>30DTV0181Q</v>
          </cell>
          <cell r="B1031" t="str">
            <v>NIÐOS HEROES</v>
          </cell>
          <cell r="C1031" t="str">
            <v>IGNACIO MANUEL ALTAMIRANO S/N</v>
          </cell>
          <cell r="D1031" t="str">
            <v>RAFAEL PARRA GUZMAN</v>
          </cell>
          <cell r="E1031">
            <v>53</v>
          </cell>
          <cell r="F1031">
            <v>14</v>
          </cell>
          <cell r="G1031" t="str">
            <v>HUEYAPAN DE OCAMPO</v>
          </cell>
          <cell r="H1031" t="str">
            <v>JUAN DIAZ COVARRUBIAS</v>
          </cell>
        </row>
        <row r="1032">
          <cell r="A1032" t="str">
            <v>30DTV1296Y</v>
          </cell>
          <cell r="B1032" t="str">
            <v>EMILIANO ZAPATA</v>
          </cell>
          <cell r="C1032" t="str">
            <v>CONOCIDO</v>
          </cell>
          <cell r="D1032" t="str">
            <v>CIRO MARTINEZ PASCUAL</v>
          </cell>
          <cell r="E1032">
            <v>53</v>
          </cell>
          <cell r="F1032">
            <v>14</v>
          </cell>
          <cell r="G1032" t="str">
            <v>HUEYAPAN DE OCAMPO</v>
          </cell>
          <cell r="H1032" t="str">
            <v>LOMA DE ORO</v>
          </cell>
        </row>
        <row r="1033">
          <cell r="A1033" t="str">
            <v>30DTV0577Z</v>
          </cell>
          <cell r="B1033" t="str">
            <v>ADOLFO RUIZ CORTINES</v>
          </cell>
          <cell r="C1033" t="str">
            <v>CARRETERA DEL GOLFO NUM. 37</v>
          </cell>
          <cell r="D1033" t="str">
            <v>FAUSTINO RIVAS ZARATE</v>
          </cell>
          <cell r="E1033">
            <v>53</v>
          </cell>
          <cell r="F1033">
            <v>14</v>
          </cell>
          <cell r="G1033" t="str">
            <v>HUEYAPAN DE OCAMPO</v>
          </cell>
          <cell r="H1033" t="str">
            <v>LOS MANGOS</v>
          </cell>
        </row>
        <row r="1034">
          <cell r="A1034" t="str">
            <v>30DTV1297X</v>
          </cell>
          <cell r="B1034" t="str">
            <v>AMADO NERVO</v>
          </cell>
          <cell r="C1034" t="str">
            <v>CONOCIDO</v>
          </cell>
          <cell r="D1034" t="str">
            <v>MARIA DE JESUS GOMEZ AGUILAR</v>
          </cell>
          <cell r="E1034">
            <v>53</v>
          </cell>
          <cell r="F1034">
            <v>14</v>
          </cell>
          <cell r="G1034" t="str">
            <v>HUEYAPAN DE OCAMPO</v>
          </cell>
          <cell r="H1034" t="str">
            <v>NACAXTLE</v>
          </cell>
        </row>
        <row r="1035">
          <cell r="A1035" t="str">
            <v>30DTV0684I</v>
          </cell>
          <cell r="B1035" t="str">
            <v>ROQUE SPINOSO FOGLIA</v>
          </cell>
          <cell r="C1035" t="str">
            <v>AVENIDA CHACALAPA, JUNTO A IMSS COPLAMAR</v>
          </cell>
          <cell r="D1035" t="str">
            <v>ELOISA MENDOZA DOMINGUEZ</v>
          </cell>
          <cell r="E1035">
            <v>53</v>
          </cell>
          <cell r="F1035">
            <v>14</v>
          </cell>
          <cell r="G1035" t="str">
            <v>HUEYAPAN DE OCAMPO</v>
          </cell>
          <cell r="H1035" t="str">
            <v>NORMA</v>
          </cell>
        </row>
        <row r="1036">
          <cell r="A1036" t="str">
            <v>30DTV1157X</v>
          </cell>
          <cell r="B1036" t="str">
            <v>CARLOS A. CARRILLO</v>
          </cell>
          <cell r="C1036" t="str">
            <v>CONOCIDO ENTRADA AL PUEBLO</v>
          </cell>
          <cell r="D1036" t="str">
            <v>HUGO JOSE NAVARRETE RIOS</v>
          </cell>
          <cell r="E1036">
            <v>53</v>
          </cell>
          <cell r="F1036">
            <v>14</v>
          </cell>
          <cell r="G1036" t="str">
            <v>HUEYAPAN DE OCAMPO</v>
          </cell>
          <cell r="H1036" t="str">
            <v>LA PALMA</v>
          </cell>
        </row>
        <row r="1037">
          <cell r="A1037" t="str">
            <v>30DTV0331G</v>
          </cell>
          <cell r="B1037" t="str">
            <v>BENITO JUAREZ GARCIA</v>
          </cell>
          <cell r="C1037" t="str">
            <v>PORVENIR S/N</v>
          </cell>
          <cell r="D1037" t="str">
            <v>MOISES MOLINA CONTRERAS</v>
          </cell>
          <cell r="E1037">
            <v>53</v>
          </cell>
          <cell r="F1037">
            <v>14</v>
          </cell>
          <cell r="G1037" t="str">
            <v>HUEYAPAN DE OCAMPO</v>
          </cell>
          <cell r="H1037" t="str">
            <v>SABANETA</v>
          </cell>
        </row>
        <row r="1038">
          <cell r="A1038" t="str">
            <v>30DTV1504O</v>
          </cell>
          <cell r="B1038" t="str">
            <v>MIGUEL ALEMAN VALDES</v>
          </cell>
          <cell r="C1038" t="str">
            <v>CONOCIDO</v>
          </cell>
          <cell r="D1038" t="str">
            <v>MARIA MARGARITA TLACHY ANELL</v>
          </cell>
          <cell r="E1038">
            <v>53</v>
          </cell>
          <cell r="F1038">
            <v>14</v>
          </cell>
          <cell r="G1038" t="str">
            <v>HUEYAPAN DE OCAMPO</v>
          </cell>
          <cell r="H1038" t="str">
            <v>SAMARIA</v>
          </cell>
        </row>
        <row r="1039">
          <cell r="A1039" t="str">
            <v>30DTV0654O</v>
          </cell>
          <cell r="B1039" t="str">
            <v>JUSTO SIERRA</v>
          </cell>
          <cell r="C1039" t="str">
            <v>VICENTE GUERRERO S/N</v>
          </cell>
          <cell r="D1039" t="str">
            <v>NICOLAS MONTALVO CASTILLO</v>
          </cell>
          <cell r="E1039">
            <v>53</v>
          </cell>
          <cell r="F1039">
            <v>14</v>
          </cell>
          <cell r="G1039" t="str">
            <v>HUEYAPAN DE OCAMPO</v>
          </cell>
          <cell r="H1039" t="str">
            <v>SANTA ROSA LOMA LARGA</v>
          </cell>
        </row>
        <row r="1040">
          <cell r="A1040" t="str">
            <v>30DTV1606L</v>
          </cell>
          <cell r="B1040" t="str">
            <v>SOR JUANA INES DE LA CRUZ</v>
          </cell>
          <cell r="C1040" t="str">
            <v>JUNTO AL CAMPO DEPORTIVO</v>
          </cell>
          <cell r="D1040" t="str">
            <v>MARIA DE LOS ANGELES CAMPOS PICHARDO</v>
          </cell>
          <cell r="E1040">
            <v>53</v>
          </cell>
          <cell r="F1040">
            <v>14</v>
          </cell>
          <cell r="G1040" t="str">
            <v>HUEYAPAN DE OCAMPO</v>
          </cell>
          <cell r="H1040" t="str">
            <v>SANTA ROSA CINTEPEC</v>
          </cell>
        </row>
        <row r="1041">
          <cell r="A1041" t="str">
            <v>30DTV1298W</v>
          </cell>
          <cell r="B1041" t="str">
            <v>TELESECUNDARIA</v>
          </cell>
          <cell r="C1041" t="str">
            <v>CONOCIDO</v>
          </cell>
          <cell r="D1041" t="str">
            <v>ERENDIRA TOTO MORTERA</v>
          </cell>
          <cell r="E1041">
            <v>53</v>
          </cell>
          <cell r="F1041">
            <v>14</v>
          </cell>
          <cell r="G1041" t="str">
            <v>HUEYAPAN DE OCAMPO</v>
          </cell>
          <cell r="H1041" t="str">
            <v>SONCOAVITAL</v>
          </cell>
        </row>
        <row r="1042">
          <cell r="A1042" t="str">
            <v>30DTV0578Z</v>
          </cell>
          <cell r="B1042" t="str">
            <v>VICENTE GUERRERO</v>
          </cell>
          <cell r="C1042" t="str">
            <v>CONOCIDO</v>
          </cell>
          <cell r="D1042" t="str">
            <v>CIRO CASTILLO MIL</v>
          </cell>
          <cell r="E1042">
            <v>53</v>
          </cell>
          <cell r="F1042">
            <v>14</v>
          </cell>
          <cell r="G1042" t="str">
            <v>HUEYAPAN DE OCAMPO</v>
          </cell>
          <cell r="H1042" t="str">
            <v>ZAPOAPAN DE AMAPAN</v>
          </cell>
        </row>
        <row r="1043">
          <cell r="A1043" t="str">
            <v>30DTV1424C</v>
          </cell>
          <cell r="B1043" t="str">
            <v>TELESECUNDARIA</v>
          </cell>
          <cell r="C1043" t="str">
            <v>CONOCIDO</v>
          </cell>
          <cell r="D1043" t="str">
            <v>EMILIA GAONA PONCE</v>
          </cell>
          <cell r="E1043">
            <v>53</v>
          </cell>
          <cell r="F1043">
            <v>14</v>
          </cell>
          <cell r="G1043" t="str">
            <v>MECAYAPAN</v>
          </cell>
          <cell r="H1043" t="str">
            <v>LOS ARRECIFES</v>
          </cell>
        </row>
        <row r="1044">
          <cell r="A1044" t="str">
            <v>30DTV0769P</v>
          </cell>
          <cell r="B1044" t="str">
            <v>JOSE HERNANDEZ SANTOS</v>
          </cell>
          <cell r="C1044" t="str">
            <v>CAMPO DEPORTIVO</v>
          </cell>
          <cell r="D1044" t="str">
            <v>MARVIN LOPEZ MAULEON</v>
          </cell>
          <cell r="E1044">
            <v>53</v>
          </cell>
          <cell r="F1044">
            <v>14</v>
          </cell>
          <cell r="G1044" t="str">
            <v>TEXISTEPEC</v>
          </cell>
          <cell r="H1044" t="str">
            <v>BOCA DEL RIO</v>
          </cell>
        </row>
        <row r="1045">
          <cell r="A1045" t="str">
            <v>30DTV0623V</v>
          </cell>
          <cell r="B1045" t="str">
            <v>MIGUEL HIDALGO Y COSTILLA</v>
          </cell>
          <cell r="C1045" t="str">
            <v>CONOCIDO JUNTO A ESCUELA PRIMARIA</v>
          </cell>
          <cell r="D1045" t="str">
            <v>LEONILA TINOCO CASTRO</v>
          </cell>
          <cell r="E1045">
            <v>53</v>
          </cell>
          <cell r="F1045">
            <v>14</v>
          </cell>
          <cell r="G1045" t="str">
            <v>TEXISTEPEC</v>
          </cell>
          <cell r="H1045" t="str">
            <v>HIPOLITO LANDEROS (ZACATAL)</v>
          </cell>
        </row>
        <row r="1046">
          <cell r="A1046" t="str">
            <v>30DTV1238H</v>
          </cell>
          <cell r="B1046" t="str">
            <v>LAZARO CARDENAS DEL RIO</v>
          </cell>
          <cell r="C1046" t="str">
            <v>CONOCIDO</v>
          </cell>
          <cell r="D1046" t="str">
            <v>DANIEL DE LA CRUZ CABRERA</v>
          </cell>
          <cell r="E1046">
            <v>53</v>
          </cell>
          <cell r="F1046">
            <v>14</v>
          </cell>
          <cell r="G1046" t="str">
            <v>TEXISTEPEC</v>
          </cell>
          <cell r="H1046" t="str">
            <v>LOMA BONITA</v>
          </cell>
        </row>
        <row r="1047">
          <cell r="A1047" t="str">
            <v>30DTV1137J</v>
          </cell>
          <cell r="B1047" t="str">
            <v>VENUSTIANO CARRANZA</v>
          </cell>
          <cell r="C1047" t="str">
            <v>CONOCIDO PLANTA ALTA CONASUPO</v>
          </cell>
          <cell r="D1047" t="str">
            <v>MIREYA MORALES HERNANDEZ</v>
          </cell>
          <cell r="E1047">
            <v>53</v>
          </cell>
          <cell r="F1047">
            <v>14</v>
          </cell>
          <cell r="G1047" t="str">
            <v>TEXISTEPEC</v>
          </cell>
          <cell r="H1047" t="str">
            <v>VENUSTIANO CARRANZA (PEÑA BLANCA)</v>
          </cell>
        </row>
        <row r="1048">
          <cell r="A1048" t="str">
            <v>30DTV0794O</v>
          </cell>
          <cell r="B1048" t="str">
            <v>RAFAEL RAMIREZ</v>
          </cell>
          <cell r="C1048" t="str">
            <v>MIGUEL HIDALGO S/N</v>
          </cell>
          <cell r="D1048" t="str">
            <v>CARLOS RENE CONTRERAS ORTIZ</v>
          </cell>
          <cell r="E1048">
            <v>53</v>
          </cell>
          <cell r="F1048">
            <v>14</v>
          </cell>
          <cell r="G1048" t="str">
            <v>TEXISTEPEC</v>
          </cell>
          <cell r="H1048" t="str">
            <v>SAN LORENZO TENOCHTITLAN</v>
          </cell>
        </row>
        <row r="1049">
          <cell r="A1049" t="str">
            <v>30DTV1280X</v>
          </cell>
          <cell r="B1049" t="str">
            <v>LEONA VICARIO</v>
          </cell>
          <cell r="C1049" t="str">
            <v>CONOCIDO</v>
          </cell>
          <cell r="D1049" t="str">
            <v>LETICIA SOCORRO LOPEZ TOBON</v>
          </cell>
          <cell r="E1049">
            <v>53</v>
          </cell>
          <cell r="F1049">
            <v>14</v>
          </cell>
          <cell r="G1049" t="str">
            <v>TEXISTEPEC</v>
          </cell>
          <cell r="H1049" t="str">
            <v>XOCHITLAN (PALMILLAS)</v>
          </cell>
        </row>
        <row r="1050">
          <cell r="A1050" t="str">
            <v>30DTV0284M</v>
          </cell>
          <cell r="B1050" t="str">
            <v>JUSTO SIERRA</v>
          </cell>
          <cell r="C1050" t="str">
            <v>NARCISO MENDOZA S/N</v>
          </cell>
          <cell r="D1050" t="str">
            <v>ZITA GONZALEZ LOPEZ</v>
          </cell>
          <cell r="E1050">
            <v>54</v>
          </cell>
          <cell r="F1050">
            <v>19</v>
          </cell>
          <cell r="G1050" t="str">
            <v>ISLA</v>
          </cell>
          <cell r="H1050" t="str">
            <v>ISLA</v>
          </cell>
        </row>
        <row r="1051">
          <cell r="A1051" t="str">
            <v>30DTV1607K</v>
          </cell>
          <cell r="B1051" t="str">
            <v>TELESECUNDARIA</v>
          </cell>
          <cell r="C1051" t="str">
            <v>JUNTO A LA AGENCIA MUNICIPAL</v>
          </cell>
          <cell r="D1051" t="str">
            <v>ABELARDO GONZALEZ RIVERA</v>
          </cell>
          <cell r="E1051">
            <v>54</v>
          </cell>
          <cell r="F1051">
            <v>19</v>
          </cell>
          <cell r="G1051" t="str">
            <v>ISLA</v>
          </cell>
          <cell r="H1051" t="str">
            <v>COAPA</v>
          </cell>
        </row>
        <row r="1052">
          <cell r="A1052" t="str">
            <v>30DTV1206P</v>
          </cell>
          <cell r="B1052" t="str">
            <v>JUAN ESCUTIA</v>
          </cell>
          <cell r="C1052" t="str">
            <v>CONOCIDO</v>
          </cell>
          <cell r="D1052" t="str">
            <v>ELVIA BONILLA MARTINEZ</v>
          </cell>
          <cell r="E1052">
            <v>54</v>
          </cell>
          <cell r="F1052">
            <v>19</v>
          </cell>
          <cell r="G1052" t="str">
            <v>ISLA</v>
          </cell>
          <cell r="H1052" t="str">
            <v>LOMA ALTA</v>
          </cell>
        </row>
        <row r="1053">
          <cell r="A1053" t="str">
            <v>30DTV1207O</v>
          </cell>
          <cell r="B1053" t="str">
            <v>JAIME TORRES BODET</v>
          </cell>
          <cell r="C1053" t="str">
            <v>CONOCIDO</v>
          </cell>
          <cell r="D1053" t="str">
            <v>ANA GRACIELA MAURY SALAS</v>
          </cell>
          <cell r="E1053">
            <v>54</v>
          </cell>
          <cell r="F1053">
            <v>19</v>
          </cell>
          <cell r="G1053" t="str">
            <v>ISLA</v>
          </cell>
          <cell r="H1053" t="str">
            <v>EL MARCIAL (EL COYOLAR)</v>
          </cell>
        </row>
        <row r="1054">
          <cell r="A1054" t="str">
            <v>30DTV0701I</v>
          </cell>
          <cell r="B1054" t="str">
            <v>BENITO JUAREZ GARCIA</v>
          </cell>
          <cell r="C1054" t="str">
            <v>CONOCIDO ENTRADA A COMUNIDAD</v>
          </cell>
          <cell r="D1054" t="str">
            <v>CLARA LUZ HERNANDEZ RAMOS</v>
          </cell>
          <cell r="E1054">
            <v>54</v>
          </cell>
          <cell r="F1054">
            <v>19</v>
          </cell>
          <cell r="G1054" t="str">
            <v>ISLA</v>
          </cell>
          <cell r="H1054" t="str">
            <v>MAZOCO</v>
          </cell>
        </row>
        <row r="1055">
          <cell r="A1055" t="str">
            <v>30DTV1518R</v>
          </cell>
          <cell r="B1055" t="str">
            <v>LEONA VICARIO</v>
          </cell>
          <cell r="C1055" t="str">
            <v>CONOCIDO</v>
          </cell>
          <cell r="D1055" t="str">
            <v>GICELA RODRIGUEZ VELAZQUEZ</v>
          </cell>
          <cell r="E1055">
            <v>54</v>
          </cell>
          <cell r="F1055">
            <v>19</v>
          </cell>
          <cell r="G1055" t="str">
            <v>ISLA</v>
          </cell>
          <cell r="H1055" t="str">
            <v>VILORIA VIEJO</v>
          </cell>
        </row>
        <row r="1056">
          <cell r="A1056" t="str">
            <v>30DTV1558S</v>
          </cell>
          <cell r="B1056" t="str">
            <v>MANUEL AVILA CAMACHO</v>
          </cell>
          <cell r="C1056" t="str">
            <v>CONOCIDO JUNTO A LA CLINICA DE LA S.S.A.</v>
          </cell>
          <cell r="D1056" t="str">
            <v>YURIDIA MARIA LUISA JIMENEZ HERNANDEZ</v>
          </cell>
          <cell r="E1056">
            <v>54</v>
          </cell>
          <cell r="F1056">
            <v>19</v>
          </cell>
          <cell r="G1056" t="str">
            <v>ISLA</v>
          </cell>
          <cell r="H1056" t="str">
            <v>LA PEÑA</v>
          </cell>
        </row>
        <row r="1057">
          <cell r="A1057" t="str">
            <v>30DTV0440N</v>
          </cell>
          <cell r="B1057" t="str">
            <v>16 DE SEPTIEMBRE</v>
          </cell>
          <cell r="C1057" t="str">
            <v>MARIANO AGUIRRE S/N ENTRADA A COMUNIDAD</v>
          </cell>
          <cell r="D1057" t="str">
            <v>ANA DEL CARMEN MARCIAL GALLARDO</v>
          </cell>
          <cell r="E1057">
            <v>54</v>
          </cell>
          <cell r="F1057">
            <v>19</v>
          </cell>
          <cell r="G1057" t="str">
            <v>ISLA</v>
          </cell>
          <cell r="H1057" t="str">
            <v>EL TESORO</v>
          </cell>
        </row>
        <row r="1058">
          <cell r="A1058" t="str">
            <v>30DTV1382U</v>
          </cell>
          <cell r="B1058" t="str">
            <v>PENSAMIENTO LIBERAL</v>
          </cell>
          <cell r="C1058" t="str">
            <v>CONOCIDO</v>
          </cell>
          <cell r="D1058" t="str">
            <v>MARTIN ALBERTO GONZALEZ RIVERA</v>
          </cell>
          <cell r="E1058">
            <v>54</v>
          </cell>
          <cell r="F1058">
            <v>19</v>
          </cell>
          <cell r="G1058" t="str">
            <v>ISLA</v>
          </cell>
          <cell r="H1058" t="str">
            <v>IGNACIO RAMIREZ</v>
          </cell>
        </row>
        <row r="1059">
          <cell r="A1059" t="str">
            <v>30DTV1571M</v>
          </cell>
          <cell r="B1059" t="str">
            <v>VICTOR BRAVO AHUJA</v>
          </cell>
          <cell r="C1059" t="str">
            <v>CONOCIDO</v>
          </cell>
          <cell r="D1059" t="str">
            <v>JOSE JORGE MARTINEZ MUÐOZ</v>
          </cell>
          <cell r="E1059">
            <v>54</v>
          </cell>
          <cell r="F1059">
            <v>19</v>
          </cell>
          <cell r="G1059" t="str">
            <v>ISLA</v>
          </cell>
          <cell r="H1059" t="str">
            <v>NUEVO CANTON</v>
          </cell>
        </row>
        <row r="1060">
          <cell r="A1060" t="str">
            <v>30DTV1358U</v>
          </cell>
          <cell r="B1060" t="str">
            <v>20 DE NOVIEMBRE</v>
          </cell>
          <cell r="C1060" t="str">
            <v>CONOCIDO</v>
          </cell>
          <cell r="D1060" t="str">
            <v>WILIAMS JIMENEZ HERMIDA</v>
          </cell>
          <cell r="E1060">
            <v>54</v>
          </cell>
          <cell r="F1060">
            <v>19</v>
          </cell>
          <cell r="G1060" t="str">
            <v>ISLA</v>
          </cell>
          <cell r="H1060" t="str">
            <v>NUEVO POTRERO</v>
          </cell>
        </row>
        <row r="1061">
          <cell r="A1061" t="str">
            <v>30DTV1608J</v>
          </cell>
          <cell r="B1061" t="str">
            <v>NIÐOS HEROES</v>
          </cell>
          <cell r="C1061" t="str">
            <v>JUNTO A LA AGENCIA MUNICIPAL</v>
          </cell>
          <cell r="D1061" t="str">
            <v>KARINA DIAZ BLANCO</v>
          </cell>
          <cell r="E1061">
            <v>54</v>
          </cell>
          <cell r="F1061">
            <v>19</v>
          </cell>
          <cell r="G1061" t="str">
            <v>ISLA</v>
          </cell>
          <cell r="H1061" t="str">
            <v>CUJULUAPAN (EL GUAYABO)</v>
          </cell>
        </row>
        <row r="1062">
          <cell r="A1062" t="str">
            <v>30DTV0219M</v>
          </cell>
          <cell r="B1062" t="str">
            <v>IGNACIO ZARAGOZA</v>
          </cell>
          <cell r="C1062" t="str">
            <v>EMILIANO ZAPATA S/N JUNTO A ESCUELA PRIMARIA</v>
          </cell>
          <cell r="D1062" t="str">
            <v>SINUE PUENTE RANGEL</v>
          </cell>
          <cell r="E1062">
            <v>54</v>
          </cell>
          <cell r="F1062">
            <v>19</v>
          </cell>
          <cell r="G1062" t="str">
            <v>JOSE AZUETA</v>
          </cell>
          <cell r="H1062" t="str">
            <v>VICENTE GUERRERO (EL AGUACATE)</v>
          </cell>
        </row>
        <row r="1063">
          <cell r="A1063" t="str">
            <v>30DTV1519Q</v>
          </cell>
          <cell r="B1063" t="str">
            <v>GONZALO VAZQUEZ VELA</v>
          </cell>
          <cell r="C1063" t="str">
            <v>CONOCIDO</v>
          </cell>
          <cell r="D1063" t="str">
            <v>ANAHI SALAZAR GONZALEZ</v>
          </cell>
          <cell r="E1063">
            <v>54</v>
          </cell>
          <cell r="F1063">
            <v>19</v>
          </cell>
          <cell r="G1063" t="str">
            <v>JOSE AZUETA</v>
          </cell>
          <cell r="H1063" t="str">
            <v>LAS CADENAS</v>
          </cell>
        </row>
        <row r="1064">
          <cell r="A1064" t="str">
            <v>30DTV1199W</v>
          </cell>
          <cell r="B1064" t="str">
            <v>ADOLFO LOPEZ MATEOS</v>
          </cell>
          <cell r="C1064" t="str">
            <v>CONOCIDO</v>
          </cell>
          <cell r="D1064" t="str">
            <v>LIDIA DIAZ SALAZAR</v>
          </cell>
          <cell r="E1064">
            <v>54</v>
          </cell>
          <cell r="F1064">
            <v>19</v>
          </cell>
          <cell r="G1064" t="str">
            <v>JOSE AZUETA</v>
          </cell>
          <cell r="H1064" t="str">
            <v>CUJULIAPAN</v>
          </cell>
        </row>
        <row r="1065">
          <cell r="A1065" t="str">
            <v>30DTV0687F</v>
          </cell>
          <cell r="B1065" t="str">
            <v>BENITO JUAREZ GARCIA</v>
          </cell>
          <cell r="C1065" t="str">
            <v>CONOCIDO JUNTO AL DEPOSITO DE AGUA</v>
          </cell>
          <cell r="D1065" t="str">
            <v>ENRIQUE GOSSIO ORTEGA</v>
          </cell>
          <cell r="E1065">
            <v>54</v>
          </cell>
          <cell r="F1065">
            <v>19</v>
          </cell>
          <cell r="G1065" t="str">
            <v>JOSE AZUETA</v>
          </cell>
          <cell r="H1065" t="str">
            <v>CURAZAO</v>
          </cell>
        </row>
        <row r="1066">
          <cell r="A1066" t="str">
            <v>30DTV0452S</v>
          </cell>
          <cell r="B1066" t="str">
            <v>FRANCISCO I. MADERO</v>
          </cell>
          <cell r="C1066" t="str">
            <v>IGNACIO ZARAGOZA NUM. 60</v>
          </cell>
          <cell r="D1066" t="str">
            <v>EDITH PERALTA VIVEROS</v>
          </cell>
          <cell r="E1066">
            <v>54</v>
          </cell>
          <cell r="F1066">
            <v>19</v>
          </cell>
          <cell r="G1066" t="str">
            <v>JOSE AZUETA</v>
          </cell>
          <cell r="H1066" t="str">
            <v>ESTACION DOBLADERO (DOBLADERO)</v>
          </cell>
        </row>
        <row r="1067">
          <cell r="A1067" t="str">
            <v>30DTV0808A</v>
          </cell>
          <cell r="B1067" t="str">
            <v>GABRIELA MISTRAL</v>
          </cell>
          <cell r="C1067" t="str">
            <v>CONOCIDO JUNTO A LA LAGUNA</v>
          </cell>
          <cell r="D1067" t="str">
            <v>JOSE ANGEL OBIL PAREDES</v>
          </cell>
          <cell r="E1067">
            <v>54</v>
          </cell>
          <cell r="F1067">
            <v>19</v>
          </cell>
          <cell r="G1067" t="str">
            <v>JOSE AZUETA</v>
          </cell>
          <cell r="H1067" t="str">
            <v>JUAN GARCIA</v>
          </cell>
        </row>
        <row r="1068">
          <cell r="A1068" t="str">
            <v>30DTV0151W</v>
          </cell>
          <cell r="B1068" t="str">
            <v>FRANCISCO I. MADERO</v>
          </cell>
          <cell r="C1068" t="str">
            <v>CONOCIDO CERCA DEL PARQUE</v>
          </cell>
          <cell r="D1068" t="str">
            <v>PEDRO RAMIREZ RODRIGUEZ</v>
          </cell>
          <cell r="E1068">
            <v>54</v>
          </cell>
          <cell r="F1068">
            <v>19</v>
          </cell>
          <cell r="G1068" t="str">
            <v>JOSE AZUETA</v>
          </cell>
          <cell r="H1068" t="str">
            <v>LINDA VISTA</v>
          </cell>
        </row>
        <row r="1069">
          <cell r="A1069" t="str">
            <v>30DTV0476B</v>
          </cell>
          <cell r="B1069" t="str">
            <v>JUSTO SIERRA MENDEZ</v>
          </cell>
          <cell r="C1069" t="str">
            <v>CONOCIDO JUNTO AL PARQUE</v>
          </cell>
          <cell r="D1069" t="str">
            <v>JUAN GABINO RAMOS</v>
          </cell>
          <cell r="E1069">
            <v>54</v>
          </cell>
          <cell r="F1069">
            <v>19</v>
          </cell>
          <cell r="G1069" t="str">
            <v>JOSE AZUETA</v>
          </cell>
          <cell r="H1069" t="str">
            <v>PUEBLO NUEVO</v>
          </cell>
        </row>
        <row r="1070">
          <cell r="A1070" t="str">
            <v>30DTV0793P</v>
          </cell>
          <cell r="B1070" t="str">
            <v>JOSE AZUETA</v>
          </cell>
          <cell r="C1070" t="str">
            <v>CONOCIDO JUNTO AL SALON EJIDAL</v>
          </cell>
          <cell r="D1070" t="str">
            <v>ANDRES HERNANDEZ HERNANDEZ</v>
          </cell>
          <cell r="E1070">
            <v>54</v>
          </cell>
          <cell r="F1070">
            <v>19</v>
          </cell>
          <cell r="G1070" t="str">
            <v>JOSE AZUETA</v>
          </cell>
          <cell r="H1070" t="str">
            <v>SAN LUIS</v>
          </cell>
        </row>
        <row r="1071">
          <cell r="A1071" t="str">
            <v>30DTV0444J</v>
          </cell>
          <cell r="B1071" t="str">
            <v>JOSE VASCONCELOS</v>
          </cell>
          <cell r="C1071" t="str">
            <v>CONOCIDO CERCA DEL PARQUE</v>
          </cell>
          <cell r="D1071" t="str">
            <v>JUAN CARLOS RIVERA VAZQUEZ</v>
          </cell>
          <cell r="E1071">
            <v>54</v>
          </cell>
          <cell r="F1071">
            <v>19</v>
          </cell>
          <cell r="G1071" t="str">
            <v>JOSE AZUETA</v>
          </cell>
          <cell r="H1071" t="str">
            <v>TESECHOACAN</v>
          </cell>
        </row>
        <row r="1072">
          <cell r="A1072" t="str">
            <v>30DTV0622W</v>
          </cell>
          <cell r="B1072" t="str">
            <v>JOSE MARIA MORELOS Y PAVON</v>
          </cell>
          <cell r="C1072" t="str">
            <v>CONOCIDO JUNTO AL JARDIN DE NIÑOS</v>
          </cell>
          <cell r="D1072" t="str">
            <v>ELISA CASTELLANOS Y MONTOYA</v>
          </cell>
          <cell r="E1072">
            <v>54</v>
          </cell>
          <cell r="F1072">
            <v>19</v>
          </cell>
          <cell r="G1072" t="str">
            <v>JOSE AZUETA</v>
          </cell>
          <cell r="H1072" t="str">
            <v>TENEJAPAN (TENEJAPAN DE MATA)</v>
          </cell>
        </row>
        <row r="1073">
          <cell r="A1073" t="str">
            <v>30DTV1574J</v>
          </cell>
          <cell r="B1073" t="str">
            <v>MIGUEL ALEMAN VALDES</v>
          </cell>
          <cell r="C1073" t="str">
            <v>CONOCIDO</v>
          </cell>
          <cell r="D1073" t="str">
            <v>GISELA APARICIO URBANO</v>
          </cell>
          <cell r="E1073">
            <v>54</v>
          </cell>
          <cell r="F1073">
            <v>19</v>
          </cell>
          <cell r="G1073" t="str">
            <v>JOSE AZUETA</v>
          </cell>
          <cell r="H1073" t="str">
            <v>RAMIE NUEVO</v>
          </cell>
        </row>
        <row r="1074">
          <cell r="A1074" t="str">
            <v>30DTV1615T</v>
          </cell>
          <cell r="B1074" t="str">
            <v>LAZARO CARDENAS DEL RIO</v>
          </cell>
          <cell r="C1074" t="str">
            <v>CERRO DE ORO</v>
          </cell>
          <cell r="D1074" t="str">
            <v>AZUCENA DE JESUS CABRERA LEZAMA</v>
          </cell>
          <cell r="E1074">
            <v>54</v>
          </cell>
          <cell r="F1074">
            <v>19</v>
          </cell>
          <cell r="G1074" t="str">
            <v>JOSE AZUETA</v>
          </cell>
          <cell r="H1074" t="str">
            <v>NUEVO SAN JOSE (CERRO DE ORO)</v>
          </cell>
        </row>
        <row r="1075">
          <cell r="A1075" t="str">
            <v>30DTV0133G</v>
          </cell>
          <cell r="B1075" t="str">
            <v>20 DE NOVIEMBRE</v>
          </cell>
          <cell r="C1075" t="str">
            <v>EMILIANO ZAPATA S/N, JUNTO AL JARDIN DE NIÑOS</v>
          </cell>
          <cell r="D1075" t="str">
            <v>ALICIA RIVERA LINARES</v>
          </cell>
          <cell r="E1075">
            <v>55</v>
          </cell>
          <cell r="F1075">
            <v>5</v>
          </cell>
          <cell r="G1075" t="str">
            <v>ACAYUCAN</v>
          </cell>
          <cell r="H1075" t="str">
            <v>DEHESA</v>
          </cell>
        </row>
        <row r="1076">
          <cell r="A1076" t="str">
            <v>30DTV0057R</v>
          </cell>
          <cell r="B1076" t="str">
            <v>JOSE VASCONCELOS</v>
          </cell>
          <cell r="C1076" t="str">
            <v>16 DE SEPTIEMBRE NUM. 25</v>
          </cell>
          <cell r="D1076" t="str">
            <v>FRANCISCO RODRIGUEZ SANCHEZ</v>
          </cell>
          <cell r="E1076">
            <v>55</v>
          </cell>
          <cell r="F1076">
            <v>5</v>
          </cell>
          <cell r="G1076" t="str">
            <v>SAN JUAN EVANGELISTA</v>
          </cell>
          <cell r="H1076" t="str">
            <v>SAN JUAN EVANGELISTA</v>
          </cell>
        </row>
        <row r="1077">
          <cell r="A1077" t="str">
            <v>30DTV0182P</v>
          </cell>
          <cell r="B1077" t="str">
            <v>VICENTE GUERRERO</v>
          </cell>
          <cell r="C1077" t="str">
            <v>PRIVADA URBANA S/N</v>
          </cell>
          <cell r="D1077" t="str">
            <v>MANUEL HERNANDEZ BADILLO</v>
          </cell>
          <cell r="E1077">
            <v>55</v>
          </cell>
          <cell r="F1077">
            <v>5</v>
          </cell>
          <cell r="G1077" t="str">
            <v>SAN JUAN EVANGELISTA</v>
          </cell>
          <cell r="H1077" t="str">
            <v>ACHOTAL</v>
          </cell>
        </row>
        <row r="1078">
          <cell r="A1078" t="str">
            <v>30DTV0315P</v>
          </cell>
          <cell r="B1078" t="str">
            <v>ALFONSO ARROYO FLORES</v>
          </cell>
          <cell r="C1078" t="str">
            <v>CONOCIDO</v>
          </cell>
          <cell r="D1078" t="str">
            <v>JOSE ALFREDO CORONADO HERNANDEZ</v>
          </cell>
          <cell r="E1078">
            <v>55</v>
          </cell>
          <cell r="F1078">
            <v>5</v>
          </cell>
          <cell r="G1078" t="str">
            <v>SAN JUAN EVANGELISTA</v>
          </cell>
          <cell r="H1078" t="str">
            <v>BELLACO</v>
          </cell>
        </row>
        <row r="1079">
          <cell r="A1079" t="str">
            <v>30DTV0608C</v>
          </cell>
          <cell r="B1079" t="str">
            <v>SOR JUANA INES DE LA CRUZ</v>
          </cell>
          <cell r="C1079" t="str">
            <v>CONOCIDO</v>
          </cell>
          <cell r="D1079" t="str">
            <v>MACEDONIO DIAZ</v>
          </cell>
          <cell r="E1079">
            <v>55</v>
          </cell>
          <cell r="F1079">
            <v>5</v>
          </cell>
          <cell r="G1079" t="str">
            <v>SAN JUAN EVANGELISTA</v>
          </cell>
          <cell r="H1079" t="str">
            <v>CAMPO NUEVO</v>
          </cell>
        </row>
        <row r="1080">
          <cell r="A1080" t="str">
            <v>30DTV1436H</v>
          </cell>
          <cell r="B1080" t="str">
            <v>SOR JUANA INES DE LA CRUZ</v>
          </cell>
          <cell r="C1080" t="str">
            <v>CONOCIDO</v>
          </cell>
          <cell r="D1080" t="str">
            <v>LAURA IVETTE MARIN LOPEZ</v>
          </cell>
          <cell r="E1080">
            <v>55</v>
          </cell>
          <cell r="F1080">
            <v>5</v>
          </cell>
          <cell r="G1080" t="str">
            <v>SAN JUAN EVANGELISTA</v>
          </cell>
          <cell r="H1080" t="str">
            <v>CASCAJAL GRANDE</v>
          </cell>
        </row>
        <row r="1081">
          <cell r="A1081" t="str">
            <v>30DTV0757K</v>
          </cell>
          <cell r="B1081" t="str">
            <v>SALVADOR DIAZ MIRON</v>
          </cell>
          <cell r="C1081" t="str">
            <v>JUNTO AL PARQUE</v>
          </cell>
          <cell r="D1081" t="str">
            <v>FERNANDO VILLA ORTIGOSA</v>
          </cell>
          <cell r="E1081">
            <v>55</v>
          </cell>
          <cell r="F1081">
            <v>5</v>
          </cell>
          <cell r="G1081" t="str">
            <v>SAN JUAN EVANGELISTA</v>
          </cell>
          <cell r="H1081" t="str">
            <v>LA CAUDALOSA</v>
          </cell>
        </row>
        <row r="1082">
          <cell r="A1082" t="str">
            <v>30DTV0609B</v>
          </cell>
          <cell r="B1082" t="str">
            <v>EMILIANO ZAPATA</v>
          </cell>
          <cell r="C1082" t="str">
            <v>CONOCIDO</v>
          </cell>
          <cell r="D1082" t="str">
            <v>HIRAM REYES RODRIGUEZ</v>
          </cell>
          <cell r="E1082">
            <v>55</v>
          </cell>
          <cell r="F1082">
            <v>5</v>
          </cell>
          <cell r="G1082" t="str">
            <v>SAN JUAN EVANGELISTA</v>
          </cell>
          <cell r="H1082" t="str">
            <v>LA CERQUILLA</v>
          </cell>
        </row>
        <row r="1083">
          <cell r="A1083" t="str">
            <v>30DTV1062J</v>
          </cell>
          <cell r="B1083" t="str">
            <v>GABRIELA MISTRAL</v>
          </cell>
          <cell r="C1083" t="str">
            <v>CALLE PRINCIPAL</v>
          </cell>
          <cell r="D1083" t="str">
            <v>CONSTANCIO CRUZ JIMENEZ</v>
          </cell>
          <cell r="E1083">
            <v>55</v>
          </cell>
          <cell r="F1083">
            <v>5</v>
          </cell>
          <cell r="G1083" t="str">
            <v>SAN JUAN EVANGELISTA</v>
          </cell>
          <cell r="H1083" t="str">
            <v>EJIDO MONTE VERDE</v>
          </cell>
        </row>
        <row r="1084">
          <cell r="A1084" t="str">
            <v>30DTV0758J</v>
          </cell>
          <cell r="B1084" t="str">
            <v>JUSTO SIERRA</v>
          </cell>
          <cell r="C1084" t="str">
            <v>CONOCIDO</v>
          </cell>
          <cell r="D1084" t="str">
            <v>KARINA ELENA SERRALANGUE ESPINOZA</v>
          </cell>
          <cell r="E1084">
            <v>55</v>
          </cell>
          <cell r="F1084">
            <v>5</v>
          </cell>
          <cell r="G1084" t="str">
            <v>SAN JUAN EVANGELISTA</v>
          </cell>
          <cell r="H1084" t="str">
            <v>EJIDO GUADALUPE VICTORIA</v>
          </cell>
        </row>
        <row r="1085">
          <cell r="A1085" t="str">
            <v>30DTV0139A</v>
          </cell>
          <cell r="B1085" t="str">
            <v>JUSTO SIERRA MENDEZ</v>
          </cell>
          <cell r="C1085" t="str">
            <v>CONSTITUCION ESQUINA DIAZ MIRON</v>
          </cell>
          <cell r="D1085" t="str">
            <v>MARIA DEL CARMEN MORALES GOMEZ</v>
          </cell>
          <cell r="E1085">
            <v>55</v>
          </cell>
          <cell r="F1085">
            <v>5</v>
          </cell>
          <cell r="G1085" t="str">
            <v>SAN JUAN EVANGELISTA</v>
          </cell>
          <cell r="H1085" t="str">
            <v>ESTACION JUANITA</v>
          </cell>
        </row>
        <row r="1086">
          <cell r="A1086" t="str">
            <v>30DTV0610R</v>
          </cell>
          <cell r="B1086" t="str">
            <v>CUAUHTEMOC</v>
          </cell>
          <cell r="C1086" t="str">
            <v>CONOCIDO</v>
          </cell>
          <cell r="D1086" t="str">
            <v>CHRISTIAN SAUL RIVERA MARIN</v>
          </cell>
          <cell r="E1086">
            <v>55</v>
          </cell>
          <cell r="F1086">
            <v>5</v>
          </cell>
          <cell r="G1086" t="str">
            <v>SAN JUAN EVANGELISTA</v>
          </cell>
          <cell r="H1086" t="str">
            <v>LOMA BONITA</v>
          </cell>
        </row>
        <row r="1087">
          <cell r="A1087" t="str">
            <v>30DTV1481U</v>
          </cell>
          <cell r="B1087" t="str">
            <v>JUAN ESCUTIA</v>
          </cell>
          <cell r="C1087" t="str">
            <v>CONOCIDO</v>
          </cell>
          <cell r="D1087" t="str">
            <v>DELFINA CALLEJAS PESTAÐA</v>
          </cell>
          <cell r="E1087">
            <v>55</v>
          </cell>
          <cell r="F1087">
            <v>5</v>
          </cell>
          <cell r="G1087" t="str">
            <v>SAN JUAN EVANGELISTA</v>
          </cell>
          <cell r="H1087" t="str">
            <v>EL MANANTIAL</v>
          </cell>
        </row>
        <row r="1088">
          <cell r="A1088" t="str">
            <v>30DTV1482T</v>
          </cell>
          <cell r="B1088" t="str">
            <v>JESUS REYES HEROLES</v>
          </cell>
          <cell r="C1088" t="str">
            <v>CONOCIDO</v>
          </cell>
          <cell r="D1088" t="str">
            <v>ELIZABETH RIVERA GONZALEZ</v>
          </cell>
          <cell r="E1088">
            <v>55</v>
          </cell>
          <cell r="F1088">
            <v>5</v>
          </cell>
          <cell r="G1088" t="str">
            <v>SAN JUAN EVANGELISTA</v>
          </cell>
          <cell r="H1088" t="str">
            <v>MICHAPAN DE OSORIO</v>
          </cell>
        </row>
        <row r="1089">
          <cell r="A1089" t="str">
            <v>30DTV1081Y</v>
          </cell>
          <cell r="B1089" t="str">
            <v>IGNACIO ZARAGOZA</v>
          </cell>
          <cell r="C1089" t="str">
            <v>CONOCIDO</v>
          </cell>
          <cell r="D1089" t="str">
            <v>LUZ MARINA GOMEZ REYES</v>
          </cell>
          <cell r="E1089">
            <v>55</v>
          </cell>
          <cell r="F1089">
            <v>5</v>
          </cell>
          <cell r="G1089" t="str">
            <v>SAN JUAN EVANGELISTA</v>
          </cell>
          <cell r="H1089" t="str">
            <v>RANCHO NUEVO</v>
          </cell>
        </row>
        <row r="1090">
          <cell r="A1090" t="str">
            <v>30DTV1080Z</v>
          </cell>
          <cell r="B1090" t="str">
            <v>JOSEFA ORTIZ DE DOMINGUEZ</v>
          </cell>
          <cell r="C1090" t="str">
            <v>CONOCIDO</v>
          </cell>
          <cell r="D1090" t="str">
            <v>FRANZ ABAYUBA HERNANDEZ HERNANDEZ</v>
          </cell>
          <cell r="E1090">
            <v>55</v>
          </cell>
          <cell r="F1090">
            <v>5</v>
          </cell>
          <cell r="G1090" t="str">
            <v>SAN JUAN EVANGELISTA</v>
          </cell>
          <cell r="H1090" t="str">
            <v>COLONIA REFORMA AGRARIA</v>
          </cell>
        </row>
        <row r="1091">
          <cell r="A1091" t="str">
            <v>30DTV0611Q</v>
          </cell>
          <cell r="B1091" t="str">
            <v>MIGUEL HIDALGO Y COSTILLA</v>
          </cell>
          <cell r="C1091" t="str">
            <v>CONOCIDO</v>
          </cell>
          <cell r="D1091" t="str">
            <v>MARIA ISABEL RAMIREZ BEDOYA</v>
          </cell>
          <cell r="E1091">
            <v>55</v>
          </cell>
          <cell r="F1091">
            <v>5</v>
          </cell>
          <cell r="G1091" t="str">
            <v>SAN JUAN EVANGELISTA</v>
          </cell>
          <cell r="H1091" t="str">
            <v>TIZAMAR</v>
          </cell>
        </row>
        <row r="1092">
          <cell r="A1092" t="str">
            <v>30DTV1079J</v>
          </cell>
          <cell r="B1092" t="str">
            <v>LEONA VICARIO</v>
          </cell>
          <cell r="C1092" t="str">
            <v>CONOCIDO</v>
          </cell>
          <cell r="D1092" t="str">
            <v>ASAEL AGUIRRE MASEGOZA</v>
          </cell>
          <cell r="E1092">
            <v>55</v>
          </cell>
          <cell r="F1092">
            <v>5</v>
          </cell>
          <cell r="G1092" t="str">
            <v>SAN JUAN EVANGELISTA</v>
          </cell>
          <cell r="H1092" t="str">
            <v>COLONIA VILLA ALTA</v>
          </cell>
        </row>
        <row r="1093">
          <cell r="A1093" t="str">
            <v>30DTV1263G</v>
          </cell>
          <cell r="B1093" t="str">
            <v>RAFAEL RAMIREZ</v>
          </cell>
          <cell r="C1093" t="str">
            <v>CONOCIDO</v>
          </cell>
          <cell r="D1093" t="str">
            <v>CYNTHIA SINARA OJEDA BUSTOS</v>
          </cell>
          <cell r="E1093">
            <v>55</v>
          </cell>
          <cell r="F1093">
            <v>5</v>
          </cell>
          <cell r="G1093" t="str">
            <v>SAN JUAN EVANGELISTA</v>
          </cell>
          <cell r="H1093" t="str">
            <v>COLONIA VILLAHERMOSA</v>
          </cell>
        </row>
        <row r="1094">
          <cell r="A1094" t="str">
            <v>30DTV1152B</v>
          </cell>
          <cell r="B1094" t="str">
            <v>MIGUEL ALEMAN VALDES</v>
          </cell>
          <cell r="C1094" t="str">
            <v>CONOCIDO</v>
          </cell>
          <cell r="D1094" t="str">
            <v>ROGELIO LOPEZ Y CELIS</v>
          </cell>
          <cell r="E1094">
            <v>55</v>
          </cell>
          <cell r="F1094">
            <v>5</v>
          </cell>
          <cell r="G1094" t="str">
            <v>SAN JUAN EVANGELISTA</v>
          </cell>
          <cell r="H1094" t="str">
            <v>VISTA HERMOSA</v>
          </cell>
        </row>
        <row r="1095">
          <cell r="A1095" t="str">
            <v>30DTV0438Z</v>
          </cell>
          <cell r="B1095" t="str">
            <v>BENITO JUAREZ GARCIA</v>
          </cell>
          <cell r="C1095" t="str">
            <v>LIBERTAD NUM. 12</v>
          </cell>
          <cell r="D1095" t="str">
            <v>ISRAEL GIL MARIN</v>
          </cell>
          <cell r="E1095">
            <v>55</v>
          </cell>
          <cell r="F1095">
            <v>5</v>
          </cell>
          <cell r="G1095" t="str">
            <v>SAYULA DE ALEMAN</v>
          </cell>
          <cell r="H1095" t="str">
            <v>AGUILERA</v>
          </cell>
        </row>
        <row r="1096">
          <cell r="A1096" t="str">
            <v>30DTV1582S</v>
          </cell>
          <cell r="B1096" t="str">
            <v>LAZARO CARDENAS DEL RIO</v>
          </cell>
          <cell r="C1096" t="str">
            <v>CONOCIDO</v>
          </cell>
          <cell r="D1096" t="str">
            <v>MATILDE VAZQUEZ BARRADAS</v>
          </cell>
          <cell r="E1096">
            <v>55</v>
          </cell>
          <cell r="F1096">
            <v>5</v>
          </cell>
          <cell r="G1096" t="str">
            <v>SAYULA DE ALEMAN</v>
          </cell>
          <cell r="H1096" t="str">
            <v>ROMERO RUBIO</v>
          </cell>
        </row>
        <row r="1097">
          <cell r="A1097" t="str">
            <v>30DTV1189P</v>
          </cell>
          <cell r="B1097" t="str">
            <v>JOHANN H. PESTALOZZI</v>
          </cell>
          <cell r="C1097" t="str">
            <v>CONOCIDO</v>
          </cell>
          <cell r="D1097" t="str">
            <v>MANUEL VALDES BARRIOS</v>
          </cell>
          <cell r="E1097">
            <v>55</v>
          </cell>
          <cell r="F1097">
            <v>5</v>
          </cell>
          <cell r="G1097" t="str">
            <v>SAYULA DE ALEMAN</v>
          </cell>
          <cell r="H1097" t="str">
            <v>LA VICTORIA UNO (LA VICTORIA)</v>
          </cell>
        </row>
        <row r="1098">
          <cell r="A1098" t="str">
            <v>30DTV1542R</v>
          </cell>
          <cell r="B1098" t="str">
            <v>VENUSTIANO CARRANZA</v>
          </cell>
          <cell r="C1098" t="str">
            <v>PROLONGACION CORREOS S/N</v>
          </cell>
          <cell r="D1098" t="str">
            <v>ADAN PEREZ REYES</v>
          </cell>
          <cell r="E1098">
            <v>56</v>
          </cell>
          <cell r="F1098">
            <v>5</v>
          </cell>
          <cell r="G1098" t="str">
            <v>COSOLEACAQUE</v>
          </cell>
          <cell r="H1098" t="str">
            <v>COSOLEACAQUE</v>
          </cell>
        </row>
        <row r="1099">
          <cell r="A1099" t="str">
            <v>30DTV0270J</v>
          </cell>
          <cell r="B1099" t="str">
            <v>LAZARO CARDENAS DEL RIO</v>
          </cell>
          <cell r="C1099" t="str">
            <v>CALLEJON TORTUGUEROS S/N</v>
          </cell>
          <cell r="D1099" t="str">
            <v>PEDRO FRANCISCO HERNANDEZ GARCIA</v>
          </cell>
          <cell r="E1099">
            <v>56</v>
          </cell>
          <cell r="F1099">
            <v>5</v>
          </cell>
          <cell r="G1099" t="str">
            <v>HIDALGOTITLAN</v>
          </cell>
          <cell r="H1099" t="str">
            <v>HIDALGOTITLAN</v>
          </cell>
        </row>
        <row r="1100">
          <cell r="A1100" t="str">
            <v>30DTV0902F</v>
          </cell>
          <cell r="B1100" t="str">
            <v>IGNACIO ZARAGOZA</v>
          </cell>
          <cell r="C1100" t="str">
            <v>CONOCIDO</v>
          </cell>
          <cell r="D1100" t="str">
            <v>MARCO ANTONIO GARCIA CELIS</v>
          </cell>
          <cell r="E1100">
            <v>56</v>
          </cell>
          <cell r="F1100">
            <v>5</v>
          </cell>
          <cell r="G1100" t="str">
            <v>HIDALGOTITLAN</v>
          </cell>
          <cell r="H1100" t="str">
            <v>EL MACAYAL</v>
          </cell>
        </row>
        <row r="1101">
          <cell r="A1101" t="str">
            <v>30DTV0817I</v>
          </cell>
          <cell r="B1101" t="str">
            <v>SOR JUANA INES DE LA CRUZ</v>
          </cell>
          <cell r="C1101" t="str">
            <v>RICARDO FLORES MAGON ESQUINA BENITO JUAREZ</v>
          </cell>
          <cell r="D1101" t="str">
            <v>JUAN MANUEL RAMOS GORDILLO</v>
          </cell>
          <cell r="E1101">
            <v>56</v>
          </cell>
          <cell r="F1101">
            <v>5</v>
          </cell>
          <cell r="G1101" t="str">
            <v>MECAYAPAN</v>
          </cell>
          <cell r="H1101" t="str">
            <v>MECAYAPAN</v>
          </cell>
        </row>
        <row r="1102">
          <cell r="A1102" t="str">
            <v>30DTV1192C</v>
          </cell>
          <cell r="B1102" t="str">
            <v>BENITO JUAREZ GARCIA</v>
          </cell>
          <cell r="C1102" t="str">
            <v>CONOCIDO</v>
          </cell>
          <cell r="D1102" t="str">
            <v>NORA DELIA OSORIO DIAZ</v>
          </cell>
          <cell r="E1102">
            <v>56</v>
          </cell>
          <cell r="F1102">
            <v>5</v>
          </cell>
          <cell r="G1102" t="str">
            <v>MECAYAPAN</v>
          </cell>
          <cell r="H1102" t="str">
            <v>CERRO DE LA PALMA</v>
          </cell>
        </row>
        <row r="1103">
          <cell r="A1103" t="str">
            <v>30DTV0904D</v>
          </cell>
          <cell r="B1103" t="str">
            <v>IGNACIO JOSE DE ALLENDE</v>
          </cell>
          <cell r="C1103" t="str">
            <v>CONOCIDO</v>
          </cell>
          <cell r="D1103" t="str">
            <v>FERNANDO ARELLANO DOMINGUEZ</v>
          </cell>
          <cell r="E1103">
            <v>56</v>
          </cell>
          <cell r="F1103">
            <v>5</v>
          </cell>
          <cell r="G1103" t="str">
            <v>MECAYAPAN</v>
          </cell>
          <cell r="H1103" t="str">
            <v>HUAZUNTLAN</v>
          </cell>
        </row>
        <row r="1104">
          <cell r="A1104" t="str">
            <v>30DTV1193B</v>
          </cell>
          <cell r="B1104" t="str">
            <v>CUITLAHUAC</v>
          </cell>
          <cell r="C1104" t="str">
            <v>CONOCIDO</v>
          </cell>
          <cell r="D1104" t="str">
            <v>MIGUEL ANASTACIO MARTINEZ</v>
          </cell>
          <cell r="E1104">
            <v>56</v>
          </cell>
          <cell r="F1104">
            <v>5</v>
          </cell>
          <cell r="G1104" t="str">
            <v>MECAYAPAN</v>
          </cell>
          <cell r="H1104" t="str">
            <v>IXHUAPAN</v>
          </cell>
        </row>
        <row r="1105">
          <cell r="A1105" t="str">
            <v>30DTV0905C</v>
          </cell>
          <cell r="B1105" t="str">
            <v>MIGUEL HIDALGO Y COSTILLA</v>
          </cell>
          <cell r="C1105" t="str">
            <v>CONOCIDO</v>
          </cell>
          <cell r="D1105" t="str">
            <v>CLAUDIA ZAGAL ESPINOZA</v>
          </cell>
          <cell r="E1105">
            <v>56</v>
          </cell>
          <cell r="F1105">
            <v>5</v>
          </cell>
          <cell r="G1105" t="str">
            <v>MINATITLAN</v>
          </cell>
          <cell r="H1105" t="str">
            <v>LAS ANIMAS</v>
          </cell>
        </row>
        <row r="1106">
          <cell r="A1106" t="str">
            <v>30DTV1425B</v>
          </cell>
          <cell r="B1106" t="str">
            <v>JAIME SABINES</v>
          </cell>
          <cell r="C1106" t="str">
            <v>CONOCIDO</v>
          </cell>
          <cell r="D1106" t="str">
            <v>ROSALIA GUTIERREZ ORDOÑEZ</v>
          </cell>
          <cell r="E1106">
            <v>56</v>
          </cell>
          <cell r="F1106">
            <v>5</v>
          </cell>
          <cell r="G1106" t="str">
            <v>MINATITLAN</v>
          </cell>
          <cell r="H1106" t="str">
            <v>LAS CARMELITAS</v>
          </cell>
        </row>
        <row r="1107">
          <cell r="A1107" t="str">
            <v>30DTV1477H</v>
          </cell>
          <cell r="B1107" t="str">
            <v>JOSEFA ORTIZ DE DOMINGUEZ</v>
          </cell>
          <cell r="C1107" t="str">
            <v>CONOCIDO</v>
          </cell>
          <cell r="D1107" t="str">
            <v>ESTEBAN MARIN COSGALLA</v>
          </cell>
          <cell r="E1107">
            <v>56</v>
          </cell>
          <cell r="F1107">
            <v>5</v>
          </cell>
          <cell r="G1107" t="str">
            <v>MINATITLAN</v>
          </cell>
          <cell r="H1107" t="str">
            <v>CHICHONAL NOPALAPA</v>
          </cell>
        </row>
        <row r="1108">
          <cell r="A1108" t="str">
            <v>30DTV1088R</v>
          </cell>
          <cell r="B1108" t="str">
            <v>NIÐOS HEROES DE CHAPULTEPEC</v>
          </cell>
          <cell r="C1108" t="str">
            <v>CONOCIDO</v>
          </cell>
          <cell r="D1108" t="str">
            <v>MARIANO OLAN JAVIER</v>
          </cell>
          <cell r="E1108">
            <v>56</v>
          </cell>
          <cell r="F1108">
            <v>5</v>
          </cell>
          <cell r="G1108" t="str">
            <v>MINATITLAN</v>
          </cell>
          <cell r="H1108" t="str">
            <v>EL DEPOSITO</v>
          </cell>
        </row>
        <row r="1109">
          <cell r="A1109" t="str">
            <v>30DTV0340O</v>
          </cell>
          <cell r="B1109" t="str">
            <v>JUAN ESCUTIA</v>
          </cell>
          <cell r="C1109" t="str">
            <v>CONOCIDO</v>
          </cell>
          <cell r="D1109" t="str">
            <v>DANIEL MARCIANO ERNESTO</v>
          </cell>
          <cell r="E1109">
            <v>56</v>
          </cell>
          <cell r="F1109">
            <v>5</v>
          </cell>
          <cell r="G1109" t="str">
            <v>MINATITLAN</v>
          </cell>
          <cell r="H1109" t="str">
            <v>EMILIO CARRANZA (SALINAS)</v>
          </cell>
        </row>
        <row r="1110">
          <cell r="A1110" t="str">
            <v>30DTV0132H</v>
          </cell>
          <cell r="B1110" t="str">
            <v>JOSE MARIA MORELOS Y PAVON</v>
          </cell>
          <cell r="C1110" t="str">
            <v>CONOCIDO</v>
          </cell>
          <cell r="D1110" t="str">
            <v>FCO. MIGUEL SANATRIA MENA</v>
          </cell>
          <cell r="E1110">
            <v>56</v>
          </cell>
          <cell r="F1110">
            <v>5</v>
          </cell>
          <cell r="G1110" t="str">
            <v>MINATITLAN</v>
          </cell>
          <cell r="H1110" t="str">
            <v>FRANCISCO DE GARAY (AMPLIACION COLORADO)</v>
          </cell>
        </row>
        <row r="1111">
          <cell r="A1111" t="str">
            <v>30DTV1127C</v>
          </cell>
          <cell r="B1111" t="str">
            <v>LUIS DONALDO COLOSIO MURRIETA</v>
          </cell>
          <cell r="C1111" t="str">
            <v>CONOCIDO</v>
          </cell>
          <cell r="D1111" t="str">
            <v>JOSE HECTOR SALAS LOPEZ</v>
          </cell>
          <cell r="E1111">
            <v>56</v>
          </cell>
          <cell r="F1111">
            <v>5</v>
          </cell>
          <cell r="G1111" t="str">
            <v>MINATITLAN</v>
          </cell>
          <cell r="H1111" t="str">
            <v>FRANCISCO I. MADERO</v>
          </cell>
        </row>
        <row r="1112">
          <cell r="A1112" t="str">
            <v>30DTV1011C</v>
          </cell>
          <cell r="B1112" t="str">
            <v>MIGUEL ALEMAN VALDES</v>
          </cell>
          <cell r="C1112" t="str">
            <v>BENITO JUAREZ S/N</v>
          </cell>
          <cell r="D1112" t="str">
            <v>ANGEL MARIN GONZALEZ</v>
          </cell>
          <cell r="E1112">
            <v>56</v>
          </cell>
          <cell r="F1112">
            <v>5</v>
          </cell>
          <cell r="G1112" t="str">
            <v>MINATITLAN</v>
          </cell>
          <cell r="H1112" t="str">
            <v>SAN CRISTOBAL</v>
          </cell>
        </row>
        <row r="1113">
          <cell r="A1113" t="str">
            <v>30DTV0743H</v>
          </cell>
          <cell r="B1113" t="str">
            <v>PRIMERO DE MAYO</v>
          </cell>
          <cell r="C1113" t="str">
            <v>CONOCIDO</v>
          </cell>
          <cell r="D1113" t="str">
            <v>FELIPE DE JESUS CARDEðA DZUL</v>
          </cell>
          <cell r="E1113">
            <v>56</v>
          </cell>
          <cell r="F1113">
            <v>5</v>
          </cell>
          <cell r="G1113" t="str">
            <v>MINATITLAN</v>
          </cell>
          <cell r="H1113" t="str">
            <v>LIMONTA</v>
          </cell>
        </row>
        <row r="1114">
          <cell r="A1114" t="str">
            <v>30DTV1479F</v>
          </cell>
          <cell r="B1114" t="str">
            <v>JOSE VASCONCELOS</v>
          </cell>
          <cell r="C1114" t="str">
            <v>CONOCIDO</v>
          </cell>
          <cell r="D1114" t="str">
            <v>EVA CAISEROS AVILA</v>
          </cell>
          <cell r="E1114">
            <v>56</v>
          </cell>
          <cell r="F1114">
            <v>5</v>
          </cell>
          <cell r="G1114" t="str">
            <v>MINATITLAN</v>
          </cell>
          <cell r="H1114" t="str">
            <v>OTAPA</v>
          </cell>
        </row>
        <row r="1115">
          <cell r="A1115" t="str">
            <v>30DTV0955K</v>
          </cell>
          <cell r="B1115" t="str">
            <v>JOSE MARIA MORELOS Y PAVON</v>
          </cell>
          <cell r="C1115" t="str">
            <v>CONOCIDO</v>
          </cell>
          <cell r="D1115" t="str">
            <v>AVELINO MARTINEZ SEGOVIA</v>
          </cell>
          <cell r="E1115">
            <v>56</v>
          </cell>
          <cell r="F1115">
            <v>5</v>
          </cell>
          <cell r="G1115" t="str">
            <v>MINATITLAN</v>
          </cell>
          <cell r="H1115" t="str">
            <v>LA VICTORIA</v>
          </cell>
        </row>
        <row r="1116">
          <cell r="A1116" t="str">
            <v>30DTV1191D</v>
          </cell>
          <cell r="B1116" t="str">
            <v>MIGUEL HIDALGO Y COSTILLA</v>
          </cell>
          <cell r="C1116" t="str">
            <v>CONOCIDO</v>
          </cell>
          <cell r="D1116" t="str">
            <v>MARCELA CRUZ PEREZ</v>
          </cell>
          <cell r="E1116">
            <v>56</v>
          </cell>
          <cell r="F1116">
            <v>5</v>
          </cell>
          <cell r="G1116" t="str">
            <v>MINATITLAN</v>
          </cell>
          <cell r="H1116" t="str">
            <v>LA ESMERALDA</v>
          </cell>
        </row>
        <row r="1117">
          <cell r="A1117" t="str">
            <v>30DTV0594Q</v>
          </cell>
          <cell r="B1117" t="str">
            <v>JUAN ESCUTIA</v>
          </cell>
          <cell r="C1117" t="str">
            <v>CONOCIDO</v>
          </cell>
          <cell r="D1117" t="str">
            <v>GONZALO PEREZ LAMBERT</v>
          </cell>
          <cell r="E1117">
            <v>56</v>
          </cell>
          <cell r="F1117">
            <v>5</v>
          </cell>
          <cell r="G1117" t="str">
            <v>MINATITLAN</v>
          </cell>
          <cell r="H1117" t="str">
            <v>EL JIMBAL</v>
          </cell>
        </row>
        <row r="1118">
          <cell r="A1118" t="str">
            <v>30DTV1478G</v>
          </cell>
          <cell r="B1118" t="str">
            <v>TIERRA Y LIBERTAD</v>
          </cell>
          <cell r="C1118" t="str">
            <v>CONOCIDO</v>
          </cell>
          <cell r="D1118" t="str">
            <v>ARIADNA PEÐA ACOSTA</v>
          </cell>
          <cell r="E1118">
            <v>56</v>
          </cell>
          <cell r="F1118">
            <v>5</v>
          </cell>
          <cell r="G1118" t="str">
            <v>MINATITLAN</v>
          </cell>
          <cell r="H1118" t="str">
            <v>NIÑO ARTILLERO</v>
          </cell>
        </row>
        <row r="1119">
          <cell r="A1119" t="str">
            <v>30DTV1250C</v>
          </cell>
          <cell r="B1119" t="str">
            <v>BELISARIO DOMINGUEZ</v>
          </cell>
          <cell r="C1119" t="str">
            <v>CONOCIDO</v>
          </cell>
          <cell r="D1119" t="str">
            <v>FRANCISCA DE JESUS DOMINGUEZ BARRADAS</v>
          </cell>
          <cell r="E1119">
            <v>56</v>
          </cell>
          <cell r="F1119">
            <v>5</v>
          </cell>
          <cell r="G1119" t="str">
            <v>MINATITLAN</v>
          </cell>
          <cell r="H1119" t="str">
            <v>PLAN DE LIMONES</v>
          </cell>
        </row>
        <row r="1120">
          <cell r="A1120" t="str">
            <v>30DTV0996K</v>
          </cell>
          <cell r="B1120" t="str">
            <v>INDEPENDENCIA</v>
          </cell>
          <cell r="C1120" t="str">
            <v>CONOCIDO</v>
          </cell>
          <cell r="D1120" t="str">
            <v>JULIO CESAR MACEDA HUERTA</v>
          </cell>
          <cell r="E1120">
            <v>56</v>
          </cell>
          <cell r="F1120">
            <v>5</v>
          </cell>
          <cell r="G1120" t="str">
            <v>MINATITLAN</v>
          </cell>
          <cell r="H1120" t="str">
            <v>LA PROVIDENCIA</v>
          </cell>
        </row>
        <row r="1121">
          <cell r="A1121" t="str">
            <v>30DTV1170R</v>
          </cell>
          <cell r="B1121" t="str">
            <v>SEBASTIAN LERDO DE TEJADA</v>
          </cell>
          <cell r="C1121" t="str">
            <v>CONOCIDO</v>
          </cell>
          <cell r="D1121" t="str">
            <v>IRASEMA RODRIGUEZ BARRIOS</v>
          </cell>
          <cell r="E1121">
            <v>56</v>
          </cell>
          <cell r="F1121">
            <v>5</v>
          </cell>
          <cell r="G1121" t="str">
            <v>MINATITLAN</v>
          </cell>
          <cell r="H1121" t="str">
            <v>EL VALLE</v>
          </cell>
        </row>
        <row r="1122">
          <cell r="A1122" t="str">
            <v>30DTV0129U</v>
          </cell>
          <cell r="B1122" t="str">
            <v>RAFAEL RAMIREZ</v>
          </cell>
          <cell r="C1122" t="str">
            <v>LIBORIO F. CHIGO NUM. 48</v>
          </cell>
          <cell r="D1122" t="str">
            <v>EMILIANO CORTES ROSALDO</v>
          </cell>
          <cell r="E1122">
            <v>57</v>
          </cell>
          <cell r="F1122">
            <v>9</v>
          </cell>
          <cell r="G1122" t="str">
            <v>SAN ANDRES TUXTLA</v>
          </cell>
          <cell r="H1122" t="str">
            <v>SAN ANDRES TUXTLA</v>
          </cell>
        </row>
        <row r="1123">
          <cell r="A1123" t="str">
            <v>30DTV1175M</v>
          </cell>
          <cell r="B1123" t="str">
            <v>ENRIQUE AUGUSTO CARRION SOLANA</v>
          </cell>
          <cell r="C1123" t="str">
            <v>FRENTE AL CAMPO DE FUTBOL</v>
          </cell>
          <cell r="D1123" t="str">
            <v>ARCELIA ARCE ARENAS</v>
          </cell>
          <cell r="E1123">
            <v>57</v>
          </cell>
          <cell r="F1123">
            <v>9</v>
          </cell>
          <cell r="G1123" t="str">
            <v>SAN ANDRES TUXTLA</v>
          </cell>
          <cell r="H1123" t="str">
            <v>SAN ANDRES TUXTLA</v>
          </cell>
        </row>
        <row r="1124">
          <cell r="A1124" t="str">
            <v>30DTV0830C</v>
          </cell>
          <cell r="B1124" t="str">
            <v>BELISARIO DOMINGUEZ</v>
          </cell>
          <cell r="C1124" t="str">
            <v>JUNTO A LA CLINICA S.S.A.</v>
          </cell>
          <cell r="D1124" t="str">
            <v>CARLOS VALDEZ AZAMAR</v>
          </cell>
          <cell r="E1124">
            <v>57</v>
          </cell>
          <cell r="F1124">
            <v>9</v>
          </cell>
          <cell r="G1124" t="str">
            <v>SAN ANDRES TUXTLA</v>
          </cell>
          <cell r="H1124" t="str">
            <v>AXOCHIO</v>
          </cell>
        </row>
        <row r="1125">
          <cell r="A1125" t="str">
            <v>30DTV1429Y</v>
          </cell>
          <cell r="B1125" t="str">
            <v>PLUTARCO ELIAS CALLES</v>
          </cell>
          <cell r="C1125" t="str">
            <v>JUNTO A LA CLINICA DEL IMSS</v>
          </cell>
          <cell r="D1125" t="str">
            <v>SATURNINO ROMAN FACUNDO</v>
          </cell>
          <cell r="E1125">
            <v>57</v>
          </cell>
          <cell r="F1125">
            <v>9</v>
          </cell>
          <cell r="G1125" t="str">
            <v>SAN ANDRES TUXTLA</v>
          </cell>
          <cell r="H1125" t="str">
            <v>BUENOS AIRES TEXALPAN</v>
          </cell>
        </row>
        <row r="1126">
          <cell r="A1126" t="str">
            <v>30DTV0607D</v>
          </cell>
          <cell r="B1126" t="str">
            <v>FRANCISCO JAVIER CLAVIJERO</v>
          </cell>
          <cell r="C1126" t="str">
            <v>URSULO GALVAN ESQUINA LEY 6 DE ENERO</v>
          </cell>
          <cell r="D1126" t="str">
            <v>ELIZABETH POLITO MORALES</v>
          </cell>
          <cell r="E1126">
            <v>57</v>
          </cell>
          <cell r="F1126">
            <v>9</v>
          </cell>
          <cell r="G1126" t="str">
            <v>SAN ANDRES TUXTLA</v>
          </cell>
          <cell r="H1126" t="str">
            <v>JUAN JACOBO TORRES (BODEGA DE TOTONTEPEC)</v>
          </cell>
        </row>
        <row r="1127">
          <cell r="A1127" t="str">
            <v>30DTV0970C</v>
          </cell>
          <cell r="B1127" t="str">
            <v>GRAL. LAZARO CARDENAS DEL RIO</v>
          </cell>
          <cell r="C1127" t="str">
            <v>FRENTE A LA CASETA TELEFONICA</v>
          </cell>
          <cell r="D1127" t="str">
            <v>ANTONIO OCELOT HERNANDEZ</v>
          </cell>
          <cell r="E1127">
            <v>57</v>
          </cell>
          <cell r="F1127">
            <v>9</v>
          </cell>
          <cell r="G1127" t="str">
            <v>SAN ANDRES TUXTLA</v>
          </cell>
          <cell r="H1127" t="str">
            <v>LAUCHAPAN</v>
          </cell>
        </row>
        <row r="1128">
          <cell r="A1128" t="str">
            <v>30DTV0103M</v>
          </cell>
          <cell r="B1128" t="str">
            <v>AMADO NERVO</v>
          </cell>
          <cell r="C1128" t="str">
            <v>FRENTE AL NUM. 14 FRENTE AL CAMPO DE FUTBOL</v>
          </cell>
          <cell r="D1128" t="str">
            <v>SANTIAGO ORTIZ RUIZ</v>
          </cell>
          <cell r="E1128">
            <v>57</v>
          </cell>
          <cell r="F1128">
            <v>9</v>
          </cell>
          <cell r="G1128" t="str">
            <v>SAN ANDRES TUXTLA</v>
          </cell>
          <cell r="H1128" t="str">
            <v>EL LAUREL</v>
          </cell>
        </row>
        <row r="1129">
          <cell r="A1129" t="str">
            <v>30DTV0439Y</v>
          </cell>
          <cell r="B1129" t="str">
            <v>IGNACIO MANUEL ALTAMIRANO</v>
          </cell>
          <cell r="C1129" t="str">
            <v>GONZALEZ Y PALACIOS 29</v>
          </cell>
          <cell r="D1129" t="str">
            <v>WULFRANO RODRIGUEZ ANDRADE</v>
          </cell>
          <cell r="E1129">
            <v>57</v>
          </cell>
          <cell r="F1129">
            <v>9</v>
          </cell>
          <cell r="G1129" t="str">
            <v>SAN ANDRES TUXTLA</v>
          </cell>
          <cell r="H1129" t="str">
            <v>MAZUMIAPAN</v>
          </cell>
        </row>
        <row r="1130">
          <cell r="A1130" t="str">
            <v>30DTV1392A</v>
          </cell>
          <cell r="B1130" t="str">
            <v>JOSE VASCONCELOS</v>
          </cell>
          <cell r="C1130" t="str">
            <v>FRENTE A LA CASA DE SALUD</v>
          </cell>
          <cell r="D1130" t="str">
            <v>LORENA SANTOS ARENAS</v>
          </cell>
          <cell r="E1130">
            <v>57</v>
          </cell>
          <cell r="F1130">
            <v>9</v>
          </cell>
          <cell r="G1130" t="str">
            <v>SAN ANDRES TUXTLA</v>
          </cell>
          <cell r="H1130" t="str">
            <v>LOS MERIDA</v>
          </cell>
        </row>
        <row r="1131">
          <cell r="A1131" t="str">
            <v>30DTV0451T</v>
          </cell>
          <cell r="B1131" t="str">
            <v>EMILIANO ZAPATA</v>
          </cell>
          <cell r="C1131" t="str">
            <v>PRIMER EDIFICIO A LA ENTRADA DE LA COMUNIDAD</v>
          </cell>
          <cell r="D1131" t="str">
            <v>SUSANA FERNANDEZ DOMINGUEZ</v>
          </cell>
          <cell r="E1131">
            <v>57</v>
          </cell>
          <cell r="F1131">
            <v>9</v>
          </cell>
          <cell r="G1131" t="str">
            <v>SAN ANDRES TUXTLA</v>
          </cell>
          <cell r="H1131" t="str">
            <v>OCELOTA</v>
          </cell>
        </row>
        <row r="1132">
          <cell r="A1132" t="str">
            <v>30DTV0075G</v>
          </cell>
          <cell r="B1132" t="str">
            <v>SALVADOR DIAZ MIRON</v>
          </cell>
          <cell r="C1132" t="str">
            <v>A LA ENTRADA DE LA COMUNIDAD</v>
          </cell>
          <cell r="D1132" t="str">
            <v>ABELARDO RAUL PARDO COBOS</v>
          </cell>
          <cell r="E1132">
            <v>57</v>
          </cell>
          <cell r="F1132">
            <v>9</v>
          </cell>
          <cell r="G1132" t="str">
            <v>SAN ANDRES TUXTLA</v>
          </cell>
          <cell r="H1132" t="str">
            <v>OHUILAPAN</v>
          </cell>
        </row>
        <row r="1133">
          <cell r="A1133" t="str">
            <v>30DTV1144T</v>
          </cell>
          <cell r="B1133" t="str">
            <v>GUADALUPE VICTORIA</v>
          </cell>
          <cell r="C1133" t="str">
            <v>FRENTE A LA IGLESIA</v>
          </cell>
          <cell r="D1133" t="str">
            <v>RAYMUNDO CERON ROSAS</v>
          </cell>
          <cell r="E1133">
            <v>57</v>
          </cell>
          <cell r="F1133">
            <v>9</v>
          </cell>
          <cell r="G1133" t="str">
            <v>SAN ANDRES TUXTLA</v>
          </cell>
          <cell r="H1133" t="str">
            <v>EL POPOTAL</v>
          </cell>
        </row>
        <row r="1134">
          <cell r="A1134" t="str">
            <v>30DTV1393Z</v>
          </cell>
          <cell r="B1134" t="str">
            <v>5 DE FEBRERO</v>
          </cell>
          <cell r="C1134" t="str">
            <v>CALLE PRINCIPAL ANTES DE LA CONASUPO</v>
          </cell>
          <cell r="D1134" t="str">
            <v>NICASIO MAYO MORTEO</v>
          </cell>
          <cell r="E1134">
            <v>57</v>
          </cell>
          <cell r="F1134">
            <v>9</v>
          </cell>
          <cell r="G1134" t="str">
            <v>SAN ANDRES TUXTLA</v>
          </cell>
          <cell r="H1134" t="str">
            <v>PUERTA NUEVA XOTEAPAN (PUERTA NUEVA)</v>
          </cell>
        </row>
        <row r="1135">
          <cell r="A1135" t="str">
            <v>30DTV0268V</v>
          </cell>
          <cell r="B1135" t="str">
            <v>MANUEL AVILA CAMACHO</v>
          </cell>
          <cell r="C1135" t="str">
            <v>FRENTE A LA ESCUELA PRIMARIA</v>
          </cell>
          <cell r="D1135" t="str">
            <v>MIGUEL ANGEL TORRES CASTILLO</v>
          </cell>
          <cell r="E1135">
            <v>57</v>
          </cell>
          <cell r="F1135">
            <v>9</v>
          </cell>
          <cell r="G1135" t="str">
            <v>SAN ANDRES TUXTLA</v>
          </cell>
          <cell r="H1135" t="str">
            <v>RIO DE TUXTLA</v>
          </cell>
        </row>
        <row r="1136">
          <cell r="A1136" t="str">
            <v>30DTV1434J</v>
          </cell>
          <cell r="B1136" t="str">
            <v>MANUEL ACUÐA</v>
          </cell>
          <cell r="C1136" t="str">
            <v>CONOCIDO JUNTO A LA CASA DE SALUD</v>
          </cell>
          <cell r="D1136" t="str">
            <v>ISAAC OROZCO BELTRAN</v>
          </cell>
          <cell r="E1136">
            <v>57</v>
          </cell>
          <cell r="F1136">
            <v>9</v>
          </cell>
          <cell r="G1136" t="str">
            <v>SAN ANDRES TUXTLA</v>
          </cell>
          <cell r="H1136" t="str">
            <v>TEXALPAN DE ABAJO</v>
          </cell>
        </row>
        <row r="1137">
          <cell r="A1137" t="str">
            <v>30DTV1435I</v>
          </cell>
          <cell r="B1137" t="str">
            <v>SOR JUANA INES DE LA CRUZ</v>
          </cell>
          <cell r="C1137" t="str">
            <v>FRENTE A LA ESCUELA PRIMARIA</v>
          </cell>
          <cell r="D1137" t="str">
            <v>VICTOR M. ZAMUDIO HERNANDEZ</v>
          </cell>
          <cell r="E1137">
            <v>57</v>
          </cell>
          <cell r="F1137">
            <v>9</v>
          </cell>
          <cell r="G1137" t="str">
            <v>SAN ANDRES TUXTLA</v>
          </cell>
          <cell r="H1137" t="str">
            <v>TEXCALTITAN XOTEAPAN (TEXCALTITAN)</v>
          </cell>
        </row>
        <row r="1138">
          <cell r="A1138" t="str">
            <v>30DTV0907A</v>
          </cell>
          <cell r="B1138" t="str">
            <v>MARGARITA MAZA DE JUAREZ</v>
          </cell>
          <cell r="C1138" t="str">
            <v>FRENTE AL CAMPO DEPORTIVO</v>
          </cell>
          <cell r="D1138" t="str">
            <v>NORA DOMINGEZ M.</v>
          </cell>
          <cell r="E1138">
            <v>57</v>
          </cell>
          <cell r="F1138">
            <v>9</v>
          </cell>
          <cell r="G1138" t="str">
            <v>SANTIAGO TUXTLA</v>
          </cell>
          <cell r="H1138" t="str">
            <v>ARROYO SAN ISIDRO</v>
          </cell>
        </row>
        <row r="1139">
          <cell r="A1139" t="str">
            <v>30DTV0496P</v>
          </cell>
          <cell r="B1139" t="str">
            <v>ESTUDIO Y PROGRESO</v>
          </cell>
          <cell r="C1139" t="str">
            <v>FRENTE A LA CASA EJIDAL</v>
          </cell>
          <cell r="D1139" t="str">
            <v>GASPAR CRUZ PEðA</v>
          </cell>
          <cell r="E1139">
            <v>57</v>
          </cell>
          <cell r="F1139">
            <v>9</v>
          </cell>
          <cell r="G1139" t="str">
            <v>SANTIAGO TUXTLA</v>
          </cell>
          <cell r="H1139" t="str">
            <v>BOCA DEL MONTE</v>
          </cell>
        </row>
        <row r="1140">
          <cell r="A1140" t="str">
            <v>30DTV0691S</v>
          </cell>
          <cell r="B1140" t="str">
            <v>ALVARO OBREGON</v>
          </cell>
          <cell r="C1140" t="str">
            <v>ENTRADA DE LA COMUNIDAD</v>
          </cell>
          <cell r="D1140" t="str">
            <v>RAMONA COPETE TEGOMA</v>
          </cell>
          <cell r="E1140">
            <v>57</v>
          </cell>
          <cell r="F1140">
            <v>9</v>
          </cell>
          <cell r="G1140" t="str">
            <v>SANTIAGO TUXTLA</v>
          </cell>
          <cell r="H1140" t="str">
            <v>EL MORAL</v>
          </cell>
        </row>
        <row r="1141">
          <cell r="A1141" t="str">
            <v>30DTV1712V</v>
          </cell>
          <cell r="B1141" t="str">
            <v>TELESECUNDARIA</v>
          </cell>
          <cell r="C1141" t="str">
            <v>CALLE S/N ATRAS DE LA ESCUELA PRIMARIA</v>
          </cell>
          <cell r="D1141" t="str">
            <v>ROLANDO RAMON UBALDO</v>
          </cell>
          <cell r="E1141">
            <v>57</v>
          </cell>
          <cell r="F1141">
            <v>9</v>
          </cell>
          <cell r="G1141" t="str">
            <v>SANTIAGO TUXTLA</v>
          </cell>
          <cell r="H1141" t="str">
            <v>POPOCTEPETL</v>
          </cell>
        </row>
        <row r="1142">
          <cell r="A1142" t="str">
            <v>30DTV1148P</v>
          </cell>
          <cell r="B1142" t="str">
            <v>JESUS REYES HEROLES</v>
          </cell>
          <cell r="C1142" t="str">
            <v>BENITO JUAREZ S/N</v>
          </cell>
          <cell r="D1142" t="str">
            <v>VICTORINO ORTIZ RUIZ</v>
          </cell>
          <cell r="E1142">
            <v>57</v>
          </cell>
          <cell r="F1142">
            <v>9</v>
          </cell>
          <cell r="G1142" t="str">
            <v>SANTIAGO TUXTLA</v>
          </cell>
          <cell r="H1142" t="str">
            <v>RINCON DE ZAPATERO</v>
          </cell>
        </row>
        <row r="1143">
          <cell r="A1143" t="str">
            <v>30DTV0448F</v>
          </cell>
          <cell r="B1143" t="str">
            <v>MIGUEL HIDALGO Y COSTILLA</v>
          </cell>
          <cell r="C1143" t="str">
            <v>MIGUEL HIDALGO S/N JUNTO A LA ESCUELA PRIMARIA</v>
          </cell>
          <cell r="D1143" t="str">
            <v>JOSE NAVARRETE CARVALLO</v>
          </cell>
          <cell r="E1143">
            <v>57</v>
          </cell>
          <cell r="F1143">
            <v>9</v>
          </cell>
          <cell r="G1143" t="str">
            <v>SANTIAGO TUXTLA</v>
          </cell>
          <cell r="H1143" t="str">
            <v>SAN ANTONIO DE LA HUERTA</v>
          </cell>
        </row>
        <row r="1144">
          <cell r="A1144" t="str">
            <v>30DTV0478Z</v>
          </cell>
          <cell r="B1144" t="str">
            <v>JOSE MARIA MATA</v>
          </cell>
          <cell r="C1144" t="str">
            <v>CALLE PRINCIPAL</v>
          </cell>
          <cell r="D1144" t="str">
            <v>ISABEL CRISTINA GONZALEZ COSME</v>
          </cell>
          <cell r="E1144">
            <v>57</v>
          </cell>
          <cell r="F1144">
            <v>9</v>
          </cell>
          <cell r="G1144" t="str">
            <v>SANTIAGO TUXTLA</v>
          </cell>
          <cell r="H1144" t="str">
            <v>SINAPAN</v>
          </cell>
        </row>
        <row r="1145">
          <cell r="A1145" t="str">
            <v>30DTV0674B</v>
          </cell>
          <cell r="B1145" t="str">
            <v>ROQUE SPINOSO FOGLIA</v>
          </cell>
          <cell r="C1145" t="str">
            <v>A UN COSTADO DE LA CARRETERA</v>
          </cell>
          <cell r="D1145" t="str">
            <v>ALBA MATEOS DIAZ</v>
          </cell>
          <cell r="E1145">
            <v>57</v>
          </cell>
          <cell r="F1145">
            <v>9</v>
          </cell>
          <cell r="G1145" t="str">
            <v>SANTIAGO TUXTLA</v>
          </cell>
          <cell r="H1145" t="str">
            <v>TLAPACOYAN</v>
          </cell>
        </row>
        <row r="1146">
          <cell r="A1146" t="str">
            <v>30DTV0283N</v>
          </cell>
          <cell r="B1146" t="str">
            <v>JOSEFA ORTIZ DE DOMINGUEZ</v>
          </cell>
          <cell r="C1146" t="str">
            <v>IGNACIO ZARAGOZA NUM. 4</v>
          </cell>
          <cell r="D1146" t="str">
            <v>FILIBERTO HERNANDEZ VERDEJO</v>
          </cell>
          <cell r="E1146">
            <v>57</v>
          </cell>
          <cell r="F1146">
            <v>9</v>
          </cell>
          <cell r="G1146" t="str">
            <v>SANTIAGO TUXTLA</v>
          </cell>
          <cell r="H1146" t="str">
            <v>TRES ZAPOTES</v>
          </cell>
        </row>
        <row r="1147">
          <cell r="A1147" t="str">
            <v>30DTV0857J</v>
          </cell>
          <cell r="B1147" t="str">
            <v>LUIS MANUEL ROJAS</v>
          </cell>
          <cell r="C1147" t="str">
            <v>CONOCIDO</v>
          </cell>
          <cell r="D1147" t="str">
            <v>PEDRO TORRES ACOSTA</v>
          </cell>
          <cell r="E1147">
            <v>58</v>
          </cell>
          <cell r="F1147">
            <v>15</v>
          </cell>
          <cell r="G1147" t="str">
            <v>ACTOPAN</v>
          </cell>
          <cell r="H1147" t="str">
            <v>HORNITOS</v>
          </cell>
        </row>
        <row r="1148">
          <cell r="A1148" t="str">
            <v>30DTV0303K</v>
          </cell>
          <cell r="B1148" t="str">
            <v>GUILLERMO PRIETO</v>
          </cell>
          <cell r="C1148" t="str">
            <v>FRANCISCO JAVIER MINA NUM. 1</v>
          </cell>
          <cell r="D1148" t="str">
            <v>MARIO REYMUNDO TREVIÐO RIVERA</v>
          </cell>
          <cell r="E1148">
            <v>58</v>
          </cell>
          <cell r="F1148">
            <v>15</v>
          </cell>
          <cell r="G1148" t="str">
            <v>ACTOPAN</v>
          </cell>
          <cell r="H1148" t="str">
            <v>MOZOMBOA</v>
          </cell>
        </row>
        <row r="1149">
          <cell r="A1149" t="str">
            <v>30DTV0519J</v>
          </cell>
          <cell r="B1149" t="str">
            <v>LAZARO CARDENAS DEL RIO</v>
          </cell>
          <cell r="C1149" t="str">
            <v>CONOCIDO</v>
          </cell>
          <cell r="D1149" t="str">
            <v>JORGE TOMAS PLATAS OROSTICO</v>
          </cell>
          <cell r="E1149">
            <v>58</v>
          </cell>
          <cell r="F1149">
            <v>15</v>
          </cell>
          <cell r="G1149" t="str">
            <v>ACTOPAN</v>
          </cell>
          <cell r="H1149" t="str">
            <v>SANTA ROSA (GENERAL PINZON)</v>
          </cell>
        </row>
        <row r="1150">
          <cell r="A1150" t="str">
            <v>30DTV0068X</v>
          </cell>
          <cell r="B1150" t="str">
            <v>LAZARO CARDENAS DEL RIO</v>
          </cell>
          <cell r="C1150" t="str">
            <v>JOSE CHE RAMIREZ ESQUINA INDEPENDENCIA</v>
          </cell>
          <cell r="D1150" t="str">
            <v>MARIO A. TREVIÑO RIVERA</v>
          </cell>
          <cell r="E1150">
            <v>58</v>
          </cell>
          <cell r="F1150">
            <v>15</v>
          </cell>
          <cell r="G1150" t="str">
            <v>LA ANTIGUA</v>
          </cell>
          <cell r="H1150" t="str">
            <v>JOSE CARDEL</v>
          </cell>
        </row>
        <row r="1151">
          <cell r="A1151" t="str">
            <v>30DTV0401L</v>
          </cell>
          <cell r="B1151" t="str">
            <v>NICOLAS BRAVO</v>
          </cell>
          <cell r="C1151" t="str">
            <v>FRENTE AL CAMPO DEPORTIVO</v>
          </cell>
          <cell r="D1151" t="str">
            <v>LUCILA Y. SANCHEZ OREA</v>
          </cell>
          <cell r="E1151">
            <v>58</v>
          </cell>
          <cell r="F1151">
            <v>15</v>
          </cell>
          <cell r="G1151" t="str">
            <v>LA ANTIGUA</v>
          </cell>
          <cell r="H1151" t="str">
            <v>NICOLAS BLANCO (SAN PANCHO)</v>
          </cell>
        </row>
        <row r="1152">
          <cell r="A1152" t="str">
            <v>30DTV1260J</v>
          </cell>
          <cell r="B1152" t="str">
            <v>MIGUEL ALEMAN VALDES</v>
          </cell>
          <cell r="C1152" t="str">
            <v>CONOCIDO</v>
          </cell>
          <cell r="D1152" t="str">
            <v>ENRIQUE PUMARINO LUNA</v>
          </cell>
          <cell r="E1152">
            <v>58</v>
          </cell>
          <cell r="F1152">
            <v>15</v>
          </cell>
          <cell r="G1152" t="str">
            <v>PUENTE NACIONAL</v>
          </cell>
          <cell r="H1152" t="str">
            <v>EL COYOLAR</v>
          </cell>
        </row>
        <row r="1153">
          <cell r="A1153" t="str">
            <v>30DTV0829N</v>
          </cell>
          <cell r="B1153" t="str">
            <v>FRANCISCO I. MADERO</v>
          </cell>
          <cell r="C1153" t="str">
            <v>ENTRADA AL PUEBLO JUNTO A ESCUELA PRIMARIA</v>
          </cell>
          <cell r="D1153" t="str">
            <v>JUAN JOSE GUZMAN PEREZ</v>
          </cell>
          <cell r="E1153">
            <v>58</v>
          </cell>
          <cell r="F1153">
            <v>15</v>
          </cell>
          <cell r="G1153" t="str">
            <v>PUENTE NACIONAL</v>
          </cell>
          <cell r="H1153" t="str">
            <v>EL CRUCERO</v>
          </cell>
        </row>
        <row r="1154">
          <cell r="A1154" t="str">
            <v>30DTV0197R</v>
          </cell>
          <cell r="B1154" t="str">
            <v>JOSE MARTI</v>
          </cell>
          <cell r="C1154" t="str">
            <v>EJERCITO NACIONAL NUM. 23</v>
          </cell>
          <cell r="D1154" t="str">
            <v>SOFIA DELGADO PEREZ</v>
          </cell>
          <cell r="E1154">
            <v>58</v>
          </cell>
          <cell r="F1154">
            <v>15</v>
          </cell>
          <cell r="G1154" t="str">
            <v>PUENTE NACIONAL</v>
          </cell>
          <cell r="H1154" t="str">
            <v>CHICHICAXTLE</v>
          </cell>
        </row>
        <row r="1155">
          <cell r="A1155" t="str">
            <v>30DTV0828O</v>
          </cell>
          <cell r="B1155" t="str">
            <v>ANTONIO CASO</v>
          </cell>
          <cell r="C1155" t="str">
            <v>CONOCIDO</v>
          </cell>
          <cell r="D1155" t="str">
            <v>MS. DEL ROSARIO GUTIERREZ HUERTA</v>
          </cell>
          <cell r="E1155">
            <v>58</v>
          </cell>
          <cell r="F1155">
            <v>15</v>
          </cell>
          <cell r="G1155" t="str">
            <v>PUENTE NACIONAL</v>
          </cell>
          <cell r="H1155" t="str">
            <v>HATO DE LA HIGUERA</v>
          </cell>
        </row>
        <row r="1156">
          <cell r="A1156" t="str">
            <v>30DTV0464X</v>
          </cell>
          <cell r="B1156" t="str">
            <v>JAIME TORRES BODET</v>
          </cell>
          <cell r="C1156" t="str">
            <v>CONOCIDO</v>
          </cell>
          <cell r="D1156" t="str">
            <v>OFELIA CARBALLO OROZCO</v>
          </cell>
          <cell r="E1156">
            <v>58</v>
          </cell>
          <cell r="F1156">
            <v>15</v>
          </cell>
          <cell r="G1156" t="str">
            <v>PUENTE NACIONAL</v>
          </cell>
          <cell r="H1156" t="str">
            <v>MATA DE JOBO</v>
          </cell>
        </row>
        <row r="1157">
          <cell r="A1157" t="str">
            <v>30DTV0293U</v>
          </cell>
          <cell r="B1157" t="str">
            <v>RICARDO FLORES MAGON</v>
          </cell>
          <cell r="C1157" t="str">
            <v>ISAURO ACOSTA 15</v>
          </cell>
          <cell r="D1157" t="str">
            <v>DANIEL CONTRERAS GUZMAN</v>
          </cell>
          <cell r="E1157">
            <v>58</v>
          </cell>
          <cell r="F1157">
            <v>15</v>
          </cell>
          <cell r="G1157" t="str">
            <v>PUENTE NACIONAL</v>
          </cell>
          <cell r="H1157" t="str">
            <v>EL PALMAR</v>
          </cell>
        </row>
        <row r="1158">
          <cell r="A1158" t="str">
            <v>30DTV0969N</v>
          </cell>
          <cell r="B1158" t="str">
            <v>NIÐOS HEROES</v>
          </cell>
          <cell r="C1158" t="str">
            <v>PASANDO LA VIA FFCC</v>
          </cell>
          <cell r="D1158" t="str">
            <v>SANDRA CELIS MARTINEZ</v>
          </cell>
          <cell r="E1158">
            <v>58</v>
          </cell>
          <cell r="F1158">
            <v>15</v>
          </cell>
          <cell r="G1158" t="str">
            <v>PUENTE NACIONAL</v>
          </cell>
          <cell r="H1158" t="str">
            <v>TAMARINDO</v>
          </cell>
        </row>
        <row r="1159">
          <cell r="A1159" t="str">
            <v>30DTV1082X</v>
          </cell>
          <cell r="B1159" t="str">
            <v>BENITO JUAREZ GARCIA</v>
          </cell>
          <cell r="C1159" t="str">
            <v>CONOCIDO</v>
          </cell>
          <cell r="D1159" t="str">
            <v>JUDITH HERNANDEZ BERNABE</v>
          </cell>
          <cell r="E1159">
            <v>58</v>
          </cell>
          <cell r="F1159">
            <v>15</v>
          </cell>
          <cell r="G1159" t="str">
            <v>PUENTE NACIONAL</v>
          </cell>
          <cell r="H1159" t="str">
            <v>LA TERNERA</v>
          </cell>
        </row>
        <row r="1160">
          <cell r="A1160" t="str">
            <v>30DTV0076F</v>
          </cell>
          <cell r="B1160" t="str">
            <v>JESUS REYES HEROLES</v>
          </cell>
          <cell r="C1160" t="str">
            <v>CONOCIDO</v>
          </cell>
          <cell r="D1160" t="str">
            <v>JORGE ESCOBAR ROBLES</v>
          </cell>
          <cell r="E1160">
            <v>58</v>
          </cell>
          <cell r="F1160">
            <v>15</v>
          </cell>
          <cell r="G1160" t="str">
            <v>URSULO GALVAN</v>
          </cell>
          <cell r="H1160" t="str">
            <v>JAREROS</v>
          </cell>
        </row>
        <row r="1161">
          <cell r="A1161" t="str">
            <v>30DTV0196S</v>
          </cell>
          <cell r="B1161" t="str">
            <v>FELIPE CARRILLO PUERTO</v>
          </cell>
          <cell r="C1161" t="str">
            <v>AVENIDA FELIPE CARRILLO PUERTO</v>
          </cell>
          <cell r="D1161" t="str">
            <v>SAUL RIVERA IðIGUEZ</v>
          </cell>
          <cell r="E1161">
            <v>58</v>
          </cell>
          <cell r="F1161">
            <v>15</v>
          </cell>
          <cell r="G1161" t="str">
            <v>URSULO GALVAN</v>
          </cell>
          <cell r="H1161" t="str">
            <v>REAL DEL ORO</v>
          </cell>
        </row>
        <row r="1162">
          <cell r="A1162" t="str">
            <v>30DTV1026E</v>
          </cell>
          <cell r="B1162" t="str">
            <v>JOSE VASCONCELOS</v>
          </cell>
          <cell r="C1162" t="str">
            <v>FRENTE AL PARQUE</v>
          </cell>
          <cell r="D1162" t="str">
            <v>ANASTACIO NIETO PONCE</v>
          </cell>
          <cell r="E1162">
            <v>59</v>
          </cell>
          <cell r="F1162">
            <v>11</v>
          </cell>
          <cell r="G1162" t="str">
            <v>OZULUAMA DE MASCAREÐAS</v>
          </cell>
          <cell r="H1162" t="str">
            <v>OZULUAMA DE MASCAREÑAS</v>
          </cell>
        </row>
        <row r="1163">
          <cell r="A1163" t="str">
            <v>30DTV0359M</v>
          </cell>
          <cell r="B1163" t="str">
            <v>BENITO JUAREZ GARCIA</v>
          </cell>
          <cell r="C1163" t="str">
            <v>CONOCIDO</v>
          </cell>
          <cell r="D1163" t="str">
            <v>LEONARDO MEDINA VAZQUEZ</v>
          </cell>
          <cell r="E1163">
            <v>59</v>
          </cell>
          <cell r="F1163">
            <v>11</v>
          </cell>
          <cell r="G1163" t="str">
            <v>OZULUAMA DE MASCAREÐAS</v>
          </cell>
          <cell r="H1163" t="str">
            <v>CUCHARAS</v>
          </cell>
        </row>
        <row r="1164">
          <cell r="A1164" t="str">
            <v>30DTV0959G</v>
          </cell>
          <cell r="B1164" t="str">
            <v>CARLOS A. CARRILLO</v>
          </cell>
          <cell r="C1164" t="str">
            <v>CONOCIDO</v>
          </cell>
          <cell r="D1164" t="str">
            <v>LUIS DANIEL REYES TRAVIESO</v>
          </cell>
          <cell r="E1164">
            <v>59</v>
          </cell>
          <cell r="F1164">
            <v>11</v>
          </cell>
          <cell r="G1164" t="str">
            <v>OZULUAMA DE MASCAREÐAS</v>
          </cell>
          <cell r="H1164" t="str">
            <v>COLONIA MORENO (ISLA JUAN A. RAMIREZ)</v>
          </cell>
        </row>
        <row r="1165">
          <cell r="A1165" t="str">
            <v>30DTV0679X</v>
          </cell>
          <cell r="B1165" t="str">
            <v>VASCO DE QUIROGA</v>
          </cell>
          <cell r="C1165" t="str">
            <v>CONOCIDO</v>
          </cell>
          <cell r="D1165" t="str">
            <v>SONIA PEREZ SOSA</v>
          </cell>
          <cell r="E1165">
            <v>59</v>
          </cell>
          <cell r="F1165">
            <v>11</v>
          </cell>
          <cell r="G1165" t="str">
            <v>OZULUAMA DE MASCAREÐAS</v>
          </cell>
          <cell r="H1165" t="str">
            <v>HORCONCITOS</v>
          </cell>
        </row>
        <row r="1166">
          <cell r="A1166" t="str">
            <v>30DTV1035M</v>
          </cell>
          <cell r="B1166" t="str">
            <v>GABRIELA MISTRAL</v>
          </cell>
          <cell r="C1166" t="str">
            <v>CAMELIA S/N</v>
          </cell>
          <cell r="D1166" t="str">
            <v>ANA MARIA CARBAJAL MONDRAGON</v>
          </cell>
          <cell r="E1166">
            <v>59</v>
          </cell>
          <cell r="F1166">
            <v>11</v>
          </cell>
          <cell r="G1166" t="str">
            <v>PUEBLO VIEJO</v>
          </cell>
          <cell r="H1166" t="str">
            <v>ANAHUAC</v>
          </cell>
        </row>
        <row r="1167">
          <cell r="A1167" t="str">
            <v>30DTV0966Q</v>
          </cell>
          <cell r="B1167" t="str">
            <v>IGNACIO MANUEL ALTAMIRANO</v>
          </cell>
          <cell r="C1167" t="str">
            <v>CONOCIDO</v>
          </cell>
          <cell r="D1167" t="str">
            <v>ELISEO SALAS OBANDO</v>
          </cell>
          <cell r="E1167">
            <v>59</v>
          </cell>
          <cell r="F1167">
            <v>11</v>
          </cell>
          <cell r="G1167" t="str">
            <v>PUEBLO VIEJO</v>
          </cell>
          <cell r="H1167" t="str">
            <v>EJIDO EL BARCO</v>
          </cell>
        </row>
        <row r="1168">
          <cell r="A1168" t="str">
            <v>30DTV0967P</v>
          </cell>
          <cell r="B1168" t="str">
            <v>SALVADOR DIAZ MIRON</v>
          </cell>
          <cell r="C1168" t="str">
            <v>CONOCIDO</v>
          </cell>
          <cell r="D1168" t="str">
            <v>GLORIA EDITH ARGUELLES ROMERO</v>
          </cell>
          <cell r="E1168">
            <v>59</v>
          </cell>
          <cell r="F1168">
            <v>11</v>
          </cell>
          <cell r="G1168" t="str">
            <v>PUEBLO VIEJO</v>
          </cell>
          <cell r="H1168" t="str">
            <v>PACIENCIA Y AGUACATE (SANTA FE)</v>
          </cell>
        </row>
        <row r="1169">
          <cell r="A1169" t="str">
            <v>30DTV1116X</v>
          </cell>
          <cell r="B1169" t="str">
            <v>LAZARO CARDENAS</v>
          </cell>
          <cell r="C1169" t="str">
            <v>CONOCIDO</v>
          </cell>
          <cell r="D1169" t="str">
            <v>ROSAURA MIRANDA BARRIOS</v>
          </cell>
          <cell r="E1169">
            <v>59</v>
          </cell>
          <cell r="F1169">
            <v>11</v>
          </cell>
          <cell r="G1169" t="str">
            <v>PUEBLO VIEJO</v>
          </cell>
          <cell r="H1169" t="str">
            <v>COLONIA PETROLERA LINDAVISTA</v>
          </cell>
        </row>
        <row r="1170">
          <cell r="A1170" t="str">
            <v>30DTV0754N</v>
          </cell>
          <cell r="B1170" t="str">
            <v>JOSEFA ORTIZ DE DOMINGUEZ</v>
          </cell>
          <cell r="C1170" t="str">
            <v>CONOCIDO</v>
          </cell>
          <cell r="D1170" t="str">
            <v>FELIPE DE JESUS LOBATO GIL</v>
          </cell>
          <cell r="E1170">
            <v>59</v>
          </cell>
          <cell r="F1170">
            <v>11</v>
          </cell>
          <cell r="G1170" t="str">
            <v>PUEBLO VIEJO</v>
          </cell>
          <cell r="H1170" t="str">
            <v>BENITO JUAREZ</v>
          </cell>
        </row>
        <row r="1171">
          <cell r="A1171" t="str">
            <v>30DTV0827P</v>
          </cell>
          <cell r="B1171" t="str">
            <v>SOR JUANA INES DE LA CRUZ</v>
          </cell>
          <cell r="C1171" t="str">
            <v>ESQUINA JOSE MARIA MORELOS Y PINO SUAREZ</v>
          </cell>
          <cell r="D1171" t="str">
            <v>RAMIRA MAR DEL ANGEL</v>
          </cell>
          <cell r="E1171">
            <v>59</v>
          </cell>
          <cell r="F1171">
            <v>11</v>
          </cell>
          <cell r="G1171" t="str">
            <v>PUEBLO VIEJO</v>
          </cell>
          <cell r="H1171" t="str">
            <v>BENITO JUAREZ</v>
          </cell>
        </row>
        <row r="1172">
          <cell r="A1172" t="str">
            <v>30DTV0755M</v>
          </cell>
          <cell r="B1172" t="str">
            <v>EMILIANO ZAPATA</v>
          </cell>
          <cell r="C1172" t="str">
            <v>CONOCIDO</v>
          </cell>
          <cell r="D1172" t="str">
            <v>ROBERTO MARTINEZ AMARO</v>
          </cell>
          <cell r="E1172">
            <v>59</v>
          </cell>
          <cell r="F1172">
            <v>11</v>
          </cell>
          <cell r="G1172" t="str">
            <v>PUEBLO VIEJO</v>
          </cell>
          <cell r="H1172" t="str">
            <v>EMILIANO ZAPATA</v>
          </cell>
        </row>
        <row r="1173">
          <cell r="A1173" t="str">
            <v>30DTV0177D</v>
          </cell>
          <cell r="B1173" t="str">
            <v>MARIA MONTESSORI</v>
          </cell>
          <cell r="C1173" t="str">
            <v>ESTACION CARBONO S/N</v>
          </cell>
          <cell r="D1173" t="str">
            <v>CESAR ROMERO VALENZUELA</v>
          </cell>
          <cell r="E1173">
            <v>59</v>
          </cell>
          <cell r="F1173">
            <v>11</v>
          </cell>
          <cell r="G1173" t="str">
            <v>TAMPICO ALTO</v>
          </cell>
          <cell r="H1173" t="str">
            <v>TAMPICO ALTO</v>
          </cell>
        </row>
        <row r="1174">
          <cell r="A1174" t="str">
            <v>30DTV0614N</v>
          </cell>
          <cell r="B1174" t="str">
            <v>ENRIQUE C. REBSAMEN</v>
          </cell>
          <cell r="C1174" t="str">
            <v>C0NOCIDO</v>
          </cell>
          <cell r="D1174" t="str">
            <v>CECILIA SANTOS LUCAS</v>
          </cell>
          <cell r="E1174">
            <v>59</v>
          </cell>
          <cell r="F1174">
            <v>11</v>
          </cell>
          <cell r="G1174" t="str">
            <v>TAMPICO ALTO</v>
          </cell>
          <cell r="H1174" t="str">
            <v>TAMPICO ALTO</v>
          </cell>
        </row>
        <row r="1175">
          <cell r="A1175" t="str">
            <v>30DTV0676Z</v>
          </cell>
          <cell r="B1175" t="str">
            <v>JOSE MARIA MORELOS Y PAVON</v>
          </cell>
          <cell r="C1175" t="str">
            <v>CONOCIDO</v>
          </cell>
          <cell r="D1175" t="str">
            <v>LUZ YANETEH HERNANDEZ ROSAS</v>
          </cell>
          <cell r="E1175">
            <v>59</v>
          </cell>
          <cell r="F1175">
            <v>11</v>
          </cell>
          <cell r="G1175" t="str">
            <v>TAMPICO ALTO</v>
          </cell>
          <cell r="H1175" t="str">
            <v>LLANO DE BUSTOS</v>
          </cell>
        </row>
        <row r="1176">
          <cell r="A1176" t="str">
            <v>30DTV1728W</v>
          </cell>
          <cell r="B1176" t="str">
            <v>AMADO NERVO</v>
          </cell>
          <cell r="C1176" t="str">
            <v>CALLE AGUILA S/N</v>
          </cell>
          <cell r="D1176" t="str">
            <v>ALICIA ZEPETA RAMIREZ</v>
          </cell>
          <cell r="E1176">
            <v>59</v>
          </cell>
          <cell r="F1176">
            <v>11</v>
          </cell>
          <cell r="G1176" t="str">
            <v>TAMPICO ALTO</v>
          </cell>
          <cell r="H1176" t="str">
            <v>LA RIBERA</v>
          </cell>
        </row>
        <row r="1177">
          <cell r="A1177" t="str">
            <v>30DTV1729V</v>
          </cell>
          <cell r="B1177" t="str">
            <v>JUSTO SIERRA MENDEZ</v>
          </cell>
          <cell r="C1177" t="str">
            <v>AL LADO DE LA CONASUPO</v>
          </cell>
          <cell r="D1177" t="str">
            <v>SILVIA FLORITA DAVILA HERNANDEZ</v>
          </cell>
          <cell r="E1177">
            <v>59</v>
          </cell>
          <cell r="F1177">
            <v>11</v>
          </cell>
          <cell r="G1177" t="str">
            <v>TAMPICO ALTO</v>
          </cell>
          <cell r="H1177" t="str">
            <v>KILOMETRO 75</v>
          </cell>
        </row>
        <row r="1178">
          <cell r="A1178" t="str">
            <v>30DTV0882I</v>
          </cell>
          <cell r="B1178" t="str">
            <v>JOSE AZUETA</v>
          </cell>
          <cell r="C1178" t="str">
            <v>CONOCIDO</v>
          </cell>
          <cell r="D1178" t="str">
            <v>NORMA MIRIAM CRUZ JIMENEZ</v>
          </cell>
          <cell r="E1178">
            <v>59</v>
          </cell>
          <cell r="F1178">
            <v>11</v>
          </cell>
          <cell r="G1178" t="str">
            <v>TAMPICO ALTO</v>
          </cell>
          <cell r="H1178" t="str">
            <v>PUNTA DE BUSTOS</v>
          </cell>
        </row>
        <row r="1179">
          <cell r="A1179" t="str">
            <v>30DTV1222G</v>
          </cell>
          <cell r="B1179" t="str">
            <v>BENEMERITO DE LAS AMERICAS</v>
          </cell>
          <cell r="C1179" t="str">
            <v>CONOCIDO</v>
          </cell>
          <cell r="D1179" t="str">
            <v>ROQUE VIDAL SANTOS</v>
          </cell>
          <cell r="E1179">
            <v>59</v>
          </cell>
          <cell r="F1179">
            <v>11</v>
          </cell>
          <cell r="G1179" t="str">
            <v>TAMPICO ALTO</v>
          </cell>
          <cell r="H1179" t="str">
            <v>LA MAJAHUA</v>
          </cell>
        </row>
        <row r="1180">
          <cell r="A1180" t="str">
            <v>30DTV0404I</v>
          </cell>
          <cell r="B1180" t="str">
            <v>IGNACIO DE LA LLAVE</v>
          </cell>
          <cell r="C1180" t="str">
            <v>REVOLUCION S/N</v>
          </cell>
          <cell r="D1180" t="str">
            <v>IRMA VELA PEREZ</v>
          </cell>
          <cell r="E1180">
            <v>60</v>
          </cell>
          <cell r="F1180">
            <v>13</v>
          </cell>
          <cell r="G1180" t="str">
            <v>AYAHUALULCO</v>
          </cell>
          <cell r="H1180" t="str">
            <v>AYAHUALULCO</v>
          </cell>
        </row>
        <row r="1181">
          <cell r="A1181" t="str">
            <v>30DTV1671L</v>
          </cell>
          <cell r="B1181" t="str">
            <v>TELESECUNDARIA</v>
          </cell>
          <cell r="C1181" t="str">
            <v>FRENTE A LA ESCUELA PRIMARIA</v>
          </cell>
          <cell r="D1181" t="str">
            <v>FERNANDO SANTANDER HERNANDEZ</v>
          </cell>
          <cell r="E1181">
            <v>60</v>
          </cell>
          <cell r="F1181">
            <v>13</v>
          </cell>
          <cell r="G1181" t="str">
            <v>AYAHUALULCO</v>
          </cell>
          <cell r="H1181" t="str">
            <v>ALTAMIRADA</v>
          </cell>
        </row>
        <row r="1182">
          <cell r="A1182" t="str">
            <v>30DTV1626Z</v>
          </cell>
          <cell r="B1182" t="str">
            <v>RIGOBERTA MENCHU</v>
          </cell>
          <cell r="C1182" t="str">
            <v>CONOCIDO</v>
          </cell>
          <cell r="D1182" t="str">
            <v>JOSE AMBROSIO BERNAL ARGUELLO</v>
          </cell>
          <cell r="E1182">
            <v>60</v>
          </cell>
          <cell r="F1182">
            <v>13</v>
          </cell>
          <cell r="G1182" t="str">
            <v>AYAHUALULCO</v>
          </cell>
          <cell r="H1182" t="str">
            <v>APANTEOPAN</v>
          </cell>
        </row>
        <row r="1183">
          <cell r="A1183" t="str">
            <v>30DTV1210B</v>
          </cell>
          <cell r="B1183" t="str">
            <v>TELESECUNDARIA</v>
          </cell>
          <cell r="C1183" t="str">
            <v>CONOCIDO</v>
          </cell>
          <cell r="D1183" t="str">
            <v>MIGUEL ANGEL MONTES CLEMENTE</v>
          </cell>
          <cell r="E1183">
            <v>60</v>
          </cell>
          <cell r="F1183">
            <v>13</v>
          </cell>
          <cell r="G1183" t="str">
            <v>AYAHUALULCO</v>
          </cell>
          <cell r="H1183" t="str">
            <v>XOCOTEPEC</v>
          </cell>
        </row>
        <row r="1184">
          <cell r="A1184" t="str">
            <v>30DTV1310A</v>
          </cell>
          <cell r="B1184" t="str">
            <v>JAIME SABINES</v>
          </cell>
          <cell r="C1184" t="str">
            <v>CONOCIDO</v>
          </cell>
          <cell r="D1184" t="str">
            <v>GASPAR RAMIREZ AGUILAR</v>
          </cell>
          <cell r="E1184">
            <v>60</v>
          </cell>
          <cell r="F1184">
            <v>13</v>
          </cell>
          <cell r="G1184" t="str">
            <v>AYAHUALULCO</v>
          </cell>
          <cell r="H1184" t="str">
            <v>XOLOLOYAN</v>
          </cell>
        </row>
        <row r="1185">
          <cell r="A1185" t="str">
            <v>30DTV1672K</v>
          </cell>
          <cell r="B1185" t="str">
            <v>TELESECUNDARIA</v>
          </cell>
          <cell r="C1185" t="str">
            <v>CALLE PRINCIPAL, CARRETERA AYAHUALULCO-PEROTE</v>
          </cell>
          <cell r="D1185" t="str">
            <v>GABRIELA ROMERO OREA</v>
          </cell>
          <cell r="E1185">
            <v>60</v>
          </cell>
          <cell r="F1185">
            <v>13</v>
          </cell>
          <cell r="G1185" t="str">
            <v>AYAHUALULCO</v>
          </cell>
          <cell r="H1185" t="str">
            <v>SAN ISIDRO</v>
          </cell>
        </row>
        <row r="1186">
          <cell r="A1186" t="str">
            <v>30DTV1373M</v>
          </cell>
          <cell r="B1186" t="str">
            <v>RICARDO FLORES MAGON</v>
          </cell>
          <cell r="C1186" t="str">
            <v>CONOCIDO</v>
          </cell>
          <cell r="D1186" t="str">
            <v>DAGOBERTO MARTINEZ  REYES</v>
          </cell>
          <cell r="E1186">
            <v>60</v>
          </cell>
          <cell r="F1186">
            <v>13</v>
          </cell>
          <cell r="G1186" t="str">
            <v>AYAHUALULCO</v>
          </cell>
          <cell r="H1186" t="str">
            <v>SAN ANTONIO XOQUITLA</v>
          </cell>
        </row>
        <row r="1187">
          <cell r="A1187" t="str">
            <v>30DTV0109G</v>
          </cell>
          <cell r="B1187" t="str">
            <v>BENITO JUAREZ GARCIA</v>
          </cell>
          <cell r="C1187" t="str">
            <v>NICOLAS BRAVO S/N</v>
          </cell>
          <cell r="D1187" t="str">
            <v>OSIEL HERNANDEZ ROBLES</v>
          </cell>
          <cell r="E1187">
            <v>60</v>
          </cell>
          <cell r="F1187">
            <v>13</v>
          </cell>
          <cell r="G1187" t="str">
            <v>IXHUACAN DE LOS REYES</v>
          </cell>
          <cell r="H1187" t="str">
            <v>IXHUACAN DE LOS REYES</v>
          </cell>
        </row>
        <row r="1188">
          <cell r="A1188" t="str">
            <v>30DTV1302S</v>
          </cell>
          <cell r="B1188" t="str">
            <v>ESTEBAN DE ANTUÐANO</v>
          </cell>
          <cell r="C1188" t="str">
            <v>CONOCIDO</v>
          </cell>
          <cell r="D1188" t="str">
            <v>JAIRS SANTIAGO MONTOYA</v>
          </cell>
          <cell r="E1188">
            <v>60</v>
          </cell>
          <cell r="F1188">
            <v>13</v>
          </cell>
          <cell r="G1188" t="str">
            <v>IXHUACAN DE LOS REYES</v>
          </cell>
          <cell r="H1188" t="str">
            <v>CALTZONTEPEC</v>
          </cell>
        </row>
        <row r="1189">
          <cell r="A1189" t="str">
            <v>30DTV1146R</v>
          </cell>
          <cell r="B1189" t="str">
            <v>TELESECUNDARIA</v>
          </cell>
          <cell r="C1189" t="str">
            <v>CONOCIDO</v>
          </cell>
          <cell r="D1189" t="str">
            <v>SAUL ISRAEL BEDOY GARCIA</v>
          </cell>
          <cell r="E1189">
            <v>60</v>
          </cell>
          <cell r="F1189">
            <v>13</v>
          </cell>
          <cell r="G1189" t="str">
            <v>IXHUACAN DE LOS REYES</v>
          </cell>
          <cell r="H1189" t="str">
            <v>MONTE GRANDE</v>
          </cell>
        </row>
        <row r="1190">
          <cell r="A1190" t="str">
            <v>30DTV1218U</v>
          </cell>
          <cell r="B1190" t="str">
            <v>TELESECUNDARIA</v>
          </cell>
          <cell r="C1190" t="str">
            <v>CONOCIDO</v>
          </cell>
          <cell r="D1190" t="str">
            <v>MARIA GUADALUPE ARREOLA ZAMORA</v>
          </cell>
          <cell r="E1190">
            <v>60</v>
          </cell>
          <cell r="F1190">
            <v>13</v>
          </cell>
          <cell r="G1190" t="str">
            <v>IXHUACAN DE LOS REYES</v>
          </cell>
          <cell r="H1190" t="str">
            <v>TLALCHY</v>
          </cell>
        </row>
        <row r="1191">
          <cell r="A1191" t="str">
            <v>30DTV0275E</v>
          </cell>
          <cell r="B1191" t="str">
            <v>HEROE DE NACOZARI</v>
          </cell>
          <cell r="C1191" t="str">
            <v>ANDADOR PALMA S/N</v>
          </cell>
          <cell r="D1191" t="str">
            <v>SALVADOR RODRIGUEZ DURAN</v>
          </cell>
          <cell r="E1191">
            <v>60</v>
          </cell>
          <cell r="F1191">
            <v>13</v>
          </cell>
          <cell r="G1191" t="str">
            <v>XALAPA</v>
          </cell>
          <cell r="H1191" t="str">
            <v>XALAPA-ENRIQUEZ</v>
          </cell>
        </row>
        <row r="1192">
          <cell r="A1192" t="str">
            <v>30DTV0812N</v>
          </cell>
          <cell r="B1192" t="str">
            <v>18 DE MARZO</v>
          </cell>
          <cell r="C1192" t="str">
            <v>JUAN MALPICA Y COATZACOALCOS</v>
          </cell>
          <cell r="D1192" t="str">
            <v>MARTHA HILDA VALDES GARCIA</v>
          </cell>
          <cell r="E1192">
            <v>60</v>
          </cell>
          <cell r="F1192">
            <v>13</v>
          </cell>
          <cell r="G1192" t="str">
            <v>XALAPA</v>
          </cell>
          <cell r="H1192" t="str">
            <v>XALAPA-ENRIQUEZ</v>
          </cell>
        </row>
        <row r="1193">
          <cell r="A1193" t="str">
            <v>30DTV1223F</v>
          </cell>
          <cell r="B1193" t="str">
            <v>JUAN ZILLI BERNARDI</v>
          </cell>
          <cell r="C1193" t="str">
            <v>CONOCIDO</v>
          </cell>
          <cell r="D1193" t="str">
            <v>MARIA DOLORES BARON BANDERAS</v>
          </cell>
          <cell r="E1193">
            <v>60</v>
          </cell>
          <cell r="F1193">
            <v>13</v>
          </cell>
          <cell r="G1193" t="str">
            <v>TEOCELO</v>
          </cell>
          <cell r="H1193" t="str">
            <v>LLANO GRANDE</v>
          </cell>
        </row>
        <row r="1194">
          <cell r="A1194" t="str">
            <v>30DTV0542K</v>
          </cell>
          <cell r="B1194" t="str">
            <v>AMADO NERVO</v>
          </cell>
          <cell r="C1194" t="str">
            <v>16 DE SEPTIEMBRE S/N</v>
          </cell>
          <cell r="D1194" t="str">
            <v>LUZ TERESA PARADA CANTU</v>
          </cell>
          <cell r="E1194">
            <v>60</v>
          </cell>
          <cell r="F1194">
            <v>13</v>
          </cell>
          <cell r="G1194" t="str">
            <v>TEOCELO</v>
          </cell>
          <cell r="H1194" t="str">
            <v>MONTE BLANCO</v>
          </cell>
        </row>
        <row r="1195">
          <cell r="A1195" t="str">
            <v>30DTV1509J</v>
          </cell>
          <cell r="B1195" t="str">
            <v>JUAN ESCUTIA</v>
          </cell>
          <cell r="C1195" t="str">
            <v>AVENIDA 1</v>
          </cell>
          <cell r="D1195" t="str">
            <v>ELIZABETH CALLEJAS CERVANTES</v>
          </cell>
          <cell r="E1195">
            <v>61</v>
          </cell>
          <cell r="F1195">
            <v>17</v>
          </cell>
          <cell r="G1195" t="str">
            <v>AMATLAN DE LOS REYES</v>
          </cell>
          <cell r="H1195" t="str">
            <v>GUADALUPE (LA PATRONA)</v>
          </cell>
        </row>
        <row r="1196">
          <cell r="A1196" t="str">
            <v>30DTV0864T</v>
          </cell>
          <cell r="B1196" t="str">
            <v>SIMON BOLIVAR</v>
          </cell>
          <cell r="C1196" t="str">
            <v>CALLE 40 S/N</v>
          </cell>
          <cell r="D1196" t="str">
            <v>JOVITA NAVA GARCIA</v>
          </cell>
          <cell r="E1196">
            <v>61</v>
          </cell>
          <cell r="F1196">
            <v>17</v>
          </cell>
          <cell r="G1196" t="str">
            <v>CORDOBA</v>
          </cell>
          <cell r="H1196" t="str">
            <v>CORDOBA</v>
          </cell>
        </row>
        <row r="1197">
          <cell r="A1197" t="str">
            <v>30DTV1242U</v>
          </cell>
          <cell r="B1197" t="str">
            <v>ALVARO GALVEZ Y FUENTES</v>
          </cell>
          <cell r="C1197" t="str">
            <v>AVENIDA PRINCIPAL S/N</v>
          </cell>
          <cell r="D1197" t="str">
            <v>GEORGINA BERMUDEZ AGUSTIN</v>
          </cell>
          <cell r="E1197">
            <v>61</v>
          </cell>
          <cell r="F1197">
            <v>17</v>
          </cell>
          <cell r="G1197" t="str">
            <v>CORDOBA</v>
          </cell>
          <cell r="H1197" t="str">
            <v>COLORINES</v>
          </cell>
        </row>
        <row r="1198">
          <cell r="A1198" t="str">
            <v>30DTV0461Z</v>
          </cell>
          <cell r="B1198" t="str">
            <v>JOSE MARIA MORELOS Y PAVON</v>
          </cell>
          <cell r="C1198" t="str">
            <v>CALLE 4 S/N</v>
          </cell>
          <cell r="D1198" t="str">
            <v>JORGE ELISEO CASTILLO LEON</v>
          </cell>
          <cell r="E1198">
            <v>61</v>
          </cell>
          <cell r="F1198">
            <v>17</v>
          </cell>
          <cell r="G1198" t="str">
            <v>CUICHAPA</v>
          </cell>
          <cell r="H1198" t="str">
            <v>CUICHAPA</v>
          </cell>
        </row>
        <row r="1199">
          <cell r="A1199" t="str">
            <v>30DTV1686N</v>
          </cell>
          <cell r="B1199" t="str">
            <v>TELESECUNDARIA</v>
          </cell>
          <cell r="C1199" t="str">
            <v>CALLE PRINCIPAL JUNTO A LA BIBLIOTECA</v>
          </cell>
          <cell r="D1199" t="str">
            <v>ROBERTO BERNABE JIMENEZ</v>
          </cell>
          <cell r="E1199">
            <v>61</v>
          </cell>
          <cell r="F1199">
            <v>17</v>
          </cell>
          <cell r="G1199" t="str">
            <v>CUICHAPA</v>
          </cell>
          <cell r="H1199" t="str">
            <v>COBOS GARCIA (SAN NICOLAS)</v>
          </cell>
        </row>
        <row r="1200">
          <cell r="A1200" t="str">
            <v>30DTV0234E</v>
          </cell>
          <cell r="B1200" t="str">
            <v>EMILIANO ZAPATA</v>
          </cell>
          <cell r="C1200" t="str">
            <v>OYAMEL S/N JUNTO A LA IGLESIA</v>
          </cell>
          <cell r="D1200" t="str">
            <v>EDGAR JAVIER ROSAS GASPAR</v>
          </cell>
          <cell r="E1200">
            <v>61</v>
          </cell>
          <cell r="F1200">
            <v>17</v>
          </cell>
          <cell r="G1200" t="str">
            <v>CUICHAPA</v>
          </cell>
          <cell r="H1200" t="str">
            <v>PROVIDENCIA</v>
          </cell>
        </row>
        <row r="1201">
          <cell r="A1201" t="str">
            <v>30DTV0420Z</v>
          </cell>
          <cell r="B1201" t="str">
            <v>BENITO JUAREZ GARCIA</v>
          </cell>
          <cell r="C1201" t="str">
            <v>CALLE PRINCIPAL S/N</v>
          </cell>
          <cell r="D1201" t="str">
            <v>LEONCIO GALLARDO MARTINEZ</v>
          </cell>
          <cell r="E1201">
            <v>61</v>
          </cell>
          <cell r="F1201">
            <v>17</v>
          </cell>
          <cell r="G1201" t="str">
            <v>CUITLAHUAC</v>
          </cell>
          <cell r="H1201" t="str">
            <v>SAN JOSE DE ABAJO</v>
          </cell>
        </row>
        <row r="1202">
          <cell r="A1202" t="str">
            <v>30DTV0148I</v>
          </cell>
          <cell r="B1202" t="str">
            <v>FRANCISCO I. MADERO</v>
          </cell>
          <cell r="C1202" t="str">
            <v>AVENIDA BENITO JUAREZ S/N</v>
          </cell>
          <cell r="D1202" t="str">
            <v>GUILEBALDA GIRON GUTIERREZ</v>
          </cell>
          <cell r="E1202">
            <v>61</v>
          </cell>
          <cell r="F1202">
            <v>17</v>
          </cell>
          <cell r="G1202" t="str">
            <v>OMEALCA</v>
          </cell>
          <cell r="H1202" t="str">
            <v>OMEALCA</v>
          </cell>
        </row>
        <row r="1203">
          <cell r="A1203" t="str">
            <v>30DTV0819G</v>
          </cell>
          <cell r="B1203" t="str">
            <v>HERNAN CORTES</v>
          </cell>
          <cell r="C1203" t="str">
            <v>CALLE PRINCIPAL S/N</v>
          </cell>
          <cell r="D1203" t="str">
            <v>MARIA DEL PILAR JUAREZ SANCHEZ</v>
          </cell>
          <cell r="E1203">
            <v>61</v>
          </cell>
          <cell r="F1203">
            <v>17</v>
          </cell>
          <cell r="G1203" t="str">
            <v>OMEALCA</v>
          </cell>
          <cell r="H1203" t="str">
            <v>CRUZ TETELA</v>
          </cell>
        </row>
        <row r="1204">
          <cell r="A1204" t="str">
            <v>30DTV0318M</v>
          </cell>
          <cell r="B1204" t="str">
            <v>RAFAEL RAMIREZ CASTAÑEDA</v>
          </cell>
          <cell r="C1204" t="str">
            <v>CENTRO DE COMUNIDAD JUNTO A PRIMARIA</v>
          </cell>
          <cell r="D1204" t="str">
            <v>OSCAR MANUEL HERNANDEZ MARTINEZ</v>
          </cell>
          <cell r="E1204">
            <v>61</v>
          </cell>
          <cell r="F1204">
            <v>17</v>
          </cell>
          <cell r="G1204" t="str">
            <v>OMEALCA</v>
          </cell>
          <cell r="H1204" t="str">
            <v>MATA TENATITO (CASCO HACIENDA)</v>
          </cell>
        </row>
        <row r="1205">
          <cell r="A1205" t="str">
            <v>30DTV1713U</v>
          </cell>
          <cell r="B1205" t="str">
            <v>TELESECUNDARIA</v>
          </cell>
          <cell r="C1205" t="str">
            <v>CASA EJIDAL CENTRO</v>
          </cell>
          <cell r="E1205">
            <v>61</v>
          </cell>
          <cell r="F1205">
            <v>17</v>
          </cell>
          <cell r="G1205" t="str">
            <v>OMEALCA</v>
          </cell>
          <cell r="H1205" t="str">
            <v>LAS PALMAS</v>
          </cell>
        </row>
        <row r="1206">
          <cell r="A1206" t="str">
            <v>30DTV0820W</v>
          </cell>
          <cell r="B1206" t="str">
            <v>ADOLFO LOPEZ MATEOS</v>
          </cell>
          <cell r="C1206" t="str">
            <v>BENITO JUAREZ S/N</v>
          </cell>
          <cell r="D1206" t="str">
            <v>SARA ADRIANA PULIDO LOYO</v>
          </cell>
          <cell r="E1206">
            <v>61</v>
          </cell>
          <cell r="F1206">
            <v>17</v>
          </cell>
          <cell r="G1206" t="str">
            <v>OMEALCA</v>
          </cell>
          <cell r="H1206" t="str">
            <v>PASO AMAPA</v>
          </cell>
        </row>
        <row r="1207">
          <cell r="A1207" t="str">
            <v>30DTV0232G</v>
          </cell>
          <cell r="B1207" t="str">
            <v>LAZARO CARDENAS DEL RIO</v>
          </cell>
          <cell r="C1207" t="str">
            <v>AVENIDA 1 S/N</v>
          </cell>
          <cell r="D1207" t="str">
            <v>ABEL DELFIN HERNANDEZ</v>
          </cell>
          <cell r="E1207">
            <v>61</v>
          </cell>
          <cell r="F1207">
            <v>17</v>
          </cell>
          <cell r="G1207" t="str">
            <v>OMEALCA</v>
          </cell>
          <cell r="H1207" t="str">
            <v>PASO REAL</v>
          </cell>
        </row>
        <row r="1208">
          <cell r="A1208" t="str">
            <v>30DTV0958H</v>
          </cell>
          <cell r="B1208" t="str">
            <v>GUILLERMO PRIETO</v>
          </cell>
          <cell r="C1208" t="str">
            <v>CALLE PRINCIPAL S/N JUNTO AL KINDER</v>
          </cell>
          <cell r="D1208" t="str">
            <v>MAURICIO ORTIZ LEON</v>
          </cell>
          <cell r="E1208">
            <v>61</v>
          </cell>
          <cell r="F1208">
            <v>17</v>
          </cell>
          <cell r="G1208" t="str">
            <v>OMEALCA</v>
          </cell>
          <cell r="H1208" t="str">
            <v>RINCON DE BUENA VISTA</v>
          </cell>
        </row>
        <row r="1209">
          <cell r="A1209" t="str">
            <v>30DTV1427Z</v>
          </cell>
          <cell r="B1209" t="str">
            <v>RUPERTO CONTLA SANDOVAL</v>
          </cell>
          <cell r="C1209" t="str">
            <v>CONOCIDO</v>
          </cell>
          <cell r="D1209" t="str">
            <v>JAIRO ROMEO ESQUEDA LAGUNES</v>
          </cell>
          <cell r="E1209">
            <v>61</v>
          </cell>
          <cell r="F1209">
            <v>17</v>
          </cell>
          <cell r="G1209" t="str">
            <v>OMEALCA</v>
          </cell>
          <cell r="H1209" t="str">
            <v>RIO MORENO</v>
          </cell>
        </row>
        <row r="1210">
          <cell r="A1210" t="str">
            <v>30DTV1428Z</v>
          </cell>
          <cell r="B1210" t="str">
            <v>GUILLERMO GONZALEZ CAMARENA</v>
          </cell>
          <cell r="C1210" t="str">
            <v>ENTRE AVENIDA PRINCIPAL JUNTO AL SALON EJIDAL</v>
          </cell>
          <cell r="D1210" t="str">
            <v>SERELDA JANETH HERNANDEZ PEREZ</v>
          </cell>
          <cell r="E1210">
            <v>61</v>
          </cell>
          <cell r="F1210">
            <v>17</v>
          </cell>
          <cell r="G1210" t="str">
            <v>OMEALCA</v>
          </cell>
          <cell r="H1210" t="str">
            <v>XUCHILES</v>
          </cell>
        </row>
        <row r="1211">
          <cell r="A1211" t="str">
            <v>30DTV1515U</v>
          </cell>
          <cell r="B1211" t="str">
            <v>XOCHIQUETZAL</v>
          </cell>
          <cell r="C1211" t="str">
            <v>AVENIDA PRINCIPAL S/N</v>
          </cell>
          <cell r="D1211" t="str">
            <v>GUADALUPE GILBON RUIZ</v>
          </cell>
          <cell r="E1211">
            <v>61</v>
          </cell>
          <cell r="F1211">
            <v>17</v>
          </cell>
          <cell r="G1211" t="str">
            <v>TEZONAPA</v>
          </cell>
          <cell r="H1211" t="str">
            <v>IXTACAPA EL GRANDE</v>
          </cell>
        </row>
        <row r="1212">
          <cell r="A1212" t="str">
            <v>30DTV0914K</v>
          </cell>
          <cell r="B1212" t="str">
            <v>JUSTO SIERRA</v>
          </cell>
          <cell r="C1212" t="str">
            <v>PEDRO ABASCAL S/N</v>
          </cell>
          <cell r="D1212" t="str">
            <v>RANFERI FLORES SANCHEZ</v>
          </cell>
          <cell r="E1212">
            <v>61</v>
          </cell>
          <cell r="F1212">
            <v>17</v>
          </cell>
          <cell r="G1212" t="str">
            <v>TEZONAPA</v>
          </cell>
          <cell r="H1212" t="str">
            <v>LAGUNA CHICA (PUEBLO NUEVO)</v>
          </cell>
        </row>
        <row r="1213">
          <cell r="A1213" t="str">
            <v>30DTV1529X</v>
          </cell>
          <cell r="B1213" t="str">
            <v>HERIBERTO JARA CORONA</v>
          </cell>
          <cell r="C1213" t="str">
            <v>CONOCIDO</v>
          </cell>
          <cell r="D1213" t="str">
            <v>ARACELY CERVANTES HERNANDEZ</v>
          </cell>
          <cell r="E1213">
            <v>61</v>
          </cell>
          <cell r="F1213">
            <v>17</v>
          </cell>
          <cell r="G1213" t="str">
            <v>TEZONAPA</v>
          </cell>
          <cell r="H1213" t="str">
            <v>LAS LIMAS</v>
          </cell>
        </row>
        <row r="1214">
          <cell r="A1214" t="str">
            <v>30DTV0106J</v>
          </cell>
          <cell r="B1214" t="str">
            <v>MANUEL AVILA CAMACHO</v>
          </cell>
          <cell r="C1214" t="str">
            <v>AVENIDA MIGUEL HIDALGO S/N</v>
          </cell>
          <cell r="D1214" t="str">
            <v>LUCINA PALACIOS BARRIENTOS</v>
          </cell>
          <cell r="E1214">
            <v>61</v>
          </cell>
          <cell r="F1214">
            <v>17</v>
          </cell>
          <cell r="G1214" t="str">
            <v>TEZONAPA</v>
          </cell>
          <cell r="H1214" t="str">
            <v>MONTE ALTO (EMILIANO ZAPATA)</v>
          </cell>
        </row>
        <row r="1215">
          <cell r="A1215" t="str">
            <v>30DTV1522D</v>
          </cell>
          <cell r="B1215" t="str">
            <v>MIGUEL DE CERVANTES SAAVEDRA</v>
          </cell>
          <cell r="C1215" t="str">
            <v>CALLE PRINCIPAL S/N JUNTO AL KINDER</v>
          </cell>
          <cell r="D1215" t="str">
            <v>IVONNE JANET SANCHEZ RODRIGUEZ</v>
          </cell>
          <cell r="E1215">
            <v>61</v>
          </cell>
          <cell r="F1215">
            <v>17</v>
          </cell>
          <cell r="G1215" t="str">
            <v>TEZONAPA</v>
          </cell>
          <cell r="H1215" t="str">
            <v>EL PALMAR GRANDE</v>
          </cell>
        </row>
        <row r="1216">
          <cell r="A1216" t="str">
            <v>30DTV0273G</v>
          </cell>
          <cell r="B1216" t="str">
            <v>JOSE MARTI</v>
          </cell>
          <cell r="C1216" t="str">
            <v>ADOLFO LOPEZ MATEOS S/N</v>
          </cell>
          <cell r="D1216" t="str">
            <v>JOSE LUIS ARBEA RAMIREZ</v>
          </cell>
          <cell r="E1216">
            <v>61</v>
          </cell>
          <cell r="F1216">
            <v>17</v>
          </cell>
          <cell r="G1216" t="str">
            <v>TEZONAPA</v>
          </cell>
          <cell r="H1216" t="str">
            <v>PRESIDIO (PLAN DE LIBRES)</v>
          </cell>
        </row>
        <row r="1217">
          <cell r="A1217" t="str">
            <v>30DTV0186L</v>
          </cell>
          <cell r="B1217" t="str">
            <v>JOSEFA ORTIZ DE DOMINGUEZ</v>
          </cell>
          <cell r="C1217" t="str">
            <v>CALLE PRINCIPAL S/N</v>
          </cell>
          <cell r="D1217" t="str">
            <v>VIRGINIA JUAREZ CARRILLO</v>
          </cell>
          <cell r="E1217">
            <v>61</v>
          </cell>
          <cell r="F1217">
            <v>17</v>
          </cell>
          <cell r="G1217" t="str">
            <v>TEZONAPA</v>
          </cell>
          <cell r="H1217" t="str">
            <v>SAN AGUSTIN DEL PALMAR</v>
          </cell>
        </row>
        <row r="1218">
          <cell r="A1218" t="str">
            <v>30DTV1057Y</v>
          </cell>
          <cell r="B1218" t="str">
            <v>LUIS DONALDO COLOSIO MURRIETA</v>
          </cell>
          <cell r="C1218" t="str">
            <v>CALLE PRINCIPAL</v>
          </cell>
          <cell r="D1218" t="str">
            <v>ELOY HERNANDEZ CRUZ</v>
          </cell>
          <cell r="E1218">
            <v>61</v>
          </cell>
          <cell r="F1218">
            <v>17</v>
          </cell>
          <cell r="G1218" t="str">
            <v>TEZONAPA</v>
          </cell>
          <cell r="H1218" t="str">
            <v>VAZQUEZ VELA</v>
          </cell>
        </row>
        <row r="1219">
          <cell r="A1219" t="str">
            <v>30DTV1556U</v>
          </cell>
          <cell r="B1219" t="str">
            <v>BENITO JUAREZ GARCIA</v>
          </cell>
          <cell r="C1219" t="str">
            <v>CRUCERO ENTRADA A LA COMUNIDAD</v>
          </cell>
          <cell r="D1219" t="str">
            <v>EDGAR HERRERA LOPEZ</v>
          </cell>
          <cell r="E1219">
            <v>61</v>
          </cell>
          <cell r="F1219">
            <v>17</v>
          </cell>
          <cell r="G1219" t="str">
            <v>TEZONAPA</v>
          </cell>
          <cell r="H1219" t="str">
            <v>LIMONESTITLA</v>
          </cell>
        </row>
        <row r="1220">
          <cell r="A1220" t="str">
            <v>30DTV1397W</v>
          </cell>
          <cell r="B1220" t="str">
            <v>PIPILA</v>
          </cell>
          <cell r="C1220" t="str">
            <v>JOSEFA ORTIZ DE DOMINGUEZ S/N</v>
          </cell>
          <cell r="D1220" t="str">
            <v>ADRIANA GARCIA CAMARILLO</v>
          </cell>
          <cell r="E1220">
            <v>61</v>
          </cell>
          <cell r="F1220">
            <v>17</v>
          </cell>
          <cell r="G1220" t="str">
            <v>TEZONAPA</v>
          </cell>
          <cell r="H1220" t="str">
            <v>POCITOS</v>
          </cell>
        </row>
        <row r="1221">
          <cell r="A1221" t="str">
            <v>30DTV0913L</v>
          </cell>
          <cell r="B1221" t="str">
            <v>EMPERADOR CUAUHTEMOC</v>
          </cell>
          <cell r="C1221" t="str">
            <v>CALLE PRINCIPAL ENTRADA DE LA POBLACION</v>
          </cell>
          <cell r="D1221" t="str">
            <v>NOE JUAREZ CULEBRO</v>
          </cell>
          <cell r="E1221">
            <v>61</v>
          </cell>
          <cell r="F1221">
            <v>17</v>
          </cell>
          <cell r="G1221" t="str">
            <v>TEZONAPA</v>
          </cell>
          <cell r="H1221" t="str">
            <v>COLONIA AGRICOLA RINCON DE LAS FLORES</v>
          </cell>
        </row>
        <row r="1222">
          <cell r="A1222" t="str">
            <v>30DTV1745M</v>
          </cell>
          <cell r="B1222" t="str">
            <v>SOR JUANA INES DE LA CRUZ</v>
          </cell>
          <cell r="C1222" t="str">
            <v>CARRETERA RINCON DE LAS FLORES FRENTE A LA PRIMARIA</v>
          </cell>
          <cell r="D1222" t="str">
            <v>FAUSTINO ENGLER SANCHEZ</v>
          </cell>
          <cell r="E1222">
            <v>61</v>
          </cell>
          <cell r="F1222">
            <v>17</v>
          </cell>
          <cell r="G1222" t="str">
            <v>TEZONAPA</v>
          </cell>
          <cell r="H1222" t="str">
            <v>TEPECOXTLA</v>
          </cell>
        </row>
        <row r="1223">
          <cell r="A1223" t="str">
            <v>30DTV1744N</v>
          </cell>
          <cell r="B1223" t="str">
            <v>IGNACIO MANUEL ALTAMIRANO</v>
          </cell>
          <cell r="C1223" t="str">
            <v>CALLE PRINCIPAL S/N</v>
          </cell>
          <cell r="D1223" t="str">
            <v>GORGONIO HERNANDEZ PEREZ</v>
          </cell>
          <cell r="E1223">
            <v>61</v>
          </cell>
          <cell r="F1223">
            <v>17</v>
          </cell>
          <cell r="G1223" t="str">
            <v>TEZONAPA</v>
          </cell>
          <cell r="H1223" t="str">
            <v>SAN JOSE LAS LAJAS (VILLA NUEVA)</v>
          </cell>
        </row>
        <row r="1224">
          <cell r="A1224" t="str">
            <v>30DTV0423X</v>
          </cell>
          <cell r="B1224" t="str">
            <v>LAZARO CARDENAS DEL RIO</v>
          </cell>
          <cell r="C1224" t="str">
            <v>JOSEFA ORTIZ DE DOMINGUEZ NUM. 936</v>
          </cell>
          <cell r="D1224" t="str">
            <v>MARIA DEL PILAR SALAS SALOMON</v>
          </cell>
          <cell r="E1224">
            <v>61</v>
          </cell>
          <cell r="F1224">
            <v>17</v>
          </cell>
          <cell r="G1224" t="str">
            <v>TEZONAPA</v>
          </cell>
          <cell r="H1224" t="str">
            <v>ALMILINGA (SANTO DOMINGO MANZANARES)</v>
          </cell>
        </row>
        <row r="1225">
          <cell r="A1225" t="str">
            <v>30DTV1746L</v>
          </cell>
          <cell r="B1225" t="str">
            <v>OCTAVIO PAZ</v>
          </cell>
          <cell r="C1225" t="str">
            <v>CRUCERO LAS JOSEFINAS</v>
          </cell>
          <cell r="D1225" t="str">
            <v>MAYRA JEANETTE MENDOZA CALVA</v>
          </cell>
          <cell r="E1225">
            <v>61</v>
          </cell>
          <cell r="F1225">
            <v>17</v>
          </cell>
          <cell r="G1225" t="str">
            <v>TEZONAPA</v>
          </cell>
          <cell r="H1225" t="str">
            <v>EL CRUCERO (COLONIA LAS JOSEFINAS)</v>
          </cell>
        </row>
        <row r="1226">
          <cell r="A1226" t="str">
            <v>30DTV1747K</v>
          </cell>
          <cell r="B1226" t="str">
            <v>AGUSTIN LARA AGUIRRE DEL PINO</v>
          </cell>
          <cell r="C1226" t="str">
            <v>CALLE PRINCIPAL JUNTO AL PREESCOLAR</v>
          </cell>
          <cell r="D1226" t="str">
            <v>NEREYDA PEREZ GAMBOA</v>
          </cell>
          <cell r="E1226">
            <v>61</v>
          </cell>
          <cell r="F1226">
            <v>17</v>
          </cell>
          <cell r="G1226" t="str">
            <v>TEZONAPA</v>
          </cell>
          <cell r="H1226" t="str">
            <v>SAN MIGUEL TENEJAPA</v>
          </cell>
        </row>
        <row r="1227">
          <cell r="A1227" t="str">
            <v>30DTV0809Z</v>
          </cell>
          <cell r="B1227" t="str">
            <v>JOSE AZUETA</v>
          </cell>
          <cell r="C1227" t="str">
            <v>CONOCIDO</v>
          </cell>
          <cell r="D1227" t="str">
            <v>JOSE DANIEL SUAREZ PARRA</v>
          </cell>
          <cell r="E1227">
            <v>62</v>
          </cell>
          <cell r="F1227">
            <v>4</v>
          </cell>
          <cell r="G1227" t="str">
            <v>IGNACIO DE LA LLAVE</v>
          </cell>
          <cell r="H1227" t="str">
            <v>ZACATE COLORADO PRIMERO (EL MORAL)</v>
          </cell>
        </row>
        <row r="1228">
          <cell r="A1228" t="str">
            <v>30DTV1071R</v>
          </cell>
          <cell r="B1228" t="str">
            <v>ADOLFO LOPEZ MATEOS</v>
          </cell>
          <cell r="C1228" t="str">
            <v>CONOCIDO</v>
          </cell>
          <cell r="D1228" t="str">
            <v>VICTOR HUGO HERMIDA RIVERA</v>
          </cell>
          <cell r="E1228">
            <v>62</v>
          </cell>
          <cell r="F1228">
            <v>4</v>
          </cell>
          <cell r="G1228" t="str">
            <v>IGNACIO DE LA LLAVE</v>
          </cell>
          <cell r="H1228" t="str">
            <v>EL ZAPOTE</v>
          </cell>
        </row>
        <row r="1229">
          <cell r="A1229" t="str">
            <v>30DTV1101V</v>
          </cell>
          <cell r="B1229" t="str">
            <v>LEOPOLDO KIEL</v>
          </cell>
          <cell r="C1229" t="str">
            <v>CONOCIDO</v>
          </cell>
          <cell r="D1229" t="str">
            <v>CLARIVEL MARTINEZ HERNANDEZ</v>
          </cell>
          <cell r="E1229">
            <v>62</v>
          </cell>
          <cell r="F1229">
            <v>4</v>
          </cell>
          <cell r="G1229" t="str">
            <v>IGNACIO DE LA LLAVE</v>
          </cell>
          <cell r="H1229" t="str">
            <v>EL AGUACATE</v>
          </cell>
        </row>
        <row r="1230">
          <cell r="A1230" t="str">
            <v>30DTV1162I</v>
          </cell>
          <cell r="B1230" t="str">
            <v>GUADALUPE VICTORIA</v>
          </cell>
          <cell r="C1230" t="str">
            <v>CONOCIDO</v>
          </cell>
          <cell r="D1230" t="str">
            <v>JOAQUIN ZURITA RIVERA</v>
          </cell>
          <cell r="E1230">
            <v>62</v>
          </cell>
          <cell r="F1230">
            <v>4</v>
          </cell>
          <cell r="G1230" t="str">
            <v>IGNACIO DE LA LLAVE</v>
          </cell>
          <cell r="H1230" t="str">
            <v>PALMA DE COCO</v>
          </cell>
        </row>
        <row r="1231">
          <cell r="A1231" t="str">
            <v>30DTV0411S</v>
          </cell>
          <cell r="B1231" t="str">
            <v>BENITO JUAREZ GARCIA</v>
          </cell>
          <cell r="C1231" t="str">
            <v>CONOCIDO</v>
          </cell>
          <cell r="D1231" t="str">
            <v>ROGELIO CORTAZAR VAZQUEZ</v>
          </cell>
          <cell r="E1231">
            <v>62</v>
          </cell>
          <cell r="F1231">
            <v>4</v>
          </cell>
          <cell r="G1231" t="str">
            <v>TLALIXCOYAN</v>
          </cell>
          <cell r="H1231" t="str">
            <v>EL COCUITE</v>
          </cell>
        </row>
        <row r="1232">
          <cell r="A1232" t="str">
            <v>30DTV0892P</v>
          </cell>
          <cell r="B1232" t="str">
            <v>HERMANOS PAEZ LARA</v>
          </cell>
          <cell r="C1232" t="str">
            <v>CONOCIDO</v>
          </cell>
          <cell r="D1232" t="str">
            <v>FELIPE NICANOR LIMON</v>
          </cell>
          <cell r="E1232">
            <v>62</v>
          </cell>
          <cell r="F1232">
            <v>4</v>
          </cell>
          <cell r="G1232" t="str">
            <v>TLALIXCOYAN</v>
          </cell>
          <cell r="H1232" t="str">
            <v>CUYUCUENDA</v>
          </cell>
        </row>
        <row r="1233">
          <cell r="A1233" t="str">
            <v>30DTV0893O</v>
          </cell>
          <cell r="B1233" t="str">
            <v>FRANCISCO I. MADERO</v>
          </cell>
          <cell r="C1233" t="str">
            <v>CONOCIDO</v>
          </cell>
          <cell r="D1233" t="str">
            <v>JAIME JIMENEZ SANTOS</v>
          </cell>
          <cell r="E1233">
            <v>62</v>
          </cell>
          <cell r="F1233">
            <v>4</v>
          </cell>
          <cell r="G1233" t="str">
            <v>TLALIXCOYAN</v>
          </cell>
          <cell r="H1233" t="str">
            <v>MATA DE LAZARO</v>
          </cell>
        </row>
        <row r="1234">
          <cell r="A1234" t="str">
            <v>30DTV1132O</v>
          </cell>
          <cell r="B1234" t="str">
            <v>SALVADOR DIAZ MIRON</v>
          </cell>
          <cell r="C1234" t="str">
            <v>CONOCIDO</v>
          </cell>
          <cell r="D1234" t="str">
            <v>JOSEFINA LARA GONZALEZ</v>
          </cell>
          <cell r="E1234">
            <v>62</v>
          </cell>
          <cell r="F1234">
            <v>4</v>
          </cell>
          <cell r="G1234" t="str">
            <v>TLALIXCOYAN</v>
          </cell>
          <cell r="H1234" t="str">
            <v>LA TUNA MORELOS</v>
          </cell>
        </row>
        <row r="1235">
          <cell r="A1235" t="str">
            <v>30DTV1163H</v>
          </cell>
          <cell r="B1235" t="str">
            <v>ANTONIO MARIA DE RIVERA</v>
          </cell>
          <cell r="C1235" t="str">
            <v>CONOCIDO</v>
          </cell>
          <cell r="D1235" t="str">
            <v>MARCO ANTONIO BAZAN MIRANDA</v>
          </cell>
          <cell r="E1235">
            <v>62</v>
          </cell>
          <cell r="F1235">
            <v>4</v>
          </cell>
          <cell r="G1235" t="str">
            <v>TLALIXCOYAN</v>
          </cell>
          <cell r="H1235" t="str">
            <v>EL SUCHIL</v>
          </cell>
        </row>
        <row r="1236">
          <cell r="A1236" t="str">
            <v>30DTV1636F</v>
          </cell>
          <cell r="B1236" t="str">
            <v>GUADALUPE AMOR</v>
          </cell>
          <cell r="C1236" t="str">
            <v>CALLE PRINCIPAL S/N</v>
          </cell>
          <cell r="D1236" t="str">
            <v>ZAHUDY ZARET CORTES CANCINO</v>
          </cell>
          <cell r="E1236">
            <v>62</v>
          </cell>
          <cell r="F1236">
            <v>4</v>
          </cell>
          <cell r="G1236" t="str">
            <v>TLALIXCOYAN</v>
          </cell>
          <cell r="H1236" t="str">
            <v>LA TRANCA</v>
          </cell>
        </row>
        <row r="1237">
          <cell r="A1237" t="str">
            <v>30DTV1754U</v>
          </cell>
          <cell r="B1237" t="str">
            <v>TELESECUNDARIA</v>
          </cell>
          <cell r="C1237" t="str">
            <v>CALLE BENJAMIN HIDALGO ESQUINA MARCIANO MARTINEZ</v>
          </cell>
          <cell r="D1237" t="str">
            <v>FERNANDO ORTEGA GARCIA</v>
          </cell>
          <cell r="E1237">
            <v>62</v>
          </cell>
          <cell r="F1237">
            <v>4</v>
          </cell>
          <cell r="G1237" t="str">
            <v>TLALIXCOYAN</v>
          </cell>
          <cell r="H1237" t="str">
            <v>TUZALES</v>
          </cell>
        </row>
        <row r="1238">
          <cell r="A1238" t="str">
            <v>30DTV0985E</v>
          </cell>
          <cell r="B1238" t="str">
            <v>LIZANDRO USCANGA TRINIDAD</v>
          </cell>
          <cell r="C1238" t="str">
            <v>JUNTO AL CAMPO DE FUTBOL</v>
          </cell>
          <cell r="D1238" t="str">
            <v>ANA LILIA LARA SALINAS</v>
          </cell>
          <cell r="E1238">
            <v>62</v>
          </cell>
          <cell r="F1238">
            <v>4</v>
          </cell>
          <cell r="G1238" t="str">
            <v>TLALIXCOYAN</v>
          </cell>
          <cell r="H1238" t="str">
            <v>EL ZAPOTE</v>
          </cell>
        </row>
        <row r="1239">
          <cell r="A1239" t="str">
            <v>30DTV1471N</v>
          </cell>
          <cell r="B1239" t="str">
            <v>JOSE VASCONCELOS</v>
          </cell>
          <cell r="C1239" t="str">
            <v>CONOCIDO</v>
          </cell>
          <cell r="D1239" t="str">
            <v>MARIA DE JESUS LOPEZ OLVERA</v>
          </cell>
          <cell r="E1239">
            <v>62</v>
          </cell>
          <cell r="F1239">
            <v>4</v>
          </cell>
          <cell r="G1239" t="str">
            <v>TLALIXCOYAN</v>
          </cell>
          <cell r="H1239" t="str">
            <v>LA LAJA</v>
          </cell>
        </row>
        <row r="1240">
          <cell r="A1240" t="str">
            <v>30DTV0855L</v>
          </cell>
          <cell r="B1240" t="str">
            <v>PASCUAL ORTIZ RUBIO</v>
          </cell>
          <cell r="C1240" t="str">
            <v>ANDADOR ORIENTE 1 Y EJE 1 S/N</v>
          </cell>
          <cell r="D1240" t="str">
            <v>SILVIA JOSEFINA PAEZ DOMINGUEZ</v>
          </cell>
          <cell r="E1240">
            <v>62</v>
          </cell>
          <cell r="F1240">
            <v>4</v>
          </cell>
          <cell r="G1240" t="str">
            <v>VERACRUZ</v>
          </cell>
          <cell r="H1240" t="str">
            <v>VERACRUZ</v>
          </cell>
        </row>
        <row r="1241">
          <cell r="A1241" t="str">
            <v>30DTV1196Z</v>
          </cell>
          <cell r="B1241" t="str">
            <v>MANUEL FUENTES SARABIA</v>
          </cell>
          <cell r="C1241" t="str">
            <v>LAGUNA DE TAMIAHUA S/N UNIDAD HABITACIONAL EL COYOL</v>
          </cell>
          <cell r="D1241" t="str">
            <v>NICOLAS ORTIZ SANTAMARIA</v>
          </cell>
          <cell r="E1241">
            <v>62</v>
          </cell>
          <cell r="F1241">
            <v>4</v>
          </cell>
          <cell r="G1241" t="str">
            <v>VERACRUZ</v>
          </cell>
          <cell r="H1241" t="str">
            <v>VERACRUZ</v>
          </cell>
        </row>
        <row r="1242">
          <cell r="A1242" t="str">
            <v>30DTV0413Q</v>
          </cell>
          <cell r="B1242" t="str">
            <v>GABRIELA MISTRAL</v>
          </cell>
          <cell r="C1242" t="str">
            <v>FERROCARRILES Y CARRANZA S/N</v>
          </cell>
          <cell r="D1242" t="str">
            <v>FELICITAS RINCON ROMERO</v>
          </cell>
          <cell r="E1242">
            <v>62</v>
          </cell>
          <cell r="F1242">
            <v>4</v>
          </cell>
          <cell r="G1242" t="str">
            <v>VERACRUZ</v>
          </cell>
          <cell r="H1242" t="str">
            <v>LAS BAJADAS</v>
          </cell>
        </row>
        <row r="1243">
          <cell r="A1243" t="str">
            <v>30DTV0289H</v>
          </cell>
          <cell r="B1243" t="str">
            <v>INDEPENDENCIA</v>
          </cell>
          <cell r="C1243" t="str">
            <v>FRANCISCO I. MADERO NUM. 10</v>
          </cell>
          <cell r="D1243" t="str">
            <v>HILDA SANCHEZ DE LA VEGA GUILLEN</v>
          </cell>
          <cell r="E1243">
            <v>63</v>
          </cell>
          <cell r="F1243">
            <v>17</v>
          </cell>
          <cell r="G1243" t="str">
            <v>ALPATLAHUAC</v>
          </cell>
          <cell r="H1243" t="str">
            <v>ALPATLAHUAC</v>
          </cell>
        </row>
        <row r="1244">
          <cell r="A1244" t="str">
            <v>30DTV1798R</v>
          </cell>
          <cell r="B1244" t="str">
            <v>TELESECUNDARIA</v>
          </cell>
          <cell r="C1244" t="str">
            <v>CONOCIDO</v>
          </cell>
          <cell r="D1244" t="str">
            <v>ALFONSO MELCHOR Y BORJAS</v>
          </cell>
          <cell r="E1244">
            <v>63</v>
          </cell>
          <cell r="F1244">
            <v>17</v>
          </cell>
          <cell r="G1244" t="str">
            <v>ALPATLAHUAC</v>
          </cell>
          <cell r="H1244" t="str">
            <v>ACOLCO</v>
          </cell>
        </row>
        <row r="1245">
          <cell r="A1245" t="str">
            <v>30PTV0001U</v>
          </cell>
          <cell r="B1245" t="str">
            <v>LA SALLE</v>
          </cell>
          <cell r="C1245" t="str">
            <v>CONOCIDO</v>
          </cell>
          <cell r="D1245" t="str">
            <v>RAFAEL GASCA ALVA</v>
          </cell>
          <cell r="E1245">
            <v>63</v>
          </cell>
          <cell r="F1245">
            <v>17</v>
          </cell>
          <cell r="G1245" t="str">
            <v>ALPATLAHUAC</v>
          </cell>
          <cell r="H1245" t="str">
            <v>AYAHUALULCO</v>
          </cell>
        </row>
        <row r="1246">
          <cell r="A1246" t="str">
            <v>30DTV1639C</v>
          </cell>
          <cell r="B1246" t="str">
            <v>TELESECUNDARIA</v>
          </cell>
          <cell r="C1246" t="str">
            <v>FRENTE A LA PRIMARIA 5 DE MAYO</v>
          </cell>
          <cell r="D1246" t="str">
            <v>ENCARNACION CASBRERA FONSECA</v>
          </cell>
          <cell r="E1246">
            <v>63</v>
          </cell>
          <cell r="F1246">
            <v>17</v>
          </cell>
          <cell r="G1246" t="str">
            <v>ALPATLAHUAC</v>
          </cell>
          <cell r="H1246" t="str">
            <v>COCALZINGO</v>
          </cell>
        </row>
        <row r="1247">
          <cell r="A1247" t="str">
            <v>30DTV1306O</v>
          </cell>
          <cell r="B1247" t="str">
            <v>NARCISO BASSOLS</v>
          </cell>
          <cell r="C1247" t="str">
            <v>CONOCIDO</v>
          </cell>
          <cell r="D1247" t="str">
            <v>HUGO ALBERTO SALAZAR AVILA</v>
          </cell>
          <cell r="E1247">
            <v>63</v>
          </cell>
          <cell r="F1247">
            <v>17</v>
          </cell>
          <cell r="G1247" t="str">
            <v>ALPATLAHUAC</v>
          </cell>
          <cell r="H1247" t="str">
            <v>IXTAQUILITLA (EL RINCON)</v>
          </cell>
        </row>
        <row r="1248">
          <cell r="A1248" t="str">
            <v>30DTV1797S</v>
          </cell>
          <cell r="B1248" t="str">
            <v>TELESECUNDARIA</v>
          </cell>
          <cell r="C1248" t="str">
            <v>CALLE UNICA EN LA ESCUELA PRIMARIA</v>
          </cell>
          <cell r="D1248" t="str">
            <v>BRIGIDA MICHI PEREZ</v>
          </cell>
          <cell r="E1248">
            <v>63</v>
          </cell>
          <cell r="F1248">
            <v>17</v>
          </cell>
          <cell r="G1248" t="str">
            <v>ALPATLAHUAC</v>
          </cell>
          <cell r="H1248" t="str">
            <v>TEANQUISCO</v>
          </cell>
        </row>
        <row r="1249">
          <cell r="A1249" t="str">
            <v>30DTV0112U</v>
          </cell>
          <cell r="B1249" t="str">
            <v>MOISES SAENZ GARZA</v>
          </cell>
          <cell r="C1249" t="str">
            <v>JAVIER MINA S/N</v>
          </cell>
          <cell r="D1249" t="str">
            <v>MARGARITA LOPEZ ZAGADA</v>
          </cell>
          <cell r="E1249">
            <v>63</v>
          </cell>
          <cell r="F1249">
            <v>17</v>
          </cell>
          <cell r="G1249" t="str">
            <v>CALCAHUALCO</v>
          </cell>
          <cell r="H1249" t="str">
            <v>CALCAHUALCO</v>
          </cell>
        </row>
        <row r="1250">
          <cell r="A1250" t="str">
            <v>30DTV1166E</v>
          </cell>
          <cell r="B1250" t="str">
            <v>AXAYACATL</v>
          </cell>
          <cell r="C1250" t="str">
            <v>CONOCIDO</v>
          </cell>
          <cell r="D1250" t="str">
            <v>JUAN HERRERA ALARCON</v>
          </cell>
          <cell r="E1250">
            <v>63</v>
          </cell>
          <cell r="F1250">
            <v>17</v>
          </cell>
          <cell r="G1250" t="str">
            <v>CALCAHUALCO</v>
          </cell>
          <cell r="H1250" t="str">
            <v>ATOTONILCO</v>
          </cell>
        </row>
        <row r="1251">
          <cell r="A1251" t="str">
            <v>30DTV1211A</v>
          </cell>
          <cell r="B1251" t="str">
            <v>JOSE VASCONCELOS</v>
          </cell>
          <cell r="C1251" t="str">
            <v>CONOCIDO</v>
          </cell>
          <cell r="D1251" t="str">
            <v>GUADALUPE JORGE LOPEZ DELGADO</v>
          </cell>
          <cell r="E1251">
            <v>63</v>
          </cell>
          <cell r="F1251">
            <v>17</v>
          </cell>
          <cell r="G1251" t="str">
            <v>CALCAHUALCO</v>
          </cell>
          <cell r="H1251" t="str">
            <v>EXCOLA</v>
          </cell>
        </row>
        <row r="1252">
          <cell r="A1252" t="str">
            <v>30DTV1311Z</v>
          </cell>
          <cell r="B1252" t="str">
            <v>OCTAVIO PAZ</v>
          </cell>
          <cell r="C1252" t="str">
            <v>CONOCIDO</v>
          </cell>
          <cell r="D1252" t="str">
            <v>IRASEL NEGRETE RONZON</v>
          </cell>
          <cell r="E1252">
            <v>63</v>
          </cell>
          <cell r="F1252">
            <v>17</v>
          </cell>
          <cell r="G1252" t="str">
            <v>CALCAHUALCO</v>
          </cell>
          <cell r="H1252" t="str">
            <v>NUEVA VAQUERIA</v>
          </cell>
        </row>
        <row r="1253">
          <cell r="A1253" t="str">
            <v>30DTV1167D</v>
          </cell>
          <cell r="B1253" t="str">
            <v>TELESECUNDARIA</v>
          </cell>
          <cell r="C1253" t="str">
            <v>CONOCIDO</v>
          </cell>
          <cell r="D1253" t="str">
            <v>MARIA DEL CARMEN PEREZ ARENAS</v>
          </cell>
          <cell r="E1253">
            <v>63</v>
          </cell>
          <cell r="F1253">
            <v>17</v>
          </cell>
          <cell r="G1253" t="str">
            <v>CALCAHUALCO</v>
          </cell>
          <cell r="H1253" t="str">
            <v>SAN MIGUEL TLACOTIOPA</v>
          </cell>
        </row>
        <row r="1254">
          <cell r="A1254" t="str">
            <v>30DTV1409K</v>
          </cell>
          <cell r="B1254" t="str">
            <v>TELESECUNDARIA</v>
          </cell>
          <cell r="C1254" t="str">
            <v>CONOCIDO</v>
          </cell>
          <cell r="D1254" t="str">
            <v>CATALINA MARTINEZ PEREZ</v>
          </cell>
          <cell r="E1254">
            <v>63</v>
          </cell>
          <cell r="F1254">
            <v>17</v>
          </cell>
          <cell r="G1254" t="str">
            <v>CALCAHUALCO</v>
          </cell>
          <cell r="H1254" t="str">
            <v>TOTOZINAPA</v>
          </cell>
        </row>
        <row r="1255">
          <cell r="A1255" t="str">
            <v>30DTV1510Z</v>
          </cell>
          <cell r="B1255" t="str">
            <v>BENITO JUAREZ GARCIA</v>
          </cell>
          <cell r="C1255" t="str">
            <v>CONOCIDO</v>
          </cell>
          <cell r="D1255" t="str">
            <v>ERIK ACOSTA TORRES</v>
          </cell>
          <cell r="E1255">
            <v>63</v>
          </cell>
          <cell r="F1255">
            <v>17</v>
          </cell>
          <cell r="G1255" t="str">
            <v>CALCAHUALCO</v>
          </cell>
          <cell r="H1255" t="str">
            <v>XAMATICPAC</v>
          </cell>
        </row>
        <row r="1256">
          <cell r="A1256" t="str">
            <v>30DTV1644O</v>
          </cell>
          <cell r="B1256" t="str">
            <v>TELESECUNDARIA</v>
          </cell>
          <cell r="C1256" t="str">
            <v>CALLE PRINCIPAL S/N</v>
          </cell>
          <cell r="D1256" t="str">
            <v>LUCY MIRELLA JORGE ENRIQUEZ</v>
          </cell>
          <cell r="E1256">
            <v>63</v>
          </cell>
          <cell r="F1256">
            <v>17</v>
          </cell>
          <cell r="G1256" t="str">
            <v>CALCAHUALCO</v>
          </cell>
          <cell r="H1256" t="str">
            <v>XILOMICHI</v>
          </cell>
        </row>
        <row r="1257">
          <cell r="A1257" t="str">
            <v>30DTV1641R</v>
          </cell>
          <cell r="B1257" t="str">
            <v>TELESECUNDARIA</v>
          </cell>
          <cell r="C1257" t="str">
            <v>CALLE PRINCIPAL S/N</v>
          </cell>
          <cell r="D1257" t="str">
            <v>JACQUELINA MERIDA Y MONROY</v>
          </cell>
          <cell r="E1257">
            <v>63</v>
          </cell>
          <cell r="F1257">
            <v>17</v>
          </cell>
          <cell r="G1257" t="str">
            <v>CALCAHUALCO</v>
          </cell>
          <cell r="H1257" t="str">
            <v>LA MESA DE ATOTONILCO</v>
          </cell>
        </row>
        <row r="1258">
          <cell r="A1258" t="str">
            <v>30DTV1806J</v>
          </cell>
          <cell r="B1258" t="str">
            <v>TELESECUNDARIA</v>
          </cell>
          <cell r="C1258" t="str">
            <v>CALLE PRINCIPAL S/N</v>
          </cell>
          <cell r="D1258" t="str">
            <v>NELY CELINA HEREDIA NIEVES</v>
          </cell>
          <cell r="E1258">
            <v>63</v>
          </cell>
          <cell r="F1258">
            <v>17</v>
          </cell>
          <cell r="G1258" t="str">
            <v>COETZALA</v>
          </cell>
          <cell r="H1258" t="str">
            <v>COETZAPOTITLA</v>
          </cell>
        </row>
        <row r="1259">
          <cell r="A1259" t="str">
            <v>30DTV1043V</v>
          </cell>
          <cell r="B1259" t="str">
            <v>SOR JUANA INES DE LA CRUZ</v>
          </cell>
          <cell r="C1259" t="str">
            <v>COLONIA SOLIDARIDAD</v>
          </cell>
          <cell r="D1259" t="str">
            <v>MARIA EUFRASIA REYES GARCIA</v>
          </cell>
          <cell r="E1259">
            <v>63</v>
          </cell>
          <cell r="F1259">
            <v>17</v>
          </cell>
          <cell r="G1259" t="str">
            <v>COSCOMATEPEC</v>
          </cell>
          <cell r="H1259" t="str">
            <v>COSCOMATEPEC DE BRAVO</v>
          </cell>
        </row>
        <row r="1260">
          <cell r="A1260" t="str">
            <v>30DTV1412Y</v>
          </cell>
          <cell r="B1260" t="str">
            <v>TELESECUNDARIA</v>
          </cell>
          <cell r="C1260" t="str">
            <v>CONOCIDO</v>
          </cell>
          <cell r="D1260" t="str">
            <v>LEONOR ORTIZ RAMIREZ</v>
          </cell>
          <cell r="E1260">
            <v>63</v>
          </cell>
          <cell r="F1260">
            <v>17</v>
          </cell>
          <cell r="G1260" t="str">
            <v>COSCOMATEPEC</v>
          </cell>
          <cell r="H1260" t="str">
            <v>CUAUTOLONTITLA</v>
          </cell>
        </row>
        <row r="1261">
          <cell r="A1261" t="str">
            <v>30DTV1165F</v>
          </cell>
          <cell r="B1261" t="str">
            <v>MIGUEL ALEMAN VALDES</v>
          </cell>
          <cell r="C1261" t="str">
            <v>CONOCIDO</v>
          </cell>
          <cell r="D1261" t="str">
            <v>OMAR RIGOBERTO HAMUD GARCIA</v>
          </cell>
          <cell r="E1261">
            <v>63</v>
          </cell>
          <cell r="F1261">
            <v>17</v>
          </cell>
          <cell r="G1261" t="str">
            <v>COSCOMATEPEC</v>
          </cell>
          <cell r="H1261" t="str">
            <v>CUIYACHAPA</v>
          </cell>
        </row>
        <row r="1262">
          <cell r="A1262" t="str">
            <v>30DTV1512X</v>
          </cell>
          <cell r="B1262" t="str">
            <v>TELESECUNDARIA</v>
          </cell>
          <cell r="C1262" t="str">
            <v>CONOCIDO</v>
          </cell>
          <cell r="D1262" t="str">
            <v>BENJAMIN FIERRO HERRERA</v>
          </cell>
          <cell r="E1262">
            <v>63</v>
          </cell>
          <cell r="F1262">
            <v>17</v>
          </cell>
          <cell r="G1262" t="str">
            <v>COSCOMATEPEC</v>
          </cell>
          <cell r="H1262" t="str">
            <v>HUILOTLA</v>
          </cell>
        </row>
        <row r="1263">
          <cell r="A1263" t="str">
            <v>30DTV1788K</v>
          </cell>
          <cell r="B1263" t="str">
            <v>TELESECUNDARIA</v>
          </cell>
          <cell r="C1263" t="str">
            <v>AVENIDA INDEPENDENCIA S/N</v>
          </cell>
          <cell r="D1263" t="str">
            <v>MARITZA ALARCON PANIAGUA</v>
          </cell>
          <cell r="E1263">
            <v>63</v>
          </cell>
          <cell r="F1263">
            <v>17</v>
          </cell>
          <cell r="G1263" t="str">
            <v>COSCOMATEPEC</v>
          </cell>
          <cell r="H1263" t="str">
            <v>IXTAYUCA (SAN NICOLAS)</v>
          </cell>
        </row>
        <row r="1264">
          <cell r="A1264" t="str">
            <v>30DTV1768X</v>
          </cell>
          <cell r="B1264" t="str">
            <v>TELESECUNDARIA</v>
          </cell>
          <cell r="C1264" t="str">
            <v>BENITO JUAREZ S/N</v>
          </cell>
          <cell r="D1264" t="str">
            <v>DENISS EDAENA PEREZ GARCIA</v>
          </cell>
          <cell r="E1264">
            <v>63</v>
          </cell>
          <cell r="F1264">
            <v>17</v>
          </cell>
          <cell r="G1264" t="str">
            <v>COSCOMATEPEC</v>
          </cell>
          <cell r="H1264" t="str">
            <v>LAZARO CARDENAS</v>
          </cell>
        </row>
        <row r="1265">
          <cell r="A1265" t="str">
            <v>30DTV1379G</v>
          </cell>
          <cell r="B1265" t="str">
            <v>JUAN RULFO</v>
          </cell>
          <cell r="C1265" t="str">
            <v>CONOCIDO</v>
          </cell>
          <cell r="D1265" t="str">
            <v>LUIS ALBERTO MENDEZ ANELL</v>
          </cell>
          <cell r="E1265">
            <v>63</v>
          </cell>
          <cell r="F1265">
            <v>17</v>
          </cell>
          <cell r="G1265" t="str">
            <v>COSCOMATEPEC</v>
          </cell>
          <cell r="H1265" t="str">
            <v>POTRERILLO</v>
          </cell>
        </row>
        <row r="1266">
          <cell r="A1266" t="str">
            <v>30DTV1168C</v>
          </cell>
          <cell r="B1266" t="str">
            <v>TELESECUNDARIA</v>
          </cell>
          <cell r="C1266" t="str">
            <v>CONOCIDO</v>
          </cell>
          <cell r="D1266" t="str">
            <v>MARIO ALBERTO MONCAYO GARCIA</v>
          </cell>
          <cell r="E1266">
            <v>63</v>
          </cell>
          <cell r="F1266">
            <v>17</v>
          </cell>
          <cell r="G1266" t="str">
            <v>COSCOMATEPEC</v>
          </cell>
          <cell r="H1266" t="str">
            <v>TENIXTEPEC</v>
          </cell>
        </row>
        <row r="1267">
          <cell r="A1267" t="str">
            <v>30DTV0110W</v>
          </cell>
          <cell r="B1267" t="str">
            <v>ADALBERTO TEJEDA</v>
          </cell>
          <cell r="C1267" t="str">
            <v>CONOCIDO</v>
          </cell>
          <cell r="D1267" t="str">
            <v>CARLOS JOAQUIN CRUZ RIVERA</v>
          </cell>
          <cell r="E1267">
            <v>63</v>
          </cell>
          <cell r="F1267">
            <v>17</v>
          </cell>
          <cell r="G1267" t="str">
            <v>COSCOMATEPEC</v>
          </cell>
          <cell r="H1267" t="str">
            <v>TETELZINGO</v>
          </cell>
        </row>
        <row r="1268">
          <cell r="A1268" t="str">
            <v>30DTV1413X</v>
          </cell>
          <cell r="B1268" t="str">
            <v>JOAQUIN FERNANDEZ DE LIZARDI</v>
          </cell>
          <cell r="C1268" t="str">
            <v>VENUSTIANO CARRANZA S/N</v>
          </cell>
          <cell r="D1268" t="str">
            <v>GLORIA ANGELICA GARCIA AMECA</v>
          </cell>
          <cell r="E1268">
            <v>63</v>
          </cell>
          <cell r="F1268">
            <v>17</v>
          </cell>
          <cell r="G1268" t="str">
            <v>COSCOMATEPEC</v>
          </cell>
          <cell r="H1268" t="str">
            <v>TETLAXCO</v>
          </cell>
        </row>
        <row r="1269">
          <cell r="A1269" t="str">
            <v>30DTV1058X</v>
          </cell>
          <cell r="B1269" t="str">
            <v>EMILIANO ZAPATA</v>
          </cell>
          <cell r="C1269" t="str">
            <v>JUNTO A UN JARDIN</v>
          </cell>
          <cell r="D1269" t="str">
            <v>LUIS ALBERTO MENDEZ ANELL</v>
          </cell>
          <cell r="E1269">
            <v>63</v>
          </cell>
          <cell r="F1269">
            <v>17</v>
          </cell>
          <cell r="G1269" t="str">
            <v>COSCOMATEPEC</v>
          </cell>
          <cell r="H1269" t="str">
            <v>TLALTENGO</v>
          </cell>
        </row>
        <row r="1270">
          <cell r="A1270" t="str">
            <v>30DTV1513W</v>
          </cell>
          <cell r="B1270" t="str">
            <v>ROSARIO CASTELLANOS</v>
          </cell>
          <cell r="C1270" t="str">
            <v>KILOMETRO 3 CARRETERA COSCOMATEPEC-ALPATLAHUAC</v>
          </cell>
          <cell r="D1270" t="str">
            <v>MARIA GUADALUPE PIMENTEL OROZCO</v>
          </cell>
          <cell r="E1270">
            <v>63</v>
          </cell>
          <cell r="F1270">
            <v>17</v>
          </cell>
          <cell r="G1270" t="str">
            <v>COSCOMATEPEC</v>
          </cell>
          <cell r="H1270" t="str">
            <v>TOZONGO</v>
          </cell>
        </row>
        <row r="1271">
          <cell r="A1271" t="str">
            <v>30DTV1214Y</v>
          </cell>
          <cell r="B1271" t="str">
            <v>NICOLAS BRAVO</v>
          </cell>
          <cell r="C1271" t="str">
            <v>CONOCIDO</v>
          </cell>
          <cell r="D1271" t="str">
            <v>MARIA ISELA CARBALLO SANCHEZ</v>
          </cell>
          <cell r="E1271">
            <v>63</v>
          </cell>
          <cell r="F1271">
            <v>17</v>
          </cell>
          <cell r="G1271" t="str">
            <v>COSCOMATEPEC</v>
          </cell>
          <cell r="H1271" t="str">
            <v>GONZALO VAZQUEZ VELA</v>
          </cell>
        </row>
        <row r="1272">
          <cell r="A1272" t="str">
            <v>30DTV1683Q</v>
          </cell>
          <cell r="B1272" t="str">
            <v>TELESECUNDARIA</v>
          </cell>
          <cell r="C1272" t="str">
            <v>BENITO JUAREZ S/N</v>
          </cell>
          <cell r="D1272" t="str">
            <v>JOSE DE JESUS SANCHEZ RAMOS</v>
          </cell>
          <cell r="E1272">
            <v>63</v>
          </cell>
          <cell r="F1272">
            <v>17</v>
          </cell>
          <cell r="G1272" t="str">
            <v>COSCOMATEPEC</v>
          </cell>
          <cell r="H1272" t="str">
            <v>XALATLACO</v>
          </cell>
        </row>
        <row r="1273">
          <cell r="A1273" t="str">
            <v>30DTV1169B</v>
          </cell>
          <cell r="B1273" t="str">
            <v>TELESECUNDARIA</v>
          </cell>
          <cell r="C1273" t="str">
            <v>CONOCIDO</v>
          </cell>
          <cell r="D1273" t="str">
            <v>VERENICE DIAZ VALERIO</v>
          </cell>
          <cell r="E1273">
            <v>63</v>
          </cell>
          <cell r="F1273">
            <v>17</v>
          </cell>
          <cell r="G1273" t="str">
            <v>COSCOMATEPEC</v>
          </cell>
          <cell r="H1273" t="str">
            <v>XOCOTLA</v>
          </cell>
        </row>
        <row r="1274">
          <cell r="A1274" t="str">
            <v>30DTV1215X</v>
          </cell>
          <cell r="B1274" t="str">
            <v>TELESECUNDARIA</v>
          </cell>
          <cell r="C1274" t="str">
            <v>CONOCIDO</v>
          </cell>
          <cell r="D1274" t="str">
            <v>YENNY ICZARINA MARTINEZ AGUAYO</v>
          </cell>
          <cell r="E1274">
            <v>63</v>
          </cell>
          <cell r="F1274">
            <v>17</v>
          </cell>
          <cell r="G1274" t="str">
            <v>COSCOMATEPEC</v>
          </cell>
          <cell r="H1274" t="str">
            <v>ZACATLA</v>
          </cell>
        </row>
        <row r="1275">
          <cell r="A1275" t="str">
            <v>30DTV1800P</v>
          </cell>
          <cell r="B1275" t="str">
            <v>TELESECUNDARIA</v>
          </cell>
          <cell r="C1275" t="str">
            <v>CALLE PRINCIPAL FRENTE A LA PRIMARIA</v>
          </cell>
          <cell r="D1275" t="str">
            <v>ANIE ANEL ILLESCAS REYES</v>
          </cell>
          <cell r="E1275">
            <v>63</v>
          </cell>
          <cell r="F1275">
            <v>17</v>
          </cell>
          <cell r="G1275" t="str">
            <v>COSCOMATEPEC</v>
          </cell>
          <cell r="H1275" t="str">
            <v>LINDA VISTA</v>
          </cell>
        </row>
        <row r="1276">
          <cell r="A1276" t="str">
            <v>30DTV0047K</v>
          </cell>
          <cell r="B1276" t="str">
            <v>ALVARO GALVEZ Y FUENTES</v>
          </cell>
          <cell r="C1276" t="str">
            <v>CENTENARIO NUM. 77</v>
          </cell>
          <cell r="D1276" t="str">
            <v>RODOLFO GONZALEZ GALINDO</v>
          </cell>
          <cell r="E1276">
            <v>63</v>
          </cell>
          <cell r="F1276">
            <v>17</v>
          </cell>
          <cell r="G1276" t="str">
            <v>IXHUATLAN DEL CAFE</v>
          </cell>
          <cell r="H1276" t="str">
            <v>IXHUATLAN DEL CAFE</v>
          </cell>
        </row>
        <row r="1277">
          <cell r="A1277" t="str">
            <v>30DTV1304Q</v>
          </cell>
          <cell r="B1277" t="str">
            <v>JUAN ESCUTIA</v>
          </cell>
          <cell r="C1277" t="str">
            <v>CONOCIDO</v>
          </cell>
          <cell r="D1277" t="str">
            <v>JULISA NATALIA ALFONSO CAMARILLO</v>
          </cell>
          <cell r="E1277">
            <v>63</v>
          </cell>
          <cell r="F1277">
            <v>17</v>
          </cell>
          <cell r="G1277" t="str">
            <v>IXHUATLAN DEL CAFE</v>
          </cell>
          <cell r="H1277" t="str">
            <v>ALVARO OBREGON</v>
          </cell>
        </row>
        <row r="1278">
          <cell r="A1278" t="str">
            <v>30DTV1514V</v>
          </cell>
          <cell r="B1278" t="str">
            <v>EFREN REBOLLEDO</v>
          </cell>
          <cell r="C1278" t="str">
            <v>CONOCIDO</v>
          </cell>
          <cell r="D1278" t="str">
            <v>GISELA DE FELIPE HERRERA</v>
          </cell>
          <cell r="E1278">
            <v>63</v>
          </cell>
          <cell r="F1278">
            <v>17</v>
          </cell>
          <cell r="G1278" t="str">
            <v>IXHUATLAN DEL CAFE</v>
          </cell>
          <cell r="H1278" t="str">
            <v>GUZMANTLA</v>
          </cell>
        </row>
        <row r="1279">
          <cell r="A1279" t="str">
            <v>30DTV1423D</v>
          </cell>
          <cell r="B1279" t="str">
            <v>GONZALO AGUIRRE BELTRAN</v>
          </cell>
          <cell r="C1279" t="str">
            <v>CONOCIDO</v>
          </cell>
          <cell r="D1279" t="str">
            <v>REGINO JARILLO BARBERENA</v>
          </cell>
          <cell r="E1279">
            <v>63</v>
          </cell>
          <cell r="F1279">
            <v>17</v>
          </cell>
          <cell r="G1279" t="str">
            <v>IXHUATLAN DEL CAFE</v>
          </cell>
          <cell r="H1279" t="str">
            <v>IXCAPANTLA</v>
          </cell>
        </row>
        <row r="1280">
          <cell r="A1280" t="str">
            <v>30DTV0453R</v>
          </cell>
          <cell r="B1280" t="str">
            <v>SALVADOR DIAZ MIRON</v>
          </cell>
          <cell r="C1280" t="str">
            <v>CONOCIDO</v>
          </cell>
          <cell r="D1280" t="str">
            <v>DIONICIA CARREON RAMIREZ</v>
          </cell>
          <cell r="E1280">
            <v>63</v>
          </cell>
          <cell r="F1280">
            <v>17</v>
          </cell>
          <cell r="G1280" t="str">
            <v>IXHUATLAN DEL CAFE</v>
          </cell>
          <cell r="H1280" t="str">
            <v>OCOTITLAN</v>
          </cell>
        </row>
        <row r="1281">
          <cell r="A1281" t="str">
            <v>30DTV0100P</v>
          </cell>
          <cell r="B1281" t="str">
            <v>JESUS REYES HEROLES</v>
          </cell>
          <cell r="C1281" t="str">
            <v>CONOCIDO</v>
          </cell>
          <cell r="D1281" t="str">
            <v>IVONNE CRISTINA LAGUNES GONZALEZ</v>
          </cell>
          <cell r="E1281">
            <v>63</v>
          </cell>
          <cell r="F1281">
            <v>17</v>
          </cell>
          <cell r="G1281" t="str">
            <v>IXHUATLAN DEL CAFE</v>
          </cell>
          <cell r="H1281" t="str">
            <v>PRESIDIO</v>
          </cell>
        </row>
        <row r="1282">
          <cell r="A1282" t="str">
            <v>30DTV1219T</v>
          </cell>
          <cell r="B1282" t="str">
            <v>TELESECUNDARIA</v>
          </cell>
          <cell r="C1282" t="str">
            <v>CONOCIDO</v>
          </cell>
          <cell r="D1282" t="str">
            <v>LEOPOLDO ORTEGA MALDONADO</v>
          </cell>
          <cell r="E1282">
            <v>63</v>
          </cell>
          <cell r="F1282">
            <v>17</v>
          </cell>
          <cell r="G1282" t="str">
            <v>IXHUATLAN DEL CAFE</v>
          </cell>
          <cell r="H1282" t="str">
            <v>ZACAMITLA</v>
          </cell>
        </row>
        <row r="1283">
          <cell r="A1283" t="str">
            <v>30DTV0621X</v>
          </cell>
          <cell r="B1283" t="str">
            <v>LAZARO CARDENAS DEL RIO</v>
          </cell>
          <cell r="C1283" t="str">
            <v>C0NOCIDO</v>
          </cell>
          <cell r="D1283" t="str">
            <v>FELIX MUNGUIA CARRASCO</v>
          </cell>
          <cell r="E1283">
            <v>63</v>
          </cell>
          <cell r="F1283">
            <v>17</v>
          </cell>
          <cell r="G1283" t="str">
            <v>TEPATLAXCO</v>
          </cell>
          <cell r="H1283" t="str">
            <v>TEPATLAXCO</v>
          </cell>
        </row>
        <row r="1284">
          <cell r="A1284" t="str">
            <v>30DTV1277J</v>
          </cell>
          <cell r="B1284" t="str">
            <v>HERIBERTO JARA CORONA</v>
          </cell>
          <cell r="C1284" t="str">
            <v>CONOCIDO</v>
          </cell>
          <cell r="D1284" t="str">
            <v>EDEN OLIVERIO ENRIQUEZ GONZALEZ</v>
          </cell>
          <cell r="E1284">
            <v>63</v>
          </cell>
          <cell r="F1284">
            <v>17</v>
          </cell>
          <cell r="G1284" t="str">
            <v>TEPATLAXCO</v>
          </cell>
          <cell r="H1284" t="str">
            <v>BUENA VISTA</v>
          </cell>
        </row>
        <row r="1285">
          <cell r="A1285" t="str">
            <v>30DTV1521E</v>
          </cell>
          <cell r="B1285" t="str">
            <v>FRANCISCO DEL PASO Y TRONCOSO</v>
          </cell>
          <cell r="C1285" t="str">
            <v>CONOCIDO</v>
          </cell>
          <cell r="D1285" t="str">
            <v>JORGE RAFAEL LEON ARENAS</v>
          </cell>
          <cell r="E1285">
            <v>63</v>
          </cell>
          <cell r="F1285">
            <v>17</v>
          </cell>
          <cell r="G1285" t="str">
            <v>TEPATLAXCO</v>
          </cell>
          <cell r="H1285" t="str">
            <v>LA PALMA</v>
          </cell>
        </row>
        <row r="1286">
          <cell r="A1286" t="str">
            <v>30DTV1443R</v>
          </cell>
          <cell r="B1286" t="str">
            <v>MARIA ENRIQUETA CAMARILLO</v>
          </cell>
          <cell r="C1286" t="str">
            <v>CONOCIDO</v>
          </cell>
          <cell r="D1286" t="str">
            <v>ARTURO PERALTA IBARRA</v>
          </cell>
          <cell r="E1286">
            <v>63</v>
          </cell>
          <cell r="F1286">
            <v>17</v>
          </cell>
          <cell r="G1286" t="str">
            <v>TEPATLAXCO</v>
          </cell>
          <cell r="H1286" t="str">
            <v>EL TRIUNFO</v>
          </cell>
        </row>
        <row r="1287">
          <cell r="A1287" t="str">
            <v>30DTV0736Y</v>
          </cell>
          <cell r="B1287" t="str">
            <v>NICOLAS BRAVO</v>
          </cell>
          <cell r="C1287" t="str">
            <v>C0NOCIDO</v>
          </cell>
          <cell r="D1287" t="str">
            <v>KARLA JANET TAPIA PEDROZA</v>
          </cell>
          <cell r="E1287">
            <v>64</v>
          </cell>
          <cell r="F1287">
            <v>5</v>
          </cell>
          <cell r="G1287" t="str">
            <v>LAS CHOAPAS</v>
          </cell>
          <cell r="H1287" t="str">
            <v>LAS CHOAPAS</v>
          </cell>
        </row>
        <row r="1288">
          <cell r="A1288" t="str">
            <v>30DTV1473L</v>
          </cell>
          <cell r="B1288" t="str">
            <v>FRIDA KAHLO CALDERON</v>
          </cell>
          <cell r="C1288" t="str">
            <v>CONOCIDO</v>
          </cell>
          <cell r="D1288" t="str">
            <v>JULIO CESAR CESPEDES VAZQUEZ</v>
          </cell>
          <cell r="E1288">
            <v>64</v>
          </cell>
          <cell r="F1288">
            <v>5</v>
          </cell>
          <cell r="G1288" t="str">
            <v>LAS CHOAPAS</v>
          </cell>
          <cell r="H1288" t="str">
            <v>CEIBA BLANCA</v>
          </cell>
        </row>
        <row r="1289">
          <cell r="A1289" t="str">
            <v>30DTV1417T</v>
          </cell>
          <cell r="B1289" t="str">
            <v>5 DE MAYO</v>
          </cell>
          <cell r="C1289" t="str">
            <v>CONOCIDO</v>
          </cell>
          <cell r="D1289" t="str">
            <v>ADRIAN MAYO DIAZ</v>
          </cell>
          <cell r="E1289">
            <v>64</v>
          </cell>
          <cell r="F1289">
            <v>5</v>
          </cell>
          <cell r="G1289" t="str">
            <v>LAS CHOAPAS</v>
          </cell>
          <cell r="H1289" t="str">
            <v>CUAUHTEMOC PEDREGAL</v>
          </cell>
        </row>
        <row r="1290">
          <cell r="A1290" t="str">
            <v>30DTV0456O</v>
          </cell>
          <cell r="B1290" t="str">
            <v>TELESECUNDARIA</v>
          </cell>
          <cell r="C1290" t="str">
            <v>DOCTORES S/N</v>
          </cell>
          <cell r="D1290" t="str">
            <v>MARIA CONSUELO CRUZ MARTINEZ</v>
          </cell>
          <cell r="E1290">
            <v>64</v>
          </cell>
          <cell r="F1290">
            <v>5</v>
          </cell>
          <cell r="G1290" t="str">
            <v>LAS CHOAPAS</v>
          </cell>
          <cell r="H1290" t="str">
            <v>NUEVA ESPERANZA (CERRO NANCHITAL)</v>
          </cell>
        </row>
        <row r="1291">
          <cell r="A1291" t="str">
            <v>30DTV1758Q</v>
          </cell>
          <cell r="B1291" t="str">
            <v>TELESECUNDARIA</v>
          </cell>
          <cell r="C1291" t="str">
            <v>AVENIDA NAUTLA S/N</v>
          </cell>
          <cell r="D1291" t="str">
            <v>SAUL MENDOZA GONZALEZ</v>
          </cell>
          <cell r="E1291">
            <v>64</v>
          </cell>
          <cell r="F1291">
            <v>5</v>
          </cell>
          <cell r="G1291" t="str">
            <v>LAS CHOAPAS</v>
          </cell>
          <cell r="H1291" t="str">
            <v>NUEVA TABASQUEÑA</v>
          </cell>
        </row>
        <row r="1292">
          <cell r="A1292" t="str">
            <v>30DTV1415V</v>
          </cell>
          <cell r="B1292" t="str">
            <v>SALVADOR DIAZ MIRON</v>
          </cell>
          <cell r="C1292" t="str">
            <v>CONOCIDO</v>
          </cell>
          <cell r="D1292" t="str">
            <v>VIANEY MARTINEZ CASTILLO</v>
          </cell>
          <cell r="E1292">
            <v>64</v>
          </cell>
          <cell r="F1292">
            <v>5</v>
          </cell>
          <cell r="G1292" t="str">
            <v>LAS CHOAPAS</v>
          </cell>
          <cell r="H1292" t="str">
            <v>ALTO UXPANAPA (EL AMATE)</v>
          </cell>
        </row>
        <row r="1293">
          <cell r="A1293" t="str">
            <v>30DTV1418S</v>
          </cell>
          <cell r="B1293" t="str">
            <v>IGNACIO MARIA DE ALLENDE</v>
          </cell>
          <cell r="C1293" t="str">
            <v>CONOCIDO</v>
          </cell>
          <cell r="D1293" t="str">
            <v>DAISY JAZMIN PEREZ OLMEDO</v>
          </cell>
          <cell r="E1293">
            <v>64</v>
          </cell>
          <cell r="F1293">
            <v>5</v>
          </cell>
          <cell r="G1293" t="str">
            <v>LAS CHOAPAS</v>
          </cell>
          <cell r="H1293" t="str">
            <v>SAN MIGUEL DE ALLENDE</v>
          </cell>
        </row>
        <row r="1294">
          <cell r="A1294" t="str">
            <v>30DTV0653P</v>
          </cell>
          <cell r="B1294" t="str">
            <v>NIÑOS HEROES DE CHAPULTEPEC</v>
          </cell>
          <cell r="C1294" t="str">
            <v>CARRETERA AL CEDRO DE NANCHITAL KILOMETRO 10</v>
          </cell>
          <cell r="D1294" t="str">
            <v>JOSE LUIS ZOLANO GARCIA</v>
          </cell>
          <cell r="E1294">
            <v>64</v>
          </cell>
          <cell r="F1294">
            <v>5</v>
          </cell>
          <cell r="G1294" t="str">
            <v>LAS CHOAPAS</v>
          </cell>
          <cell r="H1294" t="str">
            <v>BENITO JUAREZ</v>
          </cell>
        </row>
        <row r="1295">
          <cell r="A1295" t="str">
            <v>30DTV1602P</v>
          </cell>
          <cell r="B1295" t="str">
            <v>RUFINO TAMAYO</v>
          </cell>
          <cell r="C1295" t="str">
            <v>CALLE PRINCIPAL ENTRADA AL PUEBLO</v>
          </cell>
          <cell r="D1295" t="str">
            <v>KARIME SANCHEZ JACOME</v>
          </cell>
          <cell r="E1295">
            <v>64</v>
          </cell>
          <cell r="F1295">
            <v>5</v>
          </cell>
          <cell r="G1295" t="str">
            <v>LAS CHOAPAS</v>
          </cell>
          <cell r="H1295" t="str">
            <v>EL NACIMIENTO</v>
          </cell>
        </row>
        <row r="1296">
          <cell r="A1296" t="str">
            <v>30DTV1543Q</v>
          </cell>
          <cell r="B1296" t="str">
            <v>BENITO JUAREZ GARCIA</v>
          </cell>
          <cell r="C1296" t="str">
            <v>CONOCIDO</v>
          </cell>
          <cell r="D1296" t="str">
            <v>ERIK PAZOS MORA</v>
          </cell>
          <cell r="E1296">
            <v>64</v>
          </cell>
          <cell r="F1296">
            <v>5</v>
          </cell>
          <cell r="G1296" t="str">
            <v>LAS CHOAPAS</v>
          </cell>
          <cell r="H1296" t="str">
            <v>EL REMOLINO</v>
          </cell>
        </row>
        <row r="1297">
          <cell r="A1297" t="str">
            <v>30DTV1194A</v>
          </cell>
          <cell r="B1297" t="str">
            <v>ESFUERZO CAMPESINO</v>
          </cell>
          <cell r="C1297" t="str">
            <v>CONOCIDO</v>
          </cell>
          <cell r="D1297" t="str">
            <v>HERIBERTO CAMACHO TRUJILLO</v>
          </cell>
          <cell r="E1297">
            <v>64</v>
          </cell>
          <cell r="F1297">
            <v>5</v>
          </cell>
          <cell r="G1297" t="str">
            <v>LAS CHOAPAS</v>
          </cell>
          <cell r="H1297" t="str">
            <v>GRACIANO SANCHEZ</v>
          </cell>
        </row>
        <row r="1298">
          <cell r="A1298" t="str">
            <v>30DTV1695V</v>
          </cell>
          <cell r="B1298" t="str">
            <v>TELESECUNDARIA</v>
          </cell>
          <cell r="C1298" t="str">
            <v>EL CERRO S/N</v>
          </cell>
          <cell r="D1298" t="str">
            <v>JOSE ADOLFO BELTRAN CARMONA</v>
          </cell>
          <cell r="E1298">
            <v>64</v>
          </cell>
          <cell r="F1298">
            <v>5</v>
          </cell>
          <cell r="G1298" t="str">
            <v>LAS CHOAPAS</v>
          </cell>
          <cell r="H1298" t="str">
            <v>LIC. LUIS ECHEVERRIA ALVAREZ (PLAYA SANTA)</v>
          </cell>
        </row>
        <row r="1299">
          <cell r="A1299" t="str">
            <v>30DTV1544P</v>
          </cell>
          <cell r="B1299" t="str">
            <v>JUSTO SIERRA</v>
          </cell>
          <cell r="C1299" t="str">
            <v>BENITO JUAREZ S/N</v>
          </cell>
          <cell r="D1299" t="str">
            <v>NORA LAURA GIRON VALENZUELA</v>
          </cell>
          <cell r="E1299">
            <v>64</v>
          </cell>
          <cell r="F1299">
            <v>5</v>
          </cell>
          <cell r="G1299" t="str">
            <v>LAS CHOAPAS</v>
          </cell>
          <cell r="H1299" t="str">
            <v>YUCATECO EL PEDREGAL</v>
          </cell>
        </row>
        <row r="1300">
          <cell r="A1300" t="str">
            <v>30DTV1416U</v>
          </cell>
          <cell r="B1300" t="str">
            <v>AGUSTIN MELGAR</v>
          </cell>
          <cell r="C1300" t="str">
            <v>CONOCIDO</v>
          </cell>
          <cell r="D1300" t="str">
            <v>PABLO GARCIA GARCIA</v>
          </cell>
          <cell r="E1300">
            <v>64</v>
          </cell>
          <cell r="F1300">
            <v>5</v>
          </cell>
          <cell r="G1300" t="str">
            <v>LAS CHOAPAS</v>
          </cell>
          <cell r="H1300" t="str">
            <v>AQUILES SERDAN</v>
          </cell>
        </row>
        <row r="1301">
          <cell r="A1301" t="str">
            <v>30DTV1368A</v>
          </cell>
          <cell r="B1301" t="str">
            <v>JUAN ESCUTIA</v>
          </cell>
          <cell r="C1301" t="str">
            <v>CONOCIDO</v>
          </cell>
          <cell r="D1301" t="str">
            <v>SAMUEL MANUEL LOPEZ</v>
          </cell>
          <cell r="E1301">
            <v>64</v>
          </cell>
          <cell r="F1301">
            <v>5</v>
          </cell>
          <cell r="G1301" t="str">
            <v>LAS CHOAPAS</v>
          </cell>
          <cell r="H1301" t="str">
            <v>FELIPE ANGELES</v>
          </cell>
        </row>
        <row r="1302">
          <cell r="A1302" t="str">
            <v>30DTV1696U</v>
          </cell>
          <cell r="B1302" t="str">
            <v>TELESECUNDARIA</v>
          </cell>
          <cell r="C1302" t="str">
            <v>CEDRO S/N</v>
          </cell>
          <cell r="D1302" t="str">
            <v>JENNY NUVIA RAMIREZ SANTIAGO</v>
          </cell>
          <cell r="E1302">
            <v>64</v>
          </cell>
          <cell r="F1302">
            <v>5</v>
          </cell>
          <cell r="G1302" t="str">
            <v>LAS CHOAPAS</v>
          </cell>
          <cell r="H1302" t="str">
            <v>EL PLAN (HUAPACALITO)</v>
          </cell>
        </row>
        <row r="1303">
          <cell r="A1303" t="str">
            <v>30DTV1697T</v>
          </cell>
          <cell r="B1303" t="str">
            <v>TELESECUNDARIA</v>
          </cell>
          <cell r="C1303" t="str">
            <v>A UN LADO DE LA PRIMARIA</v>
          </cell>
          <cell r="D1303" t="str">
            <v>MARTIN GONZALEZ LOPEZ</v>
          </cell>
          <cell r="E1303">
            <v>64</v>
          </cell>
          <cell r="F1303">
            <v>5</v>
          </cell>
          <cell r="G1303" t="str">
            <v>LAS CHOAPAS</v>
          </cell>
          <cell r="H1303" t="str">
            <v>LA LIBERTAD</v>
          </cell>
        </row>
        <row r="1304">
          <cell r="A1304" t="str">
            <v>30DTV1472M</v>
          </cell>
          <cell r="B1304" t="str">
            <v>18 DE MARZO</v>
          </cell>
          <cell r="C1304" t="str">
            <v>CONOCIDO</v>
          </cell>
          <cell r="D1304" t="str">
            <v>OMAR ARANDA ALVARADO</v>
          </cell>
          <cell r="E1304">
            <v>64</v>
          </cell>
          <cell r="F1304">
            <v>5</v>
          </cell>
          <cell r="G1304" t="str">
            <v>LAS CHOAPAS</v>
          </cell>
          <cell r="H1304" t="str">
            <v>AMATAN</v>
          </cell>
        </row>
        <row r="1305">
          <cell r="A1305" t="str">
            <v>30DTV1714T</v>
          </cell>
          <cell r="B1305" t="str">
            <v>TELESECUNDARIA</v>
          </cell>
          <cell r="C1305" t="str">
            <v>EMILIANO ZAPATA S/N</v>
          </cell>
          <cell r="D1305" t="str">
            <v>RAUL CARBAJAL HERNANDEZ</v>
          </cell>
          <cell r="E1305">
            <v>64</v>
          </cell>
          <cell r="F1305">
            <v>5</v>
          </cell>
          <cell r="G1305" t="str">
            <v>LAS CHOAPAS</v>
          </cell>
          <cell r="H1305" t="str">
            <v>MALPASO</v>
          </cell>
        </row>
        <row r="1306">
          <cell r="A1306" t="str">
            <v>30DTV1789J</v>
          </cell>
          <cell r="B1306" t="str">
            <v>TELESECUNDARIA</v>
          </cell>
          <cell r="C1306" t="str">
            <v>AVENIDA PRINCIPAL</v>
          </cell>
          <cell r="D1306" t="str">
            <v>OSCAR MARTINEZ RODRIGUEZ</v>
          </cell>
          <cell r="E1306">
            <v>64</v>
          </cell>
          <cell r="F1306">
            <v>5</v>
          </cell>
          <cell r="G1306" t="str">
            <v>LAS CHOAPAS</v>
          </cell>
          <cell r="H1306" t="str">
            <v>LAS PALMAS</v>
          </cell>
        </row>
        <row r="1307">
          <cell r="A1307" t="str">
            <v>30DTV1320H</v>
          </cell>
          <cell r="B1307" t="str">
            <v>NICOLAS BRAVO</v>
          </cell>
          <cell r="C1307" t="str">
            <v>FRANCISCO I. MADERO S/N</v>
          </cell>
          <cell r="D1307" t="str">
            <v>FRANCISCO JAVIER GARCIA RAMOS</v>
          </cell>
          <cell r="E1307">
            <v>64</v>
          </cell>
          <cell r="F1307">
            <v>5</v>
          </cell>
          <cell r="G1307" t="str">
            <v>HIDALGOTITLAN</v>
          </cell>
          <cell r="H1307" t="str">
            <v>ADALBERTO TEJEDA</v>
          </cell>
        </row>
        <row r="1308">
          <cell r="A1308" t="str">
            <v>30DTV0734Z</v>
          </cell>
          <cell r="B1308" t="str">
            <v>FRAY JUAN DE ZUMARRAGA</v>
          </cell>
          <cell r="C1308" t="str">
            <v>INDEPENDENCIA S/N</v>
          </cell>
          <cell r="D1308" t="str">
            <v>MARIA GARCIA JUAREZ</v>
          </cell>
          <cell r="E1308">
            <v>64</v>
          </cell>
          <cell r="F1308">
            <v>5</v>
          </cell>
          <cell r="G1308" t="str">
            <v>HIDALGOTITLAN</v>
          </cell>
          <cell r="H1308" t="str">
            <v>ARROYO DE LA PALMA</v>
          </cell>
        </row>
        <row r="1309">
          <cell r="A1309" t="str">
            <v>30DTV1474K</v>
          </cell>
          <cell r="B1309" t="str">
            <v>CARLOS A. CARRILLO</v>
          </cell>
          <cell r="C1309" t="str">
            <v>CONOCIDO</v>
          </cell>
          <cell r="D1309" t="str">
            <v>ROSALBA GARRIDO AGUSTIN</v>
          </cell>
          <cell r="E1309">
            <v>64</v>
          </cell>
          <cell r="F1309">
            <v>5</v>
          </cell>
          <cell r="G1309" t="str">
            <v>HIDALGOTITLAN</v>
          </cell>
          <cell r="H1309" t="str">
            <v>LA ESPERANZA</v>
          </cell>
        </row>
        <row r="1310">
          <cell r="A1310" t="str">
            <v>30DTV0735Z</v>
          </cell>
          <cell r="B1310" t="str">
            <v>INDEPENDENCIA</v>
          </cell>
          <cell r="C1310" t="str">
            <v>CONOCIDO</v>
          </cell>
          <cell r="D1310" t="str">
            <v>ERIKA JASEL GARCIA CANDANEDO</v>
          </cell>
          <cell r="E1310">
            <v>64</v>
          </cell>
          <cell r="F1310">
            <v>5</v>
          </cell>
          <cell r="G1310" t="str">
            <v>HIDALGOTITLAN</v>
          </cell>
          <cell r="H1310" t="str">
            <v>LICENCIADO GABRIEL RAMOS MILLAN</v>
          </cell>
        </row>
        <row r="1311">
          <cell r="A1311" t="str">
            <v>30DTV1061K</v>
          </cell>
          <cell r="B1311" t="str">
            <v>FRANCISCO I. MADERO</v>
          </cell>
          <cell r="C1311" t="str">
            <v>HECTOR LOPEZ S/N</v>
          </cell>
          <cell r="D1311" t="str">
            <v>EDY FRANCISCO CORTES</v>
          </cell>
          <cell r="E1311">
            <v>64</v>
          </cell>
          <cell r="F1311">
            <v>5</v>
          </cell>
          <cell r="G1311" t="str">
            <v>HIDALGOTITLAN</v>
          </cell>
          <cell r="H1311" t="str">
            <v>PRIMERO DE MAYO</v>
          </cell>
        </row>
        <row r="1312">
          <cell r="A1312" t="str">
            <v>30DTV0121B</v>
          </cell>
          <cell r="B1312" t="str">
            <v>JOSE VASCONCELOS</v>
          </cell>
          <cell r="C1312" t="str">
            <v>VAZQUEZ CHAGOYA NUM. 3</v>
          </cell>
          <cell r="D1312" t="str">
            <v>OLGA GONZALEZ VARGAS</v>
          </cell>
          <cell r="E1312">
            <v>64</v>
          </cell>
          <cell r="F1312">
            <v>5</v>
          </cell>
          <cell r="G1312" t="str">
            <v>HIDALGOTITLAN</v>
          </cell>
          <cell r="H1312" t="str">
            <v>VICENTE GUERRERO</v>
          </cell>
        </row>
        <row r="1313">
          <cell r="A1313" t="str">
            <v>30DTV1190E</v>
          </cell>
          <cell r="B1313" t="str">
            <v>EMILIANO ZAPATA</v>
          </cell>
          <cell r="C1313" t="str">
            <v>CONOCIDO</v>
          </cell>
          <cell r="D1313" t="str">
            <v>MARICRUZ FLORES MONTERO</v>
          </cell>
          <cell r="E1313">
            <v>64</v>
          </cell>
          <cell r="F1313">
            <v>5</v>
          </cell>
          <cell r="G1313" t="str">
            <v>MINATITLAN</v>
          </cell>
          <cell r="H1313" t="str">
            <v>BENITO JUAREZ</v>
          </cell>
        </row>
        <row r="1314">
          <cell r="A1314" t="str">
            <v>30DTV1476I</v>
          </cell>
          <cell r="B1314" t="str">
            <v>LAZARO CARDENAS DEL RIO</v>
          </cell>
          <cell r="C1314" t="str">
            <v>CONOCIDO</v>
          </cell>
          <cell r="D1314" t="str">
            <v>ANGELA LILIANA CANO AMADOR</v>
          </cell>
          <cell r="E1314">
            <v>64</v>
          </cell>
          <cell r="F1314">
            <v>5</v>
          </cell>
          <cell r="G1314" t="str">
            <v>MINATITLAN</v>
          </cell>
          <cell r="H1314" t="str">
            <v>CEIBA BONITA</v>
          </cell>
        </row>
        <row r="1315">
          <cell r="A1315" t="str">
            <v>30DTV1249N</v>
          </cell>
          <cell r="B1315" t="str">
            <v>NIÐOS HEROES DE CHAPULTEPEC</v>
          </cell>
          <cell r="C1315" t="str">
            <v>CONOCIDO</v>
          </cell>
          <cell r="D1315" t="str">
            <v>JULIETA JIMENEZ PALACIOS</v>
          </cell>
          <cell r="E1315">
            <v>64</v>
          </cell>
          <cell r="F1315">
            <v>5</v>
          </cell>
          <cell r="G1315" t="str">
            <v>MINATITLAN</v>
          </cell>
          <cell r="H1315" t="str">
            <v>LA CONCEPCION</v>
          </cell>
        </row>
        <row r="1316">
          <cell r="A1316" t="str">
            <v>30DTV1369Z</v>
          </cell>
          <cell r="B1316" t="str">
            <v>LAS AMERICAS</v>
          </cell>
          <cell r="C1316" t="str">
            <v>CONOCIDO</v>
          </cell>
          <cell r="D1316" t="str">
            <v>MARIA CRISTINA VICTORIANO GONZALEZ</v>
          </cell>
          <cell r="E1316">
            <v>64</v>
          </cell>
          <cell r="F1316">
            <v>5</v>
          </cell>
          <cell r="G1316" t="str">
            <v>MINATITLAN</v>
          </cell>
          <cell r="H1316" t="str">
            <v>FRANCISCO I. MADERO</v>
          </cell>
        </row>
        <row r="1317">
          <cell r="A1317" t="str">
            <v>30DTV0995L</v>
          </cell>
          <cell r="B1317" t="str">
            <v>PRIMERO DE MAYO</v>
          </cell>
          <cell r="C1317" t="str">
            <v>CONOCIDO</v>
          </cell>
          <cell r="D1317" t="str">
            <v>HECTOR FRANCISCO HERNANDEZ GALLARDO</v>
          </cell>
          <cell r="E1317">
            <v>64</v>
          </cell>
          <cell r="F1317">
            <v>5</v>
          </cell>
          <cell r="G1317" t="str">
            <v>MINATITLAN</v>
          </cell>
          <cell r="H1317" t="str">
            <v>FRANCITA</v>
          </cell>
        </row>
        <row r="1318">
          <cell r="A1318" t="str">
            <v>30DTV0592S</v>
          </cell>
          <cell r="B1318" t="str">
            <v>MIGUEL LERDO DE TEJADA</v>
          </cell>
          <cell r="C1318" t="str">
            <v>ELFREGO MORALES TERAN S/N</v>
          </cell>
          <cell r="D1318" t="str">
            <v>ADAN MORGADO MENDOZA</v>
          </cell>
          <cell r="E1318">
            <v>64</v>
          </cell>
          <cell r="F1318">
            <v>5</v>
          </cell>
          <cell r="G1318" t="str">
            <v>MINATITLAN</v>
          </cell>
          <cell r="H1318" t="str">
            <v>GUSTAVO DIAZ ORDAZ</v>
          </cell>
        </row>
        <row r="1319">
          <cell r="A1319" t="str">
            <v>30DTV1025F</v>
          </cell>
          <cell r="B1319" t="str">
            <v>LAZARO CARDENAS DEL RIO</v>
          </cell>
          <cell r="C1319" t="str">
            <v>GENERAL LAZARO CARDENAS</v>
          </cell>
          <cell r="D1319" t="str">
            <v>GUADALUPE TORRES HERNANDEZ</v>
          </cell>
          <cell r="E1319">
            <v>64</v>
          </cell>
          <cell r="F1319">
            <v>5</v>
          </cell>
          <cell r="G1319" t="str">
            <v>MINATITLAN</v>
          </cell>
          <cell r="H1319" t="str">
            <v>IXHUATEPEC (PASO DEL CHIPILE)</v>
          </cell>
        </row>
        <row r="1320">
          <cell r="A1320" t="str">
            <v>30DTV1126D</v>
          </cell>
          <cell r="B1320" t="str">
            <v>RAFAEL RAMIREZ CASTAÐEDA</v>
          </cell>
          <cell r="C1320" t="str">
            <v>CONOCIDO</v>
          </cell>
          <cell r="D1320" t="str">
            <v>ROSA MARGARITA CORTES GARCIA</v>
          </cell>
          <cell r="E1320">
            <v>64</v>
          </cell>
          <cell r="F1320">
            <v>5</v>
          </cell>
          <cell r="G1320" t="str">
            <v>MINATITLAN</v>
          </cell>
          <cell r="H1320" t="str">
            <v>CARRIZAL CINCO DE FEBRERO</v>
          </cell>
        </row>
        <row r="1321">
          <cell r="A1321" t="str">
            <v>30DTV1087S</v>
          </cell>
          <cell r="B1321" t="str">
            <v>IGNACIO ZARAGOZA</v>
          </cell>
          <cell r="C1321" t="str">
            <v>CONOCIDO</v>
          </cell>
          <cell r="D1321" t="str">
            <v>HORTENCIA MARTINEZ RODRIGUEZ</v>
          </cell>
          <cell r="E1321">
            <v>64</v>
          </cell>
          <cell r="F1321">
            <v>5</v>
          </cell>
          <cell r="G1321" t="str">
            <v>MINATITLAN</v>
          </cell>
          <cell r="H1321" t="str">
            <v>CAROLINO ANAYA RAMIREZ</v>
          </cell>
        </row>
        <row r="1322">
          <cell r="A1322" t="str">
            <v>30DTV0593R</v>
          </cell>
          <cell r="B1322" t="str">
            <v>MIGUEL ALEMAN VALDES</v>
          </cell>
          <cell r="C1322" t="str">
            <v>MANUEL AVILA CAMACHO S/N</v>
          </cell>
          <cell r="D1322" t="str">
            <v>DENIS FABIOLA GARCIA ALONSO</v>
          </cell>
          <cell r="E1322">
            <v>64</v>
          </cell>
          <cell r="F1322">
            <v>5</v>
          </cell>
          <cell r="G1322" t="str">
            <v>MINATITLAN</v>
          </cell>
          <cell r="H1322" t="str">
            <v>FERNANDO LOPEZ ARIAS</v>
          </cell>
        </row>
        <row r="1323">
          <cell r="A1323" t="str">
            <v>30DTV0595P</v>
          </cell>
          <cell r="B1323" t="str">
            <v>CUAUHTEMOC</v>
          </cell>
          <cell r="C1323" t="str">
            <v>CONOCIDO</v>
          </cell>
          <cell r="D1323" t="str">
            <v>ANDRES CRODA ORTEGA</v>
          </cell>
          <cell r="E1323">
            <v>64</v>
          </cell>
          <cell r="F1323">
            <v>5</v>
          </cell>
          <cell r="G1323" t="str">
            <v>MINATITLAN</v>
          </cell>
          <cell r="H1323" t="str">
            <v>NUEVO ATOYAC</v>
          </cell>
        </row>
        <row r="1324">
          <cell r="A1324" t="str">
            <v>30DTV1546N</v>
          </cell>
          <cell r="B1324" t="str">
            <v>TELESECUNDARIA</v>
          </cell>
          <cell r="C1324" t="str">
            <v>CONOCIDO</v>
          </cell>
          <cell r="D1324" t="str">
            <v>MARIANA CRUZ OSORIO</v>
          </cell>
          <cell r="E1324">
            <v>64</v>
          </cell>
          <cell r="F1324">
            <v>5</v>
          </cell>
          <cell r="G1324" t="str">
            <v>MINATITLAN</v>
          </cell>
          <cell r="H1324" t="str">
            <v>PUEBLO VIEJO (KILOMETRO CUATRO)</v>
          </cell>
        </row>
        <row r="1325">
          <cell r="A1325" t="str">
            <v>30DTV1188Q</v>
          </cell>
          <cell r="B1325" t="str">
            <v>16 DE SEPTIEMBRE</v>
          </cell>
          <cell r="C1325" t="str">
            <v>CONOCIDO</v>
          </cell>
          <cell r="D1325" t="str">
            <v>OFELIA CRUZ CASTELLANOS</v>
          </cell>
          <cell r="E1325">
            <v>64</v>
          </cell>
          <cell r="F1325">
            <v>5</v>
          </cell>
          <cell r="G1325" t="str">
            <v>MINATITLAN</v>
          </cell>
          <cell r="H1325" t="str">
            <v>LA REFORMA</v>
          </cell>
        </row>
        <row r="1326">
          <cell r="A1326" t="str">
            <v>30DTV0746E</v>
          </cell>
          <cell r="B1326" t="str">
            <v>MARIA ARIAS BERNAL</v>
          </cell>
          <cell r="C1326" t="str">
            <v>PROLONGACION DE MELCHOR OCAMPO S/N</v>
          </cell>
          <cell r="D1326" t="str">
            <v>SURY SARAHI REYES MOY</v>
          </cell>
          <cell r="E1326">
            <v>64</v>
          </cell>
          <cell r="F1326">
            <v>5</v>
          </cell>
          <cell r="G1326" t="str">
            <v>MOLOACAN</v>
          </cell>
          <cell r="H1326" t="str">
            <v>MOLOACAN</v>
          </cell>
        </row>
        <row r="1327">
          <cell r="A1327" t="str">
            <v>30DTV0747D</v>
          </cell>
          <cell r="B1327" t="str">
            <v>JOSEFA ORTIZ DE DOMINGUEZ</v>
          </cell>
          <cell r="C1327" t="str">
            <v>CALLE PRINCIPAL</v>
          </cell>
          <cell r="D1327" t="str">
            <v>YOLANDA ESPINOSA DIAZ</v>
          </cell>
          <cell r="E1327">
            <v>64</v>
          </cell>
          <cell r="F1327">
            <v>5</v>
          </cell>
          <cell r="G1327" t="str">
            <v>MOLOACAN</v>
          </cell>
          <cell r="H1327" t="str">
            <v>TLACUILOLAPAN</v>
          </cell>
        </row>
        <row r="1328">
          <cell r="A1328" t="str">
            <v>30DTV1367B</v>
          </cell>
          <cell r="B1328" t="str">
            <v>LAS AMERICAS</v>
          </cell>
          <cell r="C1328" t="str">
            <v>LOMBARDO TOLEDANO S/N</v>
          </cell>
          <cell r="D1328" t="str">
            <v>LILIANA BARRA RIVERA</v>
          </cell>
          <cell r="E1328">
            <v>64</v>
          </cell>
          <cell r="F1328">
            <v>5</v>
          </cell>
          <cell r="G1328" t="str">
            <v>MOLOACAN</v>
          </cell>
          <cell r="H1328" t="str">
            <v>TRANCAS VIEJAS</v>
          </cell>
        </row>
        <row r="1329">
          <cell r="A1329" t="str">
            <v>30DTV1480V</v>
          </cell>
          <cell r="B1329" t="str">
            <v>CARMEN SERDAN</v>
          </cell>
          <cell r="C1329" t="str">
            <v>EMILIANO ZAPATA S/N</v>
          </cell>
          <cell r="D1329" t="str">
            <v>FRANCISCA DEL CARMEN GOMEZ DELGADO</v>
          </cell>
          <cell r="E1329">
            <v>64</v>
          </cell>
          <cell r="F1329">
            <v>5</v>
          </cell>
          <cell r="G1329" t="str">
            <v>MOLOACAN</v>
          </cell>
          <cell r="H1329" t="str">
            <v>EJIDO POPOTLA</v>
          </cell>
        </row>
        <row r="1330">
          <cell r="A1330" t="str">
            <v>30DTV0800I</v>
          </cell>
          <cell r="B1330" t="str">
            <v>BENITO JUAREZ GARCIA</v>
          </cell>
          <cell r="C1330" t="str">
            <v>C0NOCIDO</v>
          </cell>
          <cell r="D1330" t="str">
            <v>TERESA MENDEZ VENTURA</v>
          </cell>
          <cell r="E1330">
            <v>65</v>
          </cell>
          <cell r="F1330">
            <v>21</v>
          </cell>
          <cell r="G1330" t="str">
            <v>ALTOTONGA</v>
          </cell>
          <cell r="H1330" t="str">
            <v>ALTOTONGA</v>
          </cell>
        </row>
        <row r="1331">
          <cell r="A1331" t="str">
            <v>30DTV0924R</v>
          </cell>
          <cell r="B1331" t="str">
            <v>NIÐOS HEROES DE CHAPULTEPEC</v>
          </cell>
          <cell r="C1331" t="str">
            <v>CONOCIDO</v>
          </cell>
          <cell r="D1331" t="str">
            <v>GONZALO JUAREZ VAZQUEZ</v>
          </cell>
          <cell r="E1331">
            <v>65</v>
          </cell>
          <cell r="F1331">
            <v>21</v>
          </cell>
          <cell r="G1331" t="str">
            <v>ALTOTONGA</v>
          </cell>
          <cell r="H1331" t="str">
            <v>AHUEYAHUALCO</v>
          </cell>
        </row>
        <row r="1332">
          <cell r="A1332" t="str">
            <v>30DTV1619P</v>
          </cell>
          <cell r="B1332" t="str">
            <v>TELESECUNDARIA</v>
          </cell>
          <cell r="C1332" t="str">
            <v>FRENTE AL JARDIN DE NIÑOS</v>
          </cell>
          <cell r="D1332" t="str">
            <v>ALMA LIDIA AGUILAR SALAS</v>
          </cell>
          <cell r="E1332">
            <v>65</v>
          </cell>
          <cell r="F1332">
            <v>21</v>
          </cell>
          <cell r="G1332" t="str">
            <v>ALTOTONGA</v>
          </cell>
          <cell r="H1332" t="str">
            <v>COAHUIXTEPEC</v>
          </cell>
        </row>
        <row r="1333">
          <cell r="A1333" t="str">
            <v>30DTV1014Z</v>
          </cell>
          <cell r="B1333" t="str">
            <v>MARTIN LUTHER KING</v>
          </cell>
          <cell r="C1333" t="str">
            <v>JUNTO A LA CLINICA IMSS</v>
          </cell>
          <cell r="D1333" t="str">
            <v>MARTIN MARTINEZ JUAREZ</v>
          </cell>
          <cell r="E1333">
            <v>65</v>
          </cell>
          <cell r="F1333">
            <v>21</v>
          </cell>
          <cell r="G1333" t="str">
            <v>ALTOTONGA</v>
          </cell>
          <cell r="H1333" t="str">
            <v>CHAMPILICO</v>
          </cell>
        </row>
        <row r="1334">
          <cell r="A1334" t="str">
            <v>30DTV1099X</v>
          </cell>
          <cell r="B1334" t="str">
            <v>MANUEL FUENTES SARABIA</v>
          </cell>
          <cell r="C1334" t="str">
            <v>CONOCIDO</v>
          </cell>
          <cell r="D1334" t="str">
            <v>ALBERTO MARTINEZ APARICIO</v>
          </cell>
          <cell r="E1334">
            <v>65</v>
          </cell>
          <cell r="F1334">
            <v>21</v>
          </cell>
          <cell r="G1334" t="str">
            <v>ALTOTONGA</v>
          </cell>
          <cell r="H1334" t="str">
            <v>CHICHICAPA</v>
          </cell>
        </row>
        <row r="1335">
          <cell r="A1335" t="str">
            <v>30DTV0721W</v>
          </cell>
          <cell r="B1335" t="str">
            <v>GUADALUPE VICTORIA</v>
          </cell>
          <cell r="C1335" t="str">
            <v>CONOCIDO</v>
          </cell>
          <cell r="D1335" t="str">
            <v>MARIA CONSUELO ZAMORA LOPEZ</v>
          </cell>
          <cell r="E1335">
            <v>65</v>
          </cell>
          <cell r="F1335">
            <v>21</v>
          </cell>
          <cell r="G1335" t="str">
            <v>ALTOTONGA</v>
          </cell>
          <cell r="H1335" t="str">
            <v>LA ESTANZUELA</v>
          </cell>
        </row>
        <row r="1336">
          <cell r="A1336" t="str">
            <v>30DTV1295Z</v>
          </cell>
          <cell r="B1336" t="str">
            <v>OCTAVIO PAZ</v>
          </cell>
          <cell r="C1336" t="str">
            <v>CONOCIDO</v>
          </cell>
          <cell r="D1336" t="str">
            <v>ENRIQUE ALONSO VILLEGAS ORTEGA</v>
          </cell>
          <cell r="E1336">
            <v>65</v>
          </cell>
          <cell r="F1336">
            <v>21</v>
          </cell>
          <cell r="G1336" t="str">
            <v>ALTOTONGA</v>
          </cell>
          <cell r="H1336" t="str">
            <v>TATEMPA</v>
          </cell>
        </row>
        <row r="1337">
          <cell r="A1337" t="str">
            <v>30DTV1589L</v>
          </cell>
          <cell r="B1337" t="str">
            <v>TELESECUNDARIA</v>
          </cell>
          <cell r="C1337" t="str">
            <v>INSTALACION ANTIGUA DE LA ESCUELA PRIMARIA</v>
          </cell>
          <cell r="D1337" t="str">
            <v>MARIA DE LA PAZ GUEVARA SANTOS</v>
          </cell>
          <cell r="E1337">
            <v>65</v>
          </cell>
          <cell r="F1337">
            <v>21</v>
          </cell>
          <cell r="G1337" t="str">
            <v>ALTOTONGA</v>
          </cell>
          <cell r="H1337" t="str">
            <v>TEZAHUAPAN DE JUAREZ</v>
          </cell>
        </row>
        <row r="1338">
          <cell r="A1338" t="str">
            <v>30DTV1033O</v>
          </cell>
          <cell r="B1338" t="str">
            <v>MOISES SAENZ GARZA</v>
          </cell>
          <cell r="C1338" t="str">
            <v>CONOCIDO</v>
          </cell>
          <cell r="D1338" t="str">
            <v>CECILIA GARCIA LARA</v>
          </cell>
          <cell r="E1338">
            <v>65</v>
          </cell>
          <cell r="F1338">
            <v>21</v>
          </cell>
          <cell r="G1338" t="str">
            <v>ALTOTONGA</v>
          </cell>
          <cell r="H1338" t="str">
            <v>XOAMPOLCO</v>
          </cell>
        </row>
        <row r="1339">
          <cell r="A1339" t="str">
            <v>30DTV1590A</v>
          </cell>
          <cell r="B1339" t="str">
            <v>BENITO JUAREZ GARCIA</v>
          </cell>
          <cell r="C1339" t="str">
            <v>JUNTO A LA AGENCIA MUNICIPAL</v>
          </cell>
          <cell r="D1339" t="str">
            <v>LUIS CARLOS FERNANDEZ HERNANDEZ</v>
          </cell>
          <cell r="E1339">
            <v>65</v>
          </cell>
          <cell r="F1339">
            <v>21</v>
          </cell>
          <cell r="G1339" t="str">
            <v>ALTOTONGA</v>
          </cell>
          <cell r="H1339" t="str">
            <v>LA VENTILLA</v>
          </cell>
        </row>
        <row r="1340">
          <cell r="A1340" t="str">
            <v>30DTV0141P</v>
          </cell>
          <cell r="B1340" t="str">
            <v>DANIEL GUZMAN GOMEZ</v>
          </cell>
          <cell r="C1340" t="str">
            <v>PALMA NUM. 4</v>
          </cell>
          <cell r="D1340" t="str">
            <v>GUADALUPE S. QUINTO DE LA CRUZ</v>
          </cell>
          <cell r="E1340">
            <v>65</v>
          </cell>
          <cell r="F1340">
            <v>21</v>
          </cell>
          <cell r="G1340" t="str">
            <v>ATZALAN</v>
          </cell>
          <cell r="H1340" t="str">
            <v>ATZALAN</v>
          </cell>
        </row>
        <row r="1341">
          <cell r="A1341" t="str">
            <v>30DTV1566A</v>
          </cell>
          <cell r="B1341" t="str">
            <v>VERACRUZ</v>
          </cell>
          <cell r="C1341" t="str">
            <v>CONOCIDO</v>
          </cell>
          <cell r="D1341" t="str">
            <v>MIRYAM GUADALUPE BARRIOS RAMIREZ</v>
          </cell>
          <cell r="E1341">
            <v>65</v>
          </cell>
          <cell r="F1341">
            <v>21</v>
          </cell>
          <cell r="G1341" t="str">
            <v>ATZALAN</v>
          </cell>
          <cell r="H1341" t="str">
            <v>ARROYO COLORADO</v>
          </cell>
        </row>
        <row r="1342">
          <cell r="A1342" t="str">
            <v>30DTV1594X</v>
          </cell>
          <cell r="B1342" t="str">
            <v>PAULO FREIRE</v>
          </cell>
          <cell r="C1342" t="str">
            <v>SALON SOCIAL</v>
          </cell>
          <cell r="D1342" t="str">
            <v>ROSARIO MORALES BANDALA</v>
          </cell>
          <cell r="E1342">
            <v>65</v>
          </cell>
          <cell r="F1342">
            <v>21</v>
          </cell>
          <cell r="G1342" t="str">
            <v>ATZALAN</v>
          </cell>
          <cell r="H1342" t="str">
            <v>CHACHALACA</v>
          </cell>
        </row>
        <row r="1343">
          <cell r="A1343" t="str">
            <v>30DTV1015Z</v>
          </cell>
          <cell r="B1343" t="str">
            <v>CUAUHTEMOC</v>
          </cell>
          <cell r="C1343" t="str">
            <v>CARRETERA A ZAPOTITLAN</v>
          </cell>
          <cell r="D1343" t="str">
            <v>LUZ MARIA RAMIREZ BENAVIDES</v>
          </cell>
          <cell r="E1343">
            <v>65</v>
          </cell>
          <cell r="F1343">
            <v>21</v>
          </cell>
          <cell r="G1343" t="str">
            <v>ATZALAN</v>
          </cell>
          <cell r="H1343" t="str">
            <v>ICTZICTIC</v>
          </cell>
        </row>
        <row r="1344">
          <cell r="A1344" t="str">
            <v>30DTV0788D</v>
          </cell>
          <cell r="B1344" t="str">
            <v>DIEGO RIVERA</v>
          </cell>
          <cell r="C1344" t="str">
            <v>CONOCIDO</v>
          </cell>
          <cell r="D1344" t="str">
            <v>CESAR GRACTANO HERNANDEZ GUEVERA</v>
          </cell>
          <cell r="E1344">
            <v>65</v>
          </cell>
          <cell r="F1344">
            <v>21</v>
          </cell>
          <cell r="G1344" t="str">
            <v>ATZALAN</v>
          </cell>
          <cell r="H1344" t="str">
            <v>NAPOALA</v>
          </cell>
        </row>
        <row r="1345">
          <cell r="A1345" t="str">
            <v>30DTV1598T</v>
          </cell>
          <cell r="B1345" t="str">
            <v>CUITLAHUAC</v>
          </cell>
          <cell r="C1345" t="str">
            <v>SALON SOCIAL</v>
          </cell>
          <cell r="D1345" t="str">
            <v>GREGORIO PEÑA CARRILLOZ</v>
          </cell>
          <cell r="E1345">
            <v>65</v>
          </cell>
          <cell r="F1345">
            <v>21</v>
          </cell>
          <cell r="G1345" t="str">
            <v>ATZALAN</v>
          </cell>
          <cell r="H1345" t="str">
            <v>SOMPAZOL</v>
          </cell>
        </row>
        <row r="1346">
          <cell r="A1346" t="str">
            <v>30DTV0928N</v>
          </cell>
          <cell r="B1346" t="str">
            <v>RAFAEL HERNANDEZ OCHOA</v>
          </cell>
          <cell r="C1346" t="str">
            <v>CONOCIDO</v>
          </cell>
          <cell r="D1346" t="str">
            <v>FERNANDO ANGELES PADILLA</v>
          </cell>
          <cell r="E1346">
            <v>65</v>
          </cell>
          <cell r="F1346">
            <v>21</v>
          </cell>
          <cell r="G1346" t="str">
            <v>ATZALAN</v>
          </cell>
          <cell r="H1346" t="str">
            <v>TAZOLAPA</v>
          </cell>
        </row>
        <row r="1347">
          <cell r="A1347" t="str">
            <v>30DTV0201N</v>
          </cell>
          <cell r="B1347" t="str">
            <v>ENRIQUE C. REBSAMEN</v>
          </cell>
          <cell r="C1347" t="str">
            <v>CONOCIDO</v>
          </cell>
          <cell r="D1347" t="str">
            <v>RAFAEL GARCIA LAGUNES</v>
          </cell>
          <cell r="E1347">
            <v>65</v>
          </cell>
          <cell r="F1347">
            <v>21</v>
          </cell>
          <cell r="G1347" t="str">
            <v>ATZALAN</v>
          </cell>
          <cell r="H1347" t="str">
            <v>ZAPOTITLAN</v>
          </cell>
        </row>
        <row r="1348">
          <cell r="A1348" t="str">
            <v>30DTV1560G</v>
          </cell>
          <cell r="B1348" t="str">
            <v>ANTONIO CASO</v>
          </cell>
          <cell r="C1348" t="str">
            <v>CONOCIDO</v>
          </cell>
          <cell r="D1348" t="str">
            <v>EPIGMENIO BENAVIDES DE LA ROSA</v>
          </cell>
          <cell r="E1348">
            <v>65</v>
          </cell>
          <cell r="F1348">
            <v>21</v>
          </cell>
          <cell r="G1348" t="str">
            <v>ATZALAN</v>
          </cell>
          <cell r="H1348" t="str">
            <v>LA NORIA (ARRIERAL)</v>
          </cell>
        </row>
        <row r="1349">
          <cell r="A1349" t="str">
            <v>30DTV1386Q</v>
          </cell>
          <cell r="B1349" t="str">
            <v>ARTURO CENTELLA MAYER</v>
          </cell>
          <cell r="C1349" t="str">
            <v>CONOCIDO</v>
          </cell>
          <cell r="D1349" t="str">
            <v>CRISPIN HERNANDEZ ALFONSO</v>
          </cell>
          <cell r="E1349">
            <v>65</v>
          </cell>
          <cell r="F1349">
            <v>21</v>
          </cell>
          <cell r="G1349" t="str">
            <v>JALACINGO</v>
          </cell>
          <cell r="H1349" t="str">
            <v>CALPULALPAN</v>
          </cell>
        </row>
        <row r="1350">
          <cell r="A1350" t="str">
            <v>30DTV1013A</v>
          </cell>
          <cell r="B1350" t="str">
            <v>JAIME NUNO</v>
          </cell>
          <cell r="C1350" t="str">
            <v>JUNTO A LA CLINICA IMSS</v>
          </cell>
          <cell r="D1350" t="str">
            <v>CLEOFAS CASTELAN LOPEZ</v>
          </cell>
          <cell r="E1350">
            <v>65</v>
          </cell>
          <cell r="F1350">
            <v>21</v>
          </cell>
          <cell r="G1350" t="str">
            <v>JALACINGO</v>
          </cell>
          <cell r="H1350" t="str">
            <v>MIGUEL HIDALGO</v>
          </cell>
        </row>
        <row r="1351">
          <cell r="A1351" t="str">
            <v>30DTV1388O</v>
          </cell>
          <cell r="B1351" t="str">
            <v>JACINTO CANEK</v>
          </cell>
          <cell r="C1351" t="str">
            <v>CONOCIDO</v>
          </cell>
          <cell r="D1351" t="str">
            <v>MARIA DE LOS ANGELES ALARCON HERNANDEZ</v>
          </cell>
          <cell r="E1351">
            <v>65</v>
          </cell>
          <cell r="F1351">
            <v>21</v>
          </cell>
          <cell r="G1351" t="str">
            <v>JALACINGO</v>
          </cell>
          <cell r="H1351" t="str">
            <v>OCOTEPEC</v>
          </cell>
        </row>
        <row r="1352">
          <cell r="A1352" t="str">
            <v>30DTV1387P</v>
          </cell>
          <cell r="B1352" t="str">
            <v>AMALIA GONZALEZ CABALLERO</v>
          </cell>
          <cell r="C1352" t="str">
            <v>CONOCIDO</v>
          </cell>
          <cell r="D1352" t="str">
            <v>KATINA RAMIREZ VELASCO</v>
          </cell>
          <cell r="E1352">
            <v>65</v>
          </cell>
          <cell r="F1352">
            <v>21</v>
          </cell>
          <cell r="G1352" t="str">
            <v>JALACINGO</v>
          </cell>
          <cell r="H1352" t="str">
            <v>FCO. BARRIENTOS Y BARRIENTOS (SANTA ANITA)</v>
          </cell>
        </row>
        <row r="1353">
          <cell r="A1353" t="str">
            <v>30DTV0554P</v>
          </cell>
          <cell r="B1353" t="str">
            <v>TIERRA Y LIBERTAD</v>
          </cell>
          <cell r="C1353" t="str">
            <v>A UN LADO DEL CEMENTERIO</v>
          </cell>
          <cell r="D1353" t="str">
            <v>MARTHA LETICIA DE LUNA GUZMAN</v>
          </cell>
          <cell r="E1353">
            <v>66</v>
          </cell>
          <cell r="F1353">
            <v>22</v>
          </cell>
          <cell r="G1353" t="str">
            <v>CAMARON DE TEJEDA</v>
          </cell>
          <cell r="H1353" t="str">
            <v>LA MESTIZA</v>
          </cell>
        </row>
        <row r="1354">
          <cell r="A1354" t="str">
            <v>30DTV0388H</v>
          </cell>
          <cell r="B1354" t="str">
            <v>ANTONIO CASO</v>
          </cell>
          <cell r="C1354" t="str">
            <v>A LA SALIDA DE LA COMUNIDAD</v>
          </cell>
          <cell r="D1354" t="str">
            <v>ARTURO LARA RODRIGUEZ</v>
          </cell>
          <cell r="E1354">
            <v>66</v>
          </cell>
          <cell r="F1354">
            <v>22</v>
          </cell>
          <cell r="G1354" t="str">
            <v>ALVARADO</v>
          </cell>
          <cell r="H1354" t="str">
            <v>EL BAYO</v>
          </cell>
        </row>
        <row r="1355">
          <cell r="A1355" t="str">
            <v>30DTV0353S</v>
          </cell>
          <cell r="B1355" t="str">
            <v>NICOLAS BRAVO</v>
          </cell>
          <cell r="C1355" t="str">
            <v>KILOMETRO 60 CARRETERA VERACRUZ-CORDOBA</v>
          </cell>
          <cell r="D1355" t="str">
            <v>MARIA LUISA GONZALEZ BERNABE</v>
          </cell>
          <cell r="E1355">
            <v>66</v>
          </cell>
          <cell r="F1355">
            <v>22</v>
          </cell>
          <cell r="G1355" t="str">
            <v>COTAXTLA</v>
          </cell>
          <cell r="H1355" t="str">
            <v>LA TINAJA</v>
          </cell>
        </row>
        <row r="1356">
          <cell r="A1356" t="str">
            <v>30DTV0715L</v>
          </cell>
          <cell r="B1356" t="str">
            <v>JOSE VASCONCELOS</v>
          </cell>
          <cell r="C1356" t="str">
            <v>A UN LADO DEL JARDIN DE NIÑOS</v>
          </cell>
          <cell r="D1356" t="str">
            <v>ULISES RAMSES LARA COLL</v>
          </cell>
          <cell r="E1356">
            <v>66</v>
          </cell>
          <cell r="F1356">
            <v>22</v>
          </cell>
          <cell r="G1356" t="str">
            <v>JAMAPA</v>
          </cell>
          <cell r="H1356" t="str">
            <v>EL ZACATAL</v>
          </cell>
        </row>
        <row r="1357">
          <cell r="A1357" t="str">
            <v>30DTV0589E</v>
          </cell>
          <cell r="B1357" t="str">
            <v>NIÑOS HEROES DE CHAPULTEPEC</v>
          </cell>
          <cell r="C1357" t="str">
            <v>JUNTO AL TANQUE DE AGUA</v>
          </cell>
          <cell r="D1357" t="str">
            <v>ARACELI HUERTA PEÑAFLOR</v>
          </cell>
          <cell r="E1357">
            <v>66</v>
          </cell>
          <cell r="F1357">
            <v>22</v>
          </cell>
          <cell r="G1357" t="str">
            <v>MANLIO FABIO ALTAMIRANO</v>
          </cell>
          <cell r="H1357" t="str">
            <v>MATA LOMA</v>
          </cell>
        </row>
        <row r="1358">
          <cell r="A1358" t="str">
            <v>30DTV0287J</v>
          </cell>
          <cell r="B1358" t="str">
            <v>LAZARO CARDENAS DEL RIO</v>
          </cell>
          <cell r="C1358" t="str">
            <v>A UN LADO DE LA IGLESIA</v>
          </cell>
          <cell r="D1358" t="str">
            <v>JANNETE MARIA ACOSTA CERDA</v>
          </cell>
          <cell r="E1358">
            <v>66</v>
          </cell>
          <cell r="F1358">
            <v>22</v>
          </cell>
          <cell r="G1358" t="str">
            <v>PASO DE OVEJAS</v>
          </cell>
          <cell r="H1358" t="str">
            <v>POZO DE MATA RAMIREZ</v>
          </cell>
        </row>
        <row r="1359">
          <cell r="A1359" t="str">
            <v>30DTV1074O</v>
          </cell>
          <cell r="B1359" t="str">
            <v>JOSE MARTI</v>
          </cell>
          <cell r="C1359" t="str">
            <v>CALLE PRINCIPAL A 200 METROS DE LA CARRETERA</v>
          </cell>
          <cell r="D1359" t="str">
            <v>CESAR CAMILO MUJICA CANO</v>
          </cell>
          <cell r="E1359">
            <v>66</v>
          </cell>
          <cell r="F1359">
            <v>22</v>
          </cell>
          <cell r="G1359" t="str">
            <v>TLALIXCOYAN</v>
          </cell>
          <cell r="H1359" t="str">
            <v>EL REMOLINO</v>
          </cell>
        </row>
        <row r="1360">
          <cell r="A1360" t="str">
            <v>30DTV1047R</v>
          </cell>
          <cell r="B1360" t="str">
            <v>CONCEPCION LOSADA PRIETO</v>
          </cell>
          <cell r="C1360" t="str">
            <v>CALLE JACARANDA MANZANA 41</v>
          </cell>
          <cell r="D1360" t="str">
            <v>JOSE PRETELIN POUCHOULEN</v>
          </cell>
          <cell r="E1360">
            <v>66</v>
          </cell>
          <cell r="F1360">
            <v>22</v>
          </cell>
          <cell r="G1360" t="str">
            <v>VERACRUZ</v>
          </cell>
          <cell r="H1360" t="str">
            <v>VERACRUZ</v>
          </cell>
        </row>
        <row r="1361">
          <cell r="A1361" t="str">
            <v>30DTV1142V</v>
          </cell>
          <cell r="B1361" t="str">
            <v>HEBERTO CASTILLO</v>
          </cell>
          <cell r="C1361" t="str">
            <v>AVENIDA KIWI S/N RESERVA 1</v>
          </cell>
          <cell r="D1361" t="str">
            <v>ISABEL LARIOS CRUZ</v>
          </cell>
          <cell r="E1361">
            <v>66</v>
          </cell>
          <cell r="F1361">
            <v>22</v>
          </cell>
          <cell r="G1361" t="str">
            <v>VERACRUZ</v>
          </cell>
          <cell r="H1361" t="str">
            <v>VERACRUZ</v>
          </cell>
        </row>
        <row r="1362">
          <cell r="A1362" t="str">
            <v>30DTV1285S</v>
          </cell>
          <cell r="B1362" t="str">
            <v>JUAN RULFO</v>
          </cell>
          <cell r="C1362" t="str">
            <v>VICENTE LOMBARDO TOLEDANO S/N</v>
          </cell>
          <cell r="D1362" t="str">
            <v>ANTELMA SALVADOR LARA</v>
          </cell>
          <cell r="E1362">
            <v>66</v>
          </cell>
          <cell r="F1362">
            <v>22</v>
          </cell>
          <cell r="G1362" t="str">
            <v>VERACRUZ</v>
          </cell>
          <cell r="H1362" t="str">
            <v>VERACRUZ</v>
          </cell>
        </row>
        <row r="1363">
          <cell r="A1363" t="str">
            <v>30DTV1205Q</v>
          </cell>
          <cell r="B1363" t="str">
            <v>SALVADOR DIAZ MIRON</v>
          </cell>
          <cell r="C1363" t="str">
            <v>CASA DEL CAMPESINO EJIDAL</v>
          </cell>
          <cell r="D1363" t="str">
            <v>MOISES ACUðA VARGAS</v>
          </cell>
          <cell r="E1363">
            <v>66</v>
          </cell>
          <cell r="F1363">
            <v>22</v>
          </cell>
          <cell r="G1363" t="str">
            <v>VERACRUZ</v>
          </cell>
          <cell r="H1363" t="str">
            <v>BAJOS DEL JOBO (PUENTE MORENO)</v>
          </cell>
        </row>
        <row r="1364">
          <cell r="A1364" t="str">
            <v>30DTV1184U</v>
          </cell>
          <cell r="B1364" t="str">
            <v>CARMEN SERDAN</v>
          </cell>
          <cell r="C1364" t="str">
            <v>DIEGO RIVERA S/N</v>
          </cell>
          <cell r="D1364" t="str">
            <v>LUZ DEL CARMEN MORALES MONTERO</v>
          </cell>
          <cell r="E1364">
            <v>66</v>
          </cell>
          <cell r="F1364">
            <v>22</v>
          </cell>
          <cell r="G1364" t="str">
            <v>VERACRUZ</v>
          </cell>
          <cell r="H1364" t="str">
            <v>EJIDO VALENTE DIAZ</v>
          </cell>
        </row>
        <row r="1365">
          <cell r="A1365" t="str">
            <v>30DTV0466V</v>
          </cell>
          <cell r="B1365" t="str">
            <v>JUAN ESCUTIA MARTINEZ</v>
          </cell>
          <cell r="C1365" t="str">
            <v>YUCATAN Y TABASCO NUM. 1</v>
          </cell>
          <cell r="D1365" t="str">
            <v>ADITAIM MARQUEZ ORTEGA</v>
          </cell>
          <cell r="E1365">
            <v>67</v>
          </cell>
          <cell r="F1365">
            <v>8</v>
          </cell>
          <cell r="G1365" t="str">
            <v>ACTOPAN</v>
          </cell>
          <cell r="H1365" t="str">
            <v>EL VIEJON VIEJO</v>
          </cell>
        </row>
        <row r="1366">
          <cell r="A1366" t="str">
            <v>30DTV0114S</v>
          </cell>
          <cell r="B1366" t="str">
            <v>BENITO JUAREZ GARCIA</v>
          </cell>
          <cell r="C1366" t="str">
            <v>BENITO JUAREZ S/N</v>
          </cell>
          <cell r="D1366" t="str">
            <v>FRANCISCO VARGAS MENDEZ</v>
          </cell>
          <cell r="E1366">
            <v>67</v>
          </cell>
          <cell r="F1366">
            <v>8</v>
          </cell>
          <cell r="G1366" t="str">
            <v>ALTO LUCERO DE GUTIERREZ BARRIOS</v>
          </cell>
          <cell r="H1366" t="str">
            <v>PALMA SOLA</v>
          </cell>
        </row>
        <row r="1367">
          <cell r="A1367" t="str">
            <v>30DTV1017X</v>
          </cell>
          <cell r="B1367" t="str">
            <v>JOSE VASCONCELOS</v>
          </cell>
          <cell r="C1367" t="str">
            <v>AVENIDA CRISTO REY CALLE LINDA VISTA S/N</v>
          </cell>
          <cell r="D1367" t="str">
            <v>JUAN CARLOS TINOCO CUERVO</v>
          </cell>
          <cell r="E1367">
            <v>67</v>
          </cell>
          <cell r="F1367">
            <v>8</v>
          </cell>
          <cell r="G1367" t="str">
            <v>ALTO LUCERO DE GUTIERREZ BARRIOS</v>
          </cell>
          <cell r="H1367" t="str">
            <v>PALMA SOLA</v>
          </cell>
        </row>
        <row r="1368">
          <cell r="A1368" t="str">
            <v>30DTV0077E</v>
          </cell>
          <cell r="B1368" t="str">
            <v>AQUILES SERDAN</v>
          </cell>
          <cell r="C1368" t="str">
            <v>CONOCIDO</v>
          </cell>
          <cell r="D1368" t="str">
            <v>ENRIQUE ARCOS CAMPOS</v>
          </cell>
          <cell r="E1368">
            <v>67</v>
          </cell>
          <cell r="F1368">
            <v>8</v>
          </cell>
          <cell r="G1368" t="str">
            <v>ALTO LUCERO DE GUTIERREZ BARRIOS</v>
          </cell>
          <cell r="H1368" t="str">
            <v>SANTA ANA</v>
          </cell>
        </row>
        <row r="1369">
          <cell r="A1369" t="str">
            <v>30DTV0091Y</v>
          </cell>
          <cell r="B1369" t="str">
            <v>JOSE MARIA MORELOS Y PAVON</v>
          </cell>
          <cell r="C1369" t="str">
            <v>CONOCIDO</v>
          </cell>
          <cell r="D1369" t="str">
            <v>JOSE ADAN LOPEZ MORALES</v>
          </cell>
          <cell r="E1369">
            <v>67</v>
          </cell>
          <cell r="F1369">
            <v>8</v>
          </cell>
          <cell r="G1369" t="str">
            <v>ALTO LUCERO DE GUTIERREZ BARRIOS</v>
          </cell>
          <cell r="H1369" t="str">
            <v>VILLA CANDELARIA</v>
          </cell>
        </row>
        <row r="1370">
          <cell r="A1370" t="str">
            <v>30DTV0818H</v>
          </cell>
          <cell r="B1370" t="str">
            <v>EL SIERVO DE LA NACION</v>
          </cell>
          <cell r="C1370" t="str">
            <v>CALLE PRINCIPAL</v>
          </cell>
          <cell r="D1370" t="str">
            <v>ARMANDO TIRADO PEREZ</v>
          </cell>
          <cell r="E1370">
            <v>67</v>
          </cell>
          <cell r="F1370">
            <v>8</v>
          </cell>
          <cell r="G1370" t="str">
            <v>NAUTLA</v>
          </cell>
          <cell r="H1370" t="str">
            <v>EL CIERVO (SAN JOSE BUENAVISTA)</v>
          </cell>
        </row>
        <row r="1371">
          <cell r="A1371" t="str">
            <v>30DTV0188J</v>
          </cell>
          <cell r="B1371" t="str">
            <v>ADOLFO RUIZ CORTINES</v>
          </cell>
          <cell r="C1371" t="str">
            <v>LAZARO CARDENAS S/N</v>
          </cell>
          <cell r="D1371" t="str">
            <v>FULGENCIO EUGENIO RIVERA HERNANDEZ</v>
          </cell>
          <cell r="E1371">
            <v>67</v>
          </cell>
          <cell r="F1371">
            <v>8</v>
          </cell>
          <cell r="G1371" t="str">
            <v>VEGA DE ALATORRE</v>
          </cell>
          <cell r="H1371" t="str">
            <v>VEGA DE ALATORRE</v>
          </cell>
        </row>
        <row r="1372">
          <cell r="A1372" t="str">
            <v>30DTV0468T</v>
          </cell>
          <cell r="B1372" t="str">
            <v>CUAUHTEMOC</v>
          </cell>
          <cell r="C1372" t="str">
            <v>CONOCIDO</v>
          </cell>
          <cell r="D1372" t="str">
            <v>HECTOR RAUL JUAREZ VAZQUEZ</v>
          </cell>
          <cell r="E1372">
            <v>67</v>
          </cell>
          <cell r="F1372">
            <v>8</v>
          </cell>
          <cell r="G1372" t="str">
            <v>VEGA DE ALATORRE</v>
          </cell>
          <cell r="H1372" t="str">
            <v>LAS HIGUERAS</v>
          </cell>
        </row>
        <row r="1373">
          <cell r="A1373" t="str">
            <v>30DTV0312S</v>
          </cell>
          <cell r="B1373" t="str">
            <v>RICARDO FLORES MAGON</v>
          </cell>
          <cell r="C1373" t="str">
            <v>EMILIANO ZAPATA</v>
          </cell>
          <cell r="D1373" t="str">
            <v>JOSE LUIS JUAREZ MENDOZA</v>
          </cell>
          <cell r="E1373">
            <v>67</v>
          </cell>
          <cell r="F1373">
            <v>8</v>
          </cell>
          <cell r="G1373" t="str">
            <v>VEGA DE ALATORRE</v>
          </cell>
          <cell r="H1373" t="str">
            <v>LOMA BONITA (URSULO GALVAN)</v>
          </cell>
        </row>
        <row r="1374">
          <cell r="A1374" t="str">
            <v>30DTV0302L</v>
          </cell>
          <cell r="B1374" t="str">
            <v>JUSTO SIERRA</v>
          </cell>
          <cell r="C1374" t="str">
            <v>CONOCIDO</v>
          </cell>
          <cell r="D1374" t="str">
            <v>ARIEL AGUILAR VAZQUEZ</v>
          </cell>
          <cell r="E1374">
            <v>67</v>
          </cell>
          <cell r="F1374">
            <v>8</v>
          </cell>
          <cell r="G1374" t="str">
            <v>VEGA DE ALATORRE</v>
          </cell>
          <cell r="H1374" t="str">
            <v>LA MARTINICA (ARROYO GRANDE PRIMERO)</v>
          </cell>
        </row>
        <row r="1375">
          <cell r="A1375" t="str">
            <v>30DTV0917H</v>
          </cell>
          <cell r="B1375" t="str">
            <v>ALVARO GALVEZ Y FUENTES</v>
          </cell>
          <cell r="C1375" t="str">
            <v>CONOCIDO</v>
          </cell>
          <cell r="D1375" t="str">
            <v>ALEJANDRINO MONTERO CASTILLO</v>
          </cell>
          <cell r="E1375">
            <v>67</v>
          </cell>
          <cell r="F1375">
            <v>8</v>
          </cell>
          <cell r="G1375" t="str">
            <v>VEGA DE ALATORRE</v>
          </cell>
          <cell r="H1375" t="str">
            <v>TACAHUITE VIEJO</v>
          </cell>
        </row>
        <row r="1376">
          <cell r="A1376" t="str">
            <v>30DTV0036E</v>
          </cell>
          <cell r="B1376" t="str">
            <v>MIGUEL HIDALGO Y COSTILLA</v>
          </cell>
          <cell r="C1376" t="str">
            <v>IMSS SOLIDARIDAD ESQUINA B. DOMINGUEZ</v>
          </cell>
          <cell r="D1376" t="str">
            <v>JAVIER ARENAS HERNANDEZ</v>
          </cell>
          <cell r="E1376">
            <v>68</v>
          </cell>
          <cell r="F1376">
            <v>6</v>
          </cell>
          <cell r="G1376" t="str">
            <v>COYUTLA</v>
          </cell>
          <cell r="H1376" t="str">
            <v>EL PASO DE COYUTLA</v>
          </cell>
        </row>
        <row r="1377">
          <cell r="A1377" t="str">
            <v>30DTV1227B</v>
          </cell>
          <cell r="B1377" t="str">
            <v>MANUEL ALTAMIRANO</v>
          </cell>
          <cell r="C1377" t="str">
            <v>CONOCIDO</v>
          </cell>
          <cell r="D1377" t="str">
            <v>ELIZABETH SALAZAR CASADOS</v>
          </cell>
          <cell r="E1377">
            <v>68</v>
          </cell>
          <cell r="F1377">
            <v>6</v>
          </cell>
          <cell r="G1377" t="str">
            <v>COYUTLA</v>
          </cell>
          <cell r="H1377" t="str">
            <v>SAN MARCOS</v>
          </cell>
        </row>
        <row r="1378">
          <cell r="A1378" t="str">
            <v>30DTV0513P</v>
          </cell>
          <cell r="B1378" t="str">
            <v>IGNACIO ZARAGOZA</v>
          </cell>
          <cell r="C1378" t="str">
            <v>JUNTO AL KIOSKO</v>
          </cell>
          <cell r="D1378" t="str">
            <v>HUGO AMADO PAARDO RUIZ</v>
          </cell>
          <cell r="E1378">
            <v>68</v>
          </cell>
          <cell r="F1378">
            <v>6</v>
          </cell>
          <cell r="G1378" t="str">
            <v>PAPANTLA</v>
          </cell>
          <cell r="H1378" t="str">
            <v>CARISTAY</v>
          </cell>
        </row>
        <row r="1379">
          <cell r="A1379" t="str">
            <v>30DTV0600K</v>
          </cell>
          <cell r="B1379" t="str">
            <v>BENITO JUAREZ GARCIA</v>
          </cell>
          <cell r="C1379" t="str">
            <v>ATRAS DE ESCUELA PRIMARIA</v>
          </cell>
          <cell r="D1379" t="str">
            <v>MARIO ZAPATA PEREZ</v>
          </cell>
          <cell r="E1379">
            <v>68</v>
          </cell>
          <cell r="F1379">
            <v>6</v>
          </cell>
          <cell r="G1379" t="str">
            <v>PAPANTLA</v>
          </cell>
          <cell r="H1379" t="str">
            <v>EL PALMAR KILOMETRO 40</v>
          </cell>
        </row>
        <row r="1380">
          <cell r="A1380" t="str">
            <v>30DTV0704F</v>
          </cell>
          <cell r="B1380" t="str">
            <v>ARTICULO TERCERO</v>
          </cell>
          <cell r="C1380" t="str">
            <v>MIGUEL HIDALGO ESQUINA SANTA</v>
          </cell>
          <cell r="D1380" t="str">
            <v>ELENA GUZMAN VAZQUEZ</v>
          </cell>
          <cell r="E1380">
            <v>68</v>
          </cell>
          <cell r="F1380">
            <v>6</v>
          </cell>
          <cell r="G1380" t="str">
            <v>POZA RICA DE HIDALGO</v>
          </cell>
          <cell r="H1380" t="str">
            <v>POZA RICA DE HIDALGO</v>
          </cell>
        </row>
        <row r="1381">
          <cell r="A1381" t="str">
            <v>30DTV0993N</v>
          </cell>
          <cell r="B1381" t="str">
            <v>JOSE VASCONCELOS</v>
          </cell>
          <cell r="C1381" t="str">
            <v>FRENTE AL CAMPO DEPORTIVO</v>
          </cell>
          <cell r="D1381" t="str">
            <v>JUAN JOSE PATIðO BLANCO</v>
          </cell>
          <cell r="E1381">
            <v>68</v>
          </cell>
          <cell r="F1381">
            <v>6</v>
          </cell>
          <cell r="G1381" t="str">
            <v>TIHUATLAN</v>
          </cell>
          <cell r="H1381" t="str">
            <v>ANTONIO M. QUIRASCO</v>
          </cell>
        </row>
        <row r="1382">
          <cell r="A1382" t="str">
            <v>30DTV1346P</v>
          </cell>
          <cell r="B1382" t="str">
            <v>CUAUHTEMOC</v>
          </cell>
          <cell r="C1382" t="str">
            <v>CONOCIDO</v>
          </cell>
          <cell r="D1382" t="str">
            <v>HERIBERTO TRONCO MARTINEZ</v>
          </cell>
          <cell r="E1382">
            <v>68</v>
          </cell>
          <cell r="F1382">
            <v>6</v>
          </cell>
          <cell r="G1382" t="str">
            <v>TIHUATLAN</v>
          </cell>
          <cell r="H1382" t="str">
            <v>BENITO JUAREZ (CUAUHTEMOC)</v>
          </cell>
        </row>
        <row r="1383">
          <cell r="A1383" t="str">
            <v>30DTV0355Q</v>
          </cell>
          <cell r="B1383" t="str">
            <v>ADOLFO LOPEZ MATEOS</v>
          </cell>
          <cell r="C1383" t="str">
            <v>JUNTO AL PANTEON</v>
          </cell>
          <cell r="D1383" t="str">
            <v>DANIEL JUAN HUERTA LOPEZ</v>
          </cell>
          <cell r="E1383">
            <v>68</v>
          </cell>
          <cell r="F1383">
            <v>6</v>
          </cell>
          <cell r="G1383" t="str">
            <v>TIHUATLAN</v>
          </cell>
          <cell r="H1383" t="str">
            <v>EMILIANO ZAPATA (LA BOMBA)</v>
          </cell>
        </row>
        <row r="1384">
          <cell r="A1384" t="str">
            <v>30DTV0354R</v>
          </cell>
          <cell r="B1384" t="str">
            <v>SOR JUANA INES DE LA CRUZ</v>
          </cell>
          <cell r="C1384" t="str">
            <v>CARRETERA MEX-TUXPAN KILOMETRO 6</v>
          </cell>
          <cell r="D1384" t="str">
            <v>CARLOSFLORES FUENTES</v>
          </cell>
          <cell r="E1384">
            <v>68</v>
          </cell>
          <cell r="F1384">
            <v>6</v>
          </cell>
          <cell r="G1384" t="str">
            <v>TIHUATLAN</v>
          </cell>
          <cell r="H1384" t="str">
            <v>GENERAL LAZARO CARDENAS DEL RIO</v>
          </cell>
        </row>
        <row r="1385">
          <cell r="A1385" t="str">
            <v>30DTV0839U</v>
          </cell>
          <cell r="B1385" t="str">
            <v>HUITZILIHUITL</v>
          </cell>
          <cell r="C1385" t="str">
            <v>FRENTE AL CAMPO DEPORTIVO</v>
          </cell>
          <cell r="D1385" t="str">
            <v>APOLONIO FLORES BAUTISTA</v>
          </cell>
          <cell r="E1385">
            <v>68</v>
          </cell>
          <cell r="F1385">
            <v>6</v>
          </cell>
          <cell r="G1385" t="str">
            <v>TIHUATLAN</v>
          </cell>
          <cell r="H1385" t="str">
            <v>PALO DE ROSA</v>
          </cell>
        </row>
        <row r="1386">
          <cell r="A1386" t="str">
            <v>30DTV0458M</v>
          </cell>
          <cell r="B1386" t="str">
            <v>IGNACIO RAMIREZ</v>
          </cell>
          <cell r="C1386" t="str">
            <v>JUNTO AL CAMPO DEPORTIVO</v>
          </cell>
          <cell r="D1386" t="str">
            <v>ELIAS BARRIENTOS TORRES</v>
          </cell>
          <cell r="E1386">
            <v>68</v>
          </cell>
          <cell r="F1386">
            <v>6</v>
          </cell>
          <cell r="G1386" t="str">
            <v>TIHUATLAN</v>
          </cell>
          <cell r="H1386" t="str">
            <v>POZA AZUL DE LOS REYES</v>
          </cell>
        </row>
        <row r="1387">
          <cell r="A1387" t="str">
            <v>30DTV1749I</v>
          </cell>
          <cell r="B1387" t="str">
            <v>VERACRUZ</v>
          </cell>
          <cell r="C1387" t="str">
            <v>CALLE PRINCIPAL DE RANCHO NUEVO</v>
          </cell>
          <cell r="D1387" t="str">
            <v>IRERI PEREZ RAMIREZ</v>
          </cell>
          <cell r="E1387">
            <v>68</v>
          </cell>
          <cell r="F1387">
            <v>6</v>
          </cell>
          <cell r="G1387" t="str">
            <v>TIHUATLAN</v>
          </cell>
          <cell r="H1387" t="str">
            <v>RANCHO NUEVO</v>
          </cell>
        </row>
        <row r="1388">
          <cell r="A1388" t="str">
            <v>30DTV0841I</v>
          </cell>
          <cell r="B1388" t="str">
            <v>BENITO JUAREZ GARCIA</v>
          </cell>
          <cell r="C1388" t="str">
            <v>JUNTO A LA CLINICA COPLAMAR</v>
          </cell>
          <cell r="D1388" t="str">
            <v>MIGUEL ANGEL ORTEGA MAR</v>
          </cell>
          <cell r="E1388">
            <v>68</v>
          </cell>
          <cell r="F1388">
            <v>6</v>
          </cell>
          <cell r="G1388" t="str">
            <v>TIHUATLAN</v>
          </cell>
          <cell r="H1388" t="str">
            <v>ZAPOTAL SANTA CRUZ</v>
          </cell>
        </row>
        <row r="1389">
          <cell r="A1389" t="str">
            <v>30DTV1649J</v>
          </cell>
          <cell r="B1389" t="str">
            <v>RAMON LOPEZ VELARDE</v>
          </cell>
          <cell r="C1389" t="str">
            <v>CALLE PRINCIPAL S/N</v>
          </cell>
          <cell r="D1389" t="str">
            <v>CESAR MARTINEZ HERNANDEZ</v>
          </cell>
          <cell r="E1389">
            <v>68</v>
          </cell>
          <cell r="F1389">
            <v>6</v>
          </cell>
          <cell r="G1389" t="str">
            <v>TIHUATLAN</v>
          </cell>
          <cell r="H1389" t="str">
            <v>PASO LA UNO</v>
          </cell>
        </row>
        <row r="1390">
          <cell r="A1390" t="str">
            <v>30DTV1281W</v>
          </cell>
          <cell r="B1390" t="str">
            <v>SALVADOR DIAZ MIRON</v>
          </cell>
          <cell r="C1390" t="str">
            <v>CONOCIDO</v>
          </cell>
          <cell r="D1390" t="str">
            <v>NARCISO MORENO VICENTE</v>
          </cell>
          <cell r="E1390">
            <v>68</v>
          </cell>
          <cell r="F1390">
            <v>6</v>
          </cell>
          <cell r="G1390" t="str">
            <v>TIHUATLAN</v>
          </cell>
          <cell r="H1390" t="str">
            <v>SECTOR 5</v>
          </cell>
        </row>
        <row r="1391">
          <cell r="A1391" t="str">
            <v>30DTV0940I</v>
          </cell>
          <cell r="B1391" t="str">
            <v>JOSE MARIA PINO SUAREZ</v>
          </cell>
          <cell r="C1391" t="str">
            <v>CONOCIDO</v>
          </cell>
          <cell r="D1391" t="str">
            <v>REYNA HERNANDEZ OSORIO</v>
          </cell>
          <cell r="E1391">
            <v>69</v>
          </cell>
          <cell r="F1391">
            <v>18</v>
          </cell>
          <cell r="G1391" t="str">
            <v>CHICONTEPEC</v>
          </cell>
          <cell r="H1391" t="str">
            <v>EL MIRADOR</v>
          </cell>
        </row>
        <row r="1392">
          <cell r="A1392" t="str">
            <v>30DTV1270Q</v>
          </cell>
          <cell r="B1392" t="str">
            <v>ENRIQUE LAUBSCHER</v>
          </cell>
          <cell r="C1392" t="str">
            <v>EJIDO LA UNION</v>
          </cell>
          <cell r="D1392" t="str">
            <v>JULISSA GARCIA DE LA CRUZ</v>
          </cell>
          <cell r="E1392">
            <v>69</v>
          </cell>
          <cell r="F1392">
            <v>18</v>
          </cell>
          <cell r="G1392" t="str">
            <v>TEMAPACHE</v>
          </cell>
          <cell r="H1392" t="str">
            <v>ALAMO</v>
          </cell>
        </row>
        <row r="1393">
          <cell r="A1393" t="str">
            <v>30DTV1273N</v>
          </cell>
          <cell r="B1393" t="str">
            <v>LUIS DONALDO COLOSIO MURRIETA</v>
          </cell>
          <cell r="C1393" t="str">
            <v>CONOCIDO</v>
          </cell>
          <cell r="D1393" t="str">
            <v>MARIA IDALIA ESCOBAR RIOS</v>
          </cell>
          <cell r="E1393">
            <v>69</v>
          </cell>
          <cell r="F1393">
            <v>18</v>
          </cell>
          <cell r="G1393" t="str">
            <v>TEMAPACHE</v>
          </cell>
          <cell r="H1393" t="str">
            <v>CITLALTEPETL</v>
          </cell>
        </row>
        <row r="1394">
          <cell r="A1394" t="str">
            <v>30DTV1104S</v>
          </cell>
          <cell r="B1394" t="str">
            <v>VENUSTIANO CARRANZA</v>
          </cell>
          <cell r="C1394" t="str">
            <v>CONOCIDO</v>
          </cell>
          <cell r="D1394" t="str">
            <v>MARTIN GUSTAVO RUIZ GARCIA</v>
          </cell>
          <cell r="E1394">
            <v>69</v>
          </cell>
          <cell r="F1394">
            <v>18</v>
          </cell>
          <cell r="G1394" t="str">
            <v>TEMAPACHE</v>
          </cell>
          <cell r="H1394" t="str">
            <v>LA DEFENSA</v>
          </cell>
        </row>
        <row r="1395">
          <cell r="A1395" t="str">
            <v>30DTV0909Z</v>
          </cell>
          <cell r="B1395" t="str">
            <v>JUAN RULFO</v>
          </cell>
          <cell r="C1395" t="str">
            <v>CONOCIDO</v>
          </cell>
          <cell r="D1395" t="str">
            <v>HECTOR HERNANDEZ IBARRA</v>
          </cell>
          <cell r="E1395">
            <v>69</v>
          </cell>
          <cell r="F1395">
            <v>18</v>
          </cell>
          <cell r="G1395" t="str">
            <v>TEMAPACHE</v>
          </cell>
          <cell r="H1395" t="str">
            <v>LA ESTACION (PUERTA 7)</v>
          </cell>
        </row>
        <row r="1396">
          <cell r="A1396" t="str">
            <v>30DTV1274M</v>
          </cell>
          <cell r="B1396" t="str">
            <v>SALVADOR DIAZ MIRON</v>
          </cell>
          <cell r="C1396" t="str">
            <v>CONOCIDO</v>
          </cell>
          <cell r="D1396" t="str">
            <v>SARA ANGELES RAMIREZ</v>
          </cell>
          <cell r="E1396">
            <v>69</v>
          </cell>
          <cell r="F1396">
            <v>18</v>
          </cell>
          <cell r="G1396" t="str">
            <v>TEMAPACHE</v>
          </cell>
          <cell r="H1396" t="str">
            <v>EL FORTIN</v>
          </cell>
        </row>
        <row r="1397">
          <cell r="A1397" t="str">
            <v>30DTV0677Z</v>
          </cell>
          <cell r="B1397" t="str">
            <v>MARIANO MATAMOROS</v>
          </cell>
          <cell r="C1397" t="str">
            <v>CONOCIDO</v>
          </cell>
          <cell r="D1397" t="str">
            <v>MARIA ELISA MARTINEZ GONZALEZ</v>
          </cell>
          <cell r="E1397">
            <v>69</v>
          </cell>
          <cell r="F1397">
            <v>18</v>
          </cell>
          <cell r="G1397" t="str">
            <v>TEMAPACHE</v>
          </cell>
          <cell r="H1397" t="str">
            <v>LA GRANADILLA</v>
          </cell>
        </row>
        <row r="1398">
          <cell r="A1398" t="str">
            <v>30DTV1151C</v>
          </cell>
          <cell r="B1398" t="str">
            <v>ALVARO GALVEZ Y FUENTES</v>
          </cell>
          <cell r="C1398" t="str">
            <v>CONOCIDO</v>
          </cell>
          <cell r="D1398" t="str">
            <v>OFELIA SARAHYD GARCIA ARELLANO</v>
          </cell>
          <cell r="E1398">
            <v>69</v>
          </cell>
          <cell r="F1398">
            <v>18</v>
          </cell>
          <cell r="G1398" t="str">
            <v>TEMAPACHE</v>
          </cell>
          <cell r="H1398" t="str">
            <v>KILOMETRO TREINTA Y TRES (PASO REAL)</v>
          </cell>
        </row>
        <row r="1399">
          <cell r="A1399" t="str">
            <v>30DTV1396X</v>
          </cell>
          <cell r="B1399" t="str">
            <v>HERMENEGILDO GALEANA</v>
          </cell>
          <cell r="C1399" t="str">
            <v>CONOCIDO</v>
          </cell>
          <cell r="D1399" t="str">
            <v>EDGAR ELOY CORTEZ REYES</v>
          </cell>
          <cell r="E1399">
            <v>69</v>
          </cell>
          <cell r="F1399">
            <v>18</v>
          </cell>
          <cell r="G1399" t="str">
            <v>TEMAPACHE</v>
          </cell>
          <cell r="H1399" t="str">
            <v>LA NORIA</v>
          </cell>
        </row>
        <row r="1400">
          <cell r="A1400" t="str">
            <v>30DTV0180R</v>
          </cell>
          <cell r="B1400" t="str">
            <v>ALFONSO ARROYO FLORES</v>
          </cell>
          <cell r="C1400" t="str">
            <v>CONOCIDO</v>
          </cell>
          <cell r="D1400" t="str">
            <v>TERESA DE JESUS JUNCAL MEDINA</v>
          </cell>
          <cell r="E1400">
            <v>69</v>
          </cell>
          <cell r="F1400">
            <v>18</v>
          </cell>
          <cell r="G1400" t="str">
            <v>TEMAPACHE</v>
          </cell>
          <cell r="H1400" t="str">
            <v>OTATAL</v>
          </cell>
        </row>
        <row r="1401">
          <cell r="A1401" t="str">
            <v>30DTV1106Q</v>
          </cell>
          <cell r="B1401" t="str">
            <v>ANTONIO CASO</v>
          </cell>
          <cell r="C1401" t="str">
            <v>CONOCIDO</v>
          </cell>
          <cell r="D1401" t="str">
            <v>MIRIAM LOPEZ CHAVEZ</v>
          </cell>
          <cell r="E1401">
            <v>69</v>
          </cell>
          <cell r="F1401">
            <v>18</v>
          </cell>
          <cell r="G1401" t="str">
            <v>TEMAPACHE</v>
          </cell>
          <cell r="H1401" t="str">
            <v>LA PIEDRA ENCONTRADA (FLORIDA)</v>
          </cell>
        </row>
        <row r="1402">
          <cell r="A1402" t="str">
            <v>30DTV0976X</v>
          </cell>
          <cell r="B1402" t="str">
            <v>DON BENITO JUAREZ GARCIA</v>
          </cell>
          <cell r="C1402" t="str">
            <v>POR LA GALERA PUBLICA</v>
          </cell>
          <cell r="D1402" t="str">
            <v>CARLOS RODRIGUEZ CASTILLO</v>
          </cell>
          <cell r="E1402">
            <v>69</v>
          </cell>
          <cell r="F1402">
            <v>18</v>
          </cell>
          <cell r="G1402" t="str">
            <v>TEMAPACHE</v>
          </cell>
          <cell r="H1402" t="str">
            <v>RAUDAL NUEVO</v>
          </cell>
        </row>
        <row r="1403">
          <cell r="A1403" t="str">
            <v>30DTV0371H</v>
          </cell>
          <cell r="B1403" t="str">
            <v>JOSEFA ORTIZ DE DOMINGUEZ</v>
          </cell>
          <cell r="C1403" t="str">
            <v>CALLE PRINCIPAL S/N</v>
          </cell>
          <cell r="D1403" t="str">
            <v>HORACIO BAEZ LEON</v>
          </cell>
          <cell r="E1403">
            <v>69</v>
          </cell>
          <cell r="F1403">
            <v>18</v>
          </cell>
          <cell r="G1403" t="str">
            <v>TEMAPACHE</v>
          </cell>
          <cell r="H1403" t="str">
            <v>VEGAS DE LA SOLEDAD Y SOLEDAD DOS</v>
          </cell>
        </row>
        <row r="1404">
          <cell r="A1404" t="str">
            <v>30DTV0836X</v>
          </cell>
          <cell r="B1404" t="str">
            <v>LIC. MIGUEL ALEMAN VALDES</v>
          </cell>
          <cell r="C1404" t="str">
            <v>CONOCIDO</v>
          </cell>
          <cell r="D1404" t="str">
            <v>MARIA JUANA PUENTE DE LA CRUZ</v>
          </cell>
          <cell r="E1404">
            <v>69</v>
          </cell>
          <cell r="F1404">
            <v>18</v>
          </cell>
          <cell r="G1404" t="str">
            <v>TEMAPACHE</v>
          </cell>
          <cell r="H1404" t="str">
            <v>TAMATOCO</v>
          </cell>
        </row>
        <row r="1405">
          <cell r="A1405" t="str">
            <v>30DTV0620Y</v>
          </cell>
          <cell r="B1405" t="str">
            <v>SOR JUANA INES DE LA CRUZ</v>
          </cell>
          <cell r="C1405" t="str">
            <v>ENTRADA POR OJITE</v>
          </cell>
          <cell r="D1405" t="str">
            <v>ALBERTO VALDEZ  ALAMILLO</v>
          </cell>
          <cell r="E1405">
            <v>69</v>
          </cell>
          <cell r="F1405">
            <v>18</v>
          </cell>
          <cell r="G1405" t="str">
            <v>TEMAPACHE</v>
          </cell>
          <cell r="H1405" t="str">
            <v>TUMBADERO DEL AGUILA</v>
          </cell>
        </row>
        <row r="1406">
          <cell r="A1406" t="str">
            <v>30DTV1275L</v>
          </cell>
          <cell r="B1406" t="str">
            <v>SOR JUANA INES DE LA CRUZ</v>
          </cell>
          <cell r="C1406" t="str">
            <v>CONOCIDO</v>
          </cell>
          <cell r="D1406" t="str">
            <v>JUANA ISABEL REYES PAZARAN</v>
          </cell>
          <cell r="E1406">
            <v>69</v>
          </cell>
          <cell r="F1406">
            <v>18</v>
          </cell>
          <cell r="G1406" t="str">
            <v>TEMAPACHE</v>
          </cell>
          <cell r="H1406" t="str">
            <v>VENUSTIANO CARRANZA</v>
          </cell>
        </row>
        <row r="1407">
          <cell r="A1407" t="str">
            <v>30DTV1108O</v>
          </cell>
          <cell r="B1407" t="str">
            <v>NEFTALI ESTRADA AZUARA</v>
          </cell>
          <cell r="C1407" t="str">
            <v>CONOCIDO</v>
          </cell>
          <cell r="D1407" t="str">
            <v>FRANCISCO GARCIA INFANTE</v>
          </cell>
          <cell r="E1407">
            <v>69</v>
          </cell>
          <cell r="F1407">
            <v>18</v>
          </cell>
          <cell r="G1407" t="str">
            <v>TEMAPACHE</v>
          </cell>
          <cell r="H1407" t="str">
            <v>LAS FLORES CINCO POBLADOS</v>
          </cell>
        </row>
        <row r="1408">
          <cell r="A1408" t="str">
            <v>30DTV1523C</v>
          </cell>
          <cell r="B1408" t="str">
            <v>SALVADOR NOVO</v>
          </cell>
          <cell r="C1408" t="str">
            <v>CONOCIDO</v>
          </cell>
          <cell r="D1408" t="str">
            <v>RUBEN TORAL ZARATE</v>
          </cell>
          <cell r="E1408">
            <v>69</v>
          </cell>
          <cell r="F1408">
            <v>18</v>
          </cell>
          <cell r="G1408" t="str">
            <v>TIHUATLAN</v>
          </cell>
          <cell r="H1408" t="str">
            <v>TECOMATE</v>
          </cell>
        </row>
        <row r="1409">
          <cell r="A1409" t="str">
            <v>30DTV0088K</v>
          </cell>
          <cell r="B1409" t="str">
            <v>ROSARIO CASTELLANOS</v>
          </cell>
          <cell r="C1409" t="str">
            <v>ISIDRO MUÑOZ ESQUINA CALLE DEL MAESTRO</v>
          </cell>
          <cell r="D1409" t="str">
            <v>MARIA GUADALUPE MARTINEZ SERNA</v>
          </cell>
          <cell r="E1409">
            <v>70</v>
          </cell>
          <cell r="F1409">
            <v>10</v>
          </cell>
          <cell r="G1409" t="str">
            <v>TIERRA BLANCA</v>
          </cell>
          <cell r="H1409" t="str">
            <v>TIERRA BLANCA</v>
          </cell>
        </row>
        <row r="1410">
          <cell r="A1410" t="str">
            <v>30DTV0435B</v>
          </cell>
          <cell r="B1410" t="str">
            <v>ALFONSO ARROYO FLORES</v>
          </cell>
          <cell r="C1410" t="str">
            <v>CONOCIDO</v>
          </cell>
          <cell r="D1410" t="str">
            <v>CASTO LEON GONZALEZ</v>
          </cell>
          <cell r="E1410">
            <v>70</v>
          </cell>
          <cell r="F1410">
            <v>10</v>
          </cell>
          <cell r="G1410" t="str">
            <v>TIERRA BLANCA</v>
          </cell>
          <cell r="H1410" t="str">
            <v>BARAHUNDA</v>
          </cell>
        </row>
        <row r="1411">
          <cell r="A1411" t="str">
            <v>30DTV1748J</v>
          </cell>
          <cell r="B1411" t="str">
            <v>TELESECUNDARIA</v>
          </cell>
          <cell r="C1411" t="str">
            <v>CALLE PRINCIPAL S/N</v>
          </cell>
          <cell r="D1411" t="str">
            <v>ANTONIO ORTEGA ORTEGA</v>
          </cell>
          <cell r="E1411">
            <v>70</v>
          </cell>
          <cell r="F1411">
            <v>10</v>
          </cell>
          <cell r="G1411" t="str">
            <v>TIERRA BLANCA</v>
          </cell>
          <cell r="H1411" t="str">
            <v>LOS LEONES</v>
          </cell>
        </row>
        <row r="1412">
          <cell r="A1412" t="str">
            <v>30DTV0276D</v>
          </cell>
          <cell r="B1412" t="str">
            <v>18 DE MARZO</v>
          </cell>
          <cell r="C1412" t="str">
            <v>CONOCIDO</v>
          </cell>
          <cell r="D1412" t="str">
            <v>CESAR LOYOLA GARCIA</v>
          </cell>
          <cell r="E1412">
            <v>70</v>
          </cell>
          <cell r="F1412">
            <v>10</v>
          </cell>
          <cell r="G1412" t="str">
            <v>TIERRA BLANCA</v>
          </cell>
          <cell r="H1412" t="str">
            <v>LOMA DEL MANANTIAL</v>
          </cell>
        </row>
        <row r="1413">
          <cell r="A1413" t="str">
            <v>30DTV0424W</v>
          </cell>
          <cell r="B1413" t="str">
            <v>MIGUEL ALEMAN VALDES</v>
          </cell>
          <cell r="C1413" t="str">
            <v>CONOCIDO</v>
          </cell>
          <cell r="D1413" t="str">
            <v>PABLO ALMANZA MONTERO</v>
          </cell>
          <cell r="E1413">
            <v>70</v>
          </cell>
          <cell r="F1413">
            <v>10</v>
          </cell>
          <cell r="G1413" t="str">
            <v>TIERRA BLANCA</v>
          </cell>
          <cell r="H1413" t="str">
            <v>EL MORAL</v>
          </cell>
        </row>
        <row r="1414">
          <cell r="A1414" t="str">
            <v>30DTV0517L</v>
          </cell>
          <cell r="B1414" t="str">
            <v>MIGUEL HIDALGO Y COSTILLA</v>
          </cell>
          <cell r="C1414" t="str">
            <v>CONOCIDO JUNTO A LA CARRETERA</v>
          </cell>
          <cell r="D1414" t="str">
            <v>JOSE LUIS LOPEZ ALARCON</v>
          </cell>
          <cell r="E1414">
            <v>70</v>
          </cell>
          <cell r="F1414">
            <v>10</v>
          </cell>
          <cell r="G1414" t="str">
            <v>TIERRA BLANCA</v>
          </cell>
          <cell r="H1414" t="str">
            <v>EL PORVENIR</v>
          </cell>
        </row>
        <row r="1415">
          <cell r="A1415" t="str">
            <v>30DTV0889B</v>
          </cell>
          <cell r="B1415" t="str">
            <v>NICOLAS BRAVO</v>
          </cell>
          <cell r="C1415" t="str">
            <v>CALLE PRINCIPAL</v>
          </cell>
          <cell r="D1415" t="str">
            <v>EDGAR ARTURO PORTILLA GONGORA</v>
          </cell>
          <cell r="E1415">
            <v>70</v>
          </cell>
          <cell r="F1415">
            <v>10</v>
          </cell>
          <cell r="G1415" t="str">
            <v>TIERRA BLANCA</v>
          </cell>
          <cell r="H1415" t="str">
            <v>SAN NICOLAS</v>
          </cell>
        </row>
        <row r="1416">
          <cell r="A1416" t="str">
            <v>30DTV0890R</v>
          </cell>
          <cell r="B1416" t="str">
            <v>AMADO NERVO</v>
          </cell>
          <cell r="C1416" t="str">
            <v>FRENTE AL PARQUE</v>
          </cell>
          <cell r="D1416" t="str">
            <v>JUANA GARCIA HEREDIA</v>
          </cell>
          <cell r="E1416">
            <v>70</v>
          </cell>
          <cell r="F1416">
            <v>10</v>
          </cell>
          <cell r="G1416" t="str">
            <v>TIERRA BLANCA</v>
          </cell>
          <cell r="H1416" t="str">
            <v>LA VICTORIA (SAN JOAQUIN)</v>
          </cell>
        </row>
        <row r="1417">
          <cell r="A1417" t="str">
            <v>30DTV1134M</v>
          </cell>
          <cell r="B1417" t="str">
            <v>20 DE NOVIEMBRE DE 1910</v>
          </cell>
          <cell r="C1417" t="str">
            <v>CALLE PRINCIPAL</v>
          </cell>
          <cell r="D1417" t="str">
            <v>IVETT JUDITH SANCHEZ ACOSTA</v>
          </cell>
          <cell r="E1417">
            <v>70</v>
          </cell>
          <cell r="F1417">
            <v>10</v>
          </cell>
          <cell r="G1417" t="str">
            <v>TIERRA BLANCA</v>
          </cell>
          <cell r="H1417" t="str">
            <v>LA ATALAYA</v>
          </cell>
        </row>
        <row r="1418">
          <cell r="A1418" t="str">
            <v>30DTV0982H</v>
          </cell>
          <cell r="B1418" t="str">
            <v>SEBASTIAN LERDO DE TEJADA</v>
          </cell>
          <cell r="C1418" t="str">
            <v>CALLE PRINCIPAL</v>
          </cell>
          <cell r="D1418" t="str">
            <v>HECTOR MORALES TINOCO</v>
          </cell>
          <cell r="E1418">
            <v>70</v>
          </cell>
          <cell r="F1418">
            <v>10</v>
          </cell>
          <cell r="G1418" t="str">
            <v>TIERRA BLANCA</v>
          </cell>
          <cell r="H1418" t="str">
            <v>POBLADO CINCO (NUEVO VILLA OJITLAN)</v>
          </cell>
        </row>
        <row r="1419">
          <cell r="A1419" t="str">
            <v>30DTV1143U</v>
          </cell>
          <cell r="B1419" t="str">
            <v>RICARDO FLORES MAGON</v>
          </cell>
          <cell r="C1419" t="str">
            <v>CALLE PRINCIPAL</v>
          </cell>
          <cell r="D1419" t="str">
            <v>CLEMENTE CORTEZ VALENCIA</v>
          </cell>
          <cell r="E1419">
            <v>70</v>
          </cell>
          <cell r="F1419">
            <v>10</v>
          </cell>
          <cell r="G1419" t="str">
            <v>TIERRA BLANCA</v>
          </cell>
          <cell r="H1419" t="str">
            <v>PLAN DE VILLA</v>
          </cell>
        </row>
        <row r="1420">
          <cell r="A1420" t="str">
            <v>30DTV1133N</v>
          </cell>
          <cell r="B1420" t="str">
            <v>MANUEL MEDINA MIRANDA</v>
          </cell>
          <cell r="C1420" t="str">
            <v>CALLE PRINCIPAL</v>
          </cell>
          <cell r="D1420" t="str">
            <v>TITO MARIN CASTRO</v>
          </cell>
          <cell r="E1420">
            <v>70</v>
          </cell>
          <cell r="F1420">
            <v>10</v>
          </cell>
          <cell r="G1420" t="str">
            <v>TIERRA BLANCA</v>
          </cell>
          <cell r="H1420" t="str">
            <v>LA AMAPOLA</v>
          </cell>
        </row>
        <row r="1421">
          <cell r="A1421" t="str">
            <v>30DTV0569R</v>
          </cell>
          <cell r="B1421" t="str">
            <v>JOSE VASCONCELOS</v>
          </cell>
          <cell r="C1421" t="str">
            <v>CONOCIDO</v>
          </cell>
          <cell r="D1421" t="str">
            <v>GUILLERMO LAGUNA MONTIEL</v>
          </cell>
          <cell r="E1421">
            <v>70</v>
          </cell>
          <cell r="F1421">
            <v>10</v>
          </cell>
          <cell r="G1421" t="str">
            <v>TRES VALLES</v>
          </cell>
          <cell r="H1421" t="str">
            <v>SAN PEDRO</v>
          </cell>
        </row>
        <row r="1422">
          <cell r="A1422" t="str">
            <v>30DTV0428S</v>
          </cell>
          <cell r="B1422" t="str">
            <v>HEROES DE MEXICO</v>
          </cell>
          <cell r="C1422" t="str">
            <v>CONOCIDO</v>
          </cell>
          <cell r="D1422" t="str">
            <v>MARIA DEL ROCIO HERNANDEZ GUERRA</v>
          </cell>
          <cell r="E1422">
            <v>70</v>
          </cell>
          <cell r="F1422">
            <v>10</v>
          </cell>
          <cell r="G1422" t="str">
            <v>TRES VALLES</v>
          </cell>
          <cell r="H1422" t="str">
            <v>LAS YAGUAS</v>
          </cell>
        </row>
        <row r="1423">
          <cell r="A1423" t="str">
            <v>30DTV0324X</v>
          </cell>
          <cell r="B1423" t="str">
            <v>ROSARIO CASTELLANOS</v>
          </cell>
          <cell r="C1423" t="str">
            <v>CONOCIDO</v>
          </cell>
          <cell r="D1423" t="str">
            <v>ISIS MARGARITA ZAMUDIO ZAMUDIO</v>
          </cell>
          <cell r="E1423">
            <v>70</v>
          </cell>
          <cell r="F1423">
            <v>10</v>
          </cell>
          <cell r="G1423" t="str">
            <v>TRES VALLES</v>
          </cell>
          <cell r="H1423" t="str">
            <v>NUEVO SAN JOSE INDEPENDENCIA</v>
          </cell>
        </row>
        <row r="1424">
          <cell r="A1424" t="str">
            <v>30DTV0082Q</v>
          </cell>
          <cell r="B1424" t="str">
            <v>MELCHOR OCAMPO</v>
          </cell>
          <cell r="C1424" t="str">
            <v>FRENTE AL PARQUE</v>
          </cell>
          <cell r="D1424" t="str">
            <v>CESAR PERALTA RODRIGUEZ</v>
          </cell>
          <cell r="E1424">
            <v>71</v>
          </cell>
          <cell r="F1424">
            <v>7</v>
          </cell>
          <cell r="G1424" t="str">
            <v>GUTIERREZ ZAMORA</v>
          </cell>
          <cell r="H1424" t="str">
            <v>IGNACIO MUÑOZ (ZAPOTAL)</v>
          </cell>
        </row>
        <row r="1425">
          <cell r="A1425" t="str">
            <v>30DTV0490V</v>
          </cell>
          <cell r="B1425" t="str">
            <v>ISRAEL C. TELLEZ</v>
          </cell>
          <cell r="C1425" t="str">
            <v>SOR JUANA INES DE LA CRUZ NUM. 301</v>
          </cell>
          <cell r="D1425" t="str">
            <v>EDUARDO AGUILAR MALPICA</v>
          </cell>
          <cell r="E1425">
            <v>71</v>
          </cell>
          <cell r="F1425">
            <v>7</v>
          </cell>
          <cell r="G1425" t="str">
            <v>PAPANTLA</v>
          </cell>
          <cell r="H1425" t="str">
            <v>PAPANTLA DE OLARTE</v>
          </cell>
        </row>
        <row r="1426">
          <cell r="A1426" t="str">
            <v>30DTV1084V</v>
          </cell>
          <cell r="B1426" t="str">
            <v>RAFAEL HERNANDEZ OCHOA</v>
          </cell>
          <cell r="C1426" t="str">
            <v>CONOCIDO</v>
          </cell>
          <cell r="D1426" t="str">
            <v>RUFINA CALLEJAS HERNANDEZ</v>
          </cell>
          <cell r="E1426">
            <v>71</v>
          </cell>
          <cell r="F1426">
            <v>7</v>
          </cell>
          <cell r="G1426" t="str">
            <v>PAPANTLA</v>
          </cell>
          <cell r="H1426" t="str">
            <v>CERRO GRANDE DOS</v>
          </cell>
        </row>
        <row r="1427">
          <cell r="A1427" t="str">
            <v>30DTV0749B</v>
          </cell>
          <cell r="B1427" t="str">
            <v>CARLOS SALINAS DE GORTARI</v>
          </cell>
          <cell r="C1427" t="str">
            <v>JUNTO AL CAMPO DE FUTBOL ANSELMO PEREZ</v>
          </cell>
          <cell r="D1427" t="str">
            <v>MARIA GUADALUPE PEREZ CAMARILLO</v>
          </cell>
          <cell r="E1427">
            <v>71</v>
          </cell>
          <cell r="F1427">
            <v>7</v>
          </cell>
          <cell r="G1427" t="str">
            <v>PAPANTLA</v>
          </cell>
          <cell r="H1427" t="str">
            <v>EL CHOTE</v>
          </cell>
        </row>
        <row r="1428">
          <cell r="A1428" t="str">
            <v>30DTV0823T</v>
          </cell>
          <cell r="B1428" t="str">
            <v>EMILIANO ZAPATA</v>
          </cell>
          <cell r="C1428" t="str">
            <v>VICENTE GUERRERO S/N</v>
          </cell>
          <cell r="D1428" t="str">
            <v>ROSENDO MARCOS TICANTE</v>
          </cell>
          <cell r="E1428">
            <v>71</v>
          </cell>
          <cell r="F1428">
            <v>7</v>
          </cell>
          <cell r="G1428" t="str">
            <v>PAPANTLA</v>
          </cell>
          <cell r="H1428" t="str">
            <v>EMILIANO ZAPATA</v>
          </cell>
        </row>
        <row r="1429">
          <cell r="A1429" t="str">
            <v>30DTV0750R</v>
          </cell>
          <cell r="B1429" t="str">
            <v>EL ESCOLIN</v>
          </cell>
          <cell r="C1429" t="str">
            <v>CONOCIDO</v>
          </cell>
          <cell r="D1429" t="str">
            <v>HILARIA VAZQUEZ JOAQUIN</v>
          </cell>
          <cell r="E1429">
            <v>71</v>
          </cell>
          <cell r="F1429">
            <v>7</v>
          </cell>
          <cell r="G1429" t="str">
            <v>PAPANTLA</v>
          </cell>
          <cell r="H1429" t="str">
            <v>EL ESCOLIN</v>
          </cell>
        </row>
        <row r="1430">
          <cell r="A1430" t="str">
            <v>30DTV0685H</v>
          </cell>
          <cell r="B1430" t="str">
            <v>MIGUEL ALEMAN VALDEZ</v>
          </cell>
          <cell r="C1430" t="str">
            <v>MIGUEL ALEMAN S/N</v>
          </cell>
          <cell r="D1430" t="str">
            <v>ALFONSO BLEN JIMENEZ</v>
          </cell>
          <cell r="E1430">
            <v>71</v>
          </cell>
          <cell r="F1430">
            <v>7</v>
          </cell>
          <cell r="G1430" t="str">
            <v>PAPANTLA</v>
          </cell>
          <cell r="H1430" t="str">
            <v>MORGADAL NO. 1</v>
          </cell>
        </row>
        <row r="1431">
          <cell r="A1431" t="str">
            <v>30DTV0601J</v>
          </cell>
          <cell r="B1431" t="str">
            <v>EMILIANO ZAPATA</v>
          </cell>
          <cell r="C1431" t="str">
            <v>CARRETERA AL REMOLINO</v>
          </cell>
          <cell r="D1431" t="str">
            <v>VICENCIO PEREZ SAN MARTIN</v>
          </cell>
          <cell r="E1431">
            <v>71</v>
          </cell>
          <cell r="F1431">
            <v>7</v>
          </cell>
          <cell r="G1431" t="str">
            <v>PAPANTLA</v>
          </cell>
          <cell r="H1431" t="str">
            <v>POZA LARGA</v>
          </cell>
        </row>
        <row r="1432">
          <cell r="A1432" t="str">
            <v>30DTV0489F</v>
          </cell>
          <cell r="B1432" t="str">
            <v>TAJIN</v>
          </cell>
          <cell r="C1432" t="str">
            <v>16 DE SEPTIEMBRE</v>
          </cell>
          <cell r="D1432" t="str">
            <v>CORNELIO TORAL SANDOVAL</v>
          </cell>
          <cell r="E1432">
            <v>71</v>
          </cell>
          <cell r="F1432">
            <v>7</v>
          </cell>
          <cell r="G1432" t="str">
            <v>PAPANTLA</v>
          </cell>
          <cell r="H1432" t="str">
            <v>EL TAJIN</v>
          </cell>
        </row>
        <row r="1433">
          <cell r="A1433" t="str">
            <v>30DTV1489M</v>
          </cell>
          <cell r="B1433" t="str">
            <v>LAZARO CARDENAS DEL RIO</v>
          </cell>
          <cell r="C1433" t="str">
            <v>CONOCIDO</v>
          </cell>
          <cell r="D1433" t="str">
            <v>ZEFERINO ZAVALETA FLORES</v>
          </cell>
          <cell r="E1433">
            <v>71</v>
          </cell>
          <cell r="F1433">
            <v>7</v>
          </cell>
          <cell r="G1433" t="str">
            <v>PAPANTLA</v>
          </cell>
          <cell r="H1433" t="str">
            <v>TLAHUANAPA</v>
          </cell>
        </row>
        <row r="1434">
          <cell r="A1434" t="str">
            <v>30DTV1023H</v>
          </cell>
          <cell r="B1434" t="str">
            <v>MOISES SAENZ GARZA</v>
          </cell>
          <cell r="C1434" t="str">
            <v>FRENTE AL PALACIO MUNICIPAL</v>
          </cell>
          <cell r="D1434" t="str">
            <v>JOSEFA HERNANDEZ MATUS</v>
          </cell>
          <cell r="E1434">
            <v>71</v>
          </cell>
          <cell r="F1434">
            <v>7</v>
          </cell>
          <cell r="G1434" t="str">
            <v>PAPANTLA</v>
          </cell>
          <cell r="H1434" t="str">
            <v>TOTOMOXTLE</v>
          </cell>
        </row>
        <row r="1435">
          <cell r="A1435" t="str">
            <v>30DTV1174N</v>
          </cell>
          <cell r="B1435" t="str">
            <v>RAFAEL RAMIREZ</v>
          </cell>
          <cell r="C1435" t="str">
            <v>JOSEFA ORTIZ DE DOMINGUEZ S/N</v>
          </cell>
          <cell r="D1435" t="str">
            <v>VICTOR HUGO MEZA HERNANDEZ</v>
          </cell>
          <cell r="E1435">
            <v>71</v>
          </cell>
          <cell r="F1435">
            <v>7</v>
          </cell>
          <cell r="G1435" t="str">
            <v>PAPANTLA</v>
          </cell>
          <cell r="H1435" t="str">
            <v>EL PALMAR</v>
          </cell>
        </row>
        <row r="1436">
          <cell r="A1436" t="str">
            <v>30DTV0427T</v>
          </cell>
          <cell r="B1436" t="str">
            <v>LAZARO CARDENAS DEL RIO</v>
          </cell>
          <cell r="C1436" t="str">
            <v>5 DE MAYO S/N</v>
          </cell>
          <cell r="D1436" t="str">
            <v>CORNELIO ESPINOSA SANCHEZ</v>
          </cell>
          <cell r="E1436">
            <v>72</v>
          </cell>
          <cell r="F1436">
            <v>19</v>
          </cell>
          <cell r="G1436" t="str">
            <v>PLAYA VICENTE</v>
          </cell>
          <cell r="H1436" t="str">
            <v>ARENAL SANTA ANA</v>
          </cell>
        </row>
        <row r="1437">
          <cell r="A1437" t="str">
            <v>30DTV0965R</v>
          </cell>
          <cell r="B1437" t="str">
            <v>SIMBOLOS PATRIOS</v>
          </cell>
          <cell r="C1437" t="str">
            <v>CALLE PRINCIPAL</v>
          </cell>
          <cell r="D1437" t="str">
            <v>MARCO ANTONIO OROZCO MORALES</v>
          </cell>
          <cell r="E1437">
            <v>72</v>
          </cell>
          <cell r="F1437">
            <v>19</v>
          </cell>
          <cell r="G1437" t="str">
            <v>PLAYA VICENTE</v>
          </cell>
          <cell r="H1437" t="str">
            <v>ARROYO DEHESA</v>
          </cell>
        </row>
        <row r="1438">
          <cell r="A1438" t="str">
            <v>30DTV0964S</v>
          </cell>
          <cell r="B1438" t="str">
            <v>20 DE NOVIEMBRE</v>
          </cell>
          <cell r="C1438" t="str">
            <v>JUNTO A LA CLINICA</v>
          </cell>
          <cell r="D1438" t="str">
            <v>ALFREDO HERNANDEZ PEREZ</v>
          </cell>
          <cell r="E1438">
            <v>72</v>
          </cell>
          <cell r="F1438">
            <v>19</v>
          </cell>
          <cell r="G1438" t="str">
            <v>PLAYA VICENTE</v>
          </cell>
          <cell r="H1438" t="str">
            <v>ARROYO SAN PEDRO</v>
          </cell>
        </row>
        <row r="1439">
          <cell r="A1439" t="str">
            <v>30DTV1258V</v>
          </cell>
          <cell r="B1439" t="str">
            <v>MIGUEL ALEMAN VALDES</v>
          </cell>
          <cell r="C1439" t="str">
            <v>CONOCIDO</v>
          </cell>
          <cell r="D1439" t="str">
            <v>CARLOS SOLIS PEREZ</v>
          </cell>
          <cell r="E1439">
            <v>72</v>
          </cell>
          <cell r="F1439">
            <v>19</v>
          </cell>
          <cell r="G1439" t="str">
            <v>PLAYA VICENTE</v>
          </cell>
          <cell r="H1439" t="str">
            <v>ARROYO SECO</v>
          </cell>
        </row>
        <row r="1440">
          <cell r="A1440" t="str">
            <v>30DTV1051D</v>
          </cell>
          <cell r="B1440" t="str">
            <v>LUIS DONALDO COLOSIO MURRIETA</v>
          </cell>
          <cell r="C1440" t="str">
            <v>ESCUELA PRIMARIA</v>
          </cell>
          <cell r="D1440" t="str">
            <v>JOSE EMILIO GALAVIZ MACEGOZA</v>
          </cell>
          <cell r="E1440">
            <v>72</v>
          </cell>
          <cell r="F1440">
            <v>19</v>
          </cell>
          <cell r="G1440" t="str">
            <v>PLAYA VICENTE</v>
          </cell>
          <cell r="H1440" t="str">
            <v>GENERAL HERMENEGILDO GALEANA</v>
          </cell>
        </row>
        <row r="1441">
          <cell r="A1441" t="str">
            <v>30DTV0267W</v>
          </cell>
          <cell r="B1441" t="str">
            <v>ENRIQUE C. REBSAMEN</v>
          </cell>
          <cell r="C1441" t="str">
            <v>SOR JUANA INES DE LA CRUZ S/N</v>
          </cell>
          <cell r="D1441" t="str">
            <v>DEMETRIA PINEDA VILLANUEVA</v>
          </cell>
          <cell r="E1441">
            <v>72</v>
          </cell>
          <cell r="F1441">
            <v>19</v>
          </cell>
          <cell r="G1441" t="str">
            <v>PLAYA VICENTE</v>
          </cell>
          <cell r="H1441" t="str">
            <v>EL NIGROMANTE</v>
          </cell>
        </row>
        <row r="1442">
          <cell r="A1442" t="str">
            <v>30DTV0320A</v>
          </cell>
          <cell r="B1442" t="str">
            <v>CULTURA Y PROGRESO</v>
          </cell>
          <cell r="C1442" t="str">
            <v>JOSE MARIA MORELOS Y PAVON S/N</v>
          </cell>
          <cell r="D1442" t="str">
            <v>JOEL REYES BALBUENA</v>
          </cell>
          <cell r="E1442">
            <v>72</v>
          </cell>
          <cell r="F1442">
            <v>19</v>
          </cell>
          <cell r="G1442" t="str">
            <v>PLAYA VICENTE</v>
          </cell>
          <cell r="H1442" t="str">
            <v>NUEVO IXCATLAN</v>
          </cell>
        </row>
        <row r="1443">
          <cell r="A1443" t="str">
            <v>30DTV0493S</v>
          </cell>
          <cell r="B1443" t="str">
            <v>NICOLAS BRAVO</v>
          </cell>
          <cell r="C1443" t="str">
            <v>CONOCIDO</v>
          </cell>
          <cell r="D1443" t="str">
            <v>DEMETRIA PINEDA VILLANUEVA</v>
          </cell>
          <cell r="E1443">
            <v>72</v>
          </cell>
          <cell r="F1443">
            <v>19</v>
          </cell>
          <cell r="G1443" t="str">
            <v>PLAYA VICENTE</v>
          </cell>
          <cell r="H1443" t="str">
            <v>NUEVO RAYA CARACOL (ZANJA SECA)</v>
          </cell>
        </row>
        <row r="1444">
          <cell r="A1444" t="str">
            <v>30DTV0431F</v>
          </cell>
          <cell r="B1444" t="str">
            <v>BENITO JUAREZ GARCIA</v>
          </cell>
          <cell r="C1444" t="str">
            <v>LA CONSTITUCION S/N</v>
          </cell>
          <cell r="D1444" t="str">
            <v>JUAN CARLOS SANCHEZ CALLEJAS</v>
          </cell>
          <cell r="E1444">
            <v>72</v>
          </cell>
          <cell r="F1444">
            <v>19</v>
          </cell>
          <cell r="G1444" t="str">
            <v>PLAYA VICENTE</v>
          </cell>
          <cell r="H1444" t="str">
            <v>NUEVO SAN MARTIN</v>
          </cell>
        </row>
        <row r="1445">
          <cell r="A1445" t="str">
            <v>30DTV1073P</v>
          </cell>
          <cell r="B1445" t="str">
            <v>GABRIELA MISTRAL</v>
          </cell>
          <cell r="C1445" t="str">
            <v>CONOCIDO</v>
          </cell>
          <cell r="D1445" t="str">
            <v>JUANA EUTIMIA GARCIA HERNANDEZ</v>
          </cell>
          <cell r="E1445">
            <v>72</v>
          </cell>
          <cell r="F1445">
            <v>19</v>
          </cell>
          <cell r="G1445" t="str">
            <v>SANTIAGO SOCHIAPAN</v>
          </cell>
          <cell r="H1445" t="str">
            <v>BENITO JUAREZ</v>
          </cell>
        </row>
        <row r="1446">
          <cell r="A1446" t="str">
            <v>30DTV0717J</v>
          </cell>
          <cell r="B1446" t="str">
            <v>JOSEFA ORTIZ DE DOMINGUEZ</v>
          </cell>
          <cell r="C1446" t="str">
            <v>CALLE PRINCIPAL</v>
          </cell>
          <cell r="D1446" t="str">
            <v>FRANCISCO BLANCO CAMPOS</v>
          </cell>
          <cell r="E1446">
            <v>72</v>
          </cell>
          <cell r="F1446">
            <v>19</v>
          </cell>
          <cell r="G1446" t="str">
            <v>SANTIAGO SOCHIAPAN</v>
          </cell>
          <cell r="H1446" t="str">
            <v>LA UNION PROGRESO TATAHUICAPA</v>
          </cell>
        </row>
        <row r="1447">
          <cell r="A1447" t="str">
            <v>30DTV1259U</v>
          </cell>
          <cell r="B1447" t="str">
            <v>CUAUHTEMOC</v>
          </cell>
          <cell r="C1447" t="str">
            <v>CONOCIDO</v>
          </cell>
          <cell r="D1447" t="str">
            <v>JANIS ORTEGA MUÐOZ</v>
          </cell>
          <cell r="E1447">
            <v>72</v>
          </cell>
          <cell r="F1447">
            <v>19</v>
          </cell>
          <cell r="G1447" t="str">
            <v>SANTIAGO SOCHIAPAN</v>
          </cell>
          <cell r="H1447" t="str">
            <v>SAN GABRIEL DE LA CHINANTLA</v>
          </cell>
        </row>
        <row r="1448">
          <cell r="A1448" t="str">
            <v>30DTV0604G</v>
          </cell>
          <cell r="B1448" t="str">
            <v>VALENTIN GOMEZ FARIAS</v>
          </cell>
          <cell r="C1448" t="str">
            <v>CONOCIDO</v>
          </cell>
          <cell r="D1448" t="str">
            <v>JOSE MANUEL TRUJILLO PEREZ</v>
          </cell>
          <cell r="E1448">
            <v>72</v>
          </cell>
          <cell r="F1448">
            <v>19</v>
          </cell>
          <cell r="G1448" t="str">
            <v>SANTIAGO SOCHIAPAN</v>
          </cell>
          <cell r="H1448" t="str">
            <v>SANTA TERESA</v>
          </cell>
        </row>
        <row r="1449">
          <cell r="A1449" t="str">
            <v>30DTV0605F</v>
          </cell>
          <cell r="B1449" t="str">
            <v>EMILIANO ZAPATA</v>
          </cell>
          <cell r="C1449" t="str">
            <v>CONOCIDO</v>
          </cell>
          <cell r="D1449" t="str">
            <v>FRANCISCO J. VILLANUEVA GUEVARA</v>
          </cell>
          <cell r="E1449">
            <v>72</v>
          </cell>
          <cell r="F1449">
            <v>19</v>
          </cell>
          <cell r="G1449" t="str">
            <v>SANTIAGO SOCHIAPAN</v>
          </cell>
          <cell r="H1449" t="str">
            <v>TATAHUICAPA</v>
          </cell>
        </row>
        <row r="1450">
          <cell r="A1450" t="str">
            <v>30DTV1312Z</v>
          </cell>
          <cell r="B1450" t="str">
            <v>IGNACIO ZARAGOZA</v>
          </cell>
          <cell r="C1450" t="str">
            <v>CONOCIDO</v>
          </cell>
          <cell r="D1450" t="str">
            <v>JORGE VARGAS ESPINOSA</v>
          </cell>
          <cell r="E1450">
            <v>73</v>
          </cell>
          <cell r="F1450">
            <v>6</v>
          </cell>
          <cell r="G1450" t="str">
            <v>CAZONES</v>
          </cell>
          <cell r="H1450" t="str">
            <v>LA CEIBA</v>
          </cell>
        </row>
        <row r="1451">
          <cell r="A1451" t="str">
            <v>30DTV1345Q</v>
          </cell>
          <cell r="B1451" t="str">
            <v>FRANCISCO VILLA</v>
          </cell>
          <cell r="C1451" t="str">
            <v>CONOCIDO</v>
          </cell>
          <cell r="D1451" t="str">
            <v>AURORA MODESTO JIMENEZ</v>
          </cell>
          <cell r="E1451">
            <v>73</v>
          </cell>
          <cell r="F1451">
            <v>6</v>
          </cell>
          <cell r="G1451" t="str">
            <v>CAZONES</v>
          </cell>
          <cell r="H1451" t="str">
            <v>CRUZ BLANCA NUMERO 1</v>
          </cell>
        </row>
        <row r="1452">
          <cell r="A1452" t="str">
            <v>30DTV0510S</v>
          </cell>
          <cell r="B1452" t="str">
            <v>JOSEFA ORTIZ DE DOMINGUEZ</v>
          </cell>
          <cell r="C1452" t="str">
            <v>MANUEL AVILA CAMACHO S/N</v>
          </cell>
          <cell r="D1452" t="str">
            <v>EDGAR GARCIA ARELLANO</v>
          </cell>
          <cell r="E1452">
            <v>73</v>
          </cell>
          <cell r="F1452">
            <v>6</v>
          </cell>
          <cell r="G1452" t="str">
            <v>CAZONES</v>
          </cell>
          <cell r="H1452" t="str">
            <v>MANLIO FABIO ALTAMIRANO (KILOMETRO 25)</v>
          </cell>
        </row>
        <row r="1453">
          <cell r="A1453" t="str">
            <v>30DTV1212Z</v>
          </cell>
          <cell r="B1453" t="str">
            <v>LUIS DONALDO COLOSIO MURRIETA</v>
          </cell>
          <cell r="C1453" t="str">
            <v>CONOCIDO</v>
          </cell>
          <cell r="D1453" t="str">
            <v>JUAN JOSE RAMIREZ PUGA</v>
          </cell>
          <cell r="E1453">
            <v>73</v>
          </cell>
          <cell r="F1453">
            <v>6</v>
          </cell>
          <cell r="G1453" t="str">
            <v>CAZONES</v>
          </cell>
          <cell r="H1453" t="str">
            <v>NUEVO TEJAMANIL</v>
          </cell>
        </row>
        <row r="1454">
          <cell r="A1454" t="str">
            <v>30DTV1313Y</v>
          </cell>
          <cell r="B1454" t="str">
            <v>ALFONSO ARROYO FLORES</v>
          </cell>
          <cell r="C1454" t="str">
            <v>CONOCIDO</v>
          </cell>
          <cell r="D1454" t="str">
            <v>MAGA MIRLEY ARELLANO CRUZ</v>
          </cell>
          <cell r="E1454">
            <v>73</v>
          </cell>
          <cell r="F1454">
            <v>6</v>
          </cell>
          <cell r="G1454" t="str">
            <v>CAZONES DE HERRERA</v>
          </cell>
          <cell r="H1454" t="str">
            <v>LA PIEDAD</v>
          </cell>
        </row>
        <row r="1455">
          <cell r="A1455" t="str">
            <v>30DTV1547M</v>
          </cell>
          <cell r="B1455" t="str">
            <v>SALVADOR DIAZ MIRON</v>
          </cell>
          <cell r="C1455" t="str">
            <v>CONOCIDO</v>
          </cell>
          <cell r="D1455" t="str">
            <v>CRISOFORO PATIÐO SOSA</v>
          </cell>
          <cell r="E1455">
            <v>73</v>
          </cell>
          <cell r="F1455">
            <v>6</v>
          </cell>
          <cell r="G1455" t="str">
            <v>CAZONES</v>
          </cell>
          <cell r="H1455" t="str">
            <v>EL SAUCE</v>
          </cell>
        </row>
        <row r="1456">
          <cell r="A1456" t="str">
            <v>30DTV0290X</v>
          </cell>
          <cell r="B1456" t="str">
            <v>JUSTO SIERRA MENDEZ</v>
          </cell>
          <cell r="C1456" t="str">
            <v>FRANCISCO I. MADERO S/N</v>
          </cell>
          <cell r="D1456" t="str">
            <v>MARDONIO FRANCISCO FLORES</v>
          </cell>
          <cell r="E1456">
            <v>73</v>
          </cell>
          <cell r="F1456">
            <v>6</v>
          </cell>
          <cell r="G1456" t="str">
            <v>CAZONES</v>
          </cell>
          <cell r="H1456" t="str">
            <v>LA UNION (KILOMETRO 31)</v>
          </cell>
        </row>
        <row r="1457">
          <cell r="A1457" t="str">
            <v>30DTV0058Q</v>
          </cell>
          <cell r="B1457" t="str">
            <v>NARCISO MENDOZA</v>
          </cell>
          <cell r="C1457" t="str">
            <v>CONOCIDO</v>
          </cell>
          <cell r="D1457" t="str">
            <v>EDNA CLARINDA MAR FLORES</v>
          </cell>
          <cell r="E1457">
            <v>73</v>
          </cell>
          <cell r="F1457">
            <v>6</v>
          </cell>
          <cell r="G1457" t="str">
            <v>COATZINTLA</v>
          </cell>
          <cell r="H1457" t="str">
            <v>FURBEROS</v>
          </cell>
        </row>
        <row r="1458">
          <cell r="A1458" t="str">
            <v>30DTV0856K</v>
          </cell>
          <cell r="B1458" t="str">
            <v>SOR JUANA INES DE LA CRUZ</v>
          </cell>
          <cell r="C1458" t="str">
            <v>CALLE PRINCIPAL</v>
          </cell>
          <cell r="D1458" t="str">
            <v>HUMBERTO MARTINEZ ARMAS</v>
          </cell>
          <cell r="E1458">
            <v>73</v>
          </cell>
          <cell r="F1458">
            <v>6</v>
          </cell>
          <cell r="G1458" t="str">
            <v>COATZINTLA</v>
          </cell>
          <cell r="H1458" t="str">
            <v>LA CRISIS</v>
          </cell>
        </row>
        <row r="1459">
          <cell r="A1459" t="str">
            <v>30DTV0801H</v>
          </cell>
          <cell r="B1459" t="str">
            <v>VICTORIANO HUERTA</v>
          </cell>
          <cell r="C1459" t="str">
            <v>CALLE PRINCIPAL</v>
          </cell>
          <cell r="D1459" t="str">
            <v>CARLOS ALBERTO VAZQUEZ VELAZQUEZ</v>
          </cell>
          <cell r="E1459">
            <v>73</v>
          </cell>
          <cell r="F1459">
            <v>6</v>
          </cell>
          <cell r="G1459" t="str">
            <v>COYUTLA</v>
          </cell>
          <cell r="H1459" t="str">
            <v>BUENAVISTA</v>
          </cell>
        </row>
        <row r="1460">
          <cell r="A1460" t="str">
            <v>30DTV0571F</v>
          </cell>
          <cell r="B1460" t="str">
            <v>FRANCISCO I. MADERO</v>
          </cell>
          <cell r="C1460" t="str">
            <v>CAMINO A SAN FERNANDO</v>
          </cell>
          <cell r="D1460" t="str">
            <v>MARIA DE LOURDES RAMIREZ VARGAS</v>
          </cell>
          <cell r="E1460">
            <v>73</v>
          </cell>
          <cell r="F1460">
            <v>6</v>
          </cell>
          <cell r="G1460" t="str">
            <v>COYUTLA</v>
          </cell>
          <cell r="H1460" t="str">
            <v>CHICUALOQUE</v>
          </cell>
        </row>
        <row r="1461">
          <cell r="A1461" t="str">
            <v>30DTV1048Q</v>
          </cell>
          <cell r="B1461" t="str">
            <v>JOSE VASCONCELOS</v>
          </cell>
          <cell r="C1461" t="str">
            <v>VICENTE GUERRERO S/N</v>
          </cell>
          <cell r="D1461" t="str">
            <v>MARIA ESTHER GUADALUPE ALVARADO PEREZ</v>
          </cell>
          <cell r="E1461">
            <v>73</v>
          </cell>
          <cell r="F1461">
            <v>6</v>
          </cell>
          <cell r="G1461" t="str">
            <v>PAPANTLA</v>
          </cell>
          <cell r="H1461" t="str">
            <v>FRANCISCO SARABIA</v>
          </cell>
        </row>
        <row r="1462">
          <cell r="A1462" t="str">
            <v>30DTV0783I</v>
          </cell>
          <cell r="B1462" t="str">
            <v>ENRIQUE C. REBSAMEN</v>
          </cell>
          <cell r="C1462" t="str">
            <v>18 DE MARZO</v>
          </cell>
          <cell r="D1462" t="str">
            <v>YOLANDA SANCHEZ RIVAS</v>
          </cell>
          <cell r="E1462">
            <v>73</v>
          </cell>
          <cell r="F1462">
            <v>6</v>
          </cell>
          <cell r="G1462" t="str">
            <v>PAPANTLA</v>
          </cell>
          <cell r="H1462" t="str">
            <v>TENIXTEPEC</v>
          </cell>
        </row>
        <row r="1463">
          <cell r="A1463" t="str">
            <v>30DTV0020D</v>
          </cell>
          <cell r="B1463" t="str">
            <v>MARIANO MATAMOROS</v>
          </cell>
          <cell r="C1463" t="str">
            <v>CONOCIDO</v>
          </cell>
          <cell r="D1463" t="str">
            <v>DORA EMILIA OROZCO ROSAS</v>
          </cell>
          <cell r="E1463">
            <v>73</v>
          </cell>
          <cell r="F1463">
            <v>6</v>
          </cell>
          <cell r="G1463" t="str">
            <v>PAPANTLA</v>
          </cell>
          <cell r="H1463" t="str">
            <v>EL VOLADOR</v>
          </cell>
        </row>
        <row r="1464">
          <cell r="A1464" t="str">
            <v>30DTV0292V</v>
          </cell>
          <cell r="B1464" t="str">
            <v>MIGUEL HIDALGO Y COSTILLA</v>
          </cell>
          <cell r="C1464" t="str">
            <v>UZUMACINTA Y ANDES</v>
          </cell>
          <cell r="D1464" t="str">
            <v>MARCELINA GARCIA SANCHEZ</v>
          </cell>
          <cell r="E1464">
            <v>73</v>
          </cell>
          <cell r="F1464">
            <v>6</v>
          </cell>
          <cell r="G1464" t="str">
            <v>POZA RICA DE HIDALGO</v>
          </cell>
          <cell r="H1464" t="str">
            <v>POZA RICA DE HIDALGO</v>
          </cell>
        </row>
        <row r="1465">
          <cell r="A1465" t="str">
            <v>30DTV0784H</v>
          </cell>
          <cell r="B1465" t="str">
            <v>LIC. ALVARO GALVEZ Y FUENTES</v>
          </cell>
          <cell r="C1465" t="str">
            <v>QUINTA ORIENTE S/N</v>
          </cell>
          <cell r="D1465" t="str">
            <v>ELISEO GONZALEZ LARA</v>
          </cell>
          <cell r="E1465">
            <v>73</v>
          </cell>
          <cell r="F1465">
            <v>6</v>
          </cell>
          <cell r="G1465" t="str">
            <v>POZA RICA DE HIDALGO</v>
          </cell>
          <cell r="H1465" t="str">
            <v>POZA RICA DE HIDALGO</v>
          </cell>
        </row>
        <row r="1466">
          <cell r="A1466" t="str">
            <v>30DTV0046L</v>
          </cell>
          <cell r="B1466" t="str">
            <v>BENITO JUAREZ GARCIA</v>
          </cell>
          <cell r="C1466" t="str">
            <v>JUNTO A LA ESCUELA PRIMARIA VASCO DE QUIROGA</v>
          </cell>
          <cell r="D1466" t="str">
            <v>EFREN ESPERANZA VILLALOBOS</v>
          </cell>
          <cell r="E1466">
            <v>73</v>
          </cell>
          <cell r="F1466">
            <v>6</v>
          </cell>
          <cell r="G1466" t="str">
            <v>TIHUATLAN</v>
          </cell>
          <cell r="H1466" t="str">
            <v>PASO DEL PITAL</v>
          </cell>
        </row>
        <row r="1467">
          <cell r="A1467" t="str">
            <v>30DTV0840J</v>
          </cell>
          <cell r="B1467" t="str">
            <v>SEBASTIAN LERDO DE TEJADA</v>
          </cell>
          <cell r="C1467" t="str">
            <v>BENITO JUAREZ NUM. 2</v>
          </cell>
          <cell r="D1467" t="str">
            <v>OCTAVIO RIVERA MELENDRES</v>
          </cell>
          <cell r="E1467">
            <v>73</v>
          </cell>
          <cell r="F1467">
            <v>6</v>
          </cell>
          <cell r="G1467" t="str">
            <v>TIHUATLAN</v>
          </cell>
          <cell r="H1467" t="str">
            <v>URSULO GALVAN</v>
          </cell>
        </row>
        <row r="1468">
          <cell r="A1468" t="str">
            <v>30DTV1109N</v>
          </cell>
          <cell r="B1468" t="str">
            <v>TELESECUNDARIA</v>
          </cell>
          <cell r="C1468" t="str">
            <v>AVENIDA INDEPENDENCIA S/N</v>
          </cell>
          <cell r="D1468" t="str">
            <v>ORALIA MACIAS GARCIA</v>
          </cell>
          <cell r="E1468">
            <v>74</v>
          </cell>
          <cell r="F1468">
            <v>1</v>
          </cell>
          <cell r="G1468" t="str">
            <v>CERRO AZUL</v>
          </cell>
          <cell r="H1468" t="str">
            <v>LA CAMPECHANA</v>
          </cell>
        </row>
        <row r="1469">
          <cell r="A1469" t="str">
            <v>30DTV1032P</v>
          </cell>
          <cell r="B1469" t="str">
            <v>LEONA VICARIO</v>
          </cell>
          <cell r="C1469" t="str">
            <v>16 DE SEPTIEMBRE S/N</v>
          </cell>
          <cell r="D1469" t="str">
            <v>LUZ ARMIDA COBOS DEL ANGEL</v>
          </cell>
          <cell r="E1469">
            <v>74</v>
          </cell>
          <cell r="F1469">
            <v>1</v>
          </cell>
          <cell r="G1469" t="str">
            <v>CERRO AZUL</v>
          </cell>
          <cell r="H1469" t="str">
            <v>JUAN FELIPE</v>
          </cell>
        </row>
        <row r="1470">
          <cell r="A1470" t="str">
            <v>30DTV0298P</v>
          </cell>
          <cell r="B1470" t="str">
            <v>ADOLFO LOPEZ MATEOS</v>
          </cell>
          <cell r="C1470" t="str">
            <v>CONOCIDO</v>
          </cell>
          <cell r="D1470" t="str">
            <v>JULIA  HERNANDEZ FLORES</v>
          </cell>
          <cell r="E1470">
            <v>74</v>
          </cell>
          <cell r="F1470">
            <v>1</v>
          </cell>
          <cell r="G1470" t="str">
            <v>CERRO AZUL</v>
          </cell>
          <cell r="H1470" t="str">
            <v>PIEDRA LABRADA</v>
          </cell>
        </row>
        <row r="1471">
          <cell r="A1471" t="str">
            <v>30DTV0028W</v>
          </cell>
          <cell r="B1471" t="str">
            <v>RAFAEL RAMIREZ</v>
          </cell>
          <cell r="C1471" t="str">
            <v>VICENTE GUERRERO Y LERDO DE TEJADA S/N</v>
          </cell>
          <cell r="D1471" t="str">
            <v>SALOMON MARTINEZ DEL ANGEL</v>
          </cell>
          <cell r="E1471">
            <v>74</v>
          </cell>
          <cell r="F1471">
            <v>1</v>
          </cell>
          <cell r="G1471" t="str">
            <v>TAMIAHUA</v>
          </cell>
          <cell r="H1471" t="str">
            <v>EL ANONO</v>
          </cell>
        </row>
        <row r="1472">
          <cell r="A1472" t="str">
            <v>30DTV1102U</v>
          </cell>
          <cell r="B1472" t="str">
            <v>FRANCISCO I. MADERO</v>
          </cell>
          <cell r="C1472" t="str">
            <v>CONOCIDO</v>
          </cell>
          <cell r="D1472" t="str">
            <v>MILAGROS DE J. CAMACHO ELORZA</v>
          </cell>
          <cell r="E1472">
            <v>74</v>
          </cell>
          <cell r="F1472">
            <v>1</v>
          </cell>
          <cell r="G1472" t="str">
            <v>TAMIAHUA</v>
          </cell>
          <cell r="H1472" t="str">
            <v>EL CAFETAL</v>
          </cell>
        </row>
        <row r="1473">
          <cell r="A1473" t="str">
            <v>30DTV0971B</v>
          </cell>
          <cell r="B1473" t="str">
            <v>CARMEN SERDAN</v>
          </cell>
          <cell r="C1473" t="str">
            <v>CONOCIDO</v>
          </cell>
          <cell r="D1473" t="str">
            <v>JESUS REYES MENDEZ</v>
          </cell>
          <cell r="E1473">
            <v>74</v>
          </cell>
          <cell r="F1473">
            <v>1</v>
          </cell>
          <cell r="G1473" t="str">
            <v>TAMIAHUA</v>
          </cell>
          <cell r="H1473" t="str">
            <v>PAPATLAR</v>
          </cell>
        </row>
        <row r="1474">
          <cell r="A1474" t="str">
            <v>30DTV1439E</v>
          </cell>
          <cell r="B1474" t="str">
            <v>TELESECUNDARIA</v>
          </cell>
          <cell r="C1474" t="str">
            <v>CONOCIDO</v>
          </cell>
          <cell r="D1474" t="str">
            <v>JUAN RAMIREZ ESCALANTE</v>
          </cell>
          <cell r="E1474">
            <v>74</v>
          </cell>
          <cell r="F1474">
            <v>1</v>
          </cell>
          <cell r="G1474" t="str">
            <v>TAMIAHUA</v>
          </cell>
          <cell r="H1474" t="str">
            <v>LA TINAJA</v>
          </cell>
        </row>
        <row r="1475">
          <cell r="A1475" t="str">
            <v>30DTV0050Y</v>
          </cell>
          <cell r="B1475" t="str">
            <v>EMILIANO ZAPATA</v>
          </cell>
          <cell r="C1475" t="str">
            <v>ESQUINA ENRIQUE C. REBSAMEN Y ZARAGOZA</v>
          </cell>
          <cell r="D1475" t="str">
            <v>JOSE BORREGO LOYA</v>
          </cell>
          <cell r="E1475">
            <v>74</v>
          </cell>
          <cell r="F1475">
            <v>1</v>
          </cell>
          <cell r="G1475" t="str">
            <v>TANCOCO</v>
          </cell>
          <cell r="H1475" t="str">
            <v>TANCOCO</v>
          </cell>
        </row>
        <row r="1476">
          <cell r="A1476" t="str">
            <v>30DTV1458T</v>
          </cell>
          <cell r="B1476" t="str">
            <v>TELESECUNDARIA</v>
          </cell>
          <cell r="C1476" t="str">
            <v>BENITO JUAREZ NUM. 44</v>
          </cell>
          <cell r="D1476" t="str">
            <v>FABIOLA DE J. QUINTERO HERNANDEZ</v>
          </cell>
          <cell r="E1476">
            <v>74</v>
          </cell>
          <cell r="F1476">
            <v>1</v>
          </cell>
          <cell r="G1476" t="str">
            <v>TANCOCO</v>
          </cell>
          <cell r="H1476" t="str">
            <v>AGUA SALADA</v>
          </cell>
        </row>
        <row r="1477">
          <cell r="A1477" t="str">
            <v>30DTV1268B</v>
          </cell>
          <cell r="B1477" t="str">
            <v>MIGUEL ALEMAN VALDES</v>
          </cell>
          <cell r="C1477" t="str">
            <v>CONOCIDO</v>
          </cell>
          <cell r="D1477" t="str">
            <v>ARTURO HERNANDEZ ROMERO</v>
          </cell>
          <cell r="E1477">
            <v>74</v>
          </cell>
          <cell r="F1477">
            <v>1</v>
          </cell>
          <cell r="G1477" t="str">
            <v>TANCOCO</v>
          </cell>
          <cell r="H1477" t="str">
            <v>TOTECO</v>
          </cell>
        </row>
        <row r="1478">
          <cell r="A1478" t="str">
            <v>30DTV0365X</v>
          </cell>
          <cell r="B1478" t="str">
            <v>ENRIQUE C. REBSAMEN</v>
          </cell>
          <cell r="C1478" t="str">
            <v>CONOCIDO</v>
          </cell>
          <cell r="D1478" t="str">
            <v>CARLOS HERNANDEZ HERNANDEZ</v>
          </cell>
          <cell r="E1478">
            <v>74</v>
          </cell>
          <cell r="F1478">
            <v>1</v>
          </cell>
          <cell r="G1478" t="str">
            <v>TANCOCO</v>
          </cell>
          <cell r="H1478" t="str">
            <v>ZACAMIXTLE</v>
          </cell>
        </row>
        <row r="1479">
          <cell r="A1479" t="str">
            <v>30DTV0134F</v>
          </cell>
          <cell r="B1479" t="str">
            <v>CUAUHTEMOC</v>
          </cell>
          <cell r="C1479" t="str">
            <v>CONSTITUCION NORTE NUM. 36</v>
          </cell>
          <cell r="D1479" t="str">
            <v>NORBERTO HERNANDEZ CERECEDO</v>
          </cell>
          <cell r="E1479">
            <v>74</v>
          </cell>
          <cell r="F1479">
            <v>1</v>
          </cell>
          <cell r="G1479" t="str">
            <v>TEMAPACHE</v>
          </cell>
          <cell r="H1479" t="str">
            <v>POTRERO DEL LLANO</v>
          </cell>
        </row>
        <row r="1480">
          <cell r="A1480" t="str">
            <v>30DTV0690T</v>
          </cell>
          <cell r="B1480" t="str">
            <v>NIÑOS HEROES</v>
          </cell>
          <cell r="C1480" t="str">
            <v>CONOCIDO</v>
          </cell>
          <cell r="D1480" t="str">
            <v>FELIX QUIROZ OLIVARES</v>
          </cell>
          <cell r="E1480">
            <v>74</v>
          </cell>
          <cell r="F1480">
            <v>1</v>
          </cell>
          <cell r="G1480" t="str">
            <v>TEMAPACHE</v>
          </cell>
          <cell r="H1480" t="str">
            <v>SOLIS DE ALLENDE</v>
          </cell>
        </row>
        <row r="1481">
          <cell r="A1481" t="str">
            <v>30DTV1107P</v>
          </cell>
          <cell r="B1481" t="str">
            <v>CARLOS A. CARRILLO</v>
          </cell>
          <cell r="C1481" t="str">
            <v>CONOCIDO</v>
          </cell>
          <cell r="D1481" t="str">
            <v>ANTONIO LOYA GALLARDO</v>
          </cell>
          <cell r="E1481">
            <v>74</v>
          </cell>
          <cell r="F1481">
            <v>1</v>
          </cell>
          <cell r="G1481" t="str">
            <v>TEMAPACHE</v>
          </cell>
          <cell r="H1481" t="str">
            <v>TIERRA AMARILLA</v>
          </cell>
        </row>
        <row r="1482">
          <cell r="A1482" t="str">
            <v>30DTV0980J</v>
          </cell>
          <cell r="B1482" t="str">
            <v>FERNANDO MONTES DE OCA</v>
          </cell>
          <cell r="C1482" t="str">
            <v>CONOCIDO</v>
          </cell>
          <cell r="D1482" t="str">
            <v>LAZARO MENDEZ LUCAS</v>
          </cell>
          <cell r="E1482">
            <v>74</v>
          </cell>
          <cell r="F1482">
            <v>1</v>
          </cell>
          <cell r="G1482" t="str">
            <v>TEPETZINTLA</v>
          </cell>
          <cell r="H1482" t="str">
            <v>AUGUSTO GOMEZ VILLANUEVA</v>
          </cell>
        </row>
        <row r="1483">
          <cell r="A1483" t="str">
            <v>30DTV0766S</v>
          </cell>
          <cell r="B1483" t="str">
            <v>ADOLFO RUIZ CORTINES</v>
          </cell>
          <cell r="C1483" t="str">
            <v>CONOCIDO</v>
          </cell>
          <cell r="D1483" t="str">
            <v>NORA AIDE HERNANDEZ HERNANDEZ</v>
          </cell>
          <cell r="E1483">
            <v>74</v>
          </cell>
          <cell r="F1483">
            <v>1</v>
          </cell>
          <cell r="G1483" t="str">
            <v>TEPETZINTLA</v>
          </cell>
          <cell r="H1483" t="str">
            <v>CUAMANCO</v>
          </cell>
        </row>
        <row r="1484">
          <cell r="A1484" t="str">
            <v>30DTV0767R</v>
          </cell>
          <cell r="B1484" t="str">
            <v>SALVADOR DIAZ MIRON</v>
          </cell>
          <cell r="C1484" t="str">
            <v>CONOCIDO</v>
          </cell>
          <cell r="D1484" t="str">
            <v>ESMERALDA SANTIAGO GUEMEZ</v>
          </cell>
          <cell r="E1484">
            <v>74</v>
          </cell>
          <cell r="F1484">
            <v>1</v>
          </cell>
          <cell r="G1484" t="str">
            <v>TEPETZINTLA</v>
          </cell>
          <cell r="H1484" t="str">
            <v>LA GUASIMA</v>
          </cell>
        </row>
        <row r="1485">
          <cell r="A1485" t="str">
            <v>30DTV0678Y</v>
          </cell>
          <cell r="B1485" t="str">
            <v>AQUILES SERDAN</v>
          </cell>
          <cell r="C1485" t="str">
            <v>CONOCIDO</v>
          </cell>
          <cell r="D1485" t="str">
            <v>CONCEPCION DOMINGUEZ FRANCISCO</v>
          </cell>
          <cell r="E1485">
            <v>74</v>
          </cell>
          <cell r="F1485">
            <v>1</v>
          </cell>
          <cell r="G1485" t="str">
            <v>TEPETZINTLA</v>
          </cell>
          <cell r="H1485" t="str">
            <v>EL HUMO</v>
          </cell>
        </row>
        <row r="1486">
          <cell r="A1486" t="str">
            <v>30DTV1278I</v>
          </cell>
          <cell r="B1486" t="str">
            <v>LUIS DONALDO COLOSIO MURRIETA</v>
          </cell>
          <cell r="C1486" t="str">
            <v>CONOCIDO</v>
          </cell>
          <cell r="D1486" t="str">
            <v>JOSE MANUEL CRUZ HERNANDEZ</v>
          </cell>
          <cell r="E1486">
            <v>74</v>
          </cell>
          <cell r="F1486">
            <v>1</v>
          </cell>
          <cell r="G1486" t="str">
            <v>TEPETZINTLA</v>
          </cell>
          <cell r="H1486" t="str">
            <v>MOYUTLA (KILOMETRO CUARENTA Y OCHO)</v>
          </cell>
        </row>
        <row r="1487">
          <cell r="A1487" t="str">
            <v>30DTV1279H</v>
          </cell>
          <cell r="B1487" t="str">
            <v>TELESECUNDARIA</v>
          </cell>
          <cell r="C1487" t="str">
            <v>CONOCIDO</v>
          </cell>
          <cell r="D1487" t="str">
            <v>CYNDI SOLIS QUINTANA</v>
          </cell>
          <cell r="E1487">
            <v>74</v>
          </cell>
          <cell r="F1487">
            <v>1</v>
          </cell>
          <cell r="G1487" t="str">
            <v>TEPETZINTLA</v>
          </cell>
          <cell r="H1487" t="str">
            <v>TECOMATE</v>
          </cell>
        </row>
        <row r="1488">
          <cell r="A1488" t="str">
            <v>30DTV0768Q</v>
          </cell>
          <cell r="B1488" t="str">
            <v>CONSTITUYENTES DE QUERETARO</v>
          </cell>
          <cell r="C1488" t="str">
            <v>5 DE FEBRERO S/N</v>
          </cell>
          <cell r="D1488" t="str">
            <v>VIRGINIA OSORIO CRUZ</v>
          </cell>
          <cell r="E1488">
            <v>74</v>
          </cell>
          <cell r="F1488">
            <v>1</v>
          </cell>
          <cell r="G1488" t="str">
            <v>TEPETZINTLA</v>
          </cell>
          <cell r="H1488" t="str">
            <v>TIERRA BLANCA</v>
          </cell>
        </row>
        <row r="1489">
          <cell r="A1489" t="str">
            <v>30DTV0922T</v>
          </cell>
          <cell r="B1489" t="str">
            <v>EMILIANO ZAPATA</v>
          </cell>
          <cell r="C1489" t="str">
            <v>CONOCIDO</v>
          </cell>
          <cell r="D1489" t="str">
            <v>MARIA FELIX MONTES</v>
          </cell>
          <cell r="E1489">
            <v>75</v>
          </cell>
          <cell r="F1489">
            <v>23</v>
          </cell>
          <cell r="G1489" t="str">
            <v>ACTOPAN</v>
          </cell>
          <cell r="H1489" t="str">
            <v>BUENAVISTA</v>
          </cell>
        </row>
        <row r="1490">
          <cell r="A1490" t="str">
            <v>30DTV0520Z</v>
          </cell>
          <cell r="B1490" t="str">
            <v>NICOLAS BRAVO</v>
          </cell>
          <cell r="C1490" t="str">
            <v>CONOCIDO</v>
          </cell>
          <cell r="D1490" t="str">
            <v>HIGINIO SOLIS CRUZ</v>
          </cell>
          <cell r="E1490">
            <v>75</v>
          </cell>
          <cell r="F1490">
            <v>23</v>
          </cell>
          <cell r="G1490" t="str">
            <v>ACTOPAN</v>
          </cell>
          <cell r="H1490" t="str">
            <v>CERRO GORDO</v>
          </cell>
        </row>
        <row r="1491">
          <cell r="A1491" t="str">
            <v>30DTV0546G</v>
          </cell>
          <cell r="B1491" t="str">
            <v>NARCISO MENDOZA</v>
          </cell>
          <cell r="C1491" t="str">
            <v>16 DE SEPTIEMBRE S/N</v>
          </cell>
          <cell r="D1491" t="str">
            <v>LILIA VELAZQUEZ PEREZ</v>
          </cell>
          <cell r="E1491">
            <v>75</v>
          </cell>
          <cell r="F1491">
            <v>23</v>
          </cell>
          <cell r="G1491" t="str">
            <v>ACTOPAN</v>
          </cell>
          <cell r="H1491" t="str">
            <v>COYOLILLO</v>
          </cell>
        </row>
        <row r="1492">
          <cell r="A1492" t="str">
            <v>30DTV0552R</v>
          </cell>
          <cell r="B1492" t="str">
            <v>JOSEFA ORTIZ DE DOMINGUEZ</v>
          </cell>
          <cell r="C1492" t="str">
            <v>CONOCIDO</v>
          </cell>
          <cell r="D1492" t="str">
            <v>ARMIN GARCIA FUENTES</v>
          </cell>
          <cell r="E1492">
            <v>75</v>
          </cell>
          <cell r="F1492">
            <v>23</v>
          </cell>
          <cell r="G1492" t="str">
            <v>ACTOPAN</v>
          </cell>
          <cell r="H1492" t="str">
            <v>CHICUASEN</v>
          </cell>
        </row>
        <row r="1493">
          <cell r="A1493" t="str">
            <v>30DTV0274F</v>
          </cell>
          <cell r="B1493" t="str">
            <v>SOR JUANA INES DE LA CRUZ</v>
          </cell>
          <cell r="C1493" t="str">
            <v>CONOCIDO</v>
          </cell>
          <cell r="D1493" t="str">
            <v>GRISELDA MONTIEL LAGUNES</v>
          </cell>
          <cell r="E1493">
            <v>75</v>
          </cell>
          <cell r="F1493">
            <v>23</v>
          </cell>
          <cell r="G1493" t="str">
            <v>ACTOPAN</v>
          </cell>
          <cell r="H1493" t="str">
            <v>LOS OTATES</v>
          </cell>
        </row>
        <row r="1494">
          <cell r="A1494" t="str">
            <v>30DTV0335C</v>
          </cell>
          <cell r="B1494" t="str">
            <v>NETZAHUALCOYOTL</v>
          </cell>
          <cell r="C1494" t="str">
            <v>CONOCIDO</v>
          </cell>
          <cell r="D1494" t="str">
            <v>GLADIS DALILA HERNANDEZ R.</v>
          </cell>
          <cell r="E1494">
            <v>75</v>
          </cell>
          <cell r="F1494">
            <v>23</v>
          </cell>
          <cell r="G1494" t="str">
            <v>ACTOPAN</v>
          </cell>
          <cell r="H1494" t="str">
            <v>SOYACUAUTLA</v>
          </cell>
        </row>
        <row r="1495">
          <cell r="A1495" t="str">
            <v>30DTV0085N</v>
          </cell>
          <cell r="B1495" t="str">
            <v>MELCHOR OCAMPO</v>
          </cell>
          <cell r="C1495" t="str">
            <v>ADOLFO LOPEZ MATEOS S/N</v>
          </cell>
          <cell r="D1495" t="str">
            <v>JUAN COLORADO QUIROZ</v>
          </cell>
          <cell r="E1495">
            <v>75</v>
          </cell>
          <cell r="F1495">
            <v>23</v>
          </cell>
          <cell r="G1495" t="str">
            <v>ACTOPAN</v>
          </cell>
          <cell r="H1495" t="str">
            <v>TRAPICHE DEL ROSARIO</v>
          </cell>
        </row>
        <row r="1496">
          <cell r="A1496" t="str">
            <v>30DTV0515N</v>
          </cell>
          <cell r="B1496" t="str">
            <v>RICARDO FLORES MAGON</v>
          </cell>
          <cell r="C1496" t="str">
            <v>CONOCIDO</v>
          </cell>
          <cell r="D1496" t="str">
            <v>GUADALUPE HERRERA BELTRAN</v>
          </cell>
          <cell r="E1496">
            <v>75</v>
          </cell>
          <cell r="F1496">
            <v>23</v>
          </cell>
          <cell r="G1496" t="str">
            <v>ALTO LUCERO DE GUTIERREZ BARRIOS</v>
          </cell>
          <cell r="H1496" t="str">
            <v>BLANCA ESPUMA</v>
          </cell>
        </row>
        <row r="1497">
          <cell r="A1497" t="str">
            <v>30DTV0403J</v>
          </cell>
          <cell r="B1497" t="str">
            <v>JOSE MARTI</v>
          </cell>
          <cell r="C1497" t="str">
            <v>CONOCIDO</v>
          </cell>
          <cell r="D1497" t="str">
            <v>MARIA FRANCISCA TORALES MORGADO</v>
          </cell>
          <cell r="E1497">
            <v>75</v>
          </cell>
          <cell r="F1497">
            <v>23</v>
          </cell>
          <cell r="G1497" t="str">
            <v>ALTO LUCERO DE GUTIERREZ BARRIOS</v>
          </cell>
          <cell r="H1497" t="str">
            <v>MESA DE GUADALUPE</v>
          </cell>
        </row>
        <row r="1498">
          <cell r="A1498" t="str">
            <v>30DTV0409D</v>
          </cell>
          <cell r="B1498" t="str">
            <v>CONSTITUCION DE 1917</v>
          </cell>
          <cell r="C1498" t="str">
            <v>LEYES DE REFORMA NUM. 14</v>
          </cell>
          <cell r="D1498" t="str">
            <v>FRANCISCA RIVERA RIVERA</v>
          </cell>
          <cell r="E1498">
            <v>75</v>
          </cell>
          <cell r="F1498">
            <v>23</v>
          </cell>
          <cell r="G1498" t="str">
            <v>ALTO LUCERO DE GUTIERREZ BARRIOS</v>
          </cell>
          <cell r="H1498" t="str">
            <v>LA REFORMA</v>
          </cell>
        </row>
        <row r="1499">
          <cell r="A1499" t="str">
            <v>30DTV1688L</v>
          </cell>
          <cell r="B1499" t="str">
            <v>CARLOS ARTURO CARRILLO GASTALDI</v>
          </cell>
          <cell r="C1499" t="str">
            <v>CALLE ZAFIRO NUM. 3</v>
          </cell>
          <cell r="D1499" t="str">
            <v>LOURDES JAMILLETH CHACON HERRERA</v>
          </cell>
          <cell r="E1499">
            <v>75</v>
          </cell>
          <cell r="F1499">
            <v>23</v>
          </cell>
          <cell r="G1499" t="str">
            <v>BANDERILLA</v>
          </cell>
          <cell r="H1499" t="str">
            <v>LA HACIENDITA</v>
          </cell>
        </row>
        <row r="1500">
          <cell r="A1500" t="str">
            <v>30DTV1702O</v>
          </cell>
          <cell r="B1500" t="str">
            <v>RAFAEL RAMIREZ CASTAÑEDA</v>
          </cell>
          <cell r="C1500" t="str">
            <v>CALLE ROBLE S/N</v>
          </cell>
          <cell r="D1500" t="str">
            <v>HERIBERTO LARA HERNANDEZ</v>
          </cell>
          <cell r="E1500">
            <v>75</v>
          </cell>
          <cell r="F1500">
            <v>23</v>
          </cell>
          <cell r="G1500" t="str">
            <v>BANDERILLA</v>
          </cell>
          <cell r="H1500" t="str">
            <v>XALTEPEC</v>
          </cell>
        </row>
        <row r="1501">
          <cell r="A1501" t="str">
            <v>30DTV0658K</v>
          </cell>
          <cell r="B1501" t="str">
            <v>EMILIANO ZAPATA</v>
          </cell>
          <cell r="C1501" t="str">
            <v>CALLE PARQUE ECOLOGICO MACUILTEPETL NUM. 16</v>
          </cell>
          <cell r="D1501" t="str">
            <v>MARIA FRANCISCA TORALES MORGADO</v>
          </cell>
          <cell r="E1501">
            <v>75</v>
          </cell>
          <cell r="F1501">
            <v>23</v>
          </cell>
          <cell r="G1501" t="str">
            <v>XALAPA</v>
          </cell>
          <cell r="H1501" t="str">
            <v>XALAPA-ENRIQUEZ</v>
          </cell>
        </row>
        <row r="1502">
          <cell r="A1502" t="str">
            <v>30DTV1682R</v>
          </cell>
          <cell r="B1502" t="str">
            <v>ADOLFO RUIZ CORTINES</v>
          </cell>
          <cell r="C1502" t="str">
            <v>SOL NUM. 147 VILLAS DE XALAPA</v>
          </cell>
          <cell r="D1502" t="str">
            <v>JOSE LUIS AVILA LANDA</v>
          </cell>
          <cell r="E1502">
            <v>75</v>
          </cell>
          <cell r="F1502">
            <v>23</v>
          </cell>
          <cell r="G1502" t="str">
            <v>XALAPA</v>
          </cell>
          <cell r="H1502" t="str">
            <v>XALAPA-ENRIQUEZ</v>
          </cell>
        </row>
        <row r="1503">
          <cell r="A1503" t="str">
            <v>30DTV1703N</v>
          </cell>
          <cell r="B1503" t="str">
            <v>FRANCISCO JAVIER CLAVIJERO</v>
          </cell>
          <cell r="C1503" t="str">
            <v>CALLE JORGE CUESTA S/N</v>
          </cell>
          <cell r="D1503" t="str">
            <v>ROBERTO LLANOS OLIVA</v>
          </cell>
          <cell r="E1503">
            <v>75</v>
          </cell>
          <cell r="F1503">
            <v>23</v>
          </cell>
          <cell r="G1503" t="str">
            <v>XALAPA</v>
          </cell>
          <cell r="H1503" t="str">
            <v>XALAPA-ENRIQUEZ</v>
          </cell>
        </row>
        <row r="1504">
          <cell r="A1504" t="str">
            <v>30DTV1708I</v>
          </cell>
          <cell r="B1504" t="str">
            <v>TELESECUNDARIA</v>
          </cell>
          <cell r="C1504" t="str">
            <v>CALLE PARQUE ECOLOGICO MACUILTEPETL NUM. 16</v>
          </cell>
          <cell r="D1504" t="str">
            <v>MTRO. VICTOR MANUEL PRIETO CHIPOL</v>
          </cell>
          <cell r="E1504">
            <v>75</v>
          </cell>
          <cell r="F1504">
            <v>23</v>
          </cell>
          <cell r="G1504" t="str">
            <v>XALAPA</v>
          </cell>
          <cell r="H1504" t="str">
            <v>XALAPA-ENRIQUEZ</v>
          </cell>
        </row>
        <row r="1505">
          <cell r="A1505" t="str">
            <v>30DTV0946C</v>
          </cell>
          <cell r="B1505" t="str">
            <v>FRIDA KAHLO</v>
          </cell>
          <cell r="C1505" t="str">
            <v>CONOCIDO</v>
          </cell>
          <cell r="D1505" t="str">
            <v>EDITH MONTERO LOPEZ</v>
          </cell>
          <cell r="E1505">
            <v>75</v>
          </cell>
          <cell r="F1505">
            <v>23</v>
          </cell>
          <cell r="G1505" t="str">
            <v>XALAPA</v>
          </cell>
          <cell r="H1505" t="str">
            <v>COLONIA SEIS DE ENERO</v>
          </cell>
        </row>
        <row r="1506">
          <cell r="A1506" t="str">
            <v>30DTV1680T</v>
          </cell>
          <cell r="B1506" t="str">
            <v>OCTAVIO PAZ LOZANO</v>
          </cell>
          <cell r="C1506" t="str">
            <v>CALLE PRINCIPAL S/N</v>
          </cell>
          <cell r="D1506" t="str">
            <v>CLAUDIA LUCERO BELTRAN</v>
          </cell>
          <cell r="E1506">
            <v>75</v>
          </cell>
          <cell r="F1506">
            <v>23</v>
          </cell>
          <cell r="G1506" t="str">
            <v>XALAPA</v>
          </cell>
          <cell r="H1506" t="str">
            <v>LAS CRUCES</v>
          </cell>
        </row>
        <row r="1507">
          <cell r="A1507" t="str">
            <v>30DTV1066F</v>
          </cell>
          <cell r="B1507" t="str">
            <v>ENRIQUE C. REBSAMEN</v>
          </cell>
          <cell r="C1507" t="str">
            <v>PRIVADA DE BENITO JUAREZ S/N</v>
          </cell>
          <cell r="D1507" t="str">
            <v>JOSE ENRIQUE FUENTES HUERTA</v>
          </cell>
          <cell r="E1507">
            <v>75</v>
          </cell>
          <cell r="F1507">
            <v>23</v>
          </cell>
          <cell r="G1507" t="str">
            <v>JILOTEPEC</v>
          </cell>
          <cell r="H1507" t="str">
            <v>PASO DE SAN JUAN</v>
          </cell>
        </row>
        <row r="1508">
          <cell r="A1508" t="str">
            <v>30DTV0558L</v>
          </cell>
          <cell r="B1508" t="str">
            <v>BENITO JUAREZ GARCIA</v>
          </cell>
          <cell r="C1508" t="str">
            <v>SOR JUANA INES DE LA CRUZ S/N ESQUINA NIÑOS HEROES</v>
          </cell>
          <cell r="D1508" t="str">
            <v>ROSALINDA CAMARILLO DE LA TORRE</v>
          </cell>
          <cell r="E1508">
            <v>76</v>
          </cell>
          <cell r="F1508">
            <v>9</v>
          </cell>
          <cell r="G1508" t="str">
            <v>CATEMACO</v>
          </cell>
          <cell r="H1508" t="str">
            <v>CATEMACO</v>
          </cell>
        </row>
        <row r="1509">
          <cell r="A1509" t="str">
            <v>30DTV1376J</v>
          </cell>
          <cell r="B1509" t="str">
            <v>MIGUEL ALEMAN VALDES</v>
          </cell>
          <cell r="C1509" t="str">
            <v>A UN LADO DEL JARDIN DE NIÑOS</v>
          </cell>
          <cell r="D1509" t="str">
            <v>BLANCA EDITH FUENTES REYES</v>
          </cell>
          <cell r="E1509">
            <v>76</v>
          </cell>
          <cell r="F1509">
            <v>9</v>
          </cell>
          <cell r="G1509" t="str">
            <v>CATEMACO</v>
          </cell>
          <cell r="H1509" t="str">
            <v>COXCOAPAN</v>
          </cell>
        </row>
        <row r="1510">
          <cell r="A1510" t="str">
            <v>30DTV1377I</v>
          </cell>
          <cell r="B1510" t="str">
            <v>GABRIELA MISTRAL</v>
          </cell>
          <cell r="C1510" t="str">
            <v>FRENTE A LA EMBOTELLADORA DE COYAME</v>
          </cell>
          <cell r="D1510" t="str">
            <v>SOCORRO CAMACHO SANCHEZ</v>
          </cell>
          <cell r="E1510">
            <v>76</v>
          </cell>
          <cell r="F1510">
            <v>9</v>
          </cell>
          <cell r="G1510" t="str">
            <v>CATEMACO</v>
          </cell>
          <cell r="H1510" t="str">
            <v>COYAME</v>
          </cell>
        </row>
        <row r="1511">
          <cell r="A1511" t="str">
            <v>30DTV0693Q</v>
          </cell>
          <cell r="B1511" t="str">
            <v>ROSARIO CASTELLANOS</v>
          </cell>
          <cell r="C1511" t="str">
            <v>CONOCIDO</v>
          </cell>
          <cell r="D1511" t="str">
            <v>OSCAR IVAN MARTINEZ DIAZ</v>
          </cell>
          <cell r="E1511">
            <v>76</v>
          </cell>
          <cell r="F1511">
            <v>9</v>
          </cell>
          <cell r="G1511" t="str">
            <v>CATEMACO</v>
          </cell>
          <cell r="H1511" t="str">
            <v>LA MARGARITA</v>
          </cell>
        </row>
        <row r="1512">
          <cell r="A1512" t="str">
            <v>30DTV0932Z</v>
          </cell>
          <cell r="B1512" t="str">
            <v>NIÐOS HEROES DE CHAPULTEPEC</v>
          </cell>
          <cell r="C1512" t="str">
            <v>CACAO S/N</v>
          </cell>
          <cell r="D1512" t="str">
            <v>OSCAR IVAN MARTINEZ DIAZ</v>
          </cell>
          <cell r="E1512">
            <v>76</v>
          </cell>
          <cell r="F1512">
            <v>9</v>
          </cell>
          <cell r="G1512" t="str">
            <v>CATEMACO</v>
          </cell>
          <cell r="H1512" t="str">
            <v>LA PALMA</v>
          </cell>
        </row>
        <row r="1513">
          <cell r="A1513" t="str">
            <v>30DTV1378H</v>
          </cell>
          <cell r="B1513" t="str">
            <v>GABRIELA MISTRAL</v>
          </cell>
          <cell r="C1513" t="str">
            <v>A 200 METROS DE LA PRIMARIA</v>
          </cell>
          <cell r="D1513" t="str">
            <v>AURELIANO LUNA ROSAS</v>
          </cell>
          <cell r="E1513">
            <v>76</v>
          </cell>
          <cell r="F1513">
            <v>9</v>
          </cell>
          <cell r="G1513" t="str">
            <v>CATEMACO</v>
          </cell>
          <cell r="H1513" t="str">
            <v>SAN JUAN SECO DE VALENCIA</v>
          </cell>
        </row>
        <row r="1514">
          <cell r="A1514" t="str">
            <v>30DTV0474D</v>
          </cell>
          <cell r="B1514" t="str">
            <v>FRANCISCO JAVIER CLAVIJERO</v>
          </cell>
          <cell r="C1514" t="str">
            <v>CONSTITUCION NUM. 1</v>
          </cell>
          <cell r="D1514" t="str">
            <v>GONZALO BAXIN BAXIN</v>
          </cell>
          <cell r="E1514">
            <v>76</v>
          </cell>
          <cell r="F1514">
            <v>9</v>
          </cell>
          <cell r="G1514" t="str">
            <v>CATEMACO</v>
          </cell>
          <cell r="H1514" t="str">
            <v>SONTECOMAPAN</v>
          </cell>
        </row>
        <row r="1515">
          <cell r="A1515" t="str">
            <v>30DTV0102N</v>
          </cell>
          <cell r="B1515" t="str">
            <v>JUSTO SIERRA</v>
          </cell>
          <cell r="C1515" t="str">
            <v>FLOR DE MAYO NUM. 1</v>
          </cell>
          <cell r="D1515" t="str">
            <v>LUCRECIA CLEMENTINA ESCRIBONO LUCHO</v>
          </cell>
          <cell r="E1515">
            <v>76</v>
          </cell>
          <cell r="F1515">
            <v>9</v>
          </cell>
          <cell r="G1515" t="str">
            <v>SAN ANDRES TUXTLA</v>
          </cell>
          <cell r="H1515" t="str">
            <v>COMOAPAN</v>
          </cell>
        </row>
        <row r="1516">
          <cell r="A1516" t="str">
            <v>30DTV0606E</v>
          </cell>
          <cell r="B1516" t="str">
            <v>CUAUHTEMOC</v>
          </cell>
          <cell r="C1516" t="str">
            <v>RUMBO AL CAMINO A LA CAÑADA</v>
          </cell>
          <cell r="D1516" t="str">
            <v>PABLO PUCHETA VELAZCO</v>
          </cell>
          <cell r="E1516">
            <v>76</v>
          </cell>
          <cell r="F1516">
            <v>9</v>
          </cell>
          <cell r="G1516" t="str">
            <v>SAN ANDRES TUXTLA</v>
          </cell>
          <cell r="H1516" t="str">
            <v>CHUNIAPAN DE ARRIBA</v>
          </cell>
        </row>
        <row r="1517">
          <cell r="A1517" t="str">
            <v>30DTV1494Y</v>
          </cell>
          <cell r="B1517" t="str">
            <v>EMILIO AZCARRAGA MILMO</v>
          </cell>
          <cell r="C1517" t="str">
            <v>DOS CUADRAS ANTES DE LA ESCUELA PRIMARIA</v>
          </cell>
          <cell r="D1517" t="str">
            <v>HECTOR PRETELIN POUCHOULEN</v>
          </cell>
          <cell r="E1517">
            <v>76</v>
          </cell>
          <cell r="F1517">
            <v>9</v>
          </cell>
          <cell r="G1517" t="str">
            <v>SAN ANDRES TUXTLA</v>
          </cell>
          <cell r="H1517" t="str">
            <v>EL HUIDERO</v>
          </cell>
        </row>
        <row r="1518">
          <cell r="A1518" t="str">
            <v>30DTV0441M</v>
          </cell>
          <cell r="B1518" t="str">
            <v>ENRIQUE C. REBSAMEN</v>
          </cell>
          <cell r="C1518" t="str">
            <v>CONOCIDO</v>
          </cell>
          <cell r="D1518" t="str">
            <v>MARIA ELENA RAMIREZ VARGAS</v>
          </cell>
          <cell r="E1518">
            <v>76</v>
          </cell>
          <cell r="F1518">
            <v>9</v>
          </cell>
          <cell r="G1518" t="str">
            <v>SAN ANDRES TUXTLA</v>
          </cell>
          <cell r="H1518" t="str">
            <v>SALTO DE EYIPANTLA</v>
          </cell>
        </row>
        <row r="1519">
          <cell r="A1519" t="str">
            <v>30DTV1394Z</v>
          </cell>
          <cell r="B1519" t="str">
            <v>JOSE MARIA VALIENTE</v>
          </cell>
          <cell r="C1519" t="str">
            <v>CAMINO ANTIGUO A SIHUAPAN</v>
          </cell>
          <cell r="D1519" t="str">
            <v>OMAR SILVERIO SOSA VERDEJO</v>
          </cell>
          <cell r="E1519">
            <v>76</v>
          </cell>
          <cell r="F1519">
            <v>9</v>
          </cell>
          <cell r="G1519" t="str">
            <v>SAN ANDRES TUXTLA</v>
          </cell>
          <cell r="H1519" t="str">
            <v>SANTA ROSA ABATA</v>
          </cell>
        </row>
        <row r="1520">
          <cell r="A1520" t="str">
            <v>30DTV1262H</v>
          </cell>
          <cell r="B1520" t="str">
            <v>OCTAVIO PAZ</v>
          </cell>
          <cell r="C1520" t="str">
            <v>CONOCIDO</v>
          </cell>
          <cell r="D1520" t="str">
            <v>MARIA EUGENIA LARA ESTRADA</v>
          </cell>
          <cell r="E1520">
            <v>76</v>
          </cell>
          <cell r="F1520">
            <v>9</v>
          </cell>
          <cell r="G1520" t="str">
            <v>SAN ANDRES TUXTLA</v>
          </cell>
          <cell r="H1520" t="str">
            <v>DOS DE ABRIL (MONTEPIO CHIQUITO)</v>
          </cell>
        </row>
        <row r="1521">
          <cell r="A1521" t="str">
            <v>30DTV1305P</v>
          </cell>
          <cell r="B1521" t="str">
            <v>OCTAVIO PAZ</v>
          </cell>
          <cell r="C1521" t="str">
            <v>CONOCIDO</v>
          </cell>
          <cell r="D1521" t="str">
            <v>MARIA DE LOS ANGELES BRAVO VELAZQUEZ</v>
          </cell>
          <cell r="E1521">
            <v>77</v>
          </cell>
          <cell r="F1521">
            <v>21</v>
          </cell>
          <cell r="G1521" t="str">
            <v>ACAJETE</v>
          </cell>
          <cell r="H1521" t="str">
            <v>MAZATEPEC</v>
          </cell>
        </row>
        <row r="1522">
          <cell r="A1522" t="str">
            <v>30DTV1526Z</v>
          </cell>
          <cell r="B1522" t="str">
            <v>LUIS DONALDO COLOSIO MURRIETA</v>
          </cell>
          <cell r="C1522" t="str">
            <v>CONOCIDO</v>
          </cell>
          <cell r="D1522" t="str">
            <v>JOSE LUIS PACHUCA BONIFACIO</v>
          </cell>
          <cell r="E1522">
            <v>77</v>
          </cell>
          <cell r="F1522">
            <v>21</v>
          </cell>
          <cell r="G1522" t="str">
            <v>ALTOTONGA</v>
          </cell>
          <cell r="H1522" t="str">
            <v>IGNACIO ZARAGOZA</v>
          </cell>
        </row>
        <row r="1523">
          <cell r="A1523" t="str">
            <v>30DTV1171Q</v>
          </cell>
          <cell r="B1523" t="str">
            <v>VERACRUZ</v>
          </cell>
          <cell r="C1523" t="str">
            <v>CONOCIDO</v>
          </cell>
          <cell r="D1523" t="str">
            <v>SILVERIO LOPEZ CONTRERAS</v>
          </cell>
          <cell r="E1523">
            <v>77</v>
          </cell>
          <cell r="F1523">
            <v>21</v>
          </cell>
          <cell r="G1523" t="str">
            <v>ALTOTONGA</v>
          </cell>
          <cell r="H1523" t="str">
            <v>SAN JOSE BUENAVISTA</v>
          </cell>
        </row>
        <row r="1524">
          <cell r="A1524" t="str">
            <v>30DTV1208N</v>
          </cell>
          <cell r="B1524" t="str">
            <v>MANUEL GUTIERREZ ZAMORA</v>
          </cell>
          <cell r="C1524" t="str">
            <v>CONOCIDO</v>
          </cell>
          <cell r="D1524" t="str">
            <v>VICTOR MOLINA ORTIZ</v>
          </cell>
          <cell r="E1524">
            <v>77</v>
          </cell>
          <cell r="F1524">
            <v>21</v>
          </cell>
          <cell r="G1524" t="str">
            <v>ALTOTONGA</v>
          </cell>
          <cell r="H1524" t="str">
            <v>GUTIERREZ ZAMORA</v>
          </cell>
        </row>
        <row r="1525">
          <cell r="A1525" t="str">
            <v>30DTV0543J</v>
          </cell>
          <cell r="B1525" t="str">
            <v>JOSEFA ORTIZ DE DOMINGUEZ</v>
          </cell>
          <cell r="C1525" t="str">
            <v>CONOCIDO</v>
          </cell>
          <cell r="D1525" t="str">
            <v>JORGE LUIS LUA QUINO</v>
          </cell>
          <cell r="E1525">
            <v>77</v>
          </cell>
          <cell r="F1525">
            <v>21</v>
          </cell>
          <cell r="G1525" t="str">
            <v>ALTOTONGA</v>
          </cell>
          <cell r="H1525" t="str">
            <v>SANTA CRUZ TEPOZOTECO</v>
          </cell>
        </row>
        <row r="1526">
          <cell r="A1526" t="str">
            <v>30DTV0119N</v>
          </cell>
          <cell r="B1526" t="str">
            <v>BELISARIO DOMINGUEZ</v>
          </cell>
          <cell r="C1526" t="str">
            <v>BELISARIO DOMINGUEZ NUM. 13</v>
          </cell>
          <cell r="D1526" t="str">
            <v>REYNALDO RAMON ZAGAL MENEZ</v>
          </cell>
          <cell r="E1526">
            <v>77</v>
          </cell>
          <cell r="F1526">
            <v>21</v>
          </cell>
          <cell r="G1526" t="str">
            <v>XALAPA</v>
          </cell>
          <cell r="H1526" t="str">
            <v>XALAPA-ENRIQUEZ</v>
          </cell>
        </row>
        <row r="1527">
          <cell r="A1527" t="str">
            <v>30DTV1024G</v>
          </cell>
          <cell r="B1527" t="str">
            <v>21 DE MARZO</v>
          </cell>
          <cell r="C1527" t="str">
            <v>ARAUCARIAS S/N</v>
          </cell>
          <cell r="D1527" t="str">
            <v>ROGELIO LAZARO GAPIS</v>
          </cell>
          <cell r="E1527">
            <v>77</v>
          </cell>
          <cell r="F1527">
            <v>21</v>
          </cell>
          <cell r="G1527" t="str">
            <v>XALAPA</v>
          </cell>
          <cell r="H1527" t="str">
            <v>XALAPA-ENRIQUEZ</v>
          </cell>
        </row>
        <row r="1528">
          <cell r="A1528" t="str">
            <v>30DTV0122A</v>
          </cell>
          <cell r="B1528" t="str">
            <v>VALENTIN GOMEZ FARIAS</v>
          </cell>
          <cell r="C1528" t="str">
            <v>VERACRUZ NUM. 3</v>
          </cell>
          <cell r="D1528" t="str">
            <v>MENARDO DOMINGUEZ RIVERA</v>
          </cell>
          <cell r="E1528">
            <v>77</v>
          </cell>
          <cell r="F1528">
            <v>21</v>
          </cell>
          <cell r="G1528" t="str">
            <v>NAOLINCO</v>
          </cell>
          <cell r="H1528" t="str">
            <v>LAS HALDAS</v>
          </cell>
        </row>
        <row r="1529">
          <cell r="A1529" t="str">
            <v>30DTV0211U</v>
          </cell>
          <cell r="B1529" t="str">
            <v>20 DE NOVIEMBRE</v>
          </cell>
          <cell r="C1529" t="str">
            <v>CONOCIDO</v>
          </cell>
          <cell r="D1529" t="str">
            <v>VICTOR MANUEL OLIVARES RAMIREZ</v>
          </cell>
          <cell r="E1529">
            <v>77</v>
          </cell>
          <cell r="F1529">
            <v>21</v>
          </cell>
          <cell r="G1529" t="str">
            <v>PEROTE</v>
          </cell>
          <cell r="H1529" t="str">
            <v>LOS PESCADOS</v>
          </cell>
        </row>
        <row r="1530">
          <cell r="A1530" t="str">
            <v>30DTV1113Z</v>
          </cell>
          <cell r="B1530" t="str">
            <v>AQUILES SERDAN</v>
          </cell>
          <cell r="C1530" t="str">
            <v>JOSE AZUETA NUM. 4</v>
          </cell>
          <cell r="D1530" t="str">
            <v>JUVENTINO P. SANCHEZ MARTINEZ</v>
          </cell>
          <cell r="E1530">
            <v>77</v>
          </cell>
          <cell r="F1530">
            <v>21</v>
          </cell>
          <cell r="G1530" t="str">
            <v>LAS VIGAS DE RAMIREZ</v>
          </cell>
          <cell r="H1530" t="str">
            <v>LAS VIGAS DE RAMIREZ</v>
          </cell>
        </row>
        <row r="1531">
          <cell r="A1531" t="str">
            <v>30DTV1449L</v>
          </cell>
          <cell r="B1531" t="str">
            <v>ROSARIO CASTELLANOS</v>
          </cell>
          <cell r="C1531" t="str">
            <v>SEGUNDA DE IGNACIO ZARAGOZA S/N</v>
          </cell>
          <cell r="D1531" t="str">
            <v>ELIZABETH HERNANDEZ VIVEROS</v>
          </cell>
          <cell r="E1531">
            <v>77</v>
          </cell>
          <cell r="F1531">
            <v>21</v>
          </cell>
          <cell r="G1531" t="str">
            <v>LAS VIGAS DE RAMIREZ</v>
          </cell>
          <cell r="H1531" t="str">
            <v>TOXTLACUAYA</v>
          </cell>
        </row>
        <row r="1532">
          <cell r="A1532" t="str">
            <v>30DTV1286R</v>
          </cell>
          <cell r="B1532" t="str">
            <v>GUADALUPE VICTORIA</v>
          </cell>
          <cell r="C1532" t="str">
            <v>CONOCIDO</v>
          </cell>
          <cell r="D1532" t="str">
            <v>ROSA ILEANA MARTINEZ LEON</v>
          </cell>
          <cell r="E1532">
            <v>77</v>
          </cell>
          <cell r="F1532">
            <v>21</v>
          </cell>
          <cell r="G1532" t="str">
            <v>LAS VIGAS DE RAMIREZ</v>
          </cell>
          <cell r="H1532" t="str">
            <v>EL LLANILLO REDONDO</v>
          </cell>
        </row>
        <row r="1533">
          <cell r="A1533" t="str">
            <v>30DTV0214R</v>
          </cell>
          <cell r="B1533" t="str">
            <v>BENEMERITO DE LAS AMERICAS</v>
          </cell>
          <cell r="C1533" t="str">
            <v>LERDO S/N</v>
          </cell>
          <cell r="D1533" t="str">
            <v>MARIA TRINIDAD GERON Y HERRERA</v>
          </cell>
          <cell r="E1533">
            <v>77</v>
          </cell>
          <cell r="F1533">
            <v>21</v>
          </cell>
          <cell r="G1533" t="str">
            <v>TATATILA</v>
          </cell>
          <cell r="H1533" t="str">
            <v>TATATILA</v>
          </cell>
        </row>
        <row r="1534">
          <cell r="A1534" t="str">
            <v>30DTV1271P</v>
          </cell>
          <cell r="B1534" t="str">
            <v>SEBASTIAN CAMACHO</v>
          </cell>
          <cell r="C1534" t="str">
            <v>CONOCIDO</v>
          </cell>
          <cell r="D1534" t="str">
            <v>MAYRA YESENIA ACOSTA VELASCO</v>
          </cell>
          <cell r="E1534">
            <v>77</v>
          </cell>
          <cell r="F1534">
            <v>21</v>
          </cell>
          <cell r="G1534" t="str">
            <v>TATATILA</v>
          </cell>
          <cell r="H1534" t="str">
            <v>PIEDRA PARADA</v>
          </cell>
        </row>
        <row r="1535">
          <cell r="A1535" t="str">
            <v>30DTV1585P</v>
          </cell>
          <cell r="B1535" t="str">
            <v>TELESECUNDARIA</v>
          </cell>
          <cell r="C1535" t="str">
            <v>CONOCIDO</v>
          </cell>
          <cell r="D1535" t="str">
            <v>LUIS ALBERTO FIGUEROA ROA</v>
          </cell>
          <cell r="E1535">
            <v>77</v>
          </cell>
          <cell r="F1535">
            <v>21</v>
          </cell>
          <cell r="G1535" t="str">
            <v>TATATILA</v>
          </cell>
          <cell r="H1535" t="str">
            <v>PILHUATEPEC</v>
          </cell>
        </row>
        <row r="1536">
          <cell r="A1536" t="str">
            <v>30DTV1613V</v>
          </cell>
          <cell r="B1536" t="str">
            <v>DAVID ALFARO SIQUEIROS</v>
          </cell>
          <cell r="C1536" t="str">
            <v>SALON SOCIAL DE LA COMUNIDAD</v>
          </cell>
          <cell r="D1536" t="str">
            <v>MARTHA CECILIA HERNANDEZ RIVERA</v>
          </cell>
          <cell r="E1536">
            <v>77</v>
          </cell>
          <cell r="F1536">
            <v>21</v>
          </cell>
          <cell r="G1536" t="str">
            <v>TLACOLULAN</v>
          </cell>
          <cell r="H1536" t="str">
            <v>EJIDO SAN JOSE</v>
          </cell>
        </row>
        <row r="1537">
          <cell r="A1537" t="str">
            <v>30DTV0775Z</v>
          </cell>
          <cell r="B1537" t="str">
            <v>CUAUHTEMOC</v>
          </cell>
          <cell r="C1537" t="str">
            <v>CONOCIDO</v>
          </cell>
          <cell r="D1537" t="str">
            <v>JOSE PORFIRIO SOLANO GARCIA</v>
          </cell>
          <cell r="E1537">
            <v>77</v>
          </cell>
          <cell r="F1537">
            <v>21</v>
          </cell>
          <cell r="G1537" t="str">
            <v>VILLA ALDAMA</v>
          </cell>
          <cell r="H1537" t="str">
            <v>CRUZ BLANCA</v>
          </cell>
        </row>
        <row r="1538">
          <cell r="A1538" t="str">
            <v>30DTV1588M</v>
          </cell>
          <cell r="B1538" t="str">
            <v>SALVADOR NOVO</v>
          </cell>
          <cell r="C1538" t="str">
            <v>CONOCIDO</v>
          </cell>
          <cell r="D1538" t="str">
            <v>HERMILO DANIEL VIVEROS GOMEZ</v>
          </cell>
          <cell r="E1538">
            <v>77</v>
          </cell>
          <cell r="F1538">
            <v>21</v>
          </cell>
          <cell r="G1538" t="str">
            <v>VILLA ALDAMA</v>
          </cell>
          <cell r="H1538" t="str">
            <v>COLONIA LIBERTAD</v>
          </cell>
        </row>
        <row r="1539">
          <cell r="A1539" t="str">
            <v>30DTV1524B</v>
          </cell>
          <cell r="B1539" t="str">
            <v>ROSARIO CASTELLANOS</v>
          </cell>
          <cell r="C1539" t="str">
            <v>CONOCIDO</v>
          </cell>
          <cell r="D1539" t="str">
            <v>MARTHA CECILIA HERNANDEZ RIVERA</v>
          </cell>
          <cell r="E1539">
            <v>77</v>
          </cell>
          <cell r="F1539">
            <v>21</v>
          </cell>
          <cell r="G1539" t="str">
            <v>VILLA ALDAMA</v>
          </cell>
          <cell r="H1539" t="str">
            <v>COLONIA BENITO JUAREZ</v>
          </cell>
        </row>
        <row r="1540">
          <cell r="A1540" t="str">
            <v>30DTV0702H</v>
          </cell>
          <cell r="B1540" t="str">
            <v>ENRIQUE C. REBSAMEN</v>
          </cell>
          <cell r="C1540" t="str">
            <v>FRANCISCO VILLA S/N</v>
          </cell>
          <cell r="D1540" t="str">
            <v>FELIZA BLANCO ARCINIEGA</v>
          </cell>
          <cell r="E1540">
            <v>78</v>
          </cell>
          <cell r="F1540">
            <v>14</v>
          </cell>
          <cell r="G1540" t="str">
            <v>JALTIPAN</v>
          </cell>
          <cell r="H1540" t="str">
            <v>JALTIPAN DE MORELOS</v>
          </cell>
        </row>
        <row r="1541">
          <cell r="A1541" t="str">
            <v>30DTV1573K</v>
          </cell>
          <cell r="B1541" t="str">
            <v>JUSTO SIERRA</v>
          </cell>
          <cell r="C1541" t="str">
            <v>DANTE DELGADO RANAURO S/N</v>
          </cell>
          <cell r="D1541" t="str">
            <v>DAVID CONTRERAS BLANCO</v>
          </cell>
          <cell r="E1541">
            <v>78</v>
          </cell>
          <cell r="F1541">
            <v>14</v>
          </cell>
          <cell r="G1541" t="str">
            <v>JALTIPAN</v>
          </cell>
          <cell r="H1541" t="str">
            <v>IXPUCHAPAN</v>
          </cell>
        </row>
        <row r="1542">
          <cell r="A1542" t="str">
            <v>30DTV0741J</v>
          </cell>
          <cell r="B1542" t="str">
            <v>JAIME NUNO ROCA</v>
          </cell>
          <cell r="C1542" t="str">
            <v>A UN COSTADO DE LA PRIMARIA</v>
          </cell>
          <cell r="D1542" t="str">
            <v>JAIME LUIS SANCHEZ</v>
          </cell>
          <cell r="E1542">
            <v>78</v>
          </cell>
          <cell r="F1542">
            <v>14</v>
          </cell>
          <cell r="G1542" t="str">
            <v>JALTIPAN</v>
          </cell>
          <cell r="H1542" t="str">
            <v>RANCHOAPAN</v>
          </cell>
        </row>
        <row r="1543">
          <cell r="A1543" t="str">
            <v>30DTV0951O</v>
          </cell>
          <cell r="B1543" t="str">
            <v>FRANCISCO JAVIER CLAVIJERO</v>
          </cell>
          <cell r="C1543" t="str">
            <v>REFORMA AGRARIA S/N</v>
          </cell>
          <cell r="D1543" t="str">
            <v>JOSE DE JESUS RODRIGUEZ GRAJALES</v>
          </cell>
          <cell r="E1543">
            <v>78</v>
          </cell>
          <cell r="F1543">
            <v>14</v>
          </cell>
          <cell r="G1543" t="str">
            <v>JESUS CARRANZA</v>
          </cell>
          <cell r="H1543" t="str">
            <v>CHALCHIJAPAN ANEXO EL PARAISO</v>
          </cell>
        </row>
        <row r="1544">
          <cell r="A1544" t="str">
            <v>30DTV1248O</v>
          </cell>
          <cell r="B1544" t="str">
            <v>BENITO JUAREZ GARCIA</v>
          </cell>
          <cell r="C1544" t="str">
            <v>COLOMBIA LANO S/N</v>
          </cell>
          <cell r="D1544" t="str">
            <v>JOSE ALFREDO JIMENEZ PORTILLA</v>
          </cell>
          <cell r="E1544">
            <v>78</v>
          </cell>
          <cell r="F1544">
            <v>14</v>
          </cell>
          <cell r="G1544" t="str">
            <v>JESUS CARRANZA</v>
          </cell>
          <cell r="H1544" t="str">
            <v>DIECISEIS DE SEPTIEMBRE</v>
          </cell>
        </row>
        <row r="1545">
          <cell r="A1545" t="str">
            <v>30DTV1090F</v>
          </cell>
          <cell r="B1545" t="str">
            <v>NIÐOS HEROES</v>
          </cell>
          <cell r="C1545" t="str">
            <v>EMILIANO ZAPATA S/N</v>
          </cell>
          <cell r="D1545" t="str">
            <v>OSIRIS DELGADO  TRUJILLO</v>
          </cell>
          <cell r="E1545">
            <v>78</v>
          </cell>
          <cell r="F1545">
            <v>14</v>
          </cell>
          <cell r="G1545" t="str">
            <v>JESUS CARRANZA</v>
          </cell>
          <cell r="H1545" t="str">
            <v>LAS LIMAS</v>
          </cell>
        </row>
        <row r="1546">
          <cell r="A1546" t="str">
            <v>30DTV0660Z</v>
          </cell>
          <cell r="B1546" t="str">
            <v>ALFONSO ARROYO FLORES</v>
          </cell>
          <cell r="C1546" t="str">
            <v>CALIFORNIA S/N</v>
          </cell>
          <cell r="D1546" t="str">
            <v>CLEMENTINA HERNANDEZ ORTEGA</v>
          </cell>
          <cell r="E1546">
            <v>78</v>
          </cell>
          <cell r="F1546">
            <v>14</v>
          </cell>
          <cell r="G1546" t="str">
            <v>JESUS CARRANZA</v>
          </cell>
          <cell r="H1546" t="str">
            <v>MODELO DOS RIOS (LAS FLORES)</v>
          </cell>
        </row>
        <row r="1547">
          <cell r="A1547" t="str">
            <v>30DTV1555V</v>
          </cell>
          <cell r="B1547" t="str">
            <v>RENATO LEDUC</v>
          </cell>
          <cell r="C1547" t="str">
            <v>ESCUELA PRIMARIA BENITO JUAREZ</v>
          </cell>
          <cell r="D1547" t="str">
            <v>MANUEL BARRIOS GONZALEZ</v>
          </cell>
          <cell r="E1547">
            <v>78</v>
          </cell>
          <cell r="F1547">
            <v>14</v>
          </cell>
          <cell r="G1547" t="str">
            <v>JESUS CARRANZA</v>
          </cell>
          <cell r="H1547" t="str">
            <v>NUEVA ESPERANZA</v>
          </cell>
        </row>
        <row r="1548">
          <cell r="A1548" t="str">
            <v>30DTV0950P</v>
          </cell>
          <cell r="B1548" t="str">
            <v>IGNACIO ZARAGOZA</v>
          </cell>
          <cell r="C1548" t="str">
            <v>AVENIDA INDEPENDENCIA S/N</v>
          </cell>
          <cell r="D1548" t="str">
            <v>TOMAS SANTIAGO DEL ANGEL</v>
          </cell>
          <cell r="E1548">
            <v>78</v>
          </cell>
          <cell r="F1548">
            <v>14</v>
          </cell>
          <cell r="G1548" t="str">
            <v>JESUS CARRANZA</v>
          </cell>
          <cell r="H1548" t="str">
            <v>SUCHILAPAN DEL RIO</v>
          </cell>
        </row>
        <row r="1549">
          <cell r="A1549" t="str">
            <v>30DTV0948A</v>
          </cell>
          <cell r="B1549" t="str">
            <v>LUIS DONALDO COLOSIO MURRIETA</v>
          </cell>
          <cell r="C1549" t="str">
            <v>SALIDA A TOCOLOTEPEC</v>
          </cell>
          <cell r="D1549" t="str">
            <v>ROBERTO BAUTISTA MELENDEZ</v>
          </cell>
          <cell r="E1549">
            <v>78</v>
          </cell>
          <cell r="F1549">
            <v>14</v>
          </cell>
          <cell r="G1549" t="str">
            <v>JESUS CARRANZA</v>
          </cell>
          <cell r="H1549" t="str">
            <v>EL TEPACHE</v>
          </cell>
        </row>
        <row r="1550">
          <cell r="A1550" t="str">
            <v>30DTV1804L</v>
          </cell>
          <cell r="B1550" t="str">
            <v>TELESECUNDARIA</v>
          </cell>
          <cell r="C1550" t="str">
            <v>16 DE SEPTIEMBRE S/N (CASA DE SALUD)</v>
          </cell>
          <cell r="D1550" t="str">
            <v>JUAN PABLO SANTOS GUZMAN</v>
          </cell>
          <cell r="E1550">
            <v>78</v>
          </cell>
          <cell r="F1550">
            <v>14</v>
          </cell>
          <cell r="G1550" t="str">
            <v>JESUS CARRANZA</v>
          </cell>
          <cell r="H1550" t="str">
            <v>NUEVO ZACUALPAN</v>
          </cell>
        </row>
        <row r="1551">
          <cell r="A1551" t="str">
            <v>30DTV0949Z</v>
          </cell>
          <cell r="B1551" t="str">
            <v>IGNACIO ZARAGOZA</v>
          </cell>
          <cell r="C1551" t="str">
            <v>FRANCISCO I. MADERO</v>
          </cell>
          <cell r="D1551" t="str">
            <v>ANGEL FRANCISCO LICONA BERNABE</v>
          </cell>
          <cell r="E1551">
            <v>78</v>
          </cell>
          <cell r="F1551">
            <v>14</v>
          </cell>
          <cell r="G1551" t="str">
            <v>JESUS CARRANZA</v>
          </cell>
          <cell r="H1551" t="str">
            <v>24 DE FEBRERO</v>
          </cell>
        </row>
        <row r="1552">
          <cell r="A1552" t="str">
            <v>30DTV0659J</v>
          </cell>
          <cell r="B1552" t="str">
            <v>JOSE MARIA MORELOS Y PAVON</v>
          </cell>
          <cell r="C1552" t="str">
            <v>JESUS CARRANZA S/N</v>
          </cell>
          <cell r="D1552" t="str">
            <v>RAFAEL CRUZ ALEJANDRE</v>
          </cell>
          <cell r="E1552">
            <v>78</v>
          </cell>
          <cell r="F1552">
            <v>14</v>
          </cell>
          <cell r="G1552" t="str">
            <v>JESUS CARRANZA</v>
          </cell>
          <cell r="H1552" t="str">
            <v>BUENAVISTA</v>
          </cell>
        </row>
        <row r="1553">
          <cell r="A1553" t="str">
            <v>30DTV1000X</v>
          </cell>
          <cell r="B1553" t="str">
            <v>LIC. ADOLFO LOPEZ MATEOS</v>
          </cell>
          <cell r="C1553" t="str">
            <v>CARRETERA A ROMERO RUBIO S/N</v>
          </cell>
          <cell r="D1553" t="str">
            <v>ARACELI SALINAS HERNANDEZ</v>
          </cell>
          <cell r="E1553">
            <v>78</v>
          </cell>
          <cell r="F1553">
            <v>14</v>
          </cell>
          <cell r="G1553" t="str">
            <v>SAYULA DE ALEMAN</v>
          </cell>
          <cell r="H1553" t="str">
            <v>ADOLFO LOPEZ MATEOS</v>
          </cell>
        </row>
        <row r="1554">
          <cell r="A1554" t="str">
            <v>30DTV0142O</v>
          </cell>
          <cell r="B1554" t="str">
            <v>SOR JUANA INES DE LA CRUZ</v>
          </cell>
          <cell r="C1554" t="str">
            <v>CARRETERA A LOPEZ MATEOS S/N</v>
          </cell>
          <cell r="D1554" t="str">
            <v>FACUNDO CRUZ HERNANDEZ</v>
          </cell>
          <cell r="E1554">
            <v>78</v>
          </cell>
          <cell r="F1554">
            <v>14</v>
          </cell>
          <cell r="G1554" t="str">
            <v>SAYULA DE ALEMAN</v>
          </cell>
          <cell r="H1554" t="str">
            <v>MEDIAS AGUAS</v>
          </cell>
        </row>
        <row r="1555">
          <cell r="A1555" t="str">
            <v>30DTV0612P</v>
          </cell>
          <cell r="B1555" t="str">
            <v>LEONA VICARIO</v>
          </cell>
          <cell r="C1555" t="str">
            <v>FERNANDO LOPEZ ARIAS S/N</v>
          </cell>
          <cell r="D1555" t="str">
            <v>AURELIANO DOMINGUEZ VAZQUEZ</v>
          </cell>
          <cell r="E1555">
            <v>78</v>
          </cell>
          <cell r="F1555">
            <v>14</v>
          </cell>
          <cell r="G1555" t="str">
            <v>SAYULA DE ALEMAN</v>
          </cell>
          <cell r="H1555" t="str">
            <v>EL PROGRESO MIXE</v>
          </cell>
        </row>
        <row r="1556">
          <cell r="A1556" t="str">
            <v>30DTV1399U</v>
          </cell>
          <cell r="B1556" t="str">
            <v>ANTONIO MARTINEZ DE CASTRO</v>
          </cell>
          <cell r="C1556" t="str">
            <v>BENITO JUAREZ S/N</v>
          </cell>
          <cell r="D1556" t="str">
            <v>FELICITAS SAN JUAN GARCIA</v>
          </cell>
          <cell r="E1556">
            <v>78</v>
          </cell>
          <cell r="F1556">
            <v>14</v>
          </cell>
          <cell r="G1556" t="str">
            <v>UXPANAPA</v>
          </cell>
          <cell r="H1556" t="str">
            <v>LAS CAROLINAS (POBLADO NUEVE)</v>
          </cell>
        </row>
        <row r="1557">
          <cell r="A1557" t="str">
            <v>30DTV1447N</v>
          </cell>
          <cell r="B1557" t="str">
            <v>LAZARO CARDENAS DEL RIO</v>
          </cell>
          <cell r="C1557" t="str">
            <v>CARRETERA MURILLO VIDAL S/N</v>
          </cell>
          <cell r="D1557" t="str">
            <v>MANUEL PESTAÐA VELA</v>
          </cell>
          <cell r="E1557">
            <v>78</v>
          </cell>
          <cell r="F1557">
            <v>14</v>
          </cell>
          <cell r="G1557" t="str">
            <v>UXPANAPA</v>
          </cell>
          <cell r="H1557" t="str">
            <v>CHUNIAPAN DE ARRIBA</v>
          </cell>
        </row>
        <row r="1558">
          <cell r="A1558" t="str">
            <v>30DTV0281P</v>
          </cell>
          <cell r="B1558" t="str">
            <v>ALFONSO ARROYO FLORES</v>
          </cell>
          <cell r="C1558" t="str">
            <v>FRENTE A LA IGLESIA</v>
          </cell>
          <cell r="D1558" t="str">
            <v>MINERVA CRUZ DE LA CRUZ</v>
          </cell>
          <cell r="E1558">
            <v>78</v>
          </cell>
          <cell r="F1558">
            <v>14</v>
          </cell>
          <cell r="G1558" t="str">
            <v>UXPANAPA</v>
          </cell>
          <cell r="H1558" t="str">
            <v>HELIO GARCIA ALFARO (POBLADO ONCE)</v>
          </cell>
        </row>
        <row r="1559">
          <cell r="A1559" t="str">
            <v>30DTV0744G</v>
          </cell>
          <cell r="B1559" t="str">
            <v>GUSTAVO DIAZ ORDAZ</v>
          </cell>
          <cell r="C1559" t="str">
            <v>GUSTAVO DIAZ ORDAZ S/N</v>
          </cell>
          <cell r="D1559" t="str">
            <v>MARCO ANTONIO GONZALEZ PASCUAL</v>
          </cell>
          <cell r="E1559">
            <v>78</v>
          </cell>
          <cell r="F1559">
            <v>14</v>
          </cell>
          <cell r="G1559" t="str">
            <v>UXPANAPA</v>
          </cell>
          <cell r="H1559" t="str">
            <v>ENTRADA AL POBLADO CINCO (CAMINO REAL)</v>
          </cell>
        </row>
        <row r="1560">
          <cell r="A1560" t="str">
            <v>30DTV1448M</v>
          </cell>
          <cell r="B1560" t="str">
            <v>TELESECUNDARIA</v>
          </cell>
          <cell r="C1560" t="str">
            <v>JUNTO A LA PRIMARIA</v>
          </cell>
          <cell r="D1560" t="str">
            <v>RICARDO GUERRERO REYES</v>
          </cell>
          <cell r="E1560">
            <v>78</v>
          </cell>
          <cell r="F1560">
            <v>14</v>
          </cell>
          <cell r="G1560" t="str">
            <v>UXPANAPA</v>
          </cell>
          <cell r="H1560" t="str">
            <v>FERNANDO LOPEZ ARIAS</v>
          </cell>
        </row>
        <row r="1561">
          <cell r="A1561" t="str">
            <v>30DTV0117P</v>
          </cell>
          <cell r="B1561" t="str">
            <v>MIGUEL HIDALGO Y COSTILLA</v>
          </cell>
          <cell r="C1561" t="str">
            <v>LAZARO CARDENAS S/N</v>
          </cell>
          <cell r="D1561" t="str">
            <v>RAFAEL BLANCO CALLES</v>
          </cell>
          <cell r="E1561">
            <v>78</v>
          </cell>
          <cell r="F1561">
            <v>14</v>
          </cell>
          <cell r="G1561" t="str">
            <v>UXPANAPA</v>
          </cell>
          <cell r="H1561" t="str">
            <v>HERMANOS CEDILLO (POBLADO DOS A)</v>
          </cell>
        </row>
        <row r="1562">
          <cell r="A1562" t="str">
            <v>30DTV1506M</v>
          </cell>
          <cell r="B1562" t="str">
            <v>JOSE VASCONCELOS CALDERON</v>
          </cell>
          <cell r="C1562" t="str">
            <v>BOULEVARD ESQUINA HE5RMOSA</v>
          </cell>
          <cell r="D1562" t="str">
            <v>ALEJANDRO REBOLLEDO MOLINA</v>
          </cell>
          <cell r="E1562">
            <v>78</v>
          </cell>
          <cell r="F1562">
            <v>14</v>
          </cell>
          <cell r="G1562" t="str">
            <v>UXPANAPA</v>
          </cell>
          <cell r="H1562" t="str">
            <v>JORGE L. TAMAYO</v>
          </cell>
        </row>
        <row r="1563">
          <cell r="A1563" t="str">
            <v>30DTV1370P</v>
          </cell>
          <cell r="B1563" t="str">
            <v>JUAN ESCUTIA</v>
          </cell>
          <cell r="C1563" t="str">
            <v>PROLONGACION SALIDA A FRANCISO I. MADERO</v>
          </cell>
          <cell r="D1563" t="str">
            <v>JAIME ALBERTO TORIZ HERVER</v>
          </cell>
          <cell r="E1563">
            <v>78</v>
          </cell>
          <cell r="F1563">
            <v>14</v>
          </cell>
          <cell r="G1563" t="str">
            <v>UXPANAPA</v>
          </cell>
          <cell r="H1563" t="str">
            <v>NIÑOS HEROES (LOS JUANES)</v>
          </cell>
        </row>
        <row r="1564">
          <cell r="A1564" t="str">
            <v>30DTV1239G</v>
          </cell>
          <cell r="B1564" t="str">
            <v>EMILIANO ZAPATA</v>
          </cell>
          <cell r="C1564" t="str">
            <v>NICOLAS BRAVO S/N</v>
          </cell>
          <cell r="D1564" t="str">
            <v>LUIS RAUL TRINIDAD NINO</v>
          </cell>
          <cell r="E1564">
            <v>78</v>
          </cell>
          <cell r="F1564">
            <v>14</v>
          </cell>
          <cell r="G1564" t="str">
            <v>UXPANAPA</v>
          </cell>
          <cell r="H1564" t="str">
            <v>POBLADO CINCO</v>
          </cell>
        </row>
        <row r="1565">
          <cell r="A1565" t="str">
            <v>30DTV1805K</v>
          </cell>
          <cell r="B1565" t="str">
            <v>TELESECUNDARIA</v>
          </cell>
          <cell r="C1565" t="str">
            <v>BENITO JUAREZ S/N (ESCUELA PRIMARIA)</v>
          </cell>
          <cell r="D1565" t="str">
            <v>JHANDI DE JESUS CRUZ CALDELAS</v>
          </cell>
          <cell r="E1565">
            <v>78</v>
          </cell>
          <cell r="F1565">
            <v>14</v>
          </cell>
          <cell r="G1565" t="str">
            <v>UXPANAPA</v>
          </cell>
          <cell r="H1565" t="str">
            <v>EL PROGRESO</v>
          </cell>
        </row>
        <row r="1566">
          <cell r="A1566" t="str">
            <v>30DTV1272O</v>
          </cell>
          <cell r="B1566" t="str">
            <v>GABRIELA MISTRAL</v>
          </cell>
          <cell r="C1566" t="str">
            <v>POZA RICA S/N</v>
          </cell>
          <cell r="D1566" t="str">
            <v>YOLANDA VERA AZUARA</v>
          </cell>
          <cell r="E1566">
            <v>79</v>
          </cell>
          <cell r="F1566">
            <v>18</v>
          </cell>
          <cell r="G1566" t="str">
            <v>TEMAPACHE</v>
          </cell>
          <cell r="H1566" t="str">
            <v>ALAMO</v>
          </cell>
        </row>
        <row r="1567">
          <cell r="A1567" t="str">
            <v>30DTV1356W</v>
          </cell>
          <cell r="B1567" t="str">
            <v>ROSARIO CASTELLANOS</v>
          </cell>
          <cell r="C1567" t="str">
            <v>CONOCIDO</v>
          </cell>
          <cell r="D1567" t="str">
            <v>TERESA DE JESUS PABLO LEE</v>
          </cell>
          <cell r="E1567">
            <v>79</v>
          </cell>
          <cell r="F1567">
            <v>18</v>
          </cell>
          <cell r="G1567" t="str">
            <v>TEMAPACHE</v>
          </cell>
          <cell r="H1567" t="str">
            <v>AGUA NACIDA</v>
          </cell>
        </row>
        <row r="1568">
          <cell r="A1568" t="str">
            <v>30DTV0067Y</v>
          </cell>
          <cell r="B1568" t="str">
            <v>LAZARO CARDENAS DEL RIO</v>
          </cell>
          <cell r="C1568" t="str">
            <v>CONOCIDO</v>
          </cell>
          <cell r="D1568" t="str">
            <v>VIRGINIO PULIDO RAMIREZ</v>
          </cell>
          <cell r="E1568">
            <v>79</v>
          </cell>
          <cell r="F1568">
            <v>18</v>
          </cell>
          <cell r="G1568" t="str">
            <v>TEMAPACHE</v>
          </cell>
          <cell r="H1568" t="str">
            <v>BUENOS AIRES (SAN ISIDRO)</v>
          </cell>
        </row>
        <row r="1569">
          <cell r="A1569" t="str">
            <v>30DTV1103T</v>
          </cell>
          <cell r="B1569" t="str">
            <v>SALVADOR DIAZ MIRON</v>
          </cell>
          <cell r="C1569" t="str">
            <v>CONOCIDO</v>
          </cell>
          <cell r="D1569" t="str">
            <v>JOSE ANTONIO AGUILAR MORENO</v>
          </cell>
          <cell r="E1569">
            <v>79</v>
          </cell>
          <cell r="F1569">
            <v>18</v>
          </cell>
          <cell r="G1569" t="str">
            <v>TEMAPACHE</v>
          </cell>
          <cell r="H1569" t="str">
            <v>CERRO DEL PLUMAJE</v>
          </cell>
        </row>
        <row r="1570">
          <cell r="A1570" t="str">
            <v>30DTV0072J</v>
          </cell>
          <cell r="B1570" t="str">
            <v>VICENTE GUERRERO</v>
          </cell>
          <cell r="C1570" t="str">
            <v>CONOCIDO</v>
          </cell>
          <cell r="D1570" t="str">
            <v>CIRENIO DEL ANGEL DEL ANGEL</v>
          </cell>
          <cell r="E1570">
            <v>79</v>
          </cell>
          <cell r="F1570">
            <v>18</v>
          </cell>
          <cell r="G1570" t="str">
            <v>TEMAPACHE</v>
          </cell>
          <cell r="H1570" t="str">
            <v>LA CONCEPCION</v>
          </cell>
        </row>
        <row r="1571">
          <cell r="A1571" t="str">
            <v>30DTV1150D</v>
          </cell>
          <cell r="B1571" t="str">
            <v>SOR JUANA INES DE LA CRUZ</v>
          </cell>
          <cell r="C1571" t="str">
            <v>CONOCIDO LA GALERA</v>
          </cell>
          <cell r="D1571" t="str">
            <v>TOMAS CRUZ CRUZ</v>
          </cell>
          <cell r="E1571">
            <v>79</v>
          </cell>
          <cell r="F1571">
            <v>18</v>
          </cell>
          <cell r="G1571" t="str">
            <v>TEMAPACHE</v>
          </cell>
          <cell r="H1571" t="str">
            <v>LA PEDRERA (CUICUINACO)</v>
          </cell>
        </row>
        <row r="1572">
          <cell r="A1572" t="str">
            <v>30DTV1105R</v>
          </cell>
          <cell r="B1572" t="str">
            <v>BENITO JUAREZ GARCIA</v>
          </cell>
          <cell r="C1572" t="str">
            <v>CONOCIDO</v>
          </cell>
          <cell r="D1572" t="str">
            <v>GUSTAVO MENDOZA GARCIA</v>
          </cell>
          <cell r="E1572">
            <v>79</v>
          </cell>
          <cell r="F1572">
            <v>18</v>
          </cell>
          <cell r="G1572" t="str">
            <v>TEMAPACHE</v>
          </cell>
          <cell r="H1572" t="str">
            <v>EMILIANO ZAPATA</v>
          </cell>
        </row>
        <row r="1573">
          <cell r="A1573" t="str">
            <v>30DTV1737D</v>
          </cell>
          <cell r="B1573" t="str">
            <v>TELESECUNDARIA</v>
          </cell>
          <cell r="C1573" t="str">
            <v>BENITO JUAREZ S/N</v>
          </cell>
          <cell r="D1573" t="str">
            <v>BRUNO MARIANO UZCANGA</v>
          </cell>
          <cell r="E1573">
            <v>79</v>
          </cell>
          <cell r="F1573">
            <v>18</v>
          </cell>
          <cell r="G1573" t="str">
            <v>TEMAPACHE</v>
          </cell>
          <cell r="H1573" t="str">
            <v>LA ESPERANZA NUEVA</v>
          </cell>
        </row>
        <row r="1574">
          <cell r="A1574" t="str">
            <v>30DTV1441T</v>
          </cell>
          <cell r="B1574" t="str">
            <v>RUBEN DARIO</v>
          </cell>
          <cell r="C1574" t="str">
            <v>CONOCIDO</v>
          </cell>
          <cell r="D1574" t="str">
            <v>MARGARITA CORTES FRANCISCO</v>
          </cell>
          <cell r="E1574">
            <v>79</v>
          </cell>
          <cell r="F1574">
            <v>18</v>
          </cell>
          <cell r="G1574" t="str">
            <v>TEMAPACHE</v>
          </cell>
          <cell r="H1574" t="str">
            <v>SAN FERNANDO</v>
          </cell>
        </row>
        <row r="1575">
          <cell r="A1575" t="str">
            <v>30DTV1044U</v>
          </cell>
          <cell r="B1575" t="str">
            <v>JOSE VASCONCELOS</v>
          </cell>
          <cell r="C1575" t="str">
            <v>CALLE PRINCIPAL</v>
          </cell>
          <cell r="D1575" t="str">
            <v>JAVIER CABRERA ESPINOZA</v>
          </cell>
          <cell r="E1575">
            <v>79</v>
          </cell>
          <cell r="F1575">
            <v>18</v>
          </cell>
          <cell r="G1575" t="str">
            <v>TEMAPACHE</v>
          </cell>
          <cell r="H1575" t="str">
            <v>HIDALGO AMAJAC</v>
          </cell>
        </row>
        <row r="1576">
          <cell r="A1576" t="str">
            <v>30DTV0975Y</v>
          </cell>
          <cell r="B1576" t="str">
            <v>BENITO JUAREZ GARCIA</v>
          </cell>
          <cell r="C1576" t="str">
            <v>CALLE PRINCIPAL</v>
          </cell>
          <cell r="D1576" t="str">
            <v>ANGEL ARGUELLES BALDERAS</v>
          </cell>
          <cell r="E1576">
            <v>79</v>
          </cell>
          <cell r="F1576">
            <v>18</v>
          </cell>
          <cell r="G1576" t="str">
            <v>TEMAPACHE</v>
          </cell>
          <cell r="H1576" t="str">
            <v>LOMAS DE VINAZCO</v>
          </cell>
        </row>
        <row r="1577">
          <cell r="A1577" t="str">
            <v>30DTV0910O</v>
          </cell>
          <cell r="B1577" t="str">
            <v>FRANCISCO I. MADERO</v>
          </cell>
          <cell r="C1577" t="str">
            <v>CONOCIDO</v>
          </cell>
          <cell r="D1577" t="str">
            <v>MERCED MARTINEZ CERECEDO</v>
          </cell>
          <cell r="E1577">
            <v>79</v>
          </cell>
          <cell r="F1577">
            <v>18</v>
          </cell>
          <cell r="G1577" t="str">
            <v>TEMAPACHE</v>
          </cell>
          <cell r="H1577" t="str">
            <v>OJITAL CIRUELO</v>
          </cell>
        </row>
        <row r="1578">
          <cell r="A1578" t="str">
            <v>30DTV0974Z</v>
          </cell>
          <cell r="B1578" t="str">
            <v>GREGORIO TORRES QUINTERO</v>
          </cell>
          <cell r="C1578" t="str">
            <v>CONOCIDO</v>
          </cell>
          <cell r="D1578" t="str">
            <v>VICENTE MONTALVO VAZQUEZ</v>
          </cell>
          <cell r="E1578">
            <v>79</v>
          </cell>
          <cell r="F1578">
            <v>18</v>
          </cell>
          <cell r="G1578" t="str">
            <v>TEMAPACHE</v>
          </cell>
          <cell r="H1578" t="str">
            <v>OJITAL SANTA MARIA</v>
          </cell>
        </row>
        <row r="1579">
          <cell r="A1579" t="str">
            <v>30DTV1738C</v>
          </cell>
          <cell r="B1579" t="str">
            <v>TELESECUNDARIA</v>
          </cell>
          <cell r="C1579" t="str">
            <v>CALLE PRINCIPAL S/N</v>
          </cell>
          <cell r="D1579" t="str">
            <v>MONICA ESTRADA MEDINA</v>
          </cell>
          <cell r="E1579">
            <v>79</v>
          </cell>
          <cell r="F1579">
            <v>18</v>
          </cell>
          <cell r="G1579" t="str">
            <v>TEMAPACHE</v>
          </cell>
          <cell r="H1579" t="str">
            <v>LA REFORMA</v>
          </cell>
        </row>
        <row r="1580">
          <cell r="A1580" t="str">
            <v>30DTV1149O</v>
          </cell>
          <cell r="B1580" t="str">
            <v>EMILIANO ZAPATA</v>
          </cell>
          <cell r="C1580" t="str">
            <v>CONOCIDO</v>
          </cell>
          <cell r="D1580" t="str">
            <v>JOSE ALONSO RAMIREZ RAMIREZ</v>
          </cell>
          <cell r="E1580">
            <v>79</v>
          </cell>
          <cell r="F1580">
            <v>18</v>
          </cell>
          <cell r="G1580" t="str">
            <v>TEMAPACHE</v>
          </cell>
          <cell r="H1580" t="str">
            <v>RODRIGUEZ CLARA</v>
          </cell>
        </row>
        <row r="1581">
          <cell r="A1581" t="str">
            <v>30DTV0835Y</v>
          </cell>
          <cell r="B1581" t="str">
            <v>NIÐOS HEROES</v>
          </cell>
          <cell r="C1581" t="str">
            <v>JUNTO AL PARQUE</v>
          </cell>
          <cell r="D1581" t="str">
            <v>ALFONSO HERRERA ESPINO</v>
          </cell>
          <cell r="E1581">
            <v>79</v>
          </cell>
          <cell r="F1581">
            <v>18</v>
          </cell>
          <cell r="G1581" t="str">
            <v>TEMAPACHE</v>
          </cell>
          <cell r="H1581" t="str">
            <v>SOMBRERETE GRANDE</v>
          </cell>
        </row>
        <row r="1582">
          <cell r="A1582" t="str">
            <v>30DTV1557T</v>
          </cell>
          <cell r="B1582" t="str">
            <v>GUILLERMO GONZALEZ CAMARENA</v>
          </cell>
          <cell r="C1582" t="str">
            <v>CONOCIDO</v>
          </cell>
          <cell r="D1582" t="str">
            <v>GUILLERMO PEREZ MARTINEZ</v>
          </cell>
          <cell r="E1582">
            <v>79</v>
          </cell>
          <cell r="F1582">
            <v>18</v>
          </cell>
          <cell r="G1582" t="str">
            <v>TEMAPACHE</v>
          </cell>
          <cell r="H1582" t="str">
            <v>TINCONTLAN</v>
          </cell>
        </row>
        <row r="1583">
          <cell r="A1583" t="str">
            <v>30DTV1586O</v>
          </cell>
          <cell r="B1583" t="str">
            <v>FERNANDO MONTES DE OCA RODRIGUEZ</v>
          </cell>
          <cell r="C1583" t="str">
            <v>CONOCIDO</v>
          </cell>
          <cell r="D1583" t="str">
            <v>YADIRA MAYA GALICIA</v>
          </cell>
          <cell r="E1583">
            <v>79</v>
          </cell>
          <cell r="F1583">
            <v>18</v>
          </cell>
          <cell r="G1583" t="str">
            <v>TEMAPACHE</v>
          </cell>
          <cell r="H1583" t="str">
            <v>URSULO GALVAN II</v>
          </cell>
        </row>
        <row r="1584">
          <cell r="A1584" t="str">
            <v>30DTV1129A</v>
          </cell>
          <cell r="B1584" t="str">
            <v>MOISES SAENZ GARZA</v>
          </cell>
          <cell r="C1584" t="str">
            <v>CONOCIDO</v>
          </cell>
          <cell r="D1584" t="str">
            <v>GABRIEL GARCIA CRUZ</v>
          </cell>
          <cell r="E1584">
            <v>79</v>
          </cell>
          <cell r="F1584">
            <v>18</v>
          </cell>
          <cell r="G1584" t="str">
            <v>TEMAPACHE</v>
          </cell>
          <cell r="H1584" t="str">
            <v>GENERAL A. TEJEDA Y SU A. GRACIANO SANCHEZ</v>
          </cell>
        </row>
        <row r="1585">
          <cell r="A1585" t="str">
            <v>30DTV1357V</v>
          </cell>
          <cell r="B1585" t="str">
            <v>EMILIANO ZAPATA</v>
          </cell>
          <cell r="C1585" t="str">
            <v>COLONIA INSURGENTES SOCIALISTAS</v>
          </cell>
          <cell r="D1585" t="str">
            <v>JUAN DEL ANGEL BARCENAS</v>
          </cell>
          <cell r="E1585">
            <v>79</v>
          </cell>
          <cell r="F1585">
            <v>18</v>
          </cell>
          <cell r="G1585" t="str">
            <v>TIHUATLAN</v>
          </cell>
          <cell r="H1585" t="str">
            <v>TIHUATLAN</v>
          </cell>
        </row>
        <row r="1586">
          <cell r="A1586" t="str">
            <v>30DTV1689K</v>
          </cell>
          <cell r="B1586" t="str">
            <v>JUAN ESCUTIA</v>
          </cell>
          <cell r="C1586" t="str">
            <v>ATRAS DE LA ESCUELA PRIMARIA</v>
          </cell>
          <cell r="D1586" t="str">
            <v>RENE FLORES NAVA</v>
          </cell>
          <cell r="E1586">
            <v>80</v>
          </cell>
          <cell r="F1586">
            <v>24</v>
          </cell>
          <cell r="G1586" t="str">
            <v>CHALMA</v>
          </cell>
          <cell r="H1586" t="str">
            <v>AQUIXCUATITLA</v>
          </cell>
        </row>
        <row r="1587">
          <cell r="A1587" t="str">
            <v>30DTV1183V</v>
          </cell>
          <cell r="B1587" t="str">
            <v>LUIS DONALDO COLOSIO MURRIETA</v>
          </cell>
          <cell r="C1587" t="str">
            <v>LAS PILAS</v>
          </cell>
          <cell r="D1587" t="str">
            <v>MARIO FLORES HERNANDEZ</v>
          </cell>
          <cell r="E1587">
            <v>80</v>
          </cell>
          <cell r="F1587">
            <v>24</v>
          </cell>
          <cell r="G1587" t="str">
            <v>CHALMA</v>
          </cell>
          <cell r="H1587" t="str">
            <v>EL PINTOR</v>
          </cell>
        </row>
        <row r="1588">
          <cell r="A1588" t="str">
            <v>30DTV1040Y</v>
          </cell>
          <cell r="B1588" t="str">
            <v>ADALBERTO TEJEDA</v>
          </cell>
          <cell r="C1588" t="str">
            <v>FRENTE A LA CLINICA DEL IMSS</v>
          </cell>
          <cell r="D1588" t="str">
            <v>FRANCISCO HERNANDEZ PEREZ</v>
          </cell>
          <cell r="E1588">
            <v>80</v>
          </cell>
          <cell r="F1588">
            <v>24</v>
          </cell>
          <cell r="G1588" t="str">
            <v>CHALMA</v>
          </cell>
          <cell r="H1588" t="str">
            <v>SAN PEDRO COYUTLA</v>
          </cell>
        </row>
        <row r="1589">
          <cell r="A1589" t="str">
            <v>30DTV1008P</v>
          </cell>
          <cell r="B1589" t="str">
            <v>AURORA RIVERA FLORES</v>
          </cell>
          <cell r="C1589" t="str">
            <v>ADOLFO LOPEZ MATEOS S/N</v>
          </cell>
          <cell r="D1589" t="str">
            <v>GILBERTO BAUTISTA ARGUELLES</v>
          </cell>
          <cell r="E1589">
            <v>80</v>
          </cell>
          <cell r="F1589">
            <v>24</v>
          </cell>
          <cell r="G1589" t="str">
            <v>CHICONAMEL</v>
          </cell>
          <cell r="H1589" t="str">
            <v>CHICONAMEL</v>
          </cell>
        </row>
        <row r="1590">
          <cell r="A1590" t="str">
            <v>30DTV1187R</v>
          </cell>
          <cell r="B1590" t="str">
            <v>ALVARO GALVEZ Y FUENTES</v>
          </cell>
          <cell r="C1590" t="str">
            <v>CONOCIDO</v>
          </cell>
          <cell r="D1590" t="str">
            <v>ABEL AGUILAR CONTRERAS</v>
          </cell>
          <cell r="E1590">
            <v>80</v>
          </cell>
          <cell r="F1590">
            <v>24</v>
          </cell>
          <cell r="G1590" t="str">
            <v>CHICONAMEL</v>
          </cell>
          <cell r="H1590" t="str">
            <v>EL CEPILLO</v>
          </cell>
        </row>
        <row r="1591">
          <cell r="A1591" t="str">
            <v>30DTV1690Z</v>
          </cell>
          <cell r="B1591" t="str">
            <v>SOR JUANA INES DE LA CRUZ</v>
          </cell>
          <cell r="C1591" t="str">
            <v>A UN LADO DEL JARDIN DE NIÑOS</v>
          </cell>
          <cell r="D1591" t="str">
            <v>RAFAEL ESPINOSA PEREZ</v>
          </cell>
          <cell r="E1591">
            <v>80</v>
          </cell>
          <cell r="F1591">
            <v>24</v>
          </cell>
          <cell r="G1591" t="str">
            <v>CHICONAMEL</v>
          </cell>
          <cell r="H1591" t="str">
            <v>EL MIRADOR</v>
          </cell>
        </row>
        <row r="1592">
          <cell r="A1592" t="str">
            <v>30DTV0802G</v>
          </cell>
          <cell r="B1592" t="str">
            <v>EMILIANO ZAPATA</v>
          </cell>
          <cell r="C1592" t="str">
            <v>REVOLUCION NUM. 1</v>
          </cell>
          <cell r="D1592" t="str">
            <v>JUAN ESPINOSA BADILLO</v>
          </cell>
          <cell r="E1592">
            <v>80</v>
          </cell>
          <cell r="F1592">
            <v>24</v>
          </cell>
          <cell r="G1592" t="str">
            <v>CHICONAMEL</v>
          </cell>
          <cell r="H1592" t="str">
            <v>MOTOLTEPEC</v>
          </cell>
        </row>
        <row r="1593">
          <cell r="A1593" t="str">
            <v>30DTV1055Z</v>
          </cell>
          <cell r="B1593" t="str">
            <v>JUSTO SIERRA</v>
          </cell>
          <cell r="C1593" t="str">
            <v>CALLE PRINCIPAL</v>
          </cell>
          <cell r="D1593" t="str">
            <v>DANIEL HERVERT ESPINOZA</v>
          </cell>
          <cell r="E1593">
            <v>80</v>
          </cell>
          <cell r="F1593">
            <v>24</v>
          </cell>
          <cell r="G1593" t="str">
            <v>CHICONAMEL</v>
          </cell>
          <cell r="H1593" t="str">
            <v>TANCAZAHUELA</v>
          </cell>
        </row>
        <row r="1594">
          <cell r="A1594" t="str">
            <v>30DTV1010D</v>
          </cell>
          <cell r="B1594" t="str">
            <v>LUIS DONALDO COLOSIO MURRIETA</v>
          </cell>
          <cell r="C1594" t="str">
            <v>CALLE PRINCIPAL</v>
          </cell>
          <cell r="D1594" t="str">
            <v>EPIGMENIO SANCHEZ TENORIO</v>
          </cell>
          <cell r="E1594">
            <v>80</v>
          </cell>
          <cell r="F1594">
            <v>24</v>
          </cell>
          <cell r="G1594" t="str">
            <v>PLATON SANCHEZ</v>
          </cell>
          <cell r="H1594" t="str">
            <v>AMOXOYAHUTL</v>
          </cell>
        </row>
        <row r="1595">
          <cell r="A1595" t="str">
            <v>30DTV0792Q</v>
          </cell>
          <cell r="B1595" t="str">
            <v>VENUSTIANO CARRANZA</v>
          </cell>
          <cell r="C1595" t="str">
            <v>CONOCIDO</v>
          </cell>
          <cell r="D1595" t="str">
            <v>RENAN ROCHA SALAS</v>
          </cell>
          <cell r="E1595">
            <v>80</v>
          </cell>
          <cell r="F1595">
            <v>24</v>
          </cell>
          <cell r="G1595" t="str">
            <v>PLATON SANCHEZ</v>
          </cell>
          <cell r="H1595" t="str">
            <v>CORRALILLO</v>
          </cell>
        </row>
        <row r="1596">
          <cell r="A1596" t="str">
            <v>30DTV1348N</v>
          </cell>
          <cell r="B1596" t="str">
            <v>TELESECUNDARIA</v>
          </cell>
          <cell r="C1596" t="str">
            <v>DR. COSS S/N</v>
          </cell>
          <cell r="D1596" t="str">
            <v>CARLOS A. FLORES SANCHEZ</v>
          </cell>
          <cell r="E1596">
            <v>80</v>
          </cell>
          <cell r="F1596">
            <v>24</v>
          </cell>
          <cell r="G1596" t="str">
            <v>PLATON SANCHEZ</v>
          </cell>
          <cell r="H1596" t="str">
            <v>EL DUQUE</v>
          </cell>
        </row>
        <row r="1597">
          <cell r="A1597" t="str">
            <v>30DTV1495X</v>
          </cell>
          <cell r="B1597" t="str">
            <v>SOR JUANA INES DE LA CRUZ</v>
          </cell>
          <cell r="C1597" t="str">
            <v>ATRAS DEL JARDIN DE NIÑOS</v>
          </cell>
          <cell r="D1597" t="str">
            <v>ALMA ARELY PERUZQUIA MARTINEZ</v>
          </cell>
          <cell r="E1597">
            <v>80</v>
          </cell>
          <cell r="F1597">
            <v>24</v>
          </cell>
          <cell r="G1597" t="str">
            <v>PLATON SANCHEZ</v>
          </cell>
          <cell r="H1597" t="str">
            <v>AHITIC</v>
          </cell>
        </row>
        <row r="1598">
          <cell r="A1598" t="str">
            <v>30DTV1454X</v>
          </cell>
          <cell r="B1598" t="str">
            <v>FRANCISCO JAVIER CLAVIJERO</v>
          </cell>
          <cell r="C1598" t="str">
            <v>CONOCIDO</v>
          </cell>
          <cell r="D1598" t="str">
            <v>ADAN CHIRINOS DEL ANGEL</v>
          </cell>
          <cell r="E1598">
            <v>80</v>
          </cell>
          <cell r="F1598">
            <v>24</v>
          </cell>
          <cell r="G1598" t="str">
            <v>PLATON SANCHEZ</v>
          </cell>
          <cell r="H1598" t="str">
            <v>LOS POZOS</v>
          </cell>
        </row>
        <row r="1599">
          <cell r="A1599" t="str">
            <v>30DTV1496W</v>
          </cell>
          <cell r="B1599" t="str">
            <v>NETZAHUALCOYOTL</v>
          </cell>
          <cell r="C1599" t="str">
            <v>FRENTE A LA PRIMARIA</v>
          </cell>
          <cell r="D1599" t="str">
            <v>MAYRA FABIOLA CERVANTES GARCIA</v>
          </cell>
          <cell r="E1599">
            <v>80</v>
          </cell>
          <cell r="F1599">
            <v>24</v>
          </cell>
          <cell r="G1599" t="str">
            <v>PLATON SANCHEZ</v>
          </cell>
          <cell r="H1599" t="str">
            <v>TASAJERAS</v>
          </cell>
        </row>
        <row r="1600">
          <cell r="A1600" t="str">
            <v>30DTV0695O</v>
          </cell>
          <cell r="B1600" t="str">
            <v>VICENTE GUERRERO</v>
          </cell>
          <cell r="C1600" t="str">
            <v>CARRETERA TEMPOAL-HUEJUTLA KILOMETRO 10</v>
          </cell>
          <cell r="D1600" t="str">
            <v>ABELIN CERON AZUARA</v>
          </cell>
          <cell r="E1600">
            <v>80</v>
          </cell>
          <cell r="F1600">
            <v>24</v>
          </cell>
          <cell r="G1600" t="str">
            <v>TANTOYUCA</v>
          </cell>
          <cell r="H1600" t="str">
            <v>LAS MESAS SAN GABRIEL (LAS MESAS)</v>
          </cell>
        </row>
        <row r="1601">
          <cell r="A1601" t="str">
            <v>30DTV0616L</v>
          </cell>
          <cell r="B1601" t="str">
            <v>JOSEFA ORTIZ DE DOMINGUEZ</v>
          </cell>
          <cell r="C1601" t="str">
            <v>A UN LADO DEL CAMPO DEPORTIVO</v>
          </cell>
          <cell r="D1601" t="str">
            <v>PRIMITIVO HERNANDEZ FLORES</v>
          </cell>
          <cell r="E1601">
            <v>80</v>
          </cell>
          <cell r="F1601">
            <v>24</v>
          </cell>
          <cell r="G1601" t="str">
            <v>TANTOYUCA</v>
          </cell>
          <cell r="H1601" t="str">
            <v>EL REMANSO</v>
          </cell>
        </row>
        <row r="1602">
          <cell r="A1602" t="str">
            <v>30DTV1739B</v>
          </cell>
          <cell r="B1602" t="str">
            <v>LEONA VICARIO</v>
          </cell>
          <cell r="C1602" t="str">
            <v>CALLE PRINCIPAL S/N</v>
          </cell>
          <cell r="D1602" t="str">
            <v>MARIA MAGDALENA RODRIGUEZ MORA</v>
          </cell>
          <cell r="E1602">
            <v>80</v>
          </cell>
          <cell r="F1602">
            <v>24</v>
          </cell>
          <cell r="G1602" t="str">
            <v>TEMPOAL</v>
          </cell>
          <cell r="H1602" t="str">
            <v>EL POTRERO</v>
          </cell>
        </row>
        <row r="1603">
          <cell r="A1603" t="str">
            <v>30DTV1530M</v>
          </cell>
          <cell r="B1603" t="str">
            <v>GUILLERMO PRIETO</v>
          </cell>
          <cell r="C1603" t="str">
            <v>ENFRENTE DE LA ESCUELA PRIMARIA</v>
          </cell>
          <cell r="D1603" t="str">
            <v>LUZ HERNANDEZ ACOSTA</v>
          </cell>
          <cell r="E1603">
            <v>80</v>
          </cell>
          <cell r="F1603">
            <v>24</v>
          </cell>
          <cell r="G1603" t="str">
            <v>TEMPOAL</v>
          </cell>
          <cell r="H1603" t="str">
            <v>CORNIZUELO</v>
          </cell>
        </row>
        <row r="1604">
          <cell r="A1604" t="str">
            <v>30DTV1740R</v>
          </cell>
          <cell r="B1604" t="str">
            <v>LUIS DONALDO COLOSIO MURRIETA</v>
          </cell>
          <cell r="C1604" t="str">
            <v>CALLE PRINCIPAL S/N FRENTE A LA CASA MUNICIPAL</v>
          </cell>
          <cell r="D1604" t="str">
            <v>THERMA GONZALEZ SANCHEZ</v>
          </cell>
          <cell r="E1604">
            <v>80</v>
          </cell>
          <cell r="F1604">
            <v>24</v>
          </cell>
          <cell r="G1604" t="str">
            <v>TEMPOAL</v>
          </cell>
          <cell r="H1604" t="str">
            <v>EL CANTARITO</v>
          </cell>
        </row>
        <row r="1605">
          <cell r="A1605" t="str">
            <v>30DTV1243T</v>
          </cell>
          <cell r="B1605" t="str">
            <v>TELESECUNDARIA</v>
          </cell>
          <cell r="C1605" t="str">
            <v>SALIDA A LA CONCHA S/N</v>
          </cell>
          <cell r="D1605" t="str">
            <v>MARCELA GUTIERREZ MARTIN</v>
          </cell>
          <cell r="E1605">
            <v>81</v>
          </cell>
          <cell r="F1605">
            <v>16</v>
          </cell>
          <cell r="G1605" t="str">
            <v>PAPANTLA</v>
          </cell>
          <cell r="H1605" t="str">
            <v>PAPANTLA DE OLARTE</v>
          </cell>
        </row>
        <row r="1606">
          <cell r="A1606" t="str">
            <v>30DTV0221A</v>
          </cell>
          <cell r="B1606" t="str">
            <v>JOSE MARIA CARMONA</v>
          </cell>
          <cell r="C1606" t="str">
            <v>12 DE OCTUBRE Y MIGUEL HIDALGO S/N</v>
          </cell>
          <cell r="D1606" t="str">
            <v>NOE ALEJANDRO BAUTISTA CABAðEZ</v>
          </cell>
          <cell r="E1606">
            <v>81</v>
          </cell>
          <cell r="F1606">
            <v>16</v>
          </cell>
          <cell r="G1606" t="str">
            <v>PAPANTLA</v>
          </cell>
          <cell r="H1606" t="str">
            <v>AGUA DULCE</v>
          </cell>
        </row>
        <row r="1607">
          <cell r="A1607" t="str">
            <v>30DTV1635G</v>
          </cell>
          <cell r="B1607" t="str">
            <v>TELESECUNDARIA</v>
          </cell>
          <cell r="C1607" t="str">
            <v>CALLE EMILIANO ZAPATA S/N</v>
          </cell>
          <cell r="D1607" t="str">
            <v>CATALINA SIMBRON GARCIA</v>
          </cell>
          <cell r="E1607">
            <v>81</v>
          </cell>
          <cell r="F1607">
            <v>16</v>
          </cell>
          <cell r="G1607" t="str">
            <v>PAPANTLA</v>
          </cell>
          <cell r="H1607" t="str">
            <v>ARROYO DEL ARCO</v>
          </cell>
        </row>
        <row r="1608">
          <cell r="A1608" t="str">
            <v>30DTV0961V</v>
          </cell>
          <cell r="B1608" t="str">
            <v>SOR JUANA INES DE LA CRUZ</v>
          </cell>
          <cell r="C1608" t="str">
            <v>JUNTO AL ALBERGUE</v>
          </cell>
          <cell r="D1608" t="str">
            <v>ADALBERTO AVILA MORGADO</v>
          </cell>
          <cell r="E1608">
            <v>81</v>
          </cell>
          <cell r="F1608">
            <v>16</v>
          </cell>
          <cell r="G1608" t="str">
            <v>PAPANTLA</v>
          </cell>
          <cell r="H1608" t="str">
            <v>ARROYO GRANDE NO. 2</v>
          </cell>
        </row>
        <row r="1609">
          <cell r="A1609" t="str">
            <v>30DTV1650Z</v>
          </cell>
          <cell r="B1609" t="str">
            <v>TELESECUNDARIA</v>
          </cell>
          <cell r="C1609" t="str">
            <v>CALLE BONIFACIO CASTILLO S/N</v>
          </cell>
          <cell r="D1609" t="str">
            <v>JOSE ALFREDO ARIAS PEREZ</v>
          </cell>
          <cell r="E1609">
            <v>81</v>
          </cell>
          <cell r="F1609">
            <v>16</v>
          </cell>
          <cell r="G1609" t="str">
            <v>PAPANTLA</v>
          </cell>
          <cell r="H1609" t="str">
            <v>EL CABELLAL</v>
          </cell>
        </row>
        <row r="1610">
          <cell r="A1610" t="str">
            <v>30DTV0263Z</v>
          </cell>
          <cell r="B1610" t="str">
            <v>GILDARDO MUÐOZ HERRERA</v>
          </cell>
          <cell r="C1610" t="str">
            <v>ESQUINA CAMPO DE FUTBOL</v>
          </cell>
          <cell r="D1610" t="str">
            <v>GERARDO SANTIAGO RODRIGUEZ</v>
          </cell>
          <cell r="E1610">
            <v>81</v>
          </cell>
          <cell r="F1610">
            <v>16</v>
          </cell>
          <cell r="G1610" t="str">
            <v>PAPANTLA</v>
          </cell>
          <cell r="H1610" t="str">
            <v>EL CEDRO</v>
          </cell>
        </row>
        <row r="1611">
          <cell r="A1611" t="str">
            <v>30DTV1353Z</v>
          </cell>
          <cell r="B1611" t="str">
            <v>NIÐOS HEROES</v>
          </cell>
          <cell r="C1611" t="str">
            <v>CONOCIDO</v>
          </cell>
          <cell r="D1611" t="str">
            <v>LUZ MARIA DEL CARMEN CRUZ MARIN</v>
          </cell>
          <cell r="E1611">
            <v>81</v>
          </cell>
          <cell r="F1611">
            <v>16</v>
          </cell>
          <cell r="G1611" t="str">
            <v>PAPANTLA</v>
          </cell>
          <cell r="H1611" t="str">
            <v>LA GRANDEZA</v>
          </cell>
        </row>
        <row r="1612">
          <cell r="A1612" t="str">
            <v>30DTV0373F</v>
          </cell>
          <cell r="B1612" t="str">
            <v>RAFAEL RAMIREZ</v>
          </cell>
          <cell r="C1612" t="str">
            <v>AVENIDA JOSE MARIA MORELOS Y PAVON</v>
          </cell>
          <cell r="D1612" t="str">
            <v>CATALINA PEREZ VILLANUEVA</v>
          </cell>
          <cell r="E1612">
            <v>81</v>
          </cell>
          <cell r="F1612">
            <v>16</v>
          </cell>
          <cell r="G1612" t="str">
            <v>PAPANTLA</v>
          </cell>
          <cell r="H1612" t="str">
            <v>PLAN DEL PALMAR</v>
          </cell>
        </row>
        <row r="1613">
          <cell r="A1613" t="str">
            <v>30DTV1139H</v>
          </cell>
          <cell r="B1613" t="str">
            <v>LAZARO CARDENAS DEL RIO</v>
          </cell>
          <cell r="C1613" t="str">
            <v>FRENTE A LA IGLESIA</v>
          </cell>
          <cell r="D1613" t="str">
            <v>JORGE LUIS OLMEDO CRUZ</v>
          </cell>
          <cell r="E1613">
            <v>81</v>
          </cell>
          <cell r="F1613">
            <v>16</v>
          </cell>
          <cell r="G1613" t="str">
            <v>PAPANTLA</v>
          </cell>
          <cell r="H1613" t="str">
            <v>RANCHO PLAYA</v>
          </cell>
        </row>
        <row r="1614">
          <cell r="A1614" t="str">
            <v>30DTV0751Q</v>
          </cell>
          <cell r="B1614" t="str">
            <v>VICENTE GUERRERO</v>
          </cell>
          <cell r="C1614" t="str">
            <v>JUSTO SIERRA S/N</v>
          </cell>
          <cell r="D1614" t="str">
            <v>MARTHA GEORGINA OLVERA BEEZ</v>
          </cell>
          <cell r="E1614">
            <v>81</v>
          </cell>
          <cell r="F1614">
            <v>16</v>
          </cell>
          <cell r="G1614" t="str">
            <v>PAPANTLA</v>
          </cell>
          <cell r="H1614" t="str">
            <v>POLUTLA</v>
          </cell>
        </row>
        <row r="1615">
          <cell r="A1615" t="str">
            <v>30DTV0825R</v>
          </cell>
          <cell r="B1615" t="str">
            <v>SOR JUANA INES DE LA CRUZ</v>
          </cell>
          <cell r="C1615" t="str">
            <v>CONOCIDO</v>
          </cell>
          <cell r="D1615" t="str">
            <v>LEOBARDO MUðOZ TICANTE</v>
          </cell>
          <cell r="E1615">
            <v>81</v>
          </cell>
          <cell r="F1615">
            <v>16</v>
          </cell>
          <cell r="G1615" t="str">
            <v>PAPANTLA</v>
          </cell>
          <cell r="H1615" t="str">
            <v>POZA VERDE</v>
          </cell>
        </row>
        <row r="1616">
          <cell r="A1616" t="str">
            <v>30DTV0602I</v>
          </cell>
          <cell r="B1616" t="str">
            <v>JOSEFA DOMINGUEZ VIADANA</v>
          </cell>
          <cell r="C1616" t="str">
            <v>NIÑOS HEROES ESQUINA GUADALUPE VICTORIA S/N</v>
          </cell>
          <cell r="D1616" t="str">
            <v>MAYTE CONCEPCION PEREZ BERNABE</v>
          </cell>
          <cell r="E1616">
            <v>81</v>
          </cell>
          <cell r="F1616">
            <v>16</v>
          </cell>
          <cell r="G1616" t="str">
            <v>PAPANTLA</v>
          </cell>
          <cell r="H1616" t="str">
            <v>SAN PABLO</v>
          </cell>
        </row>
        <row r="1617">
          <cell r="A1617" t="str">
            <v>30DTV0512Q</v>
          </cell>
          <cell r="B1617" t="str">
            <v>SERAFIN OLARTE</v>
          </cell>
          <cell r="C1617" t="str">
            <v>CARRETERA FEDERAL</v>
          </cell>
          <cell r="D1617" t="str">
            <v>GUDELIA HERNANDEZ FAJARDO</v>
          </cell>
          <cell r="E1617">
            <v>81</v>
          </cell>
          <cell r="F1617">
            <v>16</v>
          </cell>
          <cell r="G1617" t="str">
            <v>PAPANTLA</v>
          </cell>
          <cell r="H1617" t="str">
            <v>SERAFIN OLARTE</v>
          </cell>
        </row>
        <row r="1618">
          <cell r="A1618" t="str">
            <v>30DTV1085U</v>
          </cell>
          <cell r="B1618" t="str">
            <v>JUAN ESCUTIA</v>
          </cell>
          <cell r="C1618" t="str">
            <v>JUNTO AL CEMENTERIO</v>
          </cell>
          <cell r="D1618" t="str">
            <v>ABEL ESPINOSA SAGAHON</v>
          </cell>
          <cell r="E1618">
            <v>81</v>
          </cell>
          <cell r="F1618">
            <v>16</v>
          </cell>
          <cell r="G1618" t="str">
            <v>PAPANTLA</v>
          </cell>
          <cell r="H1618" t="str">
            <v>TALAXCA</v>
          </cell>
        </row>
        <row r="1619">
          <cell r="A1619" t="str">
            <v>30DTV1640S</v>
          </cell>
          <cell r="B1619" t="str">
            <v>TELESECUNDARIA</v>
          </cell>
          <cell r="C1619" t="str">
            <v>RIVA PALACIO S/N</v>
          </cell>
          <cell r="D1619" t="str">
            <v>LEOPOLDO HERNANDEZ MORALES</v>
          </cell>
          <cell r="E1619">
            <v>81</v>
          </cell>
          <cell r="F1619">
            <v>16</v>
          </cell>
          <cell r="G1619" t="str">
            <v>PAPANTLA</v>
          </cell>
          <cell r="H1619" t="str">
            <v>ARROYO COLORADO</v>
          </cell>
        </row>
        <row r="1620">
          <cell r="A1620" t="str">
            <v>30DTV1677F</v>
          </cell>
          <cell r="B1620" t="str">
            <v>TELESECUNDARIA</v>
          </cell>
          <cell r="C1620" t="str">
            <v>CALLE PRINCIPAL S/N (JUNTO AL JARDIN DE NIÑOS)</v>
          </cell>
          <cell r="D1620" t="str">
            <v>RUBICELIA FRANCO PAREDES</v>
          </cell>
          <cell r="E1620">
            <v>81</v>
          </cell>
          <cell r="F1620">
            <v>16</v>
          </cell>
          <cell r="G1620" t="str">
            <v>PAPANTLA</v>
          </cell>
          <cell r="H1620" t="str">
            <v>PLAN DE LOS MANGOS</v>
          </cell>
        </row>
        <row r="1621">
          <cell r="A1621" t="str">
            <v>30DTV1405O</v>
          </cell>
          <cell r="B1621" t="str">
            <v>TELESECUNDARIA</v>
          </cell>
          <cell r="C1621" t="str">
            <v>CONOCIDO</v>
          </cell>
          <cell r="D1621" t="str">
            <v>VICENTE LUNA LOPEZ</v>
          </cell>
          <cell r="E1621">
            <v>82</v>
          </cell>
          <cell r="F1621">
            <v>3</v>
          </cell>
          <cell r="G1621" t="str">
            <v>ACULTZINGO</v>
          </cell>
          <cell r="H1621" t="str">
            <v>COATEPEC (COATEPEC DE ARRIBA)</v>
          </cell>
        </row>
        <row r="1622">
          <cell r="A1622" t="str">
            <v>30DTV0711P</v>
          </cell>
          <cell r="B1622" t="str">
            <v>JUSTO SIERRA</v>
          </cell>
          <cell r="C1622" t="str">
            <v>CONOCIDO</v>
          </cell>
          <cell r="D1622" t="str">
            <v>RAMON SANCHEZ PEREZ</v>
          </cell>
          <cell r="E1622">
            <v>82</v>
          </cell>
          <cell r="F1622">
            <v>3</v>
          </cell>
          <cell r="G1622" t="str">
            <v>ACULTZINGO</v>
          </cell>
          <cell r="H1622" t="str">
            <v>COXOLITLA DE ABAJO</v>
          </cell>
        </row>
        <row r="1623">
          <cell r="A1623" t="str">
            <v>30DTV1407M</v>
          </cell>
          <cell r="B1623" t="str">
            <v>TELESECUNDARIA</v>
          </cell>
          <cell r="C1623" t="str">
            <v>CONOCIDO</v>
          </cell>
          <cell r="D1623" t="str">
            <v>MARTIN ANTONIO MORALES ALARCON</v>
          </cell>
          <cell r="E1623">
            <v>82</v>
          </cell>
          <cell r="F1623">
            <v>3</v>
          </cell>
          <cell r="G1623" t="str">
            <v>ACULTZINGO</v>
          </cell>
          <cell r="H1623" t="str">
            <v>VAQUERIA</v>
          </cell>
        </row>
        <row r="1624">
          <cell r="A1624" t="str">
            <v>30DTV1591Z</v>
          </cell>
          <cell r="B1624" t="str">
            <v>TELESECUNDARIA</v>
          </cell>
          <cell r="C1624" t="str">
            <v>JUNTO A LA AGENCIA MUNICIPAL</v>
          </cell>
          <cell r="D1624" t="str">
            <v>NAYELY DOLORES SAAVEDRA MARTINEZ</v>
          </cell>
          <cell r="E1624">
            <v>82</v>
          </cell>
          <cell r="F1624">
            <v>3</v>
          </cell>
          <cell r="G1624" t="str">
            <v>ATZACAN</v>
          </cell>
          <cell r="H1624" t="str">
            <v>CONTLA</v>
          </cell>
        </row>
        <row r="1625">
          <cell r="A1625" t="str">
            <v>30DTV1592Z</v>
          </cell>
          <cell r="B1625" t="str">
            <v>GUILLERMO GONZALEZ CAMARENA</v>
          </cell>
          <cell r="C1625" t="str">
            <v>JUNTO A LA AGENCIA MUNICIPAL</v>
          </cell>
          <cell r="D1625" t="str">
            <v>JOSE GUADALUPE OSCAR RUIZ LORENZO</v>
          </cell>
          <cell r="E1625">
            <v>82</v>
          </cell>
          <cell r="F1625">
            <v>3</v>
          </cell>
          <cell r="G1625" t="str">
            <v>ATZACAN</v>
          </cell>
          <cell r="H1625" t="str">
            <v>RINCON GRANDE</v>
          </cell>
        </row>
        <row r="1626">
          <cell r="A1626" t="str">
            <v>30DTV0670F</v>
          </cell>
          <cell r="B1626" t="str">
            <v>JOSE VASCONCELOS</v>
          </cell>
          <cell r="C1626" t="str">
            <v>RAFAEL MORENO S/N</v>
          </cell>
          <cell r="D1626" t="str">
            <v>RODOLFO GONZALEZ GALINDO</v>
          </cell>
          <cell r="E1626">
            <v>82</v>
          </cell>
          <cell r="F1626">
            <v>3</v>
          </cell>
          <cell r="G1626" t="str">
            <v>CAMERINO Z. MENDOZA</v>
          </cell>
          <cell r="H1626" t="str">
            <v>CIUDAD MENDOZA</v>
          </cell>
        </row>
        <row r="1627">
          <cell r="A1627" t="str">
            <v>30DTV0107I</v>
          </cell>
          <cell r="B1627" t="str">
            <v>2 DE ENERO</v>
          </cell>
          <cell r="C1627" t="str">
            <v>NARCISO MENDOZA S/N</v>
          </cell>
          <cell r="D1627" t="str">
            <v>ALFONSO GUTIERREZ CONTRERAS</v>
          </cell>
          <cell r="E1627">
            <v>82</v>
          </cell>
          <cell r="F1627">
            <v>3</v>
          </cell>
          <cell r="G1627" t="str">
            <v>HUILOAPAN</v>
          </cell>
          <cell r="H1627" t="str">
            <v>HUILOAPAN DE CUAUHTEMOC</v>
          </cell>
        </row>
        <row r="1628">
          <cell r="A1628" t="str">
            <v>30DTV0018P</v>
          </cell>
          <cell r="B1628" t="str">
            <v>JOSE VASCONCELOS</v>
          </cell>
          <cell r="C1628" t="str">
            <v>AVENIDA BENITO JUAREZ ESQUINA FRANCISCO I. MADERO</v>
          </cell>
          <cell r="D1628" t="str">
            <v>JUAN SERRANO ALMEIDA</v>
          </cell>
          <cell r="E1628">
            <v>82</v>
          </cell>
          <cell r="F1628">
            <v>3</v>
          </cell>
          <cell r="G1628" t="str">
            <v>IXTACZOQUITLAN</v>
          </cell>
          <cell r="H1628" t="str">
            <v>BUENAVISTA</v>
          </cell>
        </row>
        <row r="1629">
          <cell r="A1629" t="str">
            <v>30DTV0015S</v>
          </cell>
          <cell r="B1629" t="str">
            <v>ROSARIO CASTELLANOS</v>
          </cell>
          <cell r="C1629" t="str">
            <v>PRIMERO DE MAYO NUM. 1</v>
          </cell>
          <cell r="D1629" t="str">
            <v>MARTHA ANGELICA ROSAS BAUTISTA</v>
          </cell>
          <cell r="E1629">
            <v>82</v>
          </cell>
          <cell r="F1629">
            <v>3</v>
          </cell>
          <cell r="G1629" t="str">
            <v>IXTACZOQUITLAN</v>
          </cell>
          <cell r="H1629" t="str">
            <v>CUAUTLAPAN</v>
          </cell>
        </row>
        <row r="1630">
          <cell r="A1630" t="str">
            <v>30DTV0992O</v>
          </cell>
          <cell r="B1630" t="str">
            <v>NIÐOS HEROES</v>
          </cell>
          <cell r="C1630" t="str">
            <v>CONOCIDO</v>
          </cell>
          <cell r="D1630" t="str">
            <v>ABELARDO VELA COAVICHI</v>
          </cell>
          <cell r="E1630">
            <v>82</v>
          </cell>
          <cell r="F1630">
            <v>3</v>
          </cell>
          <cell r="G1630" t="str">
            <v>MALTRATA</v>
          </cell>
          <cell r="H1630" t="str">
            <v>GUADALUPE MAGUEYES (MAGUEYES)</v>
          </cell>
        </row>
        <row r="1631">
          <cell r="A1631" t="str">
            <v>30DTV0527S</v>
          </cell>
          <cell r="B1631" t="str">
            <v>EMILIANO ZAPATA</v>
          </cell>
          <cell r="C1631" t="str">
            <v>CONOCIDO</v>
          </cell>
          <cell r="D1631" t="str">
            <v>ABEL CIRILO ESCALONA GARCIA</v>
          </cell>
          <cell r="E1631">
            <v>82</v>
          </cell>
          <cell r="F1631">
            <v>3</v>
          </cell>
          <cell r="G1631" t="str">
            <v>MARIANO ESCOBEDO</v>
          </cell>
          <cell r="H1631" t="str">
            <v>LOMA GRANDE</v>
          </cell>
        </row>
        <row r="1632">
          <cell r="A1632" t="str">
            <v>30DTV1182W</v>
          </cell>
          <cell r="B1632" t="str">
            <v>NICOLAS BRAVO</v>
          </cell>
          <cell r="C1632" t="str">
            <v>CONOCIDO</v>
          </cell>
          <cell r="D1632" t="str">
            <v>RICARDO FLORES GARCIA</v>
          </cell>
          <cell r="E1632">
            <v>82</v>
          </cell>
          <cell r="F1632">
            <v>3</v>
          </cell>
          <cell r="G1632" t="str">
            <v>MARIANO ESCOBEDO</v>
          </cell>
          <cell r="H1632" t="str">
            <v>TEXMOLA</v>
          </cell>
        </row>
        <row r="1633">
          <cell r="A1633" t="str">
            <v>30DTV0487H</v>
          </cell>
          <cell r="B1633" t="str">
            <v>RICARDO FLORES MAGON</v>
          </cell>
          <cell r="C1633" t="str">
            <v>16 DE SEPTIEMBRE S/N</v>
          </cell>
          <cell r="D1633" t="str">
            <v>ALBA ZARATE ROSAS</v>
          </cell>
          <cell r="E1633">
            <v>82</v>
          </cell>
          <cell r="F1633">
            <v>3</v>
          </cell>
          <cell r="G1633" t="str">
            <v>NOGALES</v>
          </cell>
          <cell r="H1633" t="str">
            <v>CECILIO TERAN (BALASTRERA)</v>
          </cell>
        </row>
        <row r="1634">
          <cell r="A1634" t="str">
            <v>30DTV1576H</v>
          </cell>
          <cell r="B1634" t="str">
            <v>TELESECUNDARIA</v>
          </cell>
          <cell r="C1634" t="str">
            <v>CONOCIDO</v>
          </cell>
          <cell r="D1634" t="str">
            <v>BENJAMIN ROJAS GARCIA</v>
          </cell>
          <cell r="E1634">
            <v>82</v>
          </cell>
          <cell r="F1634">
            <v>3</v>
          </cell>
          <cell r="G1634" t="str">
            <v>NOGALES</v>
          </cell>
          <cell r="H1634" t="str">
            <v>EL NICHO</v>
          </cell>
        </row>
        <row r="1635">
          <cell r="A1635" t="str">
            <v>30DTV1578F</v>
          </cell>
          <cell r="B1635" t="str">
            <v>TELESECUNDARIA</v>
          </cell>
          <cell r="C1635" t="str">
            <v>CONOCIDO</v>
          </cell>
          <cell r="D1635" t="str">
            <v>JOSE MANUEL REBOLLEDO AYALA</v>
          </cell>
          <cell r="E1635">
            <v>82</v>
          </cell>
          <cell r="F1635">
            <v>3</v>
          </cell>
          <cell r="G1635" t="str">
            <v>LA PERLA</v>
          </cell>
          <cell r="H1635" t="str">
            <v>LA CIENEGA</v>
          </cell>
        </row>
        <row r="1636">
          <cell r="A1636" t="str">
            <v>30DTV1176L</v>
          </cell>
          <cell r="B1636" t="str">
            <v>SOR JUANA INES DE LA CRUZ</v>
          </cell>
          <cell r="C1636" t="str">
            <v>CONOCIDO</v>
          </cell>
          <cell r="D1636" t="str">
            <v>JULIAN EFREN ESPINOSA VELEZ</v>
          </cell>
          <cell r="E1636">
            <v>82</v>
          </cell>
          <cell r="F1636">
            <v>3</v>
          </cell>
          <cell r="G1636" t="str">
            <v>LA PERLA</v>
          </cell>
          <cell r="H1636" t="str">
            <v>CUMBRE DEL ESPAÑOL</v>
          </cell>
        </row>
        <row r="1637">
          <cell r="A1637" t="str">
            <v>30DTV1257W</v>
          </cell>
          <cell r="B1637" t="str">
            <v>SALVADOR DIAZ MIRON</v>
          </cell>
          <cell r="C1637" t="str">
            <v>CONOCIDO</v>
          </cell>
          <cell r="D1637" t="str">
            <v>RAMIRO MARCELO JIMENEZ NARANJO</v>
          </cell>
          <cell r="E1637">
            <v>82</v>
          </cell>
          <cell r="F1637">
            <v>3</v>
          </cell>
          <cell r="G1637" t="str">
            <v>LA PERLA</v>
          </cell>
          <cell r="H1637" t="str">
            <v>CHILAPA</v>
          </cell>
        </row>
        <row r="1638">
          <cell r="A1638" t="str">
            <v>30DTV1177K</v>
          </cell>
          <cell r="B1638" t="str">
            <v>ALBERT EINSTEIN</v>
          </cell>
          <cell r="C1638" t="str">
            <v>CONOCIDO</v>
          </cell>
          <cell r="D1638" t="str">
            <v>JOAQUIN CAMACHO SALAZAR</v>
          </cell>
          <cell r="E1638">
            <v>82</v>
          </cell>
          <cell r="F1638">
            <v>3</v>
          </cell>
          <cell r="G1638" t="str">
            <v>LA PERLA</v>
          </cell>
          <cell r="H1638" t="str">
            <v>XOMETLA</v>
          </cell>
        </row>
        <row r="1639">
          <cell r="A1639" t="str">
            <v>30DTV1736E</v>
          </cell>
          <cell r="B1639" t="str">
            <v>TELESECUNDARIA</v>
          </cell>
          <cell r="C1639" t="str">
            <v>CALLE PRINCIPAL  S/N</v>
          </cell>
          <cell r="D1639" t="str">
            <v>CARLOS FRANCISCO PEREZ HIDALGO</v>
          </cell>
          <cell r="E1639">
            <v>83</v>
          </cell>
          <cell r="F1639">
            <v>3</v>
          </cell>
          <cell r="G1639" t="str">
            <v>TEHUIPANGO</v>
          </cell>
          <cell r="H1639" t="str">
            <v>OPOTZINGA</v>
          </cell>
        </row>
        <row r="1640">
          <cell r="A1640" t="str">
            <v>30DTV1733H</v>
          </cell>
          <cell r="B1640" t="str">
            <v>TELESECUNDARIA</v>
          </cell>
          <cell r="C1640" t="str">
            <v>CAMINO UNICO A TERRERO KILOMETRO 6.5</v>
          </cell>
          <cell r="D1640" t="str">
            <v>RIGOBERTO BADILLO TORAL</v>
          </cell>
          <cell r="E1640">
            <v>83</v>
          </cell>
          <cell r="F1640">
            <v>3</v>
          </cell>
          <cell r="G1640" t="str">
            <v>TEHUIPANGO</v>
          </cell>
          <cell r="H1640" t="str">
            <v>TEPEICA</v>
          </cell>
        </row>
        <row r="1641">
          <cell r="A1641" t="str">
            <v>30DTV1734G</v>
          </cell>
          <cell r="B1641" t="str">
            <v>TELESECUNDARIA</v>
          </cell>
          <cell r="C1641" t="str">
            <v>CALLE PRINCIPAL S/N</v>
          </cell>
          <cell r="D1641" t="str">
            <v>JONATHAN MARTINEZ SALAZAR</v>
          </cell>
          <cell r="E1641">
            <v>83</v>
          </cell>
          <cell r="F1641">
            <v>3</v>
          </cell>
          <cell r="G1641" t="str">
            <v>TEHUIPANGO</v>
          </cell>
          <cell r="H1641" t="str">
            <v>TZACUALA PRIMERO</v>
          </cell>
        </row>
        <row r="1642">
          <cell r="A1642" t="str">
            <v>30DTV1466B</v>
          </cell>
          <cell r="B1642" t="str">
            <v>TELESECUNDARIA</v>
          </cell>
          <cell r="C1642" t="str">
            <v>CONOCIDO</v>
          </cell>
          <cell r="D1642" t="str">
            <v>LUIS ALBERTO FIGUEROA ROA</v>
          </cell>
          <cell r="E1642">
            <v>83</v>
          </cell>
          <cell r="F1642">
            <v>3</v>
          </cell>
          <cell r="G1642" t="str">
            <v>TEQUILA</v>
          </cell>
          <cell r="H1642" t="str">
            <v>ATEMPA</v>
          </cell>
        </row>
        <row r="1643">
          <cell r="A1643" t="str">
            <v>30DTV0342M</v>
          </cell>
          <cell r="B1643" t="str">
            <v>CUAUHTEMOC</v>
          </cell>
          <cell r="C1643" t="str">
            <v>DENTRO DEL POBLADO</v>
          </cell>
          <cell r="D1643" t="str">
            <v>PLUTARCO MALDONADO AURIOLES</v>
          </cell>
          <cell r="E1643">
            <v>83</v>
          </cell>
          <cell r="F1643">
            <v>3</v>
          </cell>
          <cell r="G1643" t="str">
            <v>TEXHUACAN</v>
          </cell>
          <cell r="H1643" t="str">
            <v>TEXHUACAN</v>
          </cell>
        </row>
        <row r="1644">
          <cell r="A1644" t="str">
            <v>30DTV0482M</v>
          </cell>
          <cell r="B1644" t="str">
            <v>HEROES DEL 5 DE MAYO</v>
          </cell>
          <cell r="C1644" t="str">
            <v>CONOCIDO</v>
          </cell>
          <cell r="D1644" t="str">
            <v>CESAR MARTIN CUEVAS TRUJILLO</v>
          </cell>
          <cell r="E1644">
            <v>83</v>
          </cell>
          <cell r="F1644">
            <v>3</v>
          </cell>
          <cell r="G1644" t="str">
            <v>ZONGOLICA</v>
          </cell>
          <cell r="H1644" t="str">
            <v>COMALAPA</v>
          </cell>
        </row>
        <row r="1645">
          <cell r="A1645" t="str">
            <v>30DTV1450A</v>
          </cell>
          <cell r="B1645" t="str">
            <v>MIGUEL HIDALGO Y COSTILLA</v>
          </cell>
          <cell r="C1645" t="str">
            <v>CONOCIDO</v>
          </cell>
          <cell r="D1645" t="str">
            <v>ALEJANDRO CANO MENDEZ</v>
          </cell>
          <cell r="E1645">
            <v>83</v>
          </cell>
          <cell r="F1645">
            <v>3</v>
          </cell>
          <cell r="G1645" t="str">
            <v>ZONGOLICA</v>
          </cell>
          <cell r="H1645" t="str">
            <v>CUAHUTILICA</v>
          </cell>
        </row>
        <row r="1646">
          <cell r="A1646" t="str">
            <v>30DTV0507E</v>
          </cell>
          <cell r="B1646" t="str">
            <v>JUAN DE LA LUZ ENRIQUEZ</v>
          </cell>
          <cell r="C1646" t="str">
            <v>CONOCIDO</v>
          </cell>
          <cell r="D1646" t="str">
            <v>BRIANDA MAYELIHERNANDEZ MENDOZA</v>
          </cell>
          <cell r="E1646">
            <v>83</v>
          </cell>
          <cell r="F1646">
            <v>3</v>
          </cell>
          <cell r="G1646" t="str">
            <v>ZONGOLICA</v>
          </cell>
          <cell r="H1646" t="str">
            <v>CHICOMAPA</v>
          </cell>
        </row>
        <row r="1647">
          <cell r="A1647" t="str">
            <v>30DTV0508D</v>
          </cell>
          <cell r="B1647" t="str">
            <v>BEATRIZ CAMPOS PEREZ</v>
          </cell>
          <cell r="C1647" t="str">
            <v>CONOCIDO</v>
          </cell>
          <cell r="D1647" t="str">
            <v>AARON ANTONIO GONZALEZ</v>
          </cell>
          <cell r="E1647">
            <v>83</v>
          </cell>
          <cell r="F1647">
            <v>3</v>
          </cell>
          <cell r="G1647" t="str">
            <v>ZONGOLICA</v>
          </cell>
          <cell r="H1647" t="str">
            <v>IXPALCUAHUTLA (MOXALA)</v>
          </cell>
        </row>
        <row r="1648">
          <cell r="A1648" t="str">
            <v>30DTV1467A</v>
          </cell>
          <cell r="B1648" t="str">
            <v>QUETZALCOATL</v>
          </cell>
          <cell r="C1648" t="str">
            <v>CONOCIDO</v>
          </cell>
          <cell r="D1648" t="str">
            <v>ANA DELIA CARRIZO ITZA</v>
          </cell>
          <cell r="E1648">
            <v>83</v>
          </cell>
          <cell r="F1648">
            <v>3</v>
          </cell>
          <cell r="G1648" t="str">
            <v>ZONGOLICA</v>
          </cell>
          <cell r="H1648" t="str">
            <v>MACUILCA</v>
          </cell>
        </row>
        <row r="1649">
          <cell r="A1649" t="str">
            <v>30DTV1531L</v>
          </cell>
          <cell r="B1649" t="str">
            <v>ROSARIO CASTELLANOS</v>
          </cell>
          <cell r="C1649" t="str">
            <v>CONOCIDO</v>
          </cell>
          <cell r="D1649" t="str">
            <v>CUPERTINO SANCHEZ GARCIA</v>
          </cell>
          <cell r="E1649">
            <v>83</v>
          </cell>
          <cell r="F1649">
            <v>3</v>
          </cell>
          <cell r="G1649" t="str">
            <v>ZONGOLICA</v>
          </cell>
          <cell r="H1649" t="str">
            <v>PALAPA</v>
          </cell>
        </row>
        <row r="1650">
          <cell r="A1650" t="str">
            <v>30DTV1468Z</v>
          </cell>
          <cell r="B1650" t="str">
            <v>SALVADOR DIAZ MIRON</v>
          </cell>
          <cell r="C1650" t="str">
            <v>CONOCIDO</v>
          </cell>
          <cell r="D1650" t="str">
            <v>MARCO ANTONIO SANTOS SOSA</v>
          </cell>
          <cell r="E1650">
            <v>83</v>
          </cell>
          <cell r="F1650">
            <v>3</v>
          </cell>
          <cell r="G1650" t="str">
            <v>ZONGOLICA</v>
          </cell>
          <cell r="H1650" t="str">
            <v>EL PORVENIR</v>
          </cell>
        </row>
        <row r="1651">
          <cell r="A1651" t="str">
            <v>30DTV1452Z</v>
          </cell>
          <cell r="B1651" t="str">
            <v>20 DE NOVIEMBRE</v>
          </cell>
          <cell r="C1651" t="str">
            <v>CONOCIDO</v>
          </cell>
          <cell r="D1651" t="str">
            <v>ERNESTO GARCIA MARTINEZ</v>
          </cell>
          <cell r="E1651">
            <v>83</v>
          </cell>
          <cell r="F1651">
            <v>3</v>
          </cell>
          <cell r="G1651" t="str">
            <v>ZONGOLICA</v>
          </cell>
          <cell r="H1651" t="str">
            <v>REAL DEL MONTE</v>
          </cell>
        </row>
        <row r="1652">
          <cell r="A1652" t="str">
            <v>30DTV0629P</v>
          </cell>
          <cell r="B1652" t="str">
            <v>HUITZILIHUITL</v>
          </cell>
          <cell r="C1652" t="str">
            <v>CONOCIDO</v>
          </cell>
          <cell r="D1652" t="str">
            <v>ALEJANDRO TORRES RAMIREZ</v>
          </cell>
          <cell r="E1652">
            <v>83</v>
          </cell>
          <cell r="F1652">
            <v>3</v>
          </cell>
          <cell r="G1652" t="str">
            <v>ZONGOLICA</v>
          </cell>
          <cell r="H1652" t="str">
            <v>TLANECPAQUILA</v>
          </cell>
        </row>
        <row r="1653">
          <cell r="A1653" t="str">
            <v>30DTV1050E</v>
          </cell>
          <cell r="B1653" t="str">
            <v>AMADO NERVO</v>
          </cell>
          <cell r="C1653" t="str">
            <v>CONOCIDO</v>
          </cell>
          <cell r="D1653" t="str">
            <v>JORGE ISMAEL CHAVEZ MENDEZ</v>
          </cell>
          <cell r="E1653">
            <v>83</v>
          </cell>
          <cell r="F1653">
            <v>3</v>
          </cell>
          <cell r="G1653" t="str">
            <v>ZONGOLICA</v>
          </cell>
          <cell r="H1653" t="str">
            <v>TOTOLACATLA</v>
          </cell>
        </row>
        <row r="1654">
          <cell r="A1654" t="str">
            <v>30DTV1537F</v>
          </cell>
          <cell r="B1654" t="str">
            <v>ESFUERZO CAMPESINO</v>
          </cell>
          <cell r="C1654" t="str">
            <v>CONOCIDO</v>
          </cell>
          <cell r="D1654" t="str">
            <v>CESAR IVAN MARQUEZ SOLANO</v>
          </cell>
          <cell r="E1654">
            <v>83</v>
          </cell>
          <cell r="F1654">
            <v>3</v>
          </cell>
          <cell r="G1654" t="str">
            <v>ZONGOLICA</v>
          </cell>
          <cell r="H1654" t="str">
            <v>AMATEPEC</v>
          </cell>
        </row>
        <row r="1655">
          <cell r="A1655" t="str">
            <v>30DTV1469Z</v>
          </cell>
          <cell r="B1655" t="str">
            <v>MIGUEL HIDALGO Y COSTILLA</v>
          </cell>
          <cell r="C1655" t="str">
            <v>CONOCIDO</v>
          </cell>
          <cell r="D1655" t="str">
            <v>SUNY RAMOS MORALES</v>
          </cell>
          <cell r="E1655">
            <v>83</v>
          </cell>
          <cell r="F1655">
            <v>3</v>
          </cell>
          <cell r="G1655" t="str">
            <v>ZONGOLICA</v>
          </cell>
          <cell r="H1655" t="str">
            <v>SAN JOSE INDEPENDENCIA</v>
          </cell>
        </row>
        <row r="1656">
          <cell r="A1656" t="str">
            <v>30DTV1451Z</v>
          </cell>
          <cell r="B1656" t="str">
            <v>JUSTO SIERRA</v>
          </cell>
          <cell r="C1656" t="str">
            <v>CONOCIDO</v>
          </cell>
          <cell r="D1656" t="str">
            <v>MARANGONI BALTAZAR MARTINEZ</v>
          </cell>
          <cell r="E1656">
            <v>83</v>
          </cell>
          <cell r="F1656">
            <v>3</v>
          </cell>
          <cell r="G1656" t="str">
            <v>ZONGOLICA</v>
          </cell>
          <cell r="H1656" t="str">
            <v>IXPALUCA</v>
          </cell>
        </row>
        <row r="1657">
          <cell r="A1657" t="str">
            <v>30DTV0521Y</v>
          </cell>
          <cell r="B1657" t="str">
            <v>JOSE MARIA MORELOS Y PAVON</v>
          </cell>
          <cell r="C1657" t="str">
            <v>JUNTO A LA CARRETERA FEDERAL</v>
          </cell>
          <cell r="D1657" t="str">
            <v>MARISA JUDITH CERECEDO CANDELARIA</v>
          </cell>
          <cell r="E1657">
            <v>84</v>
          </cell>
          <cell r="F1657">
            <v>22</v>
          </cell>
          <cell r="G1657" t="str">
            <v>CAMARON DE TEJEDA</v>
          </cell>
          <cell r="H1657" t="str">
            <v>RINCON DE BARRABAS</v>
          </cell>
        </row>
        <row r="1658">
          <cell r="A1658" t="str">
            <v>30DTV0231H</v>
          </cell>
          <cell r="B1658" t="str">
            <v>VIRGILIO URIBE</v>
          </cell>
          <cell r="C1658" t="str">
            <v>JOSE AZUETA S/N</v>
          </cell>
          <cell r="D1658" t="str">
            <v>CASTULO PIðA SANCHEZ</v>
          </cell>
          <cell r="E1658">
            <v>84</v>
          </cell>
          <cell r="F1658">
            <v>22</v>
          </cell>
          <cell r="G1658" t="str">
            <v>ALVARADO</v>
          </cell>
          <cell r="H1658" t="str">
            <v>ANTON LIZARDO</v>
          </cell>
        </row>
        <row r="1659">
          <cell r="A1659" t="str">
            <v>30DTV1136K</v>
          </cell>
          <cell r="B1659" t="str">
            <v>TELESECUNDARIA</v>
          </cell>
          <cell r="C1659" t="str">
            <v>AVENIDA JUAN JOSE MARTINEZ S/N</v>
          </cell>
          <cell r="D1659" t="str">
            <v>JUVENTINO TORRES CRUZ</v>
          </cell>
          <cell r="E1659">
            <v>84</v>
          </cell>
          <cell r="F1659">
            <v>22</v>
          </cell>
          <cell r="G1659" t="str">
            <v>BOCA DEL RIO</v>
          </cell>
          <cell r="H1659" t="str">
            <v>BOCA DEL RIO</v>
          </cell>
        </row>
        <row r="1660">
          <cell r="A1660" t="str">
            <v>30DTV0412R</v>
          </cell>
          <cell r="B1660" t="str">
            <v>ADOLFO LOPEZ MATEOS</v>
          </cell>
          <cell r="C1660" t="str">
            <v>FRENTE A LA CLINICA DEL SECTOR SALUD</v>
          </cell>
          <cell r="D1660" t="str">
            <v>NORMA PATRICIA MORALES ORTIZ</v>
          </cell>
          <cell r="E1660">
            <v>84</v>
          </cell>
          <cell r="F1660">
            <v>22</v>
          </cell>
          <cell r="G1660" t="str">
            <v>COTAXTLA</v>
          </cell>
          <cell r="H1660" t="str">
            <v>LOMA DE LOS HOYOS</v>
          </cell>
        </row>
        <row r="1661">
          <cell r="A1661" t="str">
            <v>30DTV0810P</v>
          </cell>
          <cell r="B1661" t="str">
            <v>NICOLAS BRAVO</v>
          </cell>
          <cell r="C1661" t="str">
            <v>CONOCIDO</v>
          </cell>
          <cell r="D1661" t="str">
            <v>FRANCISCO R. LOPEZ P.</v>
          </cell>
          <cell r="E1661">
            <v>84</v>
          </cell>
          <cell r="F1661">
            <v>22</v>
          </cell>
          <cell r="G1661" t="str">
            <v>IGNACIO DE LA LLAVE</v>
          </cell>
          <cell r="H1661" t="str">
            <v>PALMA CUATA</v>
          </cell>
        </row>
        <row r="1662">
          <cell r="A1662" t="str">
            <v>30DTV0689D</v>
          </cell>
          <cell r="B1662" t="str">
            <v>JUAN DE LA BARRERA</v>
          </cell>
          <cell r="C1662" t="str">
            <v>FRENTE A LA CASETA TELEFONICA</v>
          </cell>
          <cell r="D1662" t="str">
            <v>MAURICIO FERNANDEZ SANCHEZ</v>
          </cell>
          <cell r="E1662">
            <v>84</v>
          </cell>
          <cell r="F1662">
            <v>22</v>
          </cell>
          <cell r="G1662" t="str">
            <v>IGNACIO DE LA LLAVE</v>
          </cell>
          <cell r="H1662" t="str">
            <v>EL SALITRAL</v>
          </cell>
        </row>
        <row r="1663">
          <cell r="A1663" t="str">
            <v>30DTV1609I</v>
          </cell>
          <cell r="B1663" t="str">
            <v>MANLIO FABIO ALTAMIRANO</v>
          </cell>
          <cell r="C1663" t="str">
            <v>CALLE PRINCIPAL FRACCION DE LA PARCELA 48</v>
          </cell>
          <cell r="D1663" t="str">
            <v>LIZBETH HERNANDEZ DELGADO</v>
          </cell>
          <cell r="E1663">
            <v>84</v>
          </cell>
          <cell r="F1663">
            <v>22</v>
          </cell>
          <cell r="G1663" t="str">
            <v>PASO DEL MACHO</v>
          </cell>
          <cell r="H1663" t="str">
            <v>PASO DEL MACHO</v>
          </cell>
        </row>
        <row r="1664">
          <cell r="A1664" t="str">
            <v>30DTV1391B</v>
          </cell>
          <cell r="B1664" t="str">
            <v>JOSE AZUETA</v>
          </cell>
          <cell r="C1664" t="str">
            <v>FRENTE AL KINDER</v>
          </cell>
          <cell r="D1664" t="str">
            <v>JOSE LUIS TOVAR AVILA</v>
          </cell>
          <cell r="E1664">
            <v>84</v>
          </cell>
          <cell r="F1664">
            <v>22</v>
          </cell>
          <cell r="G1664" t="str">
            <v>PASO DEL MACHO</v>
          </cell>
          <cell r="H1664" t="str">
            <v>EL ZAPOTAL</v>
          </cell>
        </row>
        <row r="1665">
          <cell r="A1665" t="str">
            <v>30DTV0675A</v>
          </cell>
          <cell r="B1665" t="str">
            <v>BENITO JUAREZ GARCIA</v>
          </cell>
          <cell r="C1665" t="str">
            <v>CONOCIDO AL FINAL DE LA CALLE PRINCIPAL</v>
          </cell>
          <cell r="D1665" t="str">
            <v>CIRIACO GOMEZ OSORIO</v>
          </cell>
          <cell r="E1665">
            <v>84</v>
          </cell>
          <cell r="F1665">
            <v>22</v>
          </cell>
          <cell r="G1665" t="str">
            <v>SOLEDAD DE DOBLADO</v>
          </cell>
          <cell r="H1665" t="str">
            <v>PASO LAGARTO</v>
          </cell>
        </row>
        <row r="1666">
          <cell r="A1666" t="str">
            <v>30DTV0529Q</v>
          </cell>
          <cell r="B1666" t="str">
            <v>PORFIRIO PEREZ OLIVARES</v>
          </cell>
          <cell r="C1666" t="str">
            <v>CONOCIDO ENTRE LA PRIMARIA Y EL KINDER</v>
          </cell>
          <cell r="D1666" t="str">
            <v>ALVARO PEREZ GUERRERO</v>
          </cell>
          <cell r="E1666">
            <v>84</v>
          </cell>
          <cell r="F1666">
            <v>22</v>
          </cell>
          <cell r="G1666" t="str">
            <v>SOLEDAD DE DOBLADO</v>
          </cell>
          <cell r="H1666" t="str">
            <v>PASO SOLANO (EJIDO MIRADOR Y ANEXOS)</v>
          </cell>
        </row>
        <row r="1667">
          <cell r="A1667" t="str">
            <v>30DTV1470O</v>
          </cell>
          <cell r="B1667" t="str">
            <v>FELICIANO GARCIA REYES</v>
          </cell>
          <cell r="C1667" t="str">
            <v>CONOCIDO EN LA CASA DEL CAMPESINO</v>
          </cell>
          <cell r="D1667" t="str">
            <v>ROSALIA ALBERTA ANIMAS RENTERIA</v>
          </cell>
          <cell r="E1667">
            <v>84</v>
          </cell>
          <cell r="F1667">
            <v>22</v>
          </cell>
          <cell r="G1667" t="str">
            <v>SOLEDAD DE DOBLADO</v>
          </cell>
          <cell r="H1667" t="str">
            <v>SANTA CRUZ</v>
          </cell>
        </row>
        <row r="1668">
          <cell r="A1668" t="str">
            <v>30DTV0073I</v>
          </cell>
          <cell r="B1668" t="str">
            <v>RAMON LOPEZ VELARDE</v>
          </cell>
          <cell r="C1668" t="str">
            <v>J. VILLEGAS NUM. 201</v>
          </cell>
          <cell r="D1668" t="str">
            <v>CLEOFAS SOFIA PEREZ</v>
          </cell>
          <cell r="E1668">
            <v>84</v>
          </cell>
          <cell r="F1668">
            <v>22</v>
          </cell>
          <cell r="G1668" t="str">
            <v>TLALIXCOYAN</v>
          </cell>
          <cell r="H1668" t="str">
            <v>TLALIXCOYAN</v>
          </cell>
        </row>
        <row r="1669">
          <cell r="A1669" t="str">
            <v>30DTV0236C</v>
          </cell>
          <cell r="B1669" t="str">
            <v>NIÐOS HEROES DE CHAPULTEPEC</v>
          </cell>
          <cell r="C1669" t="str">
            <v>CONOCIDO</v>
          </cell>
          <cell r="D1669" t="str">
            <v>MARIA ELVIA MORALES SANCHEZ</v>
          </cell>
          <cell r="E1669">
            <v>84</v>
          </cell>
          <cell r="F1669">
            <v>22</v>
          </cell>
          <cell r="G1669" t="str">
            <v>TLALIXCOYAN</v>
          </cell>
          <cell r="H1669" t="str">
            <v>PASO CARRETAS</v>
          </cell>
        </row>
        <row r="1670">
          <cell r="A1670" t="str">
            <v>30DTV0918G</v>
          </cell>
          <cell r="B1670" t="str">
            <v>SOR JUANA INES DE LA CRUZ</v>
          </cell>
          <cell r="C1670" t="str">
            <v>PLAYA LOS COCOS S/N</v>
          </cell>
          <cell r="D1670" t="str">
            <v>ALEJANDRO LEON ORTIZ</v>
          </cell>
          <cell r="E1670">
            <v>84</v>
          </cell>
          <cell r="F1670">
            <v>22</v>
          </cell>
          <cell r="G1670" t="str">
            <v>VERACRUZ</v>
          </cell>
          <cell r="H1670" t="str">
            <v>VERACRUZ</v>
          </cell>
        </row>
        <row r="1671">
          <cell r="A1671" t="str">
            <v>30DTV1181X</v>
          </cell>
          <cell r="B1671" t="str">
            <v>TELESECUNDARIA</v>
          </cell>
          <cell r="C1671" t="str">
            <v>GIRASOL S/N ESQUINA BUGAMBILIA</v>
          </cell>
          <cell r="D1671" t="str">
            <v>JOEL ZAMUDIO LEON</v>
          </cell>
          <cell r="E1671">
            <v>84</v>
          </cell>
          <cell r="F1671">
            <v>22</v>
          </cell>
          <cell r="G1671" t="str">
            <v>VERACRUZ</v>
          </cell>
          <cell r="H1671" t="str">
            <v>VERACRUZ</v>
          </cell>
        </row>
        <row r="1672">
          <cell r="A1672" t="str">
            <v>30DTV0638X</v>
          </cell>
          <cell r="B1672" t="str">
            <v>IGNACIO MANUEL ALTAMIRANO</v>
          </cell>
          <cell r="C1672" t="str">
            <v>RIO ALTAR S/N</v>
          </cell>
          <cell r="D1672" t="str">
            <v>HUGO CELIS Y HERNANDEZ</v>
          </cell>
          <cell r="E1672">
            <v>84</v>
          </cell>
          <cell r="F1672">
            <v>22</v>
          </cell>
          <cell r="G1672" t="str">
            <v>VERACRUZ</v>
          </cell>
          <cell r="H1672" t="str">
            <v>SAN JULIAN</v>
          </cell>
        </row>
        <row r="1673">
          <cell r="A1673" t="str">
            <v>30DTV1624A</v>
          </cell>
          <cell r="B1673" t="str">
            <v>EMILIO CARRANZA RODRIGUEZ</v>
          </cell>
          <cell r="C1673" t="str">
            <v>JUNTO A LA ESCUELA PRIMARIA</v>
          </cell>
          <cell r="D1673" t="str">
            <v>JESUS EDUARDO ARTEAGA FLORES</v>
          </cell>
          <cell r="E1673">
            <v>85</v>
          </cell>
          <cell r="F1673">
            <v>11</v>
          </cell>
          <cell r="G1673" t="str">
            <v>TEMPOAL</v>
          </cell>
          <cell r="H1673" t="str">
            <v>CRUZ DE PALMA (EL CARMEN)</v>
          </cell>
        </row>
        <row r="1674">
          <cell r="A1674" t="str">
            <v>30DTV0039B</v>
          </cell>
          <cell r="B1674" t="str">
            <v>JAIME NUNO</v>
          </cell>
          <cell r="C1674" t="str">
            <v>A UN LADO DEL CEMENTERIO</v>
          </cell>
          <cell r="D1674" t="str">
            <v>ELEUTERIO RODRIGUEZ JIMENEZ</v>
          </cell>
          <cell r="E1674">
            <v>85</v>
          </cell>
          <cell r="F1674">
            <v>11</v>
          </cell>
          <cell r="G1674" t="str">
            <v>TEMPOAL</v>
          </cell>
          <cell r="H1674" t="str">
            <v>COROZAL</v>
          </cell>
        </row>
        <row r="1675">
          <cell r="A1675" t="str">
            <v>30DTV0978V</v>
          </cell>
          <cell r="B1675" t="str">
            <v>CUAUHTEMOC</v>
          </cell>
          <cell r="C1675" t="str">
            <v>CONOCIDO</v>
          </cell>
          <cell r="D1675" t="str">
            <v>AMADO MARTINEZ AMARO</v>
          </cell>
          <cell r="E1675">
            <v>85</v>
          </cell>
          <cell r="F1675">
            <v>11</v>
          </cell>
          <cell r="G1675" t="str">
            <v>TEMPOAL</v>
          </cell>
          <cell r="H1675" t="str">
            <v>POTRERO HORCON</v>
          </cell>
        </row>
        <row r="1676">
          <cell r="A1676" t="str">
            <v>30DTV1276K</v>
          </cell>
          <cell r="B1676" t="str">
            <v>JESUS REYES HEROLES</v>
          </cell>
          <cell r="C1676" t="str">
            <v>CONOCIDO</v>
          </cell>
          <cell r="D1676" t="str">
            <v>JOSE REFUGIO RODRIGUEZ GASPAR</v>
          </cell>
          <cell r="E1676">
            <v>85</v>
          </cell>
          <cell r="F1676">
            <v>11</v>
          </cell>
          <cell r="G1676" t="str">
            <v>TEMPOAL</v>
          </cell>
          <cell r="H1676" t="str">
            <v>TRES PALMAS</v>
          </cell>
        </row>
        <row r="1677">
          <cell r="A1677" t="str">
            <v>30DTV1587N</v>
          </cell>
          <cell r="B1677" t="str">
            <v>ROSARIO CASTELLANOS</v>
          </cell>
          <cell r="C1677" t="str">
            <v>CONOCIDO</v>
          </cell>
          <cell r="D1677" t="str">
            <v>FRANCISCO HERNANDEZ RODRIGUEZ</v>
          </cell>
          <cell r="E1677">
            <v>85</v>
          </cell>
          <cell r="F1677">
            <v>11</v>
          </cell>
          <cell r="G1677" t="str">
            <v>TEMPOAL</v>
          </cell>
          <cell r="H1677" t="str">
            <v>POCHUCO</v>
          </cell>
        </row>
        <row r="1678">
          <cell r="A1678" t="str">
            <v>30DTV0796M</v>
          </cell>
          <cell r="B1678" t="str">
            <v>AGUSTIN MELGAR</v>
          </cell>
          <cell r="C1678" t="str">
            <v>CONOCIDO</v>
          </cell>
          <cell r="D1678" t="str">
            <v>VICTOR RESENDIZ RAMIREZ</v>
          </cell>
          <cell r="E1678">
            <v>85</v>
          </cell>
          <cell r="F1678">
            <v>11</v>
          </cell>
          <cell r="G1678" t="str">
            <v>TEMPOAL</v>
          </cell>
          <cell r="H1678" t="str">
            <v>EL AGUACATE TERRERO</v>
          </cell>
        </row>
        <row r="1679">
          <cell r="A1679" t="str">
            <v>30DTV1120J</v>
          </cell>
          <cell r="B1679" t="str">
            <v>NARCISO MENDOZA</v>
          </cell>
          <cell r="C1679" t="str">
            <v>CONOCIDO</v>
          </cell>
          <cell r="D1679" t="str">
            <v>OBERLIN F. AVILES GALVAN</v>
          </cell>
          <cell r="E1679">
            <v>85</v>
          </cell>
          <cell r="F1679">
            <v>11</v>
          </cell>
          <cell r="G1679" t="str">
            <v>TEMPOAL</v>
          </cell>
          <cell r="H1679" t="str">
            <v>RANCHO NUEVO</v>
          </cell>
        </row>
        <row r="1680">
          <cell r="A1680" t="str">
            <v>30DTV1756S</v>
          </cell>
          <cell r="B1680" t="str">
            <v>TELESECUNDARIA</v>
          </cell>
          <cell r="C1680" t="str">
            <v>A UN COSTADO DEL CAMPO DEPORTIVO</v>
          </cell>
          <cell r="D1680" t="str">
            <v>MARIA ELENA AGUIRRE GARCIA</v>
          </cell>
          <cell r="E1680">
            <v>85</v>
          </cell>
          <cell r="F1680">
            <v>11</v>
          </cell>
          <cell r="G1680" t="str">
            <v>TEMPOAL</v>
          </cell>
          <cell r="H1680" t="str">
            <v>EL MIRADOR</v>
          </cell>
        </row>
        <row r="1681">
          <cell r="A1681" t="str">
            <v>30DTV1765Z</v>
          </cell>
          <cell r="B1681" t="str">
            <v>TELESECUNDARIA</v>
          </cell>
          <cell r="C1681" t="str">
            <v>CALLE PRINCIPAL S/N</v>
          </cell>
          <cell r="D1681" t="str">
            <v>GERMAN CRUZ RIVERA</v>
          </cell>
          <cell r="E1681">
            <v>85</v>
          </cell>
          <cell r="F1681">
            <v>11</v>
          </cell>
          <cell r="G1681" t="str">
            <v>TEMPOAL</v>
          </cell>
          <cell r="H1681" t="str">
            <v>SANTA FE</v>
          </cell>
        </row>
        <row r="1682">
          <cell r="A1682" t="str">
            <v>30DTV1759P</v>
          </cell>
          <cell r="B1682" t="str">
            <v>TELESECUNDARIA</v>
          </cell>
          <cell r="C1682" t="str">
            <v>A UN COSTADO DE LA CONASUPO</v>
          </cell>
          <cell r="D1682" t="str">
            <v>LUCRECIA GARCIA MARTINEZ</v>
          </cell>
          <cell r="E1682">
            <v>85</v>
          </cell>
          <cell r="F1682">
            <v>11</v>
          </cell>
          <cell r="G1682" t="str">
            <v>TEMPOAL</v>
          </cell>
          <cell r="H1682" t="str">
            <v>EL CARDON LIMON</v>
          </cell>
        </row>
        <row r="1683">
          <cell r="A1683" t="str">
            <v>30DTV0847C</v>
          </cell>
          <cell r="B1683" t="str">
            <v>EMILIANO ZAPATA</v>
          </cell>
          <cell r="C1683" t="str">
            <v>CAMINO DE LA CULTURA NUM. 9-1</v>
          </cell>
          <cell r="D1683" t="str">
            <v>COYOLICALTZIN CUEVAS ROJO</v>
          </cell>
          <cell r="E1683">
            <v>85</v>
          </cell>
          <cell r="F1683">
            <v>11</v>
          </cell>
          <cell r="G1683" t="str">
            <v>TEMPOAL</v>
          </cell>
          <cell r="H1683" t="str">
            <v>RANGEL</v>
          </cell>
        </row>
        <row r="1684">
          <cell r="A1684" t="str">
            <v>30DTV1442S</v>
          </cell>
          <cell r="B1684" t="str">
            <v>AQUILES SERDAN</v>
          </cell>
          <cell r="C1684" t="str">
            <v>JUNTO A LA CASA EJIDAL</v>
          </cell>
          <cell r="D1684" t="str">
            <v>SERGIO MARCOS ROCHA</v>
          </cell>
          <cell r="E1684">
            <v>85</v>
          </cell>
          <cell r="F1684">
            <v>11</v>
          </cell>
          <cell r="G1684" t="str">
            <v>TEMPOAL</v>
          </cell>
          <cell r="H1684" t="str">
            <v>VALANTIN</v>
          </cell>
        </row>
        <row r="1685">
          <cell r="A1685" t="str">
            <v>30DTV1741Q</v>
          </cell>
          <cell r="B1685" t="str">
            <v>IGNACIO MANUEL ALTAMIRANO</v>
          </cell>
          <cell r="C1685" t="str">
            <v>ALTO DE VEGA RICA S/N</v>
          </cell>
          <cell r="D1685" t="str">
            <v>NORA MYRNA CASTILLO GONZALEZ</v>
          </cell>
          <cell r="E1685">
            <v>85</v>
          </cell>
          <cell r="F1685">
            <v>11</v>
          </cell>
          <cell r="G1685" t="str">
            <v>TEMPOAL</v>
          </cell>
          <cell r="H1685" t="str">
            <v>ALTO DE VEGA RICA</v>
          </cell>
        </row>
        <row r="1686">
          <cell r="A1686" t="str">
            <v>30DTV0977W</v>
          </cell>
          <cell r="B1686" t="str">
            <v>ALVARO OBREGON</v>
          </cell>
          <cell r="C1686" t="str">
            <v>CONOCIDO</v>
          </cell>
          <cell r="D1686" t="str">
            <v>GONZALEZ CARBAJAL AGUILAR</v>
          </cell>
          <cell r="E1686">
            <v>85</v>
          </cell>
          <cell r="F1686">
            <v>11</v>
          </cell>
          <cell r="G1686" t="str">
            <v>TEMPOAL</v>
          </cell>
          <cell r="H1686" t="str">
            <v>EL HULE (EL BARRANCO)</v>
          </cell>
        </row>
        <row r="1687">
          <cell r="A1687" t="str">
            <v>30DTV1029B</v>
          </cell>
          <cell r="B1687" t="str">
            <v>ALVARO GALVEZ Y FUENTES</v>
          </cell>
          <cell r="C1687" t="str">
            <v>CALLE PRINCIPAL</v>
          </cell>
          <cell r="D1687" t="str">
            <v>ALEJANDRO GARCIA MEZA</v>
          </cell>
          <cell r="E1687">
            <v>85</v>
          </cell>
          <cell r="F1687">
            <v>11</v>
          </cell>
          <cell r="G1687" t="str">
            <v>EL HIGO</v>
          </cell>
          <cell r="H1687" t="str">
            <v>PRIMERA AMPLIACION DE EL CHOTE</v>
          </cell>
        </row>
        <row r="1688">
          <cell r="A1688" t="str">
            <v>30DTV0764U</v>
          </cell>
          <cell r="B1688" t="str">
            <v>ANASTACIO BUSTAMANTE</v>
          </cell>
          <cell r="C1688" t="str">
            <v>CONOCIDO</v>
          </cell>
          <cell r="D1688" t="str">
            <v>MARIA DE JESUS MENDO.ACEVEDO</v>
          </cell>
          <cell r="E1688">
            <v>85</v>
          </cell>
          <cell r="F1688">
            <v>11</v>
          </cell>
          <cell r="G1688" t="str">
            <v>EL HIGO</v>
          </cell>
          <cell r="H1688" t="str">
            <v>LAS BADEAS</v>
          </cell>
        </row>
        <row r="1689">
          <cell r="A1689" t="str">
            <v>30DTV0887D</v>
          </cell>
          <cell r="B1689" t="str">
            <v>VALENTIN GOMEZ FARIAS</v>
          </cell>
          <cell r="C1689" t="str">
            <v>CONOCIDO</v>
          </cell>
          <cell r="D1689" t="str">
            <v>HERACLIO ENRIQUEZ CHAVEZ</v>
          </cell>
          <cell r="E1689">
            <v>85</v>
          </cell>
          <cell r="F1689">
            <v>11</v>
          </cell>
          <cell r="G1689" t="str">
            <v>EL HIGO</v>
          </cell>
          <cell r="H1689" t="str">
            <v>BELLAVISTA (PALMIRA)</v>
          </cell>
        </row>
        <row r="1690">
          <cell r="A1690" t="str">
            <v>30DTV1381V</v>
          </cell>
          <cell r="B1690" t="str">
            <v>JUSTO SIERRA</v>
          </cell>
          <cell r="C1690" t="str">
            <v>CONOCIDO</v>
          </cell>
          <cell r="D1690" t="str">
            <v>GERMAN MARTINEZ GUILLEN</v>
          </cell>
          <cell r="E1690">
            <v>85</v>
          </cell>
          <cell r="F1690">
            <v>11</v>
          </cell>
          <cell r="G1690" t="str">
            <v>EL HIGO</v>
          </cell>
          <cell r="H1690" t="str">
            <v>ESTERO GRANDE (LAS PUENTES NUEVAS)</v>
          </cell>
        </row>
        <row r="1691">
          <cell r="A1691" t="str">
            <v>30DTV0325W</v>
          </cell>
          <cell r="B1691" t="str">
            <v>HEROE DE NACOZARI</v>
          </cell>
          <cell r="C1691" t="str">
            <v>CONOCIDO</v>
          </cell>
          <cell r="D1691" t="str">
            <v>JOSE HERNANDEZ HERNANDEZ</v>
          </cell>
          <cell r="E1691">
            <v>85</v>
          </cell>
          <cell r="F1691">
            <v>11</v>
          </cell>
          <cell r="G1691" t="str">
            <v>EL HIGO</v>
          </cell>
          <cell r="H1691" t="str">
            <v>VEGA DEL PASO</v>
          </cell>
        </row>
        <row r="1692">
          <cell r="A1692" t="str">
            <v>30DTV1334K</v>
          </cell>
          <cell r="B1692" t="str">
            <v>OCTAVIO PAZ</v>
          </cell>
          <cell r="C1692" t="str">
            <v>CONOCIDO</v>
          </cell>
          <cell r="D1692" t="str">
            <v>HIPOLITO LEON FRANCO</v>
          </cell>
          <cell r="E1692">
            <v>85</v>
          </cell>
          <cell r="F1692">
            <v>11</v>
          </cell>
          <cell r="G1692" t="str">
            <v>EL HIGO</v>
          </cell>
          <cell r="H1692" t="str">
            <v>EL CHIJOLAR (LOS MARCOS)</v>
          </cell>
        </row>
        <row r="1693">
          <cell r="A1693" t="str">
            <v>30DTV1019V</v>
          </cell>
          <cell r="B1693" t="str">
            <v>FRANCISCO I. MADERO</v>
          </cell>
          <cell r="C1693" t="str">
            <v>CONOCIDO</v>
          </cell>
          <cell r="D1693" t="str">
            <v>MARIA EUGENIA LOPEZ CASTILLO</v>
          </cell>
          <cell r="E1693">
            <v>85</v>
          </cell>
          <cell r="F1693">
            <v>11</v>
          </cell>
          <cell r="G1693" t="str">
            <v>EL HIGO</v>
          </cell>
          <cell r="H1693" t="str">
            <v>EJIDO RANCHO ALEGRE</v>
          </cell>
        </row>
        <row r="1694">
          <cell r="A1694" t="str">
            <v>30DTV1069C</v>
          </cell>
          <cell r="B1694" t="str">
            <v>RICARDO FLORES MAGON</v>
          </cell>
          <cell r="C1694" t="str">
            <v>BENITO JUAREZ GARCIA S/N</v>
          </cell>
          <cell r="D1694" t="str">
            <v>EFREN DE LA CRUZ FRANCISCO</v>
          </cell>
          <cell r="E1694">
            <v>86</v>
          </cell>
          <cell r="F1694">
            <v>24</v>
          </cell>
          <cell r="G1694" t="str">
            <v>CHALMA</v>
          </cell>
          <cell r="H1694" t="str">
            <v>CHAMIZAL</v>
          </cell>
        </row>
        <row r="1695">
          <cell r="A1695" t="str">
            <v>30DTV0633B</v>
          </cell>
          <cell r="B1695" t="str">
            <v>LAZARO CARDENAS DEL RIO</v>
          </cell>
          <cell r="C1695" t="str">
            <v>CONOCIDO</v>
          </cell>
          <cell r="D1695" t="str">
            <v>PRAXITELES FRANCISCO URRUTIA</v>
          </cell>
          <cell r="E1695">
            <v>86</v>
          </cell>
          <cell r="F1695">
            <v>24</v>
          </cell>
          <cell r="G1695" t="str">
            <v>CHICONTEPEC</v>
          </cell>
          <cell r="H1695" t="str">
            <v>GRANADILLA</v>
          </cell>
        </row>
        <row r="1696">
          <cell r="A1696" t="str">
            <v>30DTV1330O</v>
          </cell>
          <cell r="B1696" t="str">
            <v>MIGUEL HIDALGO Y COSTILLA</v>
          </cell>
          <cell r="C1696" t="str">
            <v>CONOCIDO</v>
          </cell>
          <cell r="D1696" t="str">
            <v>LUIS GONZALEZ PEREZ</v>
          </cell>
          <cell r="E1696">
            <v>86</v>
          </cell>
          <cell r="F1696">
            <v>24</v>
          </cell>
          <cell r="G1696" t="str">
            <v>CHICONTEPEC</v>
          </cell>
          <cell r="H1696" t="str">
            <v>MAGUEY MAGUAQUITE</v>
          </cell>
        </row>
        <row r="1697">
          <cell r="A1697" t="str">
            <v>30DTV1380W</v>
          </cell>
          <cell r="B1697" t="str">
            <v>AMADO NERVO</v>
          </cell>
          <cell r="C1697" t="str">
            <v>CONOCIDO</v>
          </cell>
          <cell r="D1697" t="str">
            <v>PEDRO GALVEZ GABRIEL</v>
          </cell>
          <cell r="E1697">
            <v>86</v>
          </cell>
          <cell r="F1697">
            <v>24</v>
          </cell>
          <cell r="G1697" t="str">
            <v>CHICONTEPEC</v>
          </cell>
          <cell r="H1697" t="str">
            <v>LAS PLACETAS</v>
          </cell>
        </row>
        <row r="1698">
          <cell r="A1698" t="str">
            <v>30DTV0733A</v>
          </cell>
          <cell r="B1698" t="str">
            <v>MIGUEL HIDALGO Y COSTILLA</v>
          </cell>
          <cell r="C1698" t="str">
            <v>BENITO JUAREZ S/N</v>
          </cell>
          <cell r="D1698" t="str">
            <v>LUIS HERVER CASTAðEDA</v>
          </cell>
          <cell r="E1698">
            <v>86</v>
          </cell>
          <cell r="F1698">
            <v>24</v>
          </cell>
          <cell r="G1698" t="str">
            <v>CHICONTEPEC</v>
          </cell>
          <cell r="H1698" t="str">
            <v>EL ZACATAL</v>
          </cell>
        </row>
        <row r="1699">
          <cell r="A1699" t="str">
            <v>30DTV0848B</v>
          </cell>
          <cell r="B1699" t="str">
            <v>MIGUEL HIDALGO Y COSTILLA</v>
          </cell>
          <cell r="C1699" t="str">
            <v>CONOCIDO</v>
          </cell>
          <cell r="D1699" t="str">
            <v>FRANCISCO MANUEL REYES HERNANDEZ</v>
          </cell>
          <cell r="E1699">
            <v>86</v>
          </cell>
          <cell r="F1699">
            <v>24</v>
          </cell>
          <cell r="G1699" t="str">
            <v>CHONTLA</v>
          </cell>
          <cell r="H1699" t="str">
            <v>XOCHITLAN (PARAJES)</v>
          </cell>
        </row>
        <row r="1700">
          <cell r="A1700" t="str">
            <v>30DTV0252U</v>
          </cell>
          <cell r="B1700" t="str">
            <v>ALVARO GALVEZ Y FUENTES</v>
          </cell>
          <cell r="C1700" t="str">
            <v>C0NOCIDO</v>
          </cell>
          <cell r="D1700" t="str">
            <v>ANASTACIO DE LA CRUZ BENITO</v>
          </cell>
          <cell r="E1700">
            <v>86</v>
          </cell>
          <cell r="F1700">
            <v>24</v>
          </cell>
          <cell r="G1700" t="str">
            <v>IXCATEPEC</v>
          </cell>
          <cell r="H1700" t="str">
            <v>IXCATEPEC</v>
          </cell>
        </row>
        <row r="1701">
          <cell r="A1701" t="str">
            <v>30DTV1572L</v>
          </cell>
          <cell r="B1701" t="str">
            <v>TELESECUNDARIA</v>
          </cell>
          <cell r="C1701" t="str">
            <v>CONOCIDO</v>
          </cell>
          <cell r="D1701" t="str">
            <v>FELIX MEDINA GONZALEZ</v>
          </cell>
          <cell r="E1701">
            <v>86</v>
          </cell>
          <cell r="F1701">
            <v>24</v>
          </cell>
          <cell r="G1701" t="str">
            <v>IXCATEPEC</v>
          </cell>
          <cell r="H1701" t="str">
            <v>CHICUALA</v>
          </cell>
        </row>
        <row r="1702">
          <cell r="A1702" t="str">
            <v>30DTV1301T</v>
          </cell>
          <cell r="B1702" t="str">
            <v>LUIS DONALDO COLOSIO MURRIETA</v>
          </cell>
          <cell r="C1702" t="str">
            <v>CONOCIDO</v>
          </cell>
          <cell r="D1702" t="str">
            <v>EMA MORALES DELA CRUZB</v>
          </cell>
          <cell r="E1702">
            <v>86</v>
          </cell>
          <cell r="F1702">
            <v>24</v>
          </cell>
          <cell r="G1702" t="str">
            <v>IXCATEPEC</v>
          </cell>
          <cell r="H1702" t="str">
            <v>GAVILAN</v>
          </cell>
        </row>
        <row r="1703">
          <cell r="A1703" t="str">
            <v>30DTV1300U</v>
          </cell>
          <cell r="B1703" t="str">
            <v>BENITO JUAREZ GARCIA</v>
          </cell>
          <cell r="C1703" t="str">
            <v>CONOCIDO</v>
          </cell>
          <cell r="D1703" t="str">
            <v>FELIPA CRZ OSORIO</v>
          </cell>
          <cell r="E1703">
            <v>86</v>
          </cell>
          <cell r="F1703">
            <v>24</v>
          </cell>
          <cell r="G1703" t="str">
            <v>IXCATEPEC</v>
          </cell>
          <cell r="H1703" t="str">
            <v>EL MEZQUITE</v>
          </cell>
        </row>
        <row r="1704">
          <cell r="A1704" t="str">
            <v>30DTV0944E</v>
          </cell>
          <cell r="B1704" t="str">
            <v>TELESECUNDARIA NUM. 944</v>
          </cell>
          <cell r="C1704" t="str">
            <v>FRENTE AL CAMPO DEPORTIVO</v>
          </cell>
          <cell r="D1704" t="str">
            <v>LUZ MARIA MARCOS MELGOZA</v>
          </cell>
          <cell r="E1704">
            <v>86</v>
          </cell>
          <cell r="F1704">
            <v>24</v>
          </cell>
          <cell r="G1704" t="str">
            <v>IXCATEPEC</v>
          </cell>
          <cell r="H1704" t="str">
            <v>EL RINCON</v>
          </cell>
        </row>
        <row r="1705">
          <cell r="A1705" t="str">
            <v>30DTV1528Y</v>
          </cell>
          <cell r="B1705" t="str">
            <v>MANUEL CARPIO</v>
          </cell>
          <cell r="C1705" t="str">
            <v>CONOCIDO</v>
          </cell>
          <cell r="D1705" t="str">
            <v>LENIN VLADIMIR OLMOS LOPEZ</v>
          </cell>
          <cell r="E1705">
            <v>86</v>
          </cell>
          <cell r="F1705">
            <v>24</v>
          </cell>
          <cell r="G1705" t="str">
            <v>TANTOYUCA</v>
          </cell>
          <cell r="H1705" t="str">
            <v>CARDONAL</v>
          </cell>
        </row>
        <row r="1706">
          <cell r="A1706" t="str">
            <v>30DTV1269A</v>
          </cell>
          <cell r="B1706" t="str">
            <v>TELESECUNDARIA</v>
          </cell>
          <cell r="C1706" t="str">
            <v>CONOCIDO</v>
          </cell>
          <cell r="D1706" t="str">
            <v>JORGE CARLOS LUNA AGUILAR</v>
          </cell>
          <cell r="E1706">
            <v>86</v>
          </cell>
          <cell r="F1706">
            <v>24</v>
          </cell>
          <cell r="G1706" t="str">
            <v>TANTOYUCA</v>
          </cell>
          <cell r="H1706" t="str">
            <v>CERRO SAN GABRIEL</v>
          </cell>
        </row>
        <row r="1707">
          <cell r="A1707" t="str">
            <v>30DTV1440U</v>
          </cell>
          <cell r="B1707" t="str">
            <v>SALVADOR DIAZ MIRON</v>
          </cell>
          <cell r="C1707" t="str">
            <v>CONOCIDO</v>
          </cell>
          <cell r="D1707" t="str">
            <v>ANTONIA LOPEZ QUEZADA</v>
          </cell>
          <cell r="E1707">
            <v>86</v>
          </cell>
          <cell r="F1707">
            <v>24</v>
          </cell>
          <cell r="G1707" t="str">
            <v>TANTOYUCA</v>
          </cell>
          <cell r="H1707" t="str">
            <v>EL MIRADOR</v>
          </cell>
        </row>
        <row r="1708">
          <cell r="A1708" t="str">
            <v>30DTV1362G</v>
          </cell>
          <cell r="B1708" t="str">
            <v>LUIS DONALDO COLOSIO MURRIETA</v>
          </cell>
          <cell r="C1708" t="str">
            <v>CONOCIDO</v>
          </cell>
          <cell r="D1708" t="str">
            <v>JOSE SALVADOR BADILLO CAMPOS</v>
          </cell>
          <cell r="E1708">
            <v>86</v>
          </cell>
          <cell r="F1708">
            <v>24</v>
          </cell>
          <cell r="G1708" t="str">
            <v>TANTOYUCA</v>
          </cell>
          <cell r="H1708" t="str">
            <v>MECAPALA</v>
          </cell>
        </row>
        <row r="1709">
          <cell r="A1709" t="str">
            <v>30DTV0282O</v>
          </cell>
          <cell r="B1709" t="str">
            <v>ADOLFO RUIZ CORTINES</v>
          </cell>
          <cell r="C1709" t="str">
            <v>MIGUEL HIDALGO S/N</v>
          </cell>
          <cell r="D1709" t="str">
            <v>TEODORA MARTIR SERAPIO</v>
          </cell>
          <cell r="E1709">
            <v>86</v>
          </cell>
          <cell r="F1709">
            <v>24</v>
          </cell>
          <cell r="G1709" t="str">
            <v>TANTOYUCA</v>
          </cell>
          <cell r="H1709" t="str">
            <v>SAN SEBASTIAN</v>
          </cell>
        </row>
        <row r="1710">
          <cell r="A1710" t="str">
            <v>30DTV0972A</v>
          </cell>
          <cell r="B1710" t="str">
            <v>JOSE JOAQUIN FERNANDEZ DE LIZARDI</v>
          </cell>
          <cell r="C1710" t="str">
            <v>CONOCIDO</v>
          </cell>
          <cell r="D1710" t="str">
            <v>NORMA ANGELICA MORALES DEL ANGEL</v>
          </cell>
          <cell r="E1710">
            <v>86</v>
          </cell>
          <cell r="F1710">
            <v>24</v>
          </cell>
          <cell r="G1710" t="str">
            <v>TANTOYUCA</v>
          </cell>
          <cell r="H1710" t="str">
            <v>PENSADOR MEXICANO</v>
          </cell>
        </row>
        <row r="1711">
          <cell r="A1711" t="str">
            <v>30DTV1363F</v>
          </cell>
          <cell r="B1711" t="str">
            <v>JOSEFA ORTIZ DE DOMINGUEZ</v>
          </cell>
          <cell r="C1711" t="str">
            <v>CONOCIDO</v>
          </cell>
          <cell r="D1711" t="str">
            <v>SOFIA MARTINEZ DELGADO</v>
          </cell>
          <cell r="E1711">
            <v>86</v>
          </cell>
          <cell r="F1711">
            <v>24</v>
          </cell>
          <cell r="G1711" t="str">
            <v>TANTOYUCA</v>
          </cell>
          <cell r="H1711" t="str">
            <v>EL TOYOL</v>
          </cell>
        </row>
        <row r="1712">
          <cell r="A1712" t="str">
            <v>30DTV0884G</v>
          </cell>
          <cell r="B1712" t="str">
            <v>AGUSTIN YAÐEZ</v>
          </cell>
          <cell r="C1712" t="str">
            <v>CONOCIDO</v>
          </cell>
          <cell r="D1712" t="str">
            <v>ESTEBAN OLIVA MUÐOZ</v>
          </cell>
          <cell r="E1712">
            <v>86</v>
          </cell>
          <cell r="F1712">
            <v>24</v>
          </cell>
          <cell r="G1712" t="str">
            <v>TANTOYUCA</v>
          </cell>
          <cell r="H1712" t="str">
            <v>LAJITAS</v>
          </cell>
        </row>
        <row r="1713">
          <cell r="A1713" t="str">
            <v>30DTV0352T</v>
          </cell>
          <cell r="B1713" t="str">
            <v>FELIPE CARRILLO PUERTO</v>
          </cell>
          <cell r="C1713" t="str">
            <v>PRIMO VERDAD S/N</v>
          </cell>
          <cell r="D1713" t="str">
            <v>LUIS RAMON ALVARADO TAPIA</v>
          </cell>
          <cell r="E1713">
            <v>87</v>
          </cell>
          <cell r="F1713">
            <v>23</v>
          </cell>
          <cell r="G1713" t="str">
            <v>TLALTETELA</v>
          </cell>
          <cell r="H1713" t="str">
            <v>TLALTETELA</v>
          </cell>
        </row>
        <row r="1714">
          <cell r="A1714" t="str">
            <v>30DTV1282V</v>
          </cell>
          <cell r="B1714" t="str">
            <v>CONSTITUCION DE 1917</v>
          </cell>
          <cell r="C1714" t="str">
            <v>3 DE MAYO S/N</v>
          </cell>
          <cell r="D1714" t="str">
            <v>BENIGNA RIVERA GONZALEZ</v>
          </cell>
          <cell r="E1714">
            <v>87</v>
          </cell>
          <cell r="F1714">
            <v>23</v>
          </cell>
          <cell r="G1714" t="str">
            <v>TLALTETELA</v>
          </cell>
          <cell r="H1714" t="str">
            <v>OHUAPAN</v>
          </cell>
        </row>
        <row r="1715">
          <cell r="A1715" t="str">
            <v>30DTV1303R</v>
          </cell>
          <cell r="B1715" t="str">
            <v>MANUEL C. TELLO</v>
          </cell>
          <cell r="C1715" t="str">
            <v>CARRETERA A TECPITLA S/N</v>
          </cell>
          <cell r="D1715" t="str">
            <v>MAURICIO ORTIZ LEON</v>
          </cell>
          <cell r="E1715">
            <v>87</v>
          </cell>
          <cell r="F1715">
            <v>23</v>
          </cell>
          <cell r="G1715" t="str">
            <v>IXHUACAN DE LOS REYES</v>
          </cell>
          <cell r="H1715" t="str">
            <v>TECPITLA</v>
          </cell>
        </row>
        <row r="1716">
          <cell r="A1716" t="str">
            <v>30DTV1005S</v>
          </cell>
          <cell r="B1716" t="str">
            <v>LAZARO CARDENAS DEL RIO</v>
          </cell>
          <cell r="C1716" t="str">
            <v>JUVENTINO ROSAS Y MANUEL M. P.</v>
          </cell>
          <cell r="D1716" t="str">
            <v>IRMA HERNANDEZ LOPEZ</v>
          </cell>
          <cell r="E1716">
            <v>87</v>
          </cell>
          <cell r="F1716">
            <v>23</v>
          </cell>
          <cell r="G1716" t="str">
            <v>XALAPA</v>
          </cell>
          <cell r="H1716" t="str">
            <v>XALAPA-ENRIQUEZ</v>
          </cell>
        </row>
        <row r="1717">
          <cell r="A1717" t="str">
            <v>30DTV1225D</v>
          </cell>
          <cell r="B1717" t="str">
            <v>JAIME TORRES BODET</v>
          </cell>
          <cell r="C1717" t="str">
            <v>ANDADOR 21 BATALLON S/N</v>
          </cell>
          <cell r="D1717" t="str">
            <v>ARIBEL DEL ROCIO MORALES REYES</v>
          </cell>
          <cell r="E1717">
            <v>87</v>
          </cell>
          <cell r="F1717">
            <v>23</v>
          </cell>
          <cell r="G1717" t="str">
            <v>XALAPA</v>
          </cell>
          <cell r="H1717" t="str">
            <v>XALAPA-ENRIQUEZ</v>
          </cell>
        </row>
        <row r="1718">
          <cell r="A1718" t="str">
            <v>30DTV1563D</v>
          </cell>
          <cell r="B1718" t="str">
            <v>EMILIO ABREU GOMEZ</v>
          </cell>
          <cell r="C1718" t="str">
            <v>CAMINO A MALTRATA</v>
          </cell>
          <cell r="D1718" t="str">
            <v>NORMA JIMENEZ TLAXCALTECO</v>
          </cell>
          <cell r="E1718">
            <v>87</v>
          </cell>
          <cell r="F1718">
            <v>23</v>
          </cell>
          <cell r="G1718" t="str">
            <v>XICO</v>
          </cell>
          <cell r="H1718" t="str">
            <v>XICO VIEJO</v>
          </cell>
        </row>
        <row r="1719">
          <cell r="A1719" t="str">
            <v>30DTV1288P</v>
          </cell>
          <cell r="B1719" t="str">
            <v>JUAN ESCUTIA</v>
          </cell>
          <cell r="C1719" t="str">
            <v>ENTRANDO AL PUEBLO LADO DERECHO</v>
          </cell>
          <cell r="D1719" t="str">
            <v>JOSE PIEDAD RICO APARICIO</v>
          </cell>
          <cell r="E1719">
            <v>87</v>
          </cell>
          <cell r="F1719">
            <v>23</v>
          </cell>
          <cell r="G1719" t="str">
            <v>XICO</v>
          </cell>
          <cell r="H1719" t="str">
            <v>MATLALAPA</v>
          </cell>
        </row>
        <row r="1720">
          <cell r="A1720" t="str">
            <v>30DTV1562E</v>
          </cell>
          <cell r="B1720" t="str">
            <v>EMILIANO ZAPATA</v>
          </cell>
          <cell r="C1720" t="str">
            <v>FRENTE AL CAMPO DEPORTIVO</v>
          </cell>
          <cell r="D1720" t="str">
            <v>SUIRI LETICIA GARCIA ORTEGA</v>
          </cell>
          <cell r="E1720">
            <v>87</v>
          </cell>
          <cell r="F1720">
            <v>23</v>
          </cell>
          <cell r="G1720" t="str">
            <v>XICO</v>
          </cell>
          <cell r="H1720" t="str">
            <v>OXTLAPA</v>
          </cell>
        </row>
        <row r="1721">
          <cell r="A1721" t="str">
            <v>30DTV1614U</v>
          </cell>
          <cell r="B1721" t="str">
            <v>TELESECUNDARIA</v>
          </cell>
          <cell r="C1721" t="str">
            <v>SALON SOCIAL DE LA COMUNIDAD</v>
          </cell>
          <cell r="D1721" t="str">
            <v>JESUS ELFEGO SAYAGO FERNANDEZ</v>
          </cell>
          <cell r="E1721">
            <v>87</v>
          </cell>
          <cell r="F1721">
            <v>23</v>
          </cell>
          <cell r="G1721" t="str">
            <v>XICO</v>
          </cell>
          <cell r="H1721" t="str">
            <v>TLACUILOLAN</v>
          </cell>
        </row>
        <row r="1722">
          <cell r="A1722" t="str">
            <v>30DTV1117W</v>
          </cell>
          <cell r="B1722" t="str">
            <v>CARLOS DARWIN</v>
          </cell>
          <cell r="C1722" t="str">
            <v>CARRETERA ENTRADA AL PUEBLO</v>
          </cell>
          <cell r="D1722" t="str">
            <v>JUAN IZAGUIRRE SANCHEZ</v>
          </cell>
          <cell r="E1722">
            <v>87</v>
          </cell>
          <cell r="F1722">
            <v>23</v>
          </cell>
          <cell r="G1722" t="str">
            <v>XICO</v>
          </cell>
          <cell r="H1722" t="str">
            <v>TONALACO</v>
          </cell>
        </row>
        <row r="1723">
          <cell r="A1723" t="str">
            <v>30DTV1669X</v>
          </cell>
          <cell r="B1723" t="str">
            <v>MARIA ENRIQUETA CAMARILLO Y ROA</v>
          </cell>
          <cell r="C1723" t="str">
            <v>CALLE PRINCIPAL S/N</v>
          </cell>
          <cell r="D1723" t="str">
            <v>MARTHA GUADALUPE MONTES RODRIGUEZ</v>
          </cell>
          <cell r="E1723">
            <v>87</v>
          </cell>
          <cell r="F1723">
            <v>23</v>
          </cell>
          <cell r="G1723" t="str">
            <v>XICO</v>
          </cell>
          <cell r="H1723" t="str">
            <v>LOS POCITOS</v>
          </cell>
        </row>
        <row r="1724">
          <cell r="A1724" t="str">
            <v>30DTV0105K</v>
          </cell>
          <cell r="B1724" t="str">
            <v>HERIBERTO JARA CORONA</v>
          </cell>
          <cell r="C1724" t="str">
            <v>JUNTO AL CAMPO DEPORTIVO</v>
          </cell>
          <cell r="D1724" t="str">
            <v>LUIS RAMON ALVARADO TAPIA</v>
          </cell>
          <cell r="E1724">
            <v>87</v>
          </cell>
          <cell r="F1724">
            <v>23</v>
          </cell>
          <cell r="G1724" t="str">
            <v>TENAMPA</v>
          </cell>
          <cell r="H1724" t="str">
            <v>TENAMPA</v>
          </cell>
        </row>
        <row r="1725">
          <cell r="A1725" t="str">
            <v>30DTV0765T</v>
          </cell>
          <cell r="B1725" t="str">
            <v>CARLOS A. CARRILLO</v>
          </cell>
          <cell r="C1725" t="str">
            <v>A UN COSTADO DEL SALON SOCIAL</v>
          </cell>
          <cell r="D1725" t="str">
            <v>SANDRA MARLEN MORALES MARTINEZ</v>
          </cell>
          <cell r="E1725">
            <v>87</v>
          </cell>
          <cell r="F1725">
            <v>23</v>
          </cell>
          <cell r="G1725" t="str">
            <v>TENAMPA</v>
          </cell>
          <cell r="H1725" t="str">
            <v>EL SUCHIL</v>
          </cell>
        </row>
        <row r="1726">
          <cell r="A1726" t="str">
            <v>30DTV0017Q</v>
          </cell>
          <cell r="B1726" t="str">
            <v>FRANCISCO I. MADERO</v>
          </cell>
          <cell r="C1726" t="str">
            <v>VENUSTIANO CARRANZA NUM. 42</v>
          </cell>
          <cell r="D1726" t="str">
            <v>JUAN MANUEL MONTES PALACIOS</v>
          </cell>
          <cell r="E1726">
            <v>87</v>
          </cell>
          <cell r="F1726">
            <v>23</v>
          </cell>
          <cell r="G1726" t="str">
            <v>TOTUTLA</v>
          </cell>
          <cell r="H1726" t="str">
            <v>TOTUTLA</v>
          </cell>
        </row>
        <row r="1727">
          <cell r="A1727" t="str">
            <v>30DTV0986D</v>
          </cell>
          <cell r="B1727" t="str">
            <v>JESUS REYES HEROLES</v>
          </cell>
          <cell r="C1727" t="str">
            <v>CALLE PRINCIPAL AL SALON SOCIAL</v>
          </cell>
          <cell r="D1727" t="str">
            <v>FAUSTO PEREZ IZQUIERDO</v>
          </cell>
          <cell r="E1727">
            <v>87</v>
          </cell>
          <cell r="F1727">
            <v>23</v>
          </cell>
          <cell r="G1727" t="str">
            <v>TOTUTLA</v>
          </cell>
          <cell r="H1727" t="str">
            <v>MATA DE INDIO</v>
          </cell>
        </row>
        <row r="1728">
          <cell r="A1728" t="str">
            <v>30DTV0419K</v>
          </cell>
          <cell r="B1728" t="str">
            <v>URSULO GALVAN</v>
          </cell>
          <cell r="C1728" t="str">
            <v>JUNTO AL KINDER CARRETERA A CONEJOS-HUATUSCO</v>
          </cell>
          <cell r="D1728" t="str">
            <v>MARIA MARTINEZ CARMONA</v>
          </cell>
          <cell r="E1728">
            <v>87</v>
          </cell>
          <cell r="F1728">
            <v>23</v>
          </cell>
          <cell r="G1728" t="str">
            <v>TOTUTLA</v>
          </cell>
          <cell r="H1728" t="str">
            <v>MATA OBSCURA</v>
          </cell>
        </row>
        <row r="1729">
          <cell r="A1729" t="str">
            <v>30DTV0894N</v>
          </cell>
          <cell r="B1729" t="str">
            <v>SOR JUANA INES DE LA CRUZ</v>
          </cell>
          <cell r="C1729" t="str">
            <v>CALLE PRINCIPAL JUNTO A LA CASETA TELEFONICA</v>
          </cell>
          <cell r="D1729" t="str">
            <v>NORMA SALVADOR DOMINGUEZ</v>
          </cell>
          <cell r="E1729">
            <v>87</v>
          </cell>
          <cell r="F1729">
            <v>23</v>
          </cell>
          <cell r="G1729" t="str">
            <v>TOTUTLA</v>
          </cell>
          <cell r="H1729" t="str">
            <v>TLAPALA</v>
          </cell>
        </row>
        <row r="1730">
          <cell r="A1730" t="str">
            <v>30DTV1645N</v>
          </cell>
          <cell r="B1730" t="str">
            <v>TELESECUNDARIA</v>
          </cell>
          <cell r="C1730" t="str">
            <v>CALLE PRINCIPAL</v>
          </cell>
          <cell r="D1730" t="str">
            <v>ANTONIO BALTAZAR ZAMORA</v>
          </cell>
          <cell r="E1730">
            <v>87</v>
          </cell>
          <cell r="F1730">
            <v>23</v>
          </cell>
          <cell r="G1730" t="str">
            <v>TOTUTLA</v>
          </cell>
          <cell r="H1730" t="str">
            <v>ZAPOTITLA</v>
          </cell>
        </row>
        <row r="1731">
          <cell r="A1731" t="str">
            <v>30DTV0640L</v>
          </cell>
          <cell r="B1731" t="str">
            <v>GUILLERMO GONZALEZ CAMARENA</v>
          </cell>
          <cell r="C1731" t="str">
            <v>CARRETERA XALAPA-MISANTLA</v>
          </cell>
          <cell r="D1731" t="str">
            <v>CLARA CRUZ BALBUENA</v>
          </cell>
          <cell r="E1731">
            <v>88</v>
          </cell>
          <cell r="F1731">
            <v>23</v>
          </cell>
          <cell r="G1731" t="str">
            <v>ACATLAN</v>
          </cell>
          <cell r="H1731" t="str">
            <v>ACATLAN</v>
          </cell>
        </row>
        <row r="1732">
          <cell r="A1732" t="str">
            <v>30DTV1460H</v>
          </cell>
          <cell r="B1732" t="str">
            <v>TELESECUNDARIA</v>
          </cell>
          <cell r="C1732" t="str">
            <v>FRENTE A LA PRIMARIA</v>
          </cell>
          <cell r="D1732" t="str">
            <v>RAYMUNDO SUAREZ GARCIA</v>
          </cell>
          <cell r="E1732">
            <v>88</v>
          </cell>
          <cell r="F1732">
            <v>23</v>
          </cell>
          <cell r="G1732" t="str">
            <v>COACOATZINTLA</v>
          </cell>
          <cell r="H1732" t="str">
            <v>PUEBLO VIEJO</v>
          </cell>
        </row>
        <row r="1733">
          <cell r="A1733" t="str">
            <v>30DTV0347H</v>
          </cell>
          <cell r="B1733" t="str">
            <v>SALVADOR DIAZ MIRON</v>
          </cell>
          <cell r="C1733" t="str">
            <v>IGNACIO ZARAGOZA S/N</v>
          </cell>
          <cell r="D1733" t="str">
            <v>RAUL MEZA JUAREZ</v>
          </cell>
          <cell r="E1733">
            <v>88</v>
          </cell>
          <cell r="F1733">
            <v>23</v>
          </cell>
          <cell r="G1733" t="str">
            <v>CHICONQUIACO</v>
          </cell>
          <cell r="H1733" t="str">
            <v>CHICONQUIACO</v>
          </cell>
        </row>
        <row r="1734">
          <cell r="A1734" t="str">
            <v>30DTV1213Z</v>
          </cell>
          <cell r="B1734" t="str">
            <v>RAMON LOPEZ VELARDE</v>
          </cell>
          <cell r="C1734" t="str">
            <v>ENTRANDO POR MONTE VERDE</v>
          </cell>
          <cell r="D1734" t="str">
            <v>MARICRUZ AGUILAR VIVEROS</v>
          </cell>
          <cell r="E1734">
            <v>88</v>
          </cell>
          <cell r="F1734">
            <v>23</v>
          </cell>
          <cell r="G1734" t="str">
            <v>CHICONQUIACO</v>
          </cell>
          <cell r="H1734" t="str">
            <v>EL ESCALANAR</v>
          </cell>
        </row>
        <row r="1735">
          <cell r="A1735" t="str">
            <v>30DTV0297Q</v>
          </cell>
          <cell r="B1735" t="str">
            <v>DR. RAFAEL LUCIO NAJERA</v>
          </cell>
          <cell r="C1735" t="str">
            <v>MANUEL MA. CONTRERAS NUM. 700</v>
          </cell>
          <cell r="D1735" t="str">
            <v>ALFREDO RUIZ PEREZ</v>
          </cell>
          <cell r="E1735">
            <v>88</v>
          </cell>
          <cell r="F1735">
            <v>23</v>
          </cell>
          <cell r="G1735" t="str">
            <v>XALAPA</v>
          </cell>
          <cell r="H1735" t="str">
            <v>XALAPA-ENRIQUEZ</v>
          </cell>
        </row>
        <row r="1736">
          <cell r="A1736" t="str">
            <v>30DTV0402K</v>
          </cell>
          <cell r="B1736" t="str">
            <v>JOSE VASCONCELOS</v>
          </cell>
          <cell r="C1736" t="str">
            <v>CALLE PRINCIPAL S/N</v>
          </cell>
          <cell r="D1736" t="str">
            <v>FRANCISCO NEGRETE LOPEZ</v>
          </cell>
          <cell r="E1736">
            <v>88</v>
          </cell>
          <cell r="F1736">
            <v>23</v>
          </cell>
          <cell r="G1736" t="str">
            <v>XALAPA</v>
          </cell>
          <cell r="H1736" t="str">
            <v>EL CASTILLO</v>
          </cell>
        </row>
        <row r="1737">
          <cell r="A1737" t="str">
            <v>30DTV0207H</v>
          </cell>
          <cell r="B1737" t="str">
            <v>BENITO JUAREZ GARCIA</v>
          </cell>
          <cell r="C1737" t="str">
            <v>CINCO DE MAYO NUM. 14</v>
          </cell>
          <cell r="D1737" t="str">
            <v>ARMANDO ESCOBAR MESA</v>
          </cell>
          <cell r="E1737">
            <v>88</v>
          </cell>
          <cell r="F1737">
            <v>23</v>
          </cell>
          <cell r="G1737" t="str">
            <v>LANDERO Y COSS</v>
          </cell>
          <cell r="H1737" t="str">
            <v>LANDERO Y COSS</v>
          </cell>
        </row>
        <row r="1738">
          <cell r="A1738" t="str">
            <v>30DTV0101O</v>
          </cell>
          <cell r="B1738" t="str">
            <v>CAROLINO ANAYA</v>
          </cell>
          <cell r="C1738" t="str">
            <v>BENITO JUAREZ NUM. 62</v>
          </cell>
          <cell r="D1738" t="str">
            <v>GOMEZ GIRON SILVIA</v>
          </cell>
          <cell r="E1738">
            <v>88</v>
          </cell>
          <cell r="F1738">
            <v>23</v>
          </cell>
          <cell r="G1738" t="str">
            <v>MIAHUATLAN</v>
          </cell>
          <cell r="H1738" t="str">
            <v>MIAHUATLAN</v>
          </cell>
        </row>
        <row r="1739">
          <cell r="A1739" t="str">
            <v>30DTV0400M</v>
          </cell>
          <cell r="B1739" t="str">
            <v>FRANCISCO I. MADERO</v>
          </cell>
          <cell r="C1739" t="str">
            <v>MELCHOR OCAMPO NUM. 4</v>
          </cell>
          <cell r="D1739" t="str">
            <v>ROSALINDA SUGEY RAMIREZ MENESES</v>
          </cell>
          <cell r="E1739">
            <v>88</v>
          </cell>
          <cell r="F1739">
            <v>23</v>
          </cell>
          <cell r="G1739" t="str">
            <v>TEPETLAN</v>
          </cell>
          <cell r="H1739" t="str">
            <v>TEPETLAN</v>
          </cell>
        </row>
        <row r="1740">
          <cell r="A1740" t="str">
            <v>30DTV1612W</v>
          </cell>
          <cell r="B1740" t="str">
            <v>TELESECUNDARIA</v>
          </cell>
          <cell r="C1740" t="str">
            <v>JUNTO A LA AGENCIA MUNICIPAL</v>
          </cell>
          <cell r="D1740" t="str">
            <v>JACOBO BALTAZAR SANCHEZ</v>
          </cell>
          <cell r="E1740">
            <v>88</v>
          </cell>
          <cell r="F1740">
            <v>23</v>
          </cell>
          <cell r="G1740" t="str">
            <v>TLACOLULAN</v>
          </cell>
          <cell r="H1740" t="str">
            <v>HUICHILA</v>
          </cell>
        </row>
        <row r="1741">
          <cell r="A1741" t="str">
            <v>30DTV1340V</v>
          </cell>
          <cell r="B1741" t="str">
            <v>NICOLAS BRAVO</v>
          </cell>
          <cell r="C1741" t="str">
            <v>ARRIBA DE LA ESCUELA PRIMARIA</v>
          </cell>
          <cell r="D1741" t="str">
            <v>CAMILO RIVERA LOPEZ</v>
          </cell>
          <cell r="E1741">
            <v>88</v>
          </cell>
          <cell r="F1741">
            <v>23</v>
          </cell>
          <cell r="G1741" t="str">
            <v>TLACOLULAN</v>
          </cell>
          <cell r="H1741" t="str">
            <v>CINCO DE MAYO</v>
          </cell>
        </row>
        <row r="1742">
          <cell r="A1742" t="str">
            <v>30DTV1002V</v>
          </cell>
          <cell r="B1742" t="str">
            <v>NARCISO SERRADELL</v>
          </cell>
          <cell r="C1742" t="str">
            <v>SOSTENES M. ROCHA S/N</v>
          </cell>
          <cell r="D1742" t="str">
            <v>JULIA SANTIAGO FALFAN</v>
          </cell>
          <cell r="E1742">
            <v>88</v>
          </cell>
          <cell r="F1742">
            <v>23</v>
          </cell>
          <cell r="G1742" t="str">
            <v>TLALNELHUAYOCAN</v>
          </cell>
          <cell r="H1742" t="str">
            <v>OTILPAN</v>
          </cell>
        </row>
        <row r="1743">
          <cell r="A1743" t="str">
            <v>30DTV1561F</v>
          </cell>
          <cell r="B1743" t="str">
            <v>JUAN AMOS COMENIO</v>
          </cell>
          <cell r="C1743" t="str">
            <v>ATRAS DE LA PRIMARIA</v>
          </cell>
          <cell r="D1743" t="str">
            <v>ALICIA GARCIA MEDINA</v>
          </cell>
          <cell r="E1743">
            <v>88</v>
          </cell>
          <cell r="F1743">
            <v>23</v>
          </cell>
          <cell r="G1743" t="str">
            <v>TLALNELHUAYOCAN</v>
          </cell>
          <cell r="H1743" t="str">
            <v>RANCHO VIEJO</v>
          </cell>
        </row>
        <row r="1744">
          <cell r="A1744" t="str">
            <v>30DTV1224E</v>
          </cell>
          <cell r="B1744" t="str">
            <v>DAVID ALFARO SIQUEIROS</v>
          </cell>
          <cell r="C1744" t="str">
            <v>CAMINO A DOS POCITOS</v>
          </cell>
          <cell r="D1744" t="str">
            <v>RICARDO RIVAS CASTRO</v>
          </cell>
          <cell r="E1744">
            <v>88</v>
          </cell>
          <cell r="F1744">
            <v>23</v>
          </cell>
          <cell r="G1744" t="str">
            <v>TONAYAN</v>
          </cell>
          <cell r="H1744" t="str">
            <v>MONTE REAL</v>
          </cell>
        </row>
        <row r="1745">
          <cell r="A1745" t="str">
            <v>30DTV1525A</v>
          </cell>
          <cell r="B1745" t="str">
            <v>TELESECUNDARIA</v>
          </cell>
          <cell r="C1745" t="str">
            <v>SOBRE EL CAMINO A BUENA VISTA</v>
          </cell>
          <cell r="D1745" t="str">
            <v>CARLOS HUMBERTO GARCIA SANCHEZ</v>
          </cell>
          <cell r="E1745">
            <v>88</v>
          </cell>
          <cell r="F1745">
            <v>23</v>
          </cell>
          <cell r="G1745" t="str">
            <v>TONAYAN</v>
          </cell>
          <cell r="H1745" t="str">
            <v>ZACATAL</v>
          </cell>
        </row>
        <row r="1746">
          <cell r="A1746" t="str">
            <v>30DTV1851W</v>
          </cell>
          <cell r="B1746" t="str">
            <v>MARIA ENRIQUETA CAMARILLO Y ROA</v>
          </cell>
          <cell r="C1746" t="str">
            <v>5 DE MAYO S/N</v>
          </cell>
          <cell r="D1746" t="str">
            <v>MYCHELL TERESA REYES ZUBIRI</v>
          </cell>
          <cell r="E1746">
            <v>30</v>
          </cell>
          <cell r="F1746">
            <v>20</v>
          </cell>
          <cell r="G1746" t="str">
            <v>FILOMENO MATA</v>
          </cell>
          <cell r="H1746" t="str">
            <v>EL CRUCERO</v>
          </cell>
        </row>
        <row r="1747">
          <cell r="A1747" t="str">
            <v>30DTV1853U</v>
          </cell>
          <cell r="B1747" t="str">
            <v>ALVARO OBREGON SALIDO</v>
          </cell>
          <cell r="C1747" t="str">
            <v>CALLE A LA IGLESIA EX HACIENDA COMUNITARIA</v>
          </cell>
          <cell r="D1747" t="str">
            <v>EDUARDO ORTIZ QUIJANO</v>
          </cell>
          <cell r="E1747">
            <v>30</v>
          </cell>
          <cell r="F1747">
            <v>20</v>
          </cell>
          <cell r="G1747" t="str">
            <v>MECATLAN</v>
          </cell>
          <cell r="H1747" t="str">
            <v>LAS FLORES</v>
          </cell>
        </row>
        <row r="1748">
          <cell r="A1748" t="str">
            <v>30DTV1883O</v>
          </cell>
          <cell r="B1748" t="str">
            <v>GUILLERMO GONZALEZ CAMARENA</v>
          </cell>
          <cell r="C1748" t="str">
            <v>5 DE MAYO S/N</v>
          </cell>
          <cell r="D1748" t="str">
            <v>RENE ABELARDO GARCES BADILLO</v>
          </cell>
          <cell r="E1748">
            <v>30</v>
          </cell>
          <cell r="F1748">
            <v>20</v>
          </cell>
          <cell r="G1748" t="str">
            <v>FILOMENO MATA</v>
          </cell>
          <cell r="H1748" t="str">
            <v>FILOMENO MATA</v>
          </cell>
        </row>
        <row r="1749">
          <cell r="A1749" t="str">
            <v>30DTV1888J</v>
          </cell>
          <cell r="B1749" t="str">
            <v>GABRIELA MISTRAL GODOY</v>
          </cell>
          <cell r="C1749" t="str">
            <v>BENITO JUAREZ S/N CLINICA RURAL</v>
          </cell>
          <cell r="D1749" t="str">
            <v>ROBERTO JAVIER BECERRA TIRZO</v>
          </cell>
          <cell r="E1749">
            <v>30</v>
          </cell>
          <cell r="F1749">
            <v>20</v>
          </cell>
          <cell r="G1749" t="str">
            <v>MECATLAN</v>
          </cell>
          <cell r="H1749" t="str">
            <v>NARANJALES</v>
          </cell>
        </row>
        <row r="1750">
          <cell r="A1750" t="str">
            <v>30DTV1960C</v>
          </cell>
          <cell r="B1750" t="str">
            <v>LEONA VICARIO FERNANDEZ</v>
          </cell>
          <cell r="C1750" t="str">
            <v>CONOCIDO</v>
          </cell>
          <cell r="D1750" t="str">
            <v>ROSENDO MARCOS VAZQUEZ</v>
          </cell>
          <cell r="E1750">
            <v>13</v>
          </cell>
          <cell r="F1750">
            <v>20</v>
          </cell>
          <cell r="G1750" t="str">
            <v>COXQUIHUI</v>
          </cell>
          <cell r="H1750" t="str">
            <v>TUNCUHUINI (ENCINAL)</v>
          </cell>
        </row>
        <row r="1751">
          <cell r="A1751" t="str">
            <v>30DTV1561F</v>
          </cell>
          <cell r="B1751" t="str">
            <v>JUAN AMOS COMENIO</v>
          </cell>
          <cell r="C1751" t="str">
            <v>ATRAS DE LA PRIMARIA</v>
          </cell>
          <cell r="D1751" t="str">
            <v>ALICIA GARCIA MEDINA</v>
          </cell>
          <cell r="E1751">
            <v>88</v>
          </cell>
          <cell r="F1751">
            <v>23</v>
          </cell>
          <cell r="G1751" t="str">
            <v>TLALNELHUAYOCAN</v>
          </cell>
          <cell r="H1751" t="str">
            <v>RANCHO VIEJO</v>
          </cell>
        </row>
        <row r="1752">
          <cell r="A1752" t="str">
            <v>30DTV1224E</v>
          </cell>
          <cell r="B1752" t="str">
            <v>DAVID ALFARO SIQUEIROS</v>
          </cell>
          <cell r="C1752" t="str">
            <v>CAMINO A DOS POCITOS</v>
          </cell>
          <cell r="D1752" t="str">
            <v>RICARDO RIVAS CASTRO</v>
          </cell>
          <cell r="E1752">
            <v>88</v>
          </cell>
          <cell r="F1752">
            <v>23</v>
          </cell>
          <cell r="G1752" t="str">
            <v>TONAYAN</v>
          </cell>
          <cell r="H1752" t="str">
            <v>MONTE REAL</v>
          </cell>
        </row>
        <row r="1753">
          <cell r="A1753" t="str">
            <v>30DTV1525A</v>
          </cell>
          <cell r="B1753" t="str">
            <v>TELESECUNDARIA</v>
          </cell>
          <cell r="C1753" t="str">
            <v>SOBRE EL CAMINO A BUENA VISTA</v>
          </cell>
          <cell r="D1753" t="str">
            <v>CARLOS HUMBERTO GARCIA SANCHEZ</v>
          </cell>
          <cell r="E1753">
            <v>88</v>
          </cell>
          <cell r="F1753">
            <v>23</v>
          </cell>
          <cell r="G1753" t="str">
            <v>TONAYAN</v>
          </cell>
          <cell r="H1753" t="str">
            <v>ZACATAL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
  <sheetViews>
    <sheetView topLeftCell="A28" workbookViewId="0">
      <selection activeCell="E79" sqref="E79"/>
    </sheetView>
  </sheetViews>
  <sheetFormatPr baseColWidth="10" defaultRowHeight="15" x14ac:dyDescent="0.25"/>
  <cols>
    <col min="1" max="1" width="7.7109375" bestFit="1" customWidth="1"/>
    <col min="2" max="2" width="35.85546875" bestFit="1" customWidth="1"/>
  </cols>
  <sheetData>
    <row r="1" spans="1:2" x14ac:dyDescent="0.25">
      <c r="A1" s="18" t="s">
        <v>3629</v>
      </c>
      <c r="B1" s="18" t="s">
        <v>3630</v>
      </c>
    </row>
    <row r="2" spans="1:2" x14ac:dyDescent="0.25">
      <c r="A2" s="19">
        <v>1</v>
      </c>
      <c r="B2" s="19" t="s">
        <v>3631</v>
      </c>
    </row>
    <row r="3" spans="1:2" x14ac:dyDescent="0.25">
      <c r="A3" s="19">
        <v>27</v>
      </c>
      <c r="B3" s="19" t="s">
        <v>3632</v>
      </c>
    </row>
    <row r="4" spans="1:2" x14ac:dyDescent="0.25">
      <c r="A4" s="19">
        <v>44</v>
      </c>
      <c r="B4" s="19" t="s">
        <v>3633</v>
      </c>
    </row>
    <row r="5" spans="1:2" x14ac:dyDescent="0.25">
      <c r="A5" s="19">
        <v>74</v>
      </c>
      <c r="B5" s="20" t="s">
        <v>3634</v>
      </c>
    </row>
    <row r="6" spans="1:2" x14ac:dyDescent="0.25">
      <c r="A6" s="19">
        <v>5</v>
      </c>
      <c r="B6" s="19" t="s">
        <v>3635</v>
      </c>
    </row>
    <row r="7" spans="1:2" x14ac:dyDescent="0.25">
      <c r="A7" s="19">
        <v>6</v>
      </c>
      <c r="B7" s="19" t="s">
        <v>3636</v>
      </c>
    </row>
    <row r="8" spans="1:2" x14ac:dyDescent="0.25">
      <c r="A8" s="19">
        <v>34</v>
      </c>
      <c r="B8" s="19" t="s">
        <v>3637</v>
      </c>
    </row>
    <row r="9" spans="1:2" x14ac:dyDescent="0.25">
      <c r="A9" s="19">
        <v>8</v>
      </c>
      <c r="B9" s="19" t="s">
        <v>3638</v>
      </c>
    </row>
    <row r="10" spans="1:2" x14ac:dyDescent="0.25">
      <c r="A10" s="19">
        <v>41</v>
      </c>
      <c r="B10" s="19" t="s">
        <v>3639</v>
      </c>
    </row>
    <row r="11" spans="1:2" x14ac:dyDescent="0.25">
      <c r="A11" s="19">
        <v>51</v>
      </c>
      <c r="B11" s="19" t="s">
        <v>3640</v>
      </c>
    </row>
    <row r="12" spans="1:2" x14ac:dyDescent="0.25">
      <c r="A12" s="19">
        <v>82</v>
      </c>
      <c r="B12" s="19" t="s">
        <v>3641</v>
      </c>
    </row>
    <row r="13" spans="1:2" x14ac:dyDescent="0.25">
      <c r="A13" s="19">
        <v>83</v>
      </c>
      <c r="B13" s="19" t="s">
        <v>3642</v>
      </c>
    </row>
    <row r="14" spans="1:2" x14ac:dyDescent="0.25">
      <c r="A14" s="19">
        <v>7</v>
      </c>
      <c r="B14" s="19" t="s">
        <v>3643</v>
      </c>
    </row>
    <row r="15" spans="1:2" x14ac:dyDescent="0.25">
      <c r="A15" s="19">
        <v>36</v>
      </c>
      <c r="B15" s="19" t="s">
        <v>3644</v>
      </c>
    </row>
    <row r="16" spans="1:2" x14ac:dyDescent="0.25">
      <c r="A16" s="19">
        <v>62</v>
      </c>
      <c r="B16" s="19" t="s">
        <v>3645</v>
      </c>
    </row>
    <row r="17" spans="1:2" x14ac:dyDescent="0.25">
      <c r="A17" s="19">
        <v>26</v>
      </c>
      <c r="B17" s="21" t="s">
        <v>3646</v>
      </c>
    </row>
    <row r="18" spans="1:2" x14ac:dyDescent="0.25">
      <c r="A18" s="19">
        <v>40</v>
      </c>
      <c r="B18" s="19" t="s">
        <v>3647</v>
      </c>
    </row>
    <row r="19" spans="1:2" x14ac:dyDescent="0.25">
      <c r="A19" s="19">
        <v>55</v>
      </c>
      <c r="B19" s="19" t="s">
        <v>3648</v>
      </c>
    </row>
    <row r="20" spans="1:2" x14ac:dyDescent="0.25">
      <c r="A20" s="19">
        <v>56</v>
      </c>
      <c r="B20" s="19" t="s">
        <v>3649</v>
      </c>
    </row>
    <row r="21" spans="1:2" x14ac:dyDescent="0.25">
      <c r="A21" s="19">
        <v>64</v>
      </c>
      <c r="B21" s="19" t="s">
        <v>3650</v>
      </c>
    </row>
    <row r="22" spans="1:2" x14ac:dyDescent="0.25">
      <c r="A22" s="19">
        <v>2</v>
      </c>
      <c r="B22" s="19" t="s">
        <v>3651</v>
      </c>
    </row>
    <row r="23" spans="1:2" x14ac:dyDescent="0.25">
      <c r="A23" s="19">
        <v>12</v>
      </c>
      <c r="B23" s="19" t="s">
        <v>3652</v>
      </c>
    </row>
    <row r="24" spans="1:2" x14ac:dyDescent="0.25">
      <c r="A24" s="19">
        <v>68</v>
      </c>
      <c r="B24" s="19" t="s">
        <v>3653</v>
      </c>
    </row>
    <row r="25" spans="1:2" x14ac:dyDescent="0.25">
      <c r="A25" s="19">
        <v>73</v>
      </c>
      <c r="B25" s="19" t="s">
        <v>3654</v>
      </c>
    </row>
    <row r="26" spans="1:2" x14ac:dyDescent="0.25">
      <c r="A26" s="19">
        <v>14</v>
      </c>
      <c r="B26" s="19" t="s">
        <v>3655</v>
      </c>
    </row>
    <row r="27" spans="1:2" x14ac:dyDescent="0.25">
      <c r="A27" s="19">
        <v>47</v>
      </c>
      <c r="B27" s="19" t="s">
        <v>3656</v>
      </c>
    </row>
    <row r="28" spans="1:2" x14ac:dyDescent="0.25">
      <c r="A28" s="19">
        <v>71</v>
      </c>
      <c r="B28" s="19" t="s">
        <v>3657</v>
      </c>
    </row>
    <row r="29" spans="1:2" x14ac:dyDescent="0.25">
      <c r="A29" s="19">
        <v>3</v>
      </c>
      <c r="B29" s="19" t="s">
        <v>3658</v>
      </c>
    </row>
    <row r="30" spans="1:2" x14ac:dyDescent="0.25">
      <c r="A30" s="19">
        <v>15</v>
      </c>
      <c r="B30" s="19" t="s">
        <v>3659</v>
      </c>
    </row>
    <row r="31" spans="1:2" x14ac:dyDescent="0.25">
      <c r="A31" s="19">
        <v>32</v>
      </c>
      <c r="B31" s="19" t="s">
        <v>3660</v>
      </c>
    </row>
    <row r="32" spans="1:2" x14ac:dyDescent="0.25">
      <c r="A32" s="19">
        <v>48</v>
      </c>
      <c r="B32" s="19" t="s">
        <v>3661</v>
      </c>
    </row>
    <row r="33" spans="1:2" x14ac:dyDescent="0.25">
      <c r="A33" s="19">
        <v>67</v>
      </c>
      <c r="B33" s="19" t="s">
        <v>3662</v>
      </c>
    </row>
    <row r="34" spans="1:2" x14ac:dyDescent="0.25">
      <c r="A34" s="19">
        <v>10</v>
      </c>
      <c r="B34" s="19" t="s">
        <v>3663</v>
      </c>
    </row>
    <row r="35" spans="1:2" x14ac:dyDescent="0.25">
      <c r="A35" s="19">
        <v>23</v>
      </c>
      <c r="B35" s="19" t="s">
        <v>3664</v>
      </c>
    </row>
    <row r="36" spans="1:2" x14ac:dyDescent="0.25">
      <c r="A36" s="19">
        <v>38</v>
      </c>
      <c r="B36" s="19" t="s">
        <v>3665</v>
      </c>
    </row>
    <row r="37" spans="1:2" x14ac:dyDescent="0.25">
      <c r="A37" s="19">
        <v>57</v>
      </c>
      <c r="B37" s="19" t="s">
        <v>3666</v>
      </c>
    </row>
    <row r="38" spans="1:2" x14ac:dyDescent="0.25">
      <c r="A38" s="19">
        <v>76</v>
      </c>
      <c r="B38" s="19" t="s">
        <v>3667</v>
      </c>
    </row>
    <row r="39" spans="1:2" x14ac:dyDescent="0.25">
      <c r="A39" s="19">
        <v>9</v>
      </c>
      <c r="B39" s="19" t="s">
        <v>3668</v>
      </c>
    </row>
    <row r="40" spans="1:2" x14ac:dyDescent="0.25">
      <c r="A40" s="19">
        <v>22</v>
      </c>
      <c r="B40" s="19" t="s">
        <v>3669</v>
      </c>
    </row>
    <row r="41" spans="1:2" x14ac:dyDescent="0.25">
      <c r="A41" s="19">
        <v>52</v>
      </c>
      <c r="B41" s="19" t="s">
        <v>3670</v>
      </c>
    </row>
    <row r="42" spans="1:2" x14ac:dyDescent="0.25">
      <c r="A42" s="19">
        <v>70</v>
      </c>
      <c r="B42" s="19" t="s">
        <v>3671</v>
      </c>
    </row>
    <row r="43" spans="1:2" x14ac:dyDescent="0.25">
      <c r="A43" s="19">
        <v>42</v>
      </c>
      <c r="B43" s="19" t="s">
        <v>3672</v>
      </c>
    </row>
    <row r="44" spans="1:2" x14ac:dyDescent="0.25">
      <c r="A44" s="19">
        <v>59</v>
      </c>
      <c r="B44" s="19" t="s">
        <v>3673</v>
      </c>
    </row>
    <row r="45" spans="1:2" x14ac:dyDescent="0.25">
      <c r="A45" s="19">
        <v>85</v>
      </c>
      <c r="B45" s="19" t="s">
        <v>3674</v>
      </c>
    </row>
    <row r="46" spans="1:2" x14ac:dyDescent="0.25">
      <c r="A46" s="19">
        <v>4</v>
      </c>
      <c r="B46" s="21" t="s">
        <v>3675</v>
      </c>
    </row>
    <row r="47" spans="1:2" x14ac:dyDescent="0.25">
      <c r="A47" s="19">
        <v>16</v>
      </c>
      <c r="B47" s="19" t="s">
        <v>3676</v>
      </c>
    </row>
    <row r="48" spans="1:2" x14ac:dyDescent="0.25">
      <c r="A48" s="19">
        <v>33</v>
      </c>
      <c r="B48" s="19" t="s">
        <v>3677</v>
      </c>
    </row>
    <row r="49" spans="1:2" x14ac:dyDescent="0.25">
      <c r="A49" s="19">
        <v>49</v>
      </c>
      <c r="B49" s="19" t="s">
        <v>3678</v>
      </c>
    </row>
    <row r="50" spans="1:2" x14ac:dyDescent="0.25">
      <c r="A50" s="19">
        <v>35</v>
      </c>
      <c r="B50" s="19" t="s">
        <v>3679</v>
      </c>
    </row>
    <row r="51" spans="1:2" x14ac:dyDescent="0.25">
      <c r="A51" s="19">
        <v>50</v>
      </c>
      <c r="B51" s="19" t="s">
        <v>3680</v>
      </c>
    </row>
    <row r="52" spans="1:2" x14ac:dyDescent="0.25">
      <c r="A52" s="19">
        <v>60</v>
      </c>
      <c r="B52" s="19" t="s">
        <v>3681</v>
      </c>
    </row>
    <row r="53" spans="1:2" x14ac:dyDescent="0.25">
      <c r="A53" s="19">
        <v>25</v>
      </c>
      <c r="B53" s="19" t="s">
        <v>3682</v>
      </c>
    </row>
    <row r="54" spans="1:2" x14ac:dyDescent="0.25">
      <c r="A54" s="19">
        <v>53</v>
      </c>
      <c r="B54" s="19" t="s">
        <v>3683</v>
      </c>
    </row>
    <row r="55" spans="1:2" x14ac:dyDescent="0.25">
      <c r="A55" s="19">
        <v>78</v>
      </c>
      <c r="B55" s="19" t="s">
        <v>3684</v>
      </c>
    </row>
    <row r="56" spans="1:2" x14ac:dyDescent="0.25">
      <c r="A56" s="19">
        <v>20</v>
      </c>
      <c r="B56" s="19" t="s">
        <v>3685</v>
      </c>
    </row>
    <row r="57" spans="1:2" x14ac:dyDescent="0.25">
      <c r="A57" s="19">
        <v>37</v>
      </c>
      <c r="B57" s="19" t="s">
        <v>3686</v>
      </c>
    </row>
    <row r="58" spans="1:2" x14ac:dyDescent="0.25">
      <c r="A58" s="19">
        <v>58</v>
      </c>
      <c r="B58" s="19" t="s">
        <v>3687</v>
      </c>
    </row>
    <row r="59" spans="1:2" x14ac:dyDescent="0.25">
      <c r="A59" s="19">
        <v>29</v>
      </c>
      <c r="B59" s="19" t="s">
        <v>3688</v>
      </c>
    </row>
    <row r="60" spans="1:2" x14ac:dyDescent="0.25">
      <c r="A60" s="19">
        <v>45</v>
      </c>
      <c r="B60" s="19" t="s">
        <v>3689</v>
      </c>
    </row>
    <row r="61" spans="1:2" x14ac:dyDescent="0.25">
      <c r="A61" s="19">
        <v>46</v>
      </c>
      <c r="B61" s="19" t="s">
        <v>3690</v>
      </c>
    </row>
    <row r="62" spans="1:2" x14ac:dyDescent="0.25">
      <c r="A62" s="19">
        <v>81</v>
      </c>
      <c r="B62" s="19" t="s">
        <v>3691</v>
      </c>
    </row>
    <row r="63" spans="1:2" x14ac:dyDescent="0.25">
      <c r="A63" s="19">
        <v>18</v>
      </c>
      <c r="B63" s="19" t="s">
        <v>3692</v>
      </c>
    </row>
    <row r="64" spans="1:2" x14ac:dyDescent="0.25">
      <c r="A64" s="19">
        <v>19</v>
      </c>
      <c r="B64" s="19" t="s">
        <v>3693</v>
      </c>
    </row>
    <row r="65" spans="1:2" x14ac:dyDescent="0.25">
      <c r="A65" s="19">
        <v>61</v>
      </c>
      <c r="B65" s="19" t="s">
        <v>3694</v>
      </c>
    </row>
    <row r="66" spans="1:2" x14ac:dyDescent="0.25">
      <c r="A66" s="19">
        <v>63</v>
      </c>
      <c r="B66" s="19" t="s">
        <v>3695</v>
      </c>
    </row>
    <row r="67" spans="1:2" x14ac:dyDescent="0.25">
      <c r="A67" s="19">
        <v>28</v>
      </c>
      <c r="B67" s="19" t="s">
        <v>3696</v>
      </c>
    </row>
    <row r="68" spans="1:2" x14ac:dyDescent="0.25">
      <c r="A68" s="19">
        <v>69</v>
      </c>
      <c r="B68" s="19" t="s">
        <v>3697</v>
      </c>
    </row>
    <row r="69" spans="1:2" x14ac:dyDescent="0.25">
      <c r="A69" s="19">
        <v>79</v>
      </c>
      <c r="B69" s="19" t="s">
        <v>3698</v>
      </c>
    </row>
    <row r="70" spans="1:2" x14ac:dyDescent="0.25">
      <c r="A70" s="19">
        <v>24</v>
      </c>
      <c r="B70" s="19" t="s">
        <v>3699</v>
      </c>
    </row>
    <row r="71" spans="1:2" x14ac:dyDescent="0.25">
      <c r="A71" s="19">
        <v>39</v>
      </c>
      <c r="B71" s="21" t="s">
        <v>3700</v>
      </c>
    </row>
    <row r="72" spans="1:2" x14ac:dyDescent="0.25">
      <c r="A72" s="19">
        <v>54</v>
      </c>
      <c r="B72" s="19" t="s">
        <v>3701</v>
      </c>
    </row>
    <row r="73" spans="1:2" x14ac:dyDescent="0.25">
      <c r="A73" s="19">
        <v>72</v>
      </c>
      <c r="B73" s="19" t="s">
        <v>3702</v>
      </c>
    </row>
    <row r="74" spans="1:2" x14ac:dyDescent="0.25">
      <c r="A74" s="19">
        <v>13</v>
      </c>
      <c r="B74" s="19" t="s">
        <v>3703</v>
      </c>
    </row>
    <row r="75" spans="1:2" x14ac:dyDescent="0.25">
      <c r="A75" s="19">
        <v>30</v>
      </c>
      <c r="B75" s="19" t="s">
        <v>3739</v>
      </c>
    </row>
    <row r="76" spans="1:2" x14ac:dyDescent="0.25">
      <c r="A76" s="19">
        <v>31</v>
      </c>
      <c r="B76" s="21" t="s">
        <v>3709</v>
      </c>
    </row>
    <row r="77" spans="1:2" x14ac:dyDescent="0.25">
      <c r="A77" s="19">
        <v>17</v>
      </c>
      <c r="B77" s="19" t="s">
        <v>3704</v>
      </c>
    </row>
    <row r="78" spans="1:2" x14ac:dyDescent="0.25">
      <c r="A78" s="19">
        <v>65</v>
      </c>
      <c r="B78" s="19" t="s">
        <v>3705</v>
      </c>
    </row>
    <row r="79" spans="1:2" x14ac:dyDescent="0.25">
      <c r="A79" s="19">
        <v>77</v>
      </c>
      <c r="B79" s="19" t="s">
        <v>3706</v>
      </c>
    </row>
    <row r="80" spans="1:2" x14ac:dyDescent="0.25">
      <c r="A80" s="19">
        <v>21</v>
      </c>
      <c r="B80" s="19" t="s">
        <v>3707</v>
      </c>
    </row>
    <row r="81" spans="1:2" x14ac:dyDescent="0.25">
      <c r="A81" s="19">
        <v>66</v>
      </c>
      <c r="B81" s="19" t="s">
        <v>3708</v>
      </c>
    </row>
    <row r="82" spans="1:2" x14ac:dyDescent="0.25">
      <c r="A82" s="19">
        <v>84</v>
      </c>
      <c r="B82" s="19" t="s">
        <v>3709</v>
      </c>
    </row>
    <row r="83" spans="1:2" x14ac:dyDescent="0.25">
      <c r="A83" s="19">
        <v>75</v>
      </c>
      <c r="B83" s="19" t="s">
        <v>3710</v>
      </c>
    </row>
    <row r="84" spans="1:2" x14ac:dyDescent="0.25">
      <c r="A84" s="19">
        <v>87</v>
      </c>
      <c r="B84" s="19" t="s">
        <v>3711</v>
      </c>
    </row>
    <row r="85" spans="1:2" x14ac:dyDescent="0.25">
      <c r="A85" s="19">
        <v>88</v>
      </c>
      <c r="B85" s="19" t="s">
        <v>3712</v>
      </c>
    </row>
    <row r="86" spans="1:2" x14ac:dyDescent="0.25">
      <c r="A86" s="22">
        <v>89</v>
      </c>
      <c r="B86" s="19" t="s">
        <v>3713</v>
      </c>
    </row>
    <row r="87" spans="1:2" x14ac:dyDescent="0.25">
      <c r="A87" s="19">
        <v>11</v>
      </c>
      <c r="B87" s="19" t="s">
        <v>3714</v>
      </c>
    </row>
    <row r="88" spans="1:2" x14ac:dyDescent="0.25">
      <c r="A88" s="19">
        <v>43</v>
      </c>
      <c r="B88" s="19" t="s">
        <v>3715</v>
      </c>
    </row>
    <row r="89" spans="1:2" x14ac:dyDescent="0.25">
      <c r="A89" s="19">
        <v>80</v>
      </c>
      <c r="B89" s="19" t="s">
        <v>3716</v>
      </c>
    </row>
    <row r="90" spans="1:2" x14ac:dyDescent="0.25">
      <c r="A90" s="19">
        <v>86</v>
      </c>
      <c r="B90" s="21" t="s">
        <v>3717</v>
      </c>
    </row>
    <row r="91" spans="1:2" x14ac:dyDescent="0.25">
      <c r="A91" s="18" t="s">
        <v>3718</v>
      </c>
      <c r="B91" s="18" t="s">
        <v>3719</v>
      </c>
    </row>
    <row r="92" spans="1:2" x14ac:dyDescent="0.25">
      <c r="A92" s="23">
        <v>1</v>
      </c>
      <c r="B92" s="23" t="s">
        <v>3720</v>
      </c>
    </row>
    <row r="93" spans="1:2" x14ac:dyDescent="0.25">
      <c r="A93" s="23">
        <v>2</v>
      </c>
      <c r="B93" s="23" t="s">
        <v>3721</v>
      </c>
    </row>
    <row r="94" spans="1:2" x14ac:dyDescent="0.25">
      <c r="A94" s="23">
        <v>3</v>
      </c>
      <c r="B94" s="23" t="s">
        <v>3722</v>
      </c>
    </row>
    <row r="95" spans="1:2" x14ac:dyDescent="0.25">
      <c r="A95" s="23">
        <v>4</v>
      </c>
      <c r="B95" s="23" t="s">
        <v>3723</v>
      </c>
    </row>
    <row r="96" spans="1:2" x14ac:dyDescent="0.25">
      <c r="A96" s="23">
        <v>5</v>
      </c>
      <c r="B96" s="23" t="s">
        <v>3724</v>
      </c>
    </row>
    <row r="97" spans="1:2" x14ac:dyDescent="0.25">
      <c r="A97" s="23">
        <v>6</v>
      </c>
      <c r="B97" s="23" t="s">
        <v>3725</v>
      </c>
    </row>
    <row r="98" spans="1:2" x14ac:dyDescent="0.25">
      <c r="A98" s="23">
        <v>7</v>
      </c>
      <c r="B98" s="23" t="s">
        <v>3726</v>
      </c>
    </row>
    <row r="99" spans="1:2" x14ac:dyDescent="0.25">
      <c r="A99" s="23">
        <v>8</v>
      </c>
      <c r="B99" s="23" t="s">
        <v>3727</v>
      </c>
    </row>
    <row r="100" spans="1:2" x14ac:dyDescent="0.25">
      <c r="A100" s="23">
        <v>9</v>
      </c>
      <c r="B100" s="23" t="s">
        <v>3728</v>
      </c>
    </row>
    <row r="101" spans="1:2" x14ac:dyDescent="0.25">
      <c r="A101" s="23">
        <v>10</v>
      </c>
      <c r="B101" s="23" t="s">
        <v>3729</v>
      </c>
    </row>
    <row r="102" spans="1:2" x14ac:dyDescent="0.25">
      <c r="A102" s="23">
        <v>11</v>
      </c>
      <c r="B102" s="23" t="s">
        <v>3730</v>
      </c>
    </row>
    <row r="103" spans="1:2" x14ac:dyDescent="0.25">
      <c r="A103" s="23">
        <v>12</v>
      </c>
      <c r="B103" s="23" t="s">
        <v>3731</v>
      </c>
    </row>
    <row r="104" spans="1:2" x14ac:dyDescent="0.25">
      <c r="A104" s="23">
        <v>13</v>
      </c>
      <c r="B104" s="23" t="s">
        <v>3732</v>
      </c>
    </row>
    <row r="105" spans="1:2" x14ac:dyDescent="0.25">
      <c r="A105" s="23">
        <v>14</v>
      </c>
      <c r="B105" s="23" t="s">
        <v>3733</v>
      </c>
    </row>
    <row r="106" spans="1:2" x14ac:dyDescent="0.25">
      <c r="A106" s="23">
        <v>15</v>
      </c>
      <c r="B106" s="23" t="s">
        <v>3734</v>
      </c>
    </row>
    <row r="107" spans="1:2" x14ac:dyDescent="0.25">
      <c r="A107" s="23">
        <v>16</v>
      </c>
      <c r="B107" s="23" t="s">
        <v>3735</v>
      </c>
    </row>
    <row r="108" spans="1:2" x14ac:dyDescent="0.25">
      <c r="A108" s="23">
        <v>17</v>
      </c>
      <c r="B108" s="23" t="s">
        <v>3736</v>
      </c>
    </row>
    <row r="109" spans="1:2" x14ac:dyDescent="0.25">
      <c r="A109" s="23">
        <v>18</v>
      </c>
      <c r="B109" s="23" t="s">
        <v>3737</v>
      </c>
    </row>
    <row r="110" spans="1:2" x14ac:dyDescent="0.25">
      <c r="A110" s="23">
        <v>19</v>
      </c>
      <c r="B110" s="23" t="s">
        <v>3738</v>
      </c>
    </row>
    <row r="111" spans="1:2" x14ac:dyDescent="0.25">
      <c r="A111" s="23">
        <v>20</v>
      </c>
      <c r="B111" s="23" t="s">
        <v>3739</v>
      </c>
    </row>
    <row r="112" spans="1:2" x14ac:dyDescent="0.25">
      <c r="A112" s="23">
        <v>21</v>
      </c>
      <c r="B112" s="23" t="s">
        <v>3740</v>
      </c>
    </row>
    <row r="113" spans="1:2" x14ac:dyDescent="0.25">
      <c r="A113" s="23">
        <v>22</v>
      </c>
      <c r="B113" s="23" t="s">
        <v>3741</v>
      </c>
    </row>
    <row r="114" spans="1:2" x14ac:dyDescent="0.25">
      <c r="A114" s="23">
        <v>23</v>
      </c>
      <c r="B114" s="23" t="s">
        <v>3742</v>
      </c>
    </row>
    <row r="115" spans="1:2" x14ac:dyDescent="0.25">
      <c r="A115" s="23">
        <v>24</v>
      </c>
      <c r="B115" s="23" t="s">
        <v>3743</v>
      </c>
    </row>
  </sheetData>
  <sheetProtection password="FCC9"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4"/>
  <sheetViews>
    <sheetView topLeftCell="A67" zoomScaleSheetLayoutView="90" workbookViewId="0">
      <selection activeCell="G62" sqref="G62:G71"/>
    </sheetView>
  </sheetViews>
  <sheetFormatPr baseColWidth="10" defaultRowHeight="15" x14ac:dyDescent="0.2"/>
  <cols>
    <col min="1" max="3" width="11.42578125" style="34"/>
    <col min="4" max="4" width="48.42578125" style="41" customWidth="1"/>
    <col min="5" max="5" width="49.5703125" style="41" customWidth="1"/>
    <col min="6" max="6" width="5.5703125" style="41" bestFit="1" customWidth="1"/>
    <col min="7" max="7" width="9.42578125" style="41" customWidth="1"/>
    <col min="8" max="8" width="17.85546875" style="34" customWidth="1"/>
    <col min="9" max="16384" width="11.42578125" style="34"/>
  </cols>
  <sheetData>
    <row r="1" spans="1:8" ht="30" customHeight="1" x14ac:dyDescent="0.2">
      <c r="A1" s="34" t="s">
        <v>6379</v>
      </c>
      <c r="B1" s="42" t="s">
        <v>14</v>
      </c>
      <c r="C1" s="42" t="s">
        <v>6121</v>
      </c>
      <c r="D1" s="35" t="s">
        <v>6128</v>
      </c>
      <c r="E1" s="35" t="s">
        <v>6129</v>
      </c>
      <c r="F1" s="35" t="s">
        <v>12</v>
      </c>
      <c r="G1" s="35" t="s">
        <v>8</v>
      </c>
      <c r="H1" s="35" t="s">
        <v>6130</v>
      </c>
    </row>
    <row r="2" spans="1:8" x14ac:dyDescent="0.2">
      <c r="A2" s="34" t="str">
        <f>CONCATENATE(B2,C2,F2)</f>
        <v>1I1</v>
      </c>
      <c r="B2" s="42">
        <v>1</v>
      </c>
      <c r="C2" s="42" t="s">
        <v>6122</v>
      </c>
      <c r="D2" s="238" t="s">
        <v>6193</v>
      </c>
      <c r="E2" s="43" t="s">
        <v>6194</v>
      </c>
      <c r="F2" s="44">
        <v>1</v>
      </c>
      <c r="G2" s="44" t="s">
        <v>6133</v>
      </c>
      <c r="H2" s="44" t="s">
        <v>6154</v>
      </c>
    </row>
    <row r="3" spans="1:8" ht="30" x14ac:dyDescent="0.2">
      <c r="A3" s="34" t="str">
        <f t="shared" ref="A3:A66" si="0">CONCATENATE(B3,C3,F3)</f>
        <v>1I2</v>
      </c>
      <c r="B3" s="42">
        <v>1</v>
      </c>
      <c r="C3" s="42" t="s">
        <v>6122</v>
      </c>
      <c r="D3" s="239"/>
      <c r="E3" s="43" t="s">
        <v>6195</v>
      </c>
      <c r="F3" s="44">
        <v>2</v>
      </c>
      <c r="G3" s="44" t="s">
        <v>6116</v>
      </c>
      <c r="H3" s="44" t="s">
        <v>6154</v>
      </c>
    </row>
    <row r="4" spans="1:8" x14ac:dyDescent="0.2">
      <c r="A4" s="34" t="str">
        <f t="shared" si="0"/>
        <v>1I3</v>
      </c>
      <c r="B4" s="42">
        <v>1</v>
      </c>
      <c r="C4" s="42" t="s">
        <v>6122</v>
      </c>
      <c r="D4" s="240"/>
      <c r="E4" s="43" t="s">
        <v>6196</v>
      </c>
      <c r="F4" s="44">
        <v>3</v>
      </c>
      <c r="G4" s="44" t="s">
        <v>6133</v>
      </c>
      <c r="H4" s="44" t="s">
        <v>6154</v>
      </c>
    </row>
    <row r="5" spans="1:8" ht="30" x14ac:dyDescent="0.2">
      <c r="A5" s="34" t="str">
        <f t="shared" si="0"/>
        <v>1I4</v>
      </c>
      <c r="B5" s="42">
        <v>1</v>
      </c>
      <c r="C5" s="42" t="s">
        <v>6122</v>
      </c>
      <c r="D5" s="238" t="s">
        <v>6197</v>
      </c>
      <c r="E5" s="43" t="s">
        <v>6198</v>
      </c>
      <c r="F5" s="44">
        <v>4</v>
      </c>
      <c r="G5" s="44" t="s">
        <v>6133</v>
      </c>
      <c r="H5" s="44" t="s">
        <v>6154</v>
      </c>
    </row>
    <row r="6" spans="1:8" ht="45" x14ac:dyDescent="0.2">
      <c r="A6" s="34" t="str">
        <f t="shared" si="0"/>
        <v>1I5</v>
      </c>
      <c r="B6" s="42">
        <v>1</v>
      </c>
      <c r="C6" s="42" t="s">
        <v>6122</v>
      </c>
      <c r="D6" s="240"/>
      <c r="E6" s="43" t="s">
        <v>6199</v>
      </c>
      <c r="F6" s="44">
        <v>5</v>
      </c>
      <c r="G6" s="44" t="s">
        <v>6136</v>
      </c>
      <c r="H6" s="44" t="s">
        <v>6154</v>
      </c>
    </row>
    <row r="7" spans="1:8" ht="31.5" customHeight="1" x14ac:dyDescent="0.2">
      <c r="A7" s="34" t="str">
        <f t="shared" si="0"/>
        <v>1I6</v>
      </c>
      <c r="B7" s="42">
        <v>1</v>
      </c>
      <c r="C7" s="42" t="s">
        <v>6122</v>
      </c>
      <c r="D7" s="238" t="s">
        <v>6200</v>
      </c>
      <c r="E7" s="241" t="s">
        <v>6201</v>
      </c>
      <c r="F7" s="44">
        <v>6</v>
      </c>
      <c r="G7" s="44" t="s">
        <v>6136</v>
      </c>
      <c r="H7" s="44" t="s">
        <v>6154</v>
      </c>
    </row>
    <row r="8" spans="1:8" x14ac:dyDescent="0.2">
      <c r="A8" s="34" t="str">
        <f t="shared" si="0"/>
        <v>1I7</v>
      </c>
      <c r="B8" s="42">
        <v>1</v>
      </c>
      <c r="C8" s="42" t="s">
        <v>6122</v>
      </c>
      <c r="D8" s="240"/>
      <c r="E8" s="241"/>
      <c r="F8" s="44">
        <v>7</v>
      </c>
      <c r="G8" s="44" t="s">
        <v>6133</v>
      </c>
      <c r="H8" s="44" t="s">
        <v>6154</v>
      </c>
    </row>
    <row r="9" spans="1:8" x14ac:dyDescent="0.2">
      <c r="A9" s="34" t="str">
        <f t="shared" si="0"/>
        <v>1I8</v>
      </c>
      <c r="B9" s="42">
        <v>1</v>
      </c>
      <c r="C9" s="42" t="s">
        <v>6122</v>
      </c>
      <c r="D9" s="238" t="s">
        <v>6202</v>
      </c>
      <c r="E9" s="238" t="s">
        <v>6203</v>
      </c>
      <c r="F9" s="44">
        <v>8</v>
      </c>
      <c r="G9" s="44" t="s">
        <v>6116</v>
      </c>
      <c r="H9" s="44" t="s">
        <v>6154</v>
      </c>
    </row>
    <row r="10" spans="1:8" x14ac:dyDescent="0.2">
      <c r="A10" s="34" t="str">
        <f t="shared" si="0"/>
        <v>1I9</v>
      </c>
      <c r="B10" s="42">
        <v>1</v>
      </c>
      <c r="C10" s="42" t="s">
        <v>6122</v>
      </c>
      <c r="D10" s="239"/>
      <c r="E10" s="239"/>
      <c r="F10" s="44">
        <v>9</v>
      </c>
      <c r="G10" s="44" t="s">
        <v>6136</v>
      </c>
      <c r="H10" s="44" t="s">
        <v>6154</v>
      </c>
    </row>
    <row r="11" spans="1:8" x14ac:dyDescent="0.2">
      <c r="A11" s="34" t="str">
        <f t="shared" si="0"/>
        <v>1I10</v>
      </c>
      <c r="B11" s="42">
        <v>1</v>
      </c>
      <c r="C11" s="42" t="s">
        <v>6122</v>
      </c>
      <c r="D11" s="239"/>
      <c r="E11" s="240"/>
      <c r="F11" s="44">
        <v>10</v>
      </c>
      <c r="G11" s="44" t="s">
        <v>6133</v>
      </c>
      <c r="H11" s="44" t="s">
        <v>6154</v>
      </c>
    </row>
    <row r="12" spans="1:8" x14ac:dyDescent="0.2">
      <c r="A12" s="34" t="str">
        <f t="shared" si="0"/>
        <v>1I11</v>
      </c>
      <c r="B12" s="42">
        <v>1</v>
      </c>
      <c r="C12" s="42" t="s">
        <v>6122</v>
      </c>
      <c r="D12" s="239"/>
      <c r="E12" s="43" t="s">
        <v>6204</v>
      </c>
      <c r="F12" s="44">
        <v>11</v>
      </c>
      <c r="G12" s="44" t="s">
        <v>6136</v>
      </c>
      <c r="H12" s="45" t="s">
        <v>6154</v>
      </c>
    </row>
    <row r="13" spans="1:8" ht="15" customHeight="1" x14ac:dyDescent="0.2">
      <c r="A13" s="34" t="str">
        <f t="shared" si="0"/>
        <v>1I12</v>
      </c>
      <c r="B13" s="42">
        <v>1</v>
      </c>
      <c r="C13" s="42" t="s">
        <v>6122</v>
      </c>
      <c r="D13" s="239"/>
      <c r="E13" s="242" t="s">
        <v>6205</v>
      </c>
      <c r="F13" s="44">
        <v>12</v>
      </c>
      <c r="G13" s="44" t="s">
        <v>6140</v>
      </c>
      <c r="H13" s="45" t="s">
        <v>6154</v>
      </c>
    </row>
    <row r="14" spans="1:8" x14ac:dyDescent="0.2">
      <c r="A14" s="34" t="str">
        <f t="shared" si="0"/>
        <v>1I13</v>
      </c>
      <c r="B14" s="42">
        <v>1</v>
      </c>
      <c r="C14" s="42" t="s">
        <v>6122</v>
      </c>
      <c r="D14" s="239"/>
      <c r="E14" s="243"/>
      <c r="F14" s="44">
        <v>13</v>
      </c>
      <c r="G14" s="44" t="s">
        <v>6136</v>
      </c>
      <c r="H14" s="45" t="s">
        <v>6154</v>
      </c>
    </row>
    <row r="15" spans="1:8" x14ac:dyDescent="0.2">
      <c r="A15" s="34" t="str">
        <f t="shared" si="0"/>
        <v>1I14</v>
      </c>
      <c r="B15" s="42">
        <v>1</v>
      </c>
      <c r="C15" s="42" t="s">
        <v>6122</v>
      </c>
      <c r="D15" s="240"/>
      <c r="E15" s="244"/>
      <c r="F15" s="44">
        <v>14</v>
      </c>
      <c r="G15" s="44" t="s">
        <v>6133</v>
      </c>
      <c r="H15" s="45" t="s">
        <v>6154</v>
      </c>
    </row>
    <row r="16" spans="1:8" ht="45" x14ac:dyDescent="0.2">
      <c r="A16" s="34" t="str">
        <f t="shared" si="0"/>
        <v>1I15</v>
      </c>
      <c r="B16" s="42">
        <v>1</v>
      </c>
      <c r="C16" s="42" t="s">
        <v>6122</v>
      </c>
      <c r="D16" s="43" t="s">
        <v>6206</v>
      </c>
      <c r="E16" s="43" t="s">
        <v>6207</v>
      </c>
      <c r="F16" s="44">
        <v>15</v>
      </c>
      <c r="G16" s="44" t="s">
        <v>6136</v>
      </c>
      <c r="H16" s="45" t="s">
        <v>6154</v>
      </c>
    </row>
    <row r="17" spans="1:8" ht="75" x14ac:dyDescent="0.2">
      <c r="A17" s="34" t="str">
        <f t="shared" si="0"/>
        <v>2I1</v>
      </c>
      <c r="B17" s="42">
        <v>2</v>
      </c>
      <c r="C17" s="42" t="s">
        <v>6122</v>
      </c>
      <c r="D17" s="35" t="s">
        <v>6290</v>
      </c>
      <c r="E17" s="60" t="s">
        <v>6291</v>
      </c>
      <c r="F17" s="35">
        <v>1</v>
      </c>
      <c r="G17" s="99" t="s">
        <v>6136</v>
      </c>
      <c r="H17" s="35" t="s">
        <v>6154</v>
      </c>
    </row>
    <row r="18" spans="1:8" ht="105.75" x14ac:dyDescent="0.2">
      <c r="A18" s="34" t="str">
        <f t="shared" si="0"/>
        <v>2I2</v>
      </c>
      <c r="B18" s="42">
        <v>2</v>
      </c>
      <c r="C18" s="42" t="s">
        <v>6122</v>
      </c>
      <c r="D18" s="35" t="s">
        <v>6292</v>
      </c>
      <c r="E18" s="36" t="s">
        <v>6293</v>
      </c>
      <c r="F18" s="35">
        <v>2</v>
      </c>
      <c r="G18" s="99" t="s">
        <v>6116</v>
      </c>
      <c r="H18" s="35" t="s">
        <v>6154</v>
      </c>
    </row>
    <row r="19" spans="1:8" x14ac:dyDescent="0.2">
      <c r="A19" s="34" t="str">
        <f t="shared" si="0"/>
        <v>2I3</v>
      </c>
      <c r="B19" s="42">
        <v>2</v>
      </c>
      <c r="C19" s="42" t="s">
        <v>6122</v>
      </c>
      <c r="D19" s="209" t="s">
        <v>6294</v>
      </c>
      <c r="E19" s="221" t="s">
        <v>6295</v>
      </c>
      <c r="F19" s="35">
        <v>3</v>
      </c>
      <c r="G19" s="99" t="s">
        <v>6133</v>
      </c>
      <c r="H19" s="35" t="s">
        <v>6184</v>
      </c>
    </row>
    <row r="20" spans="1:8" ht="27.75" customHeight="1" x14ac:dyDescent="0.2">
      <c r="A20" s="34" t="str">
        <f t="shared" si="0"/>
        <v>2I4</v>
      </c>
      <c r="B20" s="42">
        <v>2</v>
      </c>
      <c r="C20" s="42" t="s">
        <v>6122</v>
      </c>
      <c r="D20" s="226"/>
      <c r="E20" s="225"/>
      <c r="F20" s="35">
        <v>4</v>
      </c>
      <c r="G20" s="99" t="s">
        <v>6140</v>
      </c>
      <c r="H20" s="35" t="s">
        <v>6154</v>
      </c>
    </row>
    <row r="21" spans="1:8" ht="42.75" customHeight="1" x14ac:dyDescent="0.2">
      <c r="A21" s="34" t="str">
        <f t="shared" si="0"/>
        <v>2I5</v>
      </c>
      <c r="B21" s="42">
        <v>2</v>
      </c>
      <c r="C21" s="42" t="s">
        <v>6122</v>
      </c>
      <c r="D21" s="209" t="s">
        <v>6296</v>
      </c>
      <c r="E21" s="221" t="s">
        <v>6297</v>
      </c>
      <c r="F21" s="35">
        <v>5</v>
      </c>
      <c r="G21" s="99" t="s">
        <v>6133</v>
      </c>
      <c r="H21" s="38" t="s">
        <v>6184</v>
      </c>
    </row>
    <row r="22" spans="1:8" x14ac:dyDescent="0.2">
      <c r="A22" s="34" t="str">
        <f t="shared" si="0"/>
        <v>2I6</v>
      </c>
      <c r="B22" s="42">
        <v>2</v>
      </c>
      <c r="C22" s="42" t="s">
        <v>6122</v>
      </c>
      <c r="D22" s="226"/>
      <c r="E22" s="225"/>
      <c r="F22" s="35">
        <v>6</v>
      </c>
      <c r="G22" s="99" t="s">
        <v>6136</v>
      </c>
      <c r="H22" s="35" t="s">
        <v>6184</v>
      </c>
    </row>
    <row r="23" spans="1:8" x14ac:dyDescent="0.2">
      <c r="A23" s="34" t="str">
        <f t="shared" si="0"/>
        <v>2I7</v>
      </c>
      <c r="B23" s="42">
        <v>2</v>
      </c>
      <c r="C23" s="42" t="s">
        <v>6122</v>
      </c>
      <c r="D23" s="209" t="s">
        <v>6298</v>
      </c>
      <c r="E23" s="221" t="s">
        <v>6299</v>
      </c>
      <c r="F23" s="35">
        <v>7</v>
      </c>
      <c r="G23" s="99" t="s">
        <v>6133</v>
      </c>
      <c r="H23" s="35" t="s">
        <v>6184</v>
      </c>
    </row>
    <row r="24" spans="1:8" x14ac:dyDescent="0.2">
      <c r="A24" s="34" t="str">
        <f t="shared" si="0"/>
        <v>2I8</v>
      </c>
      <c r="B24" s="42">
        <v>2</v>
      </c>
      <c r="C24" s="42" t="s">
        <v>6122</v>
      </c>
      <c r="D24" s="227"/>
      <c r="E24" s="224"/>
      <c r="F24" s="35">
        <v>8</v>
      </c>
      <c r="G24" s="99" t="s">
        <v>6140</v>
      </c>
      <c r="H24" s="35" t="s">
        <v>6184</v>
      </c>
    </row>
    <row r="25" spans="1:8" x14ac:dyDescent="0.2">
      <c r="A25" s="34" t="str">
        <f t="shared" si="0"/>
        <v>2I9</v>
      </c>
      <c r="B25" s="42">
        <v>2</v>
      </c>
      <c r="C25" s="42" t="s">
        <v>6122</v>
      </c>
      <c r="D25" s="227"/>
      <c r="E25" s="224"/>
      <c r="F25" s="35">
        <v>9</v>
      </c>
      <c r="G25" s="99" t="s">
        <v>6136</v>
      </c>
      <c r="H25" s="35" t="s">
        <v>6184</v>
      </c>
    </row>
    <row r="26" spans="1:8" x14ac:dyDescent="0.2">
      <c r="A26" s="34" t="str">
        <f t="shared" si="0"/>
        <v>2I10</v>
      </c>
      <c r="B26" s="42">
        <v>2</v>
      </c>
      <c r="C26" s="42" t="s">
        <v>6122</v>
      </c>
      <c r="D26" s="226"/>
      <c r="E26" s="225"/>
      <c r="F26" s="35">
        <v>10</v>
      </c>
      <c r="G26" s="99" t="s">
        <v>6116</v>
      </c>
      <c r="H26" s="35" t="s">
        <v>6154</v>
      </c>
    </row>
    <row r="27" spans="1:8" x14ac:dyDescent="0.2">
      <c r="A27" s="34" t="str">
        <f t="shared" si="0"/>
        <v>3I1</v>
      </c>
      <c r="B27" s="42">
        <v>3</v>
      </c>
      <c r="C27" s="42" t="s">
        <v>6122</v>
      </c>
      <c r="D27" s="209" t="s">
        <v>6350</v>
      </c>
      <c r="E27" s="217" t="s">
        <v>6351</v>
      </c>
      <c r="F27" s="35">
        <v>1</v>
      </c>
      <c r="G27" s="99" t="s">
        <v>6133</v>
      </c>
      <c r="H27" s="35" t="s">
        <v>6184</v>
      </c>
    </row>
    <row r="28" spans="1:8" ht="30" x14ac:dyDescent="0.2">
      <c r="A28" s="34" t="str">
        <f t="shared" si="0"/>
        <v>3I2</v>
      </c>
      <c r="B28" s="42">
        <v>3</v>
      </c>
      <c r="C28" s="42" t="s">
        <v>6122</v>
      </c>
      <c r="D28" s="226"/>
      <c r="E28" s="217"/>
      <c r="F28" s="35">
        <v>2</v>
      </c>
      <c r="G28" s="99" t="s">
        <v>6116</v>
      </c>
      <c r="H28" s="35" t="s">
        <v>6352</v>
      </c>
    </row>
    <row r="29" spans="1:8" x14ac:dyDescent="0.2">
      <c r="A29" s="34" t="str">
        <f t="shared" si="0"/>
        <v>3I3</v>
      </c>
      <c r="B29" s="42">
        <v>3</v>
      </c>
      <c r="C29" s="42" t="s">
        <v>6122</v>
      </c>
      <c r="D29" s="209" t="s">
        <v>6353</v>
      </c>
      <c r="E29" s="217" t="s">
        <v>6354</v>
      </c>
      <c r="F29" s="35">
        <v>3</v>
      </c>
      <c r="G29" s="99" t="s">
        <v>6116</v>
      </c>
      <c r="H29" s="35" t="s">
        <v>6184</v>
      </c>
    </row>
    <row r="30" spans="1:8" x14ac:dyDescent="0.2">
      <c r="A30" s="34" t="str">
        <f t="shared" si="0"/>
        <v>3I4</v>
      </c>
      <c r="B30" s="42">
        <v>3</v>
      </c>
      <c r="C30" s="42" t="s">
        <v>6122</v>
      </c>
      <c r="D30" s="226"/>
      <c r="E30" s="217"/>
      <c r="F30" s="35">
        <v>4</v>
      </c>
      <c r="G30" s="99" t="s">
        <v>6133</v>
      </c>
      <c r="H30" s="35" t="s">
        <v>6184</v>
      </c>
    </row>
    <row r="31" spans="1:8" x14ac:dyDescent="0.2">
      <c r="A31" s="34" t="str">
        <f t="shared" si="0"/>
        <v>3I5</v>
      </c>
      <c r="B31" s="42">
        <v>3</v>
      </c>
      <c r="C31" s="42" t="s">
        <v>6122</v>
      </c>
      <c r="D31" s="209" t="s">
        <v>6355</v>
      </c>
      <c r="E31" s="217" t="s">
        <v>6356</v>
      </c>
      <c r="F31" s="35">
        <v>5</v>
      </c>
      <c r="G31" s="99" t="s">
        <v>6140</v>
      </c>
      <c r="H31" s="35" t="s">
        <v>6184</v>
      </c>
    </row>
    <row r="32" spans="1:8" x14ac:dyDescent="0.2">
      <c r="A32" s="34" t="str">
        <f t="shared" si="0"/>
        <v>3I6</v>
      </c>
      <c r="B32" s="42">
        <v>3</v>
      </c>
      <c r="C32" s="42" t="s">
        <v>6122</v>
      </c>
      <c r="D32" s="226"/>
      <c r="E32" s="217"/>
      <c r="F32" s="35">
        <v>6</v>
      </c>
      <c r="G32" s="99" t="s">
        <v>6136</v>
      </c>
      <c r="H32" s="35" t="s">
        <v>6154</v>
      </c>
    </row>
    <row r="33" spans="1:8" ht="75" x14ac:dyDescent="0.2">
      <c r="A33" s="34" t="str">
        <f t="shared" si="0"/>
        <v>3I7</v>
      </c>
      <c r="B33" s="42">
        <v>3</v>
      </c>
      <c r="C33" s="42" t="s">
        <v>6122</v>
      </c>
      <c r="D33" s="35" t="s">
        <v>6357</v>
      </c>
      <c r="E33" s="36" t="s">
        <v>6358</v>
      </c>
      <c r="F33" s="35">
        <v>7</v>
      </c>
      <c r="G33" s="99" t="s">
        <v>6136</v>
      </c>
      <c r="H33" s="38" t="s">
        <v>6184</v>
      </c>
    </row>
    <row r="34" spans="1:8" ht="75" x14ac:dyDescent="0.2">
      <c r="A34" s="34" t="str">
        <f t="shared" si="0"/>
        <v>3I8</v>
      </c>
      <c r="B34" s="42">
        <v>3</v>
      </c>
      <c r="C34" s="42" t="s">
        <v>6122</v>
      </c>
      <c r="D34" s="35" t="s">
        <v>6359</v>
      </c>
      <c r="E34" s="36" t="s">
        <v>6360</v>
      </c>
      <c r="F34" s="35">
        <v>8</v>
      </c>
      <c r="G34" s="99" t="s">
        <v>6140</v>
      </c>
      <c r="H34" s="35" t="s">
        <v>6154</v>
      </c>
    </row>
    <row r="35" spans="1:8" ht="75" x14ac:dyDescent="0.2">
      <c r="A35" s="34" t="str">
        <f t="shared" si="0"/>
        <v>3I9</v>
      </c>
      <c r="B35" s="42">
        <v>3</v>
      </c>
      <c r="C35" s="42" t="s">
        <v>6122</v>
      </c>
      <c r="D35" s="35" t="s">
        <v>6361</v>
      </c>
      <c r="E35" s="36" t="s">
        <v>6362</v>
      </c>
      <c r="F35" s="35">
        <v>9</v>
      </c>
      <c r="G35" s="99" t="s">
        <v>6140</v>
      </c>
      <c r="H35" s="35" t="s">
        <v>6154</v>
      </c>
    </row>
    <row r="36" spans="1:8" ht="45" x14ac:dyDescent="0.2">
      <c r="A36" s="34" t="str">
        <f t="shared" si="0"/>
        <v>3I10</v>
      </c>
      <c r="B36" s="42">
        <v>3</v>
      </c>
      <c r="C36" s="42" t="s">
        <v>6122</v>
      </c>
      <c r="D36" s="35" t="s">
        <v>6363</v>
      </c>
      <c r="E36" s="36" t="s">
        <v>6364</v>
      </c>
      <c r="F36" s="35">
        <v>10</v>
      </c>
      <c r="G36" s="99" t="s">
        <v>6136</v>
      </c>
      <c r="H36" s="35" t="s">
        <v>6184</v>
      </c>
    </row>
    <row r="37" spans="1:8" x14ac:dyDescent="0.2">
      <c r="A37" s="34" t="str">
        <f t="shared" si="0"/>
        <v>1II1</v>
      </c>
      <c r="B37" s="34">
        <v>1</v>
      </c>
      <c r="C37" s="34" t="s">
        <v>6384</v>
      </c>
      <c r="D37" s="241" t="s">
        <v>6441</v>
      </c>
      <c r="E37" s="113" t="s">
        <v>6442</v>
      </c>
      <c r="F37" s="44">
        <v>1</v>
      </c>
      <c r="G37" s="44" t="s">
        <v>6140</v>
      </c>
      <c r="H37" s="44" t="s">
        <v>6154</v>
      </c>
    </row>
    <row r="38" spans="1:8" ht="30" x14ac:dyDescent="0.2">
      <c r="A38" s="34" t="str">
        <f t="shared" si="0"/>
        <v>1II2</v>
      </c>
      <c r="B38" s="34">
        <v>1</v>
      </c>
      <c r="C38" s="34" t="s">
        <v>6384</v>
      </c>
      <c r="D38" s="241"/>
      <c r="E38" s="113" t="s">
        <v>6443</v>
      </c>
      <c r="F38" s="44">
        <v>2</v>
      </c>
      <c r="G38" s="44" t="s">
        <v>6140</v>
      </c>
      <c r="H38" s="44" t="s">
        <v>6154</v>
      </c>
    </row>
    <row r="39" spans="1:8" ht="30" x14ac:dyDescent="0.2">
      <c r="A39" s="34" t="str">
        <f t="shared" si="0"/>
        <v>1II3</v>
      </c>
      <c r="B39" s="34">
        <v>1</v>
      </c>
      <c r="C39" s="34" t="s">
        <v>6384</v>
      </c>
      <c r="D39" s="241"/>
      <c r="E39" s="113" t="s">
        <v>6444</v>
      </c>
      <c r="F39" s="44">
        <v>3</v>
      </c>
      <c r="G39" s="44" t="s">
        <v>6133</v>
      </c>
      <c r="H39" s="44" t="s">
        <v>6154</v>
      </c>
    </row>
    <row r="40" spans="1:8" x14ac:dyDescent="0.2">
      <c r="A40" s="34" t="str">
        <f t="shared" si="0"/>
        <v>1II4</v>
      </c>
      <c r="B40" s="34">
        <v>1</v>
      </c>
      <c r="C40" s="34" t="s">
        <v>6384</v>
      </c>
      <c r="D40" s="241"/>
      <c r="E40" s="113" t="s">
        <v>6445</v>
      </c>
      <c r="F40" s="44">
        <v>4</v>
      </c>
      <c r="G40" s="44" t="s">
        <v>6140</v>
      </c>
      <c r="H40" s="44" t="s">
        <v>6154</v>
      </c>
    </row>
    <row r="41" spans="1:8" ht="75" x14ac:dyDescent="0.2">
      <c r="A41" s="34" t="str">
        <f t="shared" si="0"/>
        <v>1II5</v>
      </c>
      <c r="B41" s="34">
        <v>1</v>
      </c>
      <c r="C41" s="34" t="s">
        <v>6384</v>
      </c>
      <c r="D41" s="113" t="s">
        <v>6446</v>
      </c>
      <c r="E41" s="113" t="s">
        <v>6447</v>
      </c>
      <c r="F41" s="44">
        <v>5</v>
      </c>
      <c r="G41" s="44" t="s">
        <v>6136</v>
      </c>
      <c r="H41" s="44" t="s">
        <v>6154</v>
      </c>
    </row>
    <row r="42" spans="1:8" ht="30" x14ac:dyDescent="0.2">
      <c r="A42" s="34" t="str">
        <f t="shared" si="0"/>
        <v>1II6</v>
      </c>
      <c r="B42" s="34">
        <v>1</v>
      </c>
      <c r="C42" s="34" t="s">
        <v>6384</v>
      </c>
      <c r="D42" s="241" t="s">
        <v>6448</v>
      </c>
      <c r="E42" s="113" t="s">
        <v>6449</v>
      </c>
      <c r="F42" s="44">
        <v>6</v>
      </c>
      <c r="G42" s="44" t="s">
        <v>6133</v>
      </c>
      <c r="H42" s="44" t="s">
        <v>6154</v>
      </c>
    </row>
    <row r="43" spans="1:8" ht="30" x14ac:dyDescent="0.2">
      <c r="A43" s="34" t="str">
        <f t="shared" si="0"/>
        <v>1II7</v>
      </c>
      <c r="B43" s="34">
        <v>1</v>
      </c>
      <c r="C43" s="34" t="s">
        <v>6384</v>
      </c>
      <c r="D43" s="241"/>
      <c r="E43" s="113" t="s">
        <v>6450</v>
      </c>
      <c r="F43" s="44">
        <v>7</v>
      </c>
      <c r="G43" s="44" t="s">
        <v>6136</v>
      </c>
      <c r="H43" s="44" t="s">
        <v>6154</v>
      </c>
    </row>
    <row r="44" spans="1:8" ht="30" x14ac:dyDescent="0.2">
      <c r="A44" s="34" t="str">
        <f t="shared" si="0"/>
        <v>1II8</v>
      </c>
      <c r="B44" s="34">
        <v>1</v>
      </c>
      <c r="C44" s="34" t="s">
        <v>6384</v>
      </c>
      <c r="D44" s="241" t="s">
        <v>6451</v>
      </c>
      <c r="E44" s="113" t="s">
        <v>6452</v>
      </c>
      <c r="F44" s="44">
        <v>8</v>
      </c>
      <c r="G44" s="44" t="s">
        <v>6116</v>
      </c>
      <c r="H44" s="44" t="s">
        <v>6154</v>
      </c>
    </row>
    <row r="45" spans="1:8" ht="45" x14ac:dyDescent="0.2">
      <c r="A45" s="34" t="str">
        <f t="shared" si="0"/>
        <v>1II9</v>
      </c>
      <c r="B45" s="34">
        <v>1</v>
      </c>
      <c r="C45" s="34" t="s">
        <v>6384</v>
      </c>
      <c r="D45" s="241"/>
      <c r="E45" s="113" t="s">
        <v>6453</v>
      </c>
      <c r="F45" s="44">
        <v>9</v>
      </c>
      <c r="G45" s="44" t="s">
        <v>6133</v>
      </c>
      <c r="H45" s="44" t="s">
        <v>6395</v>
      </c>
    </row>
    <row r="46" spans="1:8" ht="30" x14ac:dyDescent="0.2">
      <c r="A46" s="34" t="str">
        <f t="shared" si="0"/>
        <v>1II10</v>
      </c>
      <c r="B46" s="34">
        <v>1</v>
      </c>
      <c r="C46" s="34" t="s">
        <v>6384</v>
      </c>
      <c r="D46" s="241"/>
      <c r="E46" s="113" t="s">
        <v>6452</v>
      </c>
      <c r="F46" s="44">
        <v>10</v>
      </c>
      <c r="G46" s="44" t="s">
        <v>6136</v>
      </c>
      <c r="H46" s="44" t="s">
        <v>6395</v>
      </c>
    </row>
    <row r="47" spans="1:8" ht="30" x14ac:dyDescent="0.2">
      <c r="A47" s="34" t="str">
        <f t="shared" si="0"/>
        <v>1II11</v>
      </c>
      <c r="B47" s="34">
        <v>1</v>
      </c>
      <c r="C47" s="34" t="s">
        <v>6384</v>
      </c>
      <c r="D47" s="241" t="s">
        <v>6454</v>
      </c>
      <c r="E47" s="113" t="s">
        <v>6455</v>
      </c>
      <c r="F47" s="44">
        <v>11</v>
      </c>
      <c r="G47" s="44" t="s">
        <v>6140</v>
      </c>
      <c r="H47" s="45" t="s">
        <v>6154</v>
      </c>
    </row>
    <row r="48" spans="1:8" ht="30" x14ac:dyDescent="0.2">
      <c r="A48" s="34" t="str">
        <f t="shared" si="0"/>
        <v>1II12</v>
      </c>
      <c r="B48" s="34">
        <v>1</v>
      </c>
      <c r="C48" s="34" t="s">
        <v>6384</v>
      </c>
      <c r="D48" s="241"/>
      <c r="E48" s="113" t="s">
        <v>6456</v>
      </c>
      <c r="F48" s="44">
        <v>12</v>
      </c>
      <c r="G48" s="44" t="s">
        <v>6133</v>
      </c>
      <c r="H48" s="45" t="s">
        <v>6154</v>
      </c>
    </row>
    <row r="49" spans="1:8" ht="30" x14ac:dyDescent="0.2">
      <c r="A49" s="34" t="str">
        <f t="shared" si="0"/>
        <v>1II13</v>
      </c>
      <c r="B49" s="34">
        <v>1</v>
      </c>
      <c r="C49" s="34" t="s">
        <v>6384</v>
      </c>
      <c r="D49" s="241"/>
      <c r="E49" s="113" t="s">
        <v>6457</v>
      </c>
      <c r="F49" s="44">
        <v>13</v>
      </c>
      <c r="G49" s="44" t="s">
        <v>6133</v>
      </c>
      <c r="H49" s="45" t="s">
        <v>6154</v>
      </c>
    </row>
    <row r="50" spans="1:8" x14ac:dyDescent="0.2">
      <c r="A50" s="34" t="str">
        <f t="shared" si="0"/>
        <v>1II14</v>
      </c>
      <c r="B50" s="34">
        <v>1</v>
      </c>
      <c r="C50" s="34" t="s">
        <v>6384</v>
      </c>
      <c r="D50" s="241"/>
      <c r="E50" s="241" t="s">
        <v>6458</v>
      </c>
      <c r="F50" s="44">
        <v>14</v>
      </c>
      <c r="G50" s="44" t="s">
        <v>6136</v>
      </c>
      <c r="H50" s="45" t="s">
        <v>6154</v>
      </c>
    </row>
    <row r="51" spans="1:8" x14ac:dyDescent="0.2">
      <c r="A51" s="34" t="str">
        <f t="shared" si="0"/>
        <v>1II15</v>
      </c>
      <c r="B51" s="34">
        <v>1</v>
      </c>
      <c r="C51" s="34" t="s">
        <v>6384</v>
      </c>
      <c r="D51" s="241"/>
      <c r="E51" s="241"/>
      <c r="F51" s="44">
        <v>15</v>
      </c>
      <c r="G51" s="44" t="s">
        <v>6140</v>
      </c>
      <c r="H51" s="45" t="s">
        <v>6154</v>
      </c>
    </row>
    <row r="52" spans="1:8" x14ac:dyDescent="0.2">
      <c r="A52" s="34" t="str">
        <f t="shared" si="0"/>
        <v>2II1</v>
      </c>
      <c r="B52" s="34">
        <v>2</v>
      </c>
      <c r="C52" s="34" t="s">
        <v>6384</v>
      </c>
      <c r="D52" s="241" t="s">
        <v>6517</v>
      </c>
      <c r="E52" s="241" t="s">
        <v>6518</v>
      </c>
      <c r="F52" s="44">
        <v>1</v>
      </c>
      <c r="G52" s="44" t="s">
        <v>6140</v>
      </c>
      <c r="H52" s="44" t="s">
        <v>6184</v>
      </c>
    </row>
    <row r="53" spans="1:8" x14ac:dyDescent="0.2">
      <c r="A53" s="34" t="str">
        <f t="shared" si="0"/>
        <v>2II2</v>
      </c>
      <c r="B53" s="34">
        <v>2</v>
      </c>
      <c r="C53" s="34" t="s">
        <v>6384</v>
      </c>
      <c r="D53" s="241"/>
      <c r="E53" s="241"/>
      <c r="F53" s="44">
        <v>2</v>
      </c>
      <c r="G53" s="44" t="s">
        <v>6133</v>
      </c>
      <c r="H53" s="44" t="s">
        <v>6154</v>
      </c>
    </row>
    <row r="54" spans="1:8" x14ac:dyDescent="0.2">
      <c r="A54" s="34" t="str">
        <f t="shared" si="0"/>
        <v>2II3</v>
      </c>
      <c r="B54" s="34">
        <v>2</v>
      </c>
      <c r="C54" s="34" t="s">
        <v>6384</v>
      </c>
      <c r="D54" s="241"/>
      <c r="E54" s="241"/>
      <c r="F54" s="44">
        <v>3</v>
      </c>
      <c r="G54" s="44" t="s">
        <v>6136</v>
      </c>
      <c r="H54" s="44" t="s">
        <v>6154</v>
      </c>
    </row>
    <row r="55" spans="1:8" x14ac:dyDescent="0.2">
      <c r="A55" s="34" t="str">
        <f t="shared" si="0"/>
        <v>2II4</v>
      </c>
      <c r="B55" s="34">
        <v>2</v>
      </c>
      <c r="C55" s="34" t="s">
        <v>6384</v>
      </c>
      <c r="D55" s="241"/>
      <c r="E55" s="241"/>
      <c r="F55" s="44">
        <v>4</v>
      </c>
      <c r="G55" s="44" t="s">
        <v>6116</v>
      </c>
      <c r="H55" s="44" t="s">
        <v>6154</v>
      </c>
    </row>
    <row r="56" spans="1:8" x14ac:dyDescent="0.2">
      <c r="A56" s="34" t="str">
        <f t="shared" si="0"/>
        <v>2II5</v>
      </c>
      <c r="B56" s="34">
        <v>2</v>
      </c>
      <c r="C56" s="34" t="s">
        <v>6384</v>
      </c>
      <c r="D56" s="241" t="s">
        <v>6519</v>
      </c>
      <c r="E56" s="241" t="s">
        <v>6520</v>
      </c>
      <c r="F56" s="44">
        <v>5</v>
      </c>
      <c r="G56" s="44" t="s">
        <v>6116</v>
      </c>
      <c r="H56" s="44" t="s">
        <v>6184</v>
      </c>
    </row>
    <row r="57" spans="1:8" x14ac:dyDescent="0.2">
      <c r="A57" s="34" t="str">
        <f t="shared" si="0"/>
        <v>2II6</v>
      </c>
      <c r="B57" s="34">
        <v>2</v>
      </c>
      <c r="C57" s="34" t="s">
        <v>6384</v>
      </c>
      <c r="D57" s="241"/>
      <c r="E57" s="241"/>
      <c r="F57" s="44">
        <v>6</v>
      </c>
      <c r="G57" s="44" t="s">
        <v>6133</v>
      </c>
      <c r="H57" s="44" t="s">
        <v>6154</v>
      </c>
    </row>
    <row r="58" spans="1:8" x14ac:dyDescent="0.2">
      <c r="A58" s="34" t="str">
        <f t="shared" si="0"/>
        <v>2II7</v>
      </c>
      <c r="B58" s="34">
        <v>2</v>
      </c>
      <c r="C58" s="34" t="s">
        <v>6384</v>
      </c>
      <c r="D58" s="241" t="s">
        <v>6521</v>
      </c>
      <c r="E58" s="241" t="s">
        <v>6522</v>
      </c>
      <c r="F58" s="44">
        <v>7</v>
      </c>
      <c r="G58" s="44" t="s">
        <v>6116</v>
      </c>
      <c r="H58" s="44" t="s">
        <v>6184</v>
      </c>
    </row>
    <row r="59" spans="1:8" x14ac:dyDescent="0.2">
      <c r="A59" s="34" t="str">
        <f t="shared" si="0"/>
        <v>2II8</v>
      </c>
      <c r="B59" s="34">
        <v>2</v>
      </c>
      <c r="C59" s="34" t="s">
        <v>6384</v>
      </c>
      <c r="D59" s="241"/>
      <c r="E59" s="241"/>
      <c r="F59" s="44">
        <v>8</v>
      </c>
      <c r="G59" s="44" t="s">
        <v>6136</v>
      </c>
      <c r="H59" s="44" t="s">
        <v>6184</v>
      </c>
    </row>
    <row r="60" spans="1:8" x14ac:dyDescent="0.2">
      <c r="A60" s="34" t="str">
        <f t="shared" si="0"/>
        <v>2II9</v>
      </c>
      <c r="B60" s="34">
        <v>2</v>
      </c>
      <c r="C60" s="34" t="s">
        <v>6384</v>
      </c>
      <c r="D60" s="241"/>
      <c r="E60" s="241"/>
      <c r="F60" s="44">
        <v>9</v>
      </c>
      <c r="G60" s="44" t="s">
        <v>6140</v>
      </c>
      <c r="H60" s="44" t="s">
        <v>6154</v>
      </c>
    </row>
    <row r="61" spans="1:8" x14ac:dyDescent="0.2">
      <c r="A61" s="34" t="str">
        <f t="shared" si="0"/>
        <v>2II10</v>
      </c>
      <c r="B61" s="34">
        <v>2</v>
      </c>
      <c r="C61" s="34" t="s">
        <v>6384</v>
      </c>
      <c r="D61" s="241"/>
      <c r="E61" s="241"/>
      <c r="F61" s="44">
        <v>10</v>
      </c>
      <c r="G61" s="44" t="s">
        <v>6140</v>
      </c>
      <c r="H61" s="44" t="s">
        <v>6154</v>
      </c>
    </row>
    <row r="62" spans="1:8" ht="30" x14ac:dyDescent="0.2">
      <c r="A62" s="34" t="str">
        <f t="shared" si="0"/>
        <v>3II1</v>
      </c>
      <c r="B62" s="34">
        <v>3</v>
      </c>
      <c r="C62" s="34" t="s">
        <v>6384</v>
      </c>
      <c r="D62" s="241" t="s">
        <v>6585</v>
      </c>
      <c r="E62" s="241" t="s">
        <v>6586</v>
      </c>
      <c r="F62" s="44">
        <v>1</v>
      </c>
      <c r="G62" s="44" t="s">
        <v>6116</v>
      </c>
      <c r="H62" s="44" t="s">
        <v>6134</v>
      </c>
    </row>
    <row r="63" spans="1:8" x14ac:dyDescent="0.2">
      <c r="A63" s="34" t="str">
        <f t="shared" si="0"/>
        <v>3II2</v>
      </c>
      <c r="B63" s="34">
        <v>3</v>
      </c>
      <c r="C63" s="34" t="s">
        <v>6384</v>
      </c>
      <c r="D63" s="241"/>
      <c r="E63" s="241"/>
      <c r="F63" s="44">
        <v>2</v>
      </c>
      <c r="G63" s="44" t="s">
        <v>6133</v>
      </c>
      <c r="H63" s="44" t="s">
        <v>6184</v>
      </c>
    </row>
    <row r="64" spans="1:8" ht="165" x14ac:dyDescent="0.2">
      <c r="A64" s="34" t="str">
        <f t="shared" si="0"/>
        <v>3II3</v>
      </c>
      <c r="B64" s="34">
        <v>3</v>
      </c>
      <c r="C64" s="34" t="s">
        <v>6384</v>
      </c>
      <c r="D64" s="113" t="s">
        <v>6587</v>
      </c>
      <c r="E64" s="113" t="s">
        <v>6588</v>
      </c>
      <c r="F64" s="44">
        <v>3</v>
      </c>
      <c r="G64" s="44" t="s">
        <v>6133</v>
      </c>
      <c r="H64" s="44" t="s">
        <v>6184</v>
      </c>
    </row>
    <row r="65" spans="1:8" x14ac:dyDescent="0.2">
      <c r="A65" s="34" t="str">
        <f t="shared" si="0"/>
        <v>3II4</v>
      </c>
      <c r="B65" s="34">
        <v>3</v>
      </c>
      <c r="C65" s="34" t="s">
        <v>6384</v>
      </c>
      <c r="D65" s="241" t="s">
        <v>6589</v>
      </c>
      <c r="E65" s="241" t="s">
        <v>6590</v>
      </c>
      <c r="F65" s="44">
        <v>4</v>
      </c>
      <c r="G65" s="44" t="s">
        <v>6133</v>
      </c>
      <c r="H65" s="44" t="s">
        <v>6184</v>
      </c>
    </row>
    <row r="66" spans="1:8" x14ac:dyDescent="0.2">
      <c r="A66" s="34" t="str">
        <f t="shared" si="0"/>
        <v>3II5</v>
      </c>
      <c r="B66" s="34">
        <v>3</v>
      </c>
      <c r="C66" s="34" t="s">
        <v>6384</v>
      </c>
      <c r="D66" s="241"/>
      <c r="E66" s="241"/>
      <c r="F66" s="44">
        <v>5</v>
      </c>
      <c r="G66" s="44" t="s">
        <v>6140</v>
      </c>
      <c r="H66" s="44" t="s">
        <v>6591</v>
      </c>
    </row>
    <row r="67" spans="1:8" ht="60" x14ac:dyDescent="0.2">
      <c r="A67" s="34" t="str">
        <f t="shared" ref="A67:A130" si="1">CONCATENATE(B67,C67,F67)</f>
        <v>3II6</v>
      </c>
      <c r="B67" s="34">
        <v>3</v>
      </c>
      <c r="C67" s="34" t="s">
        <v>6384</v>
      </c>
      <c r="D67" s="113" t="s">
        <v>6592</v>
      </c>
      <c r="E67" s="113" t="s">
        <v>6593</v>
      </c>
      <c r="F67" s="44">
        <v>6</v>
      </c>
      <c r="G67" s="44" t="s">
        <v>6136</v>
      </c>
      <c r="H67" s="44" t="s">
        <v>6154</v>
      </c>
    </row>
    <row r="68" spans="1:8" ht="90" x14ac:dyDescent="0.2">
      <c r="A68" s="34" t="str">
        <f t="shared" si="1"/>
        <v>3II7</v>
      </c>
      <c r="B68" s="34">
        <v>3</v>
      </c>
      <c r="C68" s="34" t="s">
        <v>6384</v>
      </c>
      <c r="D68" s="113" t="s">
        <v>6594</v>
      </c>
      <c r="E68" s="113" t="s">
        <v>6595</v>
      </c>
      <c r="F68" s="44">
        <v>7</v>
      </c>
      <c r="G68" s="44" t="s">
        <v>6116</v>
      </c>
      <c r="H68" s="44" t="s">
        <v>6596</v>
      </c>
    </row>
    <row r="69" spans="1:8" x14ac:dyDescent="0.2">
      <c r="A69" s="34" t="str">
        <f t="shared" si="1"/>
        <v>3II8</v>
      </c>
      <c r="B69" s="34">
        <v>3</v>
      </c>
      <c r="C69" s="34" t="s">
        <v>6384</v>
      </c>
      <c r="D69" s="238" t="s">
        <v>6597</v>
      </c>
      <c r="E69" s="238" t="s">
        <v>6598</v>
      </c>
      <c r="F69" s="44">
        <v>8</v>
      </c>
      <c r="G69" s="44" t="s">
        <v>6140</v>
      </c>
      <c r="H69" s="44" t="s">
        <v>6154</v>
      </c>
    </row>
    <row r="70" spans="1:8" x14ac:dyDescent="0.2">
      <c r="A70" s="34" t="str">
        <f t="shared" si="1"/>
        <v>3II9</v>
      </c>
      <c r="B70" s="34">
        <v>3</v>
      </c>
      <c r="C70" s="34" t="s">
        <v>6384</v>
      </c>
      <c r="D70" s="240"/>
      <c r="E70" s="240"/>
      <c r="F70" s="44">
        <v>9</v>
      </c>
      <c r="G70" s="44" t="s">
        <v>6140</v>
      </c>
      <c r="H70" s="44" t="s">
        <v>6599</v>
      </c>
    </row>
    <row r="71" spans="1:8" ht="45" x14ac:dyDescent="0.2">
      <c r="A71" s="34" t="str">
        <f t="shared" si="1"/>
        <v>3II10</v>
      </c>
      <c r="B71" s="34">
        <v>3</v>
      </c>
      <c r="C71" s="34" t="s">
        <v>6384</v>
      </c>
      <c r="D71" s="113" t="s">
        <v>6600</v>
      </c>
      <c r="E71" s="113" t="s">
        <v>6601</v>
      </c>
      <c r="F71" s="44">
        <v>10</v>
      </c>
      <c r="G71" s="44" t="s">
        <v>6136</v>
      </c>
      <c r="H71" s="44" t="s">
        <v>6154</v>
      </c>
    </row>
    <row r="72" spans="1:8" x14ac:dyDescent="0.2">
      <c r="A72" s="34" t="str">
        <f t="shared" si="1"/>
        <v/>
      </c>
    </row>
    <row r="73" spans="1:8" x14ac:dyDescent="0.2">
      <c r="A73" s="34" t="str">
        <f t="shared" si="1"/>
        <v/>
      </c>
    </row>
    <row r="74" spans="1:8" x14ac:dyDescent="0.2">
      <c r="A74" s="34" t="str">
        <f t="shared" si="1"/>
        <v/>
      </c>
    </row>
    <row r="75" spans="1:8" x14ac:dyDescent="0.2">
      <c r="A75" s="34" t="str">
        <f t="shared" si="1"/>
        <v/>
      </c>
    </row>
    <row r="76" spans="1:8" x14ac:dyDescent="0.2">
      <c r="A76" s="34" t="str">
        <f t="shared" si="1"/>
        <v/>
      </c>
    </row>
    <row r="77" spans="1:8" x14ac:dyDescent="0.2">
      <c r="A77" s="34" t="str">
        <f t="shared" si="1"/>
        <v/>
      </c>
    </row>
    <row r="78" spans="1:8" x14ac:dyDescent="0.2">
      <c r="A78" s="34" t="str">
        <f t="shared" si="1"/>
        <v/>
      </c>
    </row>
    <row r="79" spans="1:8" x14ac:dyDescent="0.2">
      <c r="A79" s="34" t="str">
        <f t="shared" si="1"/>
        <v/>
      </c>
    </row>
    <row r="80" spans="1:8" x14ac:dyDescent="0.2">
      <c r="A80" s="34" t="str">
        <f t="shared" si="1"/>
        <v/>
      </c>
    </row>
    <row r="81" spans="1:1" x14ac:dyDescent="0.2">
      <c r="A81" s="34" t="str">
        <f t="shared" si="1"/>
        <v/>
      </c>
    </row>
    <row r="82" spans="1:1" x14ac:dyDescent="0.2">
      <c r="A82" s="34" t="str">
        <f t="shared" si="1"/>
        <v/>
      </c>
    </row>
    <row r="83" spans="1:1" x14ac:dyDescent="0.2">
      <c r="A83" s="34" t="str">
        <f t="shared" si="1"/>
        <v/>
      </c>
    </row>
    <row r="84" spans="1:1" x14ac:dyDescent="0.2">
      <c r="A84" s="34" t="str">
        <f t="shared" si="1"/>
        <v/>
      </c>
    </row>
    <row r="85" spans="1:1" x14ac:dyDescent="0.2">
      <c r="A85" s="34" t="str">
        <f t="shared" si="1"/>
        <v/>
      </c>
    </row>
    <row r="86" spans="1:1" x14ac:dyDescent="0.2">
      <c r="A86" s="34" t="str">
        <f t="shared" si="1"/>
        <v/>
      </c>
    </row>
    <row r="87" spans="1:1" x14ac:dyDescent="0.2">
      <c r="A87" s="34" t="str">
        <f t="shared" si="1"/>
        <v/>
      </c>
    </row>
    <row r="88" spans="1:1" x14ac:dyDescent="0.2">
      <c r="A88" s="34" t="str">
        <f t="shared" si="1"/>
        <v/>
      </c>
    </row>
    <row r="89" spans="1:1" x14ac:dyDescent="0.2">
      <c r="A89" s="34" t="str">
        <f t="shared" si="1"/>
        <v/>
      </c>
    </row>
    <row r="90" spans="1:1" x14ac:dyDescent="0.2">
      <c r="A90" s="34" t="str">
        <f t="shared" si="1"/>
        <v/>
      </c>
    </row>
    <row r="91" spans="1:1" x14ac:dyDescent="0.2">
      <c r="A91" s="34" t="str">
        <f t="shared" si="1"/>
        <v/>
      </c>
    </row>
    <row r="92" spans="1:1" x14ac:dyDescent="0.2">
      <c r="A92" s="34" t="str">
        <f t="shared" si="1"/>
        <v/>
      </c>
    </row>
    <row r="93" spans="1:1" x14ac:dyDescent="0.2">
      <c r="A93" s="34" t="str">
        <f t="shared" si="1"/>
        <v/>
      </c>
    </row>
    <row r="94" spans="1:1" x14ac:dyDescent="0.2">
      <c r="A94" s="34" t="str">
        <f t="shared" si="1"/>
        <v/>
      </c>
    </row>
    <row r="95" spans="1:1" x14ac:dyDescent="0.2">
      <c r="A95" s="34" t="str">
        <f t="shared" si="1"/>
        <v/>
      </c>
    </row>
    <row r="96" spans="1:1" x14ac:dyDescent="0.2">
      <c r="A96" s="34" t="str">
        <f t="shared" si="1"/>
        <v/>
      </c>
    </row>
    <row r="97" spans="1:1" x14ac:dyDescent="0.2">
      <c r="A97" s="34" t="str">
        <f t="shared" si="1"/>
        <v/>
      </c>
    </row>
    <row r="98" spans="1:1" x14ac:dyDescent="0.2">
      <c r="A98" s="34" t="str">
        <f t="shared" si="1"/>
        <v/>
      </c>
    </row>
    <row r="99" spans="1:1" x14ac:dyDescent="0.2">
      <c r="A99" s="34" t="str">
        <f t="shared" si="1"/>
        <v/>
      </c>
    </row>
    <row r="100" spans="1:1" x14ac:dyDescent="0.2">
      <c r="A100" s="34" t="str">
        <f t="shared" si="1"/>
        <v/>
      </c>
    </row>
    <row r="101" spans="1:1" x14ac:dyDescent="0.2">
      <c r="A101" s="34" t="str">
        <f t="shared" si="1"/>
        <v/>
      </c>
    </row>
    <row r="102" spans="1:1" x14ac:dyDescent="0.2">
      <c r="A102" s="34" t="str">
        <f t="shared" si="1"/>
        <v/>
      </c>
    </row>
    <row r="103" spans="1:1" x14ac:dyDescent="0.2">
      <c r="A103" s="34" t="str">
        <f t="shared" si="1"/>
        <v/>
      </c>
    </row>
    <row r="104" spans="1:1" x14ac:dyDescent="0.2">
      <c r="A104" s="34" t="str">
        <f t="shared" si="1"/>
        <v/>
      </c>
    </row>
    <row r="105" spans="1:1" x14ac:dyDescent="0.2">
      <c r="A105" s="34" t="str">
        <f t="shared" si="1"/>
        <v/>
      </c>
    </row>
    <row r="106" spans="1:1" x14ac:dyDescent="0.2">
      <c r="A106" s="34" t="str">
        <f t="shared" si="1"/>
        <v/>
      </c>
    </row>
    <row r="107" spans="1:1" x14ac:dyDescent="0.2">
      <c r="A107" s="34" t="str">
        <f t="shared" si="1"/>
        <v/>
      </c>
    </row>
    <row r="108" spans="1:1" x14ac:dyDescent="0.2">
      <c r="A108" s="34" t="str">
        <f t="shared" si="1"/>
        <v/>
      </c>
    </row>
    <row r="109" spans="1:1" x14ac:dyDescent="0.2">
      <c r="A109" s="34" t="str">
        <f t="shared" si="1"/>
        <v/>
      </c>
    </row>
    <row r="110" spans="1:1" x14ac:dyDescent="0.2">
      <c r="A110" s="34" t="str">
        <f t="shared" si="1"/>
        <v/>
      </c>
    </row>
    <row r="111" spans="1:1" x14ac:dyDescent="0.2">
      <c r="A111" s="34" t="str">
        <f t="shared" si="1"/>
        <v/>
      </c>
    </row>
    <row r="112" spans="1:1" x14ac:dyDescent="0.2">
      <c r="A112" s="34" t="str">
        <f t="shared" si="1"/>
        <v/>
      </c>
    </row>
    <row r="113" spans="1:1" x14ac:dyDescent="0.2">
      <c r="A113" s="34" t="str">
        <f t="shared" si="1"/>
        <v/>
      </c>
    </row>
    <row r="114" spans="1:1" x14ac:dyDescent="0.2">
      <c r="A114" s="34" t="str">
        <f t="shared" si="1"/>
        <v/>
      </c>
    </row>
    <row r="115" spans="1:1" x14ac:dyDescent="0.2">
      <c r="A115" s="34" t="str">
        <f t="shared" si="1"/>
        <v/>
      </c>
    </row>
    <row r="116" spans="1:1" x14ac:dyDescent="0.2">
      <c r="A116" s="34" t="str">
        <f t="shared" si="1"/>
        <v/>
      </c>
    </row>
    <row r="117" spans="1:1" x14ac:dyDescent="0.2">
      <c r="A117" s="34" t="str">
        <f t="shared" si="1"/>
        <v/>
      </c>
    </row>
    <row r="118" spans="1:1" x14ac:dyDescent="0.2">
      <c r="A118" s="34" t="str">
        <f t="shared" si="1"/>
        <v/>
      </c>
    </row>
    <row r="119" spans="1:1" x14ac:dyDescent="0.2">
      <c r="A119" s="34" t="str">
        <f t="shared" si="1"/>
        <v/>
      </c>
    </row>
    <row r="120" spans="1:1" x14ac:dyDescent="0.2">
      <c r="A120" s="34" t="str">
        <f t="shared" si="1"/>
        <v/>
      </c>
    </row>
    <row r="121" spans="1:1" x14ac:dyDescent="0.2">
      <c r="A121" s="34" t="str">
        <f t="shared" si="1"/>
        <v/>
      </c>
    </row>
    <row r="122" spans="1:1" x14ac:dyDescent="0.2">
      <c r="A122" s="34" t="str">
        <f t="shared" si="1"/>
        <v/>
      </c>
    </row>
    <row r="123" spans="1:1" x14ac:dyDescent="0.2">
      <c r="A123" s="34" t="str">
        <f t="shared" si="1"/>
        <v/>
      </c>
    </row>
    <row r="124" spans="1:1" x14ac:dyDescent="0.2">
      <c r="A124" s="34" t="str">
        <f t="shared" si="1"/>
        <v/>
      </c>
    </row>
    <row r="125" spans="1:1" x14ac:dyDescent="0.2">
      <c r="A125" s="34" t="str">
        <f t="shared" si="1"/>
        <v/>
      </c>
    </row>
    <row r="126" spans="1:1" x14ac:dyDescent="0.2">
      <c r="A126" s="34" t="str">
        <f t="shared" si="1"/>
        <v/>
      </c>
    </row>
    <row r="127" spans="1:1" x14ac:dyDescent="0.2">
      <c r="A127" s="34" t="str">
        <f t="shared" si="1"/>
        <v/>
      </c>
    </row>
    <row r="128" spans="1:1" x14ac:dyDescent="0.2">
      <c r="A128" s="34" t="str">
        <f t="shared" si="1"/>
        <v/>
      </c>
    </row>
    <row r="129" spans="1:1" x14ac:dyDescent="0.2">
      <c r="A129" s="34" t="str">
        <f t="shared" si="1"/>
        <v/>
      </c>
    </row>
    <row r="130" spans="1:1" x14ac:dyDescent="0.2">
      <c r="A130" s="34" t="str">
        <f t="shared" si="1"/>
        <v/>
      </c>
    </row>
    <row r="131" spans="1:1" x14ac:dyDescent="0.2">
      <c r="A131" s="34" t="str">
        <f t="shared" ref="A131:A194" si="2">CONCATENATE(B131,C131,F131)</f>
        <v/>
      </c>
    </row>
    <row r="132" spans="1:1" x14ac:dyDescent="0.2">
      <c r="A132" s="34" t="str">
        <f t="shared" si="2"/>
        <v/>
      </c>
    </row>
    <row r="133" spans="1:1" x14ac:dyDescent="0.2">
      <c r="A133" s="34" t="str">
        <f t="shared" si="2"/>
        <v/>
      </c>
    </row>
    <row r="134" spans="1:1" x14ac:dyDescent="0.2">
      <c r="A134" s="34" t="str">
        <f t="shared" si="2"/>
        <v/>
      </c>
    </row>
    <row r="135" spans="1:1" x14ac:dyDescent="0.2">
      <c r="A135" s="34" t="str">
        <f t="shared" si="2"/>
        <v/>
      </c>
    </row>
    <row r="136" spans="1:1" x14ac:dyDescent="0.2">
      <c r="A136" s="34" t="str">
        <f t="shared" si="2"/>
        <v/>
      </c>
    </row>
    <row r="137" spans="1:1" x14ac:dyDescent="0.2">
      <c r="A137" s="34" t="str">
        <f t="shared" si="2"/>
        <v/>
      </c>
    </row>
    <row r="138" spans="1:1" x14ac:dyDescent="0.2">
      <c r="A138" s="34" t="str">
        <f t="shared" si="2"/>
        <v/>
      </c>
    </row>
    <row r="139" spans="1:1" x14ac:dyDescent="0.2">
      <c r="A139" s="34" t="str">
        <f t="shared" si="2"/>
        <v/>
      </c>
    </row>
    <row r="140" spans="1:1" x14ac:dyDescent="0.2">
      <c r="A140" s="34" t="str">
        <f t="shared" si="2"/>
        <v/>
      </c>
    </row>
    <row r="141" spans="1:1" x14ac:dyDescent="0.2">
      <c r="A141" s="34" t="str">
        <f t="shared" si="2"/>
        <v/>
      </c>
    </row>
    <row r="142" spans="1:1" x14ac:dyDescent="0.2">
      <c r="A142" s="34" t="str">
        <f t="shared" si="2"/>
        <v/>
      </c>
    </row>
    <row r="143" spans="1:1" x14ac:dyDescent="0.2">
      <c r="A143" s="34" t="str">
        <f t="shared" si="2"/>
        <v/>
      </c>
    </row>
    <row r="144" spans="1:1" x14ac:dyDescent="0.2">
      <c r="A144" s="34" t="str">
        <f t="shared" si="2"/>
        <v/>
      </c>
    </row>
    <row r="145" spans="1:1" x14ac:dyDescent="0.2">
      <c r="A145" s="34" t="str">
        <f t="shared" si="2"/>
        <v/>
      </c>
    </row>
    <row r="146" spans="1:1" x14ac:dyDescent="0.2">
      <c r="A146" s="34" t="str">
        <f t="shared" si="2"/>
        <v/>
      </c>
    </row>
    <row r="147" spans="1:1" x14ac:dyDescent="0.2">
      <c r="A147" s="34" t="str">
        <f t="shared" si="2"/>
        <v/>
      </c>
    </row>
    <row r="148" spans="1:1" x14ac:dyDescent="0.2">
      <c r="A148" s="34" t="str">
        <f t="shared" si="2"/>
        <v/>
      </c>
    </row>
    <row r="149" spans="1:1" x14ac:dyDescent="0.2">
      <c r="A149" s="34" t="str">
        <f t="shared" si="2"/>
        <v/>
      </c>
    </row>
    <row r="150" spans="1:1" x14ac:dyDescent="0.2">
      <c r="A150" s="34" t="str">
        <f t="shared" si="2"/>
        <v/>
      </c>
    </row>
    <row r="151" spans="1:1" x14ac:dyDescent="0.2">
      <c r="A151" s="34" t="str">
        <f t="shared" si="2"/>
        <v/>
      </c>
    </row>
    <row r="152" spans="1:1" x14ac:dyDescent="0.2">
      <c r="A152" s="34" t="str">
        <f t="shared" si="2"/>
        <v/>
      </c>
    </row>
    <row r="153" spans="1:1" x14ac:dyDescent="0.2">
      <c r="A153" s="34" t="str">
        <f t="shared" si="2"/>
        <v/>
      </c>
    </row>
    <row r="154" spans="1:1" x14ac:dyDescent="0.2">
      <c r="A154" s="34" t="str">
        <f t="shared" si="2"/>
        <v/>
      </c>
    </row>
    <row r="155" spans="1:1" x14ac:dyDescent="0.2">
      <c r="A155" s="34" t="str">
        <f t="shared" si="2"/>
        <v/>
      </c>
    </row>
    <row r="156" spans="1:1" x14ac:dyDescent="0.2">
      <c r="A156" s="34" t="str">
        <f t="shared" si="2"/>
        <v/>
      </c>
    </row>
    <row r="157" spans="1:1" x14ac:dyDescent="0.2">
      <c r="A157" s="34" t="str">
        <f t="shared" si="2"/>
        <v/>
      </c>
    </row>
    <row r="158" spans="1:1" x14ac:dyDescent="0.2">
      <c r="A158" s="34" t="str">
        <f t="shared" si="2"/>
        <v/>
      </c>
    </row>
    <row r="159" spans="1:1" x14ac:dyDescent="0.2">
      <c r="A159" s="34" t="str">
        <f t="shared" si="2"/>
        <v/>
      </c>
    </row>
    <row r="160" spans="1:1" x14ac:dyDescent="0.2">
      <c r="A160" s="34" t="str">
        <f t="shared" si="2"/>
        <v/>
      </c>
    </row>
    <row r="161" spans="1:1" x14ac:dyDescent="0.2">
      <c r="A161" s="34" t="str">
        <f t="shared" si="2"/>
        <v/>
      </c>
    </row>
    <row r="162" spans="1:1" x14ac:dyDescent="0.2">
      <c r="A162" s="34" t="str">
        <f t="shared" si="2"/>
        <v/>
      </c>
    </row>
    <row r="163" spans="1:1" x14ac:dyDescent="0.2">
      <c r="A163" s="34" t="str">
        <f t="shared" si="2"/>
        <v/>
      </c>
    </row>
    <row r="164" spans="1:1" x14ac:dyDescent="0.2">
      <c r="A164" s="34" t="str">
        <f t="shared" si="2"/>
        <v/>
      </c>
    </row>
    <row r="165" spans="1:1" x14ac:dyDescent="0.2">
      <c r="A165" s="34" t="str">
        <f t="shared" si="2"/>
        <v/>
      </c>
    </row>
    <row r="166" spans="1:1" x14ac:dyDescent="0.2">
      <c r="A166" s="34" t="str">
        <f t="shared" si="2"/>
        <v/>
      </c>
    </row>
    <row r="167" spans="1:1" x14ac:dyDescent="0.2">
      <c r="A167" s="34" t="str">
        <f t="shared" si="2"/>
        <v/>
      </c>
    </row>
    <row r="168" spans="1:1" x14ac:dyDescent="0.2">
      <c r="A168" s="34" t="str">
        <f t="shared" si="2"/>
        <v/>
      </c>
    </row>
    <row r="169" spans="1:1" x14ac:dyDescent="0.2">
      <c r="A169" s="34" t="str">
        <f t="shared" si="2"/>
        <v/>
      </c>
    </row>
    <row r="170" spans="1:1" x14ac:dyDescent="0.2">
      <c r="A170" s="34" t="str">
        <f t="shared" si="2"/>
        <v/>
      </c>
    </row>
    <row r="171" spans="1:1" x14ac:dyDescent="0.2">
      <c r="A171" s="34" t="str">
        <f t="shared" si="2"/>
        <v/>
      </c>
    </row>
    <row r="172" spans="1:1" x14ac:dyDescent="0.2">
      <c r="A172" s="34" t="str">
        <f t="shared" si="2"/>
        <v/>
      </c>
    </row>
    <row r="173" spans="1:1" x14ac:dyDescent="0.2">
      <c r="A173" s="34" t="str">
        <f t="shared" si="2"/>
        <v/>
      </c>
    </row>
    <row r="174" spans="1:1" x14ac:dyDescent="0.2">
      <c r="A174" s="34" t="str">
        <f t="shared" si="2"/>
        <v/>
      </c>
    </row>
    <row r="175" spans="1:1" x14ac:dyDescent="0.2">
      <c r="A175" s="34" t="str">
        <f t="shared" si="2"/>
        <v/>
      </c>
    </row>
    <row r="176" spans="1:1" x14ac:dyDescent="0.2">
      <c r="A176" s="34" t="str">
        <f t="shared" si="2"/>
        <v/>
      </c>
    </row>
    <row r="177" spans="1:1" x14ac:dyDescent="0.2">
      <c r="A177" s="34" t="str">
        <f t="shared" si="2"/>
        <v/>
      </c>
    </row>
    <row r="178" spans="1:1" x14ac:dyDescent="0.2">
      <c r="A178" s="34" t="str">
        <f t="shared" si="2"/>
        <v/>
      </c>
    </row>
    <row r="179" spans="1:1" x14ac:dyDescent="0.2">
      <c r="A179" s="34" t="str">
        <f t="shared" si="2"/>
        <v/>
      </c>
    </row>
    <row r="180" spans="1:1" x14ac:dyDescent="0.2">
      <c r="A180" s="34" t="str">
        <f t="shared" si="2"/>
        <v/>
      </c>
    </row>
    <row r="181" spans="1:1" x14ac:dyDescent="0.2">
      <c r="A181" s="34" t="str">
        <f t="shared" si="2"/>
        <v/>
      </c>
    </row>
    <row r="182" spans="1:1" x14ac:dyDescent="0.2">
      <c r="A182" s="34" t="str">
        <f t="shared" si="2"/>
        <v/>
      </c>
    </row>
    <row r="183" spans="1:1" x14ac:dyDescent="0.2">
      <c r="A183" s="34" t="str">
        <f t="shared" si="2"/>
        <v/>
      </c>
    </row>
    <row r="184" spans="1:1" x14ac:dyDescent="0.2">
      <c r="A184" s="34" t="str">
        <f t="shared" si="2"/>
        <v/>
      </c>
    </row>
    <row r="185" spans="1:1" x14ac:dyDescent="0.2">
      <c r="A185" s="34" t="str">
        <f t="shared" si="2"/>
        <v/>
      </c>
    </row>
    <row r="186" spans="1:1" x14ac:dyDescent="0.2">
      <c r="A186" s="34" t="str">
        <f t="shared" si="2"/>
        <v/>
      </c>
    </row>
    <row r="187" spans="1:1" x14ac:dyDescent="0.2">
      <c r="A187" s="34" t="str">
        <f t="shared" si="2"/>
        <v/>
      </c>
    </row>
    <row r="188" spans="1:1" x14ac:dyDescent="0.2">
      <c r="A188" s="34" t="str">
        <f t="shared" si="2"/>
        <v/>
      </c>
    </row>
    <row r="189" spans="1:1" x14ac:dyDescent="0.2">
      <c r="A189" s="34" t="str">
        <f t="shared" si="2"/>
        <v/>
      </c>
    </row>
    <row r="190" spans="1:1" x14ac:dyDescent="0.2">
      <c r="A190" s="34" t="str">
        <f t="shared" si="2"/>
        <v/>
      </c>
    </row>
    <row r="191" spans="1:1" x14ac:dyDescent="0.2">
      <c r="A191" s="34" t="str">
        <f t="shared" si="2"/>
        <v/>
      </c>
    </row>
    <row r="192" spans="1:1" x14ac:dyDescent="0.2">
      <c r="A192" s="34" t="str">
        <f t="shared" si="2"/>
        <v/>
      </c>
    </row>
    <row r="193" spans="1:1" x14ac:dyDescent="0.2">
      <c r="A193" s="34" t="str">
        <f t="shared" si="2"/>
        <v/>
      </c>
    </row>
    <row r="194" spans="1:1" x14ac:dyDescent="0.2">
      <c r="A194" s="34" t="str">
        <f t="shared" si="2"/>
        <v/>
      </c>
    </row>
    <row r="195" spans="1:1" x14ac:dyDescent="0.2">
      <c r="A195" s="34" t="str">
        <f t="shared" ref="A195:A258" si="3">CONCATENATE(B195,C195,F195)</f>
        <v/>
      </c>
    </row>
    <row r="196" spans="1:1" x14ac:dyDescent="0.2">
      <c r="A196" s="34" t="str">
        <f t="shared" si="3"/>
        <v/>
      </c>
    </row>
    <row r="197" spans="1:1" x14ac:dyDescent="0.2">
      <c r="A197" s="34" t="str">
        <f t="shared" si="3"/>
        <v/>
      </c>
    </row>
    <row r="198" spans="1:1" x14ac:dyDescent="0.2">
      <c r="A198" s="34" t="str">
        <f t="shared" si="3"/>
        <v/>
      </c>
    </row>
    <row r="199" spans="1:1" x14ac:dyDescent="0.2">
      <c r="A199" s="34" t="str">
        <f t="shared" si="3"/>
        <v/>
      </c>
    </row>
    <row r="200" spans="1:1" x14ac:dyDescent="0.2">
      <c r="A200" s="34" t="str">
        <f t="shared" si="3"/>
        <v/>
      </c>
    </row>
    <row r="201" spans="1:1" x14ac:dyDescent="0.2">
      <c r="A201" s="34" t="str">
        <f t="shared" si="3"/>
        <v/>
      </c>
    </row>
    <row r="202" spans="1:1" x14ac:dyDescent="0.2">
      <c r="A202" s="34" t="str">
        <f t="shared" si="3"/>
        <v/>
      </c>
    </row>
    <row r="203" spans="1:1" x14ac:dyDescent="0.2">
      <c r="A203" s="34" t="str">
        <f t="shared" si="3"/>
        <v/>
      </c>
    </row>
    <row r="204" spans="1:1" x14ac:dyDescent="0.2">
      <c r="A204" s="34" t="str">
        <f t="shared" si="3"/>
        <v/>
      </c>
    </row>
    <row r="205" spans="1:1" x14ac:dyDescent="0.2">
      <c r="A205" s="34" t="str">
        <f t="shared" si="3"/>
        <v/>
      </c>
    </row>
    <row r="206" spans="1:1" x14ac:dyDescent="0.2">
      <c r="A206" s="34" t="str">
        <f t="shared" si="3"/>
        <v/>
      </c>
    </row>
    <row r="207" spans="1:1" x14ac:dyDescent="0.2">
      <c r="A207" s="34" t="str">
        <f t="shared" si="3"/>
        <v/>
      </c>
    </row>
    <row r="208" spans="1:1" x14ac:dyDescent="0.2">
      <c r="A208" s="34" t="str">
        <f t="shared" si="3"/>
        <v/>
      </c>
    </row>
    <row r="209" spans="1:1" x14ac:dyDescent="0.2">
      <c r="A209" s="34" t="str">
        <f t="shared" si="3"/>
        <v/>
      </c>
    </row>
    <row r="210" spans="1:1" x14ac:dyDescent="0.2">
      <c r="A210" s="34" t="str">
        <f t="shared" si="3"/>
        <v/>
      </c>
    </row>
    <row r="211" spans="1:1" x14ac:dyDescent="0.2">
      <c r="A211" s="34" t="str">
        <f t="shared" si="3"/>
        <v/>
      </c>
    </row>
    <row r="212" spans="1:1" x14ac:dyDescent="0.2">
      <c r="A212" s="34" t="str">
        <f t="shared" si="3"/>
        <v/>
      </c>
    </row>
    <row r="213" spans="1:1" x14ac:dyDescent="0.2">
      <c r="A213" s="34" t="str">
        <f t="shared" si="3"/>
        <v/>
      </c>
    </row>
    <row r="214" spans="1:1" x14ac:dyDescent="0.2">
      <c r="A214" s="34" t="str">
        <f t="shared" si="3"/>
        <v/>
      </c>
    </row>
    <row r="215" spans="1:1" x14ac:dyDescent="0.2">
      <c r="A215" s="34" t="str">
        <f t="shared" si="3"/>
        <v/>
      </c>
    </row>
    <row r="216" spans="1:1" x14ac:dyDescent="0.2">
      <c r="A216" s="34" t="str">
        <f t="shared" si="3"/>
        <v/>
      </c>
    </row>
    <row r="217" spans="1:1" x14ac:dyDescent="0.2">
      <c r="A217" s="34" t="str">
        <f t="shared" si="3"/>
        <v/>
      </c>
    </row>
    <row r="218" spans="1:1" x14ac:dyDescent="0.2">
      <c r="A218" s="34" t="str">
        <f t="shared" si="3"/>
        <v/>
      </c>
    </row>
    <row r="219" spans="1:1" x14ac:dyDescent="0.2">
      <c r="A219" s="34" t="str">
        <f t="shared" si="3"/>
        <v/>
      </c>
    </row>
    <row r="220" spans="1:1" x14ac:dyDescent="0.2">
      <c r="A220" s="34" t="str">
        <f t="shared" si="3"/>
        <v/>
      </c>
    </row>
    <row r="221" spans="1:1" x14ac:dyDescent="0.2">
      <c r="A221" s="34" t="str">
        <f t="shared" si="3"/>
        <v/>
      </c>
    </row>
    <row r="222" spans="1:1" x14ac:dyDescent="0.2">
      <c r="A222" s="34" t="str">
        <f t="shared" si="3"/>
        <v/>
      </c>
    </row>
    <row r="223" spans="1:1" x14ac:dyDescent="0.2">
      <c r="A223" s="34" t="str">
        <f t="shared" si="3"/>
        <v/>
      </c>
    </row>
    <row r="224" spans="1:1" x14ac:dyDescent="0.2">
      <c r="A224" s="34" t="str">
        <f t="shared" si="3"/>
        <v/>
      </c>
    </row>
    <row r="225" spans="1:1" x14ac:dyDescent="0.2">
      <c r="A225" s="34" t="str">
        <f t="shared" si="3"/>
        <v/>
      </c>
    </row>
    <row r="226" spans="1:1" x14ac:dyDescent="0.2">
      <c r="A226" s="34" t="str">
        <f t="shared" si="3"/>
        <v/>
      </c>
    </row>
    <row r="227" spans="1:1" x14ac:dyDescent="0.2">
      <c r="A227" s="34" t="str">
        <f t="shared" si="3"/>
        <v/>
      </c>
    </row>
    <row r="228" spans="1:1" x14ac:dyDescent="0.2">
      <c r="A228" s="34" t="str">
        <f t="shared" si="3"/>
        <v/>
      </c>
    </row>
    <row r="229" spans="1:1" x14ac:dyDescent="0.2">
      <c r="A229" s="34" t="str">
        <f t="shared" si="3"/>
        <v/>
      </c>
    </row>
    <row r="230" spans="1:1" x14ac:dyDescent="0.2">
      <c r="A230" s="34" t="str">
        <f t="shared" si="3"/>
        <v/>
      </c>
    </row>
    <row r="231" spans="1:1" x14ac:dyDescent="0.2">
      <c r="A231" s="34" t="str">
        <f t="shared" si="3"/>
        <v/>
      </c>
    </row>
    <row r="232" spans="1:1" x14ac:dyDescent="0.2">
      <c r="A232" s="34" t="str">
        <f t="shared" si="3"/>
        <v/>
      </c>
    </row>
    <row r="233" spans="1:1" x14ac:dyDescent="0.2">
      <c r="A233" s="34" t="str">
        <f t="shared" si="3"/>
        <v/>
      </c>
    </row>
    <row r="234" spans="1:1" x14ac:dyDescent="0.2">
      <c r="A234" s="34" t="str">
        <f t="shared" si="3"/>
        <v/>
      </c>
    </row>
    <row r="235" spans="1:1" x14ac:dyDescent="0.2">
      <c r="A235" s="34" t="str">
        <f t="shared" si="3"/>
        <v/>
      </c>
    </row>
    <row r="236" spans="1:1" x14ac:dyDescent="0.2">
      <c r="A236" s="34" t="str">
        <f t="shared" si="3"/>
        <v/>
      </c>
    </row>
    <row r="237" spans="1:1" x14ac:dyDescent="0.2">
      <c r="A237" s="34" t="str">
        <f t="shared" si="3"/>
        <v/>
      </c>
    </row>
    <row r="238" spans="1:1" x14ac:dyDescent="0.2">
      <c r="A238" s="34" t="str">
        <f t="shared" si="3"/>
        <v/>
      </c>
    </row>
    <row r="239" spans="1:1" x14ac:dyDescent="0.2">
      <c r="A239" s="34" t="str">
        <f t="shared" si="3"/>
        <v/>
      </c>
    </row>
    <row r="240" spans="1:1" x14ac:dyDescent="0.2">
      <c r="A240" s="34" t="str">
        <f t="shared" si="3"/>
        <v/>
      </c>
    </row>
    <row r="241" spans="1:1" x14ac:dyDescent="0.2">
      <c r="A241" s="34" t="str">
        <f t="shared" si="3"/>
        <v/>
      </c>
    </row>
    <row r="242" spans="1:1" x14ac:dyDescent="0.2">
      <c r="A242" s="34" t="str">
        <f t="shared" si="3"/>
        <v/>
      </c>
    </row>
    <row r="243" spans="1:1" x14ac:dyDescent="0.2">
      <c r="A243" s="34" t="str">
        <f t="shared" si="3"/>
        <v/>
      </c>
    </row>
    <row r="244" spans="1:1" x14ac:dyDescent="0.2">
      <c r="A244" s="34" t="str">
        <f t="shared" si="3"/>
        <v/>
      </c>
    </row>
    <row r="245" spans="1:1" x14ac:dyDescent="0.2">
      <c r="A245" s="34" t="str">
        <f t="shared" si="3"/>
        <v/>
      </c>
    </row>
    <row r="246" spans="1:1" x14ac:dyDescent="0.2">
      <c r="A246" s="34" t="str">
        <f t="shared" si="3"/>
        <v/>
      </c>
    </row>
    <row r="247" spans="1:1" x14ac:dyDescent="0.2">
      <c r="A247" s="34" t="str">
        <f t="shared" si="3"/>
        <v/>
      </c>
    </row>
    <row r="248" spans="1:1" x14ac:dyDescent="0.2">
      <c r="A248" s="34" t="str">
        <f t="shared" si="3"/>
        <v/>
      </c>
    </row>
    <row r="249" spans="1:1" x14ac:dyDescent="0.2">
      <c r="A249" s="34" t="str">
        <f t="shared" si="3"/>
        <v/>
      </c>
    </row>
    <row r="250" spans="1:1" x14ac:dyDescent="0.2">
      <c r="A250" s="34" t="str">
        <f t="shared" si="3"/>
        <v/>
      </c>
    </row>
    <row r="251" spans="1:1" x14ac:dyDescent="0.2">
      <c r="A251" s="34" t="str">
        <f t="shared" si="3"/>
        <v/>
      </c>
    </row>
    <row r="252" spans="1:1" x14ac:dyDescent="0.2">
      <c r="A252" s="34" t="str">
        <f t="shared" si="3"/>
        <v/>
      </c>
    </row>
    <row r="253" spans="1:1" x14ac:dyDescent="0.2">
      <c r="A253" s="34" t="str">
        <f t="shared" si="3"/>
        <v/>
      </c>
    </row>
    <row r="254" spans="1:1" x14ac:dyDescent="0.2">
      <c r="A254" s="34" t="str">
        <f t="shared" si="3"/>
        <v/>
      </c>
    </row>
    <row r="255" spans="1:1" x14ac:dyDescent="0.2">
      <c r="A255" s="34" t="str">
        <f t="shared" si="3"/>
        <v/>
      </c>
    </row>
    <row r="256" spans="1:1" x14ac:dyDescent="0.2">
      <c r="A256" s="34" t="str">
        <f t="shared" si="3"/>
        <v/>
      </c>
    </row>
    <row r="257" spans="1:1" x14ac:dyDescent="0.2">
      <c r="A257" s="34" t="str">
        <f t="shared" si="3"/>
        <v/>
      </c>
    </row>
    <row r="258" spans="1:1" x14ac:dyDescent="0.2">
      <c r="A258" s="34" t="str">
        <f t="shared" si="3"/>
        <v/>
      </c>
    </row>
    <row r="259" spans="1:1" x14ac:dyDescent="0.2">
      <c r="A259" s="34" t="str">
        <f t="shared" ref="A259:A322" si="4">CONCATENATE(B259,C259,F259)</f>
        <v/>
      </c>
    </row>
    <row r="260" spans="1:1" x14ac:dyDescent="0.2">
      <c r="A260" s="34" t="str">
        <f t="shared" si="4"/>
        <v/>
      </c>
    </row>
    <row r="261" spans="1:1" x14ac:dyDescent="0.2">
      <c r="A261" s="34" t="str">
        <f t="shared" si="4"/>
        <v/>
      </c>
    </row>
    <row r="262" spans="1:1" x14ac:dyDescent="0.2">
      <c r="A262" s="34" t="str">
        <f t="shared" si="4"/>
        <v/>
      </c>
    </row>
    <row r="263" spans="1:1" x14ac:dyDescent="0.2">
      <c r="A263" s="34" t="str">
        <f t="shared" si="4"/>
        <v/>
      </c>
    </row>
    <row r="264" spans="1:1" x14ac:dyDescent="0.2">
      <c r="A264" s="34" t="str">
        <f t="shared" si="4"/>
        <v/>
      </c>
    </row>
    <row r="265" spans="1:1" x14ac:dyDescent="0.2">
      <c r="A265" s="34" t="str">
        <f t="shared" si="4"/>
        <v/>
      </c>
    </row>
    <row r="266" spans="1:1" x14ac:dyDescent="0.2">
      <c r="A266" s="34" t="str">
        <f t="shared" si="4"/>
        <v/>
      </c>
    </row>
    <row r="267" spans="1:1" x14ac:dyDescent="0.2">
      <c r="A267" s="34" t="str">
        <f t="shared" si="4"/>
        <v/>
      </c>
    </row>
    <row r="268" spans="1:1" x14ac:dyDescent="0.2">
      <c r="A268" s="34" t="str">
        <f t="shared" si="4"/>
        <v/>
      </c>
    </row>
    <row r="269" spans="1:1" x14ac:dyDescent="0.2">
      <c r="A269" s="34" t="str">
        <f t="shared" si="4"/>
        <v/>
      </c>
    </row>
    <row r="270" spans="1:1" x14ac:dyDescent="0.2">
      <c r="A270" s="34" t="str">
        <f t="shared" si="4"/>
        <v/>
      </c>
    </row>
    <row r="271" spans="1:1" x14ac:dyDescent="0.2">
      <c r="A271" s="34" t="str">
        <f t="shared" si="4"/>
        <v/>
      </c>
    </row>
    <row r="272" spans="1:1" x14ac:dyDescent="0.2">
      <c r="A272" s="34" t="str">
        <f t="shared" si="4"/>
        <v/>
      </c>
    </row>
    <row r="273" spans="1:1" x14ac:dyDescent="0.2">
      <c r="A273" s="34" t="str">
        <f t="shared" si="4"/>
        <v/>
      </c>
    </row>
    <row r="274" spans="1:1" x14ac:dyDescent="0.2">
      <c r="A274" s="34" t="str">
        <f t="shared" si="4"/>
        <v/>
      </c>
    </row>
    <row r="275" spans="1:1" x14ac:dyDescent="0.2">
      <c r="A275" s="34" t="str">
        <f t="shared" si="4"/>
        <v/>
      </c>
    </row>
    <row r="276" spans="1:1" x14ac:dyDescent="0.2">
      <c r="A276" s="34" t="str">
        <f t="shared" si="4"/>
        <v/>
      </c>
    </row>
    <row r="277" spans="1:1" x14ac:dyDescent="0.2">
      <c r="A277" s="34" t="str">
        <f t="shared" si="4"/>
        <v/>
      </c>
    </row>
    <row r="278" spans="1:1" x14ac:dyDescent="0.2">
      <c r="A278" s="34" t="str">
        <f t="shared" si="4"/>
        <v/>
      </c>
    </row>
    <row r="279" spans="1:1" x14ac:dyDescent="0.2">
      <c r="A279" s="34" t="str">
        <f t="shared" si="4"/>
        <v/>
      </c>
    </row>
    <row r="280" spans="1:1" x14ac:dyDescent="0.2">
      <c r="A280" s="34" t="str">
        <f t="shared" si="4"/>
        <v/>
      </c>
    </row>
    <row r="281" spans="1:1" x14ac:dyDescent="0.2">
      <c r="A281" s="34" t="str">
        <f t="shared" si="4"/>
        <v/>
      </c>
    </row>
    <row r="282" spans="1:1" x14ac:dyDescent="0.2">
      <c r="A282" s="34" t="str">
        <f t="shared" si="4"/>
        <v/>
      </c>
    </row>
    <row r="283" spans="1:1" x14ac:dyDescent="0.2">
      <c r="A283" s="34" t="str">
        <f t="shared" si="4"/>
        <v/>
      </c>
    </row>
    <row r="284" spans="1:1" x14ac:dyDescent="0.2">
      <c r="A284" s="34" t="str">
        <f t="shared" si="4"/>
        <v/>
      </c>
    </row>
    <row r="285" spans="1:1" x14ac:dyDescent="0.2">
      <c r="A285" s="34" t="str">
        <f t="shared" si="4"/>
        <v/>
      </c>
    </row>
    <row r="286" spans="1:1" x14ac:dyDescent="0.2">
      <c r="A286" s="34" t="str">
        <f t="shared" si="4"/>
        <v/>
      </c>
    </row>
    <row r="287" spans="1:1" x14ac:dyDescent="0.2">
      <c r="A287" s="34" t="str">
        <f t="shared" si="4"/>
        <v/>
      </c>
    </row>
    <row r="288" spans="1:1" x14ac:dyDescent="0.2">
      <c r="A288" s="34" t="str">
        <f t="shared" si="4"/>
        <v/>
      </c>
    </row>
    <row r="289" spans="1:1" x14ac:dyDescent="0.2">
      <c r="A289" s="34" t="str">
        <f t="shared" si="4"/>
        <v/>
      </c>
    </row>
    <row r="290" spans="1:1" x14ac:dyDescent="0.2">
      <c r="A290" s="34" t="str">
        <f t="shared" si="4"/>
        <v/>
      </c>
    </row>
    <row r="291" spans="1:1" x14ac:dyDescent="0.2">
      <c r="A291" s="34" t="str">
        <f t="shared" si="4"/>
        <v/>
      </c>
    </row>
    <row r="292" spans="1:1" x14ac:dyDescent="0.2">
      <c r="A292" s="34" t="str">
        <f t="shared" si="4"/>
        <v/>
      </c>
    </row>
    <row r="293" spans="1:1" x14ac:dyDescent="0.2">
      <c r="A293" s="34" t="str">
        <f t="shared" si="4"/>
        <v/>
      </c>
    </row>
    <row r="294" spans="1:1" x14ac:dyDescent="0.2">
      <c r="A294" s="34" t="str">
        <f t="shared" si="4"/>
        <v/>
      </c>
    </row>
    <row r="295" spans="1:1" x14ac:dyDescent="0.2">
      <c r="A295" s="34" t="str">
        <f t="shared" si="4"/>
        <v/>
      </c>
    </row>
    <row r="296" spans="1:1" x14ac:dyDescent="0.2">
      <c r="A296" s="34" t="str">
        <f t="shared" si="4"/>
        <v/>
      </c>
    </row>
    <row r="297" spans="1:1" x14ac:dyDescent="0.2">
      <c r="A297" s="34" t="str">
        <f t="shared" si="4"/>
        <v/>
      </c>
    </row>
    <row r="298" spans="1:1" x14ac:dyDescent="0.2">
      <c r="A298" s="34" t="str">
        <f t="shared" si="4"/>
        <v/>
      </c>
    </row>
    <row r="299" spans="1:1" x14ac:dyDescent="0.2">
      <c r="A299" s="34" t="str">
        <f t="shared" si="4"/>
        <v/>
      </c>
    </row>
    <row r="300" spans="1:1" x14ac:dyDescent="0.2">
      <c r="A300" s="34" t="str">
        <f t="shared" si="4"/>
        <v/>
      </c>
    </row>
    <row r="301" spans="1:1" x14ac:dyDescent="0.2">
      <c r="A301" s="34" t="str">
        <f t="shared" si="4"/>
        <v/>
      </c>
    </row>
    <row r="302" spans="1:1" x14ac:dyDescent="0.2">
      <c r="A302" s="34" t="str">
        <f t="shared" si="4"/>
        <v/>
      </c>
    </row>
    <row r="303" spans="1:1" x14ac:dyDescent="0.2">
      <c r="A303" s="34" t="str">
        <f t="shared" si="4"/>
        <v/>
      </c>
    </row>
    <row r="304" spans="1:1" x14ac:dyDescent="0.2">
      <c r="A304" s="34" t="str">
        <f t="shared" si="4"/>
        <v/>
      </c>
    </row>
    <row r="305" spans="1:1" x14ac:dyDescent="0.2">
      <c r="A305" s="34" t="str">
        <f t="shared" si="4"/>
        <v/>
      </c>
    </row>
    <row r="306" spans="1:1" x14ac:dyDescent="0.2">
      <c r="A306" s="34" t="str">
        <f t="shared" si="4"/>
        <v/>
      </c>
    </row>
    <row r="307" spans="1:1" x14ac:dyDescent="0.2">
      <c r="A307" s="34" t="str">
        <f t="shared" si="4"/>
        <v/>
      </c>
    </row>
    <row r="308" spans="1:1" x14ac:dyDescent="0.2">
      <c r="A308" s="34" t="str">
        <f t="shared" si="4"/>
        <v/>
      </c>
    </row>
    <row r="309" spans="1:1" x14ac:dyDescent="0.2">
      <c r="A309" s="34" t="str">
        <f t="shared" si="4"/>
        <v/>
      </c>
    </row>
    <row r="310" spans="1:1" x14ac:dyDescent="0.2">
      <c r="A310" s="34" t="str">
        <f t="shared" si="4"/>
        <v/>
      </c>
    </row>
    <row r="311" spans="1:1" x14ac:dyDescent="0.2">
      <c r="A311" s="34" t="str">
        <f t="shared" si="4"/>
        <v/>
      </c>
    </row>
    <row r="312" spans="1:1" x14ac:dyDescent="0.2">
      <c r="A312" s="34" t="str">
        <f t="shared" si="4"/>
        <v/>
      </c>
    </row>
    <row r="313" spans="1:1" x14ac:dyDescent="0.2">
      <c r="A313" s="34" t="str">
        <f t="shared" si="4"/>
        <v/>
      </c>
    </row>
    <row r="314" spans="1:1" x14ac:dyDescent="0.2">
      <c r="A314" s="34" t="str">
        <f t="shared" si="4"/>
        <v/>
      </c>
    </row>
    <row r="315" spans="1:1" x14ac:dyDescent="0.2">
      <c r="A315" s="34" t="str">
        <f t="shared" si="4"/>
        <v/>
      </c>
    </row>
    <row r="316" spans="1:1" x14ac:dyDescent="0.2">
      <c r="A316" s="34" t="str">
        <f t="shared" si="4"/>
        <v/>
      </c>
    </row>
    <row r="317" spans="1:1" x14ac:dyDescent="0.2">
      <c r="A317" s="34" t="str">
        <f t="shared" si="4"/>
        <v/>
      </c>
    </row>
    <row r="318" spans="1:1" x14ac:dyDescent="0.2">
      <c r="A318" s="34" t="str">
        <f t="shared" si="4"/>
        <v/>
      </c>
    </row>
    <row r="319" spans="1:1" x14ac:dyDescent="0.2">
      <c r="A319" s="34" t="str">
        <f t="shared" si="4"/>
        <v/>
      </c>
    </row>
    <row r="320" spans="1:1" x14ac:dyDescent="0.2">
      <c r="A320" s="34" t="str">
        <f t="shared" si="4"/>
        <v/>
      </c>
    </row>
    <row r="321" spans="1:1" x14ac:dyDescent="0.2">
      <c r="A321" s="34" t="str">
        <f t="shared" si="4"/>
        <v/>
      </c>
    </row>
    <row r="322" spans="1:1" x14ac:dyDescent="0.2">
      <c r="A322" s="34" t="str">
        <f t="shared" si="4"/>
        <v/>
      </c>
    </row>
    <row r="323" spans="1:1" x14ac:dyDescent="0.2">
      <c r="A323" s="34" t="str">
        <f t="shared" ref="A323:A386" si="5">CONCATENATE(B323,C323,F323)</f>
        <v/>
      </c>
    </row>
    <row r="324" spans="1:1" x14ac:dyDescent="0.2">
      <c r="A324" s="34" t="str">
        <f t="shared" si="5"/>
        <v/>
      </c>
    </row>
    <row r="325" spans="1:1" x14ac:dyDescent="0.2">
      <c r="A325" s="34" t="str">
        <f t="shared" si="5"/>
        <v/>
      </c>
    </row>
    <row r="326" spans="1:1" x14ac:dyDescent="0.2">
      <c r="A326" s="34" t="str">
        <f t="shared" si="5"/>
        <v/>
      </c>
    </row>
    <row r="327" spans="1:1" x14ac:dyDescent="0.2">
      <c r="A327" s="34" t="str">
        <f t="shared" si="5"/>
        <v/>
      </c>
    </row>
    <row r="328" spans="1:1" x14ac:dyDescent="0.2">
      <c r="A328" s="34" t="str">
        <f t="shared" si="5"/>
        <v/>
      </c>
    </row>
    <row r="329" spans="1:1" x14ac:dyDescent="0.2">
      <c r="A329" s="34" t="str">
        <f t="shared" si="5"/>
        <v/>
      </c>
    </row>
    <row r="330" spans="1:1" x14ac:dyDescent="0.2">
      <c r="A330" s="34" t="str">
        <f t="shared" si="5"/>
        <v/>
      </c>
    </row>
    <row r="331" spans="1:1" x14ac:dyDescent="0.2">
      <c r="A331" s="34" t="str">
        <f t="shared" si="5"/>
        <v/>
      </c>
    </row>
    <row r="332" spans="1:1" x14ac:dyDescent="0.2">
      <c r="A332" s="34" t="str">
        <f t="shared" si="5"/>
        <v/>
      </c>
    </row>
    <row r="333" spans="1:1" x14ac:dyDescent="0.2">
      <c r="A333" s="34" t="str">
        <f t="shared" si="5"/>
        <v/>
      </c>
    </row>
    <row r="334" spans="1:1" x14ac:dyDescent="0.2">
      <c r="A334" s="34" t="str">
        <f t="shared" si="5"/>
        <v/>
      </c>
    </row>
    <row r="335" spans="1:1" x14ac:dyDescent="0.2">
      <c r="A335" s="34" t="str">
        <f t="shared" si="5"/>
        <v/>
      </c>
    </row>
    <row r="336" spans="1:1" x14ac:dyDescent="0.2">
      <c r="A336" s="34" t="str">
        <f t="shared" si="5"/>
        <v/>
      </c>
    </row>
    <row r="337" spans="1:1" x14ac:dyDescent="0.2">
      <c r="A337" s="34" t="str">
        <f t="shared" si="5"/>
        <v/>
      </c>
    </row>
    <row r="338" spans="1:1" x14ac:dyDescent="0.2">
      <c r="A338" s="34" t="str">
        <f t="shared" si="5"/>
        <v/>
      </c>
    </row>
    <row r="339" spans="1:1" x14ac:dyDescent="0.2">
      <c r="A339" s="34" t="str">
        <f t="shared" si="5"/>
        <v/>
      </c>
    </row>
    <row r="340" spans="1:1" x14ac:dyDescent="0.2">
      <c r="A340" s="34" t="str">
        <f t="shared" si="5"/>
        <v/>
      </c>
    </row>
    <row r="341" spans="1:1" x14ac:dyDescent="0.2">
      <c r="A341" s="34" t="str">
        <f t="shared" si="5"/>
        <v/>
      </c>
    </row>
    <row r="342" spans="1:1" x14ac:dyDescent="0.2">
      <c r="A342" s="34" t="str">
        <f t="shared" si="5"/>
        <v/>
      </c>
    </row>
    <row r="343" spans="1:1" x14ac:dyDescent="0.2">
      <c r="A343" s="34" t="str">
        <f t="shared" si="5"/>
        <v/>
      </c>
    </row>
    <row r="344" spans="1:1" x14ac:dyDescent="0.2">
      <c r="A344" s="34" t="str">
        <f t="shared" si="5"/>
        <v/>
      </c>
    </row>
    <row r="345" spans="1:1" x14ac:dyDescent="0.2">
      <c r="A345" s="34" t="str">
        <f t="shared" si="5"/>
        <v/>
      </c>
    </row>
    <row r="346" spans="1:1" x14ac:dyDescent="0.2">
      <c r="A346" s="34" t="str">
        <f t="shared" si="5"/>
        <v/>
      </c>
    </row>
    <row r="347" spans="1:1" x14ac:dyDescent="0.2">
      <c r="A347" s="34" t="str">
        <f t="shared" si="5"/>
        <v/>
      </c>
    </row>
    <row r="348" spans="1:1" x14ac:dyDescent="0.2">
      <c r="A348" s="34" t="str">
        <f t="shared" si="5"/>
        <v/>
      </c>
    </row>
    <row r="349" spans="1:1" x14ac:dyDescent="0.2">
      <c r="A349" s="34" t="str">
        <f t="shared" si="5"/>
        <v/>
      </c>
    </row>
    <row r="350" spans="1:1" x14ac:dyDescent="0.2">
      <c r="A350" s="34" t="str">
        <f t="shared" si="5"/>
        <v/>
      </c>
    </row>
    <row r="351" spans="1:1" x14ac:dyDescent="0.2">
      <c r="A351" s="34" t="str">
        <f t="shared" si="5"/>
        <v/>
      </c>
    </row>
    <row r="352" spans="1:1" x14ac:dyDescent="0.2">
      <c r="A352" s="34" t="str">
        <f t="shared" si="5"/>
        <v/>
      </c>
    </row>
    <row r="353" spans="1:1" x14ac:dyDescent="0.2">
      <c r="A353" s="34" t="str">
        <f t="shared" si="5"/>
        <v/>
      </c>
    </row>
    <row r="354" spans="1:1" x14ac:dyDescent="0.2">
      <c r="A354" s="34" t="str">
        <f t="shared" si="5"/>
        <v/>
      </c>
    </row>
    <row r="355" spans="1:1" x14ac:dyDescent="0.2">
      <c r="A355" s="34" t="str">
        <f t="shared" si="5"/>
        <v/>
      </c>
    </row>
    <row r="356" spans="1:1" x14ac:dyDescent="0.2">
      <c r="A356" s="34" t="str">
        <f t="shared" si="5"/>
        <v/>
      </c>
    </row>
    <row r="357" spans="1:1" x14ac:dyDescent="0.2">
      <c r="A357" s="34" t="str">
        <f t="shared" si="5"/>
        <v/>
      </c>
    </row>
    <row r="358" spans="1:1" x14ac:dyDescent="0.2">
      <c r="A358" s="34" t="str">
        <f t="shared" si="5"/>
        <v/>
      </c>
    </row>
    <row r="359" spans="1:1" x14ac:dyDescent="0.2">
      <c r="A359" s="34" t="str">
        <f t="shared" si="5"/>
        <v/>
      </c>
    </row>
    <row r="360" spans="1:1" x14ac:dyDescent="0.2">
      <c r="A360" s="34" t="str">
        <f t="shared" si="5"/>
        <v/>
      </c>
    </row>
    <row r="361" spans="1:1" x14ac:dyDescent="0.2">
      <c r="A361" s="34" t="str">
        <f t="shared" si="5"/>
        <v/>
      </c>
    </row>
    <row r="362" spans="1:1" x14ac:dyDescent="0.2">
      <c r="A362" s="34" t="str">
        <f t="shared" si="5"/>
        <v/>
      </c>
    </row>
    <row r="363" spans="1:1" x14ac:dyDescent="0.2">
      <c r="A363" s="34" t="str">
        <f t="shared" si="5"/>
        <v/>
      </c>
    </row>
    <row r="364" spans="1:1" x14ac:dyDescent="0.2">
      <c r="A364" s="34" t="str">
        <f t="shared" si="5"/>
        <v/>
      </c>
    </row>
    <row r="365" spans="1:1" x14ac:dyDescent="0.2">
      <c r="A365" s="34" t="str">
        <f t="shared" si="5"/>
        <v/>
      </c>
    </row>
    <row r="366" spans="1:1" x14ac:dyDescent="0.2">
      <c r="A366" s="34" t="str">
        <f t="shared" si="5"/>
        <v/>
      </c>
    </row>
    <row r="367" spans="1:1" x14ac:dyDescent="0.2">
      <c r="A367" s="34" t="str">
        <f t="shared" si="5"/>
        <v/>
      </c>
    </row>
    <row r="368" spans="1:1" x14ac:dyDescent="0.2">
      <c r="A368" s="34" t="str">
        <f t="shared" si="5"/>
        <v/>
      </c>
    </row>
    <row r="369" spans="1:1" x14ac:dyDescent="0.2">
      <c r="A369" s="34" t="str">
        <f t="shared" si="5"/>
        <v/>
      </c>
    </row>
    <row r="370" spans="1:1" x14ac:dyDescent="0.2">
      <c r="A370" s="34" t="str">
        <f t="shared" si="5"/>
        <v/>
      </c>
    </row>
    <row r="371" spans="1:1" x14ac:dyDescent="0.2">
      <c r="A371" s="34" t="str">
        <f t="shared" si="5"/>
        <v/>
      </c>
    </row>
    <row r="372" spans="1:1" x14ac:dyDescent="0.2">
      <c r="A372" s="34" t="str">
        <f t="shared" si="5"/>
        <v/>
      </c>
    </row>
    <row r="373" spans="1:1" x14ac:dyDescent="0.2">
      <c r="A373" s="34" t="str">
        <f t="shared" si="5"/>
        <v/>
      </c>
    </row>
    <row r="374" spans="1:1" x14ac:dyDescent="0.2">
      <c r="A374" s="34" t="str">
        <f t="shared" si="5"/>
        <v/>
      </c>
    </row>
    <row r="375" spans="1:1" x14ac:dyDescent="0.2">
      <c r="A375" s="34" t="str">
        <f t="shared" si="5"/>
        <v/>
      </c>
    </row>
    <row r="376" spans="1:1" x14ac:dyDescent="0.2">
      <c r="A376" s="34" t="str">
        <f t="shared" si="5"/>
        <v/>
      </c>
    </row>
    <row r="377" spans="1:1" x14ac:dyDescent="0.2">
      <c r="A377" s="34" t="str">
        <f t="shared" si="5"/>
        <v/>
      </c>
    </row>
    <row r="378" spans="1:1" x14ac:dyDescent="0.2">
      <c r="A378" s="34" t="str">
        <f t="shared" si="5"/>
        <v/>
      </c>
    </row>
    <row r="379" spans="1:1" x14ac:dyDescent="0.2">
      <c r="A379" s="34" t="str">
        <f t="shared" si="5"/>
        <v/>
      </c>
    </row>
    <row r="380" spans="1:1" x14ac:dyDescent="0.2">
      <c r="A380" s="34" t="str">
        <f t="shared" si="5"/>
        <v/>
      </c>
    </row>
    <row r="381" spans="1:1" x14ac:dyDescent="0.2">
      <c r="A381" s="34" t="str">
        <f t="shared" si="5"/>
        <v/>
      </c>
    </row>
    <row r="382" spans="1:1" x14ac:dyDescent="0.2">
      <c r="A382" s="34" t="str">
        <f t="shared" si="5"/>
        <v/>
      </c>
    </row>
    <row r="383" spans="1:1" x14ac:dyDescent="0.2">
      <c r="A383" s="34" t="str">
        <f t="shared" si="5"/>
        <v/>
      </c>
    </row>
    <row r="384" spans="1:1" x14ac:dyDescent="0.2">
      <c r="A384" s="34" t="str">
        <f t="shared" si="5"/>
        <v/>
      </c>
    </row>
    <row r="385" spans="1:1" x14ac:dyDescent="0.2">
      <c r="A385" s="34" t="str">
        <f t="shared" si="5"/>
        <v/>
      </c>
    </row>
    <row r="386" spans="1:1" x14ac:dyDescent="0.2">
      <c r="A386" s="34" t="str">
        <f t="shared" si="5"/>
        <v/>
      </c>
    </row>
    <row r="387" spans="1:1" x14ac:dyDescent="0.2">
      <c r="A387" s="34" t="str">
        <f t="shared" ref="A387:A450" si="6">CONCATENATE(B387,C387,F387)</f>
        <v/>
      </c>
    </row>
    <row r="388" spans="1:1" x14ac:dyDescent="0.2">
      <c r="A388" s="34" t="str">
        <f t="shared" si="6"/>
        <v/>
      </c>
    </row>
    <row r="389" spans="1:1" x14ac:dyDescent="0.2">
      <c r="A389" s="34" t="str">
        <f t="shared" si="6"/>
        <v/>
      </c>
    </row>
    <row r="390" spans="1:1" x14ac:dyDescent="0.2">
      <c r="A390" s="34" t="str">
        <f t="shared" si="6"/>
        <v/>
      </c>
    </row>
    <row r="391" spans="1:1" x14ac:dyDescent="0.2">
      <c r="A391" s="34" t="str">
        <f t="shared" si="6"/>
        <v/>
      </c>
    </row>
    <row r="392" spans="1:1" x14ac:dyDescent="0.2">
      <c r="A392" s="34" t="str">
        <f t="shared" si="6"/>
        <v/>
      </c>
    </row>
    <row r="393" spans="1:1" x14ac:dyDescent="0.2">
      <c r="A393" s="34" t="str">
        <f t="shared" si="6"/>
        <v/>
      </c>
    </row>
    <row r="394" spans="1:1" x14ac:dyDescent="0.2">
      <c r="A394" s="34" t="str">
        <f t="shared" si="6"/>
        <v/>
      </c>
    </row>
    <row r="395" spans="1:1" x14ac:dyDescent="0.2">
      <c r="A395" s="34" t="str">
        <f t="shared" si="6"/>
        <v/>
      </c>
    </row>
    <row r="396" spans="1:1" x14ac:dyDescent="0.2">
      <c r="A396" s="34" t="str">
        <f t="shared" si="6"/>
        <v/>
      </c>
    </row>
    <row r="397" spans="1:1" x14ac:dyDescent="0.2">
      <c r="A397" s="34" t="str">
        <f t="shared" si="6"/>
        <v/>
      </c>
    </row>
    <row r="398" spans="1:1" x14ac:dyDescent="0.2">
      <c r="A398" s="34" t="str">
        <f t="shared" si="6"/>
        <v/>
      </c>
    </row>
    <row r="399" spans="1:1" x14ac:dyDescent="0.2">
      <c r="A399" s="34" t="str">
        <f t="shared" si="6"/>
        <v/>
      </c>
    </row>
    <row r="400" spans="1:1" x14ac:dyDescent="0.2">
      <c r="A400" s="34" t="str">
        <f t="shared" si="6"/>
        <v/>
      </c>
    </row>
    <row r="401" spans="1:1" x14ac:dyDescent="0.2">
      <c r="A401" s="34" t="str">
        <f t="shared" si="6"/>
        <v/>
      </c>
    </row>
    <row r="402" spans="1:1" x14ac:dyDescent="0.2">
      <c r="A402" s="34" t="str">
        <f t="shared" si="6"/>
        <v/>
      </c>
    </row>
    <row r="403" spans="1:1" x14ac:dyDescent="0.2">
      <c r="A403" s="34" t="str">
        <f t="shared" si="6"/>
        <v/>
      </c>
    </row>
    <row r="404" spans="1:1" x14ac:dyDescent="0.2">
      <c r="A404" s="34" t="str">
        <f t="shared" si="6"/>
        <v/>
      </c>
    </row>
    <row r="405" spans="1:1" x14ac:dyDescent="0.2">
      <c r="A405" s="34" t="str">
        <f t="shared" si="6"/>
        <v/>
      </c>
    </row>
    <row r="406" spans="1:1" x14ac:dyDescent="0.2">
      <c r="A406" s="34" t="str">
        <f t="shared" si="6"/>
        <v/>
      </c>
    </row>
    <row r="407" spans="1:1" x14ac:dyDescent="0.2">
      <c r="A407" s="34" t="str">
        <f t="shared" si="6"/>
        <v/>
      </c>
    </row>
    <row r="408" spans="1:1" x14ac:dyDescent="0.2">
      <c r="A408" s="34" t="str">
        <f t="shared" si="6"/>
        <v/>
      </c>
    </row>
    <row r="409" spans="1:1" x14ac:dyDescent="0.2">
      <c r="A409" s="34" t="str">
        <f t="shared" si="6"/>
        <v/>
      </c>
    </row>
    <row r="410" spans="1:1" x14ac:dyDescent="0.2">
      <c r="A410" s="34" t="str">
        <f t="shared" si="6"/>
        <v/>
      </c>
    </row>
    <row r="411" spans="1:1" x14ac:dyDescent="0.2">
      <c r="A411" s="34" t="str">
        <f t="shared" si="6"/>
        <v/>
      </c>
    </row>
    <row r="412" spans="1:1" x14ac:dyDescent="0.2">
      <c r="A412" s="34" t="str">
        <f t="shared" si="6"/>
        <v/>
      </c>
    </row>
    <row r="413" spans="1:1" x14ac:dyDescent="0.2">
      <c r="A413" s="34" t="str">
        <f t="shared" si="6"/>
        <v/>
      </c>
    </row>
    <row r="414" spans="1:1" x14ac:dyDescent="0.2">
      <c r="A414" s="34" t="str">
        <f t="shared" si="6"/>
        <v/>
      </c>
    </row>
    <row r="415" spans="1:1" x14ac:dyDescent="0.2">
      <c r="A415" s="34" t="str">
        <f t="shared" si="6"/>
        <v/>
      </c>
    </row>
    <row r="416" spans="1:1" x14ac:dyDescent="0.2">
      <c r="A416" s="34" t="str">
        <f t="shared" si="6"/>
        <v/>
      </c>
    </row>
    <row r="417" spans="1:1" x14ac:dyDescent="0.2">
      <c r="A417" s="34" t="str">
        <f t="shared" si="6"/>
        <v/>
      </c>
    </row>
    <row r="418" spans="1:1" x14ac:dyDescent="0.2">
      <c r="A418" s="34" t="str">
        <f t="shared" si="6"/>
        <v/>
      </c>
    </row>
    <row r="419" spans="1:1" x14ac:dyDescent="0.2">
      <c r="A419" s="34" t="str">
        <f t="shared" si="6"/>
        <v/>
      </c>
    </row>
    <row r="420" spans="1:1" x14ac:dyDescent="0.2">
      <c r="A420" s="34" t="str">
        <f t="shared" si="6"/>
        <v/>
      </c>
    </row>
    <row r="421" spans="1:1" x14ac:dyDescent="0.2">
      <c r="A421" s="34" t="str">
        <f t="shared" si="6"/>
        <v/>
      </c>
    </row>
    <row r="422" spans="1:1" x14ac:dyDescent="0.2">
      <c r="A422" s="34" t="str">
        <f t="shared" si="6"/>
        <v/>
      </c>
    </row>
    <row r="423" spans="1:1" x14ac:dyDescent="0.2">
      <c r="A423" s="34" t="str">
        <f t="shared" si="6"/>
        <v/>
      </c>
    </row>
    <row r="424" spans="1:1" x14ac:dyDescent="0.2">
      <c r="A424" s="34" t="str">
        <f t="shared" si="6"/>
        <v/>
      </c>
    </row>
    <row r="425" spans="1:1" x14ac:dyDescent="0.2">
      <c r="A425" s="34" t="str">
        <f t="shared" si="6"/>
        <v/>
      </c>
    </row>
    <row r="426" spans="1:1" x14ac:dyDescent="0.2">
      <c r="A426" s="34" t="str">
        <f t="shared" si="6"/>
        <v/>
      </c>
    </row>
    <row r="427" spans="1:1" x14ac:dyDescent="0.2">
      <c r="A427" s="34" t="str">
        <f t="shared" si="6"/>
        <v/>
      </c>
    </row>
    <row r="428" spans="1:1" x14ac:dyDescent="0.2">
      <c r="A428" s="34" t="str">
        <f t="shared" si="6"/>
        <v/>
      </c>
    </row>
    <row r="429" spans="1:1" x14ac:dyDescent="0.2">
      <c r="A429" s="34" t="str">
        <f t="shared" si="6"/>
        <v/>
      </c>
    </row>
    <row r="430" spans="1:1" x14ac:dyDescent="0.2">
      <c r="A430" s="34" t="str">
        <f t="shared" si="6"/>
        <v/>
      </c>
    </row>
    <row r="431" spans="1:1" x14ac:dyDescent="0.2">
      <c r="A431" s="34" t="str">
        <f t="shared" si="6"/>
        <v/>
      </c>
    </row>
    <row r="432" spans="1:1" x14ac:dyDescent="0.2">
      <c r="A432" s="34" t="str">
        <f t="shared" si="6"/>
        <v/>
      </c>
    </row>
    <row r="433" spans="1:1" x14ac:dyDescent="0.2">
      <c r="A433" s="34" t="str">
        <f t="shared" si="6"/>
        <v/>
      </c>
    </row>
    <row r="434" spans="1:1" x14ac:dyDescent="0.2">
      <c r="A434" s="34" t="str">
        <f t="shared" si="6"/>
        <v/>
      </c>
    </row>
    <row r="435" spans="1:1" x14ac:dyDescent="0.2">
      <c r="A435" s="34" t="str">
        <f t="shared" si="6"/>
        <v/>
      </c>
    </row>
    <row r="436" spans="1:1" x14ac:dyDescent="0.2">
      <c r="A436" s="34" t="str">
        <f t="shared" si="6"/>
        <v/>
      </c>
    </row>
    <row r="437" spans="1:1" x14ac:dyDescent="0.2">
      <c r="A437" s="34" t="str">
        <f t="shared" si="6"/>
        <v/>
      </c>
    </row>
    <row r="438" spans="1:1" x14ac:dyDescent="0.2">
      <c r="A438" s="34" t="str">
        <f t="shared" si="6"/>
        <v/>
      </c>
    </row>
    <row r="439" spans="1:1" x14ac:dyDescent="0.2">
      <c r="A439" s="34" t="str">
        <f t="shared" si="6"/>
        <v/>
      </c>
    </row>
    <row r="440" spans="1:1" x14ac:dyDescent="0.2">
      <c r="A440" s="34" t="str">
        <f t="shared" si="6"/>
        <v/>
      </c>
    </row>
    <row r="441" spans="1:1" x14ac:dyDescent="0.2">
      <c r="A441" s="34" t="str">
        <f t="shared" si="6"/>
        <v/>
      </c>
    </row>
    <row r="442" spans="1:1" x14ac:dyDescent="0.2">
      <c r="A442" s="34" t="str">
        <f t="shared" si="6"/>
        <v/>
      </c>
    </row>
    <row r="443" spans="1:1" x14ac:dyDescent="0.2">
      <c r="A443" s="34" t="str">
        <f t="shared" si="6"/>
        <v/>
      </c>
    </row>
    <row r="444" spans="1:1" x14ac:dyDescent="0.2">
      <c r="A444" s="34" t="str">
        <f t="shared" si="6"/>
        <v/>
      </c>
    </row>
    <row r="445" spans="1:1" x14ac:dyDescent="0.2">
      <c r="A445" s="34" t="str">
        <f t="shared" si="6"/>
        <v/>
      </c>
    </row>
    <row r="446" spans="1:1" x14ac:dyDescent="0.2">
      <c r="A446" s="34" t="str">
        <f t="shared" si="6"/>
        <v/>
      </c>
    </row>
    <row r="447" spans="1:1" x14ac:dyDescent="0.2">
      <c r="A447" s="34" t="str">
        <f t="shared" si="6"/>
        <v/>
      </c>
    </row>
    <row r="448" spans="1:1" x14ac:dyDescent="0.2">
      <c r="A448" s="34" t="str">
        <f t="shared" si="6"/>
        <v/>
      </c>
    </row>
    <row r="449" spans="1:1" x14ac:dyDescent="0.2">
      <c r="A449" s="34" t="str">
        <f t="shared" si="6"/>
        <v/>
      </c>
    </row>
    <row r="450" spans="1:1" x14ac:dyDescent="0.2">
      <c r="A450" s="34" t="str">
        <f t="shared" si="6"/>
        <v/>
      </c>
    </row>
    <row r="451" spans="1:1" x14ac:dyDescent="0.2">
      <c r="A451" s="34" t="str">
        <f t="shared" ref="A451:A514" si="7">CONCATENATE(B451,C451,F451)</f>
        <v/>
      </c>
    </row>
    <row r="452" spans="1:1" x14ac:dyDescent="0.2">
      <c r="A452" s="34" t="str">
        <f t="shared" si="7"/>
        <v/>
      </c>
    </row>
    <row r="453" spans="1:1" x14ac:dyDescent="0.2">
      <c r="A453" s="34" t="str">
        <f t="shared" si="7"/>
        <v/>
      </c>
    </row>
    <row r="454" spans="1:1" x14ac:dyDescent="0.2">
      <c r="A454" s="34" t="str">
        <f t="shared" si="7"/>
        <v/>
      </c>
    </row>
    <row r="455" spans="1:1" x14ac:dyDescent="0.2">
      <c r="A455" s="34" t="str">
        <f t="shared" si="7"/>
        <v/>
      </c>
    </row>
    <row r="456" spans="1:1" x14ac:dyDescent="0.2">
      <c r="A456" s="34" t="str">
        <f t="shared" si="7"/>
        <v/>
      </c>
    </row>
    <row r="457" spans="1:1" x14ac:dyDescent="0.2">
      <c r="A457" s="34" t="str">
        <f t="shared" si="7"/>
        <v/>
      </c>
    </row>
    <row r="458" spans="1:1" x14ac:dyDescent="0.2">
      <c r="A458" s="34" t="str">
        <f t="shared" si="7"/>
        <v/>
      </c>
    </row>
    <row r="459" spans="1:1" x14ac:dyDescent="0.2">
      <c r="A459" s="34" t="str">
        <f t="shared" si="7"/>
        <v/>
      </c>
    </row>
    <row r="460" spans="1:1" x14ac:dyDescent="0.2">
      <c r="A460" s="34" t="str">
        <f t="shared" si="7"/>
        <v/>
      </c>
    </row>
    <row r="461" spans="1:1" x14ac:dyDescent="0.2">
      <c r="A461" s="34" t="str">
        <f t="shared" si="7"/>
        <v/>
      </c>
    </row>
    <row r="462" spans="1:1" x14ac:dyDescent="0.2">
      <c r="A462" s="34" t="str">
        <f t="shared" si="7"/>
        <v/>
      </c>
    </row>
    <row r="463" spans="1:1" x14ac:dyDescent="0.2">
      <c r="A463" s="34" t="str">
        <f t="shared" si="7"/>
        <v/>
      </c>
    </row>
    <row r="464" spans="1:1" x14ac:dyDescent="0.2">
      <c r="A464" s="34" t="str">
        <f t="shared" si="7"/>
        <v/>
      </c>
    </row>
    <row r="465" spans="1:1" x14ac:dyDescent="0.2">
      <c r="A465" s="34" t="str">
        <f t="shared" si="7"/>
        <v/>
      </c>
    </row>
    <row r="466" spans="1:1" x14ac:dyDescent="0.2">
      <c r="A466" s="34" t="str">
        <f t="shared" si="7"/>
        <v/>
      </c>
    </row>
    <row r="467" spans="1:1" x14ac:dyDescent="0.2">
      <c r="A467" s="34" t="str">
        <f t="shared" si="7"/>
        <v/>
      </c>
    </row>
    <row r="468" spans="1:1" x14ac:dyDescent="0.2">
      <c r="A468" s="34" t="str">
        <f t="shared" si="7"/>
        <v/>
      </c>
    </row>
    <row r="469" spans="1:1" x14ac:dyDescent="0.2">
      <c r="A469" s="34" t="str">
        <f t="shared" si="7"/>
        <v/>
      </c>
    </row>
    <row r="470" spans="1:1" x14ac:dyDescent="0.2">
      <c r="A470" s="34" t="str">
        <f t="shared" si="7"/>
        <v/>
      </c>
    </row>
    <row r="471" spans="1:1" x14ac:dyDescent="0.2">
      <c r="A471" s="34" t="str">
        <f t="shared" si="7"/>
        <v/>
      </c>
    </row>
    <row r="472" spans="1:1" x14ac:dyDescent="0.2">
      <c r="A472" s="34" t="str">
        <f t="shared" si="7"/>
        <v/>
      </c>
    </row>
    <row r="473" spans="1:1" x14ac:dyDescent="0.2">
      <c r="A473" s="34" t="str">
        <f t="shared" si="7"/>
        <v/>
      </c>
    </row>
    <row r="474" spans="1:1" x14ac:dyDescent="0.2">
      <c r="A474" s="34" t="str">
        <f t="shared" si="7"/>
        <v/>
      </c>
    </row>
    <row r="475" spans="1:1" x14ac:dyDescent="0.2">
      <c r="A475" s="34" t="str">
        <f t="shared" si="7"/>
        <v/>
      </c>
    </row>
    <row r="476" spans="1:1" x14ac:dyDescent="0.2">
      <c r="A476" s="34" t="str">
        <f t="shared" si="7"/>
        <v/>
      </c>
    </row>
    <row r="477" spans="1:1" x14ac:dyDescent="0.2">
      <c r="A477" s="34" t="str">
        <f t="shared" si="7"/>
        <v/>
      </c>
    </row>
    <row r="478" spans="1:1" x14ac:dyDescent="0.2">
      <c r="A478" s="34" t="str">
        <f t="shared" si="7"/>
        <v/>
      </c>
    </row>
    <row r="479" spans="1:1" x14ac:dyDescent="0.2">
      <c r="A479" s="34" t="str">
        <f t="shared" si="7"/>
        <v/>
      </c>
    </row>
    <row r="480" spans="1:1" x14ac:dyDescent="0.2">
      <c r="A480" s="34" t="str">
        <f t="shared" si="7"/>
        <v/>
      </c>
    </row>
    <row r="481" spans="1:1" x14ac:dyDescent="0.2">
      <c r="A481" s="34" t="str">
        <f t="shared" si="7"/>
        <v/>
      </c>
    </row>
    <row r="482" spans="1:1" x14ac:dyDescent="0.2">
      <c r="A482" s="34" t="str">
        <f t="shared" si="7"/>
        <v/>
      </c>
    </row>
    <row r="483" spans="1:1" x14ac:dyDescent="0.2">
      <c r="A483" s="34" t="str">
        <f t="shared" si="7"/>
        <v/>
      </c>
    </row>
    <row r="484" spans="1:1" x14ac:dyDescent="0.2">
      <c r="A484" s="34" t="str">
        <f t="shared" si="7"/>
        <v/>
      </c>
    </row>
    <row r="485" spans="1:1" x14ac:dyDescent="0.2">
      <c r="A485" s="34" t="str">
        <f t="shared" si="7"/>
        <v/>
      </c>
    </row>
    <row r="486" spans="1:1" x14ac:dyDescent="0.2">
      <c r="A486" s="34" t="str">
        <f t="shared" si="7"/>
        <v/>
      </c>
    </row>
    <row r="487" spans="1:1" x14ac:dyDescent="0.2">
      <c r="A487" s="34" t="str">
        <f t="shared" si="7"/>
        <v/>
      </c>
    </row>
    <row r="488" spans="1:1" x14ac:dyDescent="0.2">
      <c r="A488" s="34" t="str">
        <f t="shared" si="7"/>
        <v/>
      </c>
    </row>
    <row r="489" spans="1:1" x14ac:dyDescent="0.2">
      <c r="A489" s="34" t="str">
        <f t="shared" si="7"/>
        <v/>
      </c>
    </row>
    <row r="490" spans="1:1" x14ac:dyDescent="0.2">
      <c r="A490" s="34" t="str">
        <f t="shared" si="7"/>
        <v/>
      </c>
    </row>
    <row r="491" spans="1:1" x14ac:dyDescent="0.2">
      <c r="A491" s="34" t="str">
        <f t="shared" si="7"/>
        <v/>
      </c>
    </row>
    <row r="492" spans="1:1" x14ac:dyDescent="0.2">
      <c r="A492" s="34" t="str">
        <f t="shared" si="7"/>
        <v/>
      </c>
    </row>
    <row r="493" spans="1:1" x14ac:dyDescent="0.2">
      <c r="A493" s="34" t="str">
        <f t="shared" si="7"/>
        <v/>
      </c>
    </row>
    <row r="494" spans="1:1" x14ac:dyDescent="0.2">
      <c r="A494" s="34" t="str">
        <f t="shared" si="7"/>
        <v/>
      </c>
    </row>
    <row r="495" spans="1:1" x14ac:dyDescent="0.2">
      <c r="A495" s="34" t="str">
        <f t="shared" si="7"/>
        <v/>
      </c>
    </row>
    <row r="496" spans="1:1" x14ac:dyDescent="0.2">
      <c r="A496" s="34" t="str">
        <f t="shared" si="7"/>
        <v/>
      </c>
    </row>
    <row r="497" spans="1:1" x14ac:dyDescent="0.2">
      <c r="A497" s="34" t="str">
        <f t="shared" si="7"/>
        <v/>
      </c>
    </row>
    <row r="498" spans="1:1" x14ac:dyDescent="0.2">
      <c r="A498" s="34" t="str">
        <f t="shared" si="7"/>
        <v/>
      </c>
    </row>
    <row r="499" spans="1:1" x14ac:dyDescent="0.2">
      <c r="A499" s="34" t="str">
        <f t="shared" si="7"/>
        <v/>
      </c>
    </row>
    <row r="500" spans="1:1" x14ac:dyDescent="0.2">
      <c r="A500" s="34" t="str">
        <f t="shared" si="7"/>
        <v/>
      </c>
    </row>
    <row r="501" spans="1:1" x14ac:dyDescent="0.2">
      <c r="A501" s="34" t="str">
        <f t="shared" si="7"/>
        <v/>
      </c>
    </row>
    <row r="502" spans="1:1" x14ac:dyDescent="0.2">
      <c r="A502" s="34" t="str">
        <f t="shared" si="7"/>
        <v/>
      </c>
    </row>
    <row r="503" spans="1:1" x14ac:dyDescent="0.2">
      <c r="A503" s="34" t="str">
        <f t="shared" si="7"/>
        <v/>
      </c>
    </row>
    <row r="504" spans="1:1" x14ac:dyDescent="0.2">
      <c r="A504" s="34" t="str">
        <f t="shared" si="7"/>
        <v/>
      </c>
    </row>
    <row r="505" spans="1:1" x14ac:dyDescent="0.2">
      <c r="A505" s="34" t="str">
        <f t="shared" si="7"/>
        <v/>
      </c>
    </row>
    <row r="506" spans="1:1" x14ac:dyDescent="0.2">
      <c r="A506" s="34" t="str">
        <f t="shared" si="7"/>
        <v/>
      </c>
    </row>
    <row r="507" spans="1:1" x14ac:dyDescent="0.2">
      <c r="A507" s="34" t="str">
        <f t="shared" si="7"/>
        <v/>
      </c>
    </row>
    <row r="508" spans="1:1" x14ac:dyDescent="0.2">
      <c r="A508" s="34" t="str">
        <f t="shared" si="7"/>
        <v/>
      </c>
    </row>
    <row r="509" spans="1:1" x14ac:dyDescent="0.2">
      <c r="A509" s="34" t="str">
        <f t="shared" si="7"/>
        <v/>
      </c>
    </row>
    <row r="510" spans="1:1" x14ac:dyDescent="0.2">
      <c r="A510" s="34" t="str">
        <f t="shared" si="7"/>
        <v/>
      </c>
    </row>
    <row r="511" spans="1:1" x14ac:dyDescent="0.2">
      <c r="A511" s="34" t="str">
        <f t="shared" si="7"/>
        <v/>
      </c>
    </row>
    <row r="512" spans="1:1" x14ac:dyDescent="0.2">
      <c r="A512" s="34" t="str">
        <f t="shared" si="7"/>
        <v/>
      </c>
    </row>
    <row r="513" spans="1:1" x14ac:dyDescent="0.2">
      <c r="A513" s="34" t="str">
        <f t="shared" si="7"/>
        <v/>
      </c>
    </row>
    <row r="514" spans="1:1" x14ac:dyDescent="0.2">
      <c r="A514" s="34" t="str">
        <f t="shared" si="7"/>
        <v/>
      </c>
    </row>
    <row r="515" spans="1:1" x14ac:dyDescent="0.2">
      <c r="A515" s="34" t="str">
        <f t="shared" ref="A515:A578" si="8">CONCATENATE(B515,C515,F515)</f>
        <v/>
      </c>
    </row>
    <row r="516" spans="1:1" x14ac:dyDescent="0.2">
      <c r="A516" s="34" t="str">
        <f t="shared" si="8"/>
        <v/>
      </c>
    </row>
    <row r="517" spans="1:1" x14ac:dyDescent="0.2">
      <c r="A517" s="34" t="str">
        <f t="shared" si="8"/>
        <v/>
      </c>
    </row>
    <row r="518" spans="1:1" x14ac:dyDescent="0.2">
      <c r="A518" s="34" t="str">
        <f t="shared" si="8"/>
        <v/>
      </c>
    </row>
    <row r="519" spans="1:1" x14ac:dyDescent="0.2">
      <c r="A519" s="34" t="str">
        <f t="shared" si="8"/>
        <v/>
      </c>
    </row>
    <row r="520" spans="1:1" x14ac:dyDescent="0.2">
      <c r="A520" s="34" t="str">
        <f t="shared" si="8"/>
        <v/>
      </c>
    </row>
    <row r="521" spans="1:1" x14ac:dyDescent="0.2">
      <c r="A521" s="34" t="str">
        <f t="shared" si="8"/>
        <v/>
      </c>
    </row>
    <row r="522" spans="1:1" x14ac:dyDescent="0.2">
      <c r="A522" s="34" t="str">
        <f t="shared" si="8"/>
        <v/>
      </c>
    </row>
    <row r="523" spans="1:1" x14ac:dyDescent="0.2">
      <c r="A523" s="34" t="str">
        <f t="shared" si="8"/>
        <v/>
      </c>
    </row>
    <row r="524" spans="1:1" x14ac:dyDescent="0.2">
      <c r="A524" s="34" t="str">
        <f t="shared" si="8"/>
        <v/>
      </c>
    </row>
    <row r="525" spans="1:1" x14ac:dyDescent="0.2">
      <c r="A525" s="34" t="str">
        <f t="shared" si="8"/>
        <v/>
      </c>
    </row>
    <row r="526" spans="1:1" x14ac:dyDescent="0.2">
      <c r="A526" s="34" t="str">
        <f t="shared" si="8"/>
        <v/>
      </c>
    </row>
    <row r="527" spans="1:1" x14ac:dyDescent="0.2">
      <c r="A527" s="34" t="str">
        <f t="shared" si="8"/>
        <v/>
      </c>
    </row>
    <row r="528" spans="1:1" x14ac:dyDescent="0.2">
      <c r="A528" s="34" t="str">
        <f t="shared" si="8"/>
        <v/>
      </c>
    </row>
    <row r="529" spans="1:1" x14ac:dyDescent="0.2">
      <c r="A529" s="34" t="str">
        <f t="shared" si="8"/>
        <v/>
      </c>
    </row>
    <row r="530" spans="1:1" x14ac:dyDescent="0.2">
      <c r="A530" s="34" t="str">
        <f t="shared" si="8"/>
        <v/>
      </c>
    </row>
    <row r="531" spans="1:1" x14ac:dyDescent="0.2">
      <c r="A531" s="34" t="str">
        <f t="shared" si="8"/>
        <v/>
      </c>
    </row>
    <row r="532" spans="1:1" x14ac:dyDescent="0.2">
      <c r="A532" s="34" t="str">
        <f t="shared" si="8"/>
        <v/>
      </c>
    </row>
    <row r="533" spans="1:1" x14ac:dyDescent="0.2">
      <c r="A533" s="34" t="str">
        <f t="shared" si="8"/>
        <v/>
      </c>
    </row>
    <row r="534" spans="1:1" x14ac:dyDescent="0.2">
      <c r="A534" s="34" t="str">
        <f t="shared" si="8"/>
        <v/>
      </c>
    </row>
    <row r="535" spans="1:1" x14ac:dyDescent="0.2">
      <c r="A535" s="34" t="str">
        <f t="shared" si="8"/>
        <v/>
      </c>
    </row>
    <row r="536" spans="1:1" x14ac:dyDescent="0.2">
      <c r="A536" s="34" t="str">
        <f t="shared" si="8"/>
        <v/>
      </c>
    </row>
    <row r="537" spans="1:1" x14ac:dyDescent="0.2">
      <c r="A537" s="34" t="str">
        <f t="shared" si="8"/>
        <v/>
      </c>
    </row>
    <row r="538" spans="1:1" x14ac:dyDescent="0.2">
      <c r="A538" s="34" t="str">
        <f t="shared" si="8"/>
        <v/>
      </c>
    </row>
    <row r="539" spans="1:1" x14ac:dyDescent="0.2">
      <c r="A539" s="34" t="str">
        <f t="shared" si="8"/>
        <v/>
      </c>
    </row>
    <row r="540" spans="1:1" x14ac:dyDescent="0.2">
      <c r="A540" s="34" t="str">
        <f t="shared" si="8"/>
        <v/>
      </c>
    </row>
    <row r="541" spans="1:1" x14ac:dyDescent="0.2">
      <c r="A541" s="34" t="str">
        <f t="shared" si="8"/>
        <v/>
      </c>
    </row>
    <row r="542" spans="1:1" x14ac:dyDescent="0.2">
      <c r="A542" s="34" t="str">
        <f t="shared" si="8"/>
        <v/>
      </c>
    </row>
    <row r="543" spans="1:1" x14ac:dyDescent="0.2">
      <c r="A543" s="34" t="str">
        <f t="shared" si="8"/>
        <v/>
      </c>
    </row>
    <row r="544" spans="1:1" x14ac:dyDescent="0.2">
      <c r="A544" s="34" t="str">
        <f t="shared" si="8"/>
        <v/>
      </c>
    </row>
    <row r="545" spans="1:1" x14ac:dyDescent="0.2">
      <c r="A545" s="34" t="str">
        <f t="shared" si="8"/>
        <v/>
      </c>
    </row>
    <row r="546" spans="1:1" x14ac:dyDescent="0.2">
      <c r="A546" s="34" t="str">
        <f t="shared" si="8"/>
        <v/>
      </c>
    </row>
    <row r="547" spans="1:1" x14ac:dyDescent="0.2">
      <c r="A547" s="34" t="str">
        <f t="shared" si="8"/>
        <v/>
      </c>
    </row>
    <row r="548" spans="1:1" x14ac:dyDescent="0.2">
      <c r="A548" s="34" t="str">
        <f t="shared" si="8"/>
        <v/>
      </c>
    </row>
    <row r="549" spans="1:1" x14ac:dyDescent="0.2">
      <c r="A549" s="34" t="str">
        <f t="shared" si="8"/>
        <v/>
      </c>
    </row>
    <row r="550" spans="1:1" x14ac:dyDescent="0.2">
      <c r="A550" s="34" t="str">
        <f t="shared" si="8"/>
        <v/>
      </c>
    </row>
    <row r="551" spans="1:1" x14ac:dyDescent="0.2">
      <c r="A551" s="34" t="str">
        <f t="shared" si="8"/>
        <v/>
      </c>
    </row>
    <row r="552" spans="1:1" x14ac:dyDescent="0.2">
      <c r="A552" s="34" t="str">
        <f t="shared" si="8"/>
        <v/>
      </c>
    </row>
    <row r="553" spans="1:1" x14ac:dyDescent="0.2">
      <c r="A553" s="34" t="str">
        <f t="shared" si="8"/>
        <v/>
      </c>
    </row>
    <row r="554" spans="1:1" x14ac:dyDescent="0.2">
      <c r="A554" s="34" t="str">
        <f t="shared" si="8"/>
        <v/>
      </c>
    </row>
    <row r="555" spans="1:1" x14ac:dyDescent="0.2">
      <c r="A555" s="34" t="str">
        <f t="shared" si="8"/>
        <v/>
      </c>
    </row>
    <row r="556" spans="1:1" x14ac:dyDescent="0.2">
      <c r="A556" s="34" t="str">
        <f t="shared" si="8"/>
        <v/>
      </c>
    </row>
    <row r="557" spans="1:1" x14ac:dyDescent="0.2">
      <c r="A557" s="34" t="str">
        <f t="shared" si="8"/>
        <v/>
      </c>
    </row>
    <row r="558" spans="1:1" x14ac:dyDescent="0.2">
      <c r="A558" s="34" t="str">
        <f t="shared" si="8"/>
        <v/>
      </c>
    </row>
    <row r="559" spans="1:1" x14ac:dyDescent="0.2">
      <c r="A559" s="34" t="str">
        <f t="shared" si="8"/>
        <v/>
      </c>
    </row>
    <row r="560" spans="1:1" x14ac:dyDescent="0.2">
      <c r="A560" s="34" t="str">
        <f t="shared" si="8"/>
        <v/>
      </c>
    </row>
    <row r="561" spans="1:1" x14ac:dyDescent="0.2">
      <c r="A561" s="34" t="str">
        <f t="shared" si="8"/>
        <v/>
      </c>
    </row>
    <row r="562" spans="1:1" x14ac:dyDescent="0.2">
      <c r="A562" s="34" t="str">
        <f t="shared" si="8"/>
        <v/>
      </c>
    </row>
    <row r="563" spans="1:1" x14ac:dyDescent="0.2">
      <c r="A563" s="34" t="str">
        <f t="shared" si="8"/>
        <v/>
      </c>
    </row>
    <row r="564" spans="1:1" x14ac:dyDescent="0.2">
      <c r="A564" s="34" t="str">
        <f t="shared" si="8"/>
        <v/>
      </c>
    </row>
    <row r="565" spans="1:1" x14ac:dyDescent="0.2">
      <c r="A565" s="34" t="str">
        <f t="shared" si="8"/>
        <v/>
      </c>
    </row>
    <row r="566" spans="1:1" x14ac:dyDescent="0.2">
      <c r="A566" s="34" t="str">
        <f t="shared" si="8"/>
        <v/>
      </c>
    </row>
    <row r="567" spans="1:1" x14ac:dyDescent="0.2">
      <c r="A567" s="34" t="str">
        <f t="shared" si="8"/>
        <v/>
      </c>
    </row>
    <row r="568" spans="1:1" x14ac:dyDescent="0.2">
      <c r="A568" s="34" t="str">
        <f t="shared" si="8"/>
        <v/>
      </c>
    </row>
    <row r="569" spans="1:1" x14ac:dyDescent="0.2">
      <c r="A569" s="34" t="str">
        <f t="shared" si="8"/>
        <v/>
      </c>
    </row>
    <row r="570" spans="1:1" x14ac:dyDescent="0.2">
      <c r="A570" s="34" t="str">
        <f t="shared" si="8"/>
        <v/>
      </c>
    </row>
    <row r="571" spans="1:1" x14ac:dyDescent="0.2">
      <c r="A571" s="34" t="str">
        <f t="shared" si="8"/>
        <v/>
      </c>
    </row>
    <row r="572" spans="1:1" x14ac:dyDescent="0.2">
      <c r="A572" s="34" t="str">
        <f t="shared" si="8"/>
        <v/>
      </c>
    </row>
    <row r="573" spans="1:1" x14ac:dyDescent="0.2">
      <c r="A573" s="34" t="str">
        <f t="shared" si="8"/>
        <v/>
      </c>
    </row>
    <row r="574" spans="1:1" x14ac:dyDescent="0.2">
      <c r="A574" s="34" t="str">
        <f t="shared" si="8"/>
        <v/>
      </c>
    </row>
    <row r="575" spans="1:1" x14ac:dyDescent="0.2">
      <c r="A575" s="34" t="str">
        <f t="shared" si="8"/>
        <v/>
      </c>
    </row>
    <row r="576" spans="1:1" x14ac:dyDescent="0.2">
      <c r="A576" s="34" t="str">
        <f t="shared" si="8"/>
        <v/>
      </c>
    </row>
    <row r="577" spans="1:1" x14ac:dyDescent="0.2">
      <c r="A577" s="34" t="str">
        <f t="shared" si="8"/>
        <v/>
      </c>
    </row>
    <row r="578" spans="1:1" x14ac:dyDescent="0.2">
      <c r="A578" s="34" t="str">
        <f t="shared" si="8"/>
        <v/>
      </c>
    </row>
    <row r="579" spans="1:1" x14ac:dyDescent="0.2">
      <c r="A579" s="34" t="str">
        <f t="shared" ref="A579:A642" si="9">CONCATENATE(B579,C579,F579)</f>
        <v/>
      </c>
    </row>
    <row r="580" spans="1:1" x14ac:dyDescent="0.2">
      <c r="A580" s="34" t="str">
        <f t="shared" si="9"/>
        <v/>
      </c>
    </row>
    <row r="581" spans="1:1" x14ac:dyDescent="0.2">
      <c r="A581" s="34" t="str">
        <f t="shared" si="9"/>
        <v/>
      </c>
    </row>
    <row r="582" spans="1:1" x14ac:dyDescent="0.2">
      <c r="A582" s="34" t="str">
        <f t="shared" si="9"/>
        <v/>
      </c>
    </row>
    <row r="583" spans="1:1" x14ac:dyDescent="0.2">
      <c r="A583" s="34" t="str">
        <f t="shared" si="9"/>
        <v/>
      </c>
    </row>
    <row r="584" spans="1:1" x14ac:dyDescent="0.2">
      <c r="A584" s="34" t="str">
        <f t="shared" si="9"/>
        <v/>
      </c>
    </row>
    <row r="585" spans="1:1" x14ac:dyDescent="0.2">
      <c r="A585" s="34" t="str">
        <f t="shared" si="9"/>
        <v/>
      </c>
    </row>
    <row r="586" spans="1:1" x14ac:dyDescent="0.2">
      <c r="A586" s="34" t="str">
        <f t="shared" si="9"/>
        <v/>
      </c>
    </row>
    <row r="587" spans="1:1" x14ac:dyDescent="0.2">
      <c r="A587" s="34" t="str">
        <f t="shared" si="9"/>
        <v/>
      </c>
    </row>
    <row r="588" spans="1:1" x14ac:dyDescent="0.2">
      <c r="A588" s="34" t="str">
        <f t="shared" si="9"/>
        <v/>
      </c>
    </row>
    <row r="589" spans="1:1" x14ac:dyDescent="0.2">
      <c r="A589" s="34" t="str">
        <f t="shared" si="9"/>
        <v/>
      </c>
    </row>
    <row r="590" spans="1:1" x14ac:dyDescent="0.2">
      <c r="A590" s="34" t="str">
        <f t="shared" si="9"/>
        <v/>
      </c>
    </row>
    <row r="591" spans="1:1" x14ac:dyDescent="0.2">
      <c r="A591" s="34" t="str">
        <f t="shared" si="9"/>
        <v/>
      </c>
    </row>
    <row r="592" spans="1:1" x14ac:dyDescent="0.2">
      <c r="A592" s="34" t="str">
        <f t="shared" si="9"/>
        <v/>
      </c>
    </row>
    <row r="593" spans="1:1" x14ac:dyDescent="0.2">
      <c r="A593" s="34" t="str">
        <f t="shared" si="9"/>
        <v/>
      </c>
    </row>
    <row r="594" spans="1:1" x14ac:dyDescent="0.2">
      <c r="A594" s="34" t="str">
        <f t="shared" si="9"/>
        <v/>
      </c>
    </row>
    <row r="595" spans="1:1" x14ac:dyDescent="0.2">
      <c r="A595" s="34" t="str">
        <f t="shared" si="9"/>
        <v/>
      </c>
    </row>
    <row r="596" spans="1:1" x14ac:dyDescent="0.2">
      <c r="A596" s="34" t="str">
        <f t="shared" si="9"/>
        <v/>
      </c>
    </row>
    <row r="597" spans="1:1" x14ac:dyDescent="0.2">
      <c r="A597" s="34" t="str">
        <f t="shared" si="9"/>
        <v/>
      </c>
    </row>
    <row r="598" spans="1:1" x14ac:dyDescent="0.2">
      <c r="A598" s="34" t="str">
        <f t="shared" si="9"/>
        <v/>
      </c>
    </row>
    <row r="599" spans="1:1" x14ac:dyDescent="0.2">
      <c r="A599" s="34" t="str">
        <f t="shared" si="9"/>
        <v/>
      </c>
    </row>
    <row r="600" spans="1:1" x14ac:dyDescent="0.2">
      <c r="A600" s="34" t="str">
        <f t="shared" si="9"/>
        <v/>
      </c>
    </row>
    <row r="601" spans="1:1" x14ac:dyDescent="0.2">
      <c r="A601" s="34" t="str">
        <f t="shared" si="9"/>
        <v/>
      </c>
    </row>
    <row r="602" spans="1:1" x14ac:dyDescent="0.2">
      <c r="A602" s="34" t="str">
        <f t="shared" si="9"/>
        <v/>
      </c>
    </row>
    <row r="603" spans="1:1" x14ac:dyDescent="0.2">
      <c r="A603" s="34" t="str">
        <f t="shared" si="9"/>
        <v/>
      </c>
    </row>
    <row r="604" spans="1:1" x14ac:dyDescent="0.2">
      <c r="A604" s="34" t="str">
        <f t="shared" si="9"/>
        <v/>
      </c>
    </row>
    <row r="605" spans="1:1" x14ac:dyDescent="0.2">
      <c r="A605" s="34" t="str">
        <f t="shared" si="9"/>
        <v/>
      </c>
    </row>
    <row r="606" spans="1:1" x14ac:dyDescent="0.2">
      <c r="A606" s="34" t="str">
        <f t="shared" si="9"/>
        <v/>
      </c>
    </row>
    <row r="607" spans="1:1" x14ac:dyDescent="0.2">
      <c r="A607" s="34" t="str">
        <f t="shared" si="9"/>
        <v/>
      </c>
    </row>
    <row r="608" spans="1:1" x14ac:dyDescent="0.2">
      <c r="A608" s="34" t="str">
        <f t="shared" si="9"/>
        <v/>
      </c>
    </row>
    <row r="609" spans="1:1" x14ac:dyDescent="0.2">
      <c r="A609" s="34" t="str">
        <f t="shared" si="9"/>
        <v/>
      </c>
    </row>
    <row r="610" spans="1:1" x14ac:dyDescent="0.2">
      <c r="A610" s="34" t="str">
        <f t="shared" si="9"/>
        <v/>
      </c>
    </row>
    <row r="611" spans="1:1" x14ac:dyDescent="0.2">
      <c r="A611" s="34" t="str">
        <f t="shared" si="9"/>
        <v/>
      </c>
    </row>
    <row r="612" spans="1:1" x14ac:dyDescent="0.2">
      <c r="A612" s="34" t="str">
        <f t="shared" si="9"/>
        <v/>
      </c>
    </row>
    <row r="613" spans="1:1" x14ac:dyDescent="0.2">
      <c r="A613" s="34" t="str">
        <f t="shared" si="9"/>
        <v/>
      </c>
    </row>
    <row r="614" spans="1:1" x14ac:dyDescent="0.2">
      <c r="A614" s="34" t="str">
        <f t="shared" si="9"/>
        <v/>
      </c>
    </row>
    <row r="615" spans="1:1" x14ac:dyDescent="0.2">
      <c r="A615" s="34" t="str">
        <f t="shared" si="9"/>
        <v/>
      </c>
    </row>
    <row r="616" spans="1:1" x14ac:dyDescent="0.2">
      <c r="A616" s="34" t="str">
        <f t="shared" si="9"/>
        <v/>
      </c>
    </row>
    <row r="617" spans="1:1" x14ac:dyDescent="0.2">
      <c r="A617" s="34" t="str">
        <f t="shared" si="9"/>
        <v/>
      </c>
    </row>
    <row r="618" spans="1:1" x14ac:dyDescent="0.2">
      <c r="A618" s="34" t="str">
        <f t="shared" si="9"/>
        <v/>
      </c>
    </row>
    <row r="619" spans="1:1" x14ac:dyDescent="0.2">
      <c r="A619" s="34" t="str">
        <f t="shared" si="9"/>
        <v/>
      </c>
    </row>
    <row r="620" spans="1:1" x14ac:dyDescent="0.2">
      <c r="A620" s="34" t="str">
        <f t="shared" si="9"/>
        <v/>
      </c>
    </row>
    <row r="621" spans="1:1" x14ac:dyDescent="0.2">
      <c r="A621" s="34" t="str">
        <f t="shared" si="9"/>
        <v/>
      </c>
    </row>
    <row r="622" spans="1:1" x14ac:dyDescent="0.2">
      <c r="A622" s="34" t="str">
        <f t="shared" si="9"/>
        <v/>
      </c>
    </row>
    <row r="623" spans="1:1" x14ac:dyDescent="0.2">
      <c r="A623" s="34" t="str">
        <f t="shared" si="9"/>
        <v/>
      </c>
    </row>
    <row r="624" spans="1:1" x14ac:dyDescent="0.2">
      <c r="A624" s="34" t="str">
        <f t="shared" si="9"/>
        <v/>
      </c>
    </row>
    <row r="625" spans="1:1" x14ac:dyDescent="0.2">
      <c r="A625" s="34" t="str">
        <f t="shared" si="9"/>
        <v/>
      </c>
    </row>
    <row r="626" spans="1:1" x14ac:dyDescent="0.2">
      <c r="A626" s="34" t="str">
        <f t="shared" si="9"/>
        <v/>
      </c>
    </row>
    <row r="627" spans="1:1" x14ac:dyDescent="0.2">
      <c r="A627" s="34" t="str">
        <f t="shared" si="9"/>
        <v/>
      </c>
    </row>
    <row r="628" spans="1:1" x14ac:dyDescent="0.2">
      <c r="A628" s="34" t="str">
        <f t="shared" si="9"/>
        <v/>
      </c>
    </row>
    <row r="629" spans="1:1" x14ac:dyDescent="0.2">
      <c r="A629" s="34" t="str">
        <f t="shared" si="9"/>
        <v/>
      </c>
    </row>
    <row r="630" spans="1:1" x14ac:dyDescent="0.2">
      <c r="A630" s="34" t="str">
        <f t="shared" si="9"/>
        <v/>
      </c>
    </row>
    <row r="631" spans="1:1" x14ac:dyDescent="0.2">
      <c r="A631" s="34" t="str">
        <f t="shared" si="9"/>
        <v/>
      </c>
    </row>
    <row r="632" spans="1:1" x14ac:dyDescent="0.2">
      <c r="A632" s="34" t="str">
        <f t="shared" si="9"/>
        <v/>
      </c>
    </row>
    <row r="633" spans="1:1" x14ac:dyDescent="0.2">
      <c r="A633" s="34" t="str">
        <f t="shared" si="9"/>
        <v/>
      </c>
    </row>
    <row r="634" spans="1:1" x14ac:dyDescent="0.2">
      <c r="A634" s="34" t="str">
        <f t="shared" si="9"/>
        <v/>
      </c>
    </row>
    <row r="635" spans="1:1" x14ac:dyDescent="0.2">
      <c r="A635" s="34" t="str">
        <f t="shared" si="9"/>
        <v/>
      </c>
    </row>
    <row r="636" spans="1:1" x14ac:dyDescent="0.2">
      <c r="A636" s="34" t="str">
        <f t="shared" si="9"/>
        <v/>
      </c>
    </row>
    <row r="637" spans="1:1" x14ac:dyDescent="0.2">
      <c r="A637" s="34" t="str">
        <f t="shared" si="9"/>
        <v/>
      </c>
    </row>
    <row r="638" spans="1:1" x14ac:dyDescent="0.2">
      <c r="A638" s="34" t="str">
        <f t="shared" si="9"/>
        <v/>
      </c>
    </row>
    <row r="639" spans="1:1" x14ac:dyDescent="0.2">
      <c r="A639" s="34" t="str">
        <f t="shared" si="9"/>
        <v/>
      </c>
    </row>
    <row r="640" spans="1:1" x14ac:dyDescent="0.2">
      <c r="A640" s="34" t="str">
        <f t="shared" si="9"/>
        <v/>
      </c>
    </row>
    <row r="641" spans="1:1" x14ac:dyDescent="0.2">
      <c r="A641" s="34" t="str">
        <f t="shared" si="9"/>
        <v/>
      </c>
    </row>
    <row r="642" spans="1:1" x14ac:dyDescent="0.2">
      <c r="A642" s="34" t="str">
        <f t="shared" si="9"/>
        <v/>
      </c>
    </row>
    <row r="643" spans="1:1" x14ac:dyDescent="0.2">
      <c r="A643" s="34" t="str">
        <f t="shared" ref="A643:A706" si="10">CONCATENATE(B643,C643,F643)</f>
        <v/>
      </c>
    </row>
    <row r="644" spans="1:1" x14ac:dyDescent="0.2">
      <c r="A644" s="34" t="str">
        <f t="shared" si="10"/>
        <v/>
      </c>
    </row>
    <row r="645" spans="1:1" x14ac:dyDescent="0.2">
      <c r="A645" s="34" t="str">
        <f t="shared" si="10"/>
        <v/>
      </c>
    </row>
    <row r="646" spans="1:1" x14ac:dyDescent="0.2">
      <c r="A646" s="34" t="str">
        <f t="shared" si="10"/>
        <v/>
      </c>
    </row>
    <row r="647" spans="1:1" x14ac:dyDescent="0.2">
      <c r="A647" s="34" t="str">
        <f t="shared" si="10"/>
        <v/>
      </c>
    </row>
    <row r="648" spans="1:1" x14ac:dyDescent="0.2">
      <c r="A648" s="34" t="str">
        <f t="shared" si="10"/>
        <v/>
      </c>
    </row>
    <row r="649" spans="1:1" x14ac:dyDescent="0.2">
      <c r="A649" s="34" t="str">
        <f t="shared" si="10"/>
        <v/>
      </c>
    </row>
    <row r="650" spans="1:1" x14ac:dyDescent="0.2">
      <c r="A650" s="34" t="str">
        <f t="shared" si="10"/>
        <v/>
      </c>
    </row>
    <row r="651" spans="1:1" x14ac:dyDescent="0.2">
      <c r="A651" s="34" t="str">
        <f t="shared" si="10"/>
        <v/>
      </c>
    </row>
    <row r="652" spans="1:1" x14ac:dyDescent="0.2">
      <c r="A652" s="34" t="str">
        <f t="shared" si="10"/>
        <v/>
      </c>
    </row>
    <row r="653" spans="1:1" x14ac:dyDescent="0.2">
      <c r="A653" s="34" t="str">
        <f t="shared" si="10"/>
        <v/>
      </c>
    </row>
    <row r="654" spans="1:1" x14ac:dyDescent="0.2">
      <c r="A654" s="34" t="str">
        <f t="shared" si="10"/>
        <v/>
      </c>
    </row>
    <row r="655" spans="1:1" x14ac:dyDescent="0.2">
      <c r="A655" s="34" t="str">
        <f t="shared" si="10"/>
        <v/>
      </c>
    </row>
    <row r="656" spans="1:1" x14ac:dyDescent="0.2">
      <c r="A656" s="34" t="str">
        <f t="shared" si="10"/>
        <v/>
      </c>
    </row>
    <row r="657" spans="1:1" x14ac:dyDescent="0.2">
      <c r="A657" s="34" t="str">
        <f t="shared" si="10"/>
        <v/>
      </c>
    </row>
    <row r="658" spans="1:1" x14ac:dyDescent="0.2">
      <c r="A658" s="34" t="str">
        <f t="shared" si="10"/>
        <v/>
      </c>
    </row>
    <row r="659" spans="1:1" x14ac:dyDescent="0.2">
      <c r="A659" s="34" t="str">
        <f t="shared" si="10"/>
        <v/>
      </c>
    </row>
    <row r="660" spans="1:1" x14ac:dyDescent="0.2">
      <c r="A660" s="34" t="str">
        <f t="shared" si="10"/>
        <v/>
      </c>
    </row>
    <row r="661" spans="1:1" x14ac:dyDescent="0.2">
      <c r="A661" s="34" t="str">
        <f t="shared" si="10"/>
        <v/>
      </c>
    </row>
    <row r="662" spans="1:1" x14ac:dyDescent="0.2">
      <c r="A662" s="34" t="str">
        <f t="shared" si="10"/>
        <v/>
      </c>
    </row>
    <row r="663" spans="1:1" x14ac:dyDescent="0.2">
      <c r="A663" s="34" t="str">
        <f t="shared" si="10"/>
        <v/>
      </c>
    </row>
    <row r="664" spans="1:1" x14ac:dyDescent="0.2">
      <c r="A664" s="34" t="str">
        <f t="shared" si="10"/>
        <v/>
      </c>
    </row>
    <row r="665" spans="1:1" x14ac:dyDescent="0.2">
      <c r="A665" s="34" t="str">
        <f t="shared" si="10"/>
        <v/>
      </c>
    </row>
    <row r="666" spans="1:1" x14ac:dyDescent="0.2">
      <c r="A666" s="34" t="str">
        <f t="shared" si="10"/>
        <v/>
      </c>
    </row>
    <row r="667" spans="1:1" x14ac:dyDescent="0.2">
      <c r="A667" s="34" t="str">
        <f t="shared" si="10"/>
        <v/>
      </c>
    </row>
    <row r="668" spans="1:1" x14ac:dyDescent="0.2">
      <c r="A668" s="34" t="str">
        <f t="shared" si="10"/>
        <v/>
      </c>
    </row>
    <row r="669" spans="1:1" x14ac:dyDescent="0.2">
      <c r="A669" s="34" t="str">
        <f t="shared" si="10"/>
        <v/>
      </c>
    </row>
    <row r="670" spans="1:1" x14ac:dyDescent="0.2">
      <c r="A670" s="34" t="str">
        <f t="shared" si="10"/>
        <v/>
      </c>
    </row>
    <row r="671" spans="1:1" x14ac:dyDescent="0.2">
      <c r="A671" s="34" t="str">
        <f t="shared" si="10"/>
        <v/>
      </c>
    </row>
    <row r="672" spans="1:1" x14ac:dyDescent="0.2">
      <c r="A672" s="34" t="str">
        <f t="shared" si="10"/>
        <v/>
      </c>
    </row>
    <row r="673" spans="1:1" x14ac:dyDescent="0.2">
      <c r="A673" s="34" t="str">
        <f t="shared" si="10"/>
        <v/>
      </c>
    </row>
    <row r="674" spans="1:1" x14ac:dyDescent="0.2">
      <c r="A674" s="34" t="str">
        <f t="shared" si="10"/>
        <v/>
      </c>
    </row>
    <row r="675" spans="1:1" x14ac:dyDescent="0.2">
      <c r="A675" s="34" t="str">
        <f t="shared" si="10"/>
        <v/>
      </c>
    </row>
    <row r="676" spans="1:1" x14ac:dyDescent="0.2">
      <c r="A676" s="34" t="str">
        <f t="shared" si="10"/>
        <v/>
      </c>
    </row>
    <row r="677" spans="1:1" x14ac:dyDescent="0.2">
      <c r="A677" s="34" t="str">
        <f t="shared" si="10"/>
        <v/>
      </c>
    </row>
    <row r="678" spans="1:1" x14ac:dyDescent="0.2">
      <c r="A678" s="34" t="str">
        <f t="shared" si="10"/>
        <v/>
      </c>
    </row>
    <row r="679" spans="1:1" x14ac:dyDescent="0.2">
      <c r="A679" s="34" t="str">
        <f t="shared" si="10"/>
        <v/>
      </c>
    </row>
    <row r="680" spans="1:1" x14ac:dyDescent="0.2">
      <c r="A680" s="34" t="str">
        <f t="shared" si="10"/>
        <v/>
      </c>
    </row>
    <row r="681" spans="1:1" x14ac:dyDescent="0.2">
      <c r="A681" s="34" t="str">
        <f t="shared" si="10"/>
        <v/>
      </c>
    </row>
    <row r="682" spans="1:1" x14ac:dyDescent="0.2">
      <c r="A682" s="34" t="str">
        <f t="shared" si="10"/>
        <v/>
      </c>
    </row>
    <row r="683" spans="1:1" x14ac:dyDescent="0.2">
      <c r="A683" s="34" t="str">
        <f t="shared" si="10"/>
        <v/>
      </c>
    </row>
    <row r="684" spans="1:1" x14ac:dyDescent="0.2">
      <c r="A684" s="34" t="str">
        <f t="shared" si="10"/>
        <v/>
      </c>
    </row>
    <row r="685" spans="1:1" x14ac:dyDescent="0.2">
      <c r="A685" s="34" t="str">
        <f t="shared" si="10"/>
        <v/>
      </c>
    </row>
    <row r="686" spans="1:1" x14ac:dyDescent="0.2">
      <c r="A686" s="34" t="str">
        <f t="shared" si="10"/>
        <v/>
      </c>
    </row>
    <row r="687" spans="1:1" x14ac:dyDescent="0.2">
      <c r="A687" s="34" t="str">
        <f t="shared" si="10"/>
        <v/>
      </c>
    </row>
    <row r="688" spans="1:1" x14ac:dyDescent="0.2">
      <c r="A688" s="34" t="str">
        <f t="shared" si="10"/>
        <v/>
      </c>
    </row>
    <row r="689" spans="1:1" x14ac:dyDescent="0.2">
      <c r="A689" s="34" t="str">
        <f t="shared" si="10"/>
        <v/>
      </c>
    </row>
    <row r="690" spans="1:1" x14ac:dyDescent="0.2">
      <c r="A690" s="34" t="str">
        <f t="shared" si="10"/>
        <v/>
      </c>
    </row>
    <row r="691" spans="1:1" x14ac:dyDescent="0.2">
      <c r="A691" s="34" t="str">
        <f t="shared" si="10"/>
        <v/>
      </c>
    </row>
    <row r="692" spans="1:1" x14ac:dyDescent="0.2">
      <c r="A692" s="34" t="str">
        <f t="shared" si="10"/>
        <v/>
      </c>
    </row>
    <row r="693" spans="1:1" x14ac:dyDescent="0.2">
      <c r="A693" s="34" t="str">
        <f t="shared" si="10"/>
        <v/>
      </c>
    </row>
    <row r="694" spans="1:1" x14ac:dyDescent="0.2">
      <c r="A694" s="34" t="str">
        <f t="shared" si="10"/>
        <v/>
      </c>
    </row>
    <row r="695" spans="1:1" x14ac:dyDescent="0.2">
      <c r="A695" s="34" t="str">
        <f t="shared" si="10"/>
        <v/>
      </c>
    </row>
    <row r="696" spans="1:1" x14ac:dyDescent="0.2">
      <c r="A696" s="34" t="str">
        <f t="shared" si="10"/>
        <v/>
      </c>
    </row>
    <row r="697" spans="1:1" x14ac:dyDescent="0.2">
      <c r="A697" s="34" t="str">
        <f t="shared" si="10"/>
        <v/>
      </c>
    </row>
    <row r="698" spans="1:1" x14ac:dyDescent="0.2">
      <c r="A698" s="34" t="str">
        <f t="shared" si="10"/>
        <v/>
      </c>
    </row>
    <row r="699" spans="1:1" x14ac:dyDescent="0.2">
      <c r="A699" s="34" t="str">
        <f t="shared" si="10"/>
        <v/>
      </c>
    </row>
    <row r="700" spans="1:1" x14ac:dyDescent="0.2">
      <c r="A700" s="34" t="str">
        <f t="shared" si="10"/>
        <v/>
      </c>
    </row>
    <row r="701" spans="1:1" x14ac:dyDescent="0.2">
      <c r="A701" s="34" t="str">
        <f t="shared" si="10"/>
        <v/>
      </c>
    </row>
    <row r="702" spans="1:1" x14ac:dyDescent="0.2">
      <c r="A702" s="34" t="str">
        <f t="shared" si="10"/>
        <v/>
      </c>
    </row>
    <row r="703" spans="1:1" x14ac:dyDescent="0.2">
      <c r="A703" s="34" t="str">
        <f t="shared" si="10"/>
        <v/>
      </c>
    </row>
    <row r="704" spans="1:1" x14ac:dyDescent="0.2">
      <c r="A704" s="34" t="str">
        <f t="shared" si="10"/>
        <v/>
      </c>
    </row>
    <row r="705" spans="1:1" x14ac:dyDescent="0.2">
      <c r="A705" s="34" t="str">
        <f t="shared" si="10"/>
        <v/>
      </c>
    </row>
    <row r="706" spans="1:1" x14ac:dyDescent="0.2">
      <c r="A706" s="34" t="str">
        <f t="shared" si="10"/>
        <v/>
      </c>
    </row>
    <row r="707" spans="1:1" x14ac:dyDescent="0.2">
      <c r="A707" s="34" t="str">
        <f t="shared" ref="A707:A770" si="11">CONCATENATE(B707,C707,F707)</f>
        <v/>
      </c>
    </row>
    <row r="708" spans="1:1" x14ac:dyDescent="0.2">
      <c r="A708" s="34" t="str">
        <f t="shared" si="11"/>
        <v/>
      </c>
    </row>
    <row r="709" spans="1:1" x14ac:dyDescent="0.2">
      <c r="A709" s="34" t="str">
        <f t="shared" si="11"/>
        <v/>
      </c>
    </row>
    <row r="710" spans="1:1" x14ac:dyDescent="0.2">
      <c r="A710" s="34" t="str">
        <f t="shared" si="11"/>
        <v/>
      </c>
    </row>
    <row r="711" spans="1:1" x14ac:dyDescent="0.2">
      <c r="A711" s="34" t="str">
        <f t="shared" si="11"/>
        <v/>
      </c>
    </row>
    <row r="712" spans="1:1" x14ac:dyDescent="0.2">
      <c r="A712" s="34" t="str">
        <f t="shared" si="11"/>
        <v/>
      </c>
    </row>
    <row r="713" spans="1:1" x14ac:dyDescent="0.2">
      <c r="A713" s="34" t="str">
        <f t="shared" si="11"/>
        <v/>
      </c>
    </row>
    <row r="714" spans="1:1" x14ac:dyDescent="0.2">
      <c r="A714" s="34" t="str">
        <f t="shared" si="11"/>
        <v/>
      </c>
    </row>
    <row r="715" spans="1:1" x14ac:dyDescent="0.2">
      <c r="A715" s="34" t="str">
        <f t="shared" si="11"/>
        <v/>
      </c>
    </row>
    <row r="716" spans="1:1" x14ac:dyDescent="0.2">
      <c r="A716" s="34" t="str">
        <f t="shared" si="11"/>
        <v/>
      </c>
    </row>
    <row r="717" spans="1:1" x14ac:dyDescent="0.2">
      <c r="A717" s="34" t="str">
        <f t="shared" si="11"/>
        <v/>
      </c>
    </row>
    <row r="718" spans="1:1" x14ac:dyDescent="0.2">
      <c r="A718" s="34" t="str">
        <f t="shared" si="11"/>
        <v/>
      </c>
    </row>
    <row r="719" spans="1:1" x14ac:dyDescent="0.2">
      <c r="A719" s="34" t="str">
        <f t="shared" si="11"/>
        <v/>
      </c>
    </row>
    <row r="720" spans="1:1" x14ac:dyDescent="0.2">
      <c r="A720" s="34" t="str">
        <f t="shared" si="11"/>
        <v/>
      </c>
    </row>
    <row r="721" spans="1:1" x14ac:dyDescent="0.2">
      <c r="A721" s="34" t="str">
        <f t="shared" si="11"/>
        <v/>
      </c>
    </row>
    <row r="722" spans="1:1" x14ac:dyDescent="0.2">
      <c r="A722" s="34" t="str">
        <f t="shared" si="11"/>
        <v/>
      </c>
    </row>
    <row r="723" spans="1:1" x14ac:dyDescent="0.2">
      <c r="A723" s="34" t="str">
        <f t="shared" si="11"/>
        <v/>
      </c>
    </row>
    <row r="724" spans="1:1" x14ac:dyDescent="0.2">
      <c r="A724" s="34" t="str">
        <f t="shared" si="11"/>
        <v/>
      </c>
    </row>
    <row r="725" spans="1:1" x14ac:dyDescent="0.2">
      <c r="A725" s="34" t="str">
        <f t="shared" si="11"/>
        <v/>
      </c>
    </row>
    <row r="726" spans="1:1" x14ac:dyDescent="0.2">
      <c r="A726" s="34" t="str">
        <f t="shared" si="11"/>
        <v/>
      </c>
    </row>
    <row r="727" spans="1:1" x14ac:dyDescent="0.2">
      <c r="A727" s="34" t="str">
        <f t="shared" si="11"/>
        <v/>
      </c>
    </row>
    <row r="728" spans="1:1" x14ac:dyDescent="0.2">
      <c r="A728" s="34" t="str">
        <f t="shared" si="11"/>
        <v/>
      </c>
    </row>
    <row r="729" spans="1:1" x14ac:dyDescent="0.2">
      <c r="A729" s="34" t="str">
        <f t="shared" si="11"/>
        <v/>
      </c>
    </row>
    <row r="730" spans="1:1" x14ac:dyDescent="0.2">
      <c r="A730" s="34" t="str">
        <f t="shared" si="11"/>
        <v/>
      </c>
    </row>
    <row r="731" spans="1:1" x14ac:dyDescent="0.2">
      <c r="A731" s="34" t="str">
        <f t="shared" si="11"/>
        <v/>
      </c>
    </row>
    <row r="732" spans="1:1" x14ac:dyDescent="0.2">
      <c r="A732" s="34" t="str">
        <f t="shared" si="11"/>
        <v/>
      </c>
    </row>
    <row r="733" spans="1:1" x14ac:dyDescent="0.2">
      <c r="A733" s="34" t="str">
        <f t="shared" si="11"/>
        <v/>
      </c>
    </row>
    <row r="734" spans="1:1" x14ac:dyDescent="0.2">
      <c r="A734" s="34" t="str">
        <f t="shared" si="11"/>
        <v/>
      </c>
    </row>
    <row r="735" spans="1:1" x14ac:dyDescent="0.2">
      <c r="A735" s="34" t="str">
        <f t="shared" si="11"/>
        <v/>
      </c>
    </row>
    <row r="736" spans="1:1" x14ac:dyDescent="0.2">
      <c r="A736" s="34" t="str">
        <f t="shared" si="11"/>
        <v/>
      </c>
    </row>
    <row r="737" spans="1:1" x14ac:dyDescent="0.2">
      <c r="A737" s="34" t="str">
        <f t="shared" si="11"/>
        <v/>
      </c>
    </row>
    <row r="738" spans="1:1" x14ac:dyDescent="0.2">
      <c r="A738" s="34" t="str">
        <f t="shared" si="11"/>
        <v/>
      </c>
    </row>
    <row r="739" spans="1:1" x14ac:dyDescent="0.2">
      <c r="A739" s="34" t="str">
        <f t="shared" si="11"/>
        <v/>
      </c>
    </row>
    <row r="740" spans="1:1" x14ac:dyDescent="0.2">
      <c r="A740" s="34" t="str">
        <f t="shared" si="11"/>
        <v/>
      </c>
    </row>
    <row r="741" spans="1:1" x14ac:dyDescent="0.2">
      <c r="A741" s="34" t="str">
        <f t="shared" si="11"/>
        <v/>
      </c>
    </row>
    <row r="742" spans="1:1" x14ac:dyDescent="0.2">
      <c r="A742" s="34" t="str">
        <f t="shared" si="11"/>
        <v/>
      </c>
    </row>
    <row r="743" spans="1:1" x14ac:dyDescent="0.2">
      <c r="A743" s="34" t="str">
        <f t="shared" si="11"/>
        <v/>
      </c>
    </row>
    <row r="744" spans="1:1" x14ac:dyDescent="0.2">
      <c r="A744" s="34" t="str">
        <f t="shared" si="11"/>
        <v/>
      </c>
    </row>
    <row r="745" spans="1:1" x14ac:dyDescent="0.2">
      <c r="A745" s="34" t="str">
        <f t="shared" si="11"/>
        <v/>
      </c>
    </row>
    <row r="746" spans="1:1" x14ac:dyDescent="0.2">
      <c r="A746" s="34" t="str">
        <f t="shared" si="11"/>
        <v/>
      </c>
    </row>
    <row r="747" spans="1:1" x14ac:dyDescent="0.2">
      <c r="A747" s="34" t="str">
        <f t="shared" si="11"/>
        <v/>
      </c>
    </row>
    <row r="748" spans="1:1" x14ac:dyDescent="0.2">
      <c r="A748" s="34" t="str">
        <f t="shared" si="11"/>
        <v/>
      </c>
    </row>
    <row r="749" spans="1:1" x14ac:dyDescent="0.2">
      <c r="A749" s="34" t="str">
        <f t="shared" si="11"/>
        <v/>
      </c>
    </row>
    <row r="750" spans="1:1" x14ac:dyDescent="0.2">
      <c r="A750" s="34" t="str">
        <f t="shared" si="11"/>
        <v/>
      </c>
    </row>
    <row r="751" spans="1:1" x14ac:dyDescent="0.2">
      <c r="A751" s="34" t="str">
        <f t="shared" si="11"/>
        <v/>
      </c>
    </row>
    <row r="752" spans="1:1" x14ac:dyDescent="0.2">
      <c r="A752" s="34" t="str">
        <f t="shared" si="11"/>
        <v/>
      </c>
    </row>
    <row r="753" spans="1:1" x14ac:dyDescent="0.2">
      <c r="A753" s="34" t="str">
        <f t="shared" si="11"/>
        <v/>
      </c>
    </row>
    <row r="754" spans="1:1" x14ac:dyDescent="0.2">
      <c r="A754" s="34" t="str">
        <f t="shared" si="11"/>
        <v/>
      </c>
    </row>
    <row r="755" spans="1:1" x14ac:dyDescent="0.2">
      <c r="A755" s="34" t="str">
        <f t="shared" si="11"/>
        <v/>
      </c>
    </row>
    <row r="756" spans="1:1" x14ac:dyDescent="0.2">
      <c r="A756" s="34" t="str">
        <f t="shared" si="11"/>
        <v/>
      </c>
    </row>
    <row r="757" spans="1:1" x14ac:dyDescent="0.2">
      <c r="A757" s="34" t="str">
        <f t="shared" si="11"/>
        <v/>
      </c>
    </row>
    <row r="758" spans="1:1" x14ac:dyDescent="0.2">
      <c r="A758" s="34" t="str">
        <f t="shared" si="11"/>
        <v/>
      </c>
    </row>
    <row r="759" spans="1:1" x14ac:dyDescent="0.2">
      <c r="A759" s="34" t="str">
        <f t="shared" si="11"/>
        <v/>
      </c>
    </row>
    <row r="760" spans="1:1" x14ac:dyDescent="0.2">
      <c r="A760" s="34" t="str">
        <f t="shared" si="11"/>
        <v/>
      </c>
    </row>
    <row r="761" spans="1:1" x14ac:dyDescent="0.2">
      <c r="A761" s="34" t="str">
        <f t="shared" si="11"/>
        <v/>
      </c>
    </row>
    <row r="762" spans="1:1" x14ac:dyDescent="0.2">
      <c r="A762" s="34" t="str">
        <f t="shared" si="11"/>
        <v/>
      </c>
    </row>
    <row r="763" spans="1:1" x14ac:dyDescent="0.2">
      <c r="A763" s="34" t="str">
        <f t="shared" si="11"/>
        <v/>
      </c>
    </row>
    <row r="764" spans="1:1" x14ac:dyDescent="0.2">
      <c r="A764" s="34" t="str">
        <f t="shared" si="11"/>
        <v/>
      </c>
    </row>
    <row r="765" spans="1:1" x14ac:dyDescent="0.2">
      <c r="A765" s="34" t="str">
        <f t="shared" si="11"/>
        <v/>
      </c>
    </row>
    <row r="766" spans="1:1" x14ac:dyDescent="0.2">
      <c r="A766" s="34" t="str">
        <f t="shared" si="11"/>
        <v/>
      </c>
    </row>
    <row r="767" spans="1:1" x14ac:dyDescent="0.2">
      <c r="A767" s="34" t="str">
        <f t="shared" si="11"/>
        <v/>
      </c>
    </row>
    <row r="768" spans="1:1" x14ac:dyDescent="0.2">
      <c r="A768" s="34" t="str">
        <f t="shared" si="11"/>
        <v/>
      </c>
    </row>
    <row r="769" spans="1:1" x14ac:dyDescent="0.2">
      <c r="A769" s="34" t="str">
        <f t="shared" si="11"/>
        <v/>
      </c>
    </row>
    <row r="770" spans="1:1" x14ac:dyDescent="0.2">
      <c r="A770" s="34" t="str">
        <f t="shared" si="11"/>
        <v/>
      </c>
    </row>
    <row r="771" spans="1:1" x14ac:dyDescent="0.2">
      <c r="A771" s="34" t="str">
        <f t="shared" ref="A771:A834" si="12">CONCATENATE(B771,C771,F771)</f>
        <v/>
      </c>
    </row>
    <row r="772" spans="1:1" x14ac:dyDescent="0.2">
      <c r="A772" s="34" t="str">
        <f t="shared" si="12"/>
        <v/>
      </c>
    </row>
    <row r="773" spans="1:1" x14ac:dyDescent="0.2">
      <c r="A773" s="34" t="str">
        <f t="shared" si="12"/>
        <v/>
      </c>
    </row>
    <row r="774" spans="1:1" x14ac:dyDescent="0.2">
      <c r="A774" s="34" t="str">
        <f t="shared" si="12"/>
        <v/>
      </c>
    </row>
    <row r="775" spans="1:1" x14ac:dyDescent="0.2">
      <c r="A775" s="34" t="str">
        <f t="shared" si="12"/>
        <v/>
      </c>
    </row>
    <row r="776" spans="1:1" x14ac:dyDescent="0.2">
      <c r="A776" s="34" t="str">
        <f t="shared" si="12"/>
        <v/>
      </c>
    </row>
    <row r="777" spans="1:1" x14ac:dyDescent="0.2">
      <c r="A777" s="34" t="str">
        <f t="shared" si="12"/>
        <v/>
      </c>
    </row>
    <row r="778" spans="1:1" x14ac:dyDescent="0.2">
      <c r="A778" s="34" t="str">
        <f t="shared" si="12"/>
        <v/>
      </c>
    </row>
    <row r="779" spans="1:1" x14ac:dyDescent="0.2">
      <c r="A779" s="34" t="str">
        <f t="shared" si="12"/>
        <v/>
      </c>
    </row>
    <row r="780" spans="1:1" x14ac:dyDescent="0.2">
      <c r="A780" s="34" t="str">
        <f t="shared" si="12"/>
        <v/>
      </c>
    </row>
    <row r="781" spans="1:1" x14ac:dyDescent="0.2">
      <c r="A781" s="34" t="str">
        <f t="shared" si="12"/>
        <v/>
      </c>
    </row>
    <row r="782" spans="1:1" x14ac:dyDescent="0.2">
      <c r="A782" s="34" t="str">
        <f t="shared" si="12"/>
        <v/>
      </c>
    </row>
    <row r="783" spans="1:1" x14ac:dyDescent="0.2">
      <c r="A783" s="34" t="str">
        <f t="shared" si="12"/>
        <v/>
      </c>
    </row>
    <row r="784" spans="1:1" x14ac:dyDescent="0.2">
      <c r="A784" s="34" t="str">
        <f t="shared" si="12"/>
        <v/>
      </c>
    </row>
    <row r="785" spans="1:1" x14ac:dyDescent="0.2">
      <c r="A785" s="34" t="str">
        <f t="shared" si="12"/>
        <v/>
      </c>
    </row>
    <row r="786" spans="1:1" x14ac:dyDescent="0.2">
      <c r="A786" s="34" t="str">
        <f t="shared" si="12"/>
        <v/>
      </c>
    </row>
    <row r="787" spans="1:1" x14ac:dyDescent="0.2">
      <c r="A787" s="34" t="str">
        <f t="shared" si="12"/>
        <v/>
      </c>
    </row>
    <row r="788" spans="1:1" x14ac:dyDescent="0.2">
      <c r="A788" s="34" t="str">
        <f t="shared" si="12"/>
        <v/>
      </c>
    </row>
    <row r="789" spans="1:1" x14ac:dyDescent="0.2">
      <c r="A789" s="34" t="str">
        <f t="shared" si="12"/>
        <v/>
      </c>
    </row>
    <row r="790" spans="1:1" x14ac:dyDescent="0.2">
      <c r="A790" s="34" t="str">
        <f t="shared" si="12"/>
        <v/>
      </c>
    </row>
    <row r="791" spans="1:1" x14ac:dyDescent="0.2">
      <c r="A791" s="34" t="str">
        <f t="shared" si="12"/>
        <v/>
      </c>
    </row>
    <row r="792" spans="1:1" x14ac:dyDescent="0.2">
      <c r="A792" s="34" t="str">
        <f t="shared" si="12"/>
        <v/>
      </c>
    </row>
    <row r="793" spans="1:1" x14ac:dyDescent="0.2">
      <c r="A793" s="34" t="str">
        <f t="shared" si="12"/>
        <v/>
      </c>
    </row>
    <row r="794" spans="1:1" x14ac:dyDescent="0.2">
      <c r="A794" s="34" t="str">
        <f t="shared" si="12"/>
        <v/>
      </c>
    </row>
    <row r="795" spans="1:1" x14ac:dyDescent="0.2">
      <c r="A795" s="34" t="str">
        <f t="shared" si="12"/>
        <v/>
      </c>
    </row>
    <row r="796" spans="1:1" x14ac:dyDescent="0.2">
      <c r="A796" s="34" t="str">
        <f t="shared" si="12"/>
        <v/>
      </c>
    </row>
    <row r="797" spans="1:1" x14ac:dyDescent="0.2">
      <c r="A797" s="34" t="str">
        <f t="shared" si="12"/>
        <v/>
      </c>
    </row>
    <row r="798" spans="1:1" x14ac:dyDescent="0.2">
      <c r="A798" s="34" t="str">
        <f t="shared" si="12"/>
        <v/>
      </c>
    </row>
    <row r="799" spans="1:1" x14ac:dyDescent="0.2">
      <c r="A799" s="34" t="str">
        <f t="shared" si="12"/>
        <v/>
      </c>
    </row>
    <row r="800" spans="1:1" x14ac:dyDescent="0.2">
      <c r="A800" s="34" t="str">
        <f t="shared" si="12"/>
        <v/>
      </c>
    </row>
    <row r="801" spans="1:1" x14ac:dyDescent="0.2">
      <c r="A801" s="34" t="str">
        <f t="shared" si="12"/>
        <v/>
      </c>
    </row>
    <row r="802" spans="1:1" x14ac:dyDescent="0.2">
      <c r="A802" s="34" t="str">
        <f t="shared" si="12"/>
        <v/>
      </c>
    </row>
    <row r="803" spans="1:1" x14ac:dyDescent="0.2">
      <c r="A803" s="34" t="str">
        <f t="shared" si="12"/>
        <v/>
      </c>
    </row>
    <row r="804" spans="1:1" x14ac:dyDescent="0.2">
      <c r="A804" s="34" t="str">
        <f t="shared" si="12"/>
        <v/>
      </c>
    </row>
    <row r="805" spans="1:1" x14ac:dyDescent="0.2">
      <c r="A805" s="34" t="str">
        <f t="shared" si="12"/>
        <v/>
      </c>
    </row>
    <row r="806" spans="1:1" x14ac:dyDescent="0.2">
      <c r="A806" s="34" t="str">
        <f t="shared" si="12"/>
        <v/>
      </c>
    </row>
    <row r="807" spans="1:1" x14ac:dyDescent="0.2">
      <c r="A807" s="34" t="str">
        <f t="shared" si="12"/>
        <v/>
      </c>
    </row>
    <row r="808" spans="1:1" x14ac:dyDescent="0.2">
      <c r="A808" s="34" t="str">
        <f t="shared" si="12"/>
        <v/>
      </c>
    </row>
    <row r="809" spans="1:1" x14ac:dyDescent="0.2">
      <c r="A809" s="34" t="str">
        <f t="shared" si="12"/>
        <v/>
      </c>
    </row>
    <row r="810" spans="1:1" x14ac:dyDescent="0.2">
      <c r="A810" s="34" t="str">
        <f t="shared" si="12"/>
        <v/>
      </c>
    </row>
    <row r="811" spans="1:1" x14ac:dyDescent="0.2">
      <c r="A811" s="34" t="str">
        <f t="shared" si="12"/>
        <v/>
      </c>
    </row>
    <row r="812" spans="1:1" x14ac:dyDescent="0.2">
      <c r="A812" s="34" t="str">
        <f t="shared" si="12"/>
        <v/>
      </c>
    </row>
    <row r="813" spans="1:1" x14ac:dyDescent="0.2">
      <c r="A813" s="34" t="str">
        <f t="shared" si="12"/>
        <v/>
      </c>
    </row>
    <row r="814" spans="1:1" x14ac:dyDescent="0.2">
      <c r="A814" s="34" t="str">
        <f t="shared" si="12"/>
        <v/>
      </c>
    </row>
    <row r="815" spans="1:1" x14ac:dyDescent="0.2">
      <c r="A815" s="34" t="str">
        <f t="shared" si="12"/>
        <v/>
      </c>
    </row>
    <row r="816" spans="1:1" x14ac:dyDescent="0.2">
      <c r="A816" s="34" t="str">
        <f t="shared" si="12"/>
        <v/>
      </c>
    </row>
    <row r="817" spans="1:1" x14ac:dyDescent="0.2">
      <c r="A817" s="34" t="str">
        <f t="shared" si="12"/>
        <v/>
      </c>
    </row>
    <row r="818" spans="1:1" x14ac:dyDescent="0.2">
      <c r="A818" s="34" t="str">
        <f t="shared" si="12"/>
        <v/>
      </c>
    </row>
    <row r="819" spans="1:1" x14ac:dyDescent="0.2">
      <c r="A819" s="34" t="str">
        <f t="shared" si="12"/>
        <v/>
      </c>
    </row>
    <row r="820" spans="1:1" x14ac:dyDescent="0.2">
      <c r="A820" s="34" t="str">
        <f t="shared" si="12"/>
        <v/>
      </c>
    </row>
    <row r="821" spans="1:1" x14ac:dyDescent="0.2">
      <c r="A821" s="34" t="str">
        <f t="shared" si="12"/>
        <v/>
      </c>
    </row>
    <row r="822" spans="1:1" x14ac:dyDescent="0.2">
      <c r="A822" s="34" t="str">
        <f t="shared" si="12"/>
        <v/>
      </c>
    </row>
    <row r="823" spans="1:1" x14ac:dyDescent="0.2">
      <c r="A823" s="34" t="str">
        <f t="shared" si="12"/>
        <v/>
      </c>
    </row>
    <row r="824" spans="1:1" x14ac:dyDescent="0.2">
      <c r="A824" s="34" t="str">
        <f t="shared" si="12"/>
        <v/>
      </c>
    </row>
    <row r="825" spans="1:1" x14ac:dyDescent="0.2">
      <c r="A825" s="34" t="str">
        <f t="shared" si="12"/>
        <v/>
      </c>
    </row>
    <row r="826" spans="1:1" x14ac:dyDescent="0.2">
      <c r="A826" s="34" t="str">
        <f t="shared" si="12"/>
        <v/>
      </c>
    </row>
    <row r="827" spans="1:1" x14ac:dyDescent="0.2">
      <c r="A827" s="34" t="str">
        <f t="shared" si="12"/>
        <v/>
      </c>
    </row>
    <row r="828" spans="1:1" x14ac:dyDescent="0.2">
      <c r="A828" s="34" t="str">
        <f t="shared" si="12"/>
        <v/>
      </c>
    </row>
    <row r="829" spans="1:1" x14ac:dyDescent="0.2">
      <c r="A829" s="34" t="str">
        <f t="shared" si="12"/>
        <v/>
      </c>
    </row>
    <row r="830" spans="1:1" x14ac:dyDescent="0.2">
      <c r="A830" s="34" t="str">
        <f t="shared" si="12"/>
        <v/>
      </c>
    </row>
    <row r="831" spans="1:1" x14ac:dyDescent="0.2">
      <c r="A831" s="34" t="str">
        <f t="shared" si="12"/>
        <v/>
      </c>
    </row>
    <row r="832" spans="1:1" x14ac:dyDescent="0.2">
      <c r="A832" s="34" t="str">
        <f t="shared" si="12"/>
        <v/>
      </c>
    </row>
    <row r="833" spans="1:1" x14ac:dyDescent="0.2">
      <c r="A833" s="34" t="str">
        <f t="shared" si="12"/>
        <v/>
      </c>
    </row>
    <row r="834" spans="1:1" x14ac:dyDescent="0.2">
      <c r="A834" s="34" t="str">
        <f t="shared" si="12"/>
        <v/>
      </c>
    </row>
    <row r="835" spans="1:1" x14ac:dyDescent="0.2">
      <c r="A835" s="34" t="str">
        <f t="shared" ref="A835:A898" si="13">CONCATENATE(B835,C835,F835)</f>
        <v/>
      </c>
    </row>
    <row r="836" spans="1:1" x14ac:dyDescent="0.2">
      <c r="A836" s="34" t="str">
        <f t="shared" si="13"/>
        <v/>
      </c>
    </row>
    <row r="837" spans="1:1" x14ac:dyDescent="0.2">
      <c r="A837" s="34" t="str">
        <f t="shared" si="13"/>
        <v/>
      </c>
    </row>
    <row r="838" spans="1:1" x14ac:dyDescent="0.2">
      <c r="A838" s="34" t="str">
        <f t="shared" si="13"/>
        <v/>
      </c>
    </row>
    <row r="839" spans="1:1" x14ac:dyDescent="0.2">
      <c r="A839" s="34" t="str">
        <f t="shared" si="13"/>
        <v/>
      </c>
    </row>
    <row r="840" spans="1:1" x14ac:dyDescent="0.2">
      <c r="A840" s="34" t="str">
        <f t="shared" si="13"/>
        <v/>
      </c>
    </row>
    <row r="841" spans="1:1" x14ac:dyDescent="0.2">
      <c r="A841" s="34" t="str">
        <f t="shared" si="13"/>
        <v/>
      </c>
    </row>
    <row r="842" spans="1:1" x14ac:dyDescent="0.2">
      <c r="A842" s="34" t="str">
        <f t="shared" si="13"/>
        <v/>
      </c>
    </row>
    <row r="843" spans="1:1" x14ac:dyDescent="0.2">
      <c r="A843" s="34" t="str">
        <f t="shared" si="13"/>
        <v/>
      </c>
    </row>
    <row r="844" spans="1:1" x14ac:dyDescent="0.2">
      <c r="A844" s="34" t="str">
        <f t="shared" si="13"/>
        <v/>
      </c>
    </row>
    <row r="845" spans="1:1" x14ac:dyDescent="0.2">
      <c r="A845" s="34" t="str">
        <f t="shared" si="13"/>
        <v/>
      </c>
    </row>
    <row r="846" spans="1:1" x14ac:dyDescent="0.2">
      <c r="A846" s="34" t="str">
        <f t="shared" si="13"/>
        <v/>
      </c>
    </row>
    <row r="847" spans="1:1" x14ac:dyDescent="0.2">
      <c r="A847" s="34" t="str">
        <f t="shared" si="13"/>
        <v/>
      </c>
    </row>
    <row r="848" spans="1:1" x14ac:dyDescent="0.2">
      <c r="A848" s="34" t="str">
        <f t="shared" si="13"/>
        <v/>
      </c>
    </row>
    <row r="849" spans="1:1" x14ac:dyDescent="0.2">
      <c r="A849" s="34" t="str">
        <f t="shared" si="13"/>
        <v/>
      </c>
    </row>
    <row r="850" spans="1:1" x14ac:dyDescent="0.2">
      <c r="A850" s="34" t="str">
        <f t="shared" si="13"/>
        <v/>
      </c>
    </row>
    <row r="851" spans="1:1" x14ac:dyDescent="0.2">
      <c r="A851" s="34" t="str">
        <f t="shared" si="13"/>
        <v/>
      </c>
    </row>
    <row r="852" spans="1:1" x14ac:dyDescent="0.2">
      <c r="A852" s="34" t="str">
        <f t="shared" si="13"/>
        <v/>
      </c>
    </row>
    <row r="853" spans="1:1" x14ac:dyDescent="0.2">
      <c r="A853" s="34" t="str">
        <f t="shared" si="13"/>
        <v/>
      </c>
    </row>
    <row r="854" spans="1:1" x14ac:dyDescent="0.2">
      <c r="A854" s="34" t="str">
        <f t="shared" si="13"/>
        <v/>
      </c>
    </row>
    <row r="855" spans="1:1" x14ac:dyDescent="0.2">
      <c r="A855" s="34" t="str">
        <f t="shared" si="13"/>
        <v/>
      </c>
    </row>
    <row r="856" spans="1:1" x14ac:dyDescent="0.2">
      <c r="A856" s="34" t="str">
        <f t="shared" si="13"/>
        <v/>
      </c>
    </row>
    <row r="857" spans="1:1" x14ac:dyDescent="0.2">
      <c r="A857" s="34" t="str">
        <f t="shared" si="13"/>
        <v/>
      </c>
    </row>
    <row r="858" spans="1:1" x14ac:dyDescent="0.2">
      <c r="A858" s="34" t="str">
        <f t="shared" si="13"/>
        <v/>
      </c>
    </row>
    <row r="859" spans="1:1" x14ac:dyDescent="0.2">
      <c r="A859" s="34" t="str">
        <f t="shared" si="13"/>
        <v/>
      </c>
    </row>
    <row r="860" spans="1:1" x14ac:dyDescent="0.2">
      <c r="A860" s="34" t="str">
        <f t="shared" si="13"/>
        <v/>
      </c>
    </row>
    <row r="861" spans="1:1" x14ac:dyDescent="0.2">
      <c r="A861" s="34" t="str">
        <f t="shared" si="13"/>
        <v/>
      </c>
    </row>
    <row r="862" spans="1:1" x14ac:dyDescent="0.2">
      <c r="A862" s="34" t="str">
        <f t="shared" si="13"/>
        <v/>
      </c>
    </row>
    <row r="863" spans="1:1" x14ac:dyDescent="0.2">
      <c r="A863" s="34" t="str">
        <f t="shared" si="13"/>
        <v/>
      </c>
    </row>
    <row r="864" spans="1:1" x14ac:dyDescent="0.2">
      <c r="A864" s="34" t="str">
        <f t="shared" si="13"/>
        <v/>
      </c>
    </row>
    <row r="865" spans="1:1" x14ac:dyDescent="0.2">
      <c r="A865" s="34" t="str">
        <f t="shared" si="13"/>
        <v/>
      </c>
    </row>
    <row r="866" spans="1:1" x14ac:dyDescent="0.2">
      <c r="A866" s="34" t="str">
        <f t="shared" si="13"/>
        <v/>
      </c>
    </row>
    <row r="867" spans="1:1" x14ac:dyDescent="0.2">
      <c r="A867" s="34" t="str">
        <f t="shared" si="13"/>
        <v/>
      </c>
    </row>
    <row r="868" spans="1:1" x14ac:dyDescent="0.2">
      <c r="A868" s="34" t="str">
        <f t="shared" si="13"/>
        <v/>
      </c>
    </row>
    <row r="869" spans="1:1" x14ac:dyDescent="0.2">
      <c r="A869" s="34" t="str">
        <f t="shared" si="13"/>
        <v/>
      </c>
    </row>
    <row r="870" spans="1:1" x14ac:dyDescent="0.2">
      <c r="A870" s="34" t="str">
        <f t="shared" si="13"/>
        <v/>
      </c>
    </row>
    <row r="871" spans="1:1" x14ac:dyDescent="0.2">
      <c r="A871" s="34" t="str">
        <f t="shared" si="13"/>
        <v/>
      </c>
    </row>
    <row r="872" spans="1:1" x14ac:dyDescent="0.2">
      <c r="A872" s="34" t="str">
        <f t="shared" si="13"/>
        <v/>
      </c>
    </row>
    <row r="873" spans="1:1" x14ac:dyDescent="0.2">
      <c r="A873" s="34" t="str">
        <f t="shared" si="13"/>
        <v/>
      </c>
    </row>
    <row r="874" spans="1:1" x14ac:dyDescent="0.2">
      <c r="A874" s="34" t="str">
        <f t="shared" si="13"/>
        <v/>
      </c>
    </row>
    <row r="875" spans="1:1" x14ac:dyDescent="0.2">
      <c r="A875" s="34" t="str">
        <f t="shared" si="13"/>
        <v/>
      </c>
    </row>
    <row r="876" spans="1:1" x14ac:dyDescent="0.2">
      <c r="A876" s="34" t="str">
        <f t="shared" si="13"/>
        <v/>
      </c>
    </row>
    <row r="877" spans="1:1" x14ac:dyDescent="0.2">
      <c r="A877" s="34" t="str">
        <f t="shared" si="13"/>
        <v/>
      </c>
    </row>
    <row r="878" spans="1:1" x14ac:dyDescent="0.2">
      <c r="A878" s="34" t="str">
        <f t="shared" si="13"/>
        <v/>
      </c>
    </row>
    <row r="879" spans="1:1" x14ac:dyDescent="0.2">
      <c r="A879" s="34" t="str">
        <f t="shared" si="13"/>
        <v/>
      </c>
    </row>
    <row r="880" spans="1:1" x14ac:dyDescent="0.2">
      <c r="A880" s="34" t="str">
        <f t="shared" si="13"/>
        <v/>
      </c>
    </row>
    <row r="881" spans="1:1" x14ac:dyDescent="0.2">
      <c r="A881" s="34" t="str">
        <f t="shared" si="13"/>
        <v/>
      </c>
    </row>
    <row r="882" spans="1:1" x14ac:dyDescent="0.2">
      <c r="A882" s="34" t="str">
        <f t="shared" si="13"/>
        <v/>
      </c>
    </row>
    <row r="883" spans="1:1" x14ac:dyDescent="0.2">
      <c r="A883" s="34" t="str">
        <f t="shared" si="13"/>
        <v/>
      </c>
    </row>
    <row r="884" spans="1:1" x14ac:dyDescent="0.2">
      <c r="A884" s="34" t="str">
        <f t="shared" si="13"/>
        <v/>
      </c>
    </row>
    <row r="885" spans="1:1" x14ac:dyDescent="0.2">
      <c r="A885" s="34" t="str">
        <f t="shared" si="13"/>
        <v/>
      </c>
    </row>
    <row r="886" spans="1:1" x14ac:dyDescent="0.2">
      <c r="A886" s="34" t="str">
        <f t="shared" si="13"/>
        <v/>
      </c>
    </row>
    <row r="887" spans="1:1" x14ac:dyDescent="0.2">
      <c r="A887" s="34" t="str">
        <f t="shared" si="13"/>
        <v/>
      </c>
    </row>
    <row r="888" spans="1:1" x14ac:dyDescent="0.2">
      <c r="A888" s="34" t="str">
        <f t="shared" si="13"/>
        <v/>
      </c>
    </row>
    <row r="889" spans="1:1" x14ac:dyDescent="0.2">
      <c r="A889" s="34" t="str">
        <f t="shared" si="13"/>
        <v/>
      </c>
    </row>
    <row r="890" spans="1:1" x14ac:dyDescent="0.2">
      <c r="A890" s="34" t="str">
        <f t="shared" si="13"/>
        <v/>
      </c>
    </row>
    <row r="891" spans="1:1" x14ac:dyDescent="0.2">
      <c r="A891" s="34" t="str">
        <f t="shared" si="13"/>
        <v/>
      </c>
    </row>
    <row r="892" spans="1:1" x14ac:dyDescent="0.2">
      <c r="A892" s="34" t="str">
        <f t="shared" si="13"/>
        <v/>
      </c>
    </row>
    <row r="893" spans="1:1" x14ac:dyDescent="0.2">
      <c r="A893" s="34" t="str">
        <f t="shared" si="13"/>
        <v/>
      </c>
    </row>
    <row r="894" spans="1:1" x14ac:dyDescent="0.2">
      <c r="A894" s="34" t="str">
        <f t="shared" si="13"/>
        <v/>
      </c>
    </row>
    <row r="895" spans="1:1" x14ac:dyDescent="0.2">
      <c r="A895" s="34" t="str">
        <f t="shared" si="13"/>
        <v/>
      </c>
    </row>
    <row r="896" spans="1:1" x14ac:dyDescent="0.2">
      <c r="A896" s="34" t="str">
        <f t="shared" si="13"/>
        <v/>
      </c>
    </row>
    <row r="897" spans="1:1" x14ac:dyDescent="0.2">
      <c r="A897" s="34" t="str">
        <f t="shared" si="13"/>
        <v/>
      </c>
    </row>
    <row r="898" spans="1:1" x14ac:dyDescent="0.2">
      <c r="A898" s="34" t="str">
        <f t="shared" si="13"/>
        <v/>
      </c>
    </row>
    <row r="899" spans="1:1" x14ac:dyDescent="0.2">
      <c r="A899" s="34" t="str">
        <f t="shared" ref="A899:A962" si="14">CONCATENATE(B899,C899,F899)</f>
        <v/>
      </c>
    </row>
    <row r="900" spans="1:1" x14ac:dyDescent="0.2">
      <c r="A900" s="34" t="str">
        <f t="shared" si="14"/>
        <v/>
      </c>
    </row>
    <row r="901" spans="1:1" x14ac:dyDescent="0.2">
      <c r="A901" s="34" t="str">
        <f t="shared" si="14"/>
        <v/>
      </c>
    </row>
    <row r="902" spans="1:1" x14ac:dyDescent="0.2">
      <c r="A902" s="34" t="str">
        <f t="shared" si="14"/>
        <v/>
      </c>
    </row>
    <row r="903" spans="1:1" x14ac:dyDescent="0.2">
      <c r="A903" s="34" t="str">
        <f t="shared" si="14"/>
        <v/>
      </c>
    </row>
    <row r="904" spans="1:1" x14ac:dyDescent="0.2">
      <c r="A904" s="34" t="str">
        <f t="shared" si="14"/>
        <v/>
      </c>
    </row>
    <row r="905" spans="1:1" x14ac:dyDescent="0.2">
      <c r="A905" s="34" t="str">
        <f t="shared" si="14"/>
        <v/>
      </c>
    </row>
    <row r="906" spans="1:1" x14ac:dyDescent="0.2">
      <c r="A906" s="34" t="str">
        <f t="shared" si="14"/>
        <v/>
      </c>
    </row>
    <row r="907" spans="1:1" x14ac:dyDescent="0.2">
      <c r="A907" s="34" t="str">
        <f t="shared" si="14"/>
        <v/>
      </c>
    </row>
    <row r="908" spans="1:1" x14ac:dyDescent="0.2">
      <c r="A908" s="34" t="str">
        <f t="shared" si="14"/>
        <v/>
      </c>
    </row>
    <row r="909" spans="1:1" x14ac:dyDescent="0.2">
      <c r="A909" s="34" t="str">
        <f t="shared" si="14"/>
        <v/>
      </c>
    </row>
    <row r="910" spans="1:1" x14ac:dyDescent="0.2">
      <c r="A910" s="34" t="str">
        <f t="shared" si="14"/>
        <v/>
      </c>
    </row>
    <row r="911" spans="1:1" x14ac:dyDescent="0.2">
      <c r="A911" s="34" t="str">
        <f t="shared" si="14"/>
        <v/>
      </c>
    </row>
    <row r="912" spans="1:1" x14ac:dyDescent="0.2">
      <c r="A912" s="34" t="str">
        <f t="shared" si="14"/>
        <v/>
      </c>
    </row>
    <row r="913" spans="1:1" x14ac:dyDescent="0.2">
      <c r="A913" s="34" t="str">
        <f t="shared" si="14"/>
        <v/>
      </c>
    </row>
    <row r="914" spans="1:1" x14ac:dyDescent="0.2">
      <c r="A914" s="34" t="str">
        <f t="shared" si="14"/>
        <v/>
      </c>
    </row>
    <row r="915" spans="1:1" x14ac:dyDescent="0.2">
      <c r="A915" s="34" t="str">
        <f t="shared" si="14"/>
        <v/>
      </c>
    </row>
    <row r="916" spans="1:1" x14ac:dyDescent="0.2">
      <c r="A916" s="34" t="str">
        <f t="shared" si="14"/>
        <v/>
      </c>
    </row>
    <row r="917" spans="1:1" x14ac:dyDescent="0.2">
      <c r="A917" s="34" t="str">
        <f t="shared" si="14"/>
        <v/>
      </c>
    </row>
    <row r="918" spans="1:1" x14ac:dyDescent="0.2">
      <c r="A918" s="34" t="str">
        <f t="shared" si="14"/>
        <v/>
      </c>
    </row>
    <row r="919" spans="1:1" x14ac:dyDescent="0.2">
      <c r="A919" s="34" t="str">
        <f t="shared" si="14"/>
        <v/>
      </c>
    </row>
    <row r="920" spans="1:1" x14ac:dyDescent="0.2">
      <c r="A920" s="34" t="str">
        <f t="shared" si="14"/>
        <v/>
      </c>
    </row>
    <row r="921" spans="1:1" x14ac:dyDescent="0.2">
      <c r="A921" s="34" t="str">
        <f t="shared" si="14"/>
        <v/>
      </c>
    </row>
    <row r="922" spans="1:1" x14ac:dyDescent="0.2">
      <c r="A922" s="34" t="str">
        <f t="shared" si="14"/>
        <v/>
      </c>
    </row>
    <row r="923" spans="1:1" x14ac:dyDescent="0.2">
      <c r="A923" s="34" t="str">
        <f t="shared" si="14"/>
        <v/>
      </c>
    </row>
    <row r="924" spans="1:1" x14ac:dyDescent="0.2">
      <c r="A924" s="34" t="str">
        <f t="shared" si="14"/>
        <v/>
      </c>
    </row>
    <row r="925" spans="1:1" x14ac:dyDescent="0.2">
      <c r="A925" s="34" t="str">
        <f t="shared" si="14"/>
        <v/>
      </c>
    </row>
    <row r="926" spans="1:1" x14ac:dyDescent="0.2">
      <c r="A926" s="34" t="str">
        <f t="shared" si="14"/>
        <v/>
      </c>
    </row>
    <row r="927" spans="1:1" x14ac:dyDescent="0.2">
      <c r="A927" s="34" t="str">
        <f t="shared" si="14"/>
        <v/>
      </c>
    </row>
    <row r="928" spans="1:1" x14ac:dyDescent="0.2">
      <c r="A928" s="34" t="str">
        <f t="shared" si="14"/>
        <v/>
      </c>
    </row>
    <row r="929" spans="1:1" x14ac:dyDescent="0.2">
      <c r="A929" s="34" t="str">
        <f t="shared" si="14"/>
        <v/>
      </c>
    </row>
    <row r="930" spans="1:1" x14ac:dyDescent="0.2">
      <c r="A930" s="34" t="str">
        <f t="shared" si="14"/>
        <v/>
      </c>
    </row>
    <row r="931" spans="1:1" x14ac:dyDescent="0.2">
      <c r="A931" s="34" t="str">
        <f t="shared" si="14"/>
        <v/>
      </c>
    </row>
    <row r="932" spans="1:1" x14ac:dyDescent="0.2">
      <c r="A932" s="34" t="str">
        <f t="shared" si="14"/>
        <v/>
      </c>
    </row>
    <row r="933" spans="1:1" x14ac:dyDescent="0.2">
      <c r="A933" s="34" t="str">
        <f t="shared" si="14"/>
        <v/>
      </c>
    </row>
    <row r="934" spans="1:1" x14ac:dyDescent="0.2">
      <c r="A934" s="34" t="str">
        <f t="shared" si="14"/>
        <v/>
      </c>
    </row>
    <row r="935" spans="1:1" x14ac:dyDescent="0.2">
      <c r="A935" s="34" t="str">
        <f t="shared" si="14"/>
        <v/>
      </c>
    </row>
    <row r="936" spans="1:1" x14ac:dyDescent="0.2">
      <c r="A936" s="34" t="str">
        <f t="shared" si="14"/>
        <v/>
      </c>
    </row>
    <row r="937" spans="1:1" x14ac:dyDescent="0.2">
      <c r="A937" s="34" t="str">
        <f t="shared" si="14"/>
        <v/>
      </c>
    </row>
    <row r="938" spans="1:1" x14ac:dyDescent="0.2">
      <c r="A938" s="34" t="str">
        <f t="shared" si="14"/>
        <v/>
      </c>
    </row>
    <row r="939" spans="1:1" x14ac:dyDescent="0.2">
      <c r="A939" s="34" t="str">
        <f t="shared" si="14"/>
        <v/>
      </c>
    </row>
    <row r="940" spans="1:1" x14ac:dyDescent="0.2">
      <c r="A940" s="34" t="str">
        <f t="shared" si="14"/>
        <v/>
      </c>
    </row>
    <row r="941" spans="1:1" x14ac:dyDescent="0.2">
      <c r="A941" s="34" t="str">
        <f t="shared" si="14"/>
        <v/>
      </c>
    </row>
    <row r="942" spans="1:1" x14ac:dyDescent="0.2">
      <c r="A942" s="34" t="str">
        <f t="shared" si="14"/>
        <v/>
      </c>
    </row>
    <row r="943" spans="1:1" x14ac:dyDescent="0.2">
      <c r="A943" s="34" t="str">
        <f t="shared" si="14"/>
        <v/>
      </c>
    </row>
    <row r="944" spans="1:1" x14ac:dyDescent="0.2">
      <c r="A944" s="34" t="str">
        <f t="shared" si="14"/>
        <v/>
      </c>
    </row>
    <row r="945" spans="1:1" x14ac:dyDescent="0.2">
      <c r="A945" s="34" t="str">
        <f t="shared" si="14"/>
        <v/>
      </c>
    </row>
    <row r="946" spans="1:1" x14ac:dyDescent="0.2">
      <c r="A946" s="34" t="str">
        <f t="shared" si="14"/>
        <v/>
      </c>
    </row>
    <row r="947" spans="1:1" x14ac:dyDescent="0.2">
      <c r="A947" s="34" t="str">
        <f t="shared" si="14"/>
        <v/>
      </c>
    </row>
    <row r="948" spans="1:1" x14ac:dyDescent="0.2">
      <c r="A948" s="34" t="str">
        <f t="shared" si="14"/>
        <v/>
      </c>
    </row>
    <row r="949" spans="1:1" x14ac:dyDescent="0.2">
      <c r="A949" s="34" t="str">
        <f t="shared" si="14"/>
        <v/>
      </c>
    </row>
    <row r="950" spans="1:1" x14ac:dyDescent="0.2">
      <c r="A950" s="34" t="str">
        <f t="shared" si="14"/>
        <v/>
      </c>
    </row>
    <row r="951" spans="1:1" x14ac:dyDescent="0.2">
      <c r="A951" s="34" t="str">
        <f t="shared" si="14"/>
        <v/>
      </c>
    </row>
    <row r="952" spans="1:1" x14ac:dyDescent="0.2">
      <c r="A952" s="34" t="str">
        <f t="shared" si="14"/>
        <v/>
      </c>
    </row>
    <row r="953" spans="1:1" x14ac:dyDescent="0.2">
      <c r="A953" s="34" t="str">
        <f t="shared" si="14"/>
        <v/>
      </c>
    </row>
    <row r="954" spans="1:1" x14ac:dyDescent="0.2">
      <c r="A954" s="34" t="str">
        <f t="shared" si="14"/>
        <v/>
      </c>
    </row>
    <row r="955" spans="1:1" x14ac:dyDescent="0.2">
      <c r="A955" s="34" t="str">
        <f t="shared" si="14"/>
        <v/>
      </c>
    </row>
    <row r="956" spans="1:1" x14ac:dyDescent="0.2">
      <c r="A956" s="34" t="str">
        <f t="shared" si="14"/>
        <v/>
      </c>
    </row>
    <row r="957" spans="1:1" x14ac:dyDescent="0.2">
      <c r="A957" s="34" t="str">
        <f t="shared" si="14"/>
        <v/>
      </c>
    </row>
    <row r="958" spans="1:1" x14ac:dyDescent="0.2">
      <c r="A958" s="34" t="str">
        <f t="shared" si="14"/>
        <v/>
      </c>
    </row>
    <row r="959" spans="1:1" x14ac:dyDescent="0.2">
      <c r="A959" s="34" t="str">
        <f t="shared" si="14"/>
        <v/>
      </c>
    </row>
    <row r="960" spans="1:1" x14ac:dyDescent="0.2">
      <c r="A960" s="34" t="str">
        <f t="shared" si="14"/>
        <v/>
      </c>
    </row>
    <row r="961" spans="1:1" x14ac:dyDescent="0.2">
      <c r="A961" s="34" t="str">
        <f t="shared" si="14"/>
        <v/>
      </c>
    </row>
    <row r="962" spans="1:1" x14ac:dyDescent="0.2">
      <c r="A962" s="34" t="str">
        <f t="shared" si="14"/>
        <v/>
      </c>
    </row>
    <row r="963" spans="1:1" x14ac:dyDescent="0.2">
      <c r="A963" s="34" t="str">
        <f t="shared" ref="A963:A1026" si="15">CONCATENATE(B963,C963,F963)</f>
        <v/>
      </c>
    </row>
    <row r="964" spans="1:1" x14ac:dyDescent="0.2">
      <c r="A964" s="34" t="str">
        <f t="shared" si="15"/>
        <v/>
      </c>
    </row>
    <row r="965" spans="1:1" x14ac:dyDescent="0.2">
      <c r="A965" s="34" t="str">
        <f t="shared" si="15"/>
        <v/>
      </c>
    </row>
    <row r="966" spans="1:1" x14ac:dyDescent="0.2">
      <c r="A966" s="34" t="str">
        <f t="shared" si="15"/>
        <v/>
      </c>
    </row>
    <row r="967" spans="1:1" x14ac:dyDescent="0.2">
      <c r="A967" s="34" t="str">
        <f t="shared" si="15"/>
        <v/>
      </c>
    </row>
    <row r="968" spans="1:1" x14ac:dyDescent="0.2">
      <c r="A968" s="34" t="str">
        <f t="shared" si="15"/>
        <v/>
      </c>
    </row>
    <row r="969" spans="1:1" x14ac:dyDescent="0.2">
      <c r="A969" s="34" t="str">
        <f t="shared" si="15"/>
        <v/>
      </c>
    </row>
    <row r="970" spans="1:1" x14ac:dyDescent="0.2">
      <c r="A970" s="34" t="str">
        <f t="shared" si="15"/>
        <v/>
      </c>
    </row>
    <row r="971" spans="1:1" x14ac:dyDescent="0.2">
      <c r="A971" s="34" t="str">
        <f t="shared" si="15"/>
        <v/>
      </c>
    </row>
    <row r="972" spans="1:1" x14ac:dyDescent="0.2">
      <c r="A972" s="34" t="str">
        <f t="shared" si="15"/>
        <v/>
      </c>
    </row>
    <row r="973" spans="1:1" x14ac:dyDescent="0.2">
      <c r="A973" s="34" t="str">
        <f t="shared" si="15"/>
        <v/>
      </c>
    </row>
    <row r="974" spans="1:1" x14ac:dyDescent="0.2">
      <c r="A974" s="34" t="str">
        <f t="shared" si="15"/>
        <v/>
      </c>
    </row>
    <row r="975" spans="1:1" x14ac:dyDescent="0.2">
      <c r="A975" s="34" t="str">
        <f t="shared" si="15"/>
        <v/>
      </c>
    </row>
    <row r="976" spans="1:1" x14ac:dyDescent="0.2">
      <c r="A976" s="34" t="str">
        <f t="shared" si="15"/>
        <v/>
      </c>
    </row>
    <row r="977" spans="1:1" x14ac:dyDescent="0.2">
      <c r="A977" s="34" t="str">
        <f t="shared" si="15"/>
        <v/>
      </c>
    </row>
    <row r="978" spans="1:1" x14ac:dyDescent="0.2">
      <c r="A978" s="34" t="str">
        <f t="shared" si="15"/>
        <v/>
      </c>
    </row>
    <row r="979" spans="1:1" x14ac:dyDescent="0.2">
      <c r="A979" s="34" t="str">
        <f t="shared" si="15"/>
        <v/>
      </c>
    </row>
    <row r="980" spans="1:1" x14ac:dyDescent="0.2">
      <c r="A980" s="34" t="str">
        <f t="shared" si="15"/>
        <v/>
      </c>
    </row>
    <row r="981" spans="1:1" x14ac:dyDescent="0.2">
      <c r="A981" s="34" t="str">
        <f t="shared" si="15"/>
        <v/>
      </c>
    </row>
    <row r="982" spans="1:1" x14ac:dyDescent="0.2">
      <c r="A982" s="34" t="str">
        <f t="shared" si="15"/>
        <v/>
      </c>
    </row>
    <row r="983" spans="1:1" x14ac:dyDescent="0.2">
      <c r="A983" s="34" t="str">
        <f t="shared" si="15"/>
        <v/>
      </c>
    </row>
    <row r="984" spans="1:1" x14ac:dyDescent="0.2">
      <c r="A984" s="34" t="str">
        <f t="shared" si="15"/>
        <v/>
      </c>
    </row>
    <row r="985" spans="1:1" x14ac:dyDescent="0.2">
      <c r="A985" s="34" t="str">
        <f t="shared" si="15"/>
        <v/>
      </c>
    </row>
    <row r="986" spans="1:1" x14ac:dyDescent="0.2">
      <c r="A986" s="34" t="str">
        <f t="shared" si="15"/>
        <v/>
      </c>
    </row>
    <row r="987" spans="1:1" x14ac:dyDescent="0.2">
      <c r="A987" s="34" t="str">
        <f t="shared" si="15"/>
        <v/>
      </c>
    </row>
    <row r="988" spans="1:1" x14ac:dyDescent="0.2">
      <c r="A988" s="34" t="str">
        <f t="shared" si="15"/>
        <v/>
      </c>
    </row>
    <row r="989" spans="1:1" x14ac:dyDescent="0.2">
      <c r="A989" s="34" t="str">
        <f t="shared" si="15"/>
        <v/>
      </c>
    </row>
    <row r="990" spans="1:1" x14ac:dyDescent="0.2">
      <c r="A990" s="34" t="str">
        <f t="shared" si="15"/>
        <v/>
      </c>
    </row>
    <row r="991" spans="1:1" x14ac:dyDescent="0.2">
      <c r="A991" s="34" t="str">
        <f t="shared" si="15"/>
        <v/>
      </c>
    </row>
    <row r="992" spans="1:1" x14ac:dyDescent="0.2">
      <c r="A992" s="34" t="str">
        <f t="shared" si="15"/>
        <v/>
      </c>
    </row>
    <row r="993" spans="1:1" x14ac:dyDescent="0.2">
      <c r="A993" s="34" t="str">
        <f t="shared" si="15"/>
        <v/>
      </c>
    </row>
    <row r="994" spans="1:1" x14ac:dyDescent="0.2">
      <c r="A994" s="34" t="str">
        <f t="shared" si="15"/>
        <v/>
      </c>
    </row>
    <row r="995" spans="1:1" x14ac:dyDescent="0.2">
      <c r="A995" s="34" t="str">
        <f t="shared" si="15"/>
        <v/>
      </c>
    </row>
    <row r="996" spans="1:1" x14ac:dyDescent="0.2">
      <c r="A996" s="34" t="str">
        <f t="shared" si="15"/>
        <v/>
      </c>
    </row>
    <row r="997" spans="1:1" x14ac:dyDescent="0.2">
      <c r="A997" s="34" t="str">
        <f t="shared" si="15"/>
        <v/>
      </c>
    </row>
    <row r="998" spans="1:1" x14ac:dyDescent="0.2">
      <c r="A998" s="34" t="str">
        <f t="shared" si="15"/>
        <v/>
      </c>
    </row>
    <row r="999" spans="1:1" x14ac:dyDescent="0.2">
      <c r="A999" s="34" t="str">
        <f t="shared" si="15"/>
        <v/>
      </c>
    </row>
    <row r="1000" spans="1:1" x14ac:dyDescent="0.2">
      <c r="A1000" s="34" t="str">
        <f t="shared" si="15"/>
        <v/>
      </c>
    </row>
    <row r="1001" spans="1:1" x14ac:dyDescent="0.2">
      <c r="A1001" s="34" t="str">
        <f t="shared" si="15"/>
        <v/>
      </c>
    </row>
    <row r="1002" spans="1:1" x14ac:dyDescent="0.2">
      <c r="A1002" s="34" t="str">
        <f t="shared" si="15"/>
        <v/>
      </c>
    </row>
    <row r="1003" spans="1:1" x14ac:dyDescent="0.2">
      <c r="A1003" s="34" t="str">
        <f t="shared" si="15"/>
        <v/>
      </c>
    </row>
    <row r="1004" spans="1:1" x14ac:dyDescent="0.2">
      <c r="A1004" s="34" t="str">
        <f t="shared" si="15"/>
        <v/>
      </c>
    </row>
    <row r="1005" spans="1:1" x14ac:dyDescent="0.2">
      <c r="A1005" s="34" t="str">
        <f t="shared" si="15"/>
        <v/>
      </c>
    </row>
    <row r="1006" spans="1:1" x14ac:dyDescent="0.2">
      <c r="A1006" s="34" t="str">
        <f t="shared" si="15"/>
        <v/>
      </c>
    </row>
    <row r="1007" spans="1:1" x14ac:dyDescent="0.2">
      <c r="A1007" s="34" t="str">
        <f t="shared" si="15"/>
        <v/>
      </c>
    </row>
    <row r="1008" spans="1:1" x14ac:dyDescent="0.2">
      <c r="A1008" s="34" t="str">
        <f t="shared" si="15"/>
        <v/>
      </c>
    </row>
    <row r="1009" spans="1:1" x14ac:dyDescent="0.2">
      <c r="A1009" s="34" t="str">
        <f t="shared" si="15"/>
        <v/>
      </c>
    </row>
    <row r="1010" spans="1:1" x14ac:dyDescent="0.2">
      <c r="A1010" s="34" t="str">
        <f t="shared" si="15"/>
        <v/>
      </c>
    </row>
    <row r="1011" spans="1:1" x14ac:dyDescent="0.2">
      <c r="A1011" s="34" t="str">
        <f t="shared" si="15"/>
        <v/>
      </c>
    </row>
    <row r="1012" spans="1:1" x14ac:dyDescent="0.2">
      <c r="A1012" s="34" t="str">
        <f t="shared" si="15"/>
        <v/>
      </c>
    </row>
    <row r="1013" spans="1:1" x14ac:dyDescent="0.2">
      <c r="A1013" s="34" t="str">
        <f t="shared" si="15"/>
        <v/>
      </c>
    </row>
    <row r="1014" spans="1:1" x14ac:dyDescent="0.2">
      <c r="A1014" s="34" t="str">
        <f t="shared" si="15"/>
        <v/>
      </c>
    </row>
    <row r="1015" spans="1:1" x14ac:dyDescent="0.2">
      <c r="A1015" s="34" t="str">
        <f t="shared" si="15"/>
        <v/>
      </c>
    </row>
    <row r="1016" spans="1:1" x14ac:dyDescent="0.2">
      <c r="A1016" s="34" t="str">
        <f t="shared" si="15"/>
        <v/>
      </c>
    </row>
    <row r="1017" spans="1:1" x14ac:dyDescent="0.2">
      <c r="A1017" s="34" t="str">
        <f t="shared" si="15"/>
        <v/>
      </c>
    </row>
    <row r="1018" spans="1:1" x14ac:dyDescent="0.2">
      <c r="A1018" s="34" t="str">
        <f t="shared" si="15"/>
        <v/>
      </c>
    </row>
    <row r="1019" spans="1:1" x14ac:dyDescent="0.2">
      <c r="A1019" s="34" t="str">
        <f t="shared" si="15"/>
        <v/>
      </c>
    </row>
    <row r="1020" spans="1:1" x14ac:dyDescent="0.2">
      <c r="A1020" s="34" t="str">
        <f t="shared" si="15"/>
        <v/>
      </c>
    </row>
    <row r="1021" spans="1:1" x14ac:dyDescent="0.2">
      <c r="A1021" s="34" t="str">
        <f t="shared" si="15"/>
        <v/>
      </c>
    </row>
    <row r="1022" spans="1:1" x14ac:dyDescent="0.2">
      <c r="A1022" s="34" t="str">
        <f t="shared" si="15"/>
        <v/>
      </c>
    </row>
    <row r="1023" spans="1:1" x14ac:dyDescent="0.2">
      <c r="A1023" s="34" t="str">
        <f t="shared" si="15"/>
        <v/>
      </c>
    </row>
    <row r="1024" spans="1:1" x14ac:dyDescent="0.2">
      <c r="A1024" s="34" t="str">
        <f t="shared" si="15"/>
        <v/>
      </c>
    </row>
    <row r="1025" spans="1:1" x14ac:dyDescent="0.2">
      <c r="A1025" s="34" t="str">
        <f t="shared" si="15"/>
        <v/>
      </c>
    </row>
    <row r="1026" spans="1:1" x14ac:dyDescent="0.2">
      <c r="A1026" s="34" t="str">
        <f t="shared" si="15"/>
        <v/>
      </c>
    </row>
    <row r="1027" spans="1:1" x14ac:dyDescent="0.2">
      <c r="A1027" s="34" t="str">
        <f t="shared" ref="A1027:A1090" si="16">CONCATENATE(B1027,C1027,F1027)</f>
        <v/>
      </c>
    </row>
    <row r="1028" spans="1:1" x14ac:dyDescent="0.2">
      <c r="A1028" s="34" t="str">
        <f t="shared" si="16"/>
        <v/>
      </c>
    </row>
    <row r="1029" spans="1:1" x14ac:dyDescent="0.2">
      <c r="A1029" s="34" t="str">
        <f t="shared" si="16"/>
        <v/>
      </c>
    </row>
    <row r="1030" spans="1:1" x14ac:dyDescent="0.2">
      <c r="A1030" s="34" t="str">
        <f t="shared" si="16"/>
        <v/>
      </c>
    </row>
    <row r="1031" spans="1:1" x14ac:dyDescent="0.2">
      <c r="A1031" s="34" t="str">
        <f t="shared" si="16"/>
        <v/>
      </c>
    </row>
    <row r="1032" spans="1:1" x14ac:dyDescent="0.2">
      <c r="A1032" s="34" t="str">
        <f t="shared" si="16"/>
        <v/>
      </c>
    </row>
    <row r="1033" spans="1:1" x14ac:dyDescent="0.2">
      <c r="A1033" s="34" t="str">
        <f t="shared" si="16"/>
        <v/>
      </c>
    </row>
    <row r="1034" spans="1:1" x14ac:dyDescent="0.2">
      <c r="A1034" s="34" t="str">
        <f t="shared" si="16"/>
        <v/>
      </c>
    </row>
    <row r="1035" spans="1:1" x14ac:dyDescent="0.2">
      <c r="A1035" s="34" t="str">
        <f t="shared" si="16"/>
        <v/>
      </c>
    </row>
    <row r="1036" spans="1:1" x14ac:dyDescent="0.2">
      <c r="A1036" s="34" t="str">
        <f t="shared" si="16"/>
        <v/>
      </c>
    </row>
    <row r="1037" spans="1:1" x14ac:dyDescent="0.2">
      <c r="A1037" s="34" t="str">
        <f t="shared" si="16"/>
        <v/>
      </c>
    </row>
    <row r="1038" spans="1:1" x14ac:dyDescent="0.2">
      <c r="A1038" s="34" t="str">
        <f t="shared" si="16"/>
        <v/>
      </c>
    </row>
    <row r="1039" spans="1:1" x14ac:dyDescent="0.2">
      <c r="A1039" s="34" t="str">
        <f t="shared" si="16"/>
        <v/>
      </c>
    </row>
    <row r="1040" spans="1:1" x14ac:dyDescent="0.2">
      <c r="A1040" s="34" t="str">
        <f t="shared" si="16"/>
        <v/>
      </c>
    </row>
    <row r="1041" spans="1:1" x14ac:dyDescent="0.2">
      <c r="A1041" s="34" t="str">
        <f t="shared" si="16"/>
        <v/>
      </c>
    </row>
    <row r="1042" spans="1:1" x14ac:dyDescent="0.2">
      <c r="A1042" s="34" t="str">
        <f t="shared" si="16"/>
        <v/>
      </c>
    </row>
    <row r="1043" spans="1:1" x14ac:dyDescent="0.2">
      <c r="A1043" s="34" t="str">
        <f t="shared" si="16"/>
        <v/>
      </c>
    </row>
    <row r="1044" spans="1:1" x14ac:dyDescent="0.2">
      <c r="A1044" s="34" t="str">
        <f t="shared" si="16"/>
        <v/>
      </c>
    </row>
    <row r="1045" spans="1:1" x14ac:dyDescent="0.2">
      <c r="A1045" s="34" t="str">
        <f t="shared" si="16"/>
        <v/>
      </c>
    </row>
    <row r="1046" spans="1:1" x14ac:dyDescent="0.2">
      <c r="A1046" s="34" t="str">
        <f t="shared" si="16"/>
        <v/>
      </c>
    </row>
    <row r="1047" spans="1:1" x14ac:dyDescent="0.2">
      <c r="A1047" s="34" t="str">
        <f t="shared" si="16"/>
        <v/>
      </c>
    </row>
    <row r="1048" spans="1:1" x14ac:dyDescent="0.2">
      <c r="A1048" s="34" t="str">
        <f t="shared" si="16"/>
        <v/>
      </c>
    </row>
    <row r="1049" spans="1:1" x14ac:dyDescent="0.2">
      <c r="A1049" s="34" t="str">
        <f t="shared" si="16"/>
        <v/>
      </c>
    </row>
    <row r="1050" spans="1:1" x14ac:dyDescent="0.2">
      <c r="A1050" s="34" t="str">
        <f t="shared" si="16"/>
        <v/>
      </c>
    </row>
    <row r="1051" spans="1:1" x14ac:dyDescent="0.2">
      <c r="A1051" s="34" t="str">
        <f t="shared" si="16"/>
        <v/>
      </c>
    </row>
    <row r="1052" spans="1:1" x14ac:dyDescent="0.2">
      <c r="A1052" s="34" t="str">
        <f t="shared" si="16"/>
        <v/>
      </c>
    </row>
    <row r="1053" spans="1:1" x14ac:dyDescent="0.2">
      <c r="A1053" s="34" t="str">
        <f t="shared" si="16"/>
        <v/>
      </c>
    </row>
    <row r="1054" spans="1:1" x14ac:dyDescent="0.2">
      <c r="A1054" s="34" t="str">
        <f t="shared" si="16"/>
        <v/>
      </c>
    </row>
    <row r="1055" spans="1:1" x14ac:dyDescent="0.2">
      <c r="A1055" s="34" t="str">
        <f t="shared" si="16"/>
        <v/>
      </c>
    </row>
    <row r="1056" spans="1:1" x14ac:dyDescent="0.2">
      <c r="A1056" s="34" t="str">
        <f t="shared" si="16"/>
        <v/>
      </c>
    </row>
    <row r="1057" spans="1:1" x14ac:dyDescent="0.2">
      <c r="A1057" s="34" t="str">
        <f t="shared" si="16"/>
        <v/>
      </c>
    </row>
    <row r="1058" spans="1:1" x14ac:dyDescent="0.2">
      <c r="A1058" s="34" t="str">
        <f t="shared" si="16"/>
        <v/>
      </c>
    </row>
    <row r="1059" spans="1:1" x14ac:dyDescent="0.2">
      <c r="A1059" s="34" t="str">
        <f t="shared" si="16"/>
        <v/>
      </c>
    </row>
    <row r="1060" spans="1:1" x14ac:dyDescent="0.2">
      <c r="A1060" s="34" t="str">
        <f t="shared" si="16"/>
        <v/>
      </c>
    </row>
    <row r="1061" spans="1:1" x14ac:dyDescent="0.2">
      <c r="A1061" s="34" t="str">
        <f t="shared" si="16"/>
        <v/>
      </c>
    </row>
    <row r="1062" spans="1:1" x14ac:dyDescent="0.2">
      <c r="A1062" s="34" t="str">
        <f t="shared" si="16"/>
        <v/>
      </c>
    </row>
    <row r="1063" spans="1:1" x14ac:dyDescent="0.2">
      <c r="A1063" s="34" t="str">
        <f t="shared" si="16"/>
        <v/>
      </c>
    </row>
    <row r="1064" spans="1:1" x14ac:dyDescent="0.2">
      <c r="A1064" s="34" t="str">
        <f t="shared" si="16"/>
        <v/>
      </c>
    </row>
    <row r="1065" spans="1:1" x14ac:dyDescent="0.2">
      <c r="A1065" s="34" t="str">
        <f t="shared" si="16"/>
        <v/>
      </c>
    </row>
    <row r="1066" spans="1:1" x14ac:dyDescent="0.2">
      <c r="A1066" s="34" t="str">
        <f t="shared" si="16"/>
        <v/>
      </c>
    </row>
    <row r="1067" spans="1:1" x14ac:dyDescent="0.2">
      <c r="A1067" s="34" t="str">
        <f t="shared" si="16"/>
        <v/>
      </c>
    </row>
    <row r="1068" spans="1:1" x14ac:dyDescent="0.2">
      <c r="A1068" s="34" t="str">
        <f t="shared" si="16"/>
        <v/>
      </c>
    </row>
    <row r="1069" spans="1:1" x14ac:dyDescent="0.2">
      <c r="A1069" s="34" t="str">
        <f t="shared" si="16"/>
        <v/>
      </c>
    </row>
    <row r="1070" spans="1:1" x14ac:dyDescent="0.2">
      <c r="A1070" s="34" t="str">
        <f t="shared" si="16"/>
        <v/>
      </c>
    </row>
    <row r="1071" spans="1:1" x14ac:dyDescent="0.2">
      <c r="A1071" s="34" t="str">
        <f t="shared" si="16"/>
        <v/>
      </c>
    </row>
    <row r="1072" spans="1:1" x14ac:dyDescent="0.2">
      <c r="A1072" s="34" t="str">
        <f t="shared" si="16"/>
        <v/>
      </c>
    </row>
    <row r="1073" spans="1:1" x14ac:dyDescent="0.2">
      <c r="A1073" s="34" t="str">
        <f t="shared" si="16"/>
        <v/>
      </c>
    </row>
    <row r="1074" spans="1:1" x14ac:dyDescent="0.2">
      <c r="A1074" s="34" t="str">
        <f t="shared" si="16"/>
        <v/>
      </c>
    </row>
    <row r="1075" spans="1:1" x14ac:dyDescent="0.2">
      <c r="A1075" s="34" t="str">
        <f t="shared" si="16"/>
        <v/>
      </c>
    </row>
    <row r="1076" spans="1:1" x14ac:dyDescent="0.2">
      <c r="A1076" s="34" t="str">
        <f t="shared" si="16"/>
        <v/>
      </c>
    </row>
    <row r="1077" spans="1:1" x14ac:dyDescent="0.2">
      <c r="A1077" s="34" t="str">
        <f t="shared" si="16"/>
        <v/>
      </c>
    </row>
    <row r="1078" spans="1:1" x14ac:dyDescent="0.2">
      <c r="A1078" s="34" t="str">
        <f t="shared" si="16"/>
        <v/>
      </c>
    </row>
    <row r="1079" spans="1:1" x14ac:dyDescent="0.2">
      <c r="A1079" s="34" t="str">
        <f t="shared" si="16"/>
        <v/>
      </c>
    </row>
    <row r="1080" spans="1:1" x14ac:dyDescent="0.2">
      <c r="A1080" s="34" t="str">
        <f t="shared" si="16"/>
        <v/>
      </c>
    </row>
    <row r="1081" spans="1:1" x14ac:dyDescent="0.2">
      <c r="A1081" s="34" t="str">
        <f t="shared" si="16"/>
        <v/>
      </c>
    </row>
    <row r="1082" spans="1:1" x14ac:dyDescent="0.2">
      <c r="A1082" s="34" t="str">
        <f t="shared" si="16"/>
        <v/>
      </c>
    </row>
    <row r="1083" spans="1:1" x14ac:dyDescent="0.2">
      <c r="A1083" s="34" t="str">
        <f t="shared" si="16"/>
        <v/>
      </c>
    </row>
    <row r="1084" spans="1:1" x14ac:dyDescent="0.2">
      <c r="A1084" s="34" t="str">
        <f t="shared" si="16"/>
        <v/>
      </c>
    </row>
    <row r="1085" spans="1:1" x14ac:dyDescent="0.2">
      <c r="A1085" s="34" t="str">
        <f t="shared" si="16"/>
        <v/>
      </c>
    </row>
    <row r="1086" spans="1:1" x14ac:dyDescent="0.2">
      <c r="A1086" s="34" t="str">
        <f t="shared" si="16"/>
        <v/>
      </c>
    </row>
    <row r="1087" spans="1:1" x14ac:dyDescent="0.2">
      <c r="A1087" s="34" t="str">
        <f t="shared" si="16"/>
        <v/>
      </c>
    </row>
    <row r="1088" spans="1:1" x14ac:dyDescent="0.2">
      <c r="A1088" s="34" t="str">
        <f t="shared" si="16"/>
        <v/>
      </c>
    </row>
    <row r="1089" spans="1:1" x14ac:dyDescent="0.2">
      <c r="A1089" s="34" t="str">
        <f t="shared" si="16"/>
        <v/>
      </c>
    </row>
    <row r="1090" spans="1:1" x14ac:dyDescent="0.2">
      <c r="A1090" s="34" t="str">
        <f t="shared" si="16"/>
        <v/>
      </c>
    </row>
    <row r="1091" spans="1:1" x14ac:dyDescent="0.2">
      <c r="A1091" s="34" t="str">
        <f t="shared" ref="A1091:A1154" si="17">CONCATENATE(B1091,C1091,F1091)</f>
        <v/>
      </c>
    </row>
    <row r="1092" spans="1:1" x14ac:dyDescent="0.2">
      <c r="A1092" s="34" t="str">
        <f t="shared" si="17"/>
        <v/>
      </c>
    </row>
    <row r="1093" spans="1:1" x14ac:dyDescent="0.2">
      <c r="A1093" s="34" t="str">
        <f t="shared" si="17"/>
        <v/>
      </c>
    </row>
    <row r="1094" spans="1:1" x14ac:dyDescent="0.2">
      <c r="A1094" s="34" t="str">
        <f t="shared" si="17"/>
        <v/>
      </c>
    </row>
    <row r="1095" spans="1:1" x14ac:dyDescent="0.2">
      <c r="A1095" s="34" t="str">
        <f t="shared" si="17"/>
        <v/>
      </c>
    </row>
    <row r="1096" spans="1:1" x14ac:dyDescent="0.2">
      <c r="A1096" s="34" t="str">
        <f t="shared" si="17"/>
        <v/>
      </c>
    </row>
    <row r="1097" spans="1:1" x14ac:dyDescent="0.2">
      <c r="A1097" s="34" t="str">
        <f t="shared" si="17"/>
        <v/>
      </c>
    </row>
    <row r="1098" spans="1:1" x14ac:dyDescent="0.2">
      <c r="A1098" s="34" t="str">
        <f t="shared" si="17"/>
        <v/>
      </c>
    </row>
    <row r="1099" spans="1:1" x14ac:dyDescent="0.2">
      <c r="A1099" s="34" t="str">
        <f t="shared" si="17"/>
        <v/>
      </c>
    </row>
    <row r="1100" spans="1:1" x14ac:dyDescent="0.2">
      <c r="A1100" s="34" t="str">
        <f t="shared" si="17"/>
        <v/>
      </c>
    </row>
    <row r="1101" spans="1:1" x14ac:dyDescent="0.2">
      <c r="A1101" s="34" t="str">
        <f t="shared" si="17"/>
        <v/>
      </c>
    </row>
    <row r="1102" spans="1:1" x14ac:dyDescent="0.2">
      <c r="A1102" s="34" t="str">
        <f t="shared" si="17"/>
        <v/>
      </c>
    </row>
    <row r="1103" spans="1:1" x14ac:dyDescent="0.2">
      <c r="A1103" s="34" t="str">
        <f t="shared" si="17"/>
        <v/>
      </c>
    </row>
    <row r="1104" spans="1:1" x14ac:dyDescent="0.2">
      <c r="A1104" s="34" t="str">
        <f t="shared" si="17"/>
        <v/>
      </c>
    </row>
    <row r="1105" spans="1:1" x14ac:dyDescent="0.2">
      <c r="A1105" s="34" t="str">
        <f t="shared" si="17"/>
        <v/>
      </c>
    </row>
    <row r="1106" spans="1:1" x14ac:dyDescent="0.2">
      <c r="A1106" s="34" t="str">
        <f t="shared" si="17"/>
        <v/>
      </c>
    </row>
    <row r="1107" spans="1:1" x14ac:dyDescent="0.2">
      <c r="A1107" s="34" t="str">
        <f t="shared" si="17"/>
        <v/>
      </c>
    </row>
    <row r="1108" spans="1:1" x14ac:dyDescent="0.2">
      <c r="A1108" s="34" t="str">
        <f t="shared" si="17"/>
        <v/>
      </c>
    </row>
    <row r="1109" spans="1:1" x14ac:dyDescent="0.2">
      <c r="A1109" s="34" t="str">
        <f t="shared" si="17"/>
        <v/>
      </c>
    </row>
    <row r="1110" spans="1:1" x14ac:dyDescent="0.2">
      <c r="A1110" s="34" t="str">
        <f t="shared" si="17"/>
        <v/>
      </c>
    </row>
    <row r="1111" spans="1:1" x14ac:dyDescent="0.2">
      <c r="A1111" s="34" t="str">
        <f t="shared" si="17"/>
        <v/>
      </c>
    </row>
    <row r="1112" spans="1:1" x14ac:dyDescent="0.2">
      <c r="A1112" s="34" t="str">
        <f t="shared" si="17"/>
        <v/>
      </c>
    </row>
    <row r="1113" spans="1:1" x14ac:dyDescent="0.2">
      <c r="A1113" s="34" t="str">
        <f t="shared" si="17"/>
        <v/>
      </c>
    </row>
    <row r="1114" spans="1:1" x14ac:dyDescent="0.2">
      <c r="A1114" s="34" t="str">
        <f t="shared" si="17"/>
        <v/>
      </c>
    </row>
    <row r="1115" spans="1:1" x14ac:dyDescent="0.2">
      <c r="A1115" s="34" t="str">
        <f t="shared" si="17"/>
        <v/>
      </c>
    </row>
    <row r="1116" spans="1:1" x14ac:dyDescent="0.2">
      <c r="A1116" s="34" t="str">
        <f t="shared" si="17"/>
        <v/>
      </c>
    </row>
    <row r="1117" spans="1:1" x14ac:dyDescent="0.2">
      <c r="A1117" s="34" t="str">
        <f t="shared" si="17"/>
        <v/>
      </c>
    </row>
    <row r="1118" spans="1:1" x14ac:dyDescent="0.2">
      <c r="A1118" s="34" t="str">
        <f t="shared" si="17"/>
        <v/>
      </c>
    </row>
    <row r="1119" spans="1:1" x14ac:dyDescent="0.2">
      <c r="A1119" s="34" t="str">
        <f t="shared" si="17"/>
        <v/>
      </c>
    </row>
    <row r="1120" spans="1:1" x14ac:dyDescent="0.2">
      <c r="A1120" s="34" t="str">
        <f t="shared" si="17"/>
        <v/>
      </c>
    </row>
    <row r="1121" spans="1:1" x14ac:dyDescent="0.2">
      <c r="A1121" s="34" t="str">
        <f t="shared" si="17"/>
        <v/>
      </c>
    </row>
    <row r="1122" spans="1:1" x14ac:dyDescent="0.2">
      <c r="A1122" s="34" t="str">
        <f t="shared" si="17"/>
        <v/>
      </c>
    </row>
    <row r="1123" spans="1:1" x14ac:dyDescent="0.2">
      <c r="A1123" s="34" t="str">
        <f t="shared" si="17"/>
        <v/>
      </c>
    </row>
    <row r="1124" spans="1:1" x14ac:dyDescent="0.2">
      <c r="A1124" s="34" t="str">
        <f t="shared" si="17"/>
        <v/>
      </c>
    </row>
    <row r="1125" spans="1:1" x14ac:dyDescent="0.2">
      <c r="A1125" s="34" t="str">
        <f t="shared" si="17"/>
        <v/>
      </c>
    </row>
    <row r="1126" spans="1:1" x14ac:dyDescent="0.2">
      <c r="A1126" s="34" t="str">
        <f t="shared" si="17"/>
        <v/>
      </c>
    </row>
    <row r="1127" spans="1:1" x14ac:dyDescent="0.2">
      <c r="A1127" s="34" t="str">
        <f t="shared" si="17"/>
        <v/>
      </c>
    </row>
    <row r="1128" spans="1:1" x14ac:dyDescent="0.2">
      <c r="A1128" s="34" t="str">
        <f t="shared" si="17"/>
        <v/>
      </c>
    </row>
    <row r="1129" spans="1:1" x14ac:dyDescent="0.2">
      <c r="A1129" s="34" t="str">
        <f t="shared" si="17"/>
        <v/>
      </c>
    </row>
    <row r="1130" spans="1:1" x14ac:dyDescent="0.2">
      <c r="A1130" s="34" t="str">
        <f t="shared" si="17"/>
        <v/>
      </c>
    </row>
    <row r="1131" spans="1:1" x14ac:dyDescent="0.2">
      <c r="A1131" s="34" t="str">
        <f t="shared" si="17"/>
        <v/>
      </c>
    </row>
    <row r="1132" spans="1:1" x14ac:dyDescent="0.2">
      <c r="A1132" s="34" t="str">
        <f t="shared" si="17"/>
        <v/>
      </c>
    </row>
    <row r="1133" spans="1:1" x14ac:dyDescent="0.2">
      <c r="A1133" s="34" t="str">
        <f t="shared" si="17"/>
        <v/>
      </c>
    </row>
    <row r="1134" spans="1:1" x14ac:dyDescent="0.2">
      <c r="A1134" s="34" t="str">
        <f t="shared" si="17"/>
        <v/>
      </c>
    </row>
    <row r="1135" spans="1:1" x14ac:dyDescent="0.2">
      <c r="A1135" s="34" t="str">
        <f t="shared" si="17"/>
        <v/>
      </c>
    </row>
    <row r="1136" spans="1:1" x14ac:dyDescent="0.2">
      <c r="A1136" s="34" t="str">
        <f t="shared" si="17"/>
        <v/>
      </c>
    </row>
    <row r="1137" spans="1:1" x14ac:dyDescent="0.2">
      <c r="A1137" s="34" t="str">
        <f t="shared" si="17"/>
        <v/>
      </c>
    </row>
    <row r="1138" spans="1:1" x14ac:dyDescent="0.2">
      <c r="A1138" s="34" t="str">
        <f t="shared" si="17"/>
        <v/>
      </c>
    </row>
    <row r="1139" spans="1:1" x14ac:dyDescent="0.2">
      <c r="A1139" s="34" t="str">
        <f t="shared" si="17"/>
        <v/>
      </c>
    </row>
    <row r="1140" spans="1:1" x14ac:dyDescent="0.2">
      <c r="A1140" s="34" t="str">
        <f t="shared" si="17"/>
        <v/>
      </c>
    </row>
    <row r="1141" spans="1:1" x14ac:dyDescent="0.2">
      <c r="A1141" s="34" t="str">
        <f t="shared" si="17"/>
        <v/>
      </c>
    </row>
    <row r="1142" spans="1:1" x14ac:dyDescent="0.2">
      <c r="A1142" s="34" t="str">
        <f t="shared" si="17"/>
        <v/>
      </c>
    </row>
    <row r="1143" spans="1:1" x14ac:dyDescent="0.2">
      <c r="A1143" s="34" t="str">
        <f t="shared" si="17"/>
        <v/>
      </c>
    </row>
    <row r="1144" spans="1:1" x14ac:dyDescent="0.2">
      <c r="A1144" s="34" t="str">
        <f t="shared" si="17"/>
        <v/>
      </c>
    </row>
    <row r="1145" spans="1:1" x14ac:dyDescent="0.2">
      <c r="A1145" s="34" t="str">
        <f t="shared" si="17"/>
        <v/>
      </c>
    </row>
    <row r="1146" spans="1:1" x14ac:dyDescent="0.2">
      <c r="A1146" s="34" t="str">
        <f t="shared" si="17"/>
        <v/>
      </c>
    </row>
    <row r="1147" spans="1:1" x14ac:dyDescent="0.2">
      <c r="A1147" s="34" t="str">
        <f t="shared" si="17"/>
        <v/>
      </c>
    </row>
    <row r="1148" spans="1:1" x14ac:dyDescent="0.2">
      <c r="A1148" s="34" t="str">
        <f t="shared" si="17"/>
        <v/>
      </c>
    </row>
    <row r="1149" spans="1:1" x14ac:dyDescent="0.2">
      <c r="A1149" s="34" t="str">
        <f t="shared" si="17"/>
        <v/>
      </c>
    </row>
    <row r="1150" spans="1:1" x14ac:dyDescent="0.2">
      <c r="A1150" s="34" t="str">
        <f t="shared" si="17"/>
        <v/>
      </c>
    </row>
    <row r="1151" spans="1:1" x14ac:dyDescent="0.2">
      <c r="A1151" s="34" t="str">
        <f t="shared" si="17"/>
        <v/>
      </c>
    </row>
    <row r="1152" spans="1:1" x14ac:dyDescent="0.2">
      <c r="A1152" s="34" t="str">
        <f t="shared" si="17"/>
        <v/>
      </c>
    </row>
    <row r="1153" spans="1:1" x14ac:dyDescent="0.2">
      <c r="A1153" s="34" t="str">
        <f t="shared" si="17"/>
        <v/>
      </c>
    </row>
    <row r="1154" spans="1:1" x14ac:dyDescent="0.2">
      <c r="A1154" s="34" t="str">
        <f t="shared" si="17"/>
        <v/>
      </c>
    </row>
    <row r="1155" spans="1:1" x14ac:dyDescent="0.2">
      <c r="A1155" s="34" t="str">
        <f t="shared" ref="A1155:A1218" si="18">CONCATENATE(B1155,C1155,F1155)</f>
        <v/>
      </c>
    </row>
    <row r="1156" spans="1:1" x14ac:dyDescent="0.2">
      <c r="A1156" s="34" t="str">
        <f t="shared" si="18"/>
        <v/>
      </c>
    </row>
    <row r="1157" spans="1:1" x14ac:dyDescent="0.2">
      <c r="A1157" s="34" t="str">
        <f t="shared" si="18"/>
        <v/>
      </c>
    </row>
    <row r="1158" spans="1:1" x14ac:dyDescent="0.2">
      <c r="A1158" s="34" t="str">
        <f t="shared" si="18"/>
        <v/>
      </c>
    </row>
    <row r="1159" spans="1:1" x14ac:dyDescent="0.2">
      <c r="A1159" s="34" t="str">
        <f t="shared" si="18"/>
        <v/>
      </c>
    </row>
    <row r="1160" spans="1:1" x14ac:dyDescent="0.2">
      <c r="A1160" s="34" t="str">
        <f t="shared" si="18"/>
        <v/>
      </c>
    </row>
    <row r="1161" spans="1:1" x14ac:dyDescent="0.2">
      <c r="A1161" s="34" t="str">
        <f t="shared" si="18"/>
        <v/>
      </c>
    </row>
    <row r="1162" spans="1:1" x14ac:dyDescent="0.2">
      <c r="A1162" s="34" t="str">
        <f t="shared" si="18"/>
        <v/>
      </c>
    </row>
    <row r="1163" spans="1:1" x14ac:dyDescent="0.2">
      <c r="A1163" s="34" t="str">
        <f t="shared" si="18"/>
        <v/>
      </c>
    </row>
    <row r="1164" spans="1:1" x14ac:dyDescent="0.2">
      <c r="A1164" s="34" t="str">
        <f t="shared" si="18"/>
        <v/>
      </c>
    </row>
    <row r="1165" spans="1:1" x14ac:dyDescent="0.2">
      <c r="A1165" s="34" t="str">
        <f t="shared" si="18"/>
        <v/>
      </c>
    </row>
    <row r="1166" spans="1:1" x14ac:dyDescent="0.2">
      <c r="A1166" s="34" t="str">
        <f t="shared" si="18"/>
        <v/>
      </c>
    </row>
    <row r="1167" spans="1:1" x14ac:dyDescent="0.2">
      <c r="A1167" s="34" t="str">
        <f t="shared" si="18"/>
        <v/>
      </c>
    </row>
    <row r="1168" spans="1:1" x14ac:dyDescent="0.2">
      <c r="A1168" s="34" t="str">
        <f t="shared" si="18"/>
        <v/>
      </c>
    </row>
    <row r="1169" spans="1:1" x14ac:dyDescent="0.2">
      <c r="A1169" s="34" t="str">
        <f t="shared" si="18"/>
        <v/>
      </c>
    </row>
    <row r="1170" spans="1:1" x14ac:dyDescent="0.2">
      <c r="A1170" s="34" t="str">
        <f t="shared" si="18"/>
        <v/>
      </c>
    </row>
    <row r="1171" spans="1:1" x14ac:dyDescent="0.2">
      <c r="A1171" s="34" t="str">
        <f t="shared" si="18"/>
        <v/>
      </c>
    </row>
    <row r="1172" spans="1:1" x14ac:dyDescent="0.2">
      <c r="A1172" s="34" t="str">
        <f t="shared" si="18"/>
        <v/>
      </c>
    </row>
    <row r="1173" spans="1:1" x14ac:dyDescent="0.2">
      <c r="A1173" s="34" t="str">
        <f t="shared" si="18"/>
        <v/>
      </c>
    </row>
    <row r="1174" spans="1:1" x14ac:dyDescent="0.2">
      <c r="A1174" s="34" t="str">
        <f t="shared" si="18"/>
        <v/>
      </c>
    </row>
    <row r="1175" spans="1:1" x14ac:dyDescent="0.2">
      <c r="A1175" s="34" t="str">
        <f t="shared" si="18"/>
        <v/>
      </c>
    </row>
    <row r="1176" spans="1:1" x14ac:dyDescent="0.2">
      <c r="A1176" s="34" t="str">
        <f t="shared" si="18"/>
        <v/>
      </c>
    </row>
    <row r="1177" spans="1:1" x14ac:dyDescent="0.2">
      <c r="A1177" s="34" t="str">
        <f t="shared" si="18"/>
        <v/>
      </c>
    </row>
    <row r="1178" spans="1:1" x14ac:dyDescent="0.2">
      <c r="A1178" s="34" t="str">
        <f t="shared" si="18"/>
        <v/>
      </c>
    </row>
    <row r="1179" spans="1:1" x14ac:dyDescent="0.2">
      <c r="A1179" s="34" t="str">
        <f t="shared" si="18"/>
        <v/>
      </c>
    </row>
    <row r="1180" spans="1:1" x14ac:dyDescent="0.2">
      <c r="A1180" s="34" t="str">
        <f t="shared" si="18"/>
        <v/>
      </c>
    </row>
    <row r="1181" spans="1:1" x14ac:dyDescent="0.2">
      <c r="A1181" s="34" t="str">
        <f t="shared" si="18"/>
        <v/>
      </c>
    </row>
    <row r="1182" spans="1:1" x14ac:dyDescent="0.2">
      <c r="A1182" s="34" t="str">
        <f t="shared" si="18"/>
        <v/>
      </c>
    </row>
    <row r="1183" spans="1:1" x14ac:dyDescent="0.2">
      <c r="A1183" s="34" t="str">
        <f t="shared" si="18"/>
        <v/>
      </c>
    </row>
    <row r="1184" spans="1:1" x14ac:dyDescent="0.2">
      <c r="A1184" s="34" t="str">
        <f t="shared" si="18"/>
        <v/>
      </c>
    </row>
    <row r="1185" spans="1:1" x14ac:dyDescent="0.2">
      <c r="A1185" s="34" t="str">
        <f t="shared" si="18"/>
        <v/>
      </c>
    </row>
    <row r="1186" spans="1:1" x14ac:dyDescent="0.2">
      <c r="A1186" s="34" t="str">
        <f t="shared" si="18"/>
        <v/>
      </c>
    </row>
    <row r="1187" spans="1:1" x14ac:dyDescent="0.2">
      <c r="A1187" s="34" t="str">
        <f t="shared" si="18"/>
        <v/>
      </c>
    </row>
    <row r="1188" spans="1:1" x14ac:dyDescent="0.2">
      <c r="A1188" s="34" t="str">
        <f t="shared" si="18"/>
        <v/>
      </c>
    </row>
    <row r="1189" spans="1:1" x14ac:dyDescent="0.2">
      <c r="A1189" s="34" t="str">
        <f t="shared" si="18"/>
        <v/>
      </c>
    </row>
    <row r="1190" spans="1:1" x14ac:dyDescent="0.2">
      <c r="A1190" s="34" t="str">
        <f t="shared" si="18"/>
        <v/>
      </c>
    </row>
    <row r="1191" spans="1:1" x14ac:dyDescent="0.2">
      <c r="A1191" s="34" t="str">
        <f t="shared" si="18"/>
        <v/>
      </c>
    </row>
    <row r="1192" spans="1:1" x14ac:dyDescent="0.2">
      <c r="A1192" s="34" t="str">
        <f t="shared" si="18"/>
        <v/>
      </c>
    </row>
    <row r="1193" spans="1:1" x14ac:dyDescent="0.2">
      <c r="A1193" s="34" t="str">
        <f t="shared" si="18"/>
        <v/>
      </c>
    </row>
    <row r="1194" spans="1:1" x14ac:dyDescent="0.2">
      <c r="A1194" s="34" t="str">
        <f t="shared" si="18"/>
        <v/>
      </c>
    </row>
    <row r="1195" spans="1:1" x14ac:dyDescent="0.2">
      <c r="A1195" s="34" t="str">
        <f t="shared" si="18"/>
        <v/>
      </c>
    </row>
    <row r="1196" spans="1:1" x14ac:dyDescent="0.2">
      <c r="A1196" s="34" t="str">
        <f t="shared" si="18"/>
        <v/>
      </c>
    </row>
    <row r="1197" spans="1:1" x14ac:dyDescent="0.2">
      <c r="A1197" s="34" t="str">
        <f t="shared" si="18"/>
        <v/>
      </c>
    </row>
    <row r="1198" spans="1:1" x14ac:dyDescent="0.2">
      <c r="A1198" s="34" t="str">
        <f t="shared" si="18"/>
        <v/>
      </c>
    </row>
    <row r="1199" spans="1:1" x14ac:dyDescent="0.2">
      <c r="A1199" s="34" t="str">
        <f t="shared" si="18"/>
        <v/>
      </c>
    </row>
    <row r="1200" spans="1:1" x14ac:dyDescent="0.2">
      <c r="A1200" s="34" t="str">
        <f t="shared" si="18"/>
        <v/>
      </c>
    </row>
    <row r="1201" spans="1:1" x14ac:dyDescent="0.2">
      <c r="A1201" s="34" t="str">
        <f t="shared" si="18"/>
        <v/>
      </c>
    </row>
    <row r="1202" spans="1:1" x14ac:dyDescent="0.2">
      <c r="A1202" s="34" t="str">
        <f t="shared" si="18"/>
        <v/>
      </c>
    </row>
    <row r="1203" spans="1:1" x14ac:dyDescent="0.2">
      <c r="A1203" s="34" t="str">
        <f t="shared" si="18"/>
        <v/>
      </c>
    </row>
    <row r="1204" spans="1:1" x14ac:dyDescent="0.2">
      <c r="A1204" s="34" t="str">
        <f t="shared" si="18"/>
        <v/>
      </c>
    </row>
    <row r="1205" spans="1:1" x14ac:dyDescent="0.2">
      <c r="A1205" s="34" t="str">
        <f t="shared" si="18"/>
        <v/>
      </c>
    </row>
    <row r="1206" spans="1:1" x14ac:dyDescent="0.2">
      <c r="A1206" s="34" t="str">
        <f t="shared" si="18"/>
        <v/>
      </c>
    </row>
    <row r="1207" spans="1:1" x14ac:dyDescent="0.2">
      <c r="A1207" s="34" t="str">
        <f t="shared" si="18"/>
        <v/>
      </c>
    </row>
    <row r="1208" spans="1:1" x14ac:dyDescent="0.2">
      <c r="A1208" s="34" t="str">
        <f t="shared" si="18"/>
        <v/>
      </c>
    </row>
    <row r="1209" spans="1:1" x14ac:dyDescent="0.2">
      <c r="A1209" s="34" t="str">
        <f t="shared" si="18"/>
        <v/>
      </c>
    </row>
    <row r="1210" spans="1:1" x14ac:dyDescent="0.2">
      <c r="A1210" s="34" t="str">
        <f t="shared" si="18"/>
        <v/>
      </c>
    </row>
    <row r="1211" spans="1:1" x14ac:dyDescent="0.2">
      <c r="A1211" s="34" t="str">
        <f t="shared" si="18"/>
        <v/>
      </c>
    </row>
    <row r="1212" spans="1:1" x14ac:dyDescent="0.2">
      <c r="A1212" s="34" t="str">
        <f t="shared" si="18"/>
        <v/>
      </c>
    </row>
    <row r="1213" spans="1:1" x14ac:dyDescent="0.2">
      <c r="A1213" s="34" t="str">
        <f t="shared" si="18"/>
        <v/>
      </c>
    </row>
    <row r="1214" spans="1:1" x14ac:dyDescent="0.2">
      <c r="A1214" s="34" t="str">
        <f t="shared" si="18"/>
        <v/>
      </c>
    </row>
    <row r="1215" spans="1:1" x14ac:dyDescent="0.2">
      <c r="A1215" s="34" t="str">
        <f t="shared" si="18"/>
        <v/>
      </c>
    </row>
    <row r="1216" spans="1:1" x14ac:dyDescent="0.2">
      <c r="A1216" s="34" t="str">
        <f t="shared" si="18"/>
        <v/>
      </c>
    </row>
    <row r="1217" spans="1:1" x14ac:dyDescent="0.2">
      <c r="A1217" s="34" t="str">
        <f t="shared" si="18"/>
        <v/>
      </c>
    </row>
    <row r="1218" spans="1:1" x14ac:dyDescent="0.2">
      <c r="A1218" s="34" t="str">
        <f t="shared" si="18"/>
        <v/>
      </c>
    </row>
    <row r="1219" spans="1:1" x14ac:dyDescent="0.2">
      <c r="A1219" s="34" t="str">
        <f t="shared" ref="A1219:A1282" si="19">CONCATENATE(B1219,C1219,F1219)</f>
        <v/>
      </c>
    </row>
    <row r="1220" spans="1:1" x14ac:dyDescent="0.2">
      <c r="A1220" s="34" t="str">
        <f t="shared" si="19"/>
        <v/>
      </c>
    </row>
    <row r="1221" spans="1:1" x14ac:dyDescent="0.2">
      <c r="A1221" s="34" t="str">
        <f t="shared" si="19"/>
        <v/>
      </c>
    </row>
    <row r="1222" spans="1:1" x14ac:dyDescent="0.2">
      <c r="A1222" s="34" t="str">
        <f t="shared" si="19"/>
        <v/>
      </c>
    </row>
    <row r="1223" spans="1:1" x14ac:dyDescent="0.2">
      <c r="A1223" s="34" t="str">
        <f t="shared" si="19"/>
        <v/>
      </c>
    </row>
    <row r="1224" spans="1:1" x14ac:dyDescent="0.2">
      <c r="A1224" s="34" t="str">
        <f t="shared" si="19"/>
        <v/>
      </c>
    </row>
    <row r="1225" spans="1:1" x14ac:dyDescent="0.2">
      <c r="A1225" s="34" t="str">
        <f t="shared" si="19"/>
        <v/>
      </c>
    </row>
    <row r="1226" spans="1:1" x14ac:dyDescent="0.2">
      <c r="A1226" s="34" t="str">
        <f t="shared" si="19"/>
        <v/>
      </c>
    </row>
    <row r="1227" spans="1:1" x14ac:dyDescent="0.2">
      <c r="A1227" s="34" t="str">
        <f t="shared" si="19"/>
        <v/>
      </c>
    </row>
    <row r="1228" spans="1:1" x14ac:dyDescent="0.2">
      <c r="A1228" s="34" t="str">
        <f t="shared" si="19"/>
        <v/>
      </c>
    </row>
    <row r="1229" spans="1:1" x14ac:dyDescent="0.2">
      <c r="A1229" s="34" t="str">
        <f t="shared" si="19"/>
        <v/>
      </c>
    </row>
    <row r="1230" spans="1:1" x14ac:dyDescent="0.2">
      <c r="A1230" s="34" t="str">
        <f t="shared" si="19"/>
        <v/>
      </c>
    </row>
    <row r="1231" spans="1:1" x14ac:dyDescent="0.2">
      <c r="A1231" s="34" t="str">
        <f t="shared" si="19"/>
        <v/>
      </c>
    </row>
    <row r="1232" spans="1:1" x14ac:dyDescent="0.2">
      <c r="A1232" s="34" t="str">
        <f t="shared" si="19"/>
        <v/>
      </c>
    </row>
    <row r="1233" spans="1:1" x14ac:dyDescent="0.2">
      <c r="A1233" s="34" t="str">
        <f t="shared" si="19"/>
        <v/>
      </c>
    </row>
    <row r="1234" spans="1:1" x14ac:dyDescent="0.2">
      <c r="A1234" s="34" t="str">
        <f t="shared" si="19"/>
        <v/>
      </c>
    </row>
    <row r="1235" spans="1:1" x14ac:dyDescent="0.2">
      <c r="A1235" s="34" t="str">
        <f t="shared" si="19"/>
        <v/>
      </c>
    </row>
    <row r="1236" spans="1:1" x14ac:dyDescent="0.2">
      <c r="A1236" s="34" t="str">
        <f t="shared" si="19"/>
        <v/>
      </c>
    </row>
    <row r="1237" spans="1:1" x14ac:dyDescent="0.2">
      <c r="A1237" s="34" t="str">
        <f t="shared" si="19"/>
        <v/>
      </c>
    </row>
    <row r="1238" spans="1:1" x14ac:dyDescent="0.2">
      <c r="A1238" s="34" t="str">
        <f t="shared" si="19"/>
        <v/>
      </c>
    </row>
    <row r="1239" spans="1:1" x14ac:dyDescent="0.2">
      <c r="A1239" s="34" t="str">
        <f t="shared" si="19"/>
        <v/>
      </c>
    </row>
    <row r="1240" spans="1:1" x14ac:dyDescent="0.2">
      <c r="A1240" s="34" t="str">
        <f t="shared" si="19"/>
        <v/>
      </c>
    </row>
    <row r="1241" spans="1:1" x14ac:dyDescent="0.2">
      <c r="A1241" s="34" t="str">
        <f t="shared" si="19"/>
        <v/>
      </c>
    </row>
    <row r="1242" spans="1:1" x14ac:dyDescent="0.2">
      <c r="A1242" s="34" t="str">
        <f t="shared" si="19"/>
        <v/>
      </c>
    </row>
    <row r="1243" spans="1:1" x14ac:dyDescent="0.2">
      <c r="A1243" s="34" t="str">
        <f t="shared" si="19"/>
        <v/>
      </c>
    </row>
    <row r="1244" spans="1:1" x14ac:dyDescent="0.2">
      <c r="A1244" s="34" t="str">
        <f t="shared" si="19"/>
        <v/>
      </c>
    </row>
    <row r="1245" spans="1:1" x14ac:dyDescent="0.2">
      <c r="A1245" s="34" t="str">
        <f t="shared" si="19"/>
        <v/>
      </c>
    </row>
    <row r="1246" spans="1:1" x14ac:dyDescent="0.2">
      <c r="A1246" s="34" t="str">
        <f t="shared" si="19"/>
        <v/>
      </c>
    </row>
    <row r="1247" spans="1:1" x14ac:dyDescent="0.2">
      <c r="A1247" s="34" t="str">
        <f t="shared" si="19"/>
        <v/>
      </c>
    </row>
    <row r="1248" spans="1:1" x14ac:dyDescent="0.2">
      <c r="A1248" s="34" t="str">
        <f t="shared" si="19"/>
        <v/>
      </c>
    </row>
    <row r="1249" spans="1:1" x14ac:dyDescent="0.2">
      <c r="A1249" s="34" t="str">
        <f t="shared" si="19"/>
        <v/>
      </c>
    </row>
    <row r="1250" spans="1:1" x14ac:dyDescent="0.2">
      <c r="A1250" s="34" t="str">
        <f t="shared" si="19"/>
        <v/>
      </c>
    </row>
    <row r="1251" spans="1:1" x14ac:dyDescent="0.2">
      <c r="A1251" s="34" t="str">
        <f t="shared" si="19"/>
        <v/>
      </c>
    </row>
    <row r="1252" spans="1:1" x14ac:dyDescent="0.2">
      <c r="A1252" s="34" t="str">
        <f t="shared" si="19"/>
        <v/>
      </c>
    </row>
    <row r="1253" spans="1:1" x14ac:dyDescent="0.2">
      <c r="A1253" s="34" t="str">
        <f t="shared" si="19"/>
        <v/>
      </c>
    </row>
    <row r="1254" spans="1:1" x14ac:dyDescent="0.2">
      <c r="A1254" s="34" t="str">
        <f t="shared" si="19"/>
        <v/>
      </c>
    </row>
    <row r="1255" spans="1:1" x14ac:dyDescent="0.2">
      <c r="A1255" s="34" t="str">
        <f t="shared" si="19"/>
        <v/>
      </c>
    </row>
    <row r="1256" spans="1:1" x14ac:dyDescent="0.2">
      <c r="A1256" s="34" t="str">
        <f t="shared" si="19"/>
        <v/>
      </c>
    </row>
    <row r="1257" spans="1:1" x14ac:dyDescent="0.2">
      <c r="A1257" s="34" t="str">
        <f t="shared" si="19"/>
        <v/>
      </c>
    </row>
    <row r="1258" spans="1:1" x14ac:dyDescent="0.2">
      <c r="A1258" s="34" t="str">
        <f t="shared" si="19"/>
        <v/>
      </c>
    </row>
    <row r="1259" spans="1:1" x14ac:dyDescent="0.2">
      <c r="A1259" s="34" t="str">
        <f t="shared" si="19"/>
        <v/>
      </c>
    </row>
    <row r="1260" spans="1:1" x14ac:dyDescent="0.2">
      <c r="A1260" s="34" t="str">
        <f t="shared" si="19"/>
        <v/>
      </c>
    </row>
    <row r="1261" spans="1:1" x14ac:dyDescent="0.2">
      <c r="A1261" s="34" t="str">
        <f t="shared" si="19"/>
        <v/>
      </c>
    </row>
    <row r="1262" spans="1:1" x14ac:dyDescent="0.2">
      <c r="A1262" s="34" t="str">
        <f t="shared" si="19"/>
        <v/>
      </c>
    </row>
    <row r="1263" spans="1:1" x14ac:dyDescent="0.2">
      <c r="A1263" s="34" t="str">
        <f t="shared" si="19"/>
        <v/>
      </c>
    </row>
    <row r="1264" spans="1:1" x14ac:dyDescent="0.2">
      <c r="A1264" s="34" t="str">
        <f t="shared" si="19"/>
        <v/>
      </c>
    </row>
    <row r="1265" spans="1:1" x14ac:dyDescent="0.2">
      <c r="A1265" s="34" t="str">
        <f t="shared" si="19"/>
        <v/>
      </c>
    </row>
    <row r="1266" spans="1:1" x14ac:dyDescent="0.2">
      <c r="A1266" s="34" t="str">
        <f t="shared" si="19"/>
        <v/>
      </c>
    </row>
    <row r="1267" spans="1:1" x14ac:dyDescent="0.2">
      <c r="A1267" s="34" t="str">
        <f t="shared" si="19"/>
        <v/>
      </c>
    </row>
    <row r="1268" spans="1:1" x14ac:dyDescent="0.2">
      <c r="A1268" s="34" t="str">
        <f t="shared" si="19"/>
        <v/>
      </c>
    </row>
    <row r="1269" spans="1:1" x14ac:dyDescent="0.2">
      <c r="A1269" s="34" t="str">
        <f t="shared" si="19"/>
        <v/>
      </c>
    </row>
    <row r="1270" spans="1:1" x14ac:dyDescent="0.2">
      <c r="A1270" s="34" t="str">
        <f t="shared" si="19"/>
        <v/>
      </c>
    </row>
    <row r="1271" spans="1:1" x14ac:dyDescent="0.2">
      <c r="A1271" s="34" t="str">
        <f t="shared" si="19"/>
        <v/>
      </c>
    </row>
    <row r="1272" spans="1:1" x14ac:dyDescent="0.2">
      <c r="A1272" s="34" t="str">
        <f t="shared" si="19"/>
        <v/>
      </c>
    </row>
    <row r="1273" spans="1:1" x14ac:dyDescent="0.2">
      <c r="A1273" s="34" t="str">
        <f t="shared" si="19"/>
        <v/>
      </c>
    </row>
    <row r="1274" spans="1:1" x14ac:dyDescent="0.2">
      <c r="A1274" s="34" t="str">
        <f t="shared" si="19"/>
        <v/>
      </c>
    </row>
    <row r="1275" spans="1:1" x14ac:dyDescent="0.2">
      <c r="A1275" s="34" t="str">
        <f t="shared" si="19"/>
        <v/>
      </c>
    </row>
    <row r="1276" spans="1:1" x14ac:dyDescent="0.2">
      <c r="A1276" s="34" t="str">
        <f t="shared" si="19"/>
        <v/>
      </c>
    </row>
    <row r="1277" spans="1:1" x14ac:dyDescent="0.2">
      <c r="A1277" s="34" t="str">
        <f t="shared" si="19"/>
        <v/>
      </c>
    </row>
    <row r="1278" spans="1:1" x14ac:dyDescent="0.2">
      <c r="A1278" s="34" t="str">
        <f t="shared" si="19"/>
        <v/>
      </c>
    </row>
    <row r="1279" spans="1:1" x14ac:dyDescent="0.2">
      <c r="A1279" s="34" t="str">
        <f t="shared" si="19"/>
        <v/>
      </c>
    </row>
    <row r="1280" spans="1:1" x14ac:dyDescent="0.2">
      <c r="A1280" s="34" t="str">
        <f t="shared" si="19"/>
        <v/>
      </c>
    </row>
    <row r="1281" spans="1:1" x14ac:dyDescent="0.2">
      <c r="A1281" s="34" t="str">
        <f t="shared" si="19"/>
        <v/>
      </c>
    </row>
    <row r="1282" spans="1:1" x14ac:dyDescent="0.2">
      <c r="A1282" s="34" t="str">
        <f t="shared" si="19"/>
        <v/>
      </c>
    </row>
    <row r="1283" spans="1:1" x14ac:dyDescent="0.2">
      <c r="A1283" s="34" t="str">
        <f t="shared" ref="A1283:A1314" si="20">CONCATENATE(B1283,C1283,F1283)</f>
        <v/>
      </c>
    </row>
    <row r="1284" spans="1:1" x14ac:dyDescent="0.2">
      <c r="A1284" s="34" t="str">
        <f t="shared" si="20"/>
        <v/>
      </c>
    </row>
    <row r="1285" spans="1:1" x14ac:dyDescent="0.2">
      <c r="A1285" s="34" t="str">
        <f t="shared" si="20"/>
        <v/>
      </c>
    </row>
    <row r="1286" spans="1:1" x14ac:dyDescent="0.2">
      <c r="A1286" s="34" t="str">
        <f t="shared" si="20"/>
        <v/>
      </c>
    </row>
    <row r="1287" spans="1:1" x14ac:dyDescent="0.2">
      <c r="A1287" s="34" t="str">
        <f t="shared" si="20"/>
        <v/>
      </c>
    </row>
    <row r="1288" spans="1:1" x14ac:dyDescent="0.2">
      <c r="A1288" s="34" t="str">
        <f t="shared" si="20"/>
        <v/>
      </c>
    </row>
    <row r="1289" spans="1:1" x14ac:dyDescent="0.2">
      <c r="A1289" s="34" t="str">
        <f t="shared" si="20"/>
        <v/>
      </c>
    </row>
    <row r="1290" spans="1:1" x14ac:dyDescent="0.2">
      <c r="A1290" s="34" t="str">
        <f t="shared" si="20"/>
        <v/>
      </c>
    </row>
    <row r="1291" spans="1:1" x14ac:dyDescent="0.2">
      <c r="A1291" s="34" t="str">
        <f t="shared" si="20"/>
        <v/>
      </c>
    </row>
    <row r="1292" spans="1:1" x14ac:dyDescent="0.2">
      <c r="A1292" s="34" t="str">
        <f t="shared" si="20"/>
        <v/>
      </c>
    </row>
    <row r="1293" spans="1:1" x14ac:dyDescent="0.2">
      <c r="A1293" s="34" t="str">
        <f t="shared" si="20"/>
        <v/>
      </c>
    </row>
    <row r="1294" spans="1:1" x14ac:dyDescent="0.2">
      <c r="A1294" s="34" t="str">
        <f t="shared" si="20"/>
        <v/>
      </c>
    </row>
    <row r="1295" spans="1:1" x14ac:dyDescent="0.2">
      <c r="A1295" s="34" t="str">
        <f t="shared" si="20"/>
        <v/>
      </c>
    </row>
    <row r="1296" spans="1:1" x14ac:dyDescent="0.2">
      <c r="A1296" s="34" t="str">
        <f t="shared" si="20"/>
        <v/>
      </c>
    </row>
    <row r="1297" spans="1:1" x14ac:dyDescent="0.2">
      <c r="A1297" s="34" t="str">
        <f t="shared" si="20"/>
        <v/>
      </c>
    </row>
    <row r="1298" spans="1:1" x14ac:dyDescent="0.2">
      <c r="A1298" s="34" t="str">
        <f t="shared" si="20"/>
        <v/>
      </c>
    </row>
    <row r="1299" spans="1:1" x14ac:dyDescent="0.2">
      <c r="A1299" s="34" t="str">
        <f t="shared" si="20"/>
        <v/>
      </c>
    </row>
    <row r="1300" spans="1:1" x14ac:dyDescent="0.2">
      <c r="A1300" s="34" t="str">
        <f t="shared" si="20"/>
        <v/>
      </c>
    </row>
    <row r="1301" spans="1:1" x14ac:dyDescent="0.2">
      <c r="A1301" s="34" t="str">
        <f t="shared" si="20"/>
        <v/>
      </c>
    </row>
    <row r="1302" spans="1:1" x14ac:dyDescent="0.2">
      <c r="A1302" s="34" t="str">
        <f t="shared" si="20"/>
        <v/>
      </c>
    </row>
    <row r="1303" spans="1:1" x14ac:dyDescent="0.2">
      <c r="A1303" s="34" t="str">
        <f t="shared" si="20"/>
        <v/>
      </c>
    </row>
    <row r="1304" spans="1:1" x14ac:dyDescent="0.2">
      <c r="A1304" s="34" t="str">
        <f t="shared" si="20"/>
        <v/>
      </c>
    </row>
    <row r="1305" spans="1:1" x14ac:dyDescent="0.2">
      <c r="A1305" s="34" t="str">
        <f t="shared" si="20"/>
        <v/>
      </c>
    </row>
    <row r="1306" spans="1:1" x14ac:dyDescent="0.2">
      <c r="A1306" s="34" t="str">
        <f t="shared" si="20"/>
        <v/>
      </c>
    </row>
    <row r="1307" spans="1:1" x14ac:dyDescent="0.2">
      <c r="A1307" s="34" t="str">
        <f t="shared" si="20"/>
        <v/>
      </c>
    </row>
    <row r="1308" spans="1:1" x14ac:dyDescent="0.2">
      <c r="A1308" s="34" t="str">
        <f t="shared" si="20"/>
        <v/>
      </c>
    </row>
    <row r="1309" spans="1:1" x14ac:dyDescent="0.2">
      <c r="A1309" s="34" t="str">
        <f t="shared" si="20"/>
        <v/>
      </c>
    </row>
    <row r="1310" spans="1:1" x14ac:dyDescent="0.2">
      <c r="A1310" s="34" t="str">
        <f t="shared" si="20"/>
        <v/>
      </c>
    </row>
    <row r="1311" spans="1:1" x14ac:dyDescent="0.2">
      <c r="A1311" s="34" t="str">
        <f t="shared" si="20"/>
        <v/>
      </c>
    </row>
    <row r="1312" spans="1:1" x14ac:dyDescent="0.2">
      <c r="A1312" s="34" t="str">
        <f t="shared" si="20"/>
        <v/>
      </c>
    </row>
    <row r="1313" spans="1:1" x14ac:dyDescent="0.2">
      <c r="A1313" s="34" t="str">
        <f t="shared" si="20"/>
        <v/>
      </c>
    </row>
    <row r="1314" spans="1:1" x14ac:dyDescent="0.2">
      <c r="A1314" s="34" t="str">
        <f t="shared" si="20"/>
        <v/>
      </c>
    </row>
  </sheetData>
  <sheetProtection password="9F17" sheet="1" objects="1" scenarios="1"/>
  <mergeCells count="36">
    <mergeCell ref="D62:D63"/>
    <mergeCell ref="E62:E63"/>
    <mergeCell ref="D65:D66"/>
    <mergeCell ref="E65:E66"/>
    <mergeCell ref="D69:D70"/>
    <mergeCell ref="E69:E70"/>
    <mergeCell ref="D52:D55"/>
    <mergeCell ref="E52:E55"/>
    <mergeCell ref="D56:D57"/>
    <mergeCell ref="E56:E57"/>
    <mergeCell ref="D58:D61"/>
    <mergeCell ref="E58:E61"/>
    <mergeCell ref="D37:D40"/>
    <mergeCell ref="D42:D43"/>
    <mergeCell ref="D44:D46"/>
    <mergeCell ref="D47:D51"/>
    <mergeCell ref="E50:E51"/>
    <mergeCell ref="D27:D28"/>
    <mergeCell ref="E27:E28"/>
    <mergeCell ref="D29:D30"/>
    <mergeCell ref="E29:E30"/>
    <mergeCell ref="D31:D32"/>
    <mergeCell ref="E31:E32"/>
    <mergeCell ref="D19:D20"/>
    <mergeCell ref="E19:E20"/>
    <mergeCell ref="D21:D22"/>
    <mergeCell ref="E21:E22"/>
    <mergeCell ref="D23:D26"/>
    <mergeCell ref="E23:E26"/>
    <mergeCell ref="D2:D4"/>
    <mergeCell ref="D5:D6"/>
    <mergeCell ref="D7:D8"/>
    <mergeCell ref="E7:E8"/>
    <mergeCell ref="D9:D15"/>
    <mergeCell ref="E9:E11"/>
    <mergeCell ref="E13:E15"/>
  </mergeCells>
  <pageMargins left="0.7" right="0.7" top="0.75" bottom="0.75" header="0.3" footer="0.3"/>
  <pageSetup paperSize="9" orientation="landscape" r:id="rId1"/>
  <headerFooter>
    <oddHeader>&amp;L&amp;G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3"/>
  <sheetViews>
    <sheetView workbookViewId="0">
      <selection activeCell="A2" sqref="A2:H1753"/>
    </sheetView>
  </sheetViews>
  <sheetFormatPr baseColWidth="10" defaultRowHeight="15" x14ac:dyDescent="0.25"/>
  <cols>
    <col min="1" max="1" width="10.140625" style="15" bestFit="1" customWidth="1"/>
    <col min="2" max="2" width="29" style="15" bestFit="1" customWidth="1"/>
    <col min="3" max="3" width="49.7109375" style="15" bestFit="1" customWidth="1"/>
    <col min="4" max="4" width="32.5703125" style="15" bestFit="1" customWidth="1"/>
    <col min="5" max="5" width="4.140625" style="15" bestFit="1" customWidth="1"/>
    <col min="6" max="6" width="5.28515625" style="15" bestFit="1" customWidth="1"/>
    <col min="7" max="7" width="25.85546875" style="15" bestFit="1" customWidth="1"/>
    <col min="8" max="8" width="34.85546875" style="15" bestFit="1" customWidth="1"/>
    <col min="9" max="16384" width="11.42578125" style="15"/>
  </cols>
  <sheetData>
    <row r="1" spans="1:8" x14ac:dyDescent="0.25">
      <c r="A1" s="24" t="s">
        <v>3744</v>
      </c>
      <c r="B1" s="25" t="s">
        <v>3745</v>
      </c>
      <c r="C1" s="25" t="s">
        <v>3746</v>
      </c>
      <c r="D1" s="25" t="s">
        <v>3747</v>
      </c>
      <c r="E1" s="26" t="s">
        <v>3748</v>
      </c>
      <c r="F1" s="25" t="s">
        <v>3749</v>
      </c>
      <c r="G1" s="26" t="s">
        <v>3750</v>
      </c>
      <c r="H1" s="26" t="s">
        <v>3751</v>
      </c>
    </row>
    <row r="2" spans="1:8" x14ac:dyDescent="0.25">
      <c r="A2" s="16" t="s">
        <v>16</v>
      </c>
      <c r="B2" s="17" t="s">
        <v>17</v>
      </c>
      <c r="C2" s="17" t="s">
        <v>3752</v>
      </c>
      <c r="D2" s="17" t="s">
        <v>3753</v>
      </c>
      <c r="E2" s="17">
        <v>1</v>
      </c>
      <c r="F2" s="16">
        <v>1</v>
      </c>
      <c r="G2" s="17" t="s">
        <v>18</v>
      </c>
      <c r="H2" s="17" t="s">
        <v>19</v>
      </c>
    </row>
    <row r="3" spans="1:8" x14ac:dyDescent="0.25">
      <c r="A3" s="16" t="s">
        <v>20</v>
      </c>
      <c r="B3" s="17" t="s">
        <v>21</v>
      </c>
      <c r="C3" s="17" t="s">
        <v>3754</v>
      </c>
      <c r="D3" s="17" t="s">
        <v>3755</v>
      </c>
      <c r="E3" s="17">
        <v>1</v>
      </c>
      <c r="F3" s="16">
        <v>1</v>
      </c>
      <c r="G3" s="17" t="s">
        <v>18</v>
      </c>
      <c r="H3" s="17" t="s">
        <v>19</v>
      </c>
    </row>
    <row r="4" spans="1:8" x14ac:dyDescent="0.25">
      <c r="A4" s="16" t="s">
        <v>22</v>
      </c>
      <c r="B4" s="17" t="s">
        <v>23</v>
      </c>
      <c r="C4" s="17" t="s">
        <v>3756</v>
      </c>
      <c r="D4" s="17" t="s">
        <v>3757</v>
      </c>
      <c r="E4" s="17">
        <v>1</v>
      </c>
      <c r="F4" s="16">
        <v>1</v>
      </c>
      <c r="G4" s="17" t="s">
        <v>18</v>
      </c>
      <c r="H4" s="17" t="s">
        <v>24</v>
      </c>
    </row>
    <row r="5" spans="1:8" x14ac:dyDescent="0.25">
      <c r="A5" s="16" t="s">
        <v>25</v>
      </c>
      <c r="B5" s="17" t="s">
        <v>26</v>
      </c>
      <c r="C5" s="17" t="s">
        <v>3758</v>
      </c>
      <c r="D5" s="17" t="s">
        <v>3759</v>
      </c>
      <c r="E5" s="17">
        <v>1</v>
      </c>
      <c r="F5" s="16">
        <v>1</v>
      </c>
      <c r="G5" s="17" t="s">
        <v>18</v>
      </c>
      <c r="H5" s="17" t="s">
        <v>27</v>
      </c>
    </row>
    <row r="6" spans="1:8" x14ac:dyDescent="0.25">
      <c r="A6" s="16" t="s">
        <v>6112</v>
      </c>
      <c r="B6" s="17" t="s">
        <v>166</v>
      </c>
      <c r="C6" s="17"/>
      <c r="D6" s="28" t="s">
        <v>6113</v>
      </c>
      <c r="E6" s="17">
        <v>70</v>
      </c>
      <c r="F6" s="16">
        <v>10</v>
      </c>
      <c r="G6" s="17" t="s">
        <v>61</v>
      </c>
      <c r="H6" s="17" t="s">
        <v>61</v>
      </c>
    </row>
    <row r="7" spans="1:8" x14ac:dyDescent="0.25">
      <c r="A7" s="16" t="s">
        <v>28</v>
      </c>
      <c r="B7" s="17" t="s">
        <v>29</v>
      </c>
      <c r="C7" s="17" t="s">
        <v>3760</v>
      </c>
      <c r="D7" s="17" t="s">
        <v>3761</v>
      </c>
      <c r="E7" s="17">
        <v>1</v>
      </c>
      <c r="F7" s="16">
        <v>1</v>
      </c>
      <c r="G7" s="17" t="s">
        <v>18</v>
      </c>
      <c r="H7" s="17" t="s">
        <v>30</v>
      </c>
    </row>
    <row r="8" spans="1:8" x14ac:dyDescent="0.25">
      <c r="A8" s="16" t="s">
        <v>31</v>
      </c>
      <c r="B8" s="17" t="s">
        <v>32</v>
      </c>
      <c r="C8" s="17" t="s">
        <v>3762</v>
      </c>
      <c r="D8" s="17" t="s">
        <v>3763</v>
      </c>
      <c r="E8" s="17">
        <v>1</v>
      </c>
      <c r="F8" s="16">
        <v>1</v>
      </c>
      <c r="G8" s="17" t="s">
        <v>18</v>
      </c>
      <c r="H8" s="17" t="s">
        <v>33</v>
      </c>
    </row>
    <row r="9" spans="1:8" x14ac:dyDescent="0.25">
      <c r="A9" s="16" t="s">
        <v>34</v>
      </c>
      <c r="B9" s="17" t="s">
        <v>35</v>
      </c>
      <c r="C9" s="17" t="s">
        <v>3764</v>
      </c>
      <c r="D9" s="17" t="s">
        <v>3765</v>
      </c>
      <c r="E9" s="17">
        <v>1</v>
      </c>
      <c r="F9" s="16">
        <v>1</v>
      </c>
      <c r="G9" s="17" t="s">
        <v>18</v>
      </c>
      <c r="H9" s="17" t="s">
        <v>36</v>
      </c>
    </row>
    <row r="10" spans="1:8" x14ac:dyDescent="0.25">
      <c r="A10" s="16" t="s">
        <v>37</v>
      </c>
      <c r="B10" s="17" t="s">
        <v>38</v>
      </c>
      <c r="C10" s="17" t="s">
        <v>3766</v>
      </c>
      <c r="D10" s="17" t="s">
        <v>3767</v>
      </c>
      <c r="E10" s="17">
        <v>1</v>
      </c>
      <c r="F10" s="16">
        <v>1</v>
      </c>
      <c r="G10" s="17" t="s">
        <v>18</v>
      </c>
      <c r="H10" s="17" t="s">
        <v>39</v>
      </c>
    </row>
    <row r="11" spans="1:8" x14ac:dyDescent="0.25">
      <c r="A11" s="16" t="s">
        <v>40</v>
      </c>
      <c r="B11" s="17" t="s">
        <v>41</v>
      </c>
      <c r="C11" s="17" t="s">
        <v>3768</v>
      </c>
      <c r="D11" s="17" t="s">
        <v>3769</v>
      </c>
      <c r="E11" s="17">
        <v>1</v>
      </c>
      <c r="F11" s="16">
        <v>1</v>
      </c>
      <c r="G11" s="17" t="s">
        <v>18</v>
      </c>
      <c r="H11" s="17" t="s">
        <v>42</v>
      </c>
    </row>
    <row r="12" spans="1:8" x14ac:dyDescent="0.25">
      <c r="A12" s="16" t="s">
        <v>43</v>
      </c>
      <c r="B12" s="17" t="s">
        <v>23</v>
      </c>
      <c r="C12" s="17" t="s">
        <v>3766</v>
      </c>
      <c r="D12" s="17" t="s">
        <v>3770</v>
      </c>
      <c r="E12" s="17">
        <v>1</v>
      </c>
      <c r="F12" s="16">
        <v>1</v>
      </c>
      <c r="G12" s="17" t="s">
        <v>18</v>
      </c>
      <c r="H12" s="17" t="s">
        <v>44</v>
      </c>
    </row>
    <row r="13" spans="1:8" x14ac:dyDescent="0.25">
      <c r="A13" s="16" t="s">
        <v>45</v>
      </c>
      <c r="B13" s="17" t="s">
        <v>46</v>
      </c>
      <c r="C13" s="17" t="s">
        <v>3766</v>
      </c>
      <c r="D13" s="17" t="s">
        <v>3771</v>
      </c>
      <c r="E13" s="17">
        <v>1</v>
      </c>
      <c r="F13" s="16">
        <v>1</v>
      </c>
      <c r="G13" s="17" t="s">
        <v>18</v>
      </c>
      <c r="H13" s="17" t="s">
        <v>47</v>
      </c>
    </row>
    <row r="14" spans="1:8" x14ac:dyDescent="0.25">
      <c r="A14" s="16" t="s">
        <v>48</v>
      </c>
      <c r="B14" s="17" t="s">
        <v>49</v>
      </c>
      <c r="C14" s="17" t="s">
        <v>3772</v>
      </c>
      <c r="D14" s="17" t="s">
        <v>3773</v>
      </c>
      <c r="E14" s="17">
        <v>1</v>
      </c>
      <c r="F14" s="16">
        <v>1</v>
      </c>
      <c r="G14" s="17" t="s">
        <v>18</v>
      </c>
      <c r="H14" s="17" t="s">
        <v>50</v>
      </c>
    </row>
    <row r="15" spans="1:8" x14ac:dyDescent="0.25">
      <c r="A15" s="16" t="s">
        <v>51</v>
      </c>
      <c r="B15" s="17" t="s">
        <v>23</v>
      </c>
      <c r="C15" s="17" t="s">
        <v>3774</v>
      </c>
      <c r="D15" s="17" t="s">
        <v>3775</v>
      </c>
      <c r="E15" s="17">
        <v>1</v>
      </c>
      <c r="F15" s="16">
        <v>1</v>
      </c>
      <c r="G15" s="17" t="s">
        <v>18</v>
      </c>
      <c r="H15" s="17" t="s">
        <v>52</v>
      </c>
    </row>
    <row r="16" spans="1:8" x14ac:dyDescent="0.25">
      <c r="A16" s="16" t="s">
        <v>53</v>
      </c>
      <c r="B16" s="17" t="s">
        <v>54</v>
      </c>
      <c r="C16" s="17" t="s">
        <v>3776</v>
      </c>
      <c r="D16" s="17" t="s">
        <v>3777</v>
      </c>
      <c r="E16" s="17">
        <v>1</v>
      </c>
      <c r="F16" s="16">
        <v>1</v>
      </c>
      <c r="G16" s="17" t="s">
        <v>18</v>
      </c>
      <c r="H16" s="17" t="s">
        <v>55</v>
      </c>
    </row>
    <row r="17" spans="1:8" x14ac:dyDescent="0.25">
      <c r="A17" s="16" t="s">
        <v>56</v>
      </c>
      <c r="B17" s="17" t="s">
        <v>57</v>
      </c>
      <c r="C17" s="17" t="s">
        <v>3766</v>
      </c>
      <c r="D17" s="17" t="s">
        <v>3778</v>
      </c>
      <c r="E17" s="17">
        <v>1</v>
      </c>
      <c r="F17" s="16">
        <v>1</v>
      </c>
      <c r="G17" s="17" t="s">
        <v>18</v>
      </c>
      <c r="H17" s="17" t="s">
        <v>58</v>
      </c>
    </row>
    <row r="18" spans="1:8" x14ac:dyDescent="0.25">
      <c r="A18" s="16" t="s">
        <v>59</v>
      </c>
      <c r="B18" s="17" t="s">
        <v>60</v>
      </c>
      <c r="C18" s="17" t="s">
        <v>3779</v>
      </c>
      <c r="D18" s="17" t="s">
        <v>3780</v>
      </c>
      <c r="E18" s="17">
        <v>1</v>
      </c>
      <c r="F18" s="16">
        <v>1</v>
      </c>
      <c r="G18" s="17" t="s">
        <v>18</v>
      </c>
      <c r="H18" s="17" t="s">
        <v>61</v>
      </c>
    </row>
    <row r="19" spans="1:8" x14ac:dyDescent="0.25">
      <c r="A19" s="16" t="s">
        <v>62</v>
      </c>
      <c r="B19" s="17" t="s">
        <v>63</v>
      </c>
      <c r="C19" s="17" t="s">
        <v>3781</v>
      </c>
      <c r="D19" s="17" t="s">
        <v>3782</v>
      </c>
      <c r="E19" s="17">
        <v>1</v>
      </c>
      <c r="F19" s="16">
        <v>1</v>
      </c>
      <c r="G19" s="17" t="s">
        <v>18</v>
      </c>
      <c r="H19" s="17" t="s">
        <v>64</v>
      </c>
    </row>
    <row r="20" spans="1:8" x14ac:dyDescent="0.25">
      <c r="A20" s="16" t="s">
        <v>65</v>
      </c>
      <c r="B20" s="17" t="s">
        <v>66</v>
      </c>
      <c r="C20" s="17" t="s">
        <v>3766</v>
      </c>
      <c r="D20" s="17" t="s">
        <v>3783</v>
      </c>
      <c r="E20" s="17">
        <v>1</v>
      </c>
      <c r="F20" s="16">
        <v>1</v>
      </c>
      <c r="G20" s="17" t="s">
        <v>18</v>
      </c>
      <c r="H20" s="17" t="s">
        <v>67</v>
      </c>
    </row>
    <row r="21" spans="1:8" x14ac:dyDescent="0.25">
      <c r="A21" s="16" t="s">
        <v>68</v>
      </c>
      <c r="B21" s="17" t="s">
        <v>69</v>
      </c>
      <c r="C21" s="17" t="s">
        <v>3784</v>
      </c>
      <c r="D21" s="17" t="s">
        <v>3785</v>
      </c>
      <c r="E21" s="17">
        <v>1</v>
      </c>
      <c r="F21" s="16">
        <v>1</v>
      </c>
      <c r="G21" s="17" t="s">
        <v>18</v>
      </c>
      <c r="H21" s="17" t="s">
        <v>70</v>
      </c>
    </row>
    <row r="22" spans="1:8" x14ac:dyDescent="0.25">
      <c r="A22" s="16" t="s">
        <v>71</v>
      </c>
      <c r="B22" s="17" t="s">
        <v>72</v>
      </c>
      <c r="C22" s="17" t="s">
        <v>3786</v>
      </c>
      <c r="D22" s="17" t="s">
        <v>3787</v>
      </c>
      <c r="E22" s="17">
        <v>2</v>
      </c>
      <c r="F22" s="16">
        <v>6</v>
      </c>
      <c r="G22" s="17" t="s">
        <v>73</v>
      </c>
      <c r="H22" s="17" t="s">
        <v>73</v>
      </c>
    </row>
    <row r="23" spans="1:8" x14ac:dyDescent="0.25">
      <c r="A23" s="16" t="s">
        <v>74</v>
      </c>
      <c r="B23" s="17" t="s">
        <v>75</v>
      </c>
      <c r="C23" s="17" t="s">
        <v>3788</v>
      </c>
      <c r="D23" s="17" t="s">
        <v>3789</v>
      </c>
      <c r="E23" s="17">
        <v>2</v>
      </c>
      <c r="F23" s="16">
        <v>6</v>
      </c>
      <c r="G23" s="17" t="s">
        <v>73</v>
      </c>
      <c r="H23" s="17" t="s">
        <v>73</v>
      </c>
    </row>
    <row r="24" spans="1:8" x14ac:dyDescent="0.25">
      <c r="A24" s="16" t="s">
        <v>76</v>
      </c>
      <c r="B24" s="17" t="s">
        <v>77</v>
      </c>
      <c r="C24" s="17" t="s">
        <v>3790</v>
      </c>
      <c r="D24" s="17" t="s">
        <v>3791</v>
      </c>
      <c r="E24" s="17">
        <v>2</v>
      </c>
      <c r="F24" s="16">
        <v>6</v>
      </c>
      <c r="G24" s="17" t="s">
        <v>78</v>
      </c>
      <c r="H24" s="17" t="s">
        <v>78</v>
      </c>
    </row>
    <row r="25" spans="1:8" x14ac:dyDescent="0.25">
      <c r="A25" s="16" t="s">
        <v>79</v>
      </c>
      <c r="B25" s="17" t="s">
        <v>80</v>
      </c>
      <c r="C25" s="17" t="s">
        <v>3792</v>
      </c>
      <c r="D25" s="17" t="s">
        <v>3793</v>
      </c>
      <c r="E25" s="17">
        <v>2</v>
      </c>
      <c r="F25" s="16">
        <v>6</v>
      </c>
      <c r="G25" s="17" t="s">
        <v>78</v>
      </c>
      <c r="H25" s="17" t="s">
        <v>81</v>
      </c>
    </row>
    <row r="26" spans="1:8" x14ac:dyDescent="0.25">
      <c r="A26" s="16" t="s">
        <v>82</v>
      </c>
      <c r="B26" s="17" t="s">
        <v>83</v>
      </c>
      <c r="C26" s="17" t="s">
        <v>3794</v>
      </c>
      <c r="D26" s="17" t="s">
        <v>3795</v>
      </c>
      <c r="E26" s="17">
        <v>2</v>
      </c>
      <c r="F26" s="16">
        <v>6</v>
      </c>
      <c r="G26" s="17" t="s">
        <v>78</v>
      </c>
      <c r="H26" s="17" t="s">
        <v>84</v>
      </c>
    </row>
    <row r="27" spans="1:8" x14ac:dyDescent="0.25">
      <c r="A27" s="16" t="s">
        <v>85</v>
      </c>
      <c r="B27" s="17" t="s">
        <v>86</v>
      </c>
      <c r="C27" s="17" t="s">
        <v>3796</v>
      </c>
      <c r="D27" s="17" t="s">
        <v>3797</v>
      </c>
      <c r="E27" s="17">
        <v>2</v>
      </c>
      <c r="F27" s="16">
        <v>6</v>
      </c>
      <c r="G27" s="17" t="s">
        <v>78</v>
      </c>
      <c r="H27" s="17" t="s">
        <v>87</v>
      </c>
    </row>
    <row r="28" spans="1:8" x14ac:dyDescent="0.25">
      <c r="A28" s="16" t="s">
        <v>88</v>
      </c>
      <c r="B28" s="17" t="s">
        <v>89</v>
      </c>
      <c r="C28" s="17" t="s">
        <v>3798</v>
      </c>
      <c r="D28" s="17" t="s">
        <v>3799</v>
      </c>
      <c r="E28" s="17">
        <v>2</v>
      </c>
      <c r="F28" s="16">
        <v>6</v>
      </c>
      <c r="G28" s="17" t="s">
        <v>78</v>
      </c>
      <c r="H28" s="17" t="s">
        <v>90</v>
      </c>
    </row>
    <row r="29" spans="1:8" x14ac:dyDescent="0.25">
      <c r="A29" s="16" t="s">
        <v>91</v>
      </c>
      <c r="B29" s="17" t="s">
        <v>92</v>
      </c>
      <c r="C29" s="17" t="s">
        <v>3800</v>
      </c>
      <c r="D29" s="17" t="s">
        <v>3801</v>
      </c>
      <c r="E29" s="17">
        <v>2</v>
      </c>
      <c r="F29" s="16">
        <v>6</v>
      </c>
      <c r="G29" s="17" t="s">
        <v>78</v>
      </c>
      <c r="H29" s="17" t="s">
        <v>93</v>
      </c>
    </row>
    <row r="30" spans="1:8" x14ac:dyDescent="0.25">
      <c r="A30" s="16" t="s">
        <v>94</v>
      </c>
      <c r="B30" s="17" t="s">
        <v>95</v>
      </c>
      <c r="C30" s="17" t="s">
        <v>3802</v>
      </c>
      <c r="D30" s="17" t="s">
        <v>3803</v>
      </c>
      <c r="E30" s="17">
        <v>2</v>
      </c>
      <c r="F30" s="16">
        <v>6</v>
      </c>
      <c r="G30" s="17" t="s">
        <v>78</v>
      </c>
      <c r="H30" s="17" t="s">
        <v>95</v>
      </c>
    </row>
    <row r="31" spans="1:8" x14ac:dyDescent="0.25">
      <c r="A31" s="16" t="s">
        <v>96</v>
      </c>
      <c r="B31" s="17" t="s">
        <v>97</v>
      </c>
      <c r="C31" s="17" t="s">
        <v>3804</v>
      </c>
      <c r="D31" s="17" t="s">
        <v>3805</v>
      </c>
      <c r="E31" s="17">
        <v>2</v>
      </c>
      <c r="F31" s="16">
        <v>6</v>
      </c>
      <c r="G31" s="17" t="s">
        <v>78</v>
      </c>
      <c r="H31" s="17" t="s">
        <v>98</v>
      </c>
    </row>
    <row r="32" spans="1:8" x14ac:dyDescent="0.25">
      <c r="A32" s="16" t="s">
        <v>99</v>
      </c>
      <c r="B32" s="17" t="s">
        <v>100</v>
      </c>
      <c r="C32" s="17" t="s">
        <v>3766</v>
      </c>
      <c r="D32" s="17" t="s">
        <v>3806</v>
      </c>
      <c r="E32" s="17">
        <v>2</v>
      </c>
      <c r="F32" s="16">
        <v>6</v>
      </c>
      <c r="G32" s="17" t="s">
        <v>78</v>
      </c>
      <c r="H32" s="17" t="s">
        <v>101</v>
      </c>
    </row>
    <row r="33" spans="1:8" x14ac:dyDescent="0.25">
      <c r="A33" s="16" t="s">
        <v>102</v>
      </c>
      <c r="B33" s="17" t="s">
        <v>103</v>
      </c>
      <c r="C33" s="17" t="s">
        <v>3766</v>
      </c>
      <c r="D33" s="17" t="s">
        <v>3807</v>
      </c>
      <c r="E33" s="17">
        <v>3</v>
      </c>
      <c r="F33" s="16">
        <v>8</v>
      </c>
      <c r="G33" s="17" t="s">
        <v>104</v>
      </c>
      <c r="H33" s="17" t="s">
        <v>105</v>
      </c>
    </row>
    <row r="34" spans="1:8" x14ac:dyDescent="0.25">
      <c r="A34" s="16" t="s">
        <v>106</v>
      </c>
      <c r="B34" s="17" t="s">
        <v>107</v>
      </c>
      <c r="C34" s="17" t="s">
        <v>3766</v>
      </c>
      <c r="D34" s="17" t="s">
        <v>3808</v>
      </c>
      <c r="E34" s="17">
        <v>3</v>
      </c>
      <c r="F34" s="16">
        <v>8</v>
      </c>
      <c r="G34" s="17" t="s">
        <v>104</v>
      </c>
      <c r="H34" s="17" t="s">
        <v>108</v>
      </c>
    </row>
    <row r="35" spans="1:8" x14ac:dyDescent="0.25">
      <c r="A35" s="16" t="s">
        <v>109</v>
      </c>
      <c r="B35" s="17" t="s">
        <v>110</v>
      </c>
      <c r="C35" s="17" t="s">
        <v>3766</v>
      </c>
      <c r="D35" s="17" t="s">
        <v>3809</v>
      </c>
      <c r="E35" s="17">
        <v>3</v>
      </c>
      <c r="F35" s="16">
        <v>8</v>
      </c>
      <c r="G35" s="17" t="s">
        <v>111</v>
      </c>
      <c r="H35" s="17" t="s">
        <v>112</v>
      </c>
    </row>
    <row r="36" spans="1:8" x14ac:dyDescent="0.25">
      <c r="A36" s="16" t="s">
        <v>113</v>
      </c>
      <c r="B36" s="17" t="s">
        <v>114</v>
      </c>
      <c r="C36" s="17" t="s">
        <v>3766</v>
      </c>
      <c r="D36" s="17" t="s">
        <v>3810</v>
      </c>
      <c r="E36" s="17">
        <v>3</v>
      </c>
      <c r="F36" s="16">
        <v>8</v>
      </c>
      <c r="G36" s="17" t="s">
        <v>111</v>
      </c>
      <c r="H36" s="17" t="s">
        <v>115</v>
      </c>
    </row>
    <row r="37" spans="1:8" x14ac:dyDescent="0.25">
      <c r="A37" s="16" t="s">
        <v>116</v>
      </c>
      <c r="B37" s="17" t="s">
        <v>117</v>
      </c>
      <c r="C37" s="17" t="s">
        <v>3766</v>
      </c>
      <c r="D37" s="17" t="s">
        <v>3811</v>
      </c>
      <c r="E37" s="17">
        <v>3</v>
      </c>
      <c r="F37" s="16">
        <v>8</v>
      </c>
      <c r="G37" s="17" t="s">
        <v>111</v>
      </c>
      <c r="H37" s="17" t="s">
        <v>118</v>
      </c>
    </row>
    <row r="38" spans="1:8" x14ac:dyDescent="0.25">
      <c r="A38" s="16" t="s">
        <v>119</v>
      </c>
      <c r="B38" s="17" t="s">
        <v>120</v>
      </c>
      <c r="C38" s="17" t="s">
        <v>3766</v>
      </c>
      <c r="D38" s="17" t="s">
        <v>3812</v>
      </c>
      <c r="E38" s="17">
        <v>3</v>
      </c>
      <c r="F38" s="16">
        <v>8</v>
      </c>
      <c r="G38" s="17" t="s">
        <v>111</v>
      </c>
      <c r="H38" s="17" t="s">
        <v>121</v>
      </c>
    </row>
    <row r="39" spans="1:8" x14ac:dyDescent="0.25">
      <c r="A39" s="16" t="s">
        <v>122</v>
      </c>
      <c r="B39" s="17" t="s">
        <v>123</v>
      </c>
      <c r="C39" s="17" t="s">
        <v>3766</v>
      </c>
      <c r="D39" s="17" t="s">
        <v>3813</v>
      </c>
      <c r="E39" s="17">
        <v>3</v>
      </c>
      <c r="F39" s="16">
        <v>8</v>
      </c>
      <c r="G39" s="17" t="s">
        <v>111</v>
      </c>
      <c r="H39" s="17" t="s">
        <v>124</v>
      </c>
    </row>
    <row r="40" spans="1:8" x14ac:dyDescent="0.25">
      <c r="A40" s="16" t="s">
        <v>125</v>
      </c>
      <c r="B40" s="17" t="s">
        <v>126</v>
      </c>
      <c r="C40" s="17" t="s">
        <v>3814</v>
      </c>
      <c r="D40" s="17" t="s">
        <v>3815</v>
      </c>
      <c r="E40" s="17">
        <v>3</v>
      </c>
      <c r="F40" s="16">
        <v>8</v>
      </c>
      <c r="G40" s="17" t="s">
        <v>111</v>
      </c>
      <c r="H40" s="17" t="s">
        <v>127</v>
      </c>
    </row>
    <row r="41" spans="1:8" x14ac:dyDescent="0.25">
      <c r="A41" s="16" t="s">
        <v>128</v>
      </c>
      <c r="B41" s="17" t="s">
        <v>129</v>
      </c>
      <c r="C41" s="17" t="s">
        <v>3766</v>
      </c>
      <c r="D41" s="17" t="s">
        <v>3816</v>
      </c>
      <c r="E41" s="17">
        <v>3</v>
      </c>
      <c r="F41" s="16">
        <v>8</v>
      </c>
      <c r="G41" s="17" t="s">
        <v>111</v>
      </c>
      <c r="H41" s="17" t="s">
        <v>130</v>
      </c>
    </row>
    <row r="42" spans="1:8" x14ac:dyDescent="0.25">
      <c r="A42" s="16" t="s">
        <v>131</v>
      </c>
      <c r="B42" s="17" t="s">
        <v>132</v>
      </c>
      <c r="C42" s="17" t="s">
        <v>3766</v>
      </c>
      <c r="D42" s="17" t="s">
        <v>3817</v>
      </c>
      <c r="E42" s="17">
        <v>3</v>
      </c>
      <c r="F42" s="16">
        <v>8</v>
      </c>
      <c r="G42" s="17" t="s">
        <v>111</v>
      </c>
      <c r="H42" s="17" t="s">
        <v>133</v>
      </c>
    </row>
    <row r="43" spans="1:8" x14ac:dyDescent="0.25">
      <c r="A43" s="16" t="s">
        <v>134</v>
      </c>
      <c r="B43" s="17" t="s">
        <v>135</v>
      </c>
      <c r="C43" s="17" t="s">
        <v>3766</v>
      </c>
      <c r="D43" s="17" t="s">
        <v>3818</v>
      </c>
      <c r="E43" s="17">
        <v>3</v>
      </c>
      <c r="F43" s="16">
        <v>8</v>
      </c>
      <c r="G43" s="17" t="s">
        <v>111</v>
      </c>
      <c r="H43" s="17" t="s">
        <v>136</v>
      </c>
    </row>
    <row r="44" spans="1:8" x14ac:dyDescent="0.25">
      <c r="A44" s="16" t="s">
        <v>137</v>
      </c>
      <c r="B44" s="17" t="s">
        <v>138</v>
      </c>
      <c r="C44" s="17" t="s">
        <v>3766</v>
      </c>
      <c r="D44" s="17" t="s">
        <v>3819</v>
      </c>
      <c r="E44" s="17">
        <v>3</v>
      </c>
      <c r="F44" s="16">
        <v>8</v>
      </c>
      <c r="G44" s="17" t="s">
        <v>111</v>
      </c>
      <c r="H44" s="17" t="s">
        <v>139</v>
      </c>
    </row>
    <row r="45" spans="1:8" x14ac:dyDescent="0.25">
      <c r="A45" s="16" t="s">
        <v>140</v>
      </c>
      <c r="B45" s="17" t="s">
        <v>23</v>
      </c>
      <c r="C45" s="17" t="s">
        <v>3814</v>
      </c>
      <c r="D45" s="17" t="s">
        <v>3820</v>
      </c>
      <c r="E45" s="17">
        <v>3</v>
      </c>
      <c r="F45" s="16">
        <v>8</v>
      </c>
      <c r="G45" s="17" t="s">
        <v>111</v>
      </c>
      <c r="H45" s="17" t="s">
        <v>141</v>
      </c>
    </row>
    <row r="46" spans="1:8" x14ac:dyDescent="0.25">
      <c r="A46" s="16" t="s">
        <v>142</v>
      </c>
      <c r="B46" s="17" t="s">
        <v>46</v>
      </c>
      <c r="C46" s="17" t="s">
        <v>3766</v>
      </c>
      <c r="D46" s="17" t="s">
        <v>3821</v>
      </c>
      <c r="E46" s="17">
        <v>3</v>
      </c>
      <c r="F46" s="16">
        <v>8</v>
      </c>
      <c r="G46" s="17" t="s">
        <v>111</v>
      </c>
      <c r="H46" s="17" t="s">
        <v>143</v>
      </c>
    </row>
    <row r="47" spans="1:8" x14ac:dyDescent="0.25">
      <c r="A47" s="16" t="s">
        <v>144</v>
      </c>
      <c r="B47" s="17" t="s">
        <v>117</v>
      </c>
      <c r="C47" s="17" t="s">
        <v>3766</v>
      </c>
      <c r="D47" s="17" t="s">
        <v>3822</v>
      </c>
      <c r="E47" s="17">
        <v>3</v>
      </c>
      <c r="F47" s="16">
        <v>8</v>
      </c>
      <c r="G47" s="17" t="s">
        <v>145</v>
      </c>
      <c r="H47" s="17" t="s">
        <v>146</v>
      </c>
    </row>
    <row r="48" spans="1:8" x14ac:dyDescent="0.25">
      <c r="A48" s="16" t="s">
        <v>147</v>
      </c>
      <c r="B48" s="17" t="s">
        <v>148</v>
      </c>
      <c r="C48" s="17" t="s">
        <v>3823</v>
      </c>
      <c r="D48" s="17" t="s">
        <v>3824</v>
      </c>
      <c r="E48" s="17">
        <v>3</v>
      </c>
      <c r="F48" s="16">
        <v>8</v>
      </c>
      <c r="G48" s="17" t="s">
        <v>149</v>
      </c>
      <c r="H48" s="17" t="s">
        <v>149</v>
      </c>
    </row>
    <row r="49" spans="1:8" x14ac:dyDescent="0.25">
      <c r="A49" s="16" t="s">
        <v>150</v>
      </c>
      <c r="B49" s="17" t="s">
        <v>151</v>
      </c>
      <c r="C49" s="17" t="s">
        <v>3825</v>
      </c>
      <c r="D49" s="17" t="s">
        <v>3826</v>
      </c>
      <c r="E49" s="17">
        <v>3</v>
      </c>
      <c r="F49" s="16">
        <v>8</v>
      </c>
      <c r="G49" s="17" t="s">
        <v>149</v>
      </c>
      <c r="H49" s="17" t="s">
        <v>149</v>
      </c>
    </row>
    <row r="50" spans="1:8" x14ac:dyDescent="0.25">
      <c r="A50" s="16" t="s">
        <v>152</v>
      </c>
      <c r="B50" s="17" t="s">
        <v>153</v>
      </c>
      <c r="C50" s="17" t="s">
        <v>3766</v>
      </c>
      <c r="D50" s="17" t="s">
        <v>3827</v>
      </c>
      <c r="E50" s="17">
        <v>3</v>
      </c>
      <c r="F50" s="16">
        <v>8</v>
      </c>
      <c r="G50" s="17" t="s">
        <v>149</v>
      </c>
      <c r="H50" s="17" t="s">
        <v>130</v>
      </c>
    </row>
    <row r="51" spans="1:8" x14ac:dyDescent="0.25">
      <c r="A51" s="16" t="s">
        <v>154</v>
      </c>
      <c r="B51" s="17" t="s">
        <v>155</v>
      </c>
      <c r="C51" s="17" t="s">
        <v>3766</v>
      </c>
      <c r="D51" s="17" t="s">
        <v>3828</v>
      </c>
      <c r="E51" s="17">
        <v>3</v>
      </c>
      <c r="F51" s="16">
        <v>8</v>
      </c>
      <c r="G51" s="17" t="s">
        <v>149</v>
      </c>
      <c r="H51" s="17" t="s">
        <v>138</v>
      </c>
    </row>
    <row r="52" spans="1:8" x14ac:dyDescent="0.25">
      <c r="A52" s="16" t="s">
        <v>156</v>
      </c>
      <c r="B52" s="17" t="s">
        <v>157</v>
      </c>
      <c r="C52" s="17" t="s">
        <v>3766</v>
      </c>
      <c r="D52" s="17" t="s">
        <v>3829</v>
      </c>
      <c r="E52" s="17">
        <v>3</v>
      </c>
      <c r="F52" s="16">
        <v>8</v>
      </c>
      <c r="G52" s="17" t="s">
        <v>158</v>
      </c>
      <c r="H52" s="17" t="s">
        <v>159</v>
      </c>
    </row>
    <row r="53" spans="1:8" x14ac:dyDescent="0.25">
      <c r="A53" s="16" t="s">
        <v>160</v>
      </c>
      <c r="B53" s="17" t="s">
        <v>161</v>
      </c>
      <c r="C53" s="17" t="s">
        <v>3766</v>
      </c>
      <c r="D53" s="17" t="s">
        <v>3830</v>
      </c>
      <c r="E53" s="17">
        <v>3</v>
      </c>
      <c r="F53" s="16">
        <v>8</v>
      </c>
      <c r="G53" s="17" t="s">
        <v>158</v>
      </c>
      <c r="H53" s="17" t="s">
        <v>39</v>
      </c>
    </row>
    <row r="54" spans="1:8" x14ac:dyDescent="0.25">
      <c r="A54" s="16" t="s">
        <v>162</v>
      </c>
      <c r="B54" s="17" t="s">
        <v>163</v>
      </c>
      <c r="C54" s="17" t="s">
        <v>3766</v>
      </c>
      <c r="D54" s="17" t="s">
        <v>3831</v>
      </c>
      <c r="E54" s="17">
        <v>3</v>
      </c>
      <c r="F54" s="16">
        <v>8</v>
      </c>
      <c r="G54" s="17" t="s">
        <v>158</v>
      </c>
      <c r="H54" s="17" t="s">
        <v>164</v>
      </c>
    </row>
    <row r="55" spans="1:8" x14ac:dyDescent="0.25">
      <c r="A55" s="16" t="s">
        <v>165</v>
      </c>
      <c r="B55" s="17" t="s">
        <v>166</v>
      </c>
      <c r="C55" s="17" t="s">
        <v>3832</v>
      </c>
      <c r="D55" s="17" t="s">
        <v>3833</v>
      </c>
      <c r="E55" s="17">
        <v>3</v>
      </c>
      <c r="F55" s="16">
        <v>8</v>
      </c>
      <c r="G55" s="17" t="s">
        <v>158</v>
      </c>
      <c r="H55" s="17" t="s">
        <v>167</v>
      </c>
    </row>
    <row r="56" spans="1:8" x14ac:dyDescent="0.25">
      <c r="A56" s="16" t="s">
        <v>168</v>
      </c>
      <c r="B56" s="17" t="s">
        <v>169</v>
      </c>
      <c r="C56" s="17" t="s">
        <v>3766</v>
      </c>
      <c r="D56" s="17" t="s">
        <v>3834</v>
      </c>
      <c r="E56" s="17">
        <v>3</v>
      </c>
      <c r="F56" s="16">
        <v>8</v>
      </c>
      <c r="G56" s="17" t="s">
        <v>158</v>
      </c>
      <c r="H56" s="17" t="s">
        <v>170</v>
      </c>
    </row>
    <row r="57" spans="1:8" x14ac:dyDescent="0.25">
      <c r="A57" s="16" t="s">
        <v>171</v>
      </c>
      <c r="B57" s="17" t="s">
        <v>172</v>
      </c>
      <c r="C57" s="17" t="s">
        <v>3766</v>
      </c>
      <c r="D57" s="17" t="s">
        <v>3835</v>
      </c>
      <c r="E57" s="17">
        <v>3</v>
      </c>
      <c r="F57" s="16">
        <v>8</v>
      </c>
      <c r="G57" s="17" t="s">
        <v>158</v>
      </c>
      <c r="H57" s="17" t="s">
        <v>173</v>
      </c>
    </row>
    <row r="58" spans="1:8" x14ac:dyDescent="0.25">
      <c r="A58" s="16" t="s">
        <v>174</v>
      </c>
      <c r="B58" s="17" t="s">
        <v>41</v>
      </c>
      <c r="C58" s="17" t="s">
        <v>3766</v>
      </c>
      <c r="D58" s="17" t="s">
        <v>3836</v>
      </c>
      <c r="E58" s="17">
        <v>3</v>
      </c>
      <c r="F58" s="16">
        <v>8</v>
      </c>
      <c r="G58" s="17" t="s">
        <v>158</v>
      </c>
      <c r="H58" s="17" t="s">
        <v>175</v>
      </c>
    </row>
    <row r="59" spans="1:8" x14ac:dyDescent="0.25">
      <c r="A59" s="16" t="s">
        <v>176</v>
      </c>
      <c r="B59" s="17" t="s">
        <v>129</v>
      </c>
      <c r="C59" s="17" t="s">
        <v>3758</v>
      </c>
      <c r="D59" s="17" t="s">
        <v>3837</v>
      </c>
      <c r="E59" s="17">
        <v>3</v>
      </c>
      <c r="F59" s="16">
        <v>8</v>
      </c>
      <c r="G59" s="17" t="s">
        <v>158</v>
      </c>
      <c r="H59" s="17" t="s">
        <v>177</v>
      </c>
    </row>
    <row r="60" spans="1:8" x14ac:dyDescent="0.25">
      <c r="A60" s="16" t="s">
        <v>178</v>
      </c>
      <c r="B60" s="17" t="s">
        <v>179</v>
      </c>
      <c r="C60" s="17" t="s">
        <v>3838</v>
      </c>
      <c r="D60" s="17" t="s">
        <v>3839</v>
      </c>
      <c r="E60" s="17">
        <v>4</v>
      </c>
      <c r="F60" s="27">
        <v>12</v>
      </c>
      <c r="G60" s="17" t="s">
        <v>180</v>
      </c>
      <c r="H60" s="17" t="s">
        <v>180</v>
      </c>
    </row>
    <row r="61" spans="1:8" x14ac:dyDescent="0.25">
      <c r="A61" s="16" t="s">
        <v>181</v>
      </c>
      <c r="B61" s="17" t="s">
        <v>182</v>
      </c>
      <c r="C61" s="17" t="s">
        <v>3840</v>
      </c>
      <c r="D61" s="17" t="s">
        <v>3841</v>
      </c>
      <c r="E61" s="17">
        <v>4</v>
      </c>
      <c r="F61" s="27">
        <v>12</v>
      </c>
      <c r="G61" s="17" t="s">
        <v>180</v>
      </c>
      <c r="H61" s="17" t="s">
        <v>183</v>
      </c>
    </row>
    <row r="62" spans="1:8" x14ac:dyDescent="0.25">
      <c r="A62" s="16" t="s">
        <v>184</v>
      </c>
      <c r="B62" s="17" t="s">
        <v>172</v>
      </c>
      <c r="C62" s="17" t="s">
        <v>3766</v>
      </c>
      <c r="D62" s="17" t="s">
        <v>3842</v>
      </c>
      <c r="E62" s="17">
        <v>4</v>
      </c>
      <c r="F62" s="27">
        <v>12</v>
      </c>
      <c r="G62" s="17" t="s">
        <v>180</v>
      </c>
      <c r="H62" s="17" t="s">
        <v>185</v>
      </c>
    </row>
    <row r="63" spans="1:8" x14ac:dyDescent="0.25">
      <c r="A63" s="16" t="s">
        <v>186</v>
      </c>
      <c r="B63" s="17" t="s">
        <v>80</v>
      </c>
      <c r="C63" s="17" t="s">
        <v>3843</v>
      </c>
      <c r="D63" s="17" t="s">
        <v>3844</v>
      </c>
      <c r="E63" s="17">
        <v>4</v>
      </c>
      <c r="F63" s="27">
        <v>12</v>
      </c>
      <c r="G63" s="17" t="s">
        <v>180</v>
      </c>
      <c r="H63" s="17" t="s">
        <v>187</v>
      </c>
    </row>
    <row r="64" spans="1:8" x14ac:dyDescent="0.25">
      <c r="A64" s="16" t="s">
        <v>188</v>
      </c>
      <c r="B64" s="17" t="s">
        <v>189</v>
      </c>
      <c r="C64" s="17" t="s">
        <v>3766</v>
      </c>
      <c r="D64" s="17" t="s">
        <v>3845</v>
      </c>
      <c r="E64" s="17">
        <v>4</v>
      </c>
      <c r="F64" s="27">
        <v>12</v>
      </c>
      <c r="G64" s="17" t="s">
        <v>180</v>
      </c>
      <c r="H64" s="17" t="s">
        <v>190</v>
      </c>
    </row>
    <row r="65" spans="1:8" x14ac:dyDescent="0.25">
      <c r="A65" s="16" t="s">
        <v>191</v>
      </c>
      <c r="B65" s="17" t="s">
        <v>192</v>
      </c>
      <c r="C65" s="17" t="s">
        <v>3766</v>
      </c>
      <c r="D65" s="17" t="s">
        <v>3846</v>
      </c>
      <c r="E65" s="17">
        <v>4</v>
      </c>
      <c r="F65" s="27">
        <v>12</v>
      </c>
      <c r="G65" s="17" t="s">
        <v>180</v>
      </c>
      <c r="H65" s="17" t="s">
        <v>193</v>
      </c>
    </row>
    <row r="66" spans="1:8" x14ac:dyDescent="0.25">
      <c r="A66" s="16" t="s">
        <v>194</v>
      </c>
      <c r="B66" s="17" t="s">
        <v>195</v>
      </c>
      <c r="C66" s="17" t="s">
        <v>3766</v>
      </c>
      <c r="D66" s="17" t="s">
        <v>3847</v>
      </c>
      <c r="E66" s="17">
        <v>4</v>
      </c>
      <c r="F66" s="27">
        <v>12</v>
      </c>
      <c r="G66" s="17" t="s">
        <v>180</v>
      </c>
      <c r="H66" s="17" t="s">
        <v>196</v>
      </c>
    </row>
    <row r="67" spans="1:8" x14ac:dyDescent="0.25">
      <c r="A67" s="16" t="s">
        <v>197</v>
      </c>
      <c r="B67" s="17" t="s">
        <v>198</v>
      </c>
      <c r="C67" s="17" t="s">
        <v>3848</v>
      </c>
      <c r="D67" s="17" t="s">
        <v>3849</v>
      </c>
      <c r="E67" s="17">
        <v>4</v>
      </c>
      <c r="F67" s="27">
        <v>12</v>
      </c>
      <c r="G67" s="17" t="s">
        <v>180</v>
      </c>
      <c r="H67" s="17" t="s">
        <v>199</v>
      </c>
    </row>
    <row r="68" spans="1:8" x14ac:dyDescent="0.25">
      <c r="A68" s="16" t="s">
        <v>200</v>
      </c>
      <c r="B68" s="17" t="s">
        <v>117</v>
      </c>
      <c r="C68" s="17" t="s">
        <v>3766</v>
      </c>
      <c r="D68" s="17" t="s">
        <v>3850</v>
      </c>
      <c r="E68" s="17">
        <v>4</v>
      </c>
      <c r="F68" s="27">
        <v>12</v>
      </c>
      <c r="G68" s="17" t="s">
        <v>180</v>
      </c>
      <c r="H68" s="17" t="s">
        <v>201</v>
      </c>
    </row>
    <row r="69" spans="1:8" x14ac:dyDescent="0.25">
      <c r="A69" s="16" t="s">
        <v>202</v>
      </c>
      <c r="B69" s="17" t="s">
        <v>203</v>
      </c>
      <c r="C69" s="17" t="s">
        <v>3766</v>
      </c>
      <c r="D69" s="17" t="s">
        <v>3851</v>
      </c>
      <c r="E69" s="17">
        <v>4</v>
      </c>
      <c r="F69" s="27">
        <v>12</v>
      </c>
      <c r="G69" s="17" t="s">
        <v>180</v>
      </c>
      <c r="H69" s="17" t="s">
        <v>204</v>
      </c>
    </row>
    <row r="70" spans="1:8" x14ac:dyDescent="0.25">
      <c r="A70" s="16" t="s">
        <v>205</v>
      </c>
      <c r="B70" s="17" t="s">
        <v>95</v>
      </c>
      <c r="C70" s="17" t="s">
        <v>3766</v>
      </c>
      <c r="D70" s="17" t="s">
        <v>3852</v>
      </c>
      <c r="E70" s="17">
        <v>4</v>
      </c>
      <c r="F70" s="27">
        <v>12</v>
      </c>
      <c r="G70" s="17" t="s">
        <v>180</v>
      </c>
      <c r="H70" s="17" t="s">
        <v>206</v>
      </c>
    </row>
    <row r="71" spans="1:8" x14ac:dyDescent="0.25">
      <c r="A71" s="16" t="s">
        <v>207</v>
      </c>
      <c r="B71" s="17" t="s">
        <v>166</v>
      </c>
      <c r="C71" s="17" t="s">
        <v>3766</v>
      </c>
      <c r="D71" s="17" t="s">
        <v>3853</v>
      </c>
      <c r="E71" s="17">
        <v>4</v>
      </c>
      <c r="F71" s="27">
        <v>12</v>
      </c>
      <c r="G71" s="17" t="s">
        <v>180</v>
      </c>
      <c r="H71" s="17" t="s">
        <v>208</v>
      </c>
    </row>
    <row r="72" spans="1:8" x14ac:dyDescent="0.25">
      <c r="A72" s="16" t="s">
        <v>209</v>
      </c>
      <c r="B72" s="17" t="s">
        <v>41</v>
      </c>
      <c r="C72" s="17" t="s">
        <v>3766</v>
      </c>
      <c r="D72" s="17" t="s">
        <v>3854</v>
      </c>
      <c r="E72" s="17">
        <v>4</v>
      </c>
      <c r="F72" s="27">
        <v>12</v>
      </c>
      <c r="G72" s="17" t="s">
        <v>210</v>
      </c>
      <c r="H72" s="17" t="s">
        <v>211</v>
      </c>
    </row>
    <row r="73" spans="1:8" x14ac:dyDescent="0.25">
      <c r="A73" s="16" t="s">
        <v>212</v>
      </c>
      <c r="B73" s="17" t="s">
        <v>135</v>
      </c>
      <c r="C73" s="17" t="s">
        <v>3855</v>
      </c>
      <c r="D73" s="17" t="s">
        <v>3856</v>
      </c>
      <c r="E73" s="17">
        <v>5</v>
      </c>
      <c r="F73" s="16">
        <v>2</v>
      </c>
      <c r="G73" s="17" t="s">
        <v>213</v>
      </c>
      <c r="H73" s="17" t="s">
        <v>213</v>
      </c>
    </row>
    <row r="74" spans="1:8" x14ac:dyDescent="0.25">
      <c r="A74" s="16" t="s">
        <v>214</v>
      </c>
      <c r="B74" s="17" t="s">
        <v>83</v>
      </c>
      <c r="C74" s="17" t="s">
        <v>3857</v>
      </c>
      <c r="D74" s="17" t="s">
        <v>3858</v>
      </c>
      <c r="E74" s="17">
        <v>5</v>
      </c>
      <c r="F74" s="16">
        <v>2</v>
      </c>
      <c r="G74" s="17" t="s">
        <v>213</v>
      </c>
      <c r="H74" s="17" t="s">
        <v>215</v>
      </c>
    </row>
    <row r="75" spans="1:8" x14ac:dyDescent="0.25">
      <c r="A75" s="16" t="s">
        <v>216</v>
      </c>
      <c r="B75" s="17" t="s">
        <v>217</v>
      </c>
      <c r="C75" s="17" t="s">
        <v>3859</v>
      </c>
      <c r="D75" s="17" t="s">
        <v>3860</v>
      </c>
      <c r="E75" s="17">
        <v>5</v>
      </c>
      <c r="F75" s="16">
        <v>2</v>
      </c>
      <c r="G75" s="17" t="s">
        <v>218</v>
      </c>
      <c r="H75" s="17" t="s">
        <v>218</v>
      </c>
    </row>
    <row r="76" spans="1:8" x14ac:dyDescent="0.25">
      <c r="A76" s="16" t="s">
        <v>219</v>
      </c>
      <c r="B76" s="17" t="s">
        <v>166</v>
      </c>
      <c r="C76" s="17" t="s">
        <v>3861</v>
      </c>
      <c r="D76" s="17" t="s">
        <v>3862</v>
      </c>
      <c r="E76" s="17">
        <v>5</v>
      </c>
      <c r="F76" s="16">
        <v>2</v>
      </c>
      <c r="G76" s="17" t="s">
        <v>218</v>
      </c>
      <c r="H76" s="17" t="s">
        <v>218</v>
      </c>
    </row>
    <row r="77" spans="1:8" x14ac:dyDescent="0.25">
      <c r="A77" s="16" t="s">
        <v>220</v>
      </c>
      <c r="B77" s="17" t="s">
        <v>221</v>
      </c>
      <c r="C77" s="17" t="s">
        <v>3863</v>
      </c>
      <c r="D77" s="17" t="s">
        <v>3864</v>
      </c>
      <c r="E77" s="17">
        <v>5</v>
      </c>
      <c r="F77" s="16">
        <v>2</v>
      </c>
      <c r="G77" s="17" t="s">
        <v>222</v>
      </c>
      <c r="H77" s="17" t="s">
        <v>222</v>
      </c>
    </row>
    <row r="78" spans="1:8" x14ac:dyDescent="0.25">
      <c r="A78" s="16" t="s">
        <v>223</v>
      </c>
      <c r="B78" s="17" t="s">
        <v>224</v>
      </c>
      <c r="C78" s="17" t="s">
        <v>3865</v>
      </c>
      <c r="D78" s="17" t="s">
        <v>3866</v>
      </c>
      <c r="E78" s="17">
        <v>5</v>
      </c>
      <c r="F78" s="16">
        <v>2</v>
      </c>
      <c r="G78" s="17" t="s">
        <v>225</v>
      </c>
      <c r="H78" s="17" t="s">
        <v>226</v>
      </c>
    </row>
    <row r="79" spans="1:8" x14ac:dyDescent="0.25">
      <c r="A79" s="16" t="s">
        <v>227</v>
      </c>
      <c r="B79" s="17" t="s">
        <v>57</v>
      </c>
      <c r="C79" s="17" t="s">
        <v>3867</v>
      </c>
      <c r="D79" s="17" t="s">
        <v>3868</v>
      </c>
      <c r="E79" s="17">
        <v>5</v>
      </c>
      <c r="F79" s="16">
        <v>2</v>
      </c>
      <c r="G79" s="17" t="s">
        <v>228</v>
      </c>
      <c r="H79" s="17" t="s">
        <v>228</v>
      </c>
    </row>
    <row r="80" spans="1:8" x14ac:dyDescent="0.25">
      <c r="A80" s="16" t="s">
        <v>229</v>
      </c>
      <c r="B80" s="17" t="s">
        <v>166</v>
      </c>
      <c r="C80" s="17" t="s">
        <v>1589</v>
      </c>
      <c r="D80" s="17" t="s">
        <v>3869</v>
      </c>
      <c r="E80" s="17">
        <v>5</v>
      </c>
      <c r="F80" s="16">
        <v>2</v>
      </c>
      <c r="G80" s="17" t="s">
        <v>228</v>
      </c>
      <c r="H80" s="17" t="s">
        <v>230</v>
      </c>
    </row>
    <row r="81" spans="1:8" x14ac:dyDescent="0.25">
      <c r="A81" s="16" t="s">
        <v>231</v>
      </c>
      <c r="B81" s="17" t="s">
        <v>172</v>
      </c>
      <c r="C81" s="17" t="s">
        <v>3766</v>
      </c>
      <c r="D81" s="17" t="s">
        <v>3870</v>
      </c>
      <c r="E81" s="17">
        <v>5</v>
      </c>
      <c r="F81" s="16">
        <v>2</v>
      </c>
      <c r="G81" s="17" t="s">
        <v>228</v>
      </c>
      <c r="H81" s="17" t="s">
        <v>232</v>
      </c>
    </row>
    <row r="82" spans="1:8" x14ac:dyDescent="0.25">
      <c r="A82" s="16" t="s">
        <v>233</v>
      </c>
      <c r="B82" s="17" t="s">
        <v>234</v>
      </c>
      <c r="C82" s="17" t="s">
        <v>3871</v>
      </c>
      <c r="D82" s="17" t="s">
        <v>3872</v>
      </c>
      <c r="E82" s="17">
        <v>5</v>
      </c>
      <c r="F82" s="16">
        <v>2</v>
      </c>
      <c r="G82" s="17" t="s">
        <v>235</v>
      </c>
      <c r="H82" s="17" t="s">
        <v>236</v>
      </c>
    </row>
    <row r="83" spans="1:8" x14ac:dyDescent="0.25">
      <c r="A83" s="16" t="s">
        <v>237</v>
      </c>
      <c r="B83" s="17" t="s">
        <v>41</v>
      </c>
      <c r="C83" s="17" t="s">
        <v>3873</v>
      </c>
      <c r="D83" s="17" t="s">
        <v>3874</v>
      </c>
      <c r="E83" s="17">
        <v>5</v>
      </c>
      <c r="F83" s="16">
        <v>2</v>
      </c>
      <c r="G83" s="17" t="s">
        <v>235</v>
      </c>
      <c r="H83" s="17" t="s">
        <v>238</v>
      </c>
    </row>
    <row r="84" spans="1:8" x14ac:dyDescent="0.25">
      <c r="A84" s="16" t="s">
        <v>239</v>
      </c>
      <c r="B84" s="17" t="s">
        <v>95</v>
      </c>
      <c r="C84" s="17" t="s">
        <v>3875</v>
      </c>
      <c r="D84" s="17" t="s">
        <v>3876</v>
      </c>
      <c r="E84" s="17">
        <v>5</v>
      </c>
      <c r="F84" s="16">
        <v>2</v>
      </c>
      <c r="G84" s="17" t="s">
        <v>240</v>
      </c>
      <c r="H84" s="17" t="s">
        <v>240</v>
      </c>
    </row>
    <row r="85" spans="1:8" x14ac:dyDescent="0.25">
      <c r="A85" s="16" t="s">
        <v>241</v>
      </c>
      <c r="B85" s="17" t="s">
        <v>166</v>
      </c>
      <c r="C85" s="17" t="s">
        <v>3877</v>
      </c>
      <c r="D85" s="17" t="s">
        <v>3878</v>
      </c>
      <c r="E85" s="17">
        <v>5</v>
      </c>
      <c r="F85" s="16">
        <v>2</v>
      </c>
      <c r="G85" s="17" t="s">
        <v>240</v>
      </c>
      <c r="H85" s="17" t="s">
        <v>242</v>
      </c>
    </row>
    <row r="86" spans="1:8" x14ac:dyDescent="0.25">
      <c r="A86" s="16" t="s">
        <v>243</v>
      </c>
      <c r="B86" s="17" t="s">
        <v>198</v>
      </c>
      <c r="C86" s="17" t="s">
        <v>3879</v>
      </c>
      <c r="D86" s="17" t="s">
        <v>3880</v>
      </c>
      <c r="E86" s="17">
        <v>5</v>
      </c>
      <c r="F86" s="16">
        <v>2</v>
      </c>
      <c r="G86" s="17" t="s">
        <v>240</v>
      </c>
      <c r="H86" s="17" t="s">
        <v>244</v>
      </c>
    </row>
    <row r="87" spans="1:8" x14ac:dyDescent="0.25">
      <c r="A87" s="16" t="s">
        <v>245</v>
      </c>
      <c r="B87" s="17" t="s">
        <v>92</v>
      </c>
      <c r="C87" s="17" t="s">
        <v>3881</v>
      </c>
      <c r="D87" s="17" t="s">
        <v>3882</v>
      </c>
      <c r="E87" s="17">
        <v>5</v>
      </c>
      <c r="F87" s="16">
        <v>2</v>
      </c>
      <c r="G87" s="17" t="s">
        <v>246</v>
      </c>
      <c r="H87" s="17" t="s">
        <v>246</v>
      </c>
    </row>
    <row r="88" spans="1:8" x14ac:dyDescent="0.25">
      <c r="A88" s="16" t="s">
        <v>247</v>
      </c>
      <c r="B88" s="17" t="s">
        <v>126</v>
      </c>
      <c r="C88" s="17" t="s">
        <v>3766</v>
      </c>
      <c r="D88" s="17" t="s">
        <v>3883</v>
      </c>
      <c r="E88" s="17">
        <v>5</v>
      </c>
      <c r="F88" s="16">
        <v>2</v>
      </c>
      <c r="G88" s="17" t="s">
        <v>246</v>
      </c>
      <c r="H88" s="17" t="s">
        <v>248</v>
      </c>
    </row>
    <row r="89" spans="1:8" x14ac:dyDescent="0.25">
      <c r="A89" s="16" t="s">
        <v>249</v>
      </c>
      <c r="B89" s="17" t="s">
        <v>95</v>
      </c>
      <c r="C89" s="17" t="s">
        <v>3884</v>
      </c>
      <c r="D89" s="17" t="s">
        <v>3885</v>
      </c>
      <c r="E89" s="17">
        <v>5</v>
      </c>
      <c r="F89" s="16">
        <v>2</v>
      </c>
      <c r="G89" s="17" t="s">
        <v>250</v>
      </c>
      <c r="H89" s="17" t="s">
        <v>250</v>
      </c>
    </row>
    <row r="90" spans="1:8" x14ac:dyDescent="0.25">
      <c r="A90" s="16" t="s">
        <v>251</v>
      </c>
      <c r="B90" s="17" t="s">
        <v>166</v>
      </c>
      <c r="C90" s="17" t="s">
        <v>3886</v>
      </c>
      <c r="D90" s="17" t="s">
        <v>3887</v>
      </c>
      <c r="E90" s="17">
        <v>5</v>
      </c>
      <c r="F90" s="16">
        <v>2</v>
      </c>
      <c r="G90" s="17" t="s">
        <v>250</v>
      </c>
      <c r="H90" s="17" t="s">
        <v>252</v>
      </c>
    </row>
    <row r="91" spans="1:8" x14ac:dyDescent="0.25">
      <c r="A91" s="16" t="s">
        <v>253</v>
      </c>
      <c r="B91" s="17" t="s">
        <v>254</v>
      </c>
      <c r="C91" s="17" t="s">
        <v>3888</v>
      </c>
      <c r="D91" s="17" t="s">
        <v>3889</v>
      </c>
      <c r="E91" s="17">
        <v>5</v>
      </c>
      <c r="F91" s="16">
        <v>2</v>
      </c>
      <c r="G91" s="17" t="s">
        <v>255</v>
      </c>
      <c r="H91" s="17" t="s">
        <v>255</v>
      </c>
    </row>
    <row r="92" spans="1:8" x14ac:dyDescent="0.25">
      <c r="A92" s="16" t="s">
        <v>256</v>
      </c>
      <c r="B92" s="17" t="s">
        <v>23</v>
      </c>
      <c r="C92" s="17" t="s">
        <v>3890</v>
      </c>
      <c r="D92" s="17" t="s">
        <v>3891</v>
      </c>
      <c r="E92" s="17">
        <v>6</v>
      </c>
      <c r="F92" s="16">
        <v>2</v>
      </c>
      <c r="G92" s="17" t="s">
        <v>257</v>
      </c>
      <c r="H92" s="17" t="s">
        <v>257</v>
      </c>
    </row>
    <row r="93" spans="1:8" x14ac:dyDescent="0.25">
      <c r="A93" s="16" t="s">
        <v>258</v>
      </c>
      <c r="B93" s="17" t="s">
        <v>259</v>
      </c>
      <c r="C93" s="17" t="s">
        <v>3892</v>
      </c>
      <c r="D93" s="17" t="s">
        <v>3893</v>
      </c>
      <c r="E93" s="17">
        <v>6</v>
      </c>
      <c r="F93" s="16">
        <v>2</v>
      </c>
      <c r="G93" s="17" t="s">
        <v>257</v>
      </c>
      <c r="H93" s="17" t="s">
        <v>257</v>
      </c>
    </row>
    <row r="94" spans="1:8" x14ac:dyDescent="0.25">
      <c r="A94" s="16" t="s">
        <v>260</v>
      </c>
      <c r="B94" s="17" t="s">
        <v>261</v>
      </c>
      <c r="C94" s="17" t="s">
        <v>3766</v>
      </c>
      <c r="D94" s="17" t="s">
        <v>3894</v>
      </c>
      <c r="E94" s="17">
        <v>6</v>
      </c>
      <c r="F94" s="16">
        <v>2</v>
      </c>
      <c r="G94" s="17" t="s">
        <v>257</v>
      </c>
      <c r="H94" s="17" t="s">
        <v>262</v>
      </c>
    </row>
    <row r="95" spans="1:8" x14ac:dyDescent="0.25">
      <c r="A95" s="16" t="s">
        <v>263</v>
      </c>
      <c r="B95" s="17" t="s">
        <v>92</v>
      </c>
      <c r="C95" s="17" t="s">
        <v>3766</v>
      </c>
      <c r="D95" s="17" t="s">
        <v>3895</v>
      </c>
      <c r="E95" s="17">
        <v>6</v>
      </c>
      <c r="F95" s="16">
        <v>2</v>
      </c>
      <c r="G95" s="17" t="s">
        <v>257</v>
      </c>
      <c r="H95" s="17" t="s">
        <v>49</v>
      </c>
    </row>
    <row r="96" spans="1:8" x14ac:dyDescent="0.25">
      <c r="A96" s="16" t="s">
        <v>264</v>
      </c>
      <c r="B96" s="17" t="s">
        <v>254</v>
      </c>
      <c r="C96" s="17" t="s">
        <v>3896</v>
      </c>
      <c r="D96" s="17" t="s">
        <v>3897</v>
      </c>
      <c r="E96" s="17">
        <v>6</v>
      </c>
      <c r="F96" s="16">
        <v>2</v>
      </c>
      <c r="G96" s="17" t="s">
        <v>257</v>
      </c>
      <c r="H96" s="17" t="s">
        <v>265</v>
      </c>
    </row>
    <row r="97" spans="1:8" x14ac:dyDescent="0.25">
      <c r="A97" s="16" t="s">
        <v>266</v>
      </c>
      <c r="B97" s="17" t="s">
        <v>153</v>
      </c>
      <c r="C97" s="17" t="s">
        <v>3898</v>
      </c>
      <c r="D97" s="17" t="s">
        <v>3899</v>
      </c>
      <c r="E97" s="17">
        <v>6</v>
      </c>
      <c r="F97" s="16">
        <v>2</v>
      </c>
      <c r="G97" s="17" t="s">
        <v>257</v>
      </c>
      <c r="H97" s="17" t="s">
        <v>267</v>
      </c>
    </row>
    <row r="98" spans="1:8" x14ac:dyDescent="0.25">
      <c r="A98" s="16" t="s">
        <v>268</v>
      </c>
      <c r="B98" s="17" t="s">
        <v>269</v>
      </c>
      <c r="C98" s="17" t="s">
        <v>3900</v>
      </c>
      <c r="D98" s="17" t="s">
        <v>3901</v>
      </c>
      <c r="E98" s="17">
        <v>6</v>
      </c>
      <c r="F98" s="16">
        <v>2</v>
      </c>
      <c r="G98" s="17" t="s">
        <v>257</v>
      </c>
      <c r="H98" s="17" t="s">
        <v>270</v>
      </c>
    </row>
    <row r="99" spans="1:8" x14ac:dyDescent="0.25">
      <c r="A99" s="16" t="s">
        <v>271</v>
      </c>
      <c r="B99" s="17" t="s">
        <v>272</v>
      </c>
      <c r="C99" s="17" t="s">
        <v>3902</v>
      </c>
      <c r="D99" s="17" t="s">
        <v>3903</v>
      </c>
      <c r="E99" s="17">
        <v>6</v>
      </c>
      <c r="F99" s="16">
        <v>2</v>
      </c>
      <c r="G99" s="17" t="s">
        <v>257</v>
      </c>
      <c r="H99" s="17" t="s">
        <v>273</v>
      </c>
    </row>
    <row r="100" spans="1:8" x14ac:dyDescent="0.25">
      <c r="A100" s="16" t="s">
        <v>274</v>
      </c>
      <c r="B100" s="17" t="s">
        <v>135</v>
      </c>
      <c r="C100" s="17" t="s">
        <v>3904</v>
      </c>
      <c r="D100" s="17" t="s">
        <v>3905</v>
      </c>
      <c r="E100" s="17">
        <v>6</v>
      </c>
      <c r="F100" s="16">
        <v>2</v>
      </c>
      <c r="G100" s="17" t="s">
        <v>23</v>
      </c>
      <c r="H100" s="17" t="s">
        <v>275</v>
      </c>
    </row>
    <row r="101" spans="1:8" x14ac:dyDescent="0.25">
      <c r="A101" s="16" t="s">
        <v>276</v>
      </c>
      <c r="B101" s="17" t="s">
        <v>277</v>
      </c>
      <c r="C101" s="17" t="s">
        <v>3906</v>
      </c>
      <c r="D101" s="17" t="s">
        <v>3907</v>
      </c>
      <c r="E101" s="17">
        <v>6</v>
      </c>
      <c r="F101" s="16">
        <v>2</v>
      </c>
      <c r="G101" s="17" t="s">
        <v>23</v>
      </c>
      <c r="H101" s="17" t="s">
        <v>278</v>
      </c>
    </row>
    <row r="102" spans="1:8" x14ac:dyDescent="0.25">
      <c r="A102" s="16" t="s">
        <v>279</v>
      </c>
      <c r="B102" s="17" t="s">
        <v>280</v>
      </c>
      <c r="C102" s="17" t="s">
        <v>3908</v>
      </c>
      <c r="D102" s="17" t="s">
        <v>3909</v>
      </c>
      <c r="E102" s="17">
        <v>6</v>
      </c>
      <c r="F102" s="16">
        <v>2</v>
      </c>
      <c r="G102" s="17" t="s">
        <v>23</v>
      </c>
      <c r="H102" s="17" t="s">
        <v>281</v>
      </c>
    </row>
    <row r="103" spans="1:8" x14ac:dyDescent="0.25">
      <c r="A103" s="16" t="s">
        <v>282</v>
      </c>
      <c r="B103" s="17" t="s">
        <v>269</v>
      </c>
      <c r="C103" s="17" t="s">
        <v>3910</v>
      </c>
      <c r="D103" s="17" t="s">
        <v>3911</v>
      </c>
      <c r="E103" s="17">
        <v>6</v>
      </c>
      <c r="F103" s="16">
        <v>2</v>
      </c>
      <c r="G103" s="17" t="s">
        <v>23</v>
      </c>
      <c r="H103" s="17" t="s">
        <v>283</v>
      </c>
    </row>
    <row r="104" spans="1:8" x14ac:dyDescent="0.25">
      <c r="A104" s="16" t="s">
        <v>284</v>
      </c>
      <c r="B104" s="17" t="s">
        <v>135</v>
      </c>
      <c r="C104" s="17" t="s">
        <v>3766</v>
      </c>
      <c r="D104" s="17" t="s">
        <v>3912</v>
      </c>
      <c r="E104" s="17">
        <v>6</v>
      </c>
      <c r="F104" s="16">
        <v>2</v>
      </c>
      <c r="G104" s="17" t="s">
        <v>23</v>
      </c>
      <c r="H104" s="17" t="s">
        <v>285</v>
      </c>
    </row>
    <row r="105" spans="1:8" x14ac:dyDescent="0.25">
      <c r="A105" s="16" t="s">
        <v>286</v>
      </c>
      <c r="B105" s="17" t="s">
        <v>129</v>
      </c>
      <c r="C105" s="17" t="s">
        <v>3913</v>
      </c>
      <c r="D105" s="17" t="s">
        <v>3914</v>
      </c>
      <c r="E105" s="17">
        <v>6</v>
      </c>
      <c r="F105" s="16">
        <v>2</v>
      </c>
      <c r="G105" s="17" t="s">
        <v>225</v>
      </c>
      <c r="H105" s="17" t="s">
        <v>226</v>
      </c>
    </row>
    <row r="106" spans="1:8" x14ac:dyDescent="0.25">
      <c r="A106" s="16" t="s">
        <v>287</v>
      </c>
      <c r="B106" s="17" t="s">
        <v>83</v>
      </c>
      <c r="C106" s="17" t="s">
        <v>3915</v>
      </c>
      <c r="D106" s="17" t="s">
        <v>3916</v>
      </c>
      <c r="E106" s="17">
        <v>6</v>
      </c>
      <c r="F106" s="16">
        <v>2</v>
      </c>
      <c r="G106" s="17" t="s">
        <v>225</v>
      </c>
      <c r="H106" s="17" t="s">
        <v>226</v>
      </c>
    </row>
    <row r="107" spans="1:8" x14ac:dyDescent="0.25">
      <c r="A107" s="16" t="s">
        <v>288</v>
      </c>
      <c r="B107" s="17" t="s">
        <v>289</v>
      </c>
      <c r="C107" s="17" t="s">
        <v>3917</v>
      </c>
      <c r="D107" s="17" t="s">
        <v>3918</v>
      </c>
      <c r="E107" s="17">
        <v>7</v>
      </c>
      <c r="F107" s="16">
        <v>4</v>
      </c>
      <c r="G107" s="17" t="s">
        <v>290</v>
      </c>
      <c r="H107" s="17" t="s">
        <v>290</v>
      </c>
    </row>
    <row r="108" spans="1:8" x14ac:dyDescent="0.25">
      <c r="A108" s="16" t="s">
        <v>291</v>
      </c>
      <c r="B108" s="17" t="s">
        <v>292</v>
      </c>
      <c r="C108" s="17" t="s">
        <v>3919</v>
      </c>
      <c r="D108" s="17" t="s">
        <v>3920</v>
      </c>
      <c r="E108" s="17">
        <v>7</v>
      </c>
      <c r="F108" s="16">
        <v>4</v>
      </c>
      <c r="G108" s="17" t="s">
        <v>290</v>
      </c>
      <c r="H108" s="17" t="s">
        <v>293</v>
      </c>
    </row>
    <row r="109" spans="1:8" x14ac:dyDescent="0.25">
      <c r="A109" s="16" t="s">
        <v>294</v>
      </c>
      <c r="B109" s="17" t="s">
        <v>295</v>
      </c>
      <c r="C109" s="17" t="s">
        <v>3921</v>
      </c>
      <c r="D109" s="17" t="s">
        <v>3922</v>
      </c>
      <c r="E109" s="17">
        <v>7</v>
      </c>
      <c r="F109" s="16">
        <v>4</v>
      </c>
      <c r="G109" s="17" t="s">
        <v>296</v>
      </c>
      <c r="H109" s="17" t="s">
        <v>296</v>
      </c>
    </row>
    <row r="110" spans="1:8" x14ac:dyDescent="0.25">
      <c r="A110" s="16" t="s">
        <v>297</v>
      </c>
      <c r="B110" s="17" t="s">
        <v>298</v>
      </c>
      <c r="C110" s="17" t="s">
        <v>3923</v>
      </c>
      <c r="D110" s="17" t="s">
        <v>3924</v>
      </c>
      <c r="E110" s="17">
        <v>7</v>
      </c>
      <c r="F110" s="16">
        <v>4</v>
      </c>
      <c r="G110" s="17" t="s">
        <v>296</v>
      </c>
      <c r="H110" s="17" t="s">
        <v>299</v>
      </c>
    </row>
    <row r="111" spans="1:8" x14ac:dyDescent="0.25">
      <c r="A111" s="16" t="s">
        <v>300</v>
      </c>
      <c r="B111" s="17" t="s">
        <v>301</v>
      </c>
      <c r="C111" s="17" t="s">
        <v>3925</v>
      </c>
      <c r="D111" s="17" t="s">
        <v>3926</v>
      </c>
      <c r="E111" s="17">
        <v>7</v>
      </c>
      <c r="F111" s="16">
        <v>4</v>
      </c>
      <c r="G111" s="17" t="s">
        <v>302</v>
      </c>
      <c r="H111" s="17" t="s">
        <v>302</v>
      </c>
    </row>
    <row r="112" spans="1:8" x14ac:dyDescent="0.25">
      <c r="A112" s="16" t="s">
        <v>303</v>
      </c>
      <c r="B112" s="17" t="s">
        <v>166</v>
      </c>
      <c r="C112" s="17" t="s">
        <v>3927</v>
      </c>
      <c r="D112" s="17" t="s">
        <v>3928</v>
      </c>
      <c r="E112" s="17">
        <v>7</v>
      </c>
      <c r="F112" s="16">
        <v>4</v>
      </c>
      <c r="G112" s="17" t="s">
        <v>302</v>
      </c>
      <c r="H112" s="17" t="s">
        <v>304</v>
      </c>
    </row>
    <row r="113" spans="1:8" x14ac:dyDescent="0.25">
      <c r="A113" s="16" t="s">
        <v>305</v>
      </c>
      <c r="B113" s="17" t="s">
        <v>306</v>
      </c>
      <c r="C113" s="17" t="s">
        <v>3929</v>
      </c>
      <c r="D113" s="17" t="s">
        <v>3930</v>
      </c>
      <c r="E113" s="17">
        <v>7</v>
      </c>
      <c r="F113" s="16">
        <v>4</v>
      </c>
      <c r="G113" s="17" t="s">
        <v>302</v>
      </c>
      <c r="H113" s="17" t="s">
        <v>307</v>
      </c>
    </row>
    <row r="114" spans="1:8" x14ac:dyDescent="0.25">
      <c r="A114" s="16" t="s">
        <v>308</v>
      </c>
      <c r="B114" s="17" t="s">
        <v>309</v>
      </c>
      <c r="C114" s="17" t="s">
        <v>3931</v>
      </c>
      <c r="D114" s="17" t="s">
        <v>3932</v>
      </c>
      <c r="E114" s="17">
        <v>7</v>
      </c>
      <c r="F114" s="16">
        <v>4</v>
      </c>
      <c r="G114" s="17" t="s">
        <v>302</v>
      </c>
      <c r="H114" s="17" t="s">
        <v>310</v>
      </c>
    </row>
    <row r="115" spans="1:8" x14ac:dyDescent="0.25">
      <c r="A115" s="16" t="s">
        <v>311</v>
      </c>
      <c r="B115" s="17" t="s">
        <v>166</v>
      </c>
      <c r="C115" s="17" t="s">
        <v>3933</v>
      </c>
      <c r="D115" s="17" t="s">
        <v>3934</v>
      </c>
      <c r="E115" s="17">
        <v>7</v>
      </c>
      <c r="F115" s="16">
        <v>4</v>
      </c>
      <c r="G115" s="17" t="s">
        <v>302</v>
      </c>
      <c r="H115" s="17" t="s">
        <v>312</v>
      </c>
    </row>
    <row r="116" spans="1:8" x14ac:dyDescent="0.25">
      <c r="A116" s="16" t="s">
        <v>313</v>
      </c>
      <c r="B116" s="17" t="s">
        <v>166</v>
      </c>
      <c r="C116" s="17" t="s">
        <v>3935</v>
      </c>
      <c r="D116" s="17" t="s">
        <v>3936</v>
      </c>
      <c r="E116" s="17">
        <v>7</v>
      </c>
      <c r="F116" s="16">
        <v>4</v>
      </c>
      <c r="G116" s="17" t="s">
        <v>302</v>
      </c>
      <c r="H116" s="17" t="s">
        <v>314</v>
      </c>
    </row>
    <row r="117" spans="1:8" x14ac:dyDescent="0.25">
      <c r="A117" s="16" t="s">
        <v>315</v>
      </c>
      <c r="B117" s="17" t="s">
        <v>261</v>
      </c>
      <c r="C117" s="17" t="s">
        <v>3937</v>
      </c>
      <c r="D117" s="17" t="s">
        <v>3938</v>
      </c>
      <c r="E117" s="17">
        <v>7</v>
      </c>
      <c r="F117" s="16">
        <v>4</v>
      </c>
      <c r="G117" s="17" t="s">
        <v>302</v>
      </c>
      <c r="H117" s="17" t="s">
        <v>316</v>
      </c>
    </row>
    <row r="118" spans="1:8" x14ac:dyDescent="0.25">
      <c r="A118" s="16" t="s">
        <v>317</v>
      </c>
      <c r="B118" s="17" t="s">
        <v>318</v>
      </c>
      <c r="C118" s="17" t="s">
        <v>3939</v>
      </c>
      <c r="D118" s="17" t="s">
        <v>3940</v>
      </c>
      <c r="E118" s="17">
        <v>7</v>
      </c>
      <c r="F118" s="16">
        <v>4</v>
      </c>
      <c r="G118" s="17" t="s">
        <v>319</v>
      </c>
      <c r="H118" s="17" t="s">
        <v>319</v>
      </c>
    </row>
    <row r="119" spans="1:8" x14ac:dyDescent="0.25">
      <c r="A119" s="16" t="s">
        <v>320</v>
      </c>
      <c r="B119" s="17" t="s">
        <v>198</v>
      </c>
      <c r="C119" s="17" t="s">
        <v>3941</v>
      </c>
      <c r="D119" s="17" t="s">
        <v>3942</v>
      </c>
      <c r="E119" s="17">
        <v>7</v>
      </c>
      <c r="F119" s="16">
        <v>4</v>
      </c>
      <c r="G119" s="17" t="s">
        <v>319</v>
      </c>
      <c r="H119" s="17" t="s">
        <v>319</v>
      </c>
    </row>
    <row r="120" spans="1:8" x14ac:dyDescent="0.25">
      <c r="A120" s="16" t="s">
        <v>321</v>
      </c>
      <c r="B120" s="17" t="s">
        <v>322</v>
      </c>
      <c r="C120" s="17" t="s">
        <v>3943</v>
      </c>
      <c r="D120" s="17" t="s">
        <v>3944</v>
      </c>
      <c r="E120" s="17">
        <v>7</v>
      </c>
      <c r="F120" s="16">
        <v>4</v>
      </c>
      <c r="G120" s="17" t="s">
        <v>319</v>
      </c>
      <c r="H120" s="17" t="s">
        <v>319</v>
      </c>
    </row>
    <row r="121" spans="1:8" x14ac:dyDescent="0.25">
      <c r="A121" s="16" t="s">
        <v>323</v>
      </c>
      <c r="B121" s="17" t="s">
        <v>92</v>
      </c>
      <c r="C121" s="17" t="s">
        <v>3945</v>
      </c>
      <c r="D121" s="17" t="s">
        <v>3946</v>
      </c>
      <c r="E121" s="17">
        <v>7</v>
      </c>
      <c r="F121" s="16">
        <v>4</v>
      </c>
      <c r="G121" s="17" t="s">
        <v>319</v>
      </c>
      <c r="H121" s="17" t="s">
        <v>319</v>
      </c>
    </row>
    <row r="122" spans="1:8" x14ac:dyDescent="0.25">
      <c r="A122" s="16" t="s">
        <v>324</v>
      </c>
      <c r="B122" s="17" t="s">
        <v>172</v>
      </c>
      <c r="C122" s="17" t="s">
        <v>3947</v>
      </c>
      <c r="D122" s="17" t="s">
        <v>3948</v>
      </c>
      <c r="E122" s="17">
        <v>7</v>
      </c>
      <c r="F122" s="16">
        <v>4</v>
      </c>
      <c r="G122" s="17" t="s">
        <v>319</v>
      </c>
      <c r="H122" s="17" t="s">
        <v>319</v>
      </c>
    </row>
    <row r="123" spans="1:8" x14ac:dyDescent="0.25">
      <c r="A123" s="16" t="s">
        <v>325</v>
      </c>
      <c r="B123" s="17" t="s">
        <v>326</v>
      </c>
      <c r="C123" s="17" t="s">
        <v>3902</v>
      </c>
      <c r="D123" s="17" t="s">
        <v>3949</v>
      </c>
      <c r="E123" s="17">
        <v>8</v>
      </c>
      <c r="F123" s="16">
        <v>3</v>
      </c>
      <c r="G123" s="17" t="s">
        <v>327</v>
      </c>
      <c r="H123" s="17" t="s">
        <v>328</v>
      </c>
    </row>
    <row r="124" spans="1:8" x14ac:dyDescent="0.25">
      <c r="A124" s="16" t="s">
        <v>329</v>
      </c>
      <c r="B124" s="17" t="s">
        <v>92</v>
      </c>
      <c r="C124" s="17" t="s">
        <v>3950</v>
      </c>
      <c r="D124" s="17" t="s">
        <v>3951</v>
      </c>
      <c r="E124" s="17">
        <v>8</v>
      </c>
      <c r="F124" s="16">
        <v>3</v>
      </c>
      <c r="G124" s="17" t="s">
        <v>330</v>
      </c>
      <c r="H124" s="17" t="s">
        <v>330</v>
      </c>
    </row>
    <row r="125" spans="1:8" x14ac:dyDescent="0.25">
      <c r="A125" s="16" t="s">
        <v>331</v>
      </c>
      <c r="B125" s="17" t="s">
        <v>332</v>
      </c>
      <c r="C125" s="17" t="s">
        <v>3952</v>
      </c>
      <c r="D125" s="17" t="s">
        <v>3953</v>
      </c>
      <c r="E125" s="17">
        <v>8</v>
      </c>
      <c r="F125" s="16">
        <v>3</v>
      </c>
      <c r="G125" s="17" t="s">
        <v>330</v>
      </c>
      <c r="H125" s="17" t="s">
        <v>333</v>
      </c>
    </row>
    <row r="126" spans="1:8" x14ac:dyDescent="0.25">
      <c r="A126" s="16" t="s">
        <v>334</v>
      </c>
      <c r="B126" s="17" t="s">
        <v>166</v>
      </c>
      <c r="C126" s="17" t="s">
        <v>3954</v>
      </c>
      <c r="D126" s="17" t="s">
        <v>3955</v>
      </c>
      <c r="E126" s="17">
        <v>8</v>
      </c>
      <c r="F126" s="16">
        <v>3</v>
      </c>
      <c r="G126" s="17" t="s">
        <v>335</v>
      </c>
      <c r="H126" s="17" t="s">
        <v>167</v>
      </c>
    </row>
    <row r="127" spans="1:8" x14ac:dyDescent="0.25">
      <c r="A127" s="16" t="s">
        <v>336</v>
      </c>
      <c r="B127" s="17" t="s">
        <v>80</v>
      </c>
      <c r="C127" s="17" t="s">
        <v>3956</v>
      </c>
      <c r="D127" s="17" t="s">
        <v>3957</v>
      </c>
      <c r="E127" s="17">
        <v>8</v>
      </c>
      <c r="F127" s="16">
        <v>3</v>
      </c>
      <c r="G127" s="17" t="s">
        <v>337</v>
      </c>
      <c r="H127" s="17" t="s">
        <v>338</v>
      </c>
    </row>
    <row r="128" spans="1:8" x14ac:dyDescent="0.25">
      <c r="A128" s="16" t="s">
        <v>339</v>
      </c>
      <c r="B128" s="17" t="s">
        <v>166</v>
      </c>
      <c r="C128" s="17" t="s">
        <v>3958</v>
      </c>
      <c r="D128" s="17" t="s">
        <v>3959</v>
      </c>
      <c r="E128" s="17">
        <v>8</v>
      </c>
      <c r="F128" s="16">
        <v>3</v>
      </c>
      <c r="G128" s="17" t="s">
        <v>337</v>
      </c>
      <c r="H128" s="17" t="s">
        <v>340</v>
      </c>
    </row>
    <row r="129" spans="1:8" x14ac:dyDescent="0.25">
      <c r="A129" s="16" t="s">
        <v>341</v>
      </c>
      <c r="B129" s="17" t="s">
        <v>77</v>
      </c>
      <c r="C129" s="17" t="s">
        <v>3960</v>
      </c>
      <c r="D129" s="17" t="s">
        <v>3961</v>
      </c>
      <c r="E129" s="17">
        <v>8</v>
      </c>
      <c r="F129" s="16">
        <v>3</v>
      </c>
      <c r="G129" s="17" t="s">
        <v>337</v>
      </c>
      <c r="H129" s="17" t="s">
        <v>342</v>
      </c>
    </row>
    <row r="130" spans="1:8" x14ac:dyDescent="0.25">
      <c r="A130" s="16" t="s">
        <v>343</v>
      </c>
      <c r="B130" s="17" t="s">
        <v>344</v>
      </c>
      <c r="C130" s="17" t="s">
        <v>3962</v>
      </c>
      <c r="D130" s="17" t="s">
        <v>3963</v>
      </c>
      <c r="E130" s="17">
        <v>8</v>
      </c>
      <c r="F130" s="16">
        <v>3</v>
      </c>
      <c r="G130" s="17" t="s">
        <v>337</v>
      </c>
      <c r="H130" s="17" t="s">
        <v>345</v>
      </c>
    </row>
    <row r="131" spans="1:8" x14ac:dyDescent="0.25">
      <c r="A131" s="16" t="s">
        <v>346</v>
      </c>
      <c r="B131" s="17" t="s">
        <v>166</v>
      </c>
      <c r="C131" s="17" t="s">
        <v>3964</v>
      </c>
      <c r="D131" s="17" t="s">
        <v>3965</v>
      </c>
      <c r="E131" s="17">
        <v>8</v>
      </c>
      <c r="F131" s="16">
        <v>3</v>
      </c>
      <c r="G131" s="17" t="s">
        <v>347</v>
      </c>
      <c r="H131" s="17" t="s">
        <v>348</v>
      </c>
    </row>
    <row r="132" spans="1:8" x14ac:dyDescent="0.25">
      <c r="A132" s="16" t="s">
        <v>349</v>
      </c>
      <c r="B132" s="17" t="s">
        <v>72</v>
      </c>
      <c r="C132" s="17" t="s">
        <v>3766</v>
      </c>
      <c r="D132" s="17" t="s">
        <v>3966</v>
      </c>
      <c r="E132" s="17">
        <v>8</v>
      </c>
      <c r="F132" s="16">
        <v>3</v>
      </c>
      <c r="G132" s="17" t="s">
        <v>347</v>
      </c>
      <c r="H132" s="17" t="s">
        <v>350</v>
      </c>
    </row>
    <row r="133" spans="1:8" x14ac:dyDescent="0.25">
      <c r="A133" s="16" t="s">
        <v>351</v>
      </c>
      <c r="B133" s="17" t="s">
        <v>352</v>
      </c>
      <c r="C133" s="17" t="s">
        <v>3766</v>
      </c>
      <c r="D133" s="17" t="s">
        <v>3967</v>
      </c>
      <c r="E133" s="17">
        <v>8</v>
      </c>
      <c r="F133" s="16">
        <v>3</v>
      </c>
      <c r="G133" s="17" t="s">
        <v>353</v>
      </c>
      <c r="H133" s="17" t="s">
        <v>354</v>
      </c>
    </row>
    <row r="134" spans="1:8" x14ac:dyDescent="0.25">
      <c r="A134" s="16" t="s">
        <v>355</v>
      </c>
      <c r="B134" s="17" t="s">
        <v>356</v>
      </c>
      <c r="C134" s="17" t="s">
        <v>3766</v>
      </c>
      <c r="D134" s="17" t="s">
        <v>3968</v>
      </c>
      <c r="E134" s="17">
        <v>8</v>
      </c>
      <c r="F134" s="16">
        <v>3</v>
      </c>
      <c r="G134" s="17" t="s">
        <v>353</v>
      </c>
      <c r="H134" s="17" t="s">
        <v>357</v>
      </c>
    </row>
    <row r="135" spans="1:8" x14ac:dyDescent="0.25">
      <c r="A135" s="16" t="s">
        <v>358</v>
      </c>
      <c r="B135" s="17" t="s">
        <v>166</v>
      </c>
      <c r="C135" s="17" t="s">
        <v>3969</v>
      </c>
      <c r="D135" s="17" t="s">
        <v>3970</v>
      </c>
      <c r="E135" s="17">
        <v>8</v>
      </c>
      <c r="F135" s="16">
        <v>3</v>
      </c>
      <c r="G135" s="17" t="s">
        <v>353</v>
      </c>
      <c r="H135" s="17" t="s">
        <v>359</v>
      </c>
    </row>
    <row r="136" spans="1:8" x14ac:dyDescent="0.25">
      <c r="A136" s="16" t="s">
        <v>360</v>
      </c>
      <c r="B136" s="17" t="s">
        <v>166</v>
      </c>
      <c r="C136" s="17" t="s">
        <v>3971</v>
      </c>
      <c r="D136" s="17" t="s">
        <v>3972</v>
      </c>
      <c r="E136" s="17">
        <v>8</v>
      </c>
      <c r="F136" s="16">
        <v>3</v>
      </c>
      <c r="G136" s="17" t="s">
        <v>353</v>
      </c>
      <c r="H136" s="17" t="s">
        <v>361</v>
      </c>
    </row>
    <row r="137" spans="1:8" x14ac:dyDescent="0.25">
      <c r="A137" s="16" t="s">
        <v>362</v>
      </c>
      <c r="B137" s="17" t="s">
        <v>363</v>
      </c>
      <c r="C137" s="17" t="s">
        <v>3766</v>
      </c>
      <c r="D137" s="17" t="s">
        <v>3973</v>
      </c>
      <c r="E137" s="17">
        <v>8</v>
      </c>
      <c r="F137" s="16">
        <v>3</v>
      </c>
      <c r="G137" s="17" t="s">
        <v>353</v>
      </c>
      <c r="H137" s="17" t="s">
        <v>364</v>
      </c>
    </row>
    <row r="138" spans="1:8" x14ac:dyDescent="0.25">
      <c r="A138" s="16" t="s">
        <v>365</v>
      </c>
      <c r="B138" s="17" t="s">
        <v>366</v>
      </c>
      <c r="C138" s="17" t="s">
        <v>3766</v>
      </c>
      <c r="D138" s="17" t="s">
        <v>3974</v>
      </c>
      <c r="E138" s="17">
        <v>8</v>
      </c>
      <c r="F138" s="16">
        <v>3</v>
      </c>
      <c r="G138" s="17" t="s">
        <v>353</v>
      </c>
      <c r="H138" s="17" t="s">
        <v>367</v>
      </c>
    </row>
    <row r="139" spans="1:8" x14ac:dyDescent="0.25">
      <c r="A139" s="16" t="s">
        <v>368</v>
      </c>
      <c r="B139" s="17" t="s">
        <v>369</v>
      </c>
      <c r="C139" s="17" t="s">
        <v>3975</v>
      </c>
      <c r="D139" s="17" t="s">
        <v>3976</v>
      </c>
      <c r="E139" s="17">
        <v>8</v>
      </c>
      <c r="F139" s="16">
        <v>3</v>
      </c>
      <c r="G139" s="17" t="s">
        <v>370</v>
      </c>
      <c r="H139" s="17" t="s">
        <v>371</v>
      </c>
    </row>
    <row r="140" spans="1:8" x14ac:dyDescent="0.25">
      <c r="A140" s="16" t="s">
        <v>372</v>
      </c>
      <c r="B140" s="17" t="s">
        <v>373</v>
      </c>
      <c r="C140" s="17" t="s">
        <v>3766</v>
      </c>
      <c r="D140" s="17" t="s">
        <v>3977</v>
      </c>
      <c r="E140" s="17">
        <v>8</v>
      </c>
      <c r="F140" s="16">
        <v>3</v>
      </c>
      <c r="G140" s="17" t="s">
        <v>370</v>
      </c>
      <c r="H140" s="17" t="s">
        <v>374</v>
      </c>
    </row>
    <row r="141" spans="1:8" x14ac:dyDescent="0.25">
      <c r="A141" s="16" t="s">
        <v>375</v>
      </c>
      <c r="B141" s="17" t="s">
        <v>376</v>
      </c>
      <c r="C141" s="17" t="s">
        <v>3978</v>
      </c>
      <c r="D141" s="17" t="s">
        <v>3979</v>
      </c>
      <c r="E141" s="17">
        <v>8</v>
      </c>
      <c r="F141" s="16">
        <v>3</v>
      </c>
      <c r="G141" s="17" t="s">
        <v>370</v>
      </c>
      <c r="H141" s="17" t="s">
        <v>377</v>
      </c>
    </row>
    <row r="142" spans="1:8" x14ac:dyDescent="0.25">
      <c r="A142" s="16" t="s">
        <v>378</v>
      </c>
      <c r="B142" s="17" t="s">
        <v>166</v>
      </c>
      <c r="C142" s="17" t="s">
        <v>1589</v>
      </c>
      <c r="D142" s="17" t="s">
        <v>3980</v>
      </c>
      <c r="E142" s="17">
        <v>8</v>
      </c>
      <c r="F142" s="16">
        <v>3</v>
      </c>
      <c r="G142" s="17" t="s">
        <v>370</v>
      </c>
      <c r="H142" s="17" t="s">
        <v>23</v>
      </c>
    </row>
    <row r="143" spans="1:8" x14ac:dyDescent="0.25">
      <c r="A143" s="16" t="s">
        <v>379</v>
      </c>
      <c r="B143" s="17" t="s">
        <v>155</v>
      </c>
      <c r="C143" s="17" t="s">
        <v>3981</v>
      </c>
      <c r="D143" s="17" t="s">
        <v>3982</v>
      </c>
      <c r="E143" s="17">
        <v>8</v>
      </c>
      <c r="F143" s="16">
        <v>3</v>
      </c>
      <c r="G143" s="17" t="s">
        <v>380</v>
      </c>
      <c r="H143" s="17" t="s">
        <v>380</v>
      </c>
    </row>
    <row r="144" spans="1:8" x14ac:dyDescent="0.25">
      <c r="A144" s="16" t="s">
        <v>381</v>
      </c>
      <c r="B144" s="17" t="s">
        <v>166</v>
      </c>
      <c r="C144" s="17" t="s">
        <v>3983</v>
      </c>
      <c r="D144" s="17" t="s">
        <v>3984</v>
      </c>
      <c r="E144" s="17">
        <v>8</v>
      </c>
      <c r="F144" s="16">
        <v>3</v>
      </c>
      <c r="G144" s="17" t="s">
        <v>380</v>
      </c>
      <c r="H144" s="17" t="s">
        <v>382</v>
      </c>
    </row>
    <row r="145" spans="1:8" x14ac:dyDescent="0.25">
      <c r="A145" s="16" t="s">
        <v>383</v>
      </c>
      <c r="B145" s="17" t="s">
        <v>384</v>
      </c>
      <c r="C145" s="17" t="s">
        <v>3985</v>
      </c>
      <c r="D145" s="17" t="s">
        <v>3986</v>
      </c>
      <c r="E145" s="17">
        <v>8</v>
      </c>
      <c r="F145" s="16">
        <v>3</v>
      </c>
      <c r="G145" s="17" t="s">
        <v>385</v>
      </c>
      <c r="H145" s="17" t="s">
        <v>385</v>
      </c>
    </row>
    <row r="146" spans="1:8" x14ac:dyDescent="0.25">
      <c r="A146" s="16" t="s">
        <v>386</v>
      </c>
      <c r="B146" s="17" t="s">
        <v>49</v>
      </c>
      <c r="C146" s="17" t="s">
        <v>3987</v>
      </c>
      <c r="D146" s="17" t="s">
        <v>3988</v>
      </c>
      <c r="E146" s="17">
        <v>9</v>
      </c>
      <c r="F146" s="27">
        <v>10</v>
      </c>
      <c r="G146" s="17" t="s">
        <v>61</v>
      </c>
      <c r="H146" s="17" t="s">
        <v>61</v>
      </c>
    </row>
    <row r="147" spans="1:8" x14ac:dyDescent="0.25">
      <c r="A147" s="16" t="s">
        <v>387</v>
      </c>
      <c r="B147" s="17" t="s">
        <v>388</v>
      </c>
      <c r="C147" s="17" t="s">
        <v>3989</v>
      </c>
      <c r="D147" s="17" t="s">
        <v>3990</v>
      </c>
      <c r="E147" s="17">
        <v>9</v>
      </c>
      <c r="F147" s="27">
        <v>10</v>
      </c>
      <c r="G147" s="17" t="s">
        <v>61</v>
      </c>
      <c r="H147" s="17" t="s">
        <v>61</v>
      </c>
    </row>
    <row r="148" spans="1:8" x14ac:dyDescent="0.25">
      <c r="A148" s="16" t="s">
        <v>389</v>
      </c>
      <c r="B148" s="17" t="s">
        <v>23</v>
      </c>
      <c r="C148" s="17" t="s">
        <v>3766</v>
      </c>
      <c r="D148" s="17" t="s">
        <v>3991</v>
      </c>
      <c r="E148" s="17">
        <v>9</v>
      </c>
      <c r="F148" s="27">
        <v>10</v>
      </c>
      <c r="G148" s="17" t="s">
        <v>61</v>
      </c>
      <c r="H148" s="17" t="s">
        <v>390</v>
      </c>
    </row>
    <row r="149" spans="1:8" x14ac:dyDescent="0.25">
      <c r="A149" s="16" t="s">
        <v>391</v>
      </c>
      <c r="B149" s="17" t="s">
        <v>129</v>
      </c>
      <c r="C149" s="17" t="s">
        <v>3766</v>
      </c>
      <c r="D149" s="17" t="s">
        <v>3992</v>
      </c>
      <c r="E149" s="17">
        <v>9</v>
      </c>
      <c r="F149" s="27">
        <v>10</v>
      </c>
      <c r="G149" s="17" t="s">
        <v>61</v>
      </c>
      <c r="H149" s="17" t="s">
        <v>392</v>
      </c>
    </row>
    <row r="150" spans="1:8" x14ac:dyDescent="0.25">
      <c r="A150" s="16" t="s">
        <v>393</v>
      </c>
      <c r="B150" s="17" t="s">
        <v>394</v>
      </c>
      <c r="C150" s="17" t="s">
        <v>3766</v>
      </c>
      <c r="D150" s="17" t="s">
        <v>3993</v>
      </c>
      <c r="E150" s="17">
        <v>9</v>
      </c>
      <c r="F150" s="27">
        <v>10</v>
      </c>
      <c r="G150" s="17" t="s">
        <v>61</v>
      </c>
      <c r="H150" s="17" t="s">
        <v>395</v>
      </c>
    </row>
    <row r="151" spans="1:8" x14ac:dyDescent="0.25">
      <c r="A151" s="16" t="s">
        <v>396</v>
      </c>
      <c r="B151" s="17" t="s">
        <v>120</v>
      </c>
      <c r="C151" s="17" t="s">
        <v>3766</v>
      </c>
      <c r="D151" s="17" t="s">
        <v>3994</v>
      </c>
      <c r="E151" s="17">
        <v>9</v>
      </c>
      <c r="F151" s="27">
        <v>10</v>
      </c>
      <c r="G151" s="17" t="s">
        <v>61</v>
      </c>
      <c r="H151" s="17" t="s">
        <v>397</v>
      </c>
    </row>
    <row r="152" spans="1:8" x14ac:dyDescent="0.25">
      <c r="A152" s="16" t="s">
        <v>398</v>
      </c>
      <c r="B152" s="17" t="s">
        <v>399</v>
      </c>
      <c r="C152" s="17" t="s">
        <v>3766</v>
      </c>
      <c r="D152" s="17" t="s">
        <v>3994</v>
      </c>
      <c r="E152" s="17">
        <v>9</v>
      </c>
      <c r="F152" s="27">
        <v>10</v>
      </c>
      <c r="G152" s="17" t="s">
        <v>61</v>
      </c>
      <c r="H152" s="17" t="s">
        <v>400</v>
      </c>
    </row>
    <row r="153" spans="1:8" x14ac:dyDescent="0.25">
      <c r="A153" s="16" t="s">
        <v>401</v>
      </c>
      <c r="B153" s="17" t="s">
        <v>138</v>
      </c>
      <c r="C153" s="17" t="s">
        <v>3766</v>
      </c>
      <c r="D153" s="17" t="s">
        <v>3995</v>
      </c>
      <c r="E153" s="17">
        <v>9</v>
      </c>
      <c r="F153" s="27">
        <v>10</v>
      </c>
      <c r="G153" s="17" t="s">
        <v>61</v>
      </c>
      <c r="H153" s="17" t="s">
        <v>402</v>
      </c>
    </row>
    <row r="154" spans="1:8" x14ac:dyDescent="0.25">
      <c r="A154" s="16" t="s">
        <v>403</v>
      </c>
      <c r="B154" s="17" t="s">
        <v>153</v>
      </c>
      <c r="C154" s="17" t="s">
        <v>3996</v>
      </c>
      <c r="D154" s="17" t="s">
        <v>3997</v>
      </c>
      <c r="E154" s="17">
        <v>9</v>
      </c>
      <c r="F154" s="27">
        <v>10</v>
      </c>
      <c r="G154" s="17" t="s">
        <v>61</v>
      </c>
      <c r="H154" s="17" t="s">
        <v>404</v>
      </c>
    </row>
    <row r="155" spans="1:8" x14ac:dyDescent="0.25">
      <c r="A155" s="16" t="s">
        <v>405</v>
      </c>
      <c r="B155" s="17" t="s">
        <v>406</v>
      </c>
      <c r="C155" s="17" t="s">
        <v>3766</v>
      </c>
      <c r="D155" s="17" t="s">
        <v>3998</v>
      </c>
      <c r="E155" s="17">
        <v>9</v>
      </c>
      <c r="F155" s="27">
        <v>10</v>
      </c>
      <c r="G155" s="17" t="s">
        <v>61</v>
      </c>
      <c r="H155" s="17" t="s">
        <v>407</v>
      </c>
    </row>
    <row r="156" spans="1:8" x14ac:dyDescent="0.25">
      <c r="A156" s="16" t="s">
        <v>408</v>
      </c>
      <c r="B156" s="17" t="s">
        <v>135</v>
      </c>
      <c r="C156" s="17" t="s">
        <v>3871</v>
      </c>
      <c r="D156" s="17" t="s">
        <v>3999</v>
      </c>
      <c r="E156" s="17">
        <v>9</v>
      </c>
      <c r="F156" s="27">
        <v>10</v>
      </c>
      <c r="G156" s="17" t="s">
        <v>61</v>
      </c>
      <c r="H156" s="17" t="s">
        <v>409</v>
      </c>
    </row>
    <row r="157" spans="1:8" x14ac:dyDescent="0.25">
      <c r="A157" s="16" t="s">
        <v>410</v>
      </c>
      <c r="B157" s="17" t="s">
        <v>411</v>
      </c>
      <c r="C157" s="17" t="s">
        <v>3766</v>
      </c>
      <c r="D157" s="17" t="s">
        <v>4000</v>
      </c>
      <c r="E157" s="17">
        <v>9</v>
      </c>
      <c r="F157" s="27">
        <v>10</v>
      </c>
      <c r="G157" s="17" t="s">
        <v>61</v>
      </c>
      <c r="H157" s="17" t="s">
        <v>412</v>
      </c>
    </row>
    <row r="158" spans="1:8" x14ac:dyDescent="0.25">
      <c r="A158" s="16" t="s">
        <v>413</v>
      </c>
      <c r="B158" s="17" t="s">
        <v>135</v>
      </c>
      <c r="C158" s="17" t="s">
        <v>3766</v>
      </c>
      <c r="D158" s="17" t="s">
        <v>4001</v>
      </c>
      <c r="E158" s="17">
        <v>9</v>
      </c>
      <c r="F158" s="27">
        <v>10</v>
      </c>
      <c r="G158" s="17" t="s">
        <v>61</v>
      </c>
      <c r="H158" s="17" t="s">
        <v>414</v>
      </c>
    </row>
    <row r="159" spans="1:8" x14ac:dyDescent="0.25">
      <c r="A159" s="16" t="s">
        <v>415</v>
      </c>
      <c r="B159" s="17" t="s">
        <v>23</v>
      </c>
      <c r="C159" s="17" t="s">
        <v>3766</v>
      </c>
      <c r="D159" s="17" t="s">
        <v>4002</v>
      </c>
      <c r="E159" s="17">
        <v>9</v>
      </c>
      <c r="F159" s="27">
        <v>10</v>
      </c>
      <c r="G159" s="17" t="s">
        <v>61</v>
      </c>
      <c r="H159" s="17" t="s">
        <v>416</v>
      </c>
    </row>
    <row r="160" spans="1:8" x14ac:dyDescent="0.25">
      <c r="A160" s="16" t="s">
        <v>417</v>
      </c>
      <c r="B160" s="17" t="s">
        <v>157</v>
      </c>
      <c r="C160" s="17" t="s">
        <v>4003</v>
      </c>
      <c r="D160" s="17" t="s">
        <v>4004</v>
      </c>
      <c r="E160" s="17">
        <v>10</v>
      </c>
      <c r="F160" s="16">
        <v>9</v>
      </c>
      <c r="G160" s="17" t="s">
        <v>418</v>
      </c>
      <c r="H160" s="17" t="s">
        <v>418</v>
      </c>
    </row>
    <row r="161" spans="1:8" x14ac:dyDescent="0.25">
      <c r="A161" s="16" t="s">
        <v>419</v>
      </c>
      <c r="B161" s="17" t="s">
        <v>322</v>
      </c>
      <c r="C161" s="17" t="s">
        <v>4005</v>
      </c>
      <c r="D161" s="17" t="s">
        <v>4006</v>
      </c>
      <c r="E161" s="17">
        <v>10</v>
      </c>
      <c r="F161" s="16">
        <v>9</v>
      </c>
      <c r="G161" s="17" t="s">
        <v>418</v>
      </c>
      <c r="H161" s="17" t="s">
        <v>420</v>
      </c>
    </row>
    <row r="162" spans="1:8" x14ac:dyDescent="0.25">
      <c r="A162" s="16" t="s">
        <v>421</v>
      </c>
      <c r="B162" s="17" t="s">
        <v>151</v>
      </c>
      <c r="C162" s="17" t="s">
        <v>3766</v>
      </c>
      <c r="D162" s="17" t="s">
        <v>4007</v>
      </c>
      <c r="E162" s="17">
        <v>10</v>
      </c>
      <c r="F162" s="16">
        <v>9</v>
      </c>
      <c r="G162" s="17" t="s">
        <v>418</v>
      </c>
      <c r="H162" s="17" t="s">
        <v>422</v>
      </c>
    </row>
    <row r="163" spans="1:8" x14ac:dyDescent="0.25">
      <c r="A163" s="16" t="s">
        <v>423</v>
      </c>
      <c r="B163" s="17" t="s">
        <v>424</v>
      </c>
      <c r="C163" s="17" t="s">
        <v>4008</v>
      </c>
      <c r="D163" s="17" t="s">
        <v>4009</v>
      </c>
      <c r="E163" s="17">
        <v>10</v>
      </c>
      <c r="F163" s="16">
        <v>9</v>
      </c>
      <c r="G163" s="17" t="s">
        <v>418</v>
      </c>
      <c r="H163" s="17" t="s">
        <v>425</v>
      </c>
    </row>
    <row r="164" spans="1:8" x14ac:dyDescent="0.25">
      <c r="A164" s="16" t="s">
        <v>426</v>
      </c>
      <c r="B164" s="17" t="s">
        <v>92</v>
      </c>
      <c r="C164" s="17" t="s">
        <v>630</v>
      </c>
      <c r="D164" s="17" t="s">
        <v>4010</v>
      </c>
      <c r="E164" s="17">
        <v>10</v>
      </c>
      <c r="F164" s="16">
        <v>9</v>
      </c>
      <c r="G164" s="17" t="s">
        <v>418</v>
      </c>
      <c r="H164" s="17" t="s">
        <v>427</v>
      </c>
    </row>
    <row r="165" spans="1:8" x14ac:dyDescent="0.25">
      <c r="A165" s="16" t="s">
        <v>428</v>
      </c>
      <c r="B165" s="17" t="s">
        <v>429</v>
      </c>
      <c r="C165" s="17" t="s">
        <v>4011</v>
      </c>
      <c r="D165" s="17" t="s">
        <v>4012</v>
      </c>
      <c r="E165" s="17">
        <v>10</v>
      </c>
      <c r="F165" s="16">
        <v>9</v>
      </c>
      <c r="G165" s="17" t="s">
        <v>418</v>
      </c>
      <c r="H165" s="17" t="s">
        <v>430</v>
      </c>
    </row>
    <row r="166" spans="1:8" x14ac:dyDescent="0.25">
      <c r="A166" s="16" t="s">
        <v>431</v>
      </c>
      <c r="B166" s="17" t="s">
        <v>38</v>
      </c>
      <c r="C166" s="17" t="s">
        <v>4013</v>
      </c>
      <c r="D166" s="17" t="s">
        <v>4014</v>
      </c>
      <c r="E166" s="17">
        <v>10</v>
      </c>
      <c r="F166" s="16">
        <v>9</v>
      </c>
      <c r="G166" s="17" t="s">
        <v>418</v>
      </c>
      <c r="H166" s="17" t="s">
        <v>432</v>
      </c>
    </row>
    <row r="167" spans="1:8" x14ac:dyDescent="0.25">
      <c r="A167" s="16" t="s">
        <v>433</v>
      </c>
      <c r="B167" s="17" t="s">
        <v>434</v>
      </c>
      <c r="C167" s="17" t="s">
        <v>4015</v>
      </c>
      <c r="D167" s="17" t="s">
        <v>4016</v>
      </c>
      <c r="E167" s="17">
        <v>10</v>
      </c>
      <c r="F167" s="16">
        <v>9</v>
      </c>
      <c r="G167" s="17" t="s">
        <v>435</v>
      </c>
      <c r="H167" s="17" t="s">
        <v>436</v>
      </c>
    </row>
    <row r="168" spans="1:8" x14ac:dyDescent="0.25">
      <c r="A168" s="16" t="s">
        <v>437</v>
      </c>
      <c r="B168" s="17" t="s">
        <v>41</v>
      </c>
      <c r="C168" s="17" t="s">
        <v>4017</v>
      </c>
      <c r="D168" s="17" t="s">
        <v>4018</v>
      </c>
      <c r="E168" s="17">
        <v>10</v>
      </c>
      <c r="F168" s="16">
        <v>9</v>
      </c>
      <c r="G168" s="17" t="s">
        <v>435</v>
      </c>
      <c r="H168" s="17" t="s">
        <v>438</v>
      </c>
    </row>
    <row r="169" spans="1:8" x14ac:dyDescent="0.25">
      <c r="A169" s="16" t="s">
        <v>439</v>
      </c>
      <c r="B169" s="17" t="s">
        <v>440</v>
      </c>
      <c r="C169" s="17" t="s">
        <v>4019</v>
      </c>
      <c r="D169" s="17" t="s">
        <v>4020</v>
      </c>
      <c r="E169" s="17">
        <v>10</v>
      </c>
      <c r="F169" s="16">
        <v>9</v>
      </c>
      <c r="G169" s="17" t="s">
        <v>435</v>
      </c>
      <c r="H169" s="17" t="s">
        <v>441</v>
      </c>
    </row>
    <row r="170" spans="1:8" x14ac:dyDescent="0.25">
      <c r="A170" s="16" t="s">
        <v>442</v>
      </c>
      <c r="B170" s="17" t="s">
        <v>443</v>
      </c>
      <c r="C170" s="17" t="s">
        <v>4021</v>
      </c>
      <c r="D170" s="17" t="s">
        <v>4022</v>
      </c>
      <c r="E170" s="17">
        <v>10</v>
      </c>
      <c r="F170" s="16">
        <v>9</v>
      </c>
      <c r="G170" s="17" t="s">
        <v>435</v>
      </c>
      <c r="H170" s="17" t="s">
        <v>444</v>
      </c>
    </row>
    <row r="171" spans="1:8" x14ac:dyDescent="0.25">
      <c r="A171" s="16" t="s">
        <v>445</v>
      </c>
      <c r="B171" s="17" t="s">
        <v>155</v>
      </c>
      <c r="C171" s="17" t="s">
        <v>4023</v>
      </c>
      <c r="D171" s="17" t="s">
        <v>4024</v>
      </c>
      <c r="E171" s="17">
        <v>10</v>
      </c>
      <c r="F171" s="16">
        <v>9</v>
      </c>
      <c r="G171" s="17" t="s">
        <v>435</v>
      </c>
      <c r="H171" s="17" t="s">
        <v>446</v>
      </c>
    </row>
    <row r="172" spans="1:8" x14ac:dyDescent="0.25">
      <c r="A172" s="16" t="s">
        <v>447</v>
      </c>
      <c r="B172" s="17" t="s">
        <v>448</v>
      </c>
      <c r="C172" s="17" t="s">
        <v>4025</v>
      </c>
      <c r="D172" s="17" t="s">
        <v>4026</v>
      </c>
      <c r="E172" s="17">
        <v>10</v>
      </c>
      <c r="F172" s="16">
        <v>9</v>
      </c>
      <c r="G172" s="17" t="s">
        <v>435</v>
      </c>
      <c r="H172" s="17" t="s">
        <v>449</v>
      </c>
    </row>
    <row r="173" spans="1:8" x14ac:dyDescent="0.25">
      <c r="A173" s="16" t="s">
        <v>450</v>
      </c>
      <c r="B173" s="17" t="s">
        <v>451</v>
      </c>
      <c r="C173" s="17" t="s">
        <v>4027</v>
      </c>
      <c r="D173" s="17" t="s">
        <v>4028</v>
      </c>
      <c r="E173" s="17">
        <v>10</v>
      </c>
      <c r="F173" s="16">
        <v>9</v>
      </c>
      <c r="G173" s="17" t="s">
        <v>435</v>
      </c>
      <c r="H173" s="17" t="s">
        <v>452</v>
      </c>
    </row>
    <row r="174" spans="1:8" x14ac:dyDescent="0.25">
      <c r="A174" s="16" t="s">
        <v>453</v>
      </c>
      <c r="B174" s="17" t="s">
        <v>135</v>
      </c>
      <c r="C174" s="17" t="s">
        <v>4029</v>
      </c>
      <c r="D174" s="17" t="s">
        <v>4030</v>
      </c>
      <c r="E174" s="17">
        <v>10</v>
      </c>
      <c r="F174" s="16">
        <v>9</v>
      </c>
      <c r="G174" s="17" t="s">
        <v>435</v>
      </c>
      <c r="H174" s="17" t="s">
        <v>454</v>
      </c>
    </row>
    <row r="175" spans="1:8" x14ac:dyDescent="0.25">
      <c r="A175" s="16" t="s">
        <v>455</v>
      </c>
      <c r="B175" s="17" t="s">
        <v>138</v>
      </c>
      <c r="C175" s="17" t="s">
        <v>3766</v>
      </c>
      <c r="D175" s="17" t="s">
        <v>4031</v>
      </c>
      <c r="E175" s="17">
        <v>11</v>
      </c>
      <c r="F175" s="27">
        <v>24</v>
      </c>
      <c r="G175" s="17" t="s">
        <v>456</v>
      </c>
      <c r="H175" s="17" t="s">
        <v>457</v>
      </c>
    </row>
    <row r="176" spans="1:8" x14ac:dyDescent="0.25">
      <c r="A176" s="16" t="s">
        <v>458</v>
      </c>
      <c r="B176" s="17" t="s">
        <v>459</v>
      </c>
      <c r="C176" s="17" t="s">
        <v>3766</v>
      </c>
      <c r="D176" s="17" t="s">
        <v>4032</v>
      </c>
      <c r="E176" s="17">
        <v>11</v>
      </c>
      <c r="F176" s="27">
        <v>24</v>
      </c>
      <c r="G176" s="17" t="s">
        <v>456</v>
      </c>
      <c r="H176" s="17" t="s">
        <v>460</v>
      </c>
    </row>
    <row r="177" spans="1:8" x14ac:dyDescent="0.25">
      <c r="A177" s="16" t="s">
        <v>461</v>
      </c>
      <c r="B177" s="17" t="s">
        <v>41</v>
      </c>
      <c r="C177" s="17" t="s">
        <v>41</v>
      </c>
      <c r="D177" s="17" t="s">
        <v>4033</v>
      </c>
      <c r="E177" s="17">
        <v>11</v>
      </c>
      <c r="F177" s="27">
        <v>24</v>
      </c>
      <c r="G177" s="17" t="s">
        <v>456</v>
      </c>
      <c r="H177" s="17" t="s">
        <v>462</v>
      </c>
    </row>
    <row r="178" spans="1:8" x14ac:dyDescent="0.25">
      <c r="A178" s="16" t="s">
        <v>463</v>
      </c>
      <c r="B178" s="17" t="s">
        <v>23</v>
      </c>
      <c r="C178" s="17" t="s">
        <v>4034</v>
      </c>
      <c r="D178" s="17" t="s">
        <v>4035</v>
      </c>
      <c r="E178" s="17">
        <v>11</v>
      </c>
      <c r="F178" s="27">
        <v>24</v>
      </c>
      <c r="G178" s="17" t="s">
        <v>456</v>
      </c>
      <c r="H178" s="17" t="s">
        <v>464</v>
      </c>
    </row>
    <row r="179" spans="1:8" x14ac:dyDescent="0.25">
      <c r="A179" s="16" t="s">
        <v>465</v>
      </c>
      <c r="B179" s="17" t="s">
        <v>466</v>
      </c>
      <c r="C179" s="17" t="s">
        <v>3766</v>
      </c>
      <c r="D179" s="17" t="s">
        <v>4036</v>
      </c>
      <c r="E179" s="17">
        <v>11</v>
      </c>
      <c r="F179" s="27">
        <v>24</v>
      </c>
      <c r="G179" s="17" t="s">
        <v>456</v>
      </c>
      <c r="H179" s="17" t="s">
        <v>467</v>
      </c>
    </row>
    <row r="180" spans="1:8" x14ac:dyDescent="0.25">
      <c r="A180" s="16" t="s">
        <v>468</v>
      </c>
      <c r="B180" s="17" t="s">
        <v>166</v>
      </c>
      <c r="C180" s="17" t="s">
        <v>4037</v>
      </c>
      <c r="D180" s="17" t="s">
        <v>4038</v>
      </c>
      <c r="E180" s="17">
        <v>11</v>
      </c>
      <c r="F180" s="27">
        <v>24</v>
      </c>
      <c r="G180" s="17" t="s">
        <v>456</v>
      </c>
      <c r="H180" s="17" t="s">
        <v>469</v>
      </c>
    </row>
    <row r="181" spans="1:8" x14ac:dyDescent="0.25">
      <c r="A181" s="16" t="s">
        <v>470</v>
      </c>
      <c r="B181" s="17" t="s">
        <v>471</v>
      </c>
      <c r="C181" s="17" t="s">
        <v>3904</v>
      </c>
      <c r="D181" s="17" t="s">
        <v>4039</v>
      </c>
      <c r="E181" s="17">
        <v>11</v>
      </c>
      <c r="F181" s="27">
        <v>24</v>
      </c>
      <c r="G181" s="17" t="s">
        <v>456</v>
      </c>
      <c r="H181" s="17" t="s">
        <v>283</v>
      </c>
    </row>
    <row r="182" spans="1:8" x14ac:dyDescent="0.25">
      <c r="A182" s="16" t="s">
        <v>472</v>
      </c>
      <c r="B182" s="17" t="s">
        <v>114</v>
      </c>
      <c r="C182" s="17" t="s">
        <v>3766</v>
      </c>
      <c r="D182" s="17" t="s">
        <v>4040</v>
      </c>
      <c r="E182" s="17">
        <v>11</v>
      </c>
      <c r="F182" s="27">
        <v>24</v>
      </c>
      <c r="G182" s="17" t="s">
        <v>456</v>
      </c>
      <c r="H182" s="17" t="s">
        <v>473</v>
      </c>
    </row>
    <row r="183" spans="1:8" x14ac:dyDescent="0.25">
      <c r="A183" s="16" t="s">
        <v>474</v>
      </c>
      <c r="B183" s="17" t="s">
        <v>166</v>
      </c>
      <c r="C183" s="17" t="s">
        <v>4041</v>
      </c>
      <c r="D183" s="17" t="s">
        <v>4042</v>
      </c>
      <c r="E183" s="17">
        <v>11</v>
      </c>
      <c r="F183" s="27">
        <v>24</v>
      </c>
      <c r="G183" s="17" t="s">
        <v>456</v>
      </c>
      <c r="H183" s="17" t="s">
        <v>475</v>
      </c>
    </row>
    <row r="184" spans="1:8" x14ac:dyDescent="0.25">
      <c r="A184" s="16" t="s">
        <v>476</v>
      </c>
      <c r="B184" s="17" t="s">
        <v>477</v>
      </c>
      <c r="C184" s="17" t="s">
        <v>3766</v>
      </c>
      <c r="D184" s="17" t="s">
        <v>4038</v>
      </c>
      <c r="E184" s="17">
        <v>11</v>
      </c>
      <c r="F184" s="27">
        <v>24</v>
      </c>
      <c r="G184" s="17" t="s">
        <v>456</v>
      </c>
      <c r="H184" s="17" t="s">
        <v>478</v>
      </c>
    </row>
    <row r="185" spans="1:8" x14ac:dyDescent="0.25">
      <c r="A185" s="16" t="s">
        <v>479</v>
      </c>
      <c r="B185" s="17" t="s">
        <v>480</v>
      </c>
      <c r="C185" s="17" t="s">
        <v>4043</v>
      </c>
      <c r="D185" s="17" t="s">
        <v>4044</v>
      </c>
      <c r="E185" s="17">
        <v>11</v>
      </c>
      <c r="F185" s="27">
        <v>24</v>
      </c>
      <c r="G185" s="17" t="s">
        <v>456</v>
      </c>
      <c r="H185" s="17" t="s">
        <v>481</v>
      </c>
    </row>
    <row r="186" spans="1:8" x14ac:dyDescent="0.25">
      <c r="A186" s="16" t="s">
        <v>482</v>
      </c>
      <c r="B186" s="17" t="s">
        <v>129</v>
      </c>
      <c r="C186" s="17" t="s">
        <v>3766</v>
      </c>
      <c r="D186" s="17" t="s">
        <v>4036</v>
      </c>
      <c r="E186" s="17">
        <v>11</v>
      </c>
      <c r="F186" s="27">
        <v>24</v>
      </c>
      <c r="G186" s="17" t="s">
        <v>456</v>
      </c>
      <c r="H186" s="17" t="s">
        <v>483</v>
      </c>
    </row>
    <row r="187" spans="1:8" x14ac:dyDescent="0.25">
      <c r="A187" s="16" t="s">
        <v>484</v>
      </c>
      <c r="B187" s="17" t="s">
        <v>166</v>
      </c>
      <c r="C187" s="17" t="s">
        <v>3766</v>
      </c>
      <c r="D187" s="17" t="s">
        <v>4045</v>
      </c>
      <c r="E187" s="17">
        <v>11</v>
      </c>
      <c r="F187" s="27">
        <v>24</v>
      </c>
      <c r="G187" s="17" t="s">
        <v>456</v>
      </c>
      <c r="H187" s="17" t="s">
        <v>485</v>
      </c>
    </row>
    <row r="188" spans="1:8" x14ac:dyDescent="0.25">
      <c r="A188" s="16" t="s">
        <v>486</v>
      </c>
      <c r="B188" s="17" t="s">
        <v>151</v>
      </c>
      <c r="C188" s="17" t="s">
        <v>3766</v>
      </c>
      <c r="D188" s="17" t="s">
        <v>4046</v>
      </c>
      <c r="E188" s="17">
        <v>11</v>
      </c>
      <c r="F188" s="27">
        <v>24</v>
      </c>
      <c r="G188" s="17" t="s">
        <v>456</v>
      </c>
      <c r="H188" s="17" t="s">
        <v>487</v>
      </c>
    </row>
    <row r="189" spans="1:8" x14ac:dyDescent="0.25">
      <c r="A189" s="16" t="s">
        <v>488</v>
      </c>
      <c r="B189" s="17" t="s">
        <v>83</v>
      </c>
      <c r="C189" s="17" t="s">
        <v>3766</v>
      </c>
      <c r="D189" s="17" t="s">
        <v>4047</v>
      </c>
      <c r="E189" s="17">
        <v>11</v>
      </c>
      <c r="F189" s="27">
        <v>24</v>
      </c>
      <c r="G189" s="17" t="s">
        <v>456</v>
      </c>
      <c r="H189" s="17" t="s">
        <v>489</v>
      </c>
    </row>
    <row r="190" spans="1:8" x14ac:dyDescent="0.25">
      <c r="A190" s="16" t="s">
        <v>490</v>
      </c>
      <c r="B190" s="17" t="s">
        <v>38</v>
      </c>
      <c r="C190" s="17" t="s">
        <v>3766</v>
      </c>
      <c r="D190" s="17" t="s">
        <v>4048</v>
      </c>
      <c r="E190" s="17">
        <v>11</v>
      </c>
      <c r="F190" s="27">
        <v>24</v>
      </c>
      <c r="G190" s="17" t="s">
        <v>456</v>
      </c>
      <c r="H190" s="17" t="s">
        <v>491</v>
      </c>
    </row>
    <row r="191" spans="1:8" x14ac:dyDescent="0.25">
      <c r="A191" s="16" t="s">
        <v>492</v>
      </c>
      <c r="B191" s="17" t="s">
        <v>135</v>
      </c>
      <c r="C191" s="17" t="s">
        <v>3766</v>
      </c>
      <c r="D191" s="17" t="s">
        <v>4049</v>
      </c>
      <c r="E191" s="17">
        <v>11</v>
      </c>
      <c r="F191" s="27">
        <v>24</v>
      </c>
      <c r="G191" s="17" t="s">
        <v>456</v>
      </c>
      <c r="H191" s="17" t="s">
        <v>493</v>
      </c>
    </row>
    <row r="192" spans="1:8" x14ac:dyDescent="0.25">
      <c r="A192" s="16" t="s">
        <v>494</v>
      </c>
      <c r="B192" s="17" t="s">
        <v>448</v>
      </c>
      <c r="C192" s="17" t="s">
        <v>3766</v>
      </c>
      <c r="D192" s="17" t="s">
        <v>4050</v>
      </c>
      <c r="E192" s="17">
        <v>11</v>
      </c>
      <c r="F192" s="27">
        <v>24</v>
      </c>
      <c r="G192" s="17" t="s">
        <v>456</v>
      </c>
      <c r="H192" s="17" t="s">
        <v>495</v>
      </c>
    </row>
    <row r="193" spans="1:8" x14ac:dyDescent="0.25">
      <c r="A193" s="16" t="s">
        <v>496</v>
      </c>
      <c r="B193" s="17" t="s">
        <v>261</v>
      </c>
      <c r="C193" s="17" t="s">
        <v>4051</v>
      </c>
      <c r="D193" s="17" t="s">
        <v>4052</v>
      </c>
      <c r="E193" s="17">
        <v>11</v>
      </c>
      <c r="F193" s="27">
        <v>24</v>
      </c>
      <c r="G193" s="17" t="s">
        <v>456</v>
      </c>
      <c r="H193" s="17" t="s">
        <v>497</v>
      </c>
    </row>
    <row r="194" spans="1:8" x14ac:dyDescent="0.25">
      <c r="A194" s="16" t="s">
        <v>498</v>
      </c>
      <c r="B194" s="17" t="s">
        <v>499</v>
      </c>
      <c r="C194" s="17" t="s">
        <v>4053</v>
      </c>
      <c r="D194" s="17" t="s">
        <v>4054</v>
      </c>
      <c r="E194" s="17">
        <v>12</v>
      </c>
      <c r="F194" s="16">
        <v>6</v>
      </c>
      <c r="G194" s="17" t="s">
        <v>500</v>
      </c>
      <c r="H194" s="17" t="s">
        <v>501</v>
      </c>
    </row>
    <row r="195" spans="1:8" x14ac:dyDescent="0.25">
      <c r="A195" s="16" t="s">
        <v>498</v>
      </c>
      <c r="B195" s="17" t="s">
        <v>499</v>
      </c>
      <c r="C195" s="17" t="s">
        <v>4053</v>
      </c>
      <c r="D195" s="17" t="s">
        <v>4054</v>
      </c>
      <c r="E195" s="17">
        <v>12</v>
      </c>
      <c r="F195" s="16">
        <v>6</v>
      </c>
      <c r="G195" s="17" t="s">
        <v>500</v>
      </c>
      <c r="H195" s="17" t="s">
        <v>501</v>
      </c>
    </row>
    <row r="196" spans="1:8" x14ac:dyDescent="0.25">
      <c r="A196" s="16" t="s">
        <v>502</v>
      </c>
      <c r="B196" s="17" t="s">
        <v>254</v>
      </c>
      <c r="C196" s="17" t="s">
        <v>4055</v>
      </c>
      <c r="D196" s="17" t="s">
        <v>4056</v>
      </c>
      <c r="E196" s="17">
        <v>12</v>
      </c>
      <c r="F196" s="16">
        <v>6</v>
      </c>
      <c r="G196" s="17" t="s">
        <v>500</v>
      </c>
      <c r="H196" s="17" t="s">
        <v>503</v>
      </c>
    </row>
    <row r="197" spans="1:8" x14ac:dyDescent="0.25">
      <c r="A197" s="16" t="s">
        <v>504</v>
      </c>
      <c r="B197" s="17" t="s">
        <v>505</v>
      </c>
      <c r="C197" s="17" t="s">
        <v>3766</v>
      </c>
      <c r="D197" s="17" t="s">
        <v>4057</v>
      </c>
      <c r="E197" s="17">
        <v>12</v>
      </c>
      <c r="F197" s="16">
        <v>6</v>
      </c>
      <c r="G197" s="17" t="s">
        <v>500</v>
      </c>
      <c r="H197" s="17" t="s">
        <v>506</v>
      </c>
    </row>
    <row r="198" spans="1:8" x14ac:dyDescent="0.25">
      <c r="A198" s="16" t="s">
        <v>507</v>
      </c>
      <c r="B198" s="17" t="s">
        <v>261</v>
      </c>
      <c r="C198" s="17" t="s">
        <v>4058</v>
      </c>
      <c r="D198" s="17" t="s">
        <v>4059</v>
      </c>
      <c r="E198" s="17">
        <v>12</v>
      </c>
      <c r="F198" s="16">
        <v>6</v>
      </c>
      <c r="G198" s="17" t="s">
        <v>500</v>
      </c>
      <c r="H198" s="17" t="s">
        <v>508</v>
      </c>
    </row>
    <row r="199" spans="1:8" x14ac:dyDescent="0.25">
      <c r="A199" s="16" t="s">
        <v>509</v>
      </c>
      <c r="B199" s="17" t="s">
        <v>510</v>
      </c>
      <c r="C199" s="17" t="s">
        <v>3766</v>
      </c>
      <c r="D199" s="17" t="s">
        <v>4060</v>
      </c>
      <c r="E199" s="17">
        <v>12</v>
      </c>
      <c r="F199" s="16">
        <v>6</v>
      </c>
      <c r="G199" s="17" t="s">
        <v>500</v>
      </c>
      <c r="H199" s="17" t="s">
        <v>511</v>
      </c>
    </row>
    <row r="200" spans="1:8" x14ac:dyDescent="0.25">
      <c r="A200" s="16" t="s">
        <v>512</v>
      </c>
      <c r="B200" s="17" t="s">
        <v>23</v>
      </c>
      <c r="C200" s="17" t="s">
        <v>3766</v>
      </c>
      <c r="D200" s="17" t="s">
        <v>4061</v>
      </c>
      <c r="E200" s="17">
        <v>12</v>
      </c>
      <c r="F200" s="16">
        <v>6</v>
      </c>
      <c r="G200" s="17" t="s">
        <v>500</v>
      </c>
      <c r="H200" s="17" t="s">
        <v>513</v>
      </c>
    </row>
    <row r="201" spans="1:8" x14ac:dyDescent="0.25">
      <c r="A201" s="16" t="s">
        <v>514</v>
      </c>
      <c r="B201" s="17" t="s">
        <v>41</v>
      </c>
      <c r="C201" s="17" t="s">
        <v>3766</v>
      </c>
      <c r="D201" s="17" t="s">
        <v>4062</v>
      </c>
      <c r="E201" s="17">
        <v>12</v>
      </c>
      <c r="F201" s="16">
        <v>6</v>
      </c>
      <c r="G201" s="17" t="s">
        <v>500</v>
      </c>
      <c r="H201" s="17" t="s">
        <v>515</v>
      </c>
    </row>
    <row r="202" spans="1:8" x14ac:dyDescent="0.25">
      <c r="A202" s="16" t="s">
        <v>516</v>
      </c>
      <c r="B202" s="17" t="s">
        <v>517</v>
      </c>
      <c r="C202" s="17" t="s">
        <v>4063</v>
      </c>
      <c r="D202" s="17" t="s">
        <v>4064</v>
      </c>
      <c r="E202" s="17">
        <v>12</v>
      </c>
      <c r="F202" s="16">
        <v>6</v>
      </c>
      <c r="G202" s="17" t="s">
        <v>518</v>
      </c>
      <c r="H202" s="17" t="s">
        <v>518</v>
      </c>
    </row>
    <row r="203" spans="1:8" x14ac:dyDescent="0.25">
      <c r="A203" s="16" t="s">
        <v>516</v>
      </c>
      <c r="B203" s="17" t="s">
        <v>517</v>
      </c>
      <c r="C203" s="17" t="s">
        <v>4063</v>
      </c>
      <c r="D203" s="17" t="s">
        <v>4064</v>
      </c>
      <c r="E203" s="17">
        <v>12</v>
      </c>
      <c r="F203" s="16">
        <v>6</v>
      </c>
      <c r="G203" s="17" t="s">
        <v>518</v>
      </c>
      <c r="H203" s="17" t="s">
        <v>518</v>
      </c>
    </row>
    <row r="204" spans="1:8" x14ac:dyDescent="0.25">
      <c r="A204" s="16" t="s">
        <v>519</v>
      </c>
      <c r="B204" s="17" t="s">
        <v>172</v>
      </c>
      <c r="C204" s="17" t="s">
        <v>4065</v>
      </c>
      <c r="D204" s="17" t="s">
        <v>4066</v>
      </c>
      <c r="E204" s="17">
        <v>12</v>
      </c>
      <c r="F204" s="16">
        <v>6</v>
      </c>
      <c r="G204" s="17" t="s">
        <v>518</v>
      </c>
      <c r="H204" s="17" t="s">
        <v>518</v>
      </c>
    </row>
    <row r="205" spans="1:8" x14ac:dyDescent="0.25">
      <c r="A205" s="16" t="s">
        <v>520</v>
      </c>
      <c r="B205" s="17" t="s">
        <v>254</v>
      </c>
      <c r="C205" s="17" t="s">
        <v>4067</v>
      </c>
      <c r="D205" s="17" t="s">
        <v>4068</v>
      </c>
      <c r="E205" s="17">
        <v>12</v>
      </c>
      <c r="F205" s="16">
        <v>6</v>
      </c>
      <c r="G205" s="17" t="s">
        <v>521</v>
      </c>
      <c r="H205" s="17" t="s">
        <v>522</v>
      </c>
    </row>
    <row r="206" spans="1:8" x14ac:dyDescent="0.25">
      <c r="A206" s="16" t="s">
        <v>523</v>
      </c>
      <c r="B206" s="17" t="s">
        <v>77</v>
      </c>
      <c r="C206" s="17" t="s">
        <v>4069</v>
      </c>
      <c r="D206" s="17" t="s">
        <v>4070</v>
      </c>
      <c r="E206" s="17">
        <v>12</v>
      </c>
      <c r="F206" s="16">
        <v>6</v>
      </c>
      <c r="G206" s="17" t="s">
        <v>521</v>
      </c>
      <c r="H206" s="17" t="s">
        <v>524</v>
      </c>
    </row>
    <row r="207" spans="1:8" x14ac:dyDescent="0.25">
      <c r="A207" s="16" t="s">
        <v>525</v>
      </c>
      <c r="B207" s="17" t="s">
        <v>526</v>
      </c>
      <c r="C207" s="17" t="s">
        <v>4071</v>
      </c>
      <c r="D207" s="17" t="s">
        <v>4072</v>
      </c>
      <c r="E207" s="17">
        <v>12</v>
      </c>
      <c r="F207" s="16">
        <v>6</v>
      </c>
      <c r="G207" s="17" t="s">
        <v>73</v>
      </c>
      <c r="H207" s="17" t="s">
        <v>73</v>
      </c>
    </row>
    <row r="208" spans="1:8" x14ac:dyDescent="0.25">
      <c r="A208" s="16" t="s">
        <v>527</v>
      </c>
      <c r="B208" s="17" t="s">
        <v>280</v>
      </c>
      <c r="C208" s="17" t="s">
        <v>4073</v>
      </c>
      <c r="D208" s="17" t="s">
        <v>4074</v>
      </c>
      <c r="E208" s="17">
        <v>12</v>
      </c>
      <c r="F208" s="16">
        <v>6</v>
      </c>
      <c r="G208" s="17" t="s">
        <v>73</v>
      </c>
      <c r="H208" s="17" t="s">
        <v>73</v>
      </c>
    </row>
    <row r="209" spans="1:8" x14ac:dyDescent="0.25">
      <c r="A209" s="16" t="s">
        <v>528</v>
      </c>
      <c r="B209" s="17" t="s">
        <v>510</v>
      </c>
      <c r="C209" s="17" t="s">
        <v>4075</v>
      </c>
      <c r="D209" s="17" t="s">
        <v>4076</v>
      </c>
      <c r="E209" s="17">
        <v>12</v>
      </c>
      <c r="F209" s="16">
        <v>6</v>
      </c>
      <c r="G209" s="17" t="s">
        <v>73</v>
      </c>
      <c r="H209" s="17" t="s">
        <v>73</v>
      </c>
    </row>
    <row r="210" spans="1:8" x14ac:dyDescent="0.25">
      <c r="A210" s="16" t="s">
        <v>529</v>
      </c>
      <c r="B210" s="17" t="s">
        <v>224</v>
      </c>
      <c r="C210" s="17" t="s">
        <v>4077</v>
      </c>
      <c r="D210" s="17" t="s">
        <v>6626</v>
      </c>
      <c r="E210" s="17">
        <v>13</v>
      </c>
      <c r="F210" s="27">
        <v>20</v>
      </c>
      <c r="G210" s="17" t="s">
        <v>530</v>
      </c>
      <c r="H210" s="17" t="s">
        <v>530</v>
      </c>
    </row>
    <row r="211" spans="1:8" x14ac:dyDescent="0.25">
      <c r="A211" s="16" t="s">
        <v>531</v>
      </c>
      <c r="B211" s="17" t="s">
        <v>46</v>
      </c>
      <c r="C211" s="17" t="s">
        <v>3766</v>
      </c>
      <c r="D211" s="17" t="s">
        <v>6627</v>
      </c>
      <c r="E211" s="17">
        <v>13</v>
      </c>
      <c r="F211" s="27">
        <v>20</v>
      </c>
      <c r="G211" s="17" t="s">
        <v>530</v>
      </c>
      <c r="H211" s="17" t="s">
        <v>272</v>
      </c>
    </row>
    <row r="212" spans="1:8" x14ac:dyDescent="0.25">
      <c r="A212" s="16" t="s">
        <v>532</v>
      </c>
      <c r="B212" s="17" t="s">
        <v>533</v>
      </c>
      <c r="C212" s="17" t="s">
        <v>4078</v>
      </c>
      <c r="D212" s="17" t="s">
        <v>6628</v>
      </c>
      <c r="E212" s="17">
        <v>13</v>
      </c>
      <c r="F212" s="27">
        <v>20</v>
      </c>
      <c r="G212" s="17" t="s">
        <v>530</v>
      </c>
      <c r="H212" s="17" t="s">
        <v>534</v>
      </c>
    </row>
    <row r="213" spans="1:8" x14ac:dyDescent="0.25">
      <c r="A213" s="16" t="s">
        <v>535</v>
      </c>
      <c r="B213" s="17" t="s">
        <v>77</v>
      </c>
      <c r="C213" s="17" t="s">
        <v>3766</v>
      </c>
      <c r="D213" s="17" t="s">
        <v>6629</v>
      </c>
      <c r="E213" s="17">
        <v>13</v>
      </c>
      <c r="F213" s="27">
        <v>20</v>
      </c>
      <c r="G213" s="17" t="s">
        <v>530</v>
      </c>
      <c r="H213" s="17" t="s">
        <v>536</v>
      </c>
    </row>
    <row r="214" spans="1:8" x14ac:dyDescent="0.25">
      <c r="A214" s="16" t="s">
        <v>537</v>
      </c>
      <c r="B214" s="17" t="s">
        <v>72</v>
      </c>
      <c r="C214" s="17" t="s">
        <v>3766</v>
      </c>
      <c r="D214" s="17" t="s">
        <v>4091</v>
      </c>
      <c r="E214" s="17">
        <v>13</v>
      </c>
      <c r="F214" s="27">
        <v>20</v>
      </c>
      <c r="G214" s="17" t="s">
        <v>530</v>
      </c>
      <c r="H214" s="17" t="s">
        <v>538</v>
      </c>
    </row>
    <row r="215" spans="1:8" x14ac:dyDescent="0.25">
      <c r="A215" s="16" t="s">
        <v>539</v>
      </c>
      <c r="B215" s="17" t="s">
        <v>540</v>
      </c>
      <c r="C215" s="17" t="s">
        <v>4079</v>
      </c>
      <c r="D215" s="17" t="s">
        <v>6630</v>
      </c>
      <c r="E215" s="17">
        <v>13</v>
      </c>
      <c r="F215" s="27">
        <v>20</v>
      </c>
      <c r="G215" s="17" t="s">
        <v>530</v>
      </c>
      <c r="H215" s="17" t="s">
        <v>541</v>
      </c>
    </row>
    <row r="216" spans="1:8" x14ac:dyDescent="0.25">
      <c r="A216" s="16" t="s">
        <v>542</v>
      </c>
      <c r="B216" s="17" t="s">
        <v>254</v>
      </c>
      <c r="C216" s="17" t="s">
        <v>4080</v>
      </c>
      <c r="D216" s="17" t="s">
        <v>6631</v>
      </c>
      <c r="E216" s="17">
        <v>13</v>
      </c>
      <c r="F216" s="27">
        <v>20</v>
      </c>
      <c r="G216" s="17" t="s">
        <v>530</v>
      </c>
      <c r="H216" s="17" t="s">
        <v>543</v>
      </c>
    </row>
    <row r="217" spans="1:8" x14ac:dyDescent="0.25">
      <c r="A217" s="16" t="s">
        <v>544</v>
      </c>
      <c r="B217" s="17" t="s">
        <v>155</v>
      </c>
      <c r="C217" s="17" t="s">
        <v>3766</v>
      </c>
      <c r="D217" s="17" t="s">
        <v>4958</v>
      </c>
      <c r="E217" s="17">
        <v>13</v>
      </c>
      <c r="F217" s="27">
        <v>20</v>
      </c>
      <c r="G217" s="17" t="s">
        <v>530</v>
      </c>
      <c r="H217" s="17" t="s">
        <v>545</v>
      </c>
    </row>
    <row r="218" spans="1:8" x14ac:dyDescent="0.25">
      <c r="A218" s="16" t="s">
        <v>546</v>
      </c>
      <c r="B218" s="17" t="s">
        <v>547</v>
      </c>
      <c r="C218" s="17" t="s">
        <v>4081</v>
      </c>
      <c r="D218" s="17" t="s">
        <v>6632</v>
      </c>
      <c r="E218" s="17">
        <v>13</v>
      </c>
      <c r="F218" s="27">
        <v>20</v>
      </c>
      <c r="G218" s="17" t="s">
        <v>548</v>
      </c>
      <c r="H218" s="17" t="s">
        <v>548</v>
      </c>
    </row>
    <row r="219" spans="1:8" x14ac:dyDescent="0.25">
      <c r="A219" s="16" t="s">
        <v>549</v>
      </c>
      <c r="B219" s="17" t="s">
        <v>550</v>
      </c>
      <c r="C219" s="17" t="s">
        <v>4082</v>
      </c>
      <c r="D219" s="17" t="s">
        <v>4083</v>
      </c>
      <c r="E219" s="17">
        <v>13</v>
      </c>
      <c r="F219" s="27">
        <v>20</v>
      </c>
      <c r="G219" s="17" t="s">
        <v>551</v>
      </c>
      <c r="H219" s="17" t="s">
        <v>551</v>
      </c>
    </row>
    <row r="220" spans="1:8" x14ac:dyDescent="0.25">
      <c r="A220" s="16" t="s">
        <v>552</v>
      </c>
      <c r="B220" s="17" t="s">
        <v>553</v>
      </c>
      <c r="C220" s="17" t="s">
        <v>4084</v>
      </c>
      <c r="D220" s="17" t="s">
        <v>6633</v>
      </c>
      <c r="E220" s="17">
        <v>13</v>
      </c>
      <c r="F220" s="27">
        <v>20</v>
      </c>
      <c r="G220" s="17" t="s">
        <v>551</v>
      </c>
      <c r="H220" s="17" t="s">
        <v>554</v>
      </c>
    </row>
    <row r="221" spans="1:8" x14ac:dyDescent="0.25">
      <c r="A221" s="16" t="s">
        <v>555</v>
      </c>
      <c r="B221" s="17" t="s">
        <v>556</v>
      </c>
      <c r="C221" s="17" t="s">
        <v>4085</v>
      </c>
      <c r="D221" s="17" t="s">
        <v>6634</v>
      </c>
      <c r="E221" s="17">
        <v>13</v>
      </c>
      <c r="F221" s="27">
        <v>20</v>
      </c>
      <c r="G221" s="17" t="s">
        <v>551</v>
      </c>
      <c r="H221" s="17" t="s">
        <v>557</v>
      </c>
    </row>
    <row r="222" spans="1:8" x14ac:dyDescent="0.25">
      <c r="A222" s="16" t="s">
        <v>558</v>
      </c>
      <c r="B222" s="17" t="s">
        <v>97</v>
      </c>
      <c r="C222" s="17" t="s">
        <v>3766</v>
      </c>
      <c r="D222" s="17" t="s">
        <v>6635</v>
      </c>
      <c r="E222" s="17">
        <v>13</v>
      </c>
      <c r="F222" s="27">
        <v>20</v>
      </c>
      <c r="G222" s="17" t="s">
        <v>551</v>
      </c>
      <c r="H222" s="17" t="s">
        <v>559</v>
      </c>
    </row>
    <row r="223" spans="1:8" x14ac:dyDescent="0.25">
      <c r="A223" s="16" t="s">
        <v>560</v>
      </c>
      <c r="B223" s="17" t="s">
        <v>92</v>
      </c>
      <c r="C223" s="17" t="s">
        <v>3766</v>
      </c>
      <c r="D223" s="17" t="s">
        <v>4087</v>
      </c>
      <c r="E223" s="17">
        <v>13</v>
      </c>
      <c r="F223" s="27">
        <v>20</v>
      </c>
      <c r="G223" s="17" t="s">
        <v>551</v>
      </c>
      <c r="H223" s="17" t="s">
        <v>46</v>
      </c>
    </row>
    <row r="224" spans="1:8" x14ac:dyDescent="0.25">
      <c r="A224" s="16" t="s">
        <v>561</v>
      </c>
      <c r="B224" s="17" t="s">
        <v>129</v>
      </c>
      <c r="C224" s="17" t="s">
        <v>4086</v>
      </c>
      <c r="D224" s="17" t="s">
        <v>6636</v>
      </c>
      <c r="E224" s="17">
        <v>13</v>
      </c>
      <c r="F224" s="27">
        <v>20</v>
      </c>
      <c r="G224" s="17" t="s">
        <v>551</v>
      </c>
      <c r="H224" s="17" t="s">
        <v>359</v>
      </c>
    </row>
    <row r="225" spans="1:8" x14ac:dyDescent="0.25">
      <c r="A225" s="16" t="s">
        <v>562</v>
      </c>
      <c r="B225" s="17" t="s">
        <v>411</v>
      </c>
      <c r="C225" s="17" t="s">
        <v>3766</v>
      </c>
      <c r="D225" s="17" t="s">
        <v>4088</v>
      </c>
      <c r="E225" s="17">
        <v>13</v>
      </c>
      <c r="F225" s="27">
        <v>20</v>
      </c>
      <c r="G225" s="17" t="s">
        <v>551</v>
      </c>
      <c r="H225" s="17" t="s">
        <v>563</v>
      </c>
    </row>
    <row r="226" spans="1:8" x14ac:dyDescent="0.25">
      <c r="A226" s="16" t="s">
        <v>564</v>
      </c>
      <c r="B226" s="17" t="s">
        <v>23</v>
      </c>
      <c r="C226" s="17" t="s">
        <v>4089</v>
      </c>
      <c r="D226" s="17" t="s">
        <v>4090</v>
      </c>
      <c r="E226" s="17">
        <v>13</v>
      </c>
      <c r="F226" s="27">
        <v>20</v>
      </c>
      <c r="G226" s="17" t="s">
        <v>565</v>
      </c>
      <c r="H226" s="17" t="s">
        <v>565</v>
      </c>
    </row>
    <row r="227" spans="1:8" x14ac:dyDescent="0.25">
      <c r="A227" s="16" t="s">
        <v>566</v>
      </c>
      <c r="B227" s="17" t="s">
        <v>480</v>
      </c>
      <c r="C227" s="17" t="s">
        <v>3766</v>
      </c>
      <c r="D227" s="17" t="s">
        <v>6049</v>
      </c>
      <c r="E227" s="17">
        <v>13</v>
      </c>
      <c r="F227" s="27">
        <v>20</v>
      </c>
      <c r="G227" s="17" t="s">
        <v>565</v>
      </c>
      <c r="H227" s="17" t="s">
        <v>567</v>
      </c>
    </row>
    <row r="228" spans="1:8" x14ac:dyDescent="0.25">
      <c r="A228" s="16" t="s">
        <v>568</v>
      </c>
      <c r="B228" s="17" t="s">
        <v>89</v>
      </c>
      <c r="C228" s="17" t="s">
        <v>3766</v>
      </c>
      <c r="D228" s="17" t="s">
        <v>6637</v>
      </c>
      <c r="E228" s="17">
        <v>13</v>
      </c>
      <c r="F228" s="27">
        <v>20</v>
      </c>
      <c r="G228" s="17" t="s">
        <v>565</v>
      </c>
      <c r="H228" s="17" t="s">
        <v>569</v>
      </c>
    </row>
    <row r="229" spans="1:8" x14ac:dyDescent="0.25">
      <c r="A229" s="16" t="s">
        <v>570</v>
      </c>
      <c r="B229" s="17" t="s">
        <v>571</v>
      </c>
      <c r="C229" s="17" t="s">
        <v>4092</v>
      </c>
      <c r="D229" s="17" t="s">
        <v>6638</v>
      </c>
      <c r="E229" s="17">
        <v>13</v>
      </c>
      <c r="F229" s="27">
        <v>20</v>
      </c>
      <c r="G229" s="17" t="s">
        <v>565</v>
      </c>
      <c r="H229" s="17" t="s">
        <v>572</v>
      </c>
    </row>
    <row r="230" spans="1:8" x14ac:dyDescent="0.25">
      <c r="A230" s="16" t="s">
        <v>573</v>
      </c>
      <c r="B230" s="17" t="s">
        <v>574</v>
      </c>
      <c r="C230" s="17" t="s">
        <v>3937</v>
      </c>
      <c r="D230" s="17" t="s">
        <v>6639</v>
      </c>
      <c r="E230" s="17">
        <v>13</v>
      </c>
      <c r="F230" s="27">
        <v>20</v>
      </c>
      <c r="G230" s="17" t="s">
        <v>565</v>
      </c>
      <c r="H230" s="17" t="s">
        <v>575</v>
      </c>
    </row>
    <row r="231" spans="1:8" x14ac:dyDescent="0.25">
      <c r="A231" s="16" t="s">
        <v>576</v>
      </c>
      <c r="B231" s="17" t="s">
        <v>135</v>
      </c>
      <c r="C231" s="17" t="s">
        <v>4093</v>
      </c>
      <c r="D231" s="17" t="s">
        <v>6640</v>
      </c>
      <c r="E231" s="17">
        <v>13</v>
      </c>
      <c r="F231" s="27">
        <v>20</v>
      </c>
      <c r="G231" s="17" t="s">
        <v>565</v>
      </c>
      <c r="H231" s="17" t="s">
        <v>577</v>
      </c>
    </row>
    <row r="232" spans="1:8" x14ac:dyDescent="0.25">
      <c r="A232" s="16" t="s">
        <v>578</v>
      </c>
      <c r="B232" s="17" t="s">
        <v>157</v>
      </c>
      <c r="C232" s="17" t="s">
        <v>4094</v>
      </c>
      <c r="D232" s="17" t="s">
        <v>4095</v>
      </c>
      <c r="E232" s="17">
        <v>14</v>
      </c>
      <c r="F232" s="16">
        <v>7</v>
      </c>
      <c r="G232" s="17" t="s">
        <v>579</v>
      </c>
      <c r="H232" s="17" t="s">
        <v>579</v>
      </c>
    </row>
    <row r="233" spans="1:8" x14ac:dyDescent="0.25">
      <c r="A233" s="16" t="s">
        <v>580</v>
      </c>
      <c r="B233" s="17" t="s">
        <v>166</v>
      </c>
      <c r="C233" s="17" t="s">
        <v>3776</v>
      </c>
      <c r="D233" s="17" t="s">
        <v>4096</v>
      </c>
      <c r="E233" s="17">
        <v>14</v>
      </c>
      <c r="F233" s="16">
        <v>7</v>
      </c>
      <c r="G233" s="17" t="s">
        <v>579</v>
      </c>
      <c r="H233" s="17" t="s">
        <v>581</v>
      </c>
    </row>
    <row r="234" spans="1:8" x14ac:dyDescent="0.25">
      <c r="A234" s="16" t="s">
        <v>582</v>
      </c>
      <c r="B234" s="17" t="s">
        <v>583</v>
      </c>
      <c r="C234" s="17" t="s">
        <v>4097</v>
      </c>
      <c r="D234" s="17" t="s">
        <v>4098</v>
      </c>
      <c r="E234" s="17">
        <v>14</v>
      </c>
      <c r="F234" s="16">
        <v>7</v>
      </c>
      <c r="G234" s="17" t="s">
        <v>579</v>
      </c>
      <c r="H234" s="17" t="s">
        <v>584</v>
      </c>
    </row>
    <row r="235" spans="1:8" x14ac:dyDescent="0.25">
      <c r="A235" s="16" t="s">
        <v>585</v>
      </c>
      <c r="B235" s="17" t="s">
        <v>83</v>
      </c>
      <c r="C235" s="17" t="s">
        <v>4099</v>
      </c>
      <c r="D235" s="17" t="s">
        <v>4100</v>
      </c>
      <c r="E235" s="17">
        <v>14</v>
      </c>
      <c r="F235" s="16">
        <v>7</v>
      </c>
      <c r="G235" s="17" t="s">
        <v>579</v>
      </c>
      <c r="H235" s="17" t="s">
        <v>586</v>
      </c>
    </row>
    <row r="236" spans="1:8" x14ac:dyDescent="0.25">
      <c r="A236" s="16" t="s">
        <v>587</v>
      </c>
      <c r="B236" s="17" t="s">
        <v>269</v>
      </c>
      <c r="C236" s="17" t="s">
        <v>4099</v>
      </c>
      <c r="D236" s="17" t="s">
        <v>4101</v>
      </c>
      <c r="E236" s="17">
        <v>14</v>
      </c>
      <c r="F236" s="16">
        <v>7</v>
      </c>
      <c r="G236" s="17" t="s">
        <v>579</v>
      </c>
      <c r="H236" s="17" t="s">
        <v>588</v>
      </c>
    </row>
    <row r="237" spans="1:8" x14ac:dyDescent="0.25">
      <c r="A237" s="16" t="s">
        <v>589</v>
      </c>
      <c r="B237" s="17" t="s">
        <v>92</v>
      </c>
      <c r="C237" s="17" t="s">
        <v>4102</v>
      </c>
      <c r="D237" s="17" t="s">
        <v>4103</v>
      </c>
      <c r="E237" s="17">
        <v>14</v>
      </c>
      <c r="F237" s="16">
        <v>7</v>
      </c>
      <c r="G237" s="17" t="s">
        <v>579</v>
      </c>
      <c r="H237" s="17" t="s">
        <v>590</v>
      </c>
    </row>
    <row r="238" spans="1:8" x14ac:dyDescent="0.25">
      <c r="A238" s="16" t="s">
        <v>591</v>
      </c>
      <c r="B238" s="17" t="s">
        <v>46</v>
      </c>
      <c r="C238" s="17" t="s">
        <v>4104</v>
      </c>
      <c r="D238" s="17" t="s">
        <v>4105</v>
      </c>
      <c r="E238" s="17">
        <v>14</v>
      </c>
      <c r="F238" s="16">
        <v>7</v>
      </c>
      <c r="G238" s="17" t="s">
        <v>579</v>
      </c>
      <c r="H238" s="17" t="s">
        <v>592</v>
      </c>
    </row>
    <row r="239" spans="1:8" x14ac:dyDescent="0.25">
      <c r="A239" s="16" t="s">
        <v>593</v>
      </c>
      <c r="B239" s="17" t="s">
        <v>547</v>
      </c>
      <c r="C239" s="17" t="s">
        <v>4106</v>
      </c>
      <c r="D239" s="17" t="s">
        <v>4107</v>
      </c>
      <c r="E239" s="17">
        <v>14</v>
      </c>
      <c r="F239" s="16">
        <v>7</v>
      </c>
      <c r="G239" s="17" t="s">
        <v>594</v>
      </c>
      <c r="H239" s="17" t="s">
        <v>594</v>
      </c>
    </row>
    <row r="240" spans="1:8" x14ac:dyDescent="0.25">
      <c r="A240" s="16" t="s">
        <v>595</v>
      </c>
      <c r="B240" s="17" t="s">
        <v>57</v>
      </c>
      <c r="C240" s="17" t="s">
        <v>4108</v>
      </c>
      <c r="D240" s="17" t="s">
        <v>4109</v>
      </c>
      <c r="E240" s="17">
        <v>14</v>
      </c>
      <c r="F240" s="16">
        <v>7</v>
      </c>
      <c r="G240" s="17" t="s">
        <v>594</v>
      </c>
      <c r="H240" s="17" t="s">
        <v>596</v>
      </c>
    </row>
    <row r="241" spans="1:8" x14ac:dyDescent="0.25">
      <c r="A241" s="16" t="s">
        <v>597</v>
      </c>
      <c r="B241" s="17" t="s">
        <v>295</v>
      </c>
      <c r="C241" s="17" t="s">
        <v>4110</v>
      </c>
      <c r="D241" s="17" t="s">
        <v>4111</v>
      </c>
      <c r="E241" s="17">
        <v>14</v>
      </c>
      <c r="F241" s="16">
        <v>7</v>
      </c>
      <c r="G241" s="17" t="s">
        <v>594</v>
      </c>
      <c r="H241" s="17" t="s">
        <v>33</v>
      </c>
    </row>
    <row r="242" spans="1:8" x14ac:dyDescent="0.25">
      <c r="A242" s="16" t="s">
        <v>598</v>
      </c>
      <c r="B242" s="17" t="s">
        <v>599</v>
      </c>
      <c r="C242" s="17" t="s">
        <v>4112</v>
      </c>
      <c r="D242" s="17" t="s">
        <v>4113</v>
      </c>
      <c r="E242" s="17">
        <v>14</v>
      </c>
      <c r="F242" s="16">
        <v>7</v>
      </c>
      <c r="G242" s="17" t="s">
        <v>594</v>
      </c>
      <c r="H242" s="17" t="s">
        <v>600</v>
      </c>
    </row>
    <row r="243" spans="1:8" x14ac:dyDescent="0.25">
      <c r="A243" s="16" t="s">
        <v>601</v>
      </c>
      <c r="B243" s="17" t="s">
        <v>77</v>
      </c>
      <c r="C243" s="17" t="s">
        <v>4108</v>
      </c>
      <c r="D243" s="17" t="s">
        <v>4114</v>
      </c>
      <c r="E243" s="17">
        <v>14</v>
      </c>
      <c r="F243" s="16">
        <v>7</v>
      </c>
      <c r="G243" s="17" t="s">
        <v>594</v>
      </c>
      <c r="H243" s="17" t="s">
        <v>602</v>
      </c>
    </row>
    <row r="244" spans="1:8" x14ac:dyDescent="0.25">
      <c r="A244" s="16" t="s">
        <v>603</v>
      </c>
      <c r="B244" s="17" t="s">
        <v>92</v>
      </c>
      <c r="C244" s="17" t="s">
        <v>4115</v>
      </c>
      <c r="D244" s="17" t="s">
        <v>4116</v>
      </c>
      <c r="E244" s="17">
        <v>14</v>
      </c>
      <c r="F244" s="16">
        <v>7</v>
      </c>
      <c r="G244" s="17" t="s">
        <v>594</v>
      </c>
      <c r="H244" s="17" t="s">
        <v>604</v>
      </c>
    </row>
    <row r="245" spans="1:8" x14ac:dyDescent="0.25">
      <c r="A245" s="16" t="s">
        <v>605</v>
      </c>
      <c r="B245" s="17" t="s">
        <v>32</v>
      </c>
      <c r="C245" s="17" t="s">
        <v>4117</v>
      </c>
      <c r="D245" s="17" t="s">
        <v>4118</v>
      </c>
      <c r="E245" s="17">
        <v>14</v>
      </c>
      <c r="F245" s="16">
        <v>7</v>
      </c>
      <c r="G245" s="17" t="s">
        <v>594</v>
      </c>
      <c r="H245" s="17" t="s">
        <v>606</v>
      </c>
    </row>
    <row r="246" spans="1:8" x14ac:dyDescent="0.25">
      <c r="A246" s="16" t="s">
        <v>607</v>
      </c>
      <c r="B246" s="17" t="s">
        <v>394</v>
      </c>
      <c r="C246" s="17" t="s">
        <v>3871</v>
      </c>
      <c r="D246" s="17" t="s">
        <v>4119</v>
      </c>
      <c r="E246" s="17">
        <v>14</v>
      </c>
      <c r="F246" s="16">
        <v>7</v>
      </c>
      <c r="G246" s="17" t="s">
        <v>594</v>
      </c>
      <c r="H246" s="17" t="s">
        <v>608</v>
      </c>
    </row>
    <row r="247" spans="1:8" x14ac:dyDescent="0.25">
      <c r="A247" s="16" t="s">
        <v>609</v>
      </c>
      <c r="B247" s="17" t="s">
        <v>610</v>
      </c>
      <c r="C247" s="17" t="s">
        <v>4108</v>
      </c>
      <c r="D247" s="17" t="s">
        <v>4120</v>
      </c>
      <c r="E247" s="17">
        <v>14</v>
      </c>
      <c r="F247" s="16">
        <v>7</v>
      </c>
      <c r="G247" s="17" t="s">
        <v>594</v>
      </c>
      <c r="H247" s="17" t="s">
        <v>611</v>
      </c>
    </row>
    <row r="248" spans="1:8" x14ac:dyDescent="0.25">
      <c r="A248" s="16" t="s">
        <v>612</v>
      </c>
      <c r="B248" s="17" t="s">
        <v>613</v>
      </c>
      <c r="C248" s="17" t="s">
        <v>4121</v>
      </c>
      <c r="D248" s="17" t="s">
        <v>4122</v>
      </c>
      <c r="E248" s="17">
        <v>14</v>
      </c>
      <c r="F248" s="16">
        <v>7</v>
      </c>
      <c r="G248" s="17" t="s">
        <v>594</v>
      </c>
      <c r="H248" s="17" t="s">
        <v>614</v>
      </c>
    </row>
    <row r="249" spans="1:8" x14ac:dyDescent="0.25">
      <c r="A249" s="16" t="s">
        <v>615</v>
      </c>
      <c r="B249" s="17" t="s">
        <v>72</v>
      </c>
      <c r="C249" s="17" t="s">
        <v>4123</v>
      </c>
      <c r="D249" s="17" t="s">
        <v>4124</v>
      </c>
      <c r="E249" s="17">
        <v>15</v>
      </c>
      <c r="F249" s="16">
        <v>8</v>
      </c>
      <c r="G249" s="17" t="s">
        <v>149</v>
      </c>
      <c r="H249" s="17" t="s">
        <v>149</v>
      </c>
    </row>
    <row r="250" spans="1:8" x14ac:dyDescent="0.25">
      <c r="A250" s="16" t="s">
        <v>616</v>
      </c>
      <c r="B250" s="17" t="s">
        <v>301</v>
      </c>
      <c r="C250" s="17" t="s">
        <v>3766</v>
      </c>
      <c r="D250" s="17" t="s">
        <v>4125</v>
      </c>
      <c r="E250" s="17">
        <v>15</v>
      </c>
      <c r="F250" s="16">
        <v>8</v>
      </c>
      <c r="G250" s="17" t="s">
        <v>149</v>
      </c>
      <c r="H250" s="17" t="s">
        <v>617</v>
      </c>
    </row>
    <row r="251" spans="1:8" x14ac:dyDescent="0.25">
      <c r="A251" s="16" t="s">
        <v>618</v>
      </c>
      <c r="B251" s="17" t="s">
        <v>533</v>
      </c>
      <c r="C251" s="17" t="s">
        <v>3766</v>
      </c>
      <c r="D251" s="17" t="s">
        <v>4126</v>
      </c>
      <c r="E251" s="17">
        <v>15</v>
      </c>
      <c r="F251" s="16">
        <v>8</v>
      </c>
      <c r="G251" s="17" t="s">
        <v>149</v>
      </c>
      <c r="H251" s="17" t="s">
        <v>619</v>
      </c>
    </row>
    <row r="252" spans="1:8" x14ac:dyDescent="0.25">
      <c r="A252" s="16" t="s">
        <v>620</v>
      </c>
      <c r="B252" s="17" t="s">
        <v>621</v>
      </c>
      <c r="C252" s="17" t="s">
        <v>3978</v>
      </c>
      <c r="D252" s="17" t="s">
        <v>4127</v>
      </c>
      <c r="E252" s="17">
        <v>15</v>
      </c>
      <c r="F252" s="16">
        <v>8</v>
      </c>
      <c r="G252" s="17" t="s">
        <v>149</v>
      </c>
      <c r="H252" s="17" t="s">
        <v>376</v>
      </c>
    </row>
    <row r="253" spans="1:8" x14ac:dyDescent="0.25">
      <c r="A253" s="16" t="s">
        <v>622</v>
      </c>
      <c r="B253" s="17" t="s">
        <v>103</v>
      </c>
      <c r="C253" s="17" t="s">
        <v>3766</v>
      </c>
      <c r="D253" s="17" t="s">
        <v>4128</v>
      </c>
      <c r="E253" s="17">
        <v>15</v>
      </c>
      <c r="F253" s="16">
        <v>8</v>
      </c>
      <c r="G253" s="17" t="s">
        <v>149</v>
      </c>
      <c r="H253" s="17" t="s">
        <v>623</v>
      </c>
    </row>
    <row r="254" spans="1:8" x14ac:dyDescent="0.25">
      <c r="A254" s="16" t="s">
        <v>624</v>
      </c>
      <c r="B254" s="17" t="s">
        <v>625</v>
      </c>
      <c r="C254" s="17" t="s">
        <v>4129</v>
      </c>
      <c r="D254" s="17" t="s">
        <v>4130</v>
      </c>
      <c r="E254" s="17">
        <v>15</v>
      </c>
      <c r="F254" s="16">
        <v>8</v>
      </c>
      <c r="G254" s="17" t="s">
        <v>149</v>
      </c>
      <c r="H254" s="17" t="s">
        <v>626</v>
      </c>
    </row>
    <row r="255" spans="1:8" x14ac:dyDescent="0.25">
      <c r="A255" s="16" t="s">
        <v>627</v>
      </c>
      <c r="B255" s="17" t="s">
        <v>126</v>
      </c>
      <c r="C255" s="17" t="s">
        <v>3766</v>
      </c>
      <c r="D255" s="17" t="s">
        <v>4131</v>
      </c>
      <c r="E255" s="17">
        <v>15</v>
      </c>
      <c r="F255" s="16">
        <v>8</v>
      </c>
      <c r="G255" s="17" t="s">
        <v>149</v>
      </c>
      <c r="H255" s="17" t="s">
        <v>628</v>
      </c>
    </row>
    <row r="256" spans="1:8" x14ac:dyDescent="0.25">
      <c r="A256" s="16" t="s">
        <v>629</v>
      </c>
      <c r="B256" s="17" t="s">
        <v>630</v>
      </c>
      <c r="C256" s="17" t="s">
        <v>3766</v>
      </c>
      <c r="D256" s="17" t="s">
        <v>4132</v>
      </c>
      <c r="E256" s="17">
        <v>15</v>
      </c>
      <c r="F256" s="16">
        <v>8</v>
      </c>
      <c r="G256" s="17" t="s">
        <v>149</v>
      </c>
      <c r="H256" s="17" t="s">
        <v>57</v>
      </c>
    </row>
    <row r="257" spans="1:8" x14ac:dyDescent="0.25">
      <c r="A257" s="16" t="s">
        <v>631</v>
      </c>
      <c r="B257" s="17" t="s">
        <v>632</v>
      </c>
      <c r="C257" s="17" t="s">
        <v>3766</v>
      </c>
      <c r="D257" s="17" t="s">
        <v>4133</v>
      </c>
      <c r="E257" s="17">
        <v>15</v>
      </c>
      <c r="F257" s="16">
        <v>8</v>
      </c>
      <c r="G257" s="17" t="s">
        <v>149</v>
      </c>
      <c r="H257" s="17" t="s">
        <v>633</v>
      </c>
    </row>
    <row r="258" spans="1:8" x14ac:dyDescent="0.25">
      <c r="A258" s="16" t="s">
        <v>634</v>
      </c>
      <c r="B258" s="17" t="s">
        <v>92</v>
      </c>
      <c r="C258" s="17" t="s">
        <v>3971</v>
      </c>
      <c r="D258" s="17" t="s">
        <v>4134</v>
      </c>
      <c r="E258" s="17">
        <v>15</v>
      </c>
      <c r="F258" s="16">
        <v>8</v>
      </c>
      <c r="G258" s="17" t="s">
        <v>521</v>
      </c>
      <c r="H258" s="17" t="s">
        <v>635</v>
      </c>
    </row>
    <row r="259" spans="1:8" x14ac:dyDescent="0.25">
      <c r="A259" s="16" t="s">
        <v>636</v>
      </c>
      <c r="B259" s="17" t="s">
        <v>135</v>
      </c>
      <c r="C259" s="17" t="s">
        <v>3758</v>
      </c>
      <c r="D259" s="17" t="s">
        <v>4135</v>
      </c>
      <c r="E259" s="17">
        <v>15</v>
      </c>
      <c r="F259" s="16">
        <v>8</v>
      </c>
      <c r="G259" s="17" t="s">
        <v>521</v>
      </c>
      <c r="H259" s="17" t="s">
        <v>637</v>
      </c>
    </row>
    <row r="260" spans="1:8" x14ac:dyDescent="0.25">
      <c r="A260" s="16" t="s">
        <v>638</v>
      </c>
      <c r="B260" s="17" t="s">
        <v>639</v>
      </c>
      <c r="C260" s="17" t="s">
        <v>3766</v>
      </c>
      <c r="D260" s="17" t="s">
        <v>4136</v>
      </c>
      <c r="E260" s="17">
        <v>15</v>
      </c>
      <c r="F260" s="16">
        <v>8</v>
      </c>
      <c r="G260" s="17" t="s">
        <v>521</v>
      </c>
      <c r="H260" s="17" t="s">
        <v>640</v>
      </c>
    </row>
    <row r="261" spans="1:8" x14ac:dyDescent="0.25">
      <c r="A261" s="16" t="s">
        <v>641</v>
      </c>
      <c r="B261" s="17" t="s">
        <v>443</v>
      </c>
      <c r="C261" s="17" t="s">
        <v>4137</v>
      </c>
      <c r="D261" s="17" t="s">
        <v>4138</v>
      </c>
      <c r="E261" s="17">
        <v>15</v>
      </c>
      <c r="F261" s="16">
        <v>8</v>
      </c>
      <c r="G261" s="17" t="s">
        <v>521</v>
      </c>
      <c r="H261" s="17" t="s">
        <v>642</v>
      </c>
    </row>
    <row r="262" spans="1:8" x14ac:dyDescent="0.25">
      <c r="A262" s="16" t="s">
        <v>643</v>
      </c>
      <c r="B262" s="17" t="s">
        <v>254</v>
      </c>
      <c r="C262" s="17" t="s">
        <v>3766</v>
      </c>
      <c r="D262" s="17" t="s">
        <v>4139</v>
      </c>
      <c r="E262" s="17">
        <v>15</v>
      </c>
      <c r="F262" s="16">
        <v>8</v>
      </c>
      <c r="G262" s="17" t="s">
        <v>644</v>
      </c>
      <c r="H262" s="17" t="s">
        <v>645</v>
      </c>
    </row>
    <row r="263" spans="1:8" x14ac:dyDescent="0.25">
      <c r="A263" s="16" t="s">
        <v>646</v>
      </c>
      <c r="B263" s="17" t="s">
        <v>95</v>
      </c>
      <c r="C263" s="17" t="s">
        <v>3766</v>
      </c>
      <c r="D263" s="17" t="s">
        <v>4140</v>
      </c>
      <c r="E263" s="17">
        <v>15</v>
      </c>
      <c r="F263" s="16">
        <v>8</v>
      </c>
      <c r="G263" s="17" t="s">
        <v>644</v>
      </c>
      <c r="H263" s="17" t="s">
        <v>647</v>
      </c>
    </row>
    <row r="264" spans="1:8" x14ac:dyDescent="0.25">
      <c r="A264" s="16" t="s">
        <v>648</v>
      </c>
      <c r="B264" s="17" t="s">
        <v>135</v>
      </c>
      <c r="C264" s="17" t="s">
        <v>3766</v>
      </c>
      <c r="D264" s="17" t="s">
        <v>4141</v>
      </c>
      <c r="E264" s="17">
        <v>15</v>
      </c>
      <c r="F264" s="16">
        <v>8</v>
      </c>
      <c r="G264" s="17" t="s">
        <v>644</v>
      </c>
      <c r="H264" s="17" t="s">
        <v>23</v>
      </c>
    </row>
    <row r="265" spans="1:8" x14ac:dyDescent="0.25">
      <c r="A265" s="16" t="s">
        <v>649</v>
      </c>
      <c r="B265" s="17" t="s">
        <v>650</v>
      </c>
      <c r="C265" s="17" t="s">
        <v>4142</v>
      </c>
      <c r="D265" s="17" t="s">
        <v>4143</v>
      </c>
      <c r="E265" s="17">
        <v>15</v>
      </c>
      <c r="F265" s="16">
        <v>8</v>
      </c>
      <c r="G265" s="17" t="s">
        <v>644</v>
      </c>
      <c r="H265" s="17" t="s">
        <v>63</v>
      </c>
    </row>
    <row r="266" spans="1:8" x14ac:dyDescent="0.25">
      <c r="A266" s="16" t="s">
        <v>651</v>
      </c>
      <c r="B266" s="17" t="s">
        <v>652</v>
      </c>
      <c r="C266" s="17" t="s">
        <v>3766</v>
      </c>
      <c r="D266" s="17" t="s">
        <v>4144</v>
      </c>
      <c r="E266" s="17">
        <v>15</v>
      </c>
      <c r="F266" s="16">
        <v>8</v>
      </c>
      <c r="G266" s="17" t="s">
        <v>644</v>
      </c>
      <c r="H266" s="17" t="s">
        <v>652</v>
      </c>
    </row>
    <row r="267" spans="1:8" x14ac:dyDescent="0.25">
      <c r="A267" s="16" t="s">
        <v>653</v>
      </c>
      <c r="B267" s="17" t="s">
        <v>301</v>
      </c>
      <c r="C267" s="17" t="s">
        <v>4145</v>
      </c>
      <c r="D267" s="17" t="s">
        <v>4146</v>
      </c>
      <c r="E267" s="17">
        <v>15</v>
      </c>
      <c r="F267" s="16">
        <v>8</v>
      </c>
      <c r="G267" s="17" t="s">
        <v>644</v>
      </c>
      <c r="H267" s="17" t="s">
        <v>654</v>
      </c>
    </row>
    <row r="268" spans="1:8" x14ac:dyDescent="0.25">
      <c r="A268" s="16" t="s">
        <v>655</v>
      </c>
      <c r="B268" s="17" t="s">
        <v>151</v>
      </c>
      <c r="C268" s="17" t="s">
        <v>4147</v>
      </c>
      <c r="D268" s="17" t="s">
        <v>4148</v>
      </c>
      <c r="E268" s="17">
        <v>16</v>
      </c>
      <c r="F268" s="16">
        <v>12</v>
      </c>
      <c r="G268" s="17" t="s">
        <v>656</v>
      </c>
      <c r="H268" s="17" t="s">
        <v>656</v>
      </c>
    </row>
    <row r="269" spans="1:8" x14ac:dyDescent="0.25">
      <c r="A269" s="16" t="s">
        <v>657</v>
      </c>
      <c r="B269" s="17" t="s">
        <v>505</v>
      </c>
      <c r="C269" s="17" t="s">
        <v>3766</v>
      </c>
      <c r="D269" s="17" t="s">
        <v>4149</v>
      </c>
      <c r="E269" s="17">
        <v>16</v>
      </c>
      <c r="F269" s="27">
        <v>12</v>
      </c>
      <c r="G269" s="17" t="s">
        <v>656</v>
      </c>
      <c r="H269" s="17" t="s">
        <v>658</v>
      </c>
    </row>
    <row r="270" spans="1:8" x14ac:dyDescent="0.25">
      <c r="A270" s="16" t="s">
        <v>659</v>
      </c>
      <c r="B270" s="17" t="s">
        <v>660</v>
      </c>
      <c r="C270" s="17" t="s">
        <v>3766</v>
      </c>
      <c r="D270" s="17" t="s">
        <v>4150</v>
      </c>
      <c r="E270" s="17">
        <v>16</v>
      </c>
      <c r="F270" s="27">
        <v>12</v>
      </c>
      <c r="G270" s="17" t="s">
        <v>180</v>
      </c>
      <c r="H270" s="17" t="s">
        <v>661</v>
      </c>
    </row>
    <row r="271" spans="1:8" x14ac:dyDescent="0.25">
      <c r="A271" s="16" t="s">
        <v>662</v>
      </c>
      <c r="B271" s="17" t="s">
        <v>72</v>
      </c>
      <c r="C271" s="17" t="s">
        <v>3766</v>
      </c>
      <c r="D271" s="17" t="s">
        <v>4151</v>
      </c>
      <c r="E271" s="17">
        <v>16</v>
      </c>
      <c r="F271" s="27">
        <v>12</v>
      </c>
      <c r="G271" s="17" t="s">
        <v>180</v>
      </c>
      <c r="H271" s="17" t="s">
        <v>663</v>
      </c>
    </row>
    <row r="272" spans="1:8" x14ac:dyDescent="0.25">
      <c r="A272" s="16" t="s">
        <v>664</v>
      </c>
      <c r="B272" s="17" t="s">
        <v>166</v>
      </c>
      <c r="C272" s="17" t="s">
        <v>3766</v>
      </c>
      <c r="D272" s="17" t="s">
        <v>4152</v>
      </c>
      <c r="E272" s="17">
        <v>16</v>
      </c>
      <c r="F272" s="27">
        <v>12</v>
      </c>
      <c r="G272" s="17" t="s">
        <v>180</v>
      </c>
      <c r="H272" s="17" t="s">
        <v>63</v>
      </c>
    </row>
    <row r="273" spans="1:8" x14ac:dyDescent="0.25">
      <c r="A273" s="16" t="s">
        <v>665</v>
      </c>
      <c r="B273" s="17" t="s">
        <v>666</v>
      </c>
      <c r="C273" s="17" t="s">
        <v>3766</v>
      </c>
      <c r="D273" s="17" t="s">
        <v>4153</v>
      </c>
      <c r="E273" s="17">
        <v>16</v>
      </c>
      <c r="F273" s="27">
        <v>12</v>
      </c>
      <c r="G273" s="17" t="s">
        <v>180</v>
      </c>
      <c r="H273" s="17" t="s">
        <v>667</v>
      </c>
    </row>
    <row r="274" spans="1:8" x14ac:dyDescent="0.25">
      <c r="A274" s="16" t="s">
        <v>668</v>
      </c>
      <c r="B274" s="17" t="s">
        <v>153</v>
      </c>
      <c r="C274" s="17" t="s">
        <v>3766</v>
      </c>
      <c r="D274" s="17" t="s">
        <v>4154</v>
      </c>
      <c r="E274" s="17">
        <v>16</v>
      </c>
      <c r="F274" s="27">
        <v>12</v>
      </c>
      <c r="G274" s="17" t="s">
        <v>180</v>
      </c>
      <c r="H274" s="17" t="s">
        <v>669</v>
      </c>
    </row>
    <row r="275" spans="1:8" x14ac:dyDescent="0.25">
      <c r="A275" s="16" t="s">
        <v>670</v>
      </c>
      <c r="B275" s="17" t="s">
        <v>671</v>
      </c>
      <c r="C275" s="17" t="s">
        <v>4155</v>
      </c>
      <c r="D275" s="17" t="s">
        <v>4152</v>
      </c>
      <c r="E275" s="17">
        <v>16</v>
      </c>
      <c r="F275" s="27">
        <v>12</v>
      </c>
      <c r="G275" s="17" t="s">
        <v>180</v>
      </c>
      <c r="H275" s="17" t="s">
        <v>672</v>
      </c>
    </row>
    <row r="276" spans="1:8" x14ac:dyDescent="0.25">
      <c r="A276" s="16" t="s">
        <v>673</v>
      </c>
      <c r="B276" s="17" t="s">
        <v>92</v>
      </c>
      <c r="C276" s="17" t="s">
        <v>3766</v>
      </c>
      <c r="D276" s="17" t="s">
        <v>4156</v>
      </c>
      <c r="E276" s="17">
        <v>16</v>
      </c>
      <c r="F276" s="27">
        <v>12</v>
      </c>
      <c r="G276" s="17" t="s">
        <v>180</v>
      </c>
      <c r="H276" s="17" t="s">
        <v>674</v>
      </c>
    </row>
    <row r="277" spans="1:8" x14ac:dyDescent="0.25">
      <c r="A277" s="16" t="s">
        <v>675</v>
      </c>
      <c r="B277" s="17" t="s">
        <v>41</v>
      </c>
      <c r="C277" s="17" t="s">
        <v>3766</v>
      </c>
      <c r="D277" s="17" t="s">
        <v>4157</v>
      </c>
      <c r="E277" s="17">
        <v>16</v>
      </c>
      <c r="F277" s="27">
        <v>12</v>
      </c>
      <c r="G277" s="17" t="s">
        <v>180</v>
      </c>
      <c r="H277" s="17" t="s">
        <v>676</v>
      </c>
    </row>
    <row r="278" spans="1:8" x14ac:dyDescent="0.25">
      <c r="A278" s="16" t="s">
        <v>677</v>
      </c>
      <c r="B278" s="17" t="s">
        <v>678</v>
      </c>
      <c r="C278" s="17" t="s">
        <v>4158</v>
      </c>
      <c r="D278" s="17" t="s">
        <v>4159</v>
      </c>
      <c r="E278" s="17">
        <v>16</v>
      </c>
      <c r="F278" s="27">
        <v>12</v>
      </c>
      <c r="G278" s="17" t="s">
        <v>180</v>
      </c>
      <c r="H278" s="17" t="s">
        <v>466</v>
      </c>
    </row>
    <row r="279" spans="1:8" x14ac:dyDescent="0.25">
      <c r="A279" s="16" t="s">
        <v>679</v>
      </c>
      <c r="B279" s="17" t="s">
        <v>72</v>
      </c>
      <c r="C279" s="17" t="s">
        <v>3766</v>
      </c>
      <c r="D279" s="17" t="s">
        <v>4160</v>
      </c>
      <c r="E279" s="17">
        <v>16</v>
      </c>
      <c r="F279" s="27">
        <v>12</v>
      </c>
      <c r="G279" s="17" t="s">
        <v>180</v>
      </c>
      <c r="H279" s="17" t="s">
        <v>680</v>
      </c>
    </row>
    <row r="280" spans="1:8" x14ac:dyDescent="0.25">
      <c r="A280" s="16" t="s">
        <v>681</v>
      </c>
      <c r="B280" s="17" t="s">
        <v>480</v>
      </c>
      <c r="C280" s="17" t="s">
        <v>4161</v>
      </c>
      <c r="D280" s="17" t="s">
        <v>4162</v>
      </c>
      <c r="E280" s="17">
        <v>17</v>
      </c>
      <c r="F280" s="27">
        <v>21</v>
      </c>
      <c r="G280" s="17" t="s">
        <v>682</v>
      </c>
      <c r="H280" s="17" t="s">
        <v>682</v>
      </c>
    </row>
    <row r="281" spans="1:8" x14ac:dyDescent="0.25">
      <c r="A281" s="16" t="s">
        <v>683</v>
      </c>
      <c r="B281" s="17" t="s">
        <v>261</v>
      </c>
      <c r="C281" s="17" t="s">
        <v>3766</v>
      </c>
      <c r="D281" s="17" t="s">
        <v>4163</v>
      </c>
      <c r="E281" s="17">
        <v>17</v>
      </c>
      <c r="F281" s="27">
        <v>21</v>
      </c>
      <c r="G281" s="17" t="s">
        <v>682</v>
      </c>
      <c r="H281" s="17" t="s">
        <v>684</v>
      </c>
    </row>
    <row r="282" spans="1:8" x14ac:dyDescent="0.25">
      <c r="A282" s="16" t="s">
        <v>685</v>
      </c>
      <c r="B282" s="17" t="s">
        <v>83</v>
      </c>
      <c r="C282" s="17" t="s">
        <v>3766</v>
      </c>
      <c r="D282" s="17" t="s">
        <v>4164</v>
      </c>
      <c r="E282" s="17">
        <v>17</v>
      </c>
      <c r="F282" s="27">
        <v>21</v>
      </c>
      <c r="G282" s="17" t="s">
        <v>682</v>
      </c>
      <c r="H282" s="17" t="s">
        <v>686</v>
      </c>
    </row>
    <row r="283" spans="1:8" x14ac:dyDescent="0.25">
      <c r="A283" s="16" t="s">
        <v>687</v>
      </c>
      <c r="B283" s="17" t="s">
        <v>72</v>
      </c>
      <c r="C283" s="17" t="s">
        <v>3766</v>
      </c>
      <c r="D283" s="17" t="s">
        <v>4165</v>
      </c>
      <c r="E283" s="17">
        <v>17</v>
      </c>
      <c r="F283" s="27">
        <v>21</v>
      </c>
      <c r="G283" s="17" t="s">
        <v>682</v>
      </c>
      <c r="H283" s="17" t="s">
        <v>688</v>
      </c>
    </row>
    <row r="284" spans="1:8" x14ac:dyDescent="0.25">
      <c r="A284" s="16" t="s">
        <v>689</v>
      </c>
      <c r="B284" s="17" t="s">
        <v>690</v>
      </c>
      <c r="C284" s="17" t="s">
        <v>3766</v>
      </c>
      <c r="D284" s="17" t="s">
        <v>4166</v>
      </c>
      <c r="E284" s="17">
        <v>17</v>
      </c>
      <c r="F284" s="27">
        <v>21</v>
      </c>
      <c r="G284" s="17" t="s">
        <v>145</v>
      </c>
      <c r="H284" s="17" t="s">
        <v>691</v>
      </c>
    </row>
    <row r="285" spans="1:8" x14ac:dyDescent="0.25">
      <c r="A285" s="16" t="s">
        <v>692</v>
      </c>
      <c r="B285" s="17" t="s">
        <v>306</v>
      </c>
      <c r="C285" s="17" t="s">
        <v>3871</v>
      </c>
      <c r="D285" s="17" t="s">
        <v>4167</v>
      </c>
      <c r="E285" s="17">
        <v>17</v>
      </c>
      <c r="F285" s="27">
        <v>21</v>
      </c>
      <c r="G285" s="17" t="s">
        <v>145</v>
      </c>
      <c r="H285" s="17" t="s">
        <v>693</v>
      </c>
    </row>
    <row r="286" spans="1:8" x14ac:dyDescent="0.25">
      <c r="A286" s="16" t="s">
        <v>694</v>
      </c>
      <c r="B286" s="17" t="s">
        <v>166</v>
      </c>
      <c r="C286" s="17" t="s">
        <v>3766</v>
      </c>
      <c r="D286" s="17" t="s">
        <v>4168</v>
      </c>
      <c r="E286" s="17">
        <v>17</v>
      </c>
      <c r="F286" s="27">
        <v>21</v>
      </c>
      <c r="G286" s="17" t="s">
        <v>695</v>
      </c>
      <c r="H286" s="17" t="s">
        <v>696</v>
      </c>
    </row>
    <row r="287" spans="1:8" x14ac:dyDescent="0.25">
      <c r="A287" s="16" t="s">
        <v>697</v>
      </c>
      <c r="B287" s="17" t="s">
        <v>166</v>
      </c>
      <c r="C287" s="17" t="s">
        <v>3766</v>
      </c>
      <c r="D287" s="17" t="s">
        <v>4169</v>
      </c>
      <c r="E287" s="17">
        <v>17</v>
      </c>
      <c r="F287" s="27">
        <v>21</v>
      </c>
      <c r="G287" s="17" t="s">
        <v>695</v>
      </c>
      <c r="H287" s="17" t="s">
        <v>698</v>
      </c>
    </row>
    <row r="288" spans="1:8" x14ac:dyDescent="0.25">
      <c r="A288" s="16" t="s">
        <v>699</v>
      </c>
      <c r="B288" s="17" t="s">
        <v>700</v>
      </c>
      <c r="C288" s="17" t="s">
        <v>4170</v>
      </c>
      <c r="D288" s="17" t="s">
        <v>4171</v>
      </c>
      <c r="E288" s="17">
        <v>17</v>
      </c>
      <c r="F288" s="27">
        <v>21</v>
      </c>
      <c r="G288" s="17" t="s">
        <v>701</v>
      </c>
      <c r="H288" s="17" t="s">
        <v>701</v>
      </c>
    </row>
    <row r="289" spans="1:8" x14ac:dyDescent="0.25">
      <c r="A289" s="16" t="s">
        <v>702</v>
      </c>
      <c r="B289" s="17" t="s">
        <v>703</v>
      </c>
      <c r="C289" s="17" t="s">
        <v>4172</v>
      </c>
      <c r="D289" s="17" t="s">
        <v>4173</v>
      </c>
      <c r="E289" s="17">
        <v>17</v>
      </c>
      <c r="F289" s="27">
        <v>21</v>
      </c>
      <c r="G289" s="17" t="s">
        <v>701</v>
      </c>
      <c r="H289" s="17" t="s">
        <v>701</v>
      </c>
    </row>
    <row r="290" spans="1:8" x14ac:dyDescent="0.25">
      <c r="A290" s="16" t="s">
        <v>704</v>
      </c>
      <c r="B290" s="17" t="s">
        <v>295</v>
      </c>
      <c r="C290" s="17" t="s">
        <v>3766</v>
      </c>
      <c r="D290" s="17" t="s">
        <v>4174</v>
      </c>
      <c r="E290" s="17">
        <v>17</v>
      </c>
      <c r="F290" s="27">
        <v>21</v>
      </c>
      <c r="G290" s="17" t="s">
        <v>701</v>
      </c>
      <c r="H290" s="17" t="s">
        <v>705</v>
      </c>
    </row>
    <row r="291" spans="1:8" x14ac:dyDescent="0.25">
      <c r="A291" s="16" t="s">
        <v>706</v>
      </c>
      <c r="B291" s="17" t="s">
        <v>83</v>
      </c>
      <c r="C291" s="17" t="s">
        <v>3766</v>
      </c>
      <c r="D291" s="17" t="s">
        <v>4175</v>
      </c>
      <c r="E291" s="17">
        <v>17</v>
      </c>
      <c r="F291" s="27">
        <v>21</v>
      </c>
      <c r="G291" s="17" t="s">
        <v>701</v>
      </c>
      <c r="H291" s="17" t="s">
        <v>707</v>
      </c>
    </row>
    <row r="292" spans="1:8" x14ac:dyDescent="0.25">
      <c r="A292" s="16" t="s">
        <v>708</v>
      </c>
      <c r="B292" s="17" t="s">
        <v>510</v>
      </c>
      <c r="C292" s="17" t="s">
        <v>3871</v>
      </c>
      <c r="D292" s="17" t="s">
        <v>4176</v>
      </c>
      <c r="E292" s="17">
        <v>17</v>
      </c>
      <c r="F292" s="27">
        <v>21</v>
      </c>
      <c r="G292" s="17" t="s">
        <v>701</v>
      </c>
      <c r="H292" s="17" t="s">
        <v>77</v>
      </c>
    </row>
    <row r="293" spans="1:8" x14ac:dyDescent="0.25">
      <c r="A293" s="16" t="s">
        <v>709</v>
      </c>
      <c r="B293" s="17" t="s">
        <v>135</v>
      </c>
      <c r="C293" s="17" t="s">
        <v>3766</v>
      </c>
      <c r="D293" s="17" t="s">
        <v>4177</v>
      </c>
      <c r="E293" s="17">
        <v>17</v>
      </c>
      <c r="F293" s="27">
        <v>21</v>
      </c>
      <c r="G293" s="17" t="s">
        <v>701</v>
      </c>
      <c r="H293" s="17" t="s">
        <v>710</v>
      </c>
    </row>
    <row r="294" spans="1:8" x14ac:dyDescent="0.25">
      <c r="A294" s="16" t="s">
        <v>711</v>
      </c>
      <c r="B294" s="17" t="s">
        <v>712</v>
      </c>
      <c r="C294" s="17" t="s">
        <v>3766</v>
      </c>
      <c r="D294" s="17" t="s">
        <v>4178</v>
      </c>
      <c r="E294" s="17">
        <v>17</v>
      </c>
      <c r="F294" s="27">
        <v>21</v>
      </c>
      <c r="G294" s="17" t="s">
        <v>701</v>
      </c>
      <c r="H294" s="17" t="s">
        <v>63</v>
      </c>
    </row>
    <row r="295" spans="1:8" x14ac:dyDescent="0.25">
      <c r="A295" s="16" t="s">
        <v>713</v>
      </c>
      <c r="B295" s="17" t="s">
        <v>443</v>
      </c>
      <c r="C295" s="17" t="s">
        <v>3766</v>
      </c>
      <c r="D295" s="17" t="s">
        <v>4179</v>
      </c>
      <c r="E295" s="17">
        <v>17</v>
      </c>
      <c r="F295" s="27">
        <v>21</v>
      </c>
      <c r="G295" s="17" t="s">
        <v>701</v>
      </c>
      <c r="H295" s="17" t="s">
        <v>714</v>
      </c>
    </row>
    <row r="296" spans="1:8" x14ac:dyDescent="0.25">
      <c r="A296" s="16" t="s">
        <v>715</v>
      </c>
      <c r="B296" s="17" t="s">
        <v>57</v>
      </c>
      <c r="C296" s="17" t="s">
        <v>3766</v>
      </c>
      <c r="D296" s="17" t="s">
        <v>4180</v>
      </c>
      <c r="E296" s="17">
        <v>17</v>
      </c>
      <c r="F296" s="27">
        <v>21</v>
      </c>
      <c r="G296" s="17" t="s">
        <v>701</v>
      </c>
      <c r="H296" s="17" t="s">
        <v>716</v>
      </c>
    </row>
    <row r="297" spans="1:8" x14ac:dyDescent="0.25">
      <c r="A297" s="16" t="s">
        <v>717</v>
      </c>
      <c r="B297" s="17" t="s">
        <v>322</v>
      </c>
      <c r="C297" s="17" t="s">
        <v>4181</v>
      </c>
      <c r="D297" s="17" t="s">
        <v>4182</v>
      </c>
      <c r="E297" s="17">
        <v>17</v>
      </c>
      <c r="F297" s="27">
        <v>21</v>
      </c>
      <c r="G297" s="17" t="s">
        <v>701</v>
      </c>
      <c r="H297" s="17" t="s">
        <v>718</v>
      </c>
    </row>
    <row r="298" spans="1:8" x14ac:dyDescent="0.25">
      <c r="A298" s="16" t="s">
        <v>719</v>
      </c>
      <c r="B298" s="17" t="s">
        <v>63</v>
      </c>
      <c r="C298" s="17" t="s">
        <v>3766</v>
      </c>
      <c r="D298" s="17" t="s">
        <v>4183</v>
      </c>
      <c r="E298" s="17">
        <v>17</v>
      </c>
      <c r="F298" s="27">
        <v>21</v>
      </c>
      <c r="G298" s="17" t="s">
        <v>701</v>
      </c>
      <c r="H298" s="17" t="s">
        <v>720</v>
      </c>
    </row>
    <row r="299" spans="1:8" x14ac:dyDescent="0.25">
      <c r="A299" s="16" t="s">
        <v>721</v>
      </c>
      <c r="B299" s="17" t="s">
        <v>166</v>
      </c>
      <c r="C299" s="17" t="s">
        <v>390</v>
      </c>
      <c r="D299" s="17" t="s">
        <v>4184</v>
      </c>
      <c r="E299" s="17">
        <v>17</v>
      </c>
      <c r="F299" s="27">
        <v>21</v>
      </c>
      <c r="G299" s="17" t="s">
        <v>701</v>
      </c>
      <c r="H299" s="17" t="s">
        <v>722</v>
      </c>
    </row>
    <row r="300" spans="1:8" x14ac:dyDescent="0.25">
      <c r="A300" s="16" t="s">
        <v>723</v>
      </c>
      <c r="B300" s="17" t="s">
        <v>41</v>
      </c>
      <c r="C300" s="17" t="s">
        <v>3766</v>
      </c>
      <c r="D300" s="17" t="s">
        <v>4185</v>
      </c>
      <c r="E300" s="17">
        <v>18</v>
      </c>
      <c r="F300" s="27">
        <v>17</v>
      </c>
      <c r="G300" s="17" t="s">
        <v>724</v>
      </c>
      <c r="H300" s="17" t="s">
        <v>725</v>
      </c>
    </row>
    <row r="301" spans="1:8" x14ac:dyDescent="0.25">
      <c r="A301" s="16" t="s">
        <v>726</v>
      </c>
      <c r="B301" s="17" t="s">
        <v>727</v>
      </c>
      <c r="C301" s="17" t="s">
        <v>3766</v>
      </c>
      <c r="D301" s="17" t="s">
        <v>4186</v>
      </c>
      <c r="E301" s="17">
        <v>18</v>
      </c>
      <c r="F301" s="27">
        <v>17</v>
      </c>
      <c r="G301" s="17" t="s">
        <v>724</v>
      </c>
      <c r="H301" s="17" t="s">
        <v>728</v>
      </c>
    </row>
    <row r="302" spans="1:8" x14ac:dyDescent="0.25">
      <c r="A302" s="16" t="s">
        <v>729</v>
      </c>
      <c r="B302" s="17" t="s">
        <v>254</v>
      </c>
      <c r="C302" s="17" t="s">
        <v>3766</v>
      </c>
      <c r="D302" s="17" t="s">
        <v>4187</v>
      </c>
      <c r="E302" s="17">
        <v>18</v>
      </c>
      <c r="F302" s="27">
        <v>17</v>
      </c>
      <c r="G302" s="17" t="s">
        <v>724</v>
      </c>
      <c r="H302" s="17" t="s">
        <v>730</v>
      </c>
    </row>
    <row r="303" spans="1:8" x14ac:dyDescent="0.25">
      <c r="A303" s="16" t="s">
        <v>731</v>
      </c>
      <c r="B303" s="17" t="s">
        <v>49</v>
      </c>
      <c r="C303" s="17" t="s">
        <v>3766</v>
      </c>
      <c r="D303" s="17" t="s">
        <v>4188</v>
      </c>
      <c r="E303" s="17">
        <v>18</v>
      </c>
      <c r="F303" s="27">
        <v>17</v>
      </c>
      <c r="G303" s="17" t="s">
        <v>724</v>
      </c>
      <c r="H303" s="17" t="s">
        <v>732</v>
      </c>
    </row>
    <row r="304" spans="1:8" x14ac:dyDescent="0.25">
      <c r="A304" s="16" t="s">
        <v>733</v>
      </c>
      <c r="B304" s="17" t="s">
        <v>734</v>
      </c>
      <c r="C304" s="17" t="s">
        <v>3766</v>
      </c>
      <c r="D304" s="17" t="s">
        <v>4189</v>
      </c>
      <c r="E304" s="17">
        <v>18</v>
      </c>
      <c r="F304" s="27">
        <v>17</v>
      </c>
      <c r="G304" s="17" t="s">
        <v>724</v>
      </c>
      <c r="H304" s="17" t="s">
        <v>735</v>
      </c>
    </row>
    <row r="305" spans="1:8" x14ac:dyDescent="0.25">
      <c r="A305" s="16" t="s">
        <v>736</v>
      </c>
      <c r="B305" s="17" t="s">
        <v>117</v>
      </c>
      <c r="C305" s="17" t="s">
        <v>4190</v>
      </c>
      <c r="D305" s="17" t="s">
        <v>4187</v>
      </c>
      <c r="E305" s="17">
        <v>18</v>
      </c>
      <c r="F305" s="27">
        <v>17</v>
      </c>
      <c r="G305" s="17" t="s">
        <v>724</v>
      </c>
      <c r="H305" s="17" t="s">
        <v>737</v>
      </c>
    </row>
    <row r="306" spans="1:8" x14ac:dyDescent="0.25">
      <c r="A306" s="16" t="s">
        <v>738</v>
      </c>
      <c r="B306" s="17" t="s">
        <v>693</v>
      </c>
      <c r="C306" s="17" t="s">
        <v>3766</v>
      </c>
      <c r="D306" s="17" t="s">
        <v>4191</v>
      </c>
      <c r="E306" s="17">
        <v>18</v>
      </c>
      <c r="F306" s="27">
        <v>17</v>
      </c>
      <c r="G306" s="17" t="s">
        <v>724</v>
      </c>
      <c r="H306" s="17" t="s">
        <v>693</v>
      </c>
    </row>
    <row r="307" spans="1:8" x14ac:dyDescent="0.25">
      <c r="A307" s="16" t="s">
        <v>739</v>
      </c>
      <c r="B307" s="17" t="s">
        <v>740</v>
      </c>
      <c r="C307" s="17" t="s">
        <v>4192</v>
      </c>
      <c r="D307" s="17" t="s">
        <v>4193</v>
      </c>
      <c r="E307" s="17">
        <v>18</v>
      </c>
      <c r="F307" s="27">
        <v>17</v>
      </c>
      <c r="G307" s="17" t="s">
        <v>741</v>
      </c>
      <c r="H307" s="17" t="s">
        <v>742</v>
      </c>
    </row>
    <row r="308" spans="1:8" x14ac:dyDescent="0.25">
      <c r="A308" s="16" t="s">
        <v>743</v>
      </c>
      <c r="B308" s="17" t="s">
        <v>151</v>
      </c>
      <c r="C308" s="17" t="s">
        <v>3814</v>
      </c>
      <c r="D308" s="17" t="s">
        <v>4194</v>
      </c>
      <c r="E308" s="17">
        <v>18</v>
      </c>
      <c r="F308" s="27">
        <v>17</v>
      </c>
      <c r="G308" s="17" t="s">
        <v>741</v>
      </c>
      <c r="H308" s="17" t="s">
        <v>744</v>
      </c>
    </row>
    <row r="309" spans="1:8" x14ac:dyDescent="0.25">
      <c r="A309" s="16" t="s">
        <v>745</v>
      </c>
      <c r="B309" s="17" t="s">
        <v>80</v>
      </c>
      <c r="C309" s="17" t="s">
        <v>3766</v>
      </c>
      <c r="D309" s="17" t="s">
        <v>4195</v>
      </c>
      <c r="E309" s="17">
        <v>18</v>
      </c>
      <c r="F309" s="27">
        <v>17</v>
      </c>
      <c r="G309" s="17" t="s">
        <v>741</v>
      </c>
      <c r="H309" s="17" t="s">
        <v>746</v>
      </c>
    </row>
    <row r="310" spans="1:8" x14ac:dyDescent="0.25">
      <c r="A310" s="16" t="s">
        <v>747</v>
      </c>
      <c r="B310" s="17" t="s">
        <v>97</v>
      </c>
      <c r="C310" s="17" t="s">
        <v>4196</v>
      </c>
      <c r="D310" s="17" t="s">
        <v>4189</v>
      </c>
      <c r="E310" s="17">
        <v>18</v>
      </c>
      <c r="F310" s="27">
        <v>17</v>
      </c>
      <c r="G310" s="17" t="s">
        <v>741</v>
      </c>
      <c r="H310" s="17" t="s">
        <v>748</v>
      </c>
    </row>
    <row r="311" spans="1:8" x14ac:dyDescent="0.25">
      <c r="A311" s="16" t="s">
        <v>749</v>
      </c>
      <c r="B311" s="17" t="s">
        <v>95</v>
      </c>
      <c r="C311" s="17" t="s">
        <v>3766</v>
      </c>
      <c r="D311" s="17" t="s">
        <v>4197</v>
      </c>
      <c r="E311" s="17">
        <v>18</v>
      </c>
      <c r="F311" s="27">
        <v>17</v>
      </c>
      <c r="G311" s="17" t="s">
        <v>741</v>
      </c>
      <c r="H311" s="17" t="s">
        <v>750</v>
      </c>
    </row>
    <row r="312" spans="1:8" x14ac:dyDescent="0.25">
      <c r="A312" s="16" t="s">
        <v>751</v>
      </c>
      <c r="B312" s="17" t="s">
        <v>752</v>
      </c>
      <c r="C312" s="17" t="s">
        <v>3766</v>
      </c>
      <c r="D312" s="17" t="s">
        <v>4198</v>
      </c>
      <c r="E312" s="17">
        <v>18</v>
      </c>
      <c r="F312" s="27">
        <v>17</v>
      </c>
      <c r="G312" s="17" t="s">
        <v>741</v>
      </c>
      <c r="H312" s="17" t="s">
        <v>753</v>
      </c>
    </row>
    <row r="313" spans="1:8" x14ac:dyDescent="0.25">
      <c r="A313" s="16" t="s">
        <v>754</v>
      </c>
      <c r="B313" s="17" t="s">
        <v>166</v>
      </c>
      <c r="C313" s="17" t="s">
        <v>3766</v>
      </c>
      <c r="D313" s="17" t="s">
        <v>4199</v>
      </c>
      <c r="E313" s="17">
        <v>18</v>
      </c>
      <c r="F313" s="27">
        <v>17</v>
      </c>
      <c r="G313" s="17" t="s">
        <v>741</v>
      </c>
      <c r="H313" s="17" t="s">
        <v>755</v>
      </c>
    </row>
    <row r="314" spans="1:8" x14ac:dyDescent="0.25">
      <c r="A314" s="16" t="s">
        <v>756</v>
      </c>
      <c r="B314" s="17" t="s">
        <v>166</v>
      </c>
      <c r="C314" s="17" t="s">
        <v>4200</v>
      </c>
      <c r="D314" s="17" t="s">
        <v>4201</v>
      </c>
      <c r="E314" s="17">
        <v>18</v>
      </c>
      <c r="F314" s="27">
        <v>17</v>
      </c>
      <c r="G314" s="17" t="s">
        <v>741</v>
      </c>
      <c r="H314" s="17" t="s">
        <v>757</v>
      </c>
    </row>
    <row r="315" spans="1:8" x14ac:dyDescent="0.25">
      <c r="A315" s="16" t="s">
        <v>758</v>
      </c>
      <c r="B315" s="17" t="s">
        <v>148</v>
      </c>
      <c r="C315" s="17" t="s">
        <v>3766</v>
      </c>
      <c r="D315" s="17" t="s">
        <v>4202</v>
      </c>
      <c r="E315" s="17">
        <v>18</v>
      </c>
      <c r="F315" s="27">
        <v>17</v>
      </c>
      <c r="G315" s="17" t="s">
        <v>741</v>
      </c>
      <c r="H315" s="17" t="s">
        <v>759</v>
      </c>
    </row>
    <row r="316" spans="1:8" x14ac:dyDescent="0.25">
      <c r="A316" s="16" t="s">
        <v>760</v>
      </c>
      <c r="B316" s="17" t="s">
        <v>671</v>
      </c>
      <c r="C316" s="17" t="s">
        <v>3814</v>
      </c>
      <c r="D316" s="17" t="s">
        <v>4203</v>
      </c>
      <c r="E316" s="17">
        <v>18</v>
      </c>
      <c r="F316" s="27">
        <v>17</v>
      </c>
      <c r="G316" s="17" t="s">
        <v>741</v>
      </c>
      <c r="H316" s="17" t="s">
        <v>761</v>
      </c>
    </row>
    <row r="317" spans="1:8" x14ac:dyDescent="0.25">
      <c r="A317" s="16" t="s">
        <v>762</v>
      </c>
      <c r="B317" s="17" t="s">
        <v>77</v>
      </c>
      <c r="C317" s="17" t="s">
        <v>3766</v>
      </c>
      <c r="D317" s="17" t="s">
        <v>4204</v>
      </c>
      <c r="E317" s="17">
        <v>18</v>
      </c>
      <c r="F317" s="27">
        <v>17</v>
      </c>
      <c r="G317" s="17" t="s">
        <v>741</v>
      </c>
      <c r="H317" s="17" t="s">
        <v>763</v>
      </c>
    </row>
    <row r="318" spans="1:8" x14ac:dyDescent="0.25">
      <c r="A318" s="16" t="s">
        <v>764</v>
      </c>
      <c r="B318" s="17" t="s">
        <v>298</v>
      </c>
      <c r="C318" s="17" t="s">
        <v>3766</v>
      </c>
      <c r="D318" s="17" t="s">
        <v>4205</v>
      </c>
      <c r="E318" s="17">
        <v>18</v>
      </c>
      <c r="F318" s="27">
        <v>17</v>
      </c>
      <c r="G318" s="17" t="s">
        <v>741</v>
      </c>
      <c r="H318" s="17" t="s">
        <v>765</v>
      </c>
    </row>
    <row r="319" spans="1:8" x14ac:dyDescent="0.25">
      <c r="A319" s="16" t="s">
        <v>766</v>
      </c>
      <c r="B319" s="17" t="s">
        <v>678</v>
      </c>
      <c r="C319" s="17" t="s">
        <v>3766</v>
      </c>
      <c r="D319" s="17" t="s">
        <v>4206</v>
      </c>
      <c r="E319" s="17">
        <v>18</v>
      </c>
      <c r="F319" s="27">
        <v>17</v>
      </c>
      <c r="G319" s="17" t="s">
        <v>741</v>
      </c>
      <c r="H319" s="17" t="s">
        <v>767</v>
      </c>
    </row>
    <row r="320" spans="1:8" x14ac:dyDescent="0.25">
      <c r="A320" s="16" t="s">
        <v>768</v>
      </c>
      <c r="B320" s="17" t="s">
        <v>480</v>
      </c>
      <c r="C320" s="17" t="s">
        <v>3766</v>
      </c>
      <c r="D320" s="17" t="s">
        <v>4207</v>
      </c>
      <c r="E320" s="17">
        <v>18</v>
      </c>
      <c r="F320" s="27">
        <v>17</v>
      </c>
      <c r="G320" s="17" t="s">
        <v>741</v>
      </c>
      <c r="H320" s="17" t="s">
        <v>769</v>
      </c>
    </row>
    <row r="321" spans="1:8" x14ac:dyDescent="0.25">
      <c r="A321" s="16" t="s">
        <v>770</v>
      </c>
      <c r="B321" s="17" t="s">
        <v>499</v>
      </c>
      <c r="C321" s="17" t="s">
        <v>4208</v>
      </c>
      <c r="D321" s="17" t="s">
        <v>4209</v>
      </c>
      <c r="E321" s="17">
        <v>18</v>
      </c>
      <c r="F321" s="27">
        <v>17</v>
      </c>
      <c r="G321" s="17" t="s">
        <v>771</v>
      </c>
      <c r="H321" s="17" t="s">
        <v>771</v>
      </c>
    </row>
    <row r="322" spans="1:8" x14ac:dyDescent="0.25">
      <c r="A322" s="16" t="s">
        <v>772</v>
      </c>
      <c r="B322" s="17" t="s">
        <v>83</v>
      </c>
      <c r="C322" s="17" t="s">
        <v>3766</v>
      </c>
      <c r="D322" s="17" t="s">
        <v>4210</v>
      </c>
      <c r="E322" s="17">
        <v>18</v>
      </c>
      <c r="F322" s="27">
        <v>17</v>
      </c>
      <c r="G322" s="17" t="s">
        <v>771</v>
      </c>
      <c r="H322" s="17" t="s">
        <v>63</v>
      </c>
    </row>
    <row r="323" spans="1:8" x14ac:dyDescent="0.25">
      <c r="A323" s="16" t="s">
        <v>773</v>
      </c>
      <c r="B323" s="17" t="s">
        <v>49</v>
      </c>
      <c r="C323" s="17" t="s">
        <v>4211</v>
      </c>
      <c r="D323" s="17" t="s">
        <v>4212</v>
      </c>
      <c r="E323" s="17">
        <v>18</v>
      </c>
      <c r="F323" s="27">
        <v>17</v>
      </c>
      <c r="G323" s="17" t="s">
        <v>774</v>
      </c>
      <c r="H323" s="17" t="s">
        <v>775</v>
      </c>
    </row>
    <row r="324" spans="1:8" x14ac:dyDescent="0.25">
      <c r="A324" s="16" t="s">
        <v>776</v>
      </c>
      <c r="B324" s="17" t="s">
        <v>49</v>
      </c>
      <c r="C324" s="17" t="s">
        <v>3766</v>
      </c>
      <c r="D324" s="17" t="s">
        <v>4213</v>
      </c>
      <c r="E324" s="17">
        <v>18</v>
      </c>
      <c r="F324" s="27">
        <v>17</v>
      </c>
      <c r="G324" s="17" t="s">
        <v>774</v>
      </c>
      <c r="H324" s="17" t="s">
        <v>777</v>
      </c>
    </row>
    <row r="325" spans="1:8" x14ac:dyDescent="0.25">
      <c r="A325" s="16" t="s">
        <v>778</v>
      </c>
      <c r="B325" s="17" t="s">
        <v>23</v>
      </c>
      <c r="C325" s="17" t="s">
        <v>3766</v>
      </c>
      <c r="D325" s="17" t="s">
        <v>4214</v>
      </c>
      <c r="E325" s="17">
        <v>18</v>
      </c>
      <c r="F325" s="27">
        <v>17</v>
      </c>
      <c r="G325" s="17" t="s">
        <v>774</v>
      </c>
      <c r="H325" s="17" t="s">
        <v>779</v>
      </c>
    </row>
    <row r="326" spans="1:8" x14ac:dyDescent="0.25">
      <c r="A326" s="16" t="s">
        <v>780</v>
      </c>
      <c r="B326" s="17" t="s">
        <v>781</v>
      </c>
      <c r="C326" s="17" t="s">
        <v>4215</v>
      </c>
      <c r="D326" s="17" t="s">
        <v>4216</v>
      </c>
      <c r="E326" s="17">
        <v>19</v>
      </c>
      <c r="F326" s="27">
        <v>17</v>
      </c>
      <c r="G326" s="17" t="s">
        <v>782</v>
      </c>
      <c r="H326" s="17" t="s">
        <v>581</v>
      </c>
    </row>
    <row r="327" spans="1:8" x14ac:dyDescent="0.25">
      <c r="A327" s="16" t="s">
        <v>783</v>
      </c>
      <c r="B327" s="17" t="s">
        <v>517</v>
      </c>
      <c r="C327" s="17" t="s">
        <v>3766</v>
      </c>
      <c r="D327" s="17" t="s">
        <v>4217</v>
      </c>
      <c r="E327" s="17">
        <v>19</v>
      </c>
      <c r="F327" s="27">
        <v>17</v>
      </c>
      <c r="G327" s="17" t="s">
        <v>782</v>
      </c>
      <c r="H327" s="17" t="s">
        <v>784</v>
      </c>
    </row>
    <row r="328" spans="1:8" x14ac:dyDescent="0.25">
      <c r="A328" s="16" t="s">
        <v>785</v>
      </c>
      <c r="B328" s="17" t="s">
        <v>95</v>
      </c>
      <c r="C328" s="17" t="s">
        <v>4218</v>
      </c>
      <c r="D328" s="17" t="s">
        <v>4219</v>
      </c>
      <c r="E328" s="17">
        <v>19</v>
      </c>
      <c r="F328" s="27">
        <v>17</v>
      </c>
      <c r="G328" s="17" t="s">
        <v>782</v>
      </c>
      <c r="H328" s="17" t="s">
        <v>786</v>
      </c>
    </row>
    <row r="329" spans="1:8" x14ac:dyDescent="0.25">
      <c r="A329" s="16" t="s">
        <v>787</v>
      </c>
      <c r="B329" s="17" t="s">
        <v>157</v>
      </c>
      <c r="C329" s="17" t="s">
        <v>4220</v>
      </c>
      <c r="D329" s="17" t="s">
        <v>4221</v>
      </c>
      <c r="E329" s="17">
        <v>19</v>
      </c>
      <c r="F329" s="27">
        <v>17</v>
      </c>
      <c r="G329" s="17" t="s">
        <v>782</v>
      </c>
      <c r="H329" s="17" t="s">
        <v>788</v>
      </c>
    </row>
    <row r="330" spans="1:8" x14ac:dyDescent="0.25">
      <c r="A330" s="16" t="s">
        <v>789</v>
      </c>
      <c r="B330" s="17" t="s">
        <v>790</v>
      </c>
      <c r="C330" s="17" t="s">
        <v>4222</v>
      </c>
      <c r="D330" s="17" t="s">
        <v>4223</v>
      </c>
      <c r="E330" s="17">
        <v>19</v>
      </c>
      <c r="F330" s="27">
        <v>17</v>
      </c>
      <c r="G330" s="17" t="s">
        <v>782</v>
      </c>
      <c r="H330" s="17" t="s">
        <v>791</v>
      </c>
    </row>
    <row r="331" spans="1:8" x14ac:dyDescent="0.25">
      <c r="A331" s="16" t="s">
        <v>792</v>
      </c>
      <c r="B331" s="17" t="s">
        <v>793</v>
      </c>
      <c r="C331" s="17" t="s">
        <v>4224</v>
      </c>
      <c r="D331" s="17" t="s">
        <v>4225</v>
      </c>
      <c r="E331" s="17">
        <v>19</v>
      </c>
      <c r="F331" s="27">
        <v>17</v>
      </c>
      <c r="G331" s="17" t="s">
        <v>782</v>
      </c>
      <c r="H331" s="17" t="s">
        <v>794</v>
      </c>
    </row>
    <row r="332" spans="1:8" x14ac:dyDescent="0.25">
      <c r="A332" s="16" t="s">
        <v>795</v>
      </c>
      <c r="B332" s="17" t="s">
        <v>46</v>
      </c>
      <c r="C332" s="17" t="s">
        <v>3766</v>
      </c>
      <c r="D332" s="17" t="s">
        <v>4226</v>
      </c>
      <c r="E332" s="17">
        <v>19</v>
      </c>
      <c r="F332" s="27">
        <v>17</v>
      </c>
      <c r="G332" s="17" t="s">
        <v>782</v>
      </c>
      <c r="H332" s="17" t="s">
        <v>796</v>
      </c>
    </row>
    <row r="333" spans="1:8" x14ac:dyDescent="0.25">
      <c r="A333" s="16" t="s">
        <v>797</v>
      </c>
      <c r="B333" s="17" t="s">
        <v>148</v>
      </c>
      <c r="C333" s="17" t="s">
        <v>4227</v>
      </c>
      <c r="D333" s="17" t="s">
        <v>4228</v>
      </c>
      <c r="E333" s="17">
        <v>19</v>
      </c>
      <c r="F333" s="27">
        <v>17</v>
      </c>
      <c r="G333" s="17" t="s">
        <v>798</v>
      </c>
      <c r="H333" s="17" t="s">
        <v>798</v>
      </c>
    </row>
    <row r="334" spans="1:8" x14ac:dyDescent="0.25">
      <c r="A334" s="16" t="s">
        <v>799</v>
      </c>
      <c r="B334" s="17" t="s">
        <v>272</v>
      </c>
      <c r="C334" s="17" t="s">
        <v>4229</v>
      </c>
      <c r="D334" s="17" t="s">
        <v>4230</v>
      </c>
      <c r="E334" s="17">
        <v>19</v>
      </c>
      <c r="F334" s="27">
        <v>17</v>
      </c>
      <c r="G334" s="17" t="s">
        <v>798</v>
      </c>
      <c r="H334" s="17" t="s">
        <v>800</v>
      </c>
    </row>
    <row r="335" spans="1:8" x14ac:dyDescent="0.25">
      <c r="A335" s="16" t="s">
        <v>801</v>
      </c>
      <c r="B335" s="17" t="s">
        <v>411</v>
      </c>
      <c r="C335" s="17" t="s">
        <v>4231</v>
      </c>
      <c r="D335" s="17" t="s">
        <v>4232</v>
      </c>
      <c r="E335" s="17">
        <v>19</v>
      </c>
      <c r="F335" s="27">
        <v>17</v>
      </c>
      <c r="G335" s="17" t="s">
        <v>798</v>
      </c>
      <c r="H335" s="17" t="s">
        <v>802</v>
      </c>
    </row>
    <row r="336" spans="1:8" x14ac:dyDescent="0.25">
      <c r="A336" s="16" t="s">
        <v>803</v>
      </c>
      <c r="B336" s="17" t="s">
        <v>376</v>
      </c>
      <c r="C336" s="17" t="s">
        <v>4233</v>
      </c>
      <c r="D336" s="17" t="s">
        <v>4234</v>
      </c>
      <c r="E336" s="17">
        <v>19</v>
      </c>
      <c r="F336" s="27">
        <v>17</v>
      </c>
      <c r="G336" s="17" t="s">
        <v>804</v>
      </c>
      <c r="H336" s="17" t="s">
        <v>805</v>
      </c>
    </row>
    <row r="337" spans="1:8" x14ac:dyDescent="0.25">
      <c r="A337" s="16" t="s">
        <v>806</v>
      </c>
      <c r="B337" s="17" t="s">
        <v>807</v>
      </c>
      <c r="C337" s="17" t="s">
        <v>4235</v>
      </c>
      <c r="D337" s="17" t="s">
        <v>4236</v>
      </c>
      <c r="E337" s="17">
        <v>19</v>
      </c>
      <c r="F337" s="27">
        <v>17</v>
      </c>
      <c r="G337" s="17" t="s">
        <v>804</v>
      </c>
      <c r="H337" s="17" t="s">
        <v>808</v>
      </c>
    </row>
    <row r="338" spans="1:8" x14ac:dyDescent="0.25">
      <c r="A338" s="16" t="s">
        <v>809</v>
      </c>
      <c r="B338" s="17" t="s">
        <v>810</v>
      </c>
      <c r="C338" s="17" t="s">
        <v>4237</v>
      </c>
      <c r="D338" s="17" t="s">
        <v>4238</v>
      </c>
      <c r="E338" s="17">
        <v>19</v>
      </c>
      <c r="F338" s="27">
        <v>17</v>
      </c>
      <c r="G338" s="17" t="s">
        <v>804</v>
      </c>
      <c r="H338" s="17" t="s">
        <v>811</v>
      </c>
    </row>
    <row r="339" spans="1:8" x14ac:dyDescent="0.25">
      <c r="A339" s="16" t="s">
        <v>812</v>
      </c>
      <c r="B339" s="17" t="s">
        <v>117</v>
      </c>
      <c r="C339" s="17" t="s">
        <v>3814</v>
      </c>
      <c r="D339" s="17" t="s">
        <v>4169</v>
      </c>
      <c r="E339" s="17">
        <v>19</v>
      </c>
      <c r="F339" s="27">
        <v>17</v>
      </c>
      <c r="G339" s="17" t="s">
        <v>804</v>
      </c>
      <c r="H339" s="17" t="s">
        <v>813</v>
      </c>
    </row>
    <row r="340" spans="1:8" x14ac:dyDescent="0.25">
      <c r="A340" s="16" t="s">
        <v>814</v>
      </c>
      <c r="B340" s="17" t="s">
        <v>254</v>
      </c>
      <c r="C340" s="17" t="s">
        <v>4218</v>
      </c>
      <c r="D340" s="17" t="s">
        <v>4239</v>
      </c>
      <c r="E340" s="17">
        <v>19</v>
      </c>
      <c r="F340" s="27">
        <v>17</v>
      </c>
      <c r="G340" s="17" t="s">
        <v>804</v>
      </c>
      <c r="H340" s="17" t="s">
        <v>815</v>
      </c>
    </row>
    <row r="341" spans="1:8" x14ac:dyDescent="0.25">
      <c r="A341" s="16" t="s">
        <v>816</v>
      </c>
      <c r="B341" s="17" t="s">
        <v>553</v>
      </c>
      <c r="C341" s="17" t="s">
        <v>3766</v>
      </c>
      <c r="D341" s="17" t="s">
        <v>4240</v>
      </c>
      <c r="E341" s="17">
        <v>19</v>
      </c>
      <c r="F341" s="27">
        <v>17</v>
      </c>
      <c r="G341" s="17" t="s">
        <v>804</v>
      </c>
      <c r="H341" s="17" t="s">
        <v>817</v>
      </c>
    </row>
    <row r="342" spans="1:8" x14ac:dyDescent="0.25">
      <c r="A342" s="16" t="s">
        <v>818</v>
      </c>
      <c r="B342" s="17" t="s">
        <v>819</v>
      </c>
      <c r="C342" s="17" t="s">
        <v>4241</v>
      </c>
      <c r="D342" s="17" t="s">
        <v>4242</v>
      </c>
      <c r="E342" s="17">
        <v>19</v>
      </c>
      <c r="F342" s="27">
        <v>17</v>
      </c>
      <c r="G342" s="17" t="s">
        <v>820</v>
      </c>
      <c r="H342" s="17" t="s">
        <v>820</v>
      </c>
    </row>
    <row r="343" spans="1:8" x14ac:dyDescent="0.25">
      <c r="A343" s="16" t="s">
        <v>821</v>
      </c>
      <c r="B343" s="17" t="s">
        <v>72</v>
      </c>
      <c r="C343" s="17" t="s">
        <v>4243</v>
      </c>
      <c r="D343" s="17" t="s">
        <v>4244</v>
      </c>
      <c r="E343" s="17">
        <v>19</v>
      </c>
      <c r="F343" s="27">
        <v>17</v>
      </c>
      <c r="G343" s="17" t="s">
        <v>820</v>
      </c>
      <c r="H343" s="17" t="s">
        <v>822</v>
      </c>
    </row>
    <row r="344" spans="1:8" x14ac:dyDescent="0.25">
      <c r="A344" s="16" t="s">
        <v>823</v>
      </c>
      <c r="B344" s="17" t="s">
        <v>254</v>
      </c>
      <c r="C344" s="17" t="s">
        <v>4215</v>
      </c>
      <c r="D344" s="17" t="s">
        <v>4245</v>
      </c>
      <c r="E344" s="17">
        <v>19</v>
      </c>
      <c r="F344" s="27">
        <v>17</v>
      </c>
      <c r="G344" s="17" t="s">
        <v>820</v>
      </c>
      <c r="H344" s="17" t="s">
        <v>824</v>
      </c>
    </row>
    <row r="345" spans="1:8" x14ac:dyDescent="0.25">
      <c r="A345" s="16" t="s">
        <v>825</v>
      </c>
      <c r="B345" s="17" t="s">
        <v>614</v>
      </c>
      <c r="C345" s="17" t="s">
        <v>4246</v>
      </c>
      <c r="D345" s="17" t="s">
        <v>4247</v>
      </c>
      <c r="E345" s="17">
        <v>19</v>
      </c>
      <c r="F345" s="27">
        <v>17</v>
      </c>
      <c r="G345" s="17" t="s">
        <v>820</v>
      </c>
      <c r="H345" s="17" t="s">
        <v>826</v>
      </c>
    </row>
    <row r="346" spans="1:8" x14ac:dyDescent="0.25">
      <c r="A346" s="16" t="s">
        <v>827</v>
      </c>
      <c r="B346" s="17" t="s">
        <v>103</v>
      </c>
      <c r="C346" s="17" t="s">
        <v>4248</v>
      </c>
      <c r="D346" s="17" t="s">
        <v>4249</v>
      </c>
      <c r="E346" s="17">
        <v>19</v>
      </c>
      <c r="F346" s="27">
        <v>17</v>
      </c>
      <c r="G346" s="17" t="s">
        <v>828</v>
      </c>
      <c r="H346" s="17" t="s">
        <v>829</v>
      </c>
    </row>
    <row r="347" spans="1:8" x14ac:dyDescent="0.25">
      <c r="A347" s="16" t="s">
        <v>830</v>
      </c>
      <c r="B347" s="17" t="s">
        <v>510</v>
      </c>
      <c r="C347" s="17" t="s">
        <v>4250</v>
      </c>
      <c r="D347" s="17" t="s">
        <v>4217</v>
      </c>
      <c r="E347" s="17">
        <v>19</v>
      </c>
      <c r="F347" s="27">
        <v>17</v>
      </c>
      <c r="G347" s="17" t="s">
        <v>828</v>
      </c>
      <c r="H347" s="17" t="s">
        <v>831</v>
      </c>
    </row>
    <row r="348" spans="1:8" x14ac:dyDescent="0.25">
      <c r="A348" s="16" t="s">
        <v>832</v>
      </c>
      <c r="B348" s="17" t="s">
        <v>151</v>
      </c>
      <c r="C348" s="17" t="s">
        <v>4251</v>
      </c>
      <c r="D348" s="17" t="s">
        <v>4252</v>
      </c>
      <c r="E348" s="17">
        <v>19</v>
      </c>
      <c r="F348" s="27">
        <v>17</v>
      </c>
      <c r="G348" s="17" t="s">
        <v>828</v>
      </c>
      <c r="H348" s="17" t="s">
        <v>833</v>
      </c>
    </row>
    <row r="349" spans="1:8" x14ac:dyDescent="0.25">
      <c r="A349" s="16" t="s">
        <v>834</v>
      </c>
      <c r="B349" s="17" t="s">
        <v>60</v>
      </c>
      <c r="C349" s="17" t="s">
        <v>4253</v>
      </c>
      <c r="D349" s="17" t="s">
        <v>4254</v>
      </c>
      <c r="E349" s="17">
        <v>19</v>
      </c>
      <c r="F349" s="27">
        <v>17</v>
      </c>
      <c r="G349" s="17" t="s">
        <v>835</v>
      </c>
      <c r="H349" s="17" t="s">
        <v>835</v>
      </c>
    </row>
    <row r="350" spans="1:8" x14ac:dyDescent="0.25">
      <c r="A350" s="16" t="s">
        <v>836</v>
      </c>
      <c r="B350" s="17" t="s">
        <v>72</v>
      </c>
      <c r="C350" s="17" t="s">
        <v>3766</v>
      </c>
      <c r="D350" s="17" t="s">
        <v>4255</v>
      </c>
      <c r="E350" s="17">
        <v>19</v>
      </c>
      <c r="F350" s="27">
        <v>17</v>
      </c>
      <c r="G350" s="17" t="s">
        <v>835</v>
      </c>
      <c r="H350" s="17" t="s">
        <v>837</v>
      </c>
    </row>
    <row r="351" spans="1:8" x14ac:dyDescent="0.25">
      <c r="A351" s="16" t="s">
        <v>838</v>
      </c>
      <c r="B351" s="17" t="s">
        <v>301</v>
      </c>
      <c r="C351" s="17" t="s">
        <v>4256</v>
      </c>
      <c r="D351" s="17" t="s">
        <v>4257</v>
      </c>
      <c r="E351" s="17">
        <v>19</v>
      </c>
      <c r="F351" s="27">
        <v>17</v>
      </c>
      <c r="G351" s="17" t="s">
        <v>839</v>
      </c>
      <c r="H351" s="17" t="s">
        <v>840</v>
      </c>
    </row>
    <row r="352" spans="1:8" x14ac:dyDescent="0.25">
      <c r="A352" s="16" t="s">
        <v>841</v>
      </c>
      <c r="B352" s="17" t="s">
        <v>41</v>
      </c>
      <c r="C352" s="17" t="s">
        <v>4258</v>
      </c>
      <c r="D352" s="17" t="s">
        <v>4259</v>
      </c>
      <c r="E352" s="17">
        <v>19</v>
      </c>
      <c r="F352" s="27">
        <v>17</v>
      </c>
      <c r="G352" s="17" t="s">
        <v>839</v>
      </c>
      <c r="H352" s="17" t="s">
        <v>842</v>
      </c>
    </row>
    <row r="353" spans="1:8" x14ac:dyDescent="0.25">
      <c r="A353" s="16" t="s">
        <v>843</v>
      </c>
      <c r="B353" s="17" t="s">
        <v>163</v>
      </c>
      <c r="C353" s="17" t="s">
        <v>4260</v>
      </c>
      <c r="D353" s="17" t="s">
        <v>4254</v>
      </c>
      <c r="E353" s="17">
        <v>19</v>
      </c>
      <c r="F353" s="27">
        <v>17</v>
      </c>
      <c r="G353" s="17" t="s">
        <v>839</v>
      </c>
      <c r="H353" s="17" t="s">
        <v>844</v>
      </c>
    </row>
    <row r="354" spans="1:8" x14ac:dyDescent="0.25">
      <c r="A354" s="16" t="s">
        <v>845</v>
      </c>
      <c r="B354" s="17" t="s">
        <v>272</v>
      </c>
      <c r="C354" s="17" t="s">
        <v>3908</v>
      </c>
      <c r="D354" s="17" t="s">
        <v>4261</v>
      </c>
      <c r="E354" s="17">
        <v>20</v>
      </c>
      <c r="F354" s="27">
        <v>15</v>
      </c>
      <c r="G354" s="17" t="s">
        <v>846</v>
      </c>
      <c r="H354" s="17" t="s">
        <v>847</v>
      </c>
    </row>
    <row r="355" spans="1:8" x14ac:dyDescent="0.25">
      <c r="A355" s="16" t="s">
        <v>848</v>
      </c>
      <c r="B355" s="17" t="s">
        <v>148</v>
      </c>
      <c r="C355" s="17" t="s">
        <v>3766</v>
      </c>
      <c r="D355" s="17" t="s">
        <v>4262</v>
      </c>
      <c r="E355" s="17">
        <v>20</v>
      </c>
      <c r="F355" s="27">
        <v>15</v>
      </c>
      <c r="G355" s="17" t="s">
        <v>846</v>
      </c>
      <c r="H355" s="17" t="s">
        <v>849</v>
      </c>
    </row>
    <row r="356" spans="1:8" x14ac:dyDescent="0.25">
      <c r="A356" s="16" t="s">
        <v>850</v>
      </c>
      <c r="B356" s="17" t="s">
        <v>148</v>
      </c>
      <c r="C356" s="17" t="s">
        <v>4263</v>
      </c>
      <c r="D356" s="17" t="s">
        <v>4264</v>
      </c>
      <c r="E356" s="17">
        <v>20</v>
      </c>
      <c r="F356" s="27">
        <v>15</v>
      </c>
      <c r="G356" s="17" t="s">
        <v>846</v>
      </c>
      <c r="H356" s="17" t="s">
        <v>851</v>
      </c>
    </row>
    <row r="357" spans="1:8" x14ac:dyDescent="0.25">
      <c r="A357" s="16" t="s">
        <v>852</v>
      </c>
      <c r="B357" s="17" t="s">
        <v>434</v>
      </c>
      <c r="C357" s="17" t="s">
        <v>3766</v>
      </c>
      <c r="D357" s="17" t="s">
        <v>4265</v>
      </c>
      <c r="E357" s="17">
        <v>20</v>
      </c>
      <c r="F357" s="27">
        <v>15</v>
      </c>
      <c r="G357" s="17" t="s">
        <v>846</v>
      </c>
      <c r="H357" s="17" t="s">
        <v>853</v>
      </c>
    </row>
    <row r="358" spans="1:8" x14ac:dyDescent="0.25">
      <c r="A358" s="16" t="s">
        <v>854</v>
      </c>
      <c r="B358" s="17" t="s">
        <v>855</v>
      </c>
      <c r="C358" s="17" t="s">
        <v>3840</v>
      </c>
      <c r="D358" s="17" t="s">
        <v>4266</v>
      </c>
      <c r="E358" s="17">
        <v>20</v>
      </c>
      <c r="F358" s="27">
        <v>15</v>
      </c>
      <c r="G358" s="17" t="s">
        <v>846</v>
      </c>
      <c r="H358" s="17" t="s">
        <v>167</v>
      </c>
    </row>
    <row r="359" spans="1:8" x14ac:dyDescent="0.25">
      <c r="A359" s="16" t="s">
        <v>856</v>
      </c>
      <c r="B359" s="17" t="s">
        <v>614</v>
      </c>
      <c r="C359" s="17" t="s">
        <v>4267</v>
      </c>
      <c r="D359" s="17" t="s">
        <v>4268</v>
      </c>
      <c r="E359" s="17">
        <v>20</v>
      </c>
      <c r="F359" s="27">
        <v>15</v>
      </c>
      <c r="G359" s="17" t="s">
        <v>857</v>
      </c>
      <c r="H359" s="17" t="s">
        <v>858</v>
      </c>
    </row>
    <row r="360" spans="1:8" x14ac:dyDescent="0.25">
      <c r="A360" s="16" t="s">
        <v>859</v>
      </c>
      <c r="B360" s="17" t="s">
        <v>860</v>
      </c>
      <c r="C360" s="17" t="s">
        <v>4269</v>
      </c>
      <c r="D360" s="17" t="s">
        <v>4270</v>
      </c>
      <c r="E360" s="17">
        <v>20</v>
      </c>
      <c r="F360" s="27">
        <v>15</v>
      </c>
      <c r="G360" s="17" t="s">
        <v>857</v>
      </c>
      <c r="H360" s="17" t="s">
        <v>861</v>
      </c>
    </row>
    <row r="361" spans="1:8" x14ac:dyDescent="0.25">
      <c r="A361" s="16" t="s">
        <v>862</v>
      </c>
      <c r="B361" s="17" t="s">
        <v>46</v>
      </c>
      <c r="C361" s="17" t="s">
        <v>3766</v>
      </c>
      <c r="D361" s="17" t="s">
        <v>4271</v>
      </c>
      <c r="E361" s="17">
        <v>20</v>
      </c>
      <c r="F361" s="27">
        <v>15</v>
      </c>
      <c r="G361" s="17" t="s">
        <v>863</v>
      </c>
      <c r="H361" s="17" t="s">
        <v>864</v>
      </c>
    </row>
    <row r="362" spans="1:8" x14ac:dyDescent="0.25">
      <c r="A362" s="16" t="s">
        <v>865</v>
      </c>
      <c r="B362" s="17" t="s">
        <v>46</v>
      </c>
      <c r="C362" s="17" t="s">
        <v>4272</v>
      </c>
      <c r="D362" s="17" t="s">
        <v>4273</v>
      </c>
      <c r="E362" s="17">
        <v>20</v>
      </c>
      <c r="F362" s="27">
        <v>15</v>
      </c>
      <c r="G362" s="17" t="s">
        <v>866</v>
      </c>
      <c r="H362" s="17" t="s">
        <v>867</v>
      </c>
    </row>
    <row r="363" spans="1:8" x14ac:dyDescent="0.25">
      <c r="A363" s="16" t="s">
        <v>868</v>
      </c>
      <c r="B363" s="17" t="s">
        <v>301</v>
      </c>
      <c r="C363" s="17" t="s">
        <v>4274</v>
      </c>
      <c r="D363" s="17" t="s">
        <v>4275</v>
      </c>
      <c r="E363" s="17">
        <v>20</v>
      </c>
      <c r="F363" s="27">
        <v>15</v>
      </c>
      <c r="G363" s="17" t="s">
        <v>869</v>
      </c>
      <c r="H363" s="17" t="s">
        <v>869</v>
      </c>
    </row>
    <row r="364" spans="1:8" x14ac:dyDescent="0.25">
      <c r="A364" s="16" t="s">
        <v>870</v>
      </c>
      <c r="B364" s="17" t="s">
        <v>871</v>
      </c>
      <c r="C364" s="17" t="s">
        <v>3871</v>
      </c>
      <c r="D364" s="17" t="s">
        <v>4276</v>
      </c>
      <c r="E364" s="17">
        <v>20</v>
      </c>
      <c r="F364" s="27">
        <v>15</v>
      </c>
      <c r="G364" s="17" t="s">
        <v>869</v>
      </c>
      <c r="H364" s="17" t="s">
        <v>872</v>
      </c>
    </row>
    <row r="365" spans="1:8" x14ac:dyDescent="0.25">
      <c r="A365" s="16" t="s">
        <v>873</v>
      </c>
      <c r="B365" s="17" t="s">
        <v>107</v>
      </c>
      <c r="C365" s="17" t="s">
        <v>3766</v>
      </c>
      <c r="D365" s="17" t="s">
        <v>4277</v>
      </c>
      <c r="E365" s="17">
        <v>20</v>
      </c>
      <c r="F365" s="27">
        <v>15</v>
      </c>
      <c r="G365" s="17" t="s">
        <v>869</v>
      </c>
      <c r="H365" s="17" t="s">
        <v>874</v>
      </c>
    </row>
    <row r="366" spans="1:8" x14ac:dyDescent="0.25">
      <c r="A366" s="16" t="s">
        <v>875</v>
      </c>
      <c r="B366" s="17" t="s">
        <v>876</v>
      </c>
      <c r="C366" s="17" t="s">
        <v>3766</v>
      </c>
      <c r="D366" s="17" t="s">
        <v>4278</v>
      </c>
      <c r="E366" s="17">
        <v>20</v>
      </c>
      <c r="F366" s="27">
        <v>15</v>
      </c>
      <c r="G366" s="17" t="s">
        <v>869</v>
      </c>
      <c r="H366" s="17" t="s">
        <v>877</v>
      </c>
    </row>
    <row r="367" spans="1:8" x14ac:dyDescent="0.25">
      <c r="A367" s="16" t="s">
        <v>878</v>
      </c>
      <c r="B367" s="17" t="s">
        <v>107</v>
      </c>
      <c r="C367" s="17" t="s">
        <v>4279</v>
      </c>
      <c r="D367" s="17" t="s">
        <v>4280</v>
      </c>
      <c r="E367" s="17">
        <v>21</v>
      </c>
      <c r="F367" s="27">
        <v>22</v>
      </c>
      <c r="G367" s="17" t="s">
        <v>879</v>
      </c>
      <c r="H367" s="17" t="s">
        <v>879</v>
      </c>
    </row>
    <row r="368" spans="1:8" x14ac:dyDescent="0.25">
      <c r="A368" s="16" t="s">
        <v>880</v>
      </c>
      <c r="B368" s="17" t="s">
        <v>881</v>
      </c>
      <c r="C368" s="17" t="s">
        <v>4281</v>
      </c>
      <c r="D368" s="17" t="s">
        <v>4282</v>
      </c>
      <c r="E368" s="17">
        <v>21</v>
      </c>
      <c r="F368" s="27">
        <v>22</v>
      </c>
      <c r="G368" s="17" t="s">
        <v>879</v>
      </c>
      <c r="H368" s="17" t="s">
        <v>882</v>
      </c>
    </row>
    <row r="369" spans="1:8" x14ac:dyDescent="0.25">
      <c r="A369" s="16" t="s">
        <v>883</v>
      </c>
      <c r="B369" s="17" t="s">
        <v>466</v>
      </c>
      <c r="C369" s="17" t="s">
        <v>4283</v>
      </c>
      <c r="D369" s="17" t="s">
        <v>4284</v>
      </c>
      <c r="E369" s="17">
        <v>21</v>
      </c>
      <c r="F369" s="27">
        <v>22</v>
      </c>
      <c r="G369" s="17" t="s">
        <v>884</v>
      </c>
      <c r="H369" s="17" t="s">
        <v>884</v>
      </c>
    </row>
    <row r="370" spans="1:8" x14ac:dyDescent="0.25">
      <c r="A370" s="16" t="s">
        <v>885</v>
      </c>
      <c r="B370" s="17" t="s">
        <v>72</v>
      </c>
      <c r="C370" s="17" t="s">
        <v>4285</v>
      </c>
      <c r="D370" s="17" t="s">
        <v>4286</v>
      </c>
      <c r="E370" s="17">
        <v>21</v>
      </c>
      <c r="F370" s="27">
        <v>22</v>
      </c>
      <c r="G370" s="17" t="s">
        <v>886</v>
      </c>
      <c r="H370" s="17" t="s">
        <v>887</v>
      </c>
    </row>
    <row r="371" spans="1:8" x14ac:dyDescent="0.25">
      <c r="A371" s="16" t="s">
        <v>888</v>
      </c>
      <c r="B371" s="17" t="s">
        <v>23</v>
      </c>
      <c r="C371" s="17" t="s">
        <v>4287</v>
      </c>
      <c r="D371" s="17" t="s">
        <v>4288</v>
      </c>
      <c r="E371" s="17">
        <v>21</v>
      </c>
      <c r="F371" s="27">
        <v>22</v>
      </c>
      <c r="G371" s="17" t="s">
        <v>886</v>
      </c>
      <c r="H371" s="17" t="s">
        <v>889</v>
      </c>
    </row>
    <row r="372" spans="1:8" x14ac:dyDescent="0.25">
      <c r="A372" s="16" t="s">
        <v>890</v>
      </c>
      <c r="B372" s="17" t="s">
        <v>49</v>
      </c>
      <c r="C372" s="17" t="s">
        <v>4289</v>
      </c>
      <c r="D372" s="17" t="s">
        <v>4290</v>
      </c>
      <c r="E372" s="17">
        <v>21</v>
      </c>
      <c r="F372" s="27">
        <v>22</v>
      </c>
      <c r="G372" s="17" t="s">
        <v>863</v>
      </c>
      <c r="H372" s="17" t="s">
        <v>891</v>
      </c>
    </row>
    <row r="373" spans="1:8" x14ac:dyDescent="0.25">
      <c r="A373" s="16" t="s">
        <v>892</v>
      </c>
      <c r="B373" s="17" t="s">
        <v>166</v>
      </c>
      <c r="C373" s="17" t="s">
        <v>4291</v>
      </c>
      <c r="D373" s="17" t="s">
        <v>4292</v>
      </c>
      <c r="E373" s="17">
        <v>21</v>
      </c>
      <c r="F373" s="27">
        <v>22</v>
      </c>
      <c r="G373" s="17" t="s">
        <v>893</v>
      </c>
      <c r="H373" s="17" t="s">
        <v>894</v>
      </c>
    </row>
    <row r="374" spans="1:8" x14ac:dyDescent="0.25">
      <c r="A374" s="16" t="s">
        <v>895</v>
      </c>
      <c r="B374" s="17" t="s">
        <v>95</v>
      </c>
      <c r="C374" s="17" t="s">
        <v>4293</v>
      </c>
      <c r="D374" s="17" t="s">
        <v>4294</v>
      </c>
      <c r="E374" s="17">
        <v>21</v>
      </c>
      <c r="F374" s="27">
        <v>22</v>
      </c>
      <c r="G374" s="17" t="s">
        <v>319</v>
      </c>
      <c r="H374" s="17" t="s">
        <v>319</v>
      </c>
    </row>
    <row r="375" spans="1:8" x14ac:dyDescent="0.25">
      <c r="A375" s="16" t="s">
        <v>895</v>
      </c>
      <c r="B375" s="17" t="s">
        <v>95</v>
      </c>
      <c r="C375" s="17" t="s">
        <v>4293</v>
      </c>
      <c r="D375" s="17" t="s">
        <v>4294</v>
      </c>
      <c r="E375" s="17">
        <v>21</v>
      </c>
      <c r="F375" s="27">
        <v>22</v>
      </c>
      <c r="G375" s="17" t="s">
        <v>319</v>
      </c>
      <c r="H375" s="17" t="s">
        <v>319</v>
      </c>
    </row>
    <row r="376" spans="1:8" x14ac:dyDescent="0.25">
      <c r="A376" s="16" t="s">
        <v>896</v>
      </c>
      <c r="B376" s="17" t="s">
        <v>157</v>
      </c>
      <c r="C376" s="17" t="s">
        <v>4295</v>
      </c>
      <c r="D376" s="17" t="s">
        <v>4296</v>
      </c>
      <c r="E376" s="17">
        <v>21</v>
      </c>
      <c r="F376" s="27">
        <v>22</v>
      </c>
      <c r="G376" s="17" t="s">
        <v>319</v>
      </c>
      <c r="H376" s="17" t="s">
        <v>319</v>
      </c>
    </row>
    <row r="377" spans="1:8" x14ac:dyDescent="0.25">
      <c r="A377" s="16" t="s">
        <v>897</v>
      </c>
      <c r="B377" s="17" t="s">
        <v>306</v>
      </c>
      <c r="C377" s="17" t="s">
        <v>4297</v>
      </c>
      <c r="D377" s="17" t="s">
        <v>4298</v>
      </c>
      <c r="E377" s="17">
        <v>21</v>
      </c>
      <c r="F377" s="27">
        <v>22</v>
      </c>
      <c r="G377" s="17" t="s">
        <v>319</v>
      </c>
      <c r="H377" s="17" t="s">
        <v>898</v>
      </c>
    </row>
    <row r="378" spans="1:8" x14ac:dyDescent="0.25">
      <c r="A378" s="16" t="s">
        <v>899</v>
      </c>
      <c r="B378" s="17" t="s">
        <v>900</v>
      </c>
      <c r="C378" s="17" t="s">
        <v>4299</v>
      </c>
      <c r="D378" s="17" t="s">
        <v>4294</v>
      </c>
      <c r="E378" s="17">
        <v>21</v>
      </c>
      <c r="F378" s="27">
        <v>22</v>
      </c>
      <c r="G378" s="17" t="s">
        <v>319</v>
      </c>
      <c r="H378" s="17" t="s">
        <v>901</v>
      </c>
    </row>
    <row r="379" spans="1:8" x14ac:dyDescent="0.25">
      <c r="A379" s="16" t="s">
        <v>902</v>
      </c>
      <c r="B379" s="17" t="s">
        <v>903</v>
      </c>
      <c r="C379" s="17" t="s">
        <v>4300</v>
      </c>
      <c r="D379" s="17" t="s">
        <v>4301</v>
      </c>
      <c r="E379" s="17">
        <v>21</v>
      </c>
      <c r="F379" s="27">
        <v>22</v>
      </c>
      <c r="G379" s="17" t="s">
        <v>319</v>
      </c>
      <c r="H379" s="17" t="s">
        <v>904</v>
      </c>
    </row>
    <row r="380" spans="1:8" x14ac:dyDescent="0.25">
      <c r="A380" s="16" t="s">
        <v>905</v>
      </c>
      <c r="B380" s="17" t="s">
        <v>301</v>
      </c>
      <c r="C380" s="17" t="s">
        <v>4302</v>
      </c>
      <c r="D380" s="17" t="s">
        <v>4303</v>
      </c>
      <c r="E380" s="17">
        <v>22</v>
      </c>
      <c r="F380" s="27">
        <v>10</v>
      </c>
      <c r="G380" s="17" t="s">
        <v>906</v>
      </c>
      <c r="H380" s="17" t="s">
        <v>906</v>
      </c>
    </row>
    <row r="381" spans="1:8" x14ac:dyDescent="0.25">
      <c r="A381" s="16" t="s">
        <v>907</v>
      </c>
      <c r="B381" s="17" t="s">
        <v>23</v>
      </c>
      <c r="C381" s="17" t="s">
        <v>3766</v>
      </c>
      <c r="D381" s="17" t="s">
        <v>4304</v>
      </c>
      <c r="E381" s="17">
        <v>22</v>
      </c>
      <c r="F381" s="27">
        <v>10</v>
      </c>
      <c r="G381" s="17" t="s">
        <v>906</v>
      </c>
      <c r="H381" s="17" t="s">
        <v>908</v>
      </c>
    </row>
    <row r="382" spans="1:8" x14ac:dyDescent="0.25">
      <c r="A382" s="16" t="s">
        <v>909</v>
      </c>
      <c r="B382" s="17" t="s">
        <v>406</v>
      </c>
      <c r="C382" s="17" t="s">
        <v>3956</v>
      </c>
      <c r="D382" s="17" t="s">
        <v>4305</v>
      </c>
      <c r="E382" s="17">
        <v>22</v>
      </c>
      <c r="F382" s="27">
        <v>10</v>
      </c>
      <c r="G382" s="17" t="s">
        <v>910</v>
      </c>
      <c r="H382" s="17" t="s">
        <v>910</v>
      </c>
    </row>
    <row r="383" spans="1:8" x14ac:dyDescent="0.25">
      <c r="A383" s="16" t="s">
        <v>911</v>
      </c>
      <c r="B383" s="17" t="s">
        <v>254</v>
      </c>
      <c r="C383" s="17" t="s">
        <v>4287</v>
      </c>
      <c r="D383" s="17" t="s">
        <v>4306</v>
      </c>
      <c r="E383" s="17">
        <v>22</v>
      </c>
      <c r="F383" s="27">
        <v>10</v>
      </c>
      <c r="G383" s="17" t="s">
        <v>910</v>
      </c>
      <c r="H383" s="17" t="s">
        <v>912</v>
      </c>
    </row>
    <row r="384" spans="1:8" x14ac:dyDescent="0.25">
      <c r="A384" s="16" t="s">
        <v>913</v>
      </c>
      <c r="B384" s="17" t="s">
        <v>135</v>
      </c>
      <c r="C384" s="17" t="s">
        <v>4307</v>
      </c>
      <c r="D384" s="17" t="s">
        <v>4308</v>
      </c>
      <c r="E384" s="17">
        <v>22</v>
      </c>
      <c r="F384" s="27">
        <v>10</v>
      </c>
      <c r="G384" s="17" t="s">
        <v>910</v>
      </c>
      <c r="H384" s="17" t="s">
        <v>914</v>
      </c>
    </row>
    <row r="385" spans="1:8" x14ac:dyDescent="0.25">
      <c r="A385" s="16" t="s">
        <v>915</v>
      </c>
      <c r="B385" s="17" t="s">
        <v>166</v>
      </c>
      <c r="C385" s="17" t="s">
        <v>3766</v>
      </c>
      <c r="D385" s="17" t="s">
        <v>4308</v>
      </c>
      <c r="E385" s="17">
        <v>22</v>
      </c>
      <c r="F385" s="27">
        <v>10</v>
      </c>
      <c r="G385" s="17" t="s">
        <v>910</v>
      </c>
      <c r="H385" s="17" t="s">
        <v>916</v>
      </c>
    </row>
    <row r="386" spans="1:8" x14ac:dyDescent="0.25">
      <c r="A386" s="16" t="s">
        <v>917</v>
      </c>
      <c r="B386" s="17" t="s">
        <v>918</v>
      </c>
      <c r="C386" s="17" t="s">
        <v>3766</v>
      </c>
      <c r="D386" s="17" t="s">
        <v>4309</v>
      </c>
      <c r="E386" s="17">
        <v>22</v>
      </c>
      <c r="F386" s="27">
        <v>10</v>
      </c>
      <c r="G386" s="17" t="s">
        <v>910</v>
      </c>
      <c r="H386" s="17" t="s">
        <v>919</v>
      </c>
    </row>
    <row r="387" spans="1:8" x14ac:dyDescent="0.25">
      <c r="A387" s="16" t="s">
        <v>920</v>
      </c>
      <c r="B387" s="17" t="s">
        <v>921</v>
      </c>
      <c r="C387" s="17" t="s">
        <v>4310</v>
      </c>
      <c r="D387" s="17" t="s">
        <v>4311</v>
      </c>
      <c r="E387" s="17">
        <v>22</v>
      </c>
      <c r="F387" s="27">
        <v>10</v>
      </c>
      <c r="G387" s="17" t="s">
        <v>922</v>
      </c>
      <c r="H387" s="17" t="s">
        <v>923</v>
      </c>
    </row>
    <row r="388" spans="1:8" x14ac:dyDescent="0.25">
      <c r="A388" s="16" t="s">
        <v>924</v>
      </c>
      <c r="B388" s="17" t="s">
        <v>261</v>
      </c>
      <c r="C388" s="17" t="s">
        <v>4312</v>
      </c>
      <c r="D388" s="17" t="s">
        <v>4313</v>
      </c>
      <c r="E388" s="17">
        <v>22</v>
      </c>
      <c r="F388" s="27">
        <v>10</v>
      </c>
      <c r="G388" s="17" t="s">
        <v>922</v>
      </c>
      <c r="H388" s="17" t="s">
        <v>876</v>
      </c>
    </row>
    <row r="389" spans="1:8" x14ac:dyDescent="0.25">
      <c r="A389" s="16" t="s">
        <v>925</v>
      </c>
      <c r="B389" s="17" t="s">
        <v>148</v>
      </c>
      <c r="C389" s="17" t="s">
        <v>4314</v>
      </c>
      <c r="D389" s="17" t="s">
        <v>4315</v>
      </c>
      <c r="E389" s="17">
        <v>22</v>
      </c>
      <c r="F389" s="27">
        <v>10</v>
      </c>
      <c r="G389" s="17" t="s">
        <v>922</v>
      </c>
      <c r="H389" s="17" t="s">
        <v>926</v>
      </c>
    </row>
    <row r="390" spans="1:8" x14ac:dyDescent="0.25">
      <c r="A390" s="16" t="s">
        <v>927</v>
      </c>
      <c r="B390" s="17" t="s">
        <v>254</v>
      </c>
      <c r="C390" s="17" t="s">
        <v>4316</v>
      </c>
      <c r="D390" s="17" t="s">
        <v>4317</v>
      </c>
      <c r="E390" s="17">
        <v>22</v>
      </c>
      <c r="F390" s="27">
        <v>10</v>
      </c>
      <c r="G390" s="17" t="s">
        <v>922</v>
      </c>
      <c r="H390" s="17" t="s">
        <v>928</v>
      </c>
    </row>
    <row r="391" spans="1:8" x14ac:dyDescent="0.25">
      <c r="A391" s="16" t="s">
        <v>929</v>
      </c>
      <c r="B391" s="17" t="s">
        <v>80</v>
      </c>
      <c r="C391" s="17" t="s">
        <v>4318</v>
      </c>
      <c r="D391" s="17" t="s">
        <v>4319</v>
      </c>
      <c r="E391" s="17">
        <v>22</v>
      </c>
      <c r="F391" s="27">
        <v>10</v>
      </c>
      <c r="G391" s="17" t="s">
        <v>922</v>
      </c>
      <c r="H391" s="17" t="s">
        <v>930</v>
      </c>
    </row>
    <row r="392" spans="1:8" x14ac:dyDescent="0.25">
      <c r="A392" s="16" t="s">
        <v>931</v>
      </c>
      <c r="B392" s="17" t="s">
        <v>443</v>
      </c>
      <c r="C392" s="17" t="s">
        <v>4320</v>
      </c>
      <c r="D392" s="17" t="s">
        <v>4321</v>
      </c>
      <c r="E392" s="17">
        <v>22</v>
      </c>
      <c r="F392" s="27">
        <v>10</v>
      </c>
      <c r="G392" s="17" t="s">
        <v>922</v>
      </c>
      <c r="H392" s="17" t="s">
        <v>932</v>
      </c>
    </row>
    <row r="393" spans="1:8" x14ac:dyDescent="0.25">
      <c r="A393" s="16" t="s">
        <v>933</v>
      </c>
      <c r="B393" s="17" t="s">
        <v>934</v>
      </c>
      <c r="C393" s="17" t="s">
        <v>3766</v>
      </c>
      <c r="D393" s="17" t="s">
        <v>4322</v>
      </c>
      <c r="E393" s="17">
        <v>22</v>
      </c>
      <c r="F393" s="27">
        <v>10</v>
      </c>
      <c r="G393" s="17" t="s">
        <v>935</v>
      </c>
      <c r="H393" s="17" t="s">
        <v>936</v>
      </c>
    </row>
    <row r="394" spans="1:8" x14ac:dyDescent="0.25">
      <c r="A394" s="16" t="s">
        <v>937</v>
      </c>
      <c r="B394" s="17" t="s">
        <v>517</v>
      </c>
      <c r="C394" s="17" t="s">
        <v>4323</v>
      </c>
      <c r="D394" s="17" t="s">
        <v>4324</v>
      </c>
      <c r="E394" s="17">
        <v>22</v>
      </c>
      <c r="F394" s="27">
        <v>10</v>
      </c>
      <c r="G394" s="17" t="s">
        <v>938</v>
      </c>
      <c r="H394" s="17" t="s">
        <v>939</v>
      </c>
    </row>
    <row r="395" spans="1:8" x14ac:dyDescent="0.25">
      <c r="A395" s="16" t="s">
        <v>940</v>
      </c>
      <c r="B395" s="17" t="s">
        <v>941</v>
      </c>
      <c r="C395" s="17" t="s">
        <v>4325</v>
      </c>
      <c r="D395" s="17" t="s">
        <v>4326</v>
      </c>
      <c r="E395" s="17">
        <v>22</v>
      </c>
      <c r="F395" s="27">
        <v>10</v>
      </c>
      <c r="G395" s="17" t="s">
        <v>306</v>
      </c>
      <c r="H395" s="17" t="s">
        <v>306</v>
      </c>
    </row>
    <row r="396" spans="1:8" x14ac:dyDescent="0.25">
      <c r="A396" s="16" t="s">
        <v>942</v>
      </c>
      <c r="B396" s="17" t="s">
        <v>517</v>
      </c>
      <c r="C396" s="17" t="s">
        <v>4327</v>
      </c>
      <c r="D396" s="17" t="s">
        <v>4328</v>
      </c>
      <c r="E396" s="17">
        <v>22</v>
      </c>
      <c r="F396" s="27">
        <v>10</v>
      </c>
      <c r="G396" s="17" t="s">
        <v>306</v>
      </c>
      <c r="H396" s="17" t="s">
        <v>943</v>
      </c>
    </row>
    <row r="397" spans="1:8" x14ac:dyDescent="0.25">
      <c r="A397" s="16" t="s">
        <v>944</v>
      </c>
      <c r="B397" s="17" t="s">
        <v>23</v>
      </c>
      <c r="C397" s="17" t="s">
        <v>4329</v>
      </c>
      <c r="D397" s="17" t="s">
        <v>4330</v>
      </c>
      <c r="E397" s="17">
        <v>23</v>
      </c>
      <c r="F397" s="16">
        <v>9</v>
      </c>
      <c r="G397" s="17" t="s">
        <v>945</v>
      </c>
      <c r="H397" s="17" t="s">
        <v>945</v>
      </c>
    </row>
    <row r="398" spans="1:8" x14ac:dyDescent="0.25">
      <c r="A398" s="16" t="s">
        <v>946</v>
      </c>
      <c r="B398" s="17" t="s">
        <v>947</v>
      </c>
      <c r="C398" s="17" t="s">
        <v>3764</v>
      </c>
      <c r="D398" s="17" t="s">
        <v>4331</v>
      </c>
      <c r="E398" s="17">
        <v>23</v>
      </c>
      <c r="F398" s="16">
        <v>9</v>
      </c>
      <c r="G398" s="17" t="s">
        <v>945</v>
      </c>
      <c r="H398" s="17" t="s">
        <v>948</v>
      </c>
    </row>
    <row r="399" spans="1:8" x14ac:dyDescent="0.25">
      <c r="A399" s="16" t="s">
        <v>949</v>
      </c>
      <c r="B399" s="17" t="s">
        <v>166</v>
      </c>
      <c r="C399" s="17" t="s">
        <v>4332</v>
      </c>
      <c r="D399" s="17" t="s">
        <v>4333</v>
      </c>
      <c r="E399" s="17">
        <v>23</v>
      </c>
      <c r="F399" s="16">
        <v>9</v>
      </c>
      <c r="G399" s="17" t="s">
        <v>945</v>
      </c>
      <c r="H399" s="17" t="s">
        <v>950</v>
      </c>
    </row>
    <row r="400" spans="1:8" x14ac:dyDescent="0.25">
      <c r="A400" s="16" t="s">
        <v>951</v>
      </c>
      <c r="B400" s="17" t="s">
        <v>72</v>
      </c>
      <c r="C400" s="17" t="s">
        <v>3758</v>
      </c>
      <c r="D400" s="17" t="s">
        <v>4334</v>
      </c>
      <c r="E400" s="17">
        <v>23</v>
      </c>
      <c r="F400" s="16">
        <v>9</v>
      </c>
      <c r="G400" s="17" t="s">
        <v>945</v>
      </c>
      <c r="H400" s="17" t="s">
        <v>952</v>
      </c>
    </row>
    <row r="401" spans="1:8" x14ac:dyDescent="0.25">
      <c r="A401" s="16" t="s">
        <v>953</v>
      </c>
      <c r="B401" s="17" t="s">
        <v>80</v>
      </c>
      <c r="C401" s="17" t="s">
        <v>80</v>
      </c>
      <c r="D401" s="17" t="s">
        <v>4335</v>
      </c>
      <c r="E401" s="17">
        <v>23</v>
      </c>
      <c r="F401" s="16">
        <v>9</v>
      </c>
      <c r="G401" s="17" t="s">
        <v>945</v>
      </c>
      <c r="H401" s="17" t="s">
        <v>954</v>
      </c>
    </row>
    <row r="402" spans="1:8" x14ac:dyDescent="0.25">
      <c r="A402" s="16" t="s">
        <v>955</v>
      </c>
      <c r="B402" s="17" t="s">
        <v>480</v>
      </c>
      <c r="C402" s="17" t="s">
        <v>4336</v>
      </c>
      <c r="D402" s="17" t="s">
        <v>4337</v>
      </c>
      <c r="E402" s="17">
        <v>23</v>
      </c>
      <c r="F402" s="16">
        <v>9</v>
      </c>
      <c r="G402" s="17" t="s">
        <v>945</v>
      </c>
      <c r="H402" s="17" t="s">
        <v>956</v>
      </c>
    </row>
    <row r="403" spans="1:8" x14ac:dyDescent="0.25">
      <c r="A403" s="16" t="s">
        <v>957</v>
      </c>
      <c r="B403" s="17" t="s">
        <v>153</v>
      </c>
      <c r="C403" s="17" t="s">
        <v>3937</v>
      </c>
      <c r="D403" s="17" t="s">
        <v>4338</v>
      </c>
      <c r="E403" s="17">
        <v>23</v>
      </c>
      <c r="F403" s="16">
        <v>9</v>
      </c>
      <c r="G403" s="17" t="s">
        <v>945</v>
      </c>
      <c r="H403" s="17" t="s">
        <v>822</v>
      </c>
    </row>
    <row r="404" spans="1:8" x14ac:dyDescent="0.25">
      <c r="A404" s="16" t="s">
        <v>958</v>
      </c>
      <c r="B404" s="17" t="s">
        <v>166</v>
      </c>
      <c r="C404" s="17" t="s">
        <v>4339</v>
      </c>
      <c r="D404" s="17" t="s">
        <v>4340</v>
      </c>
      <c r="E404" s="17">
        <v>23</v>
      </c>
      <c r="F404" s="16">
        <v>9</v>
      </c>
      <c r="G404" s="17" t="s">
        <v>945</v>
      </c>
      <c r="H404" s="17" t="s">
        <v>959</v>
      </c>
    </row>
    <row r="405" spans="1:8" x14ac:dyDescent="0.25">
      <c r="A405" s="16" t="s">
        <v>960</v>
      </c>
      <c r="B405" s="17" t="s">
        <v>466</v>
      </c>
      <c r="C405" s="17" t="s">
        <v>4341</v>
      </c>
      <c r="D405" s="17" t="s">
        <v>4342</v>
      </c>
      <c r="E405" s="17">
        <v>23</v>
      </c>
      <c r="F405" s="16">
        <v>9</v>
      </c>
      <c r="G405" s="17" t="s">
        <v>945</v>
      </c>
      <c r="H405" s="17" t="s">
        <v>961</v>
      </c>
    </row>
    <row r="406" spans="1:8" x14ac:dyDescent="0.25">
      <c r="A406" s="16" t="s">
        <v>962</v>
      </c>
      <c r="B406" s="17" t="s">
        <v>963</v>
      </c>
      <c r="C406" s="17" t="s">
        <v>4343</v>
      </c>
      <c r="D406" s="17" t="s">
        <v>4344</v>
      </c>
      <c r="E406" s="17">
        <v>23</v>
      </c>
      <c r="F406" s="16">
        <v>9</v>
      </c>
      <c r="G406" s="17" t="s">
        <v>945</v>
      </c>
      <c r="H406" s="17" t="s">
        <v>964</v>
      </c>
    </row>
    <row r="407" spans="1:8" x14ac:dyDescent="0.25">
      <c r="A407" s="16" t="s">
        <v>965</v>
      </c>
      <c r="B407" s="17" t="s">
        <v>966</v>
      </c>
      <c r="C407" s="17" t="s">
        <v>4345</v>
      </c>
      <c r="D407" s="17" t="s">
        <v>4346</v>
      </c>
      <c r="E407" s="17">
        <v>23</v>
      </c>
      <c r="F407" s="16">
        <v>9</v>
      </c>
      <c r="G407" s="17" t="s">
        <v>967</v>
      </c>
      <c r="H407" s="17" t="s">
        <v>967</v>
      </c>
    </row>
    <row r="408" spans="1:8" x14ac:dyDescent="0.25">
      <c r="A408" s="16" t="s">
        <v>968</v>
      </c>
      <c r="B408" s="17" t="s">
        <v>153</v>
      </c>
      <c r="C408" s="17" t="s">
        <v>4347</v>
      </c>
      <c r="D408" s="17" t="s">
        <v>4348</v>
      </c>
      <c r="E408" s="17">
        <v>23</v>
      </c>
      <c r="F408" s="16">
        <v>9</v>
      </c>
      <c r="G408" s="17" t="s">
        <v>967</v>
      </c>
      <c r="H408" s="17" t="s">
        <v>967</v>
      </c>
    </row>
    <row r="409" spans="1:8" x14ac:dyDescent="0.25">
      <c r="A409" s="16" t="s">
        <v>969</v>
      </c>
      <c r="B409" s="17" t="s">
        <v>970</v>
      </c>
      <c r="C409" s="17" t="s">
        <v>4349</v>
      </c>
      <c r="D409" s="17" t="s">
        <v>4350</v>
      </c>
      <c r="E409" s="17">
        <v>23</v>
      </c>
      <c r="F409" s="16">
        <v>9</v>
      </c>
      <c r="G409" s="17" t="s">
        <v>967</v>
      </c>
      <c r="H409" s="17" t="s">
        <v>967</v>
      </c>
    </row>
    <row r="410" spans="1:8" x14ac:dyDescent="0.25">
      <c r="A410" s="16" t="s">
        <v>971</v>
      </c>
      <c r="B410" s="17" t="s">
        <v>83</v>
      </c>
      <c r="C410" s="17" t="s">
        <v>4351</v>
      </c>
      <c r="D410" s="17" t="s">
        <v>4352</v>
      </c>
      <c r="E410" s="17">
        <v>23</v>
      </c>
      <c r="F410" s="16">
        <v>9</v>
      </c>
      <c r="G410" s="17" t="s">
        <v>972</v>
      </c>
      <c r="H410" s="17" t="s">
        <v>972</v>
      </c>
    </row>
    <row r="411" spans="1:8" x14ac:dyDescent="0.25">
      <c r="A411" s="16" t="s">
        <v>973</v>
      </c>
      <c r="B411" s="17" t="s">
        <v>49</v>
      </c>
      <c r="C411" s="17" t="s">
        <v>3908</v>
      </c>
      <c r="D411" s="17" t="s">
        <v>4353</v>
      </c>
      <c r="E411" s="17">
        <v>23</v>
      </c>
      <c r="F411" s="16">
        <v>9</v>
      </c>
      <c r="G411" s="17" t="s">
        <v>972</v>
      </c>
      <c r="H411" s="17" t="s">
        <v>974</v>
      </c>
    </row>
    <row r="412" spans="1:8" x14ac:dyDescent="0.25">
      <c r="A412" s="16" t="s">
        <v>975</v>
      </c>
      <c r="B412" s="17" t="s">
        <v>261</v>
      </c>
      <c r="C412" s="17" t="s">
        <v>3902</v>
      </c>
      <c r="D412" s="17" t="s">
        <v>4354</v>
      </c>
      <c r="E412" s="17">
        <v>23</v>
      </c>
      <c r="F412" s="16">
        <v>9</v>
      </c>
      <c r="G412" s="17" t="s">
        <v>435</v>
      </c>
      <c r="H412" s="17" t="s">
        <v>976</v>
      </c>
    </row>
    <row r="413" spans="1:8" x14ac:dyDescent="0.25">
      <c r="A413" s="16" t="s">
        <v>977</v>
      </c>
      <c r="B413" s="17" t="s">
        <v>57</v>
      </c>
      <c r="C413" s="17" t="s">
        <v>3978</v>
      </c>
      <c r="D413" s="17" t="s">
        <v>4355</v>
      </c>
      <c r="E413" s="17">
        <v>23</v>
      </c>
      <c r="F413" s="16">
        <v>9</v>
      </c>
      <c r="G413" s="17" t="s">
        <v>435</v>
      </c>
      <c r="H413" s="17" t="s">
        <v>978</v>
      </c>
    </row>
    <row r="414" spans="1:8" x14ac:dyDescent="0.25">
      <c r="A414" s="16" t="s">
        <v>979</v>
      </c>
      <c r="B414" s="17" t="s">
        <v>41</v>
      </c>
      <c r="C414" s="17" t="s">
        <v>4356</v>
      </c>
      <c r="D414" s="17" t="s">
        <v>4357</v>
      </c>
      <c r="E414" s="17">
        <v>24</v>
      </c>
      <c r="F414" s="27">
        <v>19</v>
      </c>
      <c r="G414" s="17" t="s">
        <v>980</v>
      </c>
      <c r="H414" s="17" t="s">
        <v>980</v>
      </c>
    </row>
    <row r="415" spans="1:8" x14ac:dyDescent="0.25">
      <c r="A415" s="16" t="s">
        <v>981</v>
      </c>
      <c r="B415" s="17" t="s">
        <v>23</v>
      </c>
      <c r="C415" s="17" t="s">
        <v>3766</v>
      </c>
      <c r="D415" s="17" t="s">
        <v>4358</v>
      </c>
      <c r="E415" s="17">
        <v>24</v>
      </c>
      <c r="F415" s="27">
        <v>19</v>
      </c>
      <c r="G415" s="17" t="s">
        <v>980</v>
      </c>
      <c r="H415" s="17" t="s">
        <v>982</v>
      </c>
    </row>
    <row r="416" spans="1:8" x14ac:dyDescent="0.25">
      <c r="A416" s="16" t="s">
        <v>983</v>
      </c>
      <c r="B416" s="17" t="s">
        <v>92</v>
      </c>
      <c r="C416" s="17" t="s">
        <v>3871</v>
      </c>
      <c r="D416" s="17" t="s">
        <v>4359</v>
      </c>
      <c r="E416" s="17">
        <v>24</v>
      </c>
      <c r="F416" s="27">
        <v>19</v>
      </c>
      <c r="G416" s="17" t="s">
        <v>980</v>
      </c>
      <c r="H416" s="17" t="s">
        <v>984</v>
      </c>
    </row>
    <row r="417" spans="1:8" x14ac:dyDescent="0.25">
      <c r="A417" s="16" t="s">
        <v>985</v>
      </c>
      <c r="B417" s="17" t="s">
        <v>986</v>
      </c>
      <c r="C417" s="17" t="s">
        <v>4360</v>
      </c>
      <c r="D417" s="17" t="s">
        <v>4361</v>
      </c>
      <c r="E417" s="17">
        <v>24</v>
      </c>
      <c r="F417" s="27">
        <v>19</v>
      </c>
      <c r="G417" s="17" t="s">
        <v>980</v>
      </c>
      <c r="H417" s="17" t="s">
        <v>987</v>
      </c>
    </row>
    <row r="418" spans="1:8" x14ac:dyDescent="0.25">
      <c r="A418" s="16" t="s">
        <v>988</v>
      </c>
      <c r="B418" s="17" t="s">
        <v>80</v>
      </c>
      <c r="C418" s="17" t="s">
        <v>3871</v>
      </c>
      <c r="D418" s="17" t="s">
        <v>4362</v>
      </c>
      <c r="E418" s="17">
        <v>24</v>
      </c>
      <c r="F418" s="27">
        <v>19</v>
      </c>
      <c r="G418" s="17" t="s">
        <v>980</v>
      </c>
      <c r="H418" s="17" t="s">
        <v>989</v>
      </c>
    </row>
    <row r="419" spans="1:8" x14ac:dyDescent="0.25">
      <c r="A419" s="16" t="s">
        <v>990</v>
      </c>
      <c r="B419" s="17" t="s">
        <v>991</v>
      </c>
      <c r="C419" s="17" t="s">
        <v>3766</v>
      </c>
      <c r="D419" s="17" t="s">
        <v>4363</v>
      </c>
      <c r="E419" s="17">
        <v>24</v>
      </c>
      <c r="F419" s="27">
        <v>19</v>
      </c>
      <c r="G419" s="17" t="s">
        <v>980</v>
      </c>
      <c r="H419" s="17" t="s">
        <v>992</v>
      </c>
    </row>
    <row r="420" spans="1:8" x14ac:dyDescent="0.25">
      <c r="A420" s="16" t="s">
        <v>993</v>
      </c>
      <c r="B420" s="17" t="s">
        <v>994</v>
      </c>
      <c r="C420" s="17" t="s">
        <v>3766</v>
      </c>
      <c r="D420" s="17" t="s">
        <v>4364</v>
      </c>
      <c r="E420" s="17">
        <v>24</v>
      </c>
      <c r="F420" s="27">
        <v>19</v>
      </c>
      <c r="G420" s="17" t="s">
        <v>980</v>
      </c>
      <c r="H420" s="17" t="s">
        <v>995</v>
      </c>
    </row>
    <row r="421" spans="1:8" x14ac:dyDescent="0.25">
      <c r="A421" s="16" t="s">
        <v>996</v>
      </c>
      <c r="B421" s="17" t="s">
        <v>23</v>
      </c>
      <c r="C421" s="17" t="s">
        <v>3766</v>
      </c>
      <c r="D421" s="17" t="s">
        <v>4365</v>
      </c>
      <c r="E421" s="17">
        <v>24</v>
      </c>
      <c r="F421" s="27">
        <v>19</v>
      </c>
      <c r="G421" s="17" t="s">
        <v>980</v>
      </c>
      <c r="H421" s="17" t="s">
        <v>997</v>
      </c>
    </row>
    <row r="422" spans="1:8" x14ac:dyDescent="0.25">
      <c r="A422" s="16" t="s">
        <v>998</v>
      </c>
      <c r="B422" s="17" t="s">
        <v>83</v>
      </c>
      <c r="C422" s="17" t="s">
        <v>3902</v>
      </c>
      <c r="D422" s="17" t="s">
        <v>4366</v>
      </c>
      <c r="E422" s="17">
        <v>24</v>
      </c>
      <c r="F422" s="27">
        <v>19</v>
      </c>
      <c r="G422" s="17" t="s">
        <v>980</v>
      </c>
      <c r="H422" s="17" t="s">
        <v>999</v>
      </c>
    </row>
    <row r="423" spans="1:8" x14ac:dyDescent="0.25">
      <c r="A423" s="16" t="s">
        <v>1000</v>
      </c>
      <c r="B423" s="17" t="s">
        <v>166</v>
      </c>
      <c r="C423" s="17" t="s">
        <v>4367</v>
      </c>
      <c r="D423" s="17" t="s">
        <v>4368</v>
      </c>
      <c r="E423" s="17">
        <v>24</v>
      </c>
      <c r="F423" s="27">
        <v>19</v>
      </c>
      <c r="G423" s="17" t="s">
        <v>980</v>
      </c>
      <c r="H423" s="17" t="s">
        <v>1001</v>
      </c>
    </row>
    <row r="424" spans="1:8" x14ac:dyDescent="0.25">
      <c r="A424" s="16" t="s">
        <v>1002</v>
      </c>
      <c r="B424" s="17" t="s">
        <v>671</v>
      </c>
      <c r="C424" s="17" t="s">
        <v>3766</v>
      </c>
      <c r="D424" s="17" t="s">
        <v>4369</v>
      </c>
      <c r="E424" s="17">
        <v>24</v>
      </c>
      <c r="F424" s="27">
        <v>19</v>
      </c>
      <c r="G424" s="17" t="s">
        <v>980</v>
      </c>
      <c r="H424" s="17" t="s">
        <v>1003</v>
      </c>
    </row>
    <row r="425" spans="1:8" x14ac:dyDescent="0.25">
      <c r="A425" s="16" t="s">
        <v>1004</v>
      </c>
      <c r="B425" s="17" t="s">
        <v>120</v>
      </c>
      <c r="C425" s="17" t="s">
        <v>3766</v>
      </c>
      <c r="D425" s="17" t="s">
        <v>4370</v>
      </c>
      <c r="E425" s="17">
        <v>24</v>
      </c>
      <c r="F425" s="27">
        <v>19</v>
      </c>
      <c r="G425" s="17" t="s">
        <v>980</v>
      </c>
      <c r="H425" s="17" t="s">
        <v>430</v>
      </c>
    </row>
    <row r="426" spans="1:8" x14ac:dyDescent="0.25">
      <c r="A426" s="16" t="s">
        <v>1005</v>
      </c>
      <c r="B426" s="17" t="s">
        <v>781</v>
      </c>
      <c r="C426" s="17" t="s">
        <v>4208</v>
      </c>
      <c r="D426" s="17" t="s">
        <v>4371</v>
      </c>
      <c r="E426" s="17">
        <v>24</v>
      </c>
      <c r="F426" s="27">
        <v>19</v>
      </c>
      <c r="G426" s="17" t="s">
        <v>1006</v>
      </c>
      <c r="H426" s="17" t="s">
        <v>1007</v>
      </c>
    </row>
    <row r="427" spans="1:8" x14ac:dyDescent="0.25">
      <c r="A427" s="16" t="s">
        <v>1008</v>
      </c>
      <c r="B427" s="17" t="s">
        <v>166</v>
      </c>
      <c r="C427" s="17" t="s">
        <v>3766</v>
      </c>
      <c r="D427" s="17" t="s">
        <v>4372</v>
      </c>
      <c r="E427" s="17">
        <v>24</v>
      </c>
      <c r="F427" s="27">
        <v>19</v>
      </c>
      <c r="G427" s="17" t="s">
        <v>1006</v>
      </c>
      <c r="H427" s="17" t="s">
        <v>1009</v>
      </c>
    </row>
    <row r="428" spans="1:8" x14ac:dyDescent="0.25">
      <c r="A428" s="16" t="s">
        <v>1010</v>
      </c>
      <c r="B428" s="17" t="s">
        <v>117</v>
      </c>
      <c r="C428" s="17" t="s">
        <v>3766</v>
      </c>
      <c r="D428" s="17" t="s">
        <v>4373</v>
      </c>
      <c r="E428" s="17">
        <v>24</v>
      </c>
      <c r="F428" s="27">
        <v>19</v>
      </c>
      <c r="G428" s="17" t="s">
        <v>1006</v>
      </c>
      <c r="H428" s="17" t="s">
        <v>725</v>
      </c>
    </row>
    <row r="429" spans="1:8" x14ac:dyDescent="0.25">
      <c r="A429" s="16" t="s">
        <v>1011</v>
      </c>
      <c r="B429" s="17" t="s">
        <v>1012</v>
      </c>
      <c r="C429" s="17" t="s">
        <v>4374</v>
      </c>
      <c r="D429" s="17" t="s">
        <v>4375</v>
      </c>
      <c r="E429" s="17">
        <v>25</v>
      </c>
      <c r="F429" s="27">
        <v>14</v>
      </c>
      <c r="G429" s="17" t="s">
        <v>1013</v>
      </c>
      <c r="H429" s="17" t="s">
        <v>1013</v>
      </c>
    </row>
    <row r="430" spans="1:8" x14ac:dyDescent="0.25">
      <c r="A430" s="16" t="s">
        <v>1014</v>
      </c>
      <c r="B430" s="17" t="s">
        <v>120</v>
      </c>
      <c r="C430" s="17" t="s">
        <v>4376</v>
      </c>
      <c r="D430" s="17" t="s">
        <v>4377</v>
      </c>
      <c r="E430" s="17">
        <v>25</v>
      </c>
      <c r="F430" s="27">
        <v>14</v>
      </c>
      <c r="G430" s="17" t="s">
        <v>1013</v>
      </c>
      <c r="H430" s="17" t="s">
        <v>1015</v>
      </c>
    </row>
    <row r="431" spans="1:8" x14ac:dyDescent="0.25">
      <c r="A431" s="16" t="s">
        <v>1016</v>
      </c>
      <c r="B431" s="17" t="s">
        <v>80</v>
      </c>
      <c r="C431" s="17" t="s">
        <v>3766</v>
      </c>
      <c r="D431" s="17" t="s">
        <v>4378</v>
      </c>
      <c r="E431" s="17">
        <v>25</v>
      </c>
      <c r="F431" s="27">
        <v>14</v>
      </c>
      <c r="G431" s="17" t="s">
        <v>1013</v>
      </c>
      <c r="H431" s="17" t="s">
        <v>1017</v>
      </c>
    </row>
    <row r="432" spans="1:8" x14ac:dyDescent="0.25">
      <c r="A432" s="16" t="s">
        <v>1018</v>
      </c>
      <c r="B432" s="17" t="s">
        <v>443</v>
      </c>
      <c r="C432" s="17" t="s">
        <v>4379</v>
      </c>
      <c r="D432" s="17" t="s">
        <v>4380</v>
      </c>
      <c r="E432" s="17">
        <v>25</v>
      </c>
      <c r="F432" s="27">
        <v>14</v>
      </c>
      <c r="G432" s="17" t="s">
        <v>1013</v>
      </c>
      <c r="H432" s="17" t="s">
        <v>1019</v>
      </c>
    </row>
    <row r="433" spans="1:8" x14ac:dyDescent="0.25">
      <c r="A433" s="16" t="s">
        <v>1020</v>
      </c>
      <c r="B433" s="17" t="s">
        <v>157</v>
      </c>
      <c r="C433" s="17" t="s">
        <v>4381</v>
      </c>
      <c r="D433" s="17" t="s">
        <v>4382</v>
      </c>
      <c r="E433" s="17">
        <v>25</v>
      </c>
      <c r="F433" s="27">
        <v>14</v>
      </c>
      <c r="G433" s="17" t="s">
        <v>1013</v>
      </c>
      <c r="H433" s="17" t="s">
        <v>1021</v>
      </c>
    </row>
    <row r="434" spans="1:8" x14ac:dyDescent="0.25">
      <c r="A434" s="16" t="s">
        <v>1022</v>
      </c>
      <c r="B434" s="17" t="s">
        <v>151</v>
      </c>
      <c r="C434" s="17" t="s">
        <v>4383</v>
      </c>
      <c r="D434" s="17" t="s">
        <v>4384</v>
      </c>
      <c r="E434" s="17">
        <v>25</v>
      </c>
      <c r="F434" s="27">
        <v>14</v>
      </c>
      <c r="G434" s="17" t="s">
        <v>1013</v>
      </c>
      <c r="H434" s="17" t="s">
        <v>1023</v>
      </c>
    </row>
    <row r="435" spans="1:8" x14ac:dyDescent="0.25">
      <c r="A435" s="16" t="s">
        <v>1024</v>
      </c>
      <c r="B435" s="17" t="s">
        <v>49</v>
      </c>
      <c r="C435" s="17" t="s">
        <v>4385</v>
      </c>
      <c r="D435" s="17" t="s">
        <v>4386</v>
      </c>
      <c r="E435" s="17">
        <v>25</v>
      </c>
      <c r="F435" s="27">
        <v>14</v>
      </c>
      <c r="G435" s="17" t="s">
        <v>1013</v>
      </c>
      <c r="H435" s="17" t="s">
        <v>1025</v>
      </c>
    </row>
    <row r="436" spans="1:8" x14ac:dyDescent="0.25">
      <c r="A436" s="16" t="s">
        <v>1026</v>
      </c>
      <c r="B436" s="17" t="s">
        <v>138</v>
      </c>
      <c r="C436" s="17" t="s">
        <v>3956</v>
      </c>
      <c r="D436" s="17" t="s">
        <v>4387</v>
      </c>
      <c r="E436" s="17">
        <v>25</v>
      </c>
      <c r="F436" s="27">
        <v>14</v>
      </c>
      <c r="G436" s="17" t="s">
        <v>1013</v>
      </c>
      <c r="H436" s="17" t="s">
        <v>1027</v>
      </c>
    </row>
    <row r="437" spans="1:8" x14ac:dyDescent="0.25">
      <c r="A437" s="16" t="s">
        <v>1028</v>
      </c>
      <c r="B437" s="17" t="s">
        <v>1029</v>
      </c>
      <c r="C437" s="17" t="s">
        <v>4388</v>
      </c>
      <c r="D437" s="17" t="s">
        <v>4389</v>
      </c>
      <c r="E437" s="17">
        <v>25</v>
      </c>
      <c r="F437" s="27">
        <v>14</v>
      </c>
      <c r="G437" s="17" t="s">
        <v>1013</v>
      </c>
      <c r="H437" s="17" t="s">
        <v>177</v>
      </c>
    </row>
    <row r="438" spans="1:8" x14ac:dyDescent="0.25">
      <c r="A438" s="16" t="s">
        <v>1030</v>
      </c>
      <c r="B438" s="17" t="s">
        <v>166</v>
      </c>
      <c r="C438" s="17" t="s">
        <v>4390</v>
      </c>
      <c r="D438" s="17" t="s">
        <v>4391</v>
      </c>
      <c r="E438" s="17">
        <v>25</v>
      </c>
      <c r="F438" s="27">
        <v>14</v>
      </c>
      <c r="G438" s="17" t="s">
        <v>1013</v>
      </c>
      <c r="H438" s="17" t="s">
        <v>1031</v>
      </c>
    </row>
    <row r="439" spans="1:8" x14ac:dyDescent="0.25">
      <c r="A439" s="16" t="s">
        <v>1032</v>
      </c>
      <c r="B439" s="17" t="s">
        <v>712</v>
      </c>
      <c r="C439" s="17" t="s">
        <v>3766</v>
      </c>
      <c r="D439" s="17" t="s">
        <v>4392</v>
      </c>
      <c r="E439" s="17">
        <v>25</v>
      </c>
      <c r="F439" s="27">
        <v>14</v>
      </c>
      <c r="G439" s="17" t="s">
        <v>1013</v>
      </c>
      <c r="H439" s="17" t="s">
        <v>1033</v>
      </c>
    </row>
    <row r="440" spans="1:8" x14ac:dyDescent="0.25">
      <c r="A440" s="16" t="s">
        <v>1034</v>
      </c>
      <c r="B440" s="17" t="s">
        <v>57</v>
      </c>
      <c r="C440" s="17" t="s">
        <v>3790</v>
      </c>
      <c r="D440" s="17" t="s">
        <v>4382</v>
      </c>
      <c r="E440" s="17">
        <v>25</v>
      </c>
      <c r="F440" s="27">
        <v>14</v>
      </c>
      <c r="G440" s="17" t="s">
        <v>1013</v>
      </c>
      <c r="H440" s="17" t="s">
        <v>1035</v>
      </c>
    </row>
    <row r="441" spans="1:8" x14ac:dyDescent="0.25">
      <c r="A441" s="16" t="s">
        <v>1036</v>
      </c>
      <c r="B441" s="17" t="s">
        <v>166</v>
      </c>
      <c r="C441" s="17" t="s">
        <v>4376</v>
      </c>
      <c r="D441" s="17" t="s">
        <v>4393</v>
      </c>
      <c r="E441" s="17">
        <v>25</v>
      </c>
      <c r="F441" s="27">
        <v>14</v>
      </c>
      <c r="G441" s="17" t="s">
        <v>1013</v>
      </c>
      <c r="H441" s="17" t="s">
        <v>1037</v>
      </c>
    </row>
    <row r="442" spans="1:8" x14ac:dyDescent="0.25">
      <c r="A442" s="16" t="s">
        <v>1038</v>
      </c>
      <c r="B442" s="17" t="s">
        <v>23</v>
      </c>
      <c r="C442" s="17" t="s">
        <v>3766</v>
      </c>
      <c r="D442" s="17" t="s">
        <v>4394</v>
      </c>
      <c r="E442" s="17">
        <v>25</v>
      </c>
      <c r="F442" s="27">
        <v>14</v>
      </c>
      <c r="G442" s="17" t="s">
        <v>1013</v>
      </c>
      <c r="H442" s="17" t="s">
        <v>1039</v>
      </c>
    </row>
    <row r="443" spans="1:8" x14ac:dyDescent="0.25">
      <c r="A443" s="16" t="s">
        <v>1040</v>
      </c>
      <c r="B443" s="17" t="s">
        <v>114</v>
      </c>
      <c r="C443" s="17" t="s">
        <v>4395</v>
      </c>
      <c r="D443" s="17" t="s">
        <v>4396</v>
      </c>
      <c r="E443" s="17">
        <v>25</v>
      </c>
      <c r="F443" s="27">
        <v>14</v>
      </c>
      <c r="G443" s="17" t="s">
        <v>1013</v>
      </c>
      <c r="H443" s="17" t="s">
        <v>1041</v>
      </c>
    </row>
    <row r="444" spans="1:8" x14ac:dyDescent="0.25">
      <c r="A444" s="16" t="s">
        <v>1042</v>
      </c>
      <c r="B444" s="17" t="s">
        <v>117</v>
      </c>
      <c r="C444" s="17" t="s">
        <v>3766</v>
      </c>
      <c r="D444" s="17" t="s">
        <v>4397</v>
      </c>
      <c r="E444" s="17">
        <v>25</v>
      </c>
      <c r="F444" s="27">
        <v>14</v>
      </c>
      <c r="G444" s="17" t="s">
        <v>1013</v>
      </c>
      <c r="H444" s="17" t="s">
        <v>1043</v>
      </c>
    </row>
    <row r="445" spans="1:8" x14ac:dyDescent="0.25">
      <c r="A445" s="16" t="s">
        <v>1044</v>
      </c>
      <c r="B445" s="17" t="s">
        <v>970</v>
      </c>
      <c r="C445" s="17" t="s">
        <v>4398</v>
      </c>
      <c r="D445" s="17" t="s">
        <v>4399</v>
      </c>
      <c r="E445" s="17">
        <v>25</v>
      </c>
      <c r="F445" s="27">
        <v>14</v>
      </c>
      <c r="G445" s="17" t="s">
        <v>1045</v>
      </c>
      <c r="H445" s="17" t="s">
        <v>1046</v>
      </c>
    </row>
    <row r="446" spans="1:8" x14ac:dyDescent="0.25">
      <c r="A446" s="16" t="s">
        <v>1047</v>
      </c>
      <c r="B446" s="17" t="s">
        <v>1048</v>
      </c>
      <c r="C446" s="17" t="s">
        <v>4400</v>
      </c>
      <c r="D446" s="17" t="s">
        <v>4401</v>
      </c>
      <c r="E446" s="17">
        <v>25</v>
      </c>
      <c r="F446" s="27">
        <v>14</v>
      </c>
      <c r="G446" s="17" t="s">
        <v>1049</v>
      </c>
      <c r="H446" s="17" t="s">
        <v>1050</v>
      </c>
    </row>
    <row r="447" spans="1:8" x14ac:dyDescent="0.25">
      <c r="A447" s="16" t="s">
        <v>1051</v>
      </c>
      <c r="B447" s="17" t="s">
        <v>254</v>
      </c>
      <c r="C447" s="17" t="s">
        <v>4402</v>
      </c>
      <c r="D447" s="17" t="s">
        <v>4403</v>
      </c>
      <c r="E447" s="17">
        <v>25</v>
      </c>
      <c r="F447" s="27">
        <v>14</v>
      </c>
      <c r="G447" s="17" t="s">
        <v>1052</v>
      </c>
      <c r="H447" s="17" t="s">
        <v>1052</v>
      </c>
    </row>
    <row r="448" spans="1:8" x14ac:dyDescent="0.25">
      <c r="A448" s="16" t="s">
        <v>1053</v>
      </c>
      <c r="B448" s="17" t="s">
        <v>571</v>
      </c>
      <c r="C448" s="17" t="s">
        <v>3766</v>
      </c>
      <c r="D448" s="17" t="s">
        <v>4404</v>
      </c>
      <c r="E448" s="17">
        <v>25</v>
      </c>
      <c r="F448" s="27">
        <v>14</v>
      </c>
      <c r="G448" s="17" t="s">
        <v>1052</v>
      </c>
      <c r="H448" s="17" t="s">
        <v>1054</v>
      </c>
    </row>
    <row r="449" spans="1:8" x14ac:dyDescent="0.25">
      <c r="A449" s="16" t="s">
        <v>1055</v>
      </c>
      <c r="B449" s="17" t="s">
        <v>1056</v>
      </c>
      <c r="C449" s="17" t="s">
        <v>3766</v>
      </c>
      <c r="D449" s="17" t="s">
        <v>4405</v>
      </c>
      <c r="E449" s="17">
        <v>25</v>
      </c>
      <c r="F449" s="27">
        <v>14</v>
      </c>
      <c r="G449" s="17" t="s">
        <v>1052</v>
      </c>
      <c r="H449" s="17" t="s">
        <v>1057</v>
      </c>
    </row>
    <row r="450" spans="1:8" x14ac:dyDescent="0.25">
      <c r="A450" s="16" t="s">
        <v>1058</v>
      </c>
      <c r="B450" s="17" t="s">
        <v>103</v>
      </c>
      <c r="C450" s="17" t="s">
        <v>4406</v>
      </c>
      <c r="D450" s="17" t="s">
        <v>4407</v>
      </c>
      <c r="E450" s="17">
        <v>25</v>
      </c>
      <c r="F450" s="27">
        <v>14</v>
      </c>
      <c r="G450" s="17" t="s">
        <v>1052</v>
      </c>
      <c r="H450" s="17" t="s">
        <v>1059</v>
      </c>
    </row>
    <row r="451" spans="1:8" x14ac:dyDescent="0.25">
      <c r="A451" s="16" t="s">
        <v>1060</v>
      </c>
      <c r="B451" s="17" t="s">
        <v>261</v>
      </c>
      <c r="C451" s="17" t="s">
        <v>4408</v>
      </c>
      <c r="D451" s="17" t="s">
        <v>4409</v>
      </c>
      <c r="E451" s="17">
        <v>25</v>
      </c>
      <c r="F451" s="27">
        <v>14</v>
      </c>
      <c r="G451" s="17" t="s">
        <v>1052</v>
      </c>
      <c r="H451" s="17" t="s">
        <v>1061</v>
      </c>
    </row>
    <row r="452" spans="1:8" x14ac:dyDescent="0.25">
      <c r="A452" s="16" t="s">
        <v>1062</v>
      </c>
      <c r="B452" s="17" t="s">
        <v>1063</v>
      </c>
      <c r="C452" s="17" t="s">
        <v>4410</v>
      </c>
      <c r="D452" s="17" t="s">
        <v>4411</v>
      </c>
      <c r="E452" s="17">
        <v>25</v>
      </c>
      <c r="F452" s="27">
        <v>14</v>
      </c>
      <c r="G452" s="17" t="s">
        <v>1064</v>
      </c>
      <c r="H452" s="17" t="s">
        <v>77</v>
      </c>
    </row>
    <row r="453" spans="1:8" x14ac:dyDescent="0.25">
      <c r="A453" s="16" t="s">
        <v>1065</v>
      </c>
      <c r="B453" s="17" t="s">
        <v>448</v>
      </c>
      <c r="C453" s="17" t="s">
        <v>4412</v>
      </c>
      <c r="D453" s="17" t="s">
        <v>4413</v>
      </c>
      <c r="E453" s="17">
        <v>25</v>
      </c>
      <c r="F453" s="27">
        <v>14</v>
      </c>
      <c r="G453" s="17" t="s">
        <v>1064</v>
      </c>
      <c r="H453" s="17" t="s">
        <v>1066</v>
      </c>
    </row>
    <row r="454" spans="1:8" x14ac:dyDescent="0.25">
      <c r="A454" s="16" t="s">
        <v>1067</v>
      </c>
      <c r="B454" s="17" t="s">
        <v>301</v>
      </c>
      <c r="C454" s="17" t="s">
        <v>4414</v>
      </c>
      <c r="D454" s="17" t="s">
        <v>4415</v>
      </c>
      <c r="E454" s="17">
        <v>26</v>
      </c>
      <c r="F454" s="16">
        <v>5</v>
      </c>
      <c r="G454" s="17" t="s">
        <v>1068</v>
      </c>
      <c r="H454" s="17" t="s">
        <v>1068</v>
      </c>
    </row>
    <row r="455" spans="1:8" x14ac:dyDescent="0.25">
      <c r="A455" s="16" t="s">
        <v>1069</v>
      </c>
      <c r="B455" s="17" t="s">
        <v>254</v>
      </c>
      <c r="C455" s="17" t="s">
        <v>4416</v>
      </c>
      <c r="D455" s="17" t="s">
        <v>4417</v>
      </c>
      <c r="E455" s="17">
        <v>26</v>
      </c>
      <c r="F455" s="16">
        <v>5</v>
      </c>
      <c r="G455" s="17" t="s">
        <v>1068</v>
      </c>
      <c r="H455" s="17" t="s">
        <v>1070</v>
      </c>
    </row>
    <row r="456" spans="1:8" x14ac:dyDescent="0.25">
      <c r="A456" s="16" t="s">
        <v>1071</v>
      </c>
      <c r="B456" s="17" t="s">
        <v>411</v>
      </c>
      <c r="C456" s="17" t="s">
        <v>3766</v>
      </c>
      <c r="D456" s="17" t="s">
        <v>4418</v>
      </c>
      <c r="E456" s="17">
        <v>26</v>
      </c>
      <c r="F456" s="16">
        <v>5</v>
      </c>
      <c r="G456" s="17" t="s">
        <v>1068</v>
      </c>
      <c r="H456" s="17" t="s">
        <v>1072</v>
      </c>
    </row>
    <row r="457" spans="1:8" x14ac:dyDescent="0.25">
      <c r="A457" s="16" t="s">
        <v>1073</v>
      </c>
      <c r="B457" s="17" t="s">
        <v>157</v>
      </c>
      <c r="C457" s="17" t="s">
        <v>3766</v>
      </c>
      <c r="D457" s="17" t="s">
        <v>4419</v>
      </c>
      <c r="E457" s="17">
        <v>26</v>
      </c>
      <c r="F457" s="16">
        <v>5</v>
      </c>
      <c r="G457" s="17" t="s">
        <v>1068</v>
      </c>
      <c r="H457" s="17" t="s">
        <v>950</v>
      </c>
    </row>
    <row r="458" spans="1:8" x14ac:dyDescent="0.25">
      <c r="A458" s="16" t="s">
        <v>1074</v>
      </c>
      <c r="B458" s="17" t="s">
        <v>254</v>
      </c>
      <c r="C458" s="17" t="s">
        <v>4420</v>
      </c>
      <c r="D458" s="17" t="s">
        <v>4421</v>
      </c>
      <c r="E458" s="17">
        <v>26</v>
      </c>
      <c r="F458" s="16">
        <v>5</v>
      </c>
      <c r="G458" s="17" t="s">
        <v>1068</v>
      </c>
      <c r="H458" s="17" t="s">
        <v>1075</v>
      </c>
    </row>
    <row r="459" spans="1:8" x14ac:dyDescent="0.25">
      <c r="A459" s="16" t="s">
        <v>1076</v>
      </c>
      <c r="B459" s="17" t="s">
        <v>92</v>
      </c>
      <c r="C459" s="17" t="s">
        <v>4422</v>
      </c>
      <c r="D459" s="17" t="s">
        <v>4423</v>
      </c>
      <c r="E459" s="17">
        <v>26</v>
      </c>
      <c r="F459" s="16">
        <v>5</v>
      </c>
      <c r="G459" s="17" t="s">
        <v>1077</v>
      </c>
      <c r="H459" s="17" t="s">
        <v>1078</v>
      </c>
    </row>
    <row r="460" spans="1:8" x14ac:dyDescent="0.25">
      <c r="A460" s="16" t="s">
        <v>1079</v>
      </c>
      <c r="B460" s="17" t="s">
        <v>1080</v>
      </c>
      <c r="C460" s="17" t="s">
        <v>3766</v>
      </c>
      <c r="D460" s="17" t="s">
        <v>4424</v>
      </c>
      <c r="E460" s="17">
        <v>26</v>
      </c>
      <c r="F460" s="16">
        <v>5</v>
      </c>
      <c r="G460" s="17" t="s">
        <v>1077</v>
      </c>
      <c r="H460" s="17" t="s">
        <v>1081</v>
      </c>
    </row>
    <row r="461" spans="1:8" x14ac:dyDescent="0.25">
      <c r="A461" s="16" t="s">
        <v>1082</v>
      </c>
      <c r="B461" s="17" t="s">
        <v>95</v>
      </c>
      <c r="C461" s="17" t="s">
        <v>4425</v>
      </c>
      <c r="D461" s="17" t="s">
        <v>4426</v>
      </c>
      <c r="E461" s="17">
        <v>26</v>
      </c>
      <c r="F461" s="16">
        <v>5</v>
      </c>
      <c r="G461" s="17" t="s">
        <v>1077</v>
      </c>
      <c r="H461" s="17" t="s">
        <v>1083</v>
      </c>
    </row>
    <row r="462" spans="1:8" x14ac:dyDescent="0.25">
      <c r="A462" s="16" t="s">
        <v>1084</v>
      </c>
      <c r="B462" s="17" t="s">
        <v>166</v>
      </c>
      <c r="C462" s="17" t="s">
        <v>4427</v>
      </c>
      <c r="D462" s="17" t="s">
        <v>4428</v>
      </c>
      <c r="E462" s="17">
        <v>26</v>
      </c>
      <c r="F462" s="16">
        <v>5</v>
      </c>
      <c r="G462" s="17" t="s">
        <v>1077</v>
      </c>
      <c r="H462" s="17" t="s">
        <v>1085</v>
      </c>
    </row>
    <row r="463" spans="1:8" x14ac:dyDescent="0.25">
      <c r="A463" s="16" t="s">
        <v>1086</v>
      </c>
      <c r="B463" s="17" t="s">
        <v>63</v>
      </c>
      <c r="C463" s="17" t="s">
        <v>3766</v>
      </c>
      <c r="D463" s="17" t="s">
        <v>4429</v>
      </c>
      <c r="E463" s="17">
        <v>26</v>
      </c>
      <c r="F463" s="16">
        <v>5</v>
      </c>
      <c r="G463" s="17" t="s">
        <v>1087</v>
      </c>
      <c r="H463" s="17" t="s">
        <v>1088</v>
      </c>
    </row>
    <row r="464" spans="1:8" x14ac:dyDescent="0.25">
      <c r="A464" s="16" t="s">
        <v>1089</v>
      </c>
      <c r="B464" s="17" t="s">
        <v>41</v>
      </c>
      <c r="C464" s="17" t="s">
        <v>3766</v>
      </c>
      <c r="D464" s="17" t="s">
        <v>4430</v>
      </c>
      <c r="E464" s="17">
        <v>26</v>
      </c>
      <c r="F464" s="16">
        <v>5</v>
      </c>
      <c r="G464" s="17" t="s">
        <v>1087</v>
      </c>
      <c r="H464" s="17" t="s">
        <v>1090</v>
      </c>
    </row>
    <row r="465" spans="1:8" x14ac:dyDescent="0.25">
      <c r="A465" s="16" t="s">
        <v>1091</v>
      </c>
      <c r="B465" s="17" t="s">
        <v>1092</v>
      </c>
      <c r="C465" s="17" t="s">
        <v>3766</v>
      </c>
      <c r="D465" s="17" t="s">
        <v>4431</v>
      </c>
      <c r="E465" s="17">
        <v>26</v>
      </c>
      <c r="F465" s="16">
        <v>5</v>
      </c>
      <c r="G465" s="17" t="s">
        <v>1087</v>
      </c>
      <c r="H465" s="17" t="s">
        <v>1093</v>
      </c>
    </row>
    <row r="466" spans="1:8" x14ac:dyDescent="0.25">
      <c r="A466" s="16" t="s">
        <v>1094</v>
      </c>
      <c r="B466" s="17" t="s">
        <v>129</v>
      </c>
      <c r="C466" s="17" t="s">
        <v>3766</v>
      </c>
      <c r="D466" s="17" t="s">
        <v>4432</v>
      </c>
      <c r="E466" s="17">
        <v>26</v>
      </c>
      <c r="F466" s="16">
        <v>5</v>
      </c>
      <c r="G466" s="17" t="s">
        <v>1095</v>
      </c>
      <c r="H466" s="17" t="s">
        <v>1096</v>
      </c>
    </row>
    <row r="467" spans="1:8" x14ac:dyDescent="0.25">
      <c r="A467" s="16" t="s">
        <v>1097</v>
      </c>
      <c r="B467" s="17" t="s">
        <v>166</v>
      </c>
      <c r="C467" s="17" t="s">
        <v>3766</v>
      </c>
      <c r="D467" s="17" t="s">
        <v>4433</v>
      </c>
      <c r="E467" s="17">
        <v>26</v>
      </c>
      <c r="F467" s="16">
        <v>5</v>
      </c>
      <c r="G467" s="17" t="s">
        <v>1095</v>
      </c>
      <c r="H467" s="17" t="s">
        <v>204</v>
      </c>
    </row>
    <row r="468" spans="1:8" x14ac:dyDescent="0.25">
      <c r="A468" s="16" t="s">
        <v>1098</v>
      </c>
      <c r="B468" s="17" t="s">
        <v>57</v>
      </c>
      <c r="C468" s="17" t="s">
        <v>3766</v>
      </c>
      <c r="D468" s="17" t="s">
        <v>4434</v>
      </c>
      <c r="E468" s="17">
        <v>26</v>
      </c>
      <c r="F468" s="16">
        <v>5</v>
      </c>
      <c r="G468" s="17" t="s">
        <v>1095</v>
      </c>
      <c r="H468" s="17" t="s">
        <v>1099</v>
      </c>
    </row>
    <row r="469" spans="1:8" x14ac:dyDescent="0.25">
      <c r="A469" s="16" t="s">
        <v>1100</v>
      </c>
      <c r="B469" s="17" t="s">
        <v>77</v>
      </c>
      <c r="C469" s="17" t="s">
        <v>3766</v>
      </c>
      <c r="D469" s="17" t="s">
        <v>4435</v>
      </c>
      <c r="E469" s="17">
        <v>26</v>
      </c>
      <c r="F469" s="16">
        <v>5</v>
      </c>
      <c r="G469" s="17" t="s">
        <v>1095</v>
      </c>
      <c r="H469" s="17" t="s">
        <v>1101</v>
      </c>
    </row>
    <row r="470" spans="1:8" x14ac:dyDescent="0.25">
      <c r="A470" s="16" t="s">
        <v>1102</v>
      </c>
      <c r="B470" s="17" t="s">
        <v>727</v>
      </c>
      <c r="C470" s="17" t="s">
        <v>4436</v>
      </c>
      <c r="D470" s="17" t="s">
        <v>4437</v>
      </c>
      <c r="E470" s="17">
        <v>26</v>
      </c>
      <c r="F470" s="16">
        <v>5</v>
      </c>
      <c r="G470" s="17" t="s">
        <v>1085</v>
      </c>
      <c r="H470" s="17" t="s">
        <v>1085</v>
      </c>
    </row>
    <row r="471" spans="1:8" x14ac:dyDescent="0.25">
      <c r="A471" s="16" t="s">
        <v>1103</v>
      </c>
      <c r="B471" s="17" t="s">
        <v>135</v>
      </c>
      <c r="C471" s="17" t="s">
        <v>3766</v>
      </c>
      <c r="D471" s="17" t="s">
        <v>4438</v>
      </c>
      <c r="E471" s="17">
        <v>26</v>
      </c>
      <c r="F471" s="16">
        <v>5</v>
      </c>
      <c r="G471" s="17" t="s">
        <v>1085</v>
      </c>
      <c r="H471" s="17" t="s">
        <v>265</v>
      </c>
    </row>
    <row r="472" spans="1:8" x14ac:dyDescent="0.25">
      <c r="A472" s="16" t="s">
        <v>1104</v>
      </c>
      <c r="B472" s="17" t="s">
        <v>1105</v>
      </c>
      <c r="C472" s="17" t="s">
        <v>4439</v>
      </c>
      <c r="D472" s="17" t="s">
        <v>4440</v>
      </c>
      <c r="E472" s="17">
        <v>26</v>
      </c>
      <c r="F472" s="16">
        <v>5</v>
      </c>
      <c r="G472" s="17" t="s">
        <v>1085</v>
      </c>
      <c r="H472" s="17" t="s">
        <v>1106</v>
      </c>
    </row>
    <row r="473" spans="1:8" x14ac:dyDescent="0.25">
      <c r="A473" s="16" t="s">
        <v>1107</v>
      </c>
      <c r="B473" s="17" t="s">
        <v>166</v>
      </c>
      <c r="C473" s="17" t="s">
        <v>3766</v>
      </c>
      <c r="D473" s="17" t="s">
        <v>4441</v>
      </c>
      <c r="E473" s="17">
        <v>26</v>
      </c>
      <c r="F473" s="16">
        <v>5</v>
      </c>
      <c r="G473" s="17" t="s">
        <v>1085</v>
      </c>
      <c r="H473" s="17" t="s">
        <v>23</v>
      </c>
    </row>
    <row r="474" spans="1:8" x14ac:dyDescent="0.25">
      <c r="A474" s="16" t="s">
        <v>1108</v>
      </c>
      <c r="B474" s="17" t="s">
        <v>1109</v>
      </c>
      <c r="C474" s="17" t="s">
        <v>3766</v>
      </c>
      <c r="D474" s="17" t="s">
        <v>4442</v>
      </c>
      <c r="E474" s="17">
        <v>26</v>
      </c>
      <c r="F474" s="16">
        <v>5</v>
      </c>
      <c r="G474" s="17" t="s">
        <v>1110</v>
      </c>
      <c r="H474" s="17" t="s">
        <v>1111</v>
      </c>
    </row>
    <row r="475" spans="1:8" x14ac:dyDescent="0.25">
      <c r="A475" s="16" t="s">
        <v>1112</v>
      </c>
      <c r="B475" s="17" t="s">
        <v>166</v>
      </c>
      <c r="C475" s="17" t="s">
        <v>3902</v>
      </c>
      <c r="D475" s="17" t="s">
        <v>4443</v>
      </c>
      <c r="E475" s="17">
        <v>26</v>
      </c>
      <c r="F475" s="16">
        <v>5</v>
      </c>
      <c r="G475" s="17" t="s">
        <v>1113</v>
      </c>
      <c r="H475" s="17" t="s">
        <v>1114</v>
      </c>
    </row>
    <row r="476" spans="1:8" x14ac:dyDescent="0.25">
      <c r="A476" s="16" t="s">
        <v>1115</v>
      </c>
      <c r="B476" s="17" t="s">
        <v>306</v>
      </c>
      <c r="C476" s="17" t="s">
        <v>3766</v>
      </c>
      <c r="D476" s="17" t="s">
        <v>4444</v>
      </c>
      <c r="E476" s="17">
        <v>26</v>
      </c>
      <c r="F476" s="16">
        <v>5</v>
      </c>
      <c r="G476" s="17" t="s">
        <v>1113</v>
      </c>
      <c r="H476" s="17" t="s">
        <v>1116</v>
      </c>
    </row>
    <row r="477" spans="1:8" x14ac:dyDescent="0.25">
      <c r="A477" s="16" t="s">
        <v>1117</v>
      </c>
      <c r="B477" s="17" t="s">
        <v>166</v>
      </c>
      <c r="C477" s="17" t="s">
        <v>3766</v>
      </c>
      <c r="D477" s="17" t="s">
        <v>4445</v>
      </c>
      <c r="E477" s="17">
        <v>26</v>
      </c>
      <c r="F477" s="16">
        <v>5</v>
      </c>
      <c r="G477" s="17" t="s">
        <v>1113</v>
      </c>
      <c r="H477" s="17" t="s">
        <v>1118</v>
      </c>
    </row>
    <row r="478" spans="1:8" x14ac:dyDescent="0.25">
      <c r="A478" s="16" t="s">
        <v>1119</v>
      </c>
      <c r="B478" s="17" t="s">
        <v>38</v>
      </c>
      <c r="C478" s="17" t="s">
        <v>3766</v>
      </c>
      <c r="D478" s="17" t="s">
        <v>4446</v>
      </c>
      <c r="E478" s="17">
        <v>26</v>
      </c>
      <c r="F478" s="16">
        <v>5</v>
      </c>
      <c r="G478" s="17" t="s">
        <v>1113</v>
      </c>
      <c r="H478" s="17" t="s">
        <v>1120</v>
      </c>
    </row>
    <row r="479" spans="1:8" x14ac:dyDescent="0.25">
      <c r="A479" s="16" t="s">
        <v>1121</v>
      </c>
      <c r="B479" s="17" t="s">
        <v>480</v>
      </c>
      <c r="C479" s="17" t="s">
        <v>3766</v>
      </c>
      <c r="D479" s="17" t="s">
        <v>4447</v>
      </c>
      <c r="E479" s="17">
        <v>26</v>
      </c>
      <c r="F479" s="16">
        <v>5</v>
      </c>
      <c r="G479" s="17" t="s">
        <v>1113</v>
      </c>
      <c r="H479" s="17" t="s">
        <v>1122</v>
      </c>
    </row>
    <row r="480" spans="1:8" x14ac:dyDescent="0.25">
      <c r="A480" s="16" t="s">
        <v>1123</v>
      </c>
      <c r="B480" s="17" t="s">
        <v>1029</v>
      </c>
      <c r="C480" s="17" t="s">
        <v>4448</v>
      </c>
      <c r="D480" s="17" t="s">
        <v>4449</v>
      </c>
      <c r="E480" s="17">
        <v>27</v>
      </c>
      <c r="F480" s="16">
        <v>1</v>
      </c>
      <c r="G480" s="17" t="s">
        <v>1124</v>
      </c>
      <c r="H480" s="17" t="s">
        <v>1125</v>
      </c>
    </row>
    <row r="481" spans="1:8" x14ac:dyDescent="0.25">
      <c r="A481" s="16" t="s">
        <v>1126</v>
      </c>
      <c r="B481" s="17" t="s">
        <v>135</v>
      </c>
      <c r="C481" s="17" t="s">
        <v>3766</v>
      </c>
      <c r="D481" s="17" t="s">
        <v>4450</v>
      </c>
      <c r="E481" s="17">
        <v>27</v>
      </c>
      <c r="F481" s="16">
        <v>1</v>
      </c>
      <c r="G481" s="17" t="s">
        <v>1124</v>
      </c>
      <c r="H481" s="17" t="s">
        <v>1127</v>
      </c>
    </row>
    <row r="482" spans="1:8" x14ac:dyDescent="0.25">
      <c r="A482" s="16" t="s">
        <v>1128</v>
      </c>
      <c r="B482" s="17" t="s">
        <v>234</v>
      </c>
      <c r="C482" s="17" t="s">
        <v>3766</v>
      </c>
      <c r="D482" s="17" t="s">
        <v>4451</v>
      </c>
      <c r="E482" s="17">
        <v>27</v>
      </c>
      <c r="F482" s="16">
        <v>1</v>
      </c>
      <c r="G482" s="17" t="s">
        <v>1124</v>
      </c>
      <c r="H482" s="17" t="s">
        <v>1129</v>
      </c>
    </row>
    <row r="483" spans="1:8" x14ac:dyDescent="0.25">
      <c r="A483" s="16" t="s">
        <v>1130</v>
      </c>
      <c r="B483" s="17" t="s">
        <v>138</v>
      </c>
      <c r="C483" s="17" t="s">
        <v>3766</v>
      </c>
      <c r="D483" s="17" t="s">
        <v>4452</v>
      </c>
      <c r="E483" s="17">
        <v>27</v>
      </c>
      <c r="F483" s="16">
        <v>1</v>
      </c>
      <c r="G483" s="17" t="s">
        <v>1124</v>
      </c>
      <c r="H483" s="17" t="s">
        <v>1131</v>
      </c>
    </row>
    <row r="484" spans="1:8" x14ac:dyDescent="0.25">
      <c r="A484" s="16" t="s">
        <v>1132</v>
      </c>
      <c r="B484" s="17" t="s">
        <v>1133</v>
      </c>
      <c r="C484" s="17" t="s">
        <v>3766</v>
      </c>
      <c r="D484" s="17" t="s">
        <v>4453</v>
      </c>
      <c r="E484" s="17">
        <v>27</v>
      </c>
      <c r="F484" s="16">
        <v>1</v>
      </c>
      <c r="G484" s="17" t="s">
        <v>356</v>
      </c>
      <c r="H484" s="17" t="s">
        <v>1134</v>
      </c>
    </row>
    <row r="485" spans="1:8" x14ac:dyDescent="0.25">
      <c r="A485" s="16" t="s">
        <v>1135</v>
      </c>
      <c r="B485" s="17" t="s">
        <v>103</v>
      </c>
      <c r="C485" s="17" t="s">
        <v>4454</v>
      </c>
      <c r="D485" s="17" t="s">
        <v>4455</v>
      </c>
      <c r="E485" s="17">
        <v>27</v>
      </c>
      <c r="F485" s="16">
        <v>1</v>
      </c>
      <c r="G485" s="17" t="s">
        <v>356</v>
      </c>
      <c r="H485" s="17" t="s">
        <v>515</v>
      </c>
    </row>
    <row r="486" spans="1:8" x14ac:dyDescent="0.25">
      <c r="A486" s="16" t="s">
        <v>1136</v>
      </c>
      <c r="B486" s="17" t="s">
        <v>80</v>
      </c>
      <c r="C486" s="17" t="s">
        <v>4456</v>
      </c>
      <c r="D486" s="17" t="s">
        <v>4457</v>
      </c>
      <c r="E486" s="17">
        <v>27</v>
      </c>
      <c r="F486" s="16">
        <v>1</v>
      </c>
      <c r="G486" s="17" t="s">
        <v>356</v>
      </c>
      <c r="H486" s="17" t="s">
        <v>1137</v>
      </c>
    </row>
    <row r="487" spans="1:8" x14ac:dyDescent="0.25">
      <c r="A487" s="16" t="s">
        <v>1138</v>
      </c>
      <c r="B487" s="17" t="s">
        <v>132</v>
      </c>
      <c r="C487" s="17" t="s">
        <v>3766</v>
      </c>
      <c r="D487" s="17" t="s">
        <v>4458</v>
      </c>
      <c r="E487" s="17">
        <v>27</v>
      </c>
      <c r="F487" s="16">
        <v>1</v>
      </c>
      <c r="G487" s="17" t="s">
        <v>356</v>
      </c>
      <c r="H487" s="17" t="s">
        <v>1139</v>
      </c>
    </row>
    <row r="488" spans="1:8" x14ac:dyDescent="0.25">
      <c r="A488" s="16" t="s">
        <v>1140</v>
      </c>
      <c r="B488" s="17" t="s">
        <v>448</v>
      </c>
      <c r="C488" s="17" t="s">
        <v>4013</v>
      </c>
      <c r="D488" s="17" t="s">
        <v>4459</v>
      </c>
      <c r="E488" s="17">
        <v>27</v>
      </c>
      <c r="F488" s="16">
        <v>1</v>
      </c>
      <c r="G488" s="17" t="s">
        <v>1141</v>
      </c>
      <c r="H488" s="17" t="s">
        <v>1141</v>
      </c>
    </row>
    <row r="489" spans="1:8" x14ac:dyDescent="0.25">
      <c r="A489" s="16" t="s">
        <v>1142</v>
      </c>
      <c r="B489" s="17" t="s">
        <v>23</v>
      </c>
      <c r="C489" s="17" t="s">
        <v>301</v>
      </c>
      <c r="D489" s="17" t="s">
        <v>4460</v>
      </c>
      <c r="E489" s="17">
        <v>27</v>
      </c>
      <c r="F489" s="16">
        <v>1</v>
      </c>
      <c r="G489" s="17" t="s">
        <v>1141</v>
      </c>
      <c r="H489" s="17" t="s">
        <v>1143</v>
      </c>
    </row>
    <row r="490" spans="1:8" x14ac:dyDescent="0.25">
      <c r="A490" s="16" t="s">
        <v>1144</v>
      </c>
      <c r="B490" s="17" t="s">
        <v>57</v>
      </c>
      <c r="C490" s="17" t="s">
        <v>3766</v>
      </c>
      <c r="D490" s="17" t="s">
        <v>4461</v>
      </c>
      <c r="E490" s="17">
        <v>27</v>
      </c>
      <c r="F490" s="16">
        <v>1</v>
      </c>
      <c r="G490" s="17" t="s">
        <v>1141</v>
      </c>
      <c r="H490" s="17" t="s">
        <v>1145</v>
      </c>
    </row>
    <row r="491" spans="1:8" x14ac:dyDescent="0.25">
      <c r="A491" s="16" t="s">
        <v>1146</v>
      </c>
      <c r="B491" s="17" t="s">
        <v>443</v>
      </c>
      <c r="C491" s="17" t="s">
        <v>4462</v>
      </c>
      <c r="D491" s="17" t="s">
        <v>4463</v>
      </c>
      <c r="E491" s="17">
        <v>27</v>
      </c>
      <c r="F491" s="16">
        <v>1</v>
      </c>
      <c r="G491" s="17" t="s">
        <v>1141</v>
      </c>
      <c r="H491" s="17" t="s">
        <v>1147</v>
      </c>
    </row>
    <row r="492" spans="1:8" x14ac:dyDescent="0.25">
      <c r="A492" s="16" t="s">
        <v>1148</v>
      </c>
      <c r="B492" s="17" t="s">
        <v>166</v>
      </c>
      <c r="C492" s="17" t="s">
        <v>4464</v>
      </c>
      <c r="D492" s="17" t="s">
        <v>4465</v>
      </c>
      <c r="E492" s="17">
        <v>27</v>
      </c>
      <c r="F492" s="16">
        <v>1</v>
      </c>
      <c r="G492" s="17" t="s">
        <v>1141</v>
      </c>
      <c r="H492" s="17" t="s">
        <v>1149</v>
      </c>
    </row>
    <row r="493" spans="1:8" x14ac:dyDescent="0.25">
      <c r="A493" s="16" t="s">
        <v>1150</v>
      </c>
      <c r="B493" s="17" t="s">
        <v>466</v>
      </c>
      <c r="C493" s="17" t="s">
        <v>3766</v>
      </c>
      <c r="D493" s="17" t="s">
        <v>4466</v>
      </c>
      <c r="E493" s="17">
        <v>27</v>
      </c>
      <c r="F493" s="16">
        <v>1</v>
      </c>
      <c r="G493" s="17" t="s">
        <v>1151</v>
      </c>
      <c r="H493" s="17" t="s">
        <v>1152</v>
      </c>
    </row>
    <row r="494" spans="1:8" x14ac:dyDescent="0.25">
      <c r="A494" s="16" t="s">
        <v>1153</v>
      </c>
      <c r="B494" s="17" t="s">
        <v>1154</v>
      </c>
      <c r="C494" s="17" t="s">
        <v>3766</v>
      </c>
      <c r="D494" s="17" t="s">
        <v>4467</v>
      </c>
      <c r="E494" s="17">
        <v>27</v>
      </c>
      <c r="F494" s="16">
        <v>1</v>
      </c>
      <c r="G494" s="17" t="s">
        <v>1151</v>
      </c>
      <c r="H494" s="17" t="s">
        <v>1155</v>
      </c>
    </row>
    <row r="495" spans="1:8" x14ac:dyDescent="0.25">
      <c r="A495" s="16" t="s">
        <v>1156</v>
      </c>
      <c r="B495" s="17" t="s">
        <v>1157</v>
      </c>
      <c r="C495" s="17" t="s">
        <v>3766</v>
      </c>
      <c r="D495" s="17" t="s">
        <v>4468</v>
      </c>
      <c r="E495" s="17">
        <v>27</v>
      </c>
      <c r="F495" s="16">
        <v>1</v>
      </c>
      <c r="G495" s="17" t="s">
        <v>1151</v>
      </c>
      <c r="H495" s="17" t="s">
        <v>1158</v>
      </c>
    </row>
    <row r="496" spans="1:8" x14ac:dyDescent="0.25">
      <c r="A496" s="16" t="s">
        <v>1159</v>
      </c>
      <c r="B496" s="17" t="s">
        <v>83</v>
      </c>
      <c r="C496" s="17" t="s">
        <v>4469</v>
      </c>
      <c r="D496" s="17" t="s">
        <v>4470</v>
      </c>
      <c r="E496" s="17">
        <v>27</v>
      </c>
      <c r="F496" s="16">
        <v>1</v>
      </c>
      <c r="G496" s="17" t="s">
        <v>1151</v>
      </c>
      <c r="H496" s="17" t="s">
        <v>1160</v>
      </c>
    </row>
    <row r="497" spans="1:8" x14ac:dyDescent="0.25">
      <c r="A497" s="16" t="s">
        <v>1161</v>
      </c>
      <c r="B497" s="17" t="s">
        <v>166</v>
      </c>
      <c r="C497" s="17" t="s">
        <v>3766</v>
      </c>
      <c r="D497" s="17" t="s">
        <v>4471</v>
      </c>
      <c r="E497" s="17">
        <v>27</v>
      </c>
      <c r="F497" s="16">
        <v>1</v>
      </c>
      <c r="G497" s="17" t="s">
        <v>1151</v>
      </c>
      <c r="H497" s="17" t="s">
        <v>1162</v>
      </c>
    </row>
    <row r="498" spans="1:8" x14ac:dyDescent="0.25">
      <c r="A498" s="16" t="s">
        <v>1163</v>
      </c>
      <c r="B498" s="17" t="s">
        <v>510</v>
      </c>
      <c r="C498" s="17" t="s">
        <v>3766</v>
      </c>
      <c r="D498" s="17" t="s">
        <v>4472</v>
      </c>
      <c r="E498" s="17">
        <v>27</v>
      </c>
      <c r="F498" s="16">
        <v>1</v>
      </c>
      <c r="G498" s="17" t="s">
        <v>1151</v>
      </c>
      <c r="H498" s="17" t="s">
        <v>1164</v>
      </c>
    </row>
    <row r="499" spans="1:8" x14ac:dyDescent="0.25">
      <c r="A499" s="16" t="s">
        <v>1165</v>
      </c>
      <c r="B499" s="17" t="s">
        <v>166</v>
      </c>
      <c r="C499" s="17" t="s">
        <v>4473</v>
      </c>
      <c r="D499" s="17" t="s">
        <v>4474</v>
      </c>
      <c r="E499" s="17">
        <v>27</v>
      </c>
      <c r="F499" s="16">
        <v>1</v>
      </c>
      <c r="G499" s="17" t="s">
        <v>1151</v>
      </c>
      <c r="H499" s="17" t="s">
        <v>1166</v>
      </c>
    </row>
    <row r="500" spans="1:8" x14ac:dyDescent="0.25">
      <c r="A500" s="16" t="s">
        <v>1167</v>
      </c>
      <c r="B500" s="17" t="s">
        <v>72</v>
      </c>
      <c r="C500" s="17" t="s">
        <v>3766</v>
      </c>
      <c r="D500" s="17" t="s">
        <v>4475</v>
      </c>
      <c r="E500" s="17">
        <v>27</v>
      </c>
      <c r="F500" s="16">
        <v>1</v>
      </c>
      <c r="G500" s="17" t="s">
        <v>1151</v>
      </c>
      <c r="H500" s="17" t="s">
        <v>1168</v>
      </c>
    </row>
    <row r="501" spans="1:8" x14ac:dyDescent="0.25">
      <c r="A501" s="16" t="s">
        <v>1169</v>
      </c>
      <c r="B501" s="17" t="s">
        <v>166</v>
      </c>
      <c r="C501" s="17" t="s">
        <v>3758</v>
      </c>
      <c r="D501" s="17" t="s">
        <v>4467</v>
      </c>
      <c r="E501" s="17">
        <v>27</v>
      </c>
      <c r="F501" s="16">
        <v>1</v>
      </c>
      <c r="G501" s="17" t="s">
        <v>1170</v>
      </c>
      <c r="H501" s="17" t="s">
        <v>1171</v>
      </c>
    </row>
    <row r="502" spans="1:8" x14ac:dyDescent="0.25">
      <c r="A502" s="16" t="s">
        <v>1172</v>
      </c>
      <c r="B502" s="17" t="s">
        <v>166</v>
      </c>
      <c r="C502" s="17" t="s">
        <v>4476</v>
      </c>
      <c r="D502" s="17" t="s">
        <v>4477</v>
      </c>
      <c r="E502" s="17">
        <v>27</v>
      </c>
      <c r="F502" s="16">
        <v>1</v>
      </c>
      <c r="G502" s="17" t="s">
        <v>1173</v>
      </c>
      <c r="H502" s="17" t="s">
        <v>1174</v>
      </c>
    </row>
    <row r="503" spans="1:8" x14ac:dyDescent="0.25">
      <c r="A503" s="16" t="s">
        <v>1175</v>
      </c>
      <c r="B503" s="17" t="s">
        <v>166</v>
      </c>
      <c r="C503" s="17" t="s">
        <v>4478</v>
      </c>
      <c r="D503" s="17" t="s">
        <v>4479</v>
      </c>
      <c r="E503" s="17">
        <v>27</v>
      </c>
      <c r="F503" s="16">
        <v>1</v>
      </c>
      <c r="G503" s="17" t="s">
        <v>1173</v>
      </c>
      <c r="H503" s="17" t="s">
        <v>1176</v>
      </c>
    </row>
    <row r="504" spans="1:8" x14ac:dyDescent="0.25">
      <c r="A504" s="16" t="s">
        <v>1177</v>
      </c>
      <c r="B504" s="17" t="s">
        <v>1178</v>
      </c>
      <c r="C504" s="17" t="s">
        <v>3766</v>
      </c>
      <c r="D504" s="17" t="s">
        <v>4480</v>
      </c>
      <c r="E504" s="17">
        <v>27</v>
      </c>
      <c r="F504" s="16">
        <v>1</v>
      </c>
      <c r="G504" s="17" t="s">
        <v>1170</v>
      </c>
      <c r="H504" s="17" t="s">
        <v>1179</v>
      </c>
    </row>
    <row r="505" spans="1:8" x14ac:dyDescent="0.25">
      <c r="A505" s="16" t="s">
        <v>1180</v>
      </c>
      <c r="B505" s="17" t="s">
        <v>41</v>
      </c>
      <c r="C505" s="17" t="s">
        <v>3766</v>
      </c>
      <c r="D505" s="17" t="s">
        <v>4481</v>
      </c>
      <c r="E505" s="17">
        <v>27</v>
      </c>
      <c r="F505" s="16">
        <v>1</v>
      </c>
      <c r="G505" s="17" t="s">
        <v>1181</v>
      </c>
      <c r="H505" s="17" t="s">
        <v>1182</v>
      </c>
    </row>
    <row r="506" spans="1:8" x14ac:dyDescent="0.25">
      <c r="A506" s="16" t="s">
        <v>1183</v>
      </c>
      <c r="B506" s="17" t="s">
        <v>166</v>
      </c>
      <c r="C506" s="17" t="s">
        <v>4482</v>
      </c>
      <c r="D506" s="17" t="s">
        <v>4483</v>
      </c>
      <c r="E506" s="17">
        <v>27</v>
      </c>
      <c r="F506" s="16">
        <v>1</v>
      </c>
      <c r="G506" s="17" t="s">
        <v>1181</v>
      </c>
      <c r="H506" s="17" t="s">
        <v>1184</v>
      </c>
    </row>
    <row r="507" spans="1:8" x14ac:dyDescent="0.25">
      <c r="A507" s="16" t="s">
        <v>1185</v>
      </c>
      <c r="B507" s="17" t="s">
        <v>466</v>
      </c>
      <c r="C507" s="17" t="s">
        <v>3766</v>
      </c>
      <c r="D507" s="17" t="s">
        <v>4484</v>
      </c>
      <c r="E507" s="17">
        <v>27</v>
      </c>
      <c r="F507" s="16">
        <v>1</v>
      </c>
      <c r="G507" s="17" t="s">
        <v>1181</v>
      </c>
      <c r="H507" s="17" t="s">
        <v>1186</v>
      </c>
    </row>
    <row r="508" spans="1:8" x14ac:dyDescent="0.25">
      <c r="A508" s="16" t="s">
        <v>1187</v>
      </c>
      <c r="B508" s="17" t="s">
        <v>166</v>
      </c>
      <c r="C508" s="17" t="s">
        <v>3758</v>
      </c>
      <c r="D508" s="17" t="s">
        <v>4485</v>
      </c>
      <c r="E508" s="17">
        <v>27</v>
      </c>
      <c r="F508" s="16">
        <v>1</v>
      </c>
      <c r="G508" s="17" t="s">
        <v>1181</v>
      </c>
      <c r="H508" s="17" t="s">
        <v>1188</v>
      </c>
    </row>
    <row r="509" spans="1:8" x14ac:dyDescent="0.25">
      <c r="A509" s="16" t="s">
        <v>1189</v>
      </c>
      <c r="B509" s="17" t="s">
        <v>135</v>
      </c>
      <c r="C509" s="17" t="s">
        <v>3766</v>
      </c>
      <c r="D509" s="17" t="s">
        <v>4486</v>
      </c>
      <c r="E509" s="17">
        <v>27</v>
      </c>
      <c r="F509" s="16">
        <v>1</v>
      </c>
      <c r="G509" s="17" t="s">
        <v>1190</v>
      </c>
      <c r="H509" s="17" t="s">
        <v>579</v>
      </c>
    </row>
    <row r="510" spans="1:8" x14ac:dyDescent="0.25">
      <c r="A510" s="16" t="s">
        <v>1191</v>
      </c>
      <c r="B510" s="17" t="s">
        <v>166</v>
      </c>
      <c r="C510" s="17" t="s">
        <v>4487</v>
      </c>
      <c r="D510" s="17" t="s">
        <v>4488</v>
      </c>
      <c r="E510" s="17">
        <v>27</v>
      </c>
      <c r="F510" s="16">
        <v>1</v>
      </c>
      <c r="G510" s="17" t="s">
        <v>1190</v>
      </c>
      <c r="H510" s="17" t="s">
        <v>1192</v>
      </c>
    </row>
    <row r="511" spans="1:8" x14ac:dyDescent="0.25">
      <c r="A511" s="16" t="s">
        <v>1193</v>
      </c>
      <c r="B511" s="17" t="s">
        <v>23</v>
      </c>
      <c r="C511" s="17" t="s">
        <v>3766</v>
      </c>
      <c r="D511" s="17" t="s">
        <v>4489</v>
      </c>
      <c r="E511" s="17">
        <v>27</v>
      </c>
      <c r="F511" s="16">
        <v>1</v>
      </c>
      <c r="G511" s="17" t="s">
        <v>1190</v>
      </c>
      <c r="H511" s="17" t="s">
        <v>1194</v>
      </c>
    </row>
    <row r="512" spans="1:8" x14ac:dyDescent="0.25">
      <c r="A512" s="16" t="s">
        <v>1195</v>
      </c>
      <c r="B512" s="17" t="s">
        <v>72</v>
      </c>
      <c r="C512" s="17" t="s">
        <v>3766</v>
      </c>
      <c r="D512" s="17" t="s">
        <v>4490</v>
      </c>
      <c r="E512" s="17">
        <v>27</v>
      </c>
      <c r="F512" s="16">
        <v>1</v>
      </c>
      <c r="G512" s="17" t="s">
        <v>1190</v>
      </c>
      <c r="H512" s="17" t="s">
        <v>1196</v>
      </c>
    </row>
    <row r="513" spans="1:8" x14ac:dyDescent="0.25">
      <c r="A513" s="16" t="s">
        <v>1197</v>
      </c>
      <c r="B513" s="17" t="s">
        <v>1198</v>
      </c>
      <c r="C513" s="17" t="s">
        <v>3758</v>
      </c>
      <c r="D513" s="17" t="s">
        <v>4491</v>
      </c>
      <c r="E513" s="17">
        <v>27</v>
      </c>
      <c r="F513" s="16">
        <v>1</v>
      </c>
      <c r="G513" s="17" t="s">
        <v>1190</v>
      </c>
      <c r="H513" s="17" t="s">
        <v>1199</v>
      </c>
    </row>
    <row r="514" spans="1:8" x14ac:dyDescent="0.25">
      <c r="A514" s="16" t="s">
        <v>1200</v>
      </c>
      <c r="B514" s="17" t="s">
        <v>1201</v>
      </c>
      <c r="C514" s="17" t="s">
        <v>4492</v>
      </c>
      <c r="D514" s="17" t="s">
        <v>4493</v>
      </c>
      <c r="E514" s="17">
        <v>27</v>
      </c>
      <c r="F514" s="16">
        <v>1</v>
      </c>
      <c r="G514" s="17" t="s">
        <v>1190</v>
      </c>
      <c r="H514" s="17" t="s">
        <v>1202</v>
      </c>
    </row>
    <row r="515" spans="1:8" x14ac:dyDescent="0.25">
      <c r="A515" s="16" t="s">
        <v>1203</v>
      </c>
      <c r="B515" s="17" t="s">
        <v>166</v>
      </c>
      <c r="C515" s="17" t="s">
        <v>3758</v>
      </c>
      <c r="D515" s="17" t="s">
        <v>4494</v>
      </c>
      <c r="E515" s="17">
        <v>27</v>
      </c>
      <c r="F515" s="16">
        <v>1</v>
      </c>
      <c r="G515" s="17" t="s">
        <v>1190</v>
      </c>
      <c r="H515" s="17" t="s">
        <v>359</v>
      </c>
    </row>
    <row r="516" spans="1:8" x14ac:dyDescent="0.25">
      <c r="A516" s="16" t="s">
        <v>1204</v>
      </c>
      <c r="B516" s="17" t="s">
        <v>166</v>
      </c>
      <c r="C516" s="17" t="s">
        <v>3758</v>
      </c>
      <c r="D516" s="17" t="s">
        <v>6110</v>
      </c>
      <c r="E516" s="17">
        <v>28</v>
      </c>
      <c r="F516" s="27">
        <v>18</v>
      </c>
      <c r="G516" s="17" t="s">
        <v>521</v>
      </c>
      <c r="H516" s="17" t="s">
        <v>1205</v>
      </c>
    </row>
    <row r="517" spans="1:8" x14ac:dyDescent="0.25">
      <c r="A517" s="16" t="s">
        <v>1206</v>
      </c>
      <c r="B517" s="17" t="s">
        <v>298</v>
      </c>
      <c r="C517" s="17" t="s">
        <v>4495</v>
      </c>
      <c r="D517" s="17" t="s">
        <v>4503</v>
      </c>
      <c r="E517" s="17">
        <v>28</v>
      </c>
      <c r="F517" s="27">
        <v>18</v>
      </c>
      <c r="G517" s="17" t="s">
        <v>521</v>
      </c>
      <c r="H517" s="17" t="s">
        <v>1207</v>
      </c>
    </row>
    <row r="518" spans="1:8" x14ac:dyDescent="0.25">
      <c r="A518" s="16" t="s">
        <v>1208</v>
      </c>
      <c r="B518" s="17" t="s">
        <v>1209</v>
      </c>
      <c r="C518" s="17" t="s">
        <v>4496</v>
      </c>
      <c r="D518" s="17" t="s">
        <v>4497</v>
      </c>
      <c r="E518" s="17">
        <v>28</v>
      </c>
      <c r="F518" s="27">
        <v>18</v>
      </c>
      <c r="G518" s="17" t="s">
        <v>73</v>
      </c>
      <c r="H518" s="17" t="s">
        <v>73</v>
      </c>
    </row>
    <row r="519" spans="1:8" x14ac:dyDescent="0.25">
      <c r="A519" s="16" t="s">
        <v>1210</v>
      </c>
      <c r="B519" s="17" t="s">
        <v>1211</v>
      </c>
      <c r="C519" s="17" t="s">
        <v>4498</v>
      </c>
      <c r="D519" s="17" t="s">
        <v>4499</v>
      </c>
      <c r="E519" s="17">
        <v>28</v>
      </c>
      <c r="F519" s="27">
        <v>18</v>
      </c>
      <c r="G519" s="17" t="s">
        <v>73</v>
      </c>
      <c r="H519" s="17" t="s">
        <v>73</v>
      </c>
    </row>
    <row r="520" spans="1:8" x14ac:dyDescent="0.25">
      <c r="A520" s="16" t="s">
        <v>1212</v>
      </c>
      <c r="B520" s="17" t="s">
        <v>1213</v>
      </c>
      <c r="C520" s="17" t="s">
        <v>4500</v>
      </c>
      <c r="D520" s="17" t="s">
        <v>4501</v>
      </c>
      <c r="E520" s="17">
        <v>28</v>
      </c>
      <c r="F520" s="27">
        <v>18</v>
      </c>
      <c r="G520" s="17" t="s">
        <v>78</v>
      </c>
      <c r="H520" s="17" t="s">
        <v>1214</v>
      </c>
    </row>
    <row r="521" spans="1:8" x14ac:dyDescent="0.25">
      <c r="A521" s="16" t="s">
        <v>1215</v>
      </c>
      <c r="B521" s="17" t="s">
        <v>107</v>
      </c>
      <c r="C521" s="17" t="s">
        <v>4502</v>
      </c>
      <c r="D521" s="17" t="s">
        <v>6111</v>
      </c>
      <c r="E521" s="17">
        <v>28</v>
      </c>
      <c r="F521" s="27">
        <v>18</v>
      </c>
      <c r="G521" s="17" t="s">
        <v>78</v>
      </c>
      <c r="H521" s="17" t="s">
        <v>499</v>
      </c>
    </row>
    <row r="522" spans="1:8" x14ac:dyDescent="0.25">
      <c r="A522" s="16" t="s">
        <v>1216</v>
      </c>
      <c r="B522" s="17" t="s">
        <v>138</v>
      </c>
      <c r="C522" s="17" t="s">
        <v>4504</v>
      </c>
      <c r="D522" s="17" t="s">
        <v>4505</v>
      </c>
      <c r="E522" s="17">
        <v>28</v>
      </c>
      <c r="F522" s="27">
        <v>18</v>
      </c>
      <c r="G522" s="17" t="s">
        <v>78</v>
      </c>
      <c r="H522" s="17" t="s">
        <v>1217</v>
      </c>
    </row>
    <row r="523" spans="1:8" x14ac:dyDescent="0.25">
      <c r="A523" s="16" t="s">
        <v>1218</v>
      </c>
      <c r="B523" s="17" t="s">
        <v>23</v>
      </c>
      <c r="C523" s="17" t="s">
        <v>3871</v>
      </c>
      <c r="D523" s="17" t="s">
        <v>4506</v>
      </c>
      <c r="E523" s="17">
        <v>28</v>
      </c>
      <c r="F523" s="27">
        <v>18</v>
      </c>
      <c r="G523" s="17" t="s">
        <v>78</v>
      </c>
      <c r="H523" s="17" t="s">
        <v>1219</v>
      </c>
    </row>
    <row r="524" spans="1:8" x14ac:dyDescent="0.25">
      <c r="A524" s="16" t="s">
        <v>1220</v>
      </c>
      <c r="B524" s="17" t="s">
        <v>57</v>
      </c>
      <c r="C524" s="17" t="s">
        <v>4507</v>
      </c>
      <c r="D524" s="17" t="s">
        <v>4508</v>
      </c>
      <c r="E524" s="17">
        <v>28</v>
      </c>
      <c r="F524" s="27">
        <v>18</v>
      </c>
      <c r="G524" s="17" t="s">
        <v>78</v>
      </c>
      <c r="H524" s="17" t="s">
        <v>1221</v>
      </c>
    </row>
    <row r="525" spans="1:8" x14ac:dyDescent="0.25">
      <c r="A525" s="16" t="s">
        <v>1222</v>
      </c>
      <c r="B525" s="17" t="s">
        <v>135</v>
      </c>
      <c r="C525" s="17" t="s">
        <v>4509</v>
      </c>
      <c r="D525" s="17" t="s">
        <v>4510</v>
      </c>
      <c r="E525" s="17">
        <v>28</v>
      </c>
      <c r="F525" s="27">
        <v>18</v>
      </c>
      <c r="G525" s="17" t="s">
        <v>78</v>
      </c>
      <c r="H525" s="17" t="s">
        <v>1223</v>
      </c>
    </row>
    <row r="526" spans="1:8" x14ac:dyDescent="0.25">
      <c r="A526" s="16" t="s">
        <v>1224</v>
      </c>
      <c r="B526" s="17" t="s">
        <v>254</v>
      </c>
      <c r="C526" s="17" t="s">
        <v>4511</v>
      </c>
      <c r="D526" s="17" t="s">
        <v>4512</v>
      </c>
      <c r="E526" s="17">
        <v>28</v>
      </c>
      <c r="F526" s="27">
        <v>18</v>
      </c>
      <c r="G526" s="17" t="s">
        <v>78</v>
      </c>
      <c r="H526" s="17" t="s">
        <v>970</v>
      </c>
    </row>
    <row r="527" spans="1:8" x14ac:dyDescent="0.25">
      <c r="A527" s="16" t="s">
        <v>1225</v>
      </c>
      <c r="B527" s="17" t="s">
        <v>80</v>
      </c>
      <c r="C527" s="17" t="s">
        <v>3800</v>
      </c>
      <c r="D527" s="17" t="s">
        <v>4513</v>
      </c>
      <c r="E527" s="17">
        <v>28</v>
      </c>
      <c r="F527" s="27">
        <v>18</v>
      </c>
      <c r="G527" s="17" t="s">
        <v>78</v>
      </c>
      <c r="H527" s="17" t="s">
        <v>1226</v>
      </c>
    </row>
    <row r="528" spans="1:8" x14ac:dyDescent="0.25">
      <c r="A528" s="16" t="s">
        <v>1227</v>
      </c>
      <c r="B528" s="17" t="s">
        <v>138</v>
      </c>
      <c r="C528" s="17" t="s">
        <v>138</v>
      </c>
      <c r="D528" s="17" t="s">
        <v>4514</v>
      </c>
      <c r="E528" s="17">
        <v>29</v>
      </c>
      <c r="F528" s="27">
        <v>16</v>
      </c>
      <c r="G528" s="17" t="s">
        <v>518</v>
      </c>
      <c r="H528" s="17" t="s">
        <v>518</v>
      </c>
    </row>
    <row r="529" spans="1:8" x14ac:dyDescent="0.25">
      <c r="A529" s="16" t="s">
        <v>1228</v>
      </c>
      <c r="B529" s="17" t="s">
        <v>1229</v>
      </c>
      <c r="C529" s="17" t="s">
        <v>3766</v>
      </c>
      <c r="D529" s="17" t="s">
        <v>4515</v>
      </c>
      <c r="E529" s="17">
        <v>29</v>
      </c>
      <c r="F529" s="27">
        <v>16</v>
      </c>
      <c r="G529" s="17" t="s">
        <v>518</v>
      </c>
      <c r="H529" s="17" t="s">
        <v>1230</v>
      </c>
    </row>
    <row r="530" spans="1:8" x14ac:dyDescent="0.25">
      <c r="A530" s="16" t="s">
        <v>1231</v>
      </c>
      <c r="B530" s="17" t="s">
        <v>376</v>
      </c>
      <c r="C530" s="17" t="s">
        <v>4516</v>
      </c>
      <c r="D530" s="17" t="s">
        <v>4517</v>
      </c>
      <c r="E530" s="17">
        <v>29</v>
      </c>
      <c r="F530" s="27">
        <v>16</v>
      </c>
      <c r="G530" s="17" t="s">
        <v>518</v>
      </c>
      <c r="H530" s="17" t="s">
        <v>1232</v>
      </c>
    </row>
    <row r="531" spans="1:8" x14ac:dyDescent="0.25">
      <c r="A531" s="16" t="s">
        <v>1233</v>
      </c>
      <c r="B531" s="17" t="s">
        <v>301</v>
      </c>
      <c r="C531" s="17" t="s">
        <v>4518</v>
      </c>
      <c r="D531" s="17" t="s">
        <v>4519</v>
      </c>
      <c r="E531" s="17">
        <v>29</v>
      </c>
      <c r="F531" s="27">
        <v>16</v>
      </c>
      <c r="G531" s="17" t="s">
        <v>518</v>
      </c>
      <c r="H531" s="17" t="s">
        <v>1234</v>
      </c>
    </row>
    <row r="532" spans="1:8" x14ac:dyDescent="0.25">
      <c r="A532" s="16" t="s">
        <v>1235</v>
      </c>
      <c r="B532" s="17" t="s">
        <v>1236</v>
      </c>
      <c r="C532" s="17" t="s">
        <v>4520</v>
      </c>
      <c r="D532" s="17" t="s">
        <v>4521</v>
      </c>
      <c r="E532" s="17">
        <v>29</v>
      </c>
      <c r="F532" s="27">
        <v>16</v>
      </c>
      <c r="G532" s="17" t="s">
        <v>518</v>
      </c>
      <c r="H532" s="17" t="s">
        <v>1237</v>
      </c>
    </row>
    <row r="533" spans="1:8" x14ac:dyDescent="0.25">
      <c r="A533" s="16" t="s">
        <v>1238</v>
      </c>
      <c r="B533" s="17" t="s">
        <v>443</v>
      </c>
      <c r="C533" s="17" t="s">
        <v>4522</v>
      </c>
      <c r="D533" s="17" t="s">
        <v>4523</v>
      </c>
      <c r="E533" s="17">
        <v>29</v>
      </c>
      <c r="F533" s="27">
        <v>16</v>
      </c>
      <c r="G533" s="17" t="s">
        <v>521</v>
      </c>
      <c r="H533" s="17" t="s">
        <v>1239</v>
      </c>
    </row>
    <row r="534" spans="1:8" x14ac:dyDescent="0.25">
      <c r="A534" s="16" t="s">
        <v>1240</v>
      </c>
      <c r="B534" s="17" t="s">
        <v>254</v>
      </c>
      <c r="C534" s="17" t="s">
        <v>3996</v>
      </c>
      <c r="D534" s="17" t="s">
        <v>4524</v>
      </c>
      <c r="E534" s="17">
        <v>29</v>
      </c>
      <c r="F534" s="27">
        <v>16</v>
      </c>
      <c r="G534" s="17" t="s">
        <v>521</v>
      </c>
      <c r="H534" s="17" t="s">
        <v>1241</v>
      </c>
    </row>
    <row r="535" spans="1:8" x14ac:dyDescent="0.25">
      <c r="A535" s="16" t="s">
        <v>1242</v>
      </c>
      <c r="B535" s="17" t="s">
        <v>151</v>
      </c>
      <c r="C535" s="17" t="s">
        <v>3766</v>
      </c>
      <c r="D535" s="17" t="s">
        <v>4525</v>
      </c>
      <c r="E535" s="17">
        <v>29</v>
      </c>
      <c r="F535" s="27">
        <v>16</v>
      </c>
      <c r="G535" s="17" t="s">
        <v>521</v>
      </c>
      <c r="H535" s="17" t="s">
        <v>1243</v>
      </c>
    </row>
    <row r="536" spans="1:8" x14ac:dyDescent="0.25">
      <c r="A536" s="16" t="s">
        <v>1244</v>
      </c>
      <c r="B536" s="17" t="s">
        <v>107</v>
      </c>
      <c r="C536" s="17" t="s">
        <v>4526</v>
      </c>
      <c r="D536" s="17" t="s">
        <v>4527</v>
      </c>
      <c r="E536" s="17">
        <v>29</v>
      </c>
      <c r="F536" s="27">
        <v>16</v>
      </c>
      <c r="G536" s="17" t="s">
        <v>521</v>
      </c>
      <c r="H536" s="17" t="s">
        <v>1245</v>
      </c>
    </row>
    <row r="537" spans="1:8" x14ac:dyDescent="0.25">
      <c r="A537" s="16" t="s">
        <v>1246</v>
      </c>
      <c r="B537" s="17" t="s">
        <v>23</v>
      </c>
      <c r="C537" s="17" t="s">
        <v>4320</v>
      </c>
      <c r="D537" s="17" t="s">
        <v>4528</v>
      </c>
      <c r="E537" s="17">
        <v>29</v>
      </c>
      <c r="F537" s="27">
        <v>16</v>
      </c>
      <c r="G537" s="17" t="s">
        <v>521</v>
      </c>
      <c r="H537" s="17" t="s">
        <v>1247</v>
      </c>
    </row>
    <row r="538" spans="1:8" x14ac:dyDescent="0.25">
      <c r="A538" s="16" t="s">
        <v>1248</v>
      </c>
      <c r="B538" s="17" t="s">
        <v>49</v>
      </c>
      <c r="C538" s="17" t="s">
        <v>4529</v>
      </c>
      <c r="D538" s="17" t="s">
        <v>4530</v>
      </c>
      <c r="E538" s="17">
        <v>29</v>
      </c>
      <c r="F538" s="27">
        <v>16</v>
      </c>
      <c r="G538" s="17" t="s">
        <v>73</v>
      </c>
      <c r="H538" s="17" t="s">
        <v>73</v>
      </c>
    </row>
    <row r="539" spans="1:8" x14ac:dyDescent="0.25">
      <c r="A539" s="16" t="s">
        <v>1249</v>
      </c>
      <c r="B539" s="17" t="s">
        <v>63</v>
      </c>
      <c r="C539" s="17" t="s">
        <v>4531</v>
      </c>
      <c r="D539" s="17" t="s">
        <v>4532</v>
      </c>
      <c r="E539" s="17">
        <v>29</v>
      </c>
      <c r="F539" s="27">
        <v>16</v>
      </c>
      <c r="G539" s="17" t="s">
        <v>73</v>
      </c>
      <c r="H539" s="17" t="s">
        <v>73</v>
      </c>
    </row>
    <row r="540" spans="1:8" x14ac:dyDescent="0.25">
      <c r="A540" s="16" t="s">
        <v>1250</v>
      </c>
      <c r="B540" s="17" t="s">
        <v>135</v>
      </c>
      <c r="C540" s="17" t="s">
        <v>4533</v>
      </c>
      <c r="D540" s="17" t="s">
        <v>4534</v>
      </c>
      <c r="E540" s="17">
        <v>29</v>
      </c>
      <c r="F540" s="27">
        <v>16</v>
      </c>
      <c r="G540" s="17" t="s">
        <v>73</v>
      </c>
      <c r="H540" s="17" t="s">
        <v>73</v>
      </c>
    </row>
    <row r="541" spans="1:8" x14ac:dyDescent="0.25">
      <c r="A541" s="16" t="s">
        <v>1251</v>
      </c>
      <c r="B541" s="17" t="s">
        <v>57</v>
      </c>
      <c r="C541" s="17" t="s">
        <v>3871</v>
      </c>
      <c r="D541" s="17" t="s">
        <v>4541</v>
      </c>
      <c r="E541" s="17">
        <v>30</v>
      </c>
      <c r="F541" s="27">
        <v>20</v>
      </c>
      <c r="G541" s="17" t="s">
        <v>1252</v>
      </c>
      <c r="H541" s="17" t="s">
        <v>1253</v>
      </c>
    </row>
    <row r="542" spans="1:8" x14ac:dyDescent="0.25">
      <c r="A542" s="16" t="s">
        <v>1254</v>
      </c>
      <c r="B542" s="17" t="s">
        <v>161</v>
      </c>
      <c r="C542" s="17" t="s">
        <v>3766</v>
      </c>
      <c r="D542" s="17" t="s">
        <v>4560</v>
      </c>
      <c r="E542" s="17">
        <v>30</v>
      </c>
      <c r="F542" s="27">
        <v>20</v>
      </c>
      <c r="G542" s="17" t="s">
        <v>1252</v>
      </c>
      <c r="H542" s="17" t="s">
        <v>1252</v>
      </c>
    </row>
    <row r="543" spans="1:8" x14ac:dyDescent="0.25">
      <c r="A543" s="16" t="s">
        <v>1255</v>
      </c>
      <c r="B543" s="17" t="s">
        <v>1256</v>
      </c>
      <c r="C543" s="17" t="s">
        <v>4536</v>
      </c>
      <c r="D543" s="17" t="s">
        <v>4546</v>
      </c>
      <c r="E543" s="17">
        <v>30</v>
      </c>
      <c r="F543" s="27">
        <v>20</v>
      </c>
      <c r="G543" s="17" t="s">
        <v>1252</v>
      </c>
      <c r="H543" s="17" t="s">
        <v>1257</v>
      </c>
    </row>
    <row r="544" spans="1:8" x14ac:dyDescent="0.25">
      <c r="A544" s="16" t="s">
        <v>1258</v>
      </c>
      <c r="B544" s="17" t="s">
        <v>195</v>
      </c>
      <c r="C544" s="17" t="s">
        <v>4537</v>
      </c>
      <c r="D544" s="17" t="s">
        <v>4538</v>
      </c>
      <c r="E544" s="17">
        <v>30</v>
      </c>
      <c r="F544" s="27">
        <v>20</v>
      </c>
      <c r="G544" s="17" t="s">
        <v>530</v>
      </c>
      <c r="H544" s="17" t="s">
        <v>1259</v>
      </c>
    </row>
    <row r="545" spans="1:8" x14ac:dyDescent="0.25">
      <c r="A545" s="16" t="s">
        <v>1260</v>
      </c>
      <c r="B545" s="17" t="s">
        <v>135</v>
      </c>
      <c r="C545" s="17" t="s">
        <v>4539</v>
      </c>
      <c r="D545" s="17" t="s">
        <v>6641</v>
      </c>
      <c r="E545" s="17">
        <v>30</v>
      </c>
      <c r="F545" s="27">
        <v>20</v>
      </c>
      <c r="G545" s="17" t="s">
        <v>1261</v>
      </c>
      <c r="H545" s="17" t="s">
        <v>1261</v>
      </c>
    </row>
    <row r="546" spans="1:8" x14ac:dyDescent="0.25">
      <c r="A546" s="16" t="s">
        <v>1262</v>
      </c>
      <c r="B546" s="17" t="s">
        <v>1263</v>
      </c>
      <c r="C546" s="17" t="s">
        <v>3766</v>
      </c>
      <c r="D546" s="17" t="s">
        <v>6642</v>
      </c>
      <c r="E546" s="17">
        <v>30</v>
      </c>
      <c r="F546" s="27">
        <v>20</v>
      </c>
      <c r="G546" s="17" t="s">
        <v>1261</v>
      </c>
      <c r="H546" s="17" t="s">
        <v>1264</v>
      </c>
    </row>
    <row r="547" spans="1:8" x14ac:dyDescent="0.25">
      <c r="A547" s="16" t="s">
        <v>1265</v>
      </c>
      <c r="B547" s="17" t="s">
        <v>32</v>
      </c>
      <c r="C547" s="17" t="s">
        <v>4542</v>
      </c>
      <c r="D547" s="17" t="s">
        <v>4543</v>
      </c>
      <c r="E547" s="17">
        <v>30</v>
      </c>
      <c r="F547" s="27">
        <v>20</v>
      </c>
      <c r="G547" s="17" t="s">
        <v>1261</v>
      </c>
      <c r="H547" s="17" t="s">
        <v>1266</v>
      </c>
    </row>
    <row r="548" spans="1:8" x14ac:dyDescent="0.25">
      <c r="A548" s="16" t="s">
        <v>1267</v>
      </c>
      <c r="B548" s="17" t="s">
        <v>466</v>
      </c>
      <c r="C548" s="17" t="s">
        <v>3766</v>
      </c>
      <c r="D548" s="17" t="s">
        <v>6643</v>
      </c>
      <c r="E548" s="17">
        <v>30</v>
      </c>
      <c r="F548" s="27">
        <v>20</v>
      </c>
      <c r="G548" s="17" t="s">
        <v>1261</v>
      </c>
      <c r="H548" s="17" t="s">
        <v>628</v>
      </c>
    </row>
    <row r="549" spans="1:8" x14ac:dyDescent="0.25">
      <c r="A549" s="16" t="s">
        <v>1268</v>
      </c>
      <c r="B549" s="17" t="s">
        <v>72</v>
      </c>
      <c r="C549" s="17" t="s">
        <v>4085</v>
      </c>
      <c r="D549" s="17" t="s">
        <v>6644</v>
      </c>
      <c r="E549" s="17">
        <v>30</v>
      </c>
      <c r="F549" s="27">
        <v>20</v>
      </c>
      <c r="G549" s="17" t="s">
        <v>1261</v>
      </c>
      <c r="H549" s="17" t="s">
        <v>1269</v>
      </c>
    </row>
    <row r="550" spans="1:8" x14ac:dyDescent="0.25">
      <c r="A550" s="16" t="s">
        <v>1270</v>
      </c>
      <c r="B550" s="17" t="s">
        <v>21</v>
      </c>
      <c r="C550" s="17" t="s">
        <v>4545</v>
      </c>
      <c r="D550" s="17" t="s">
        <v>6645</v>
      </c>
      <c r="E550" s="17">
        <v>30</v>
      </c>
      <c r="F550" s="27">
        <v>20</v>
      </c>
      <c r="G550" s="17" t="s">
        <v>1261</v>
      </c>
      <c r="H550" s="17" t="s">
        <v>1271</v>
      </c>
    </row>
    <row r="551" spans="1:8" x14ac:dyDescent="0.25">
      <c r="A551" s="16" t="s">
        <v>1272</v>
      </c>
      <c r="B551" s="17" t="s">
        <v>443</v>
      </c>
      <c r="C551" s="17" t="s">
        <v>4547</v>
      </c>
      <c r="D551" s="17" t="s">
        <v>6646</v>
      </c>
      <c r="E551" s="17">
        <v>30</v>
      </c>
      <c r="F551" s="27">
        <v>20</v>
      </c>
      <c r="G551" s="17" t="s">
        <v>1261</v>
      </c>
      <c r="H551" s="17" t="s">
        <v>1273</v>
      </c>
    </row>
    <row r="552" spans="1:8" x14ac:dyDescent="0.25">
      <c r="A552" s="16" t="s">
        <v>1274</v>
      </c>
      <c r="B552" s="17" t="s">
        <v>301</v>
      </c>
      <c r="C552" s="17" t="s">
        <v>3956</v>
      </c>
      <c r="D552" s="17" t="s">
        <v>4548</v>
      </c>
      <c r="E552" s="17">
        <v>30</v>
      </c>
      <c r="F552" s="27">
        <v>20</v>
      </c>
      <c r="G552" s="17" t="s">
        <v>551</v>
      </c>
      <c r="H552" s="17" t="s">
        <v>1275</v>
      </c>
    </row>
    <row r="553" spans="1:8" x14ac:dyDescent="0.25">
      <c r="A553" s="16" t="s">
        <v>1276</v>
      </c>
      <c r="B553" s="17" t="s">
        <v>49</v>
      </c>
      <c r="C553" s="17" t="s">
        <v>4549</v>
      </c>
      <c r="D553" s="17" t="s">
        <v>4544</v>
      </c>
      <c r="E553" s="17">
        <v>30</v>
      </c>
      <c r="F553" s="27">
        <v>20</v>
      </c>
      <c r="G553" s="17" t="s">
        <v>551</v>
      </c>
      <c r="H553" s="17" t="s">
        <v>1277</v>
      </c>
    </row>
    <row r="554" spans="1:8" x14ac:dyDescent="0.25">
      <c r="A554" s="16" t="s">
        <v>1278</v>
      </c>
      <c r="B554" s="17" t="s">
        <v>1279</v>
      </c>
      <c r="C554" s="17" t="s">
        <v>4550</v>
      </c>
      <c r="D554" s="17" t="s">
        <v>6647</v>
      </c>
      <c r="E554" s="17">
        <v>30</v>
      </c>
      <c r="F554" s="27">
        <v>20</v>
      </c>
      <c r="G554" s="17" t="s">
        <v>551</v>
      </c>
      <c r="H554" s="17" t="s">
        <v>234</v>
      </c>
    </row>
    <row r="555" spans="1:8" x14ac:dyDescent="0.25">
      <c r="A555" s="16" t="s">
        <v>1280</v>
      </c>
      <c r="B555" s="17" t="s">
        <v>77</v>
      </c>
      <c r="C555" s="17" t="s">
        <v>3764</v>
      </c>
      <c r="D555" s="17" t="s">
        <v>4551</v>
      </c>
      <c r="E555" s="17">
        <v>30</v>
      </c>
      <c r="F555" s="27">
        <v>20</v>
      </c>
      <c r="G555" s="17" t="s">
        <v>551</v>
      </c>
      <c r="H555" s="17" t="s">
        <v>1281</v>
      </c>
    </row>
    <row r="556" spans="1:8" x14ac:dyDescent="0.25">
      <c r="A556" s="16" t="s">
        <v>1282</v>
      </c>
      <c r="B556" s="17" t="s">
        <v>1283</v>
      </c>
      <c r="C556" s="17" t="s">
        <v>4552</v>
      </c>
      <c r="D556" s="17" t="s">
        <v>4553</v>
      </c>
      <c r="E556" s="17">
        <v>30</v>
      </c>
      <c r="F556" s="27">
        <v>20</v>
      </c>
      <c r="G556" s="17" t="s">
        <v>551</v>
      </c>
      <c r="H556" s="17" t="s">
        <v>1284</v>
      </c>
    </row>
    <row r="557" spans="1:8" x14ac:dyDescent="0.25">
      <c r="A557" s="16" t="s">
        <v>1285</v>
      </c>
      <c r="B557" s="17" t="s">
        <v>1286</v>
      </c>
      <c r="C557" s="17" t="s">
        <v>4550</v>
      </c>
      <c r="D557" s="17" t="s">
        <v>6648</v>
      </c>
      <c r="E557" s="17">
        <v>30</v>
      </c>
      <c r="F557" s="27">
        <v>20</v>
      </c>
      <c r="G557" s="17" t="s">
        <v>551</v>
      </c>
      <c r="H557" s="17" t="s">
        <v>534</v>
      </c>
    </row>
    <row r="558" spans="1:8" x14ac:dyDescent="0.25">
      <c r="A558" s="16" t="s">
        <v>1287</v>
      </c>
      <c r="B558" s="17" t="s">
        <v>1288</v>
      </c>
      <c r="C558" s="17" t="s">
        <v>4554</v>
      </c>
      <c r="D558" s="17" t="s">
        <v>6649</v>
      </c>
      <c r="E558" s="17">
        <v>30</v>
      </c>
      <c r="F558" s="27">
        <v>20</v>
      </c>
      <c r="G558" s="17" t="s">
        <v>1288</v>
      </c>
      <c r="H558" s="17" t="s">
        <v>1288</v>
      </c>
    </row>
    <row r="559" spans="1:8" x14ac:dyDescent="0.25">
      <c r="A559" s="16" t="s">
        <v>1289</v>
      </c>
      <c r="B559" s="17" t="s">
        <v>155</v>
      </c>
      <c r="C559" s="17" t="s">
        <v>3766</v>
      </c>
      <c r="D559" s="17" t="s">
        <v>6650</v>
      </c>
      <c r="E559" s="17">
        <v>30</v>
      </c>
      <c r="F559" s="27">
        <v>20</v>
      </c>
      <c r="G559" s="17" t="s">
        <v>1288</v>
      </c>
      <c r="H559" s="17" t="s">
        <v>499</v>
      </c>
    </row>
    <row r="560" spans="1:8" x14ac:dyDescent="0.25">
      <c r="A560" s="16" t="s">
        <v>1290</v>
      </c>
      <c r="B560" s="17" t="s">
        <v>23</v>
      </c>
      <c r="C560" s="17" t="s">
        <v>3766</v>
      </c>
      <c r="D560" s="17" t="s">
        <v>4556</v>
      </c>
      <c r="E560" s="17">
        <v>30</v>
      </c>
      <c r="F560" s="27">
        <v>20</v>
      </c>
      <c r="G560" s="17" t="s">
        <v>1288</v>
      </c>
      <c r="H560" s="17" t="s">
        <v>1291</v>
      </c>
    </row>
    <row r="561" spans="1:8" x14ac:dyDescent="0.25">
      <c r="A561" s="16" t="s">
        <v>1292</v>
      </c>
      <c r="B561" s="17" t="s">
        <v>1293</v>
      </c>
      <c r="C561" s="17" t="s">
        <v>3766</v>
      </c>
      <c r="D561" s="17" t="s">
        <v>4555</v>
      </c>
      <c r="E561" s="17">
        <v>30</v>
      </c>
      <c r="F561" s="27">
        <v>20</v>
      </c>
      <c r="G561" s="17" t="s">
        <v>1288</v>
      </c>
      <c r="H561" s="17" t="s">
        <v>1294</v>
      </c>
    </row>
    <row r="562" spans="1:8" x14ac:dyDescent="0.25">
      <c r="A562" s="16" t="s">
        <v>1295</v>
      </c>
      <c r="B562" s="17" t="s">
        <v>301</v>
      </c>
      <c r="C562" s="17" t="s">
        <v>72</v>
      </c>
      <c r="D562" s="17" t="s">
        <v>4535</v>
      </c>
      <c r="E562" s="17">
        <v>30</v>
      </c>
      <c r="F562" s="27">
        <v>20</v>
      </c>
      <c r="G562" s="17" t="s">
        <v>1296</v>
      </c>
      <c r="H562" s="17" t="s">
        <v>1296</v>
      </c>
    </row>
    <row r="563" spans="1:8" x14ac:dyDescent="0.25">
      <c r="A563" s="16" t="s">
        <v>1297</v>
      </c>
      <c r="B563" s="17" t="s">
        <v>120</v>
      </c>
      <c r="C563" s="17" t="s">
        <v>4557</v>
      </c>
      <c r="D563" s="17" t="s">
        <v>4558</v>
      </c>
      <c r="E563" s="17">
        <v>30</v>
      </c>
      <c r="F563" s="27">
        <v>20</v>
      </c>
      <c r="G563" s="17" t="s">
        <v>1296</v>
      </c>
      <c r="H563" s="17" t="s">
        <v>1298</v>
      </c>
    </row>
    <row r="564" spans="1:8" x14ac:dyDescent="0.25">
      <c r="A564" s="16" t="s">
        <v>1299</v>
      </c>
      <c r="B564" s="17" t="s">
        <v>117</v>
      </c>
      <c r="C564" s="17" t="s">
        <v>3871</v>
      </c>
      <c r="D564" s="17" t="s">
        <v>4540</v>
      </c>
      <c r="E564" s="17">
        <v>30</v>
      </c>
      <c r="F564" s="27">
        <v>20</v>
      </c>
      <c r="G564" s="17" t="s">
        <v>1296</v>
      </c>
      <c r="H564" s="17" t="s">
        <v>95</v>
      </c>
    </row>
    <row r="565" spans="1:8" x14ac:dyDescent="0.25">
      <c r="A565" s="16" t="s">
        <v>1300</v>
      </c>
      <c r="B565" s="17" t="s">
        <v>1301</v>
      </c>
      <c r="C565" s="17" t="s">
        <v>4559</v>
      </c>
      <c r="D565" s="17" t="s">
        <v>6651</v>
      </c>
      <c r="E565" s="17">
        <v>30</v>
      </c>
      <c r="F565" s="27">
        <v>20</v>
      </c>
      <c r="G565" s="17" t="s">
        <v>1296</v>
      </c>
      <c r="H565" s="17" t="s">
        <v>1302</v>
      </c>
    </row>
    <row r="566" spans="1:8" x14ac:dyDescent="0.25">
      <c r="A566" s="16" t="s">
        <v>1303</v>
      </c>
      <c r="B566" s="17" t="s">
        <v>92</v>
      </c>
      <c r="C566" s="17" t="s">
        <v>3766</v>
      </c>
      <c r="D566" s="17" t="s">
        <v>4561</v>
      </c>
      <c r="E566" s="17">
        <v>30</v>
      </c>
      <c r="F566" s="27">
        <v>20</v>
      </c>
      <c r="G566" s="17" t="s">
        <v>1296</v>
      </c>
      <c r="H566" s="17" t="s">
        <v>1304</v>
      </c>
    </row>
    <row r="567" spans="1:8" x14ac:dyDescent="0.25">
      <c r="A567" s="16" t="s">
        <v>1305</v>
      </c>
      <c r="B567" s="17" t="s">
        <v>828</v>
      </c>
      <c r="C567" s="17" t="s">
        <v>4562</v>
      </c>
      <c r="D567" s="17" t="s">
        <v>6652</v>
      </c>
      <c r="E567" s="17">
        <v>31</v>
      </c>
      <c r="F567" s="27">
        <v>20</v>
      </c>
      <c r="G567" s="17" t="s">
        <v>521</v>
      </c>
      <c r="H567" s="17" t="s">
        <v>1306</v>
      </c>
    </row>
    <row r="568" spans="1:8" x14ac:dyDescent="0.25">
      <c r="A568" s="16" t="s">
        <v>1307</v>
      </c>
      <c r="B568" s="17" t="s">
        <v>261</v>
      </c>
      <c r="C568" s="17" t="s">
        <v>4563</v>
      </c>
      <c r="D568" s="17" t="s">
        <v>6653</v>
      </c>
      <c r="E568" s="17">
        <v>31</v>
      </c>
      <c r="F568" s="27">
        <v>20</v>
      </c>
      <c r="G568" s="17" t="s">
        <v>521</v>
      </c>
      <c r="H568" s="17" t="s">
        <v>1306</v>
      </c>
    </row>
    <row r="569" spans="1:8" x14ac:dyDescent="0.25">
      <c r="A569" s="16" t="s">
        <v>1308</v>
      </c>
      <c r="B569" s="17" t="s">
        <v>1309</v>
      </c>
      <c r="C569" s="17" t="s">
        <v>3766</v>
      </c>
      <c r="D569" s="17" t="s">
        <v>6654</v>
      </c>
      <c r="E569" s="17">
        <v>31</v>
      </c>
      <c r="F569" s="27">
        <v>20</v>
      </c>
      <c r="G569" s="17" t="s">
        <v>521</v>
      </c>
      <c r="H569" s="17" t="s">
        <v>161</v>
      </c>
    </row>
    <row r="570" spans="1:8" x14ac:dyDescent="0.25">
      <c r="A570" s="16" t="s">
        <v>1310</v>
      </c>
      <c r="B570" s="17" t="s">
        <v>120</v>
      </c>
      <c r="C570" s="17" t="s">
        <v>3766</v>
      </c>
      <c r="D570" s="17" t="s">
        <v>6655</v>
      </c>
      <c r="E570" s="17">
        <v>31</v>
      </c>
      <c r="F570" s="27">
        <v>20</v>
      </c>
      <c r="G570" s="17" t="s">
        <v>521</v>
      </c>
      <c r="H570" s="17" t="s">
        <v>1311</v>
      </c>
    </row>
    <row r="571" spans="1:8" x14ac:dyDescent="0.25">
      <c r="A571" s="16" t="s">
        <v>1312</v>
      </c>
      <c r="B571" s="17" t="s">
        <v>129</v>
      </c>
      <c r="C571" s="17" t="s">
        <v>4545</v>
      </c>
      <c r="D571" s="17" t="s">
        <v>6656</v>
      </c>
      <c r="E571" s="17">
        <v>31</v>
      </c>
      <c r="F571" s="27">
        <v>20</v>
      </c>
      <c r="G571" s="17" t="s">
        <v>521</v>
      </c>
      <c r="H571" s="17" t="s">
        <v>1313</v>
      </c>
    </row>
    <row r="572" spans="1:8" x14ac:dyDescent="0.25">
      <c r="A572" s="16" t="s">
        <v>1314</v>
      </c>
      <c r="B572" s="17" t="s">
        <v>6657</v>
      </c>
      <c r="C572" s="17" t="s">
        <v>4565</v>
      </c>
      <c r="D572" s="17" t="s">
        <v>4949</v>
      </c>
      <c r="E572" s="17">
        <v>31</v>
      </c>
      <c r="F572" s="27">
        <v>20</v>
      </c>
      <c r="G572" s="17" t="s">
        <v>521</v>
      </c>
      <c r="H572" s="17" t="s">
        <v>1315</v>
      </c>
    </row>
    <row r="573" spans="1:8" x14ac:dyDescent="0.25">
      <c r="A573" s="16" t="s">
        <v>1316</v>
      </c>
      <c r="B573" s="17" t="s">
        <v>499</v>
      </c>
      <c r="C573" s="17" t="s">
        <v>3766</v>
      </c>
      <c r="D573" s="17" t="s">
        <v>6658</v>
      </c>
      <c r="E573" s="17">
        <v>31</v>
      </c>
      <c r="F573" s="27">
        <v>20</v>
      </c>
      <c r="G573" s="17" t="s">
        <v>521</v>
      </c>
      <c r="H573" s="17" t="s">
        <v>499</v>
      </c>
    </row>
    <row r="574" spans="1:8" x14ac:dyDescent="0.25">
      <c r="A574" s="16" t="s">
        <v>1317</v>
      </c>
      <c r="B574" s="17" t="s">
        <v>376</v>
      </c>
      <c r="C574" s="17" t="s">
        <v>3766</v>
      </c>
      <c r="D574" s="17" t="s">
        <v>4568</v>
      </c>
      <c r="E574" s="17">
        <v>31</v>
      </c>
      <c r="F574" s="27">
        <v>20</v>
      </c>
      <c r="G574" s="17" t="s">
        <v>521</v>
      </c>
      <c r="H574" s="17" t="s">
        <v>1318</v>
      </c>
    </row>
    <row r="575" spans="1:8" x14ac:dyDescent="0.25">
      <c r="A575" s="16" t="s">
        <v>1319</v>
      </c>
      <c r="B575" s="17" t="s">
        <v>1320</v>
      </c>
      <c r="C575" s="17" t="s">
        <v>4566</v>
      </c>
      <c r="D575" s="17" t="s">
        <v>4567</v>
      </c>
      <c r="E575" s="17">
        <v>31</v>
      </c>
      <c r="F575" s="27">
        <v>20</v>
      </c>
      <c r="G575" s="17" t="s">
        <v>521</v>
      </c>
      <c r="H575" s="17" t="s">
        <v>1321</v>
      </c>
    </row>
    <row r="576" spans="1:8" x14ac:dyDescent="0.25">
      <c r="A576" s="16" t="s">
        <v>1322</v>
      </c>
      <c r="B576" s="17" t="s">
        <v>46</v>
      </c>
      <c r="C576" s="17" t="s">
        <v>3766</v>
      </c>
      <c r="D576" s="17" t="s">
        <v>6659</v>
      </c>
      <c r="E576" s="17">
        <v>31</v>
      </c>
      <c r="F576" s="27">
        <v>20</v>
      </c>
      <c r="G576" s="17" t="s">
        <v>521</v>
      </c>
      <c r="H576" s="17" t="s">
        <v>1323</v>
      </c>
    </row>
    <row r="577" spans="1:8" x14ac:dyDescent="0.25">
      <c r="A577" s="16" t="s">
        <v>1324</v>
      </c>
      <c r="B577" s="17" t="s">
        <v>49</v>
      </c>
      <c r="C577" s="17" t="s">
        <v>4569</v>
      </c>
      <c r="D577" s="17" t="s">
        <v>6660</v>
      </c>
      <c r="E577" s="17">
        <v>31</v>
      </c>
      <c r="F577" s="27">
        <v>20</v>
      </c>
      <c r="G577" s="17" t="s">
        <v>521</v>
      </c>
      <c r="H577" s="17" t="s">
        <v>452</v>
      </c>
    </row>
    <row r="578" spans="1:8" x14ac:dyDescent="0.25">
      <c r="A578" s="16" t="s">
        <v>1325</v>
      </c>
      <c r="B578" s="17" t="s">
        <v>6661</v>
      </c>
      <c r="C578" s="17" t="s">
        <v>4570</v>
      </c>
      <c r="D578" s="17" t="s">
        <v>4564</v>
      </c>
      <c r="E578" s="17">
        <v>31</v>
      </c>
      <c r="F578" s="27">
        <v>20</v>
      </c>
      <c r="G578" s="17" t="s">
        <v>521</v>
      </c>
      <c r="H578" s="17" t="s">
        <v>1326</v>
      </c>
    </row>
    <row r="579" spans="1:8" x14ac:dyDescent="0.25">
      <c r="A579" s="16" t="s">
        <v>1327</v>
      </c>
      <c r="B579" s="17" t="s">
        <v>254</v>
      </c>
      <c r="C579" s="17" t="s">
        <v>4571</v>
      </c>
      <c r="D579" s="17" t="s">
        <v>6662</v>
      </c>
      <c r="E579" s="17">
        <v>31</v>
      </c>
      <c r="F579" s="27">
        <v>20</v>
      </c>
      <c r="G579" s="17" t="s">
        <v>521</v>
      </c>
      <c r="H579" s="17" t="s">
        <v>1328</v>
      </c>
    </row>
    <row r="580" spans="1:8" x14ac:dyDescent="0.25">
      <c r="A580" s="16" t="s">
        <v>1329</v>
      </c>
      <c r="B580" s="17" t="s">
        <v>1330</v>
      </c>
      <c r="C580" s="17" t="s">
        <v>4572</v>
      </c>
      <c r="D580" s="17" t="s">
        <v>4573</v>
      </c>
      <c r="E580" s="17">
        <v>32</v>
      </c>
      <c r="F580" s="16">
        <v>8</v>
      </c>
      <c r="G580" s="17" t="s">
        <v>210</v>
      </c>
      <c r="H580" s="17" t="s">
        <v>210</v>
      </c>
    </row>
    <row r="581" spans="1:8" x14ac:dyDescent="0.25">
      <c r="A581" s="16" t="s">
        <v>1331</v>
      </c>
      <c r="B581" s="17" t="s">
        <v>135</v>
      </c>
      <c r="C581" s="17" t="s">
        <v>3766</v>
      </c>
      <c r="D581" s="17" t="s">
        <v>4574</v>
      </c>
      <c r="E581" s="17">
        <v>32</v>
      </c>
      <c r="F581" s="16">
        <v>8</v>
      </c>
      <c r="G581" s="17" t="s">
        <v>210</v>
      </c>
      <c r="H581" s="17" t="s">
        <v>269</v>
      </c>
    </row>
    <row r="582" spans="1:8" x14ac:dyDescent="0.25">
      <c r="A582" s="16" t="s">
        <v>1332</v>
      </c>
      <c r="B582" s="17" t="s">
        <v>1333</v>
      </c>
      <c r="C582" s="17" t="s">
        <v>3758</v>
      </c>
      <c r="D582" s="17" t="s">
        <v>4575</v>
      </c>
      <c r="E582" s="17">
        <v>32</v>
      </c>
      <c r="F582" s="16">
        <v>8</v>
      </c>
      <c r="G582" s="17" t="s">
        <v>210</v>
      </c>
      <c r="H582" s="17" t="s">
        <v>1334</v>
      </c>
    </row>
    <row r="583" spans="1:8" x14ac:dyDescent="0.25">
      <c r="A583" s="16" t="s">
        <v>1335</v>
      </c>
      <c r="B583" s="17" t="s">
        <v>23</v>
      </c>
      <c r="C583" s="17" t="s">
        <v>3766</v>
      </c>
      <c r="D583" s="17" t="s">
        <v>4576</v>
      </c>
      <c r="E583" s="17">
        <v>32</v>
      </c>
      <c r="F583" s="16">
        <v>8</v>
      </c>
      <c r="G583" s="17" t="s">
        <v>210</v>
      </c>
      <c r="H583" s="17" t="s">
        <v>1336</v>
      </c>
    </row>
    <row r="584" spans="1:8" x14ac:dyDescent="0.25">
      <c r="A584" s="16" t="s">
        <v>1337</v>
      </c>
      <c r="B584" s="17" t="s">
        <v>41</v>
      </c>
      <c r="C584" s="17" t="s">
        <v>3766</v>
      </c>
      <c r="D584" s="17" t="s">
        <v>4577</v>
      </c>
      <c r="E584" s="17">
        <v>32</v>
      </c>
      <c r="F584" s="16">
        <v>8</v>
      </c>
      <c r="G584" s="17" t="s">
        <v>210</v>
      </c>
      <c r="H584" s="17" t="s">
        <v>1338</v>
      </c>
    </row>
    <row r="585" spans="1:8" x14ac:dyDescent="0.25">
      <c r="A585" s="16" t="s">
        <v>1339</v>
      </c>
      <c r="B585" s="17" t="s">
        <v>1340</v>
      </c>
      <c r="C585" s="17" t="s">
        <v>3766</v>
      </c>
      <c r="D585" s="17" t="s">
        <v>4578</v>
      </c>
      <c r="E585" s="17">
        <v>32</v>
      </c>
      <c r="F585" s="16">
        <v>8</v>
      </c>
      <c r="G585" s="17" t="s">
        <v>594</v>
      </c>
      <c r="H585" s="17" t="s">
        <v>1341</v>
      </c>
    </row>
    <row r="586" spans="1:8" x14ac:dyDescent="0.25">
      <c r="A586" s="16" t="s">
        <v>1342</v>
      </c>
      <c r="B586" s="17" t="s">
        <v>135</v>
      </c>
      <c r="C586" s="17" t="s">
        <v>4579</v>
      </c>
      <c r="D586" s="17" t="s">
        <v>4580</v>
      </c>
      <c r="E586" s="17">
        <v>32</v>
      </c>
      <c r="F586" s="16">
        <v>8</v>
      </c>
      <c r="G586" s="17" t="s">
        <v>644</v>
      </c>
      <c r="H586" s="17" t="s">
        <v>644</v>
      </c>
    </row>
    <row r="587" spans="1:8" x14ac:dyDescent="0.25">
      <c r="A587" s="16" t="s">
        <v>1343</v>
      </c>
      <c r="B587" s="17" t="s">
        <v>46</v>
      </c>
      <c r="C587" s="17" t="s">
        <v>3766</v>
      </c>
      <c r="D587" s="17" t="s">
        <v>4581</v>
      </c>
      <c r="E587" s="17">
        <v>32</v>
      </c>
      <c r="F587" s="16">
        <v>8</v>
      </c>
      <c r="G587" s="17" t="s">
        <v>644</v>
      </c>
      <c r="H587" s="17" t="s">
        <v>1344</v>
      </c>
    </row>
    <row r="588" spans="1:8" x14ac:dyDescent="0.25">
      <c r="A588" s="16" t="s">
        <v>1345</v>
      </c>
      <c r="B588" s="17" t="s">
        <v>157</v>
      </c>
      <c r="C588" s="17" t="s">
        <v>3766</v>
      </c>
      <c r="D588" s="17" t="s">
        <v>4582</v>
      </c>
      <c r="E588" s="17">
        <v>32</v>
      </c>
      <c r="F588" s="16">
        <v>8</v>
      </c>
      <c r="G588" s="17" t="s">
        <v>644</v>
      </c>
      <c r="H588" s="17" t="s">
        <v>1205</v>
      </c>
    </row>
    <row r="589" spans="1:8" x14ac:dyDescent="0.25">
      <c r="A589" s="16" t="s">
        <v>1346</v>
      </c>
      <c r="B589" s="17" t="s">
        <v>1347</v>
      </c>
      <c r="C589" s="17" t="s">
        <v>3766</v>
      </c>
      <c r="D589" s="17" t="s">
        <v>4583</v>
      </c>
      <c r="E589" s="17">
        <v>32</v>
      </c>
      <c r="F589" s="16">
        <v>8</v>
      </c>
      <c r="G589" s="17" t="s">
        <v>644</v>
      </c>
      <c r="H589" s="17" t="s">
        <v>1348</v>
      </c>
    </row>
    <row r="590" spans="1:8" x14ac:dyDescent="0.25">
      <c r="A590" s="16" t="s">
        <v>1349</v>
      </c>
      <c r="B590" s="17" t="s">
        <v>80</v>
      </c>
      <c r="C590" s="17" t="s">
        <v>3766</v>
      </c>
      <c r="D590" s="17" t="s">
        <v>4584</v>
      </c>
      <c r="E590" s="17">
        <v>33</v>
      </c>
      <c r="F590" s="27">
        <v>12</v>
      </c>
      <c r="G590" s="17" t="s">
        <v>1350</v>
      </c>
      <c r="H590" s="17" t="s">
        <v>1351</v>
      </c>
    </row>
    <row r="591" spans="1:8" x14ac:dyDescent="0.25">
      <c r="A591" s="16" t="s">
        <v>1352</v>
      </c>
      <c r="B591" s="17" t="s">
        <v>166</v>
      </c>
      <c r="C591" s="17" t="s">
        <v>3766</v>
      </c>
      <c r="D591" s="17" t="s">
        <v>4585</v>
      </c>
      <c r="E591" s="17">
        <v>33</v>
      </c>
      <c r="F591" s="27">
        <v>12</v>
      </c>
      <c r="G591" s="17" t="s">
        <v>656</v>
      </c>
      <c r="H591" s="17" t="s">
        <v>1353</v>
      </c>
    </row>
    <row r="592" spans="1:8" x14ac:dyDescent="0.25">
      <c r="A592" s="16" t="s">
        <v>1354</v>
      </c>
      <c r="B592" s="17" t="s">
        <v>166</v>
      </c>
      <c r="C592" s="17" t="s">
        <v>3758</v>
      </c>
      <c r="D592" s="17" t="s">
        <v>4586</v>
      </c>
      <c r="E592" s="17">
        <v>33</v>
      </c>
      <c r="F592" s="27">
        <v>12</v>
      </c>
      <c r="G592" s="17" t="s">
        <v>1355</v>
      </c>
      <c r="H592" s="17" t="s">
        <v>1356</v>
      </c>
    </row>
    <row r="593" spans="1:8" x14ac:dyDescent="0.25">
      <c r="A593" s="16" t="s">
        <v>1357</v>
      </c>
      <c r="B593" s="17" t="s">
        <v>166</v>
      </c>
      <c r="C593" s="17" t="s">
        <v>4587</v>
      </c>
      <c r="D593" s="17" t="s">
        <v>4588</v>
      </c>
      <c r="E593" s="17">
        <v>33</v>
      </c>
      <c r="F593" s="27">
        <v>12</v>
      </c>
      <c r="G593" s="17" t="s">
        <v>1355</v>
      </c>
      <c r="H593" s="17" t="s">
        <v>1358</v>
      </c>
    </row>
    <row r="594" spans="1:8" x14ac:dyDescent="0.25">
      <c r="A594" s="16" t="s">
        <v>1359</v>
      </c>
      <c r="B594" s="17" t="s">
        <v>166</v>
      </c>
      <c r="C594" s="17" t="s">
        <v>3758</v>
      </c>
      <c r="D594" s="17" t="s">
        <v>4589</v>
      </c>
      <c r="E594" s="17">
        <v>33</v>
      </c>
      <c r="F594" s="27">
        <v>12</v>
      </c>
      <c r="G594" s="17" t="s">
        <v>1355</v>
      </c>
      <c r="H594" s="17" t="s">
        <v>1360</v>
      </c>
    </row>
    <row r="595" spans="1:8" x14ac:dyDescent="0.25">
      <c r="A595" s="16" t="s">
        <v>1361</v>
      </c>
      <c r="B595" s="17" t="s">
        <v>166</v>
      </c>
      <c r="C595" s="17" t="s">
        <v>3871</v>
      </c>
      <c r="D595" s="17" t="s">
        <v>4590</v>
      </c>
      <c r="E595" s="17">
        <v>33</v>
      </c>
      <c r="F595" s="27">
        <v>12</v>
      </c>
      <c r="G595" s="17" t="s">
        <v>1355</v>
      </c>
      <c r="H595" s="17" t="s">
        <v>1362</v>
      </c>
    </row>
    <row r="596" spans="1:8" x14ac:dyDescent="0.25">
      <c r="A596" s="16" t="s">
        <v>1363</v>
      </c>
      <c r="B596" s="17" t="s">
        <v>443</v>
      </c>
      <c r="C596" s="17" t="s">
        <v>3766</v>
      </c>
      <c r="D596" s="17" t="s">
        <v>4591</v>
      </c>
      <c r="E596" s="17">
        <v>33</v>
      </c>
      <c r="F596" s="27">
        <v>12</v>
      </c>
      <c r="G596" s="17" t="s">
        <v>1355</v>
      </c>
      <c r="H596" s="17" t="s">
        <v>1364</v>
      </c>
    </row>
    <row r="597" spans="1:8" x14ac:dyDescent="0.25">
      <c r="A597" s="16" t="s">
        <v>1365</v>
      </c>
      <c r="B597" s="17" t="s">
        <v>148</v>
      </c>
      <c r="C597" s="17" t="s">
        <v>4592</v>
      </c>
      <c r="D597" s="17" t="s">
        <v>4593</v>
      </c>
      <c r="E597" s="17">
        <v>33</v>
      </c>
      <c r="F597" s="27">
        <v>12</v>
      </c>
      <c r="G597" s="17" t="s">
        <v>1366</v>
      </c>
      <c r="H597" s="17" t="s">
        <v>1366</v>
      </c>
    </row>
    <row r="598" spans="1:8" x14ac:dyDescent="0.25">
      <c r="A598" s="16" t="s">
        <v>1367</v>
      </c>
      <c r="B598" s="17" t="s">
        <v>166</v>
      </c>
      <c r="C598" s="17" t="s">
        <v>4594</v>
      </c>
      <c r="D598" s="17" t="s">
        <v>4595</v>
      </c>
      <c r="E598" s="17">
        <v>33</v>
      </c>
      <c r="F598" s="27">
        <v>12</v>
      </c>
      <c r="G598" s="17" t="s">
        <v>1366</v>
      </c>
      <c r="H598" s="17" t="s">
        <v>1239</v>
      </c>
    </row>
    <row r="599" spans="1:8" x14ac:dyDescent="0.25">
      <c r="A599" s="16" t="s">
        <v>1368</v>
      </c>
      <c r="B599" s="17" t="s">
        <v>466</v>
      </c>
      <c r="C599" s="17" t="s">
        <v>3766</v>
      </c>
      <c r="D599" s="17" t="s">
        <v>4596</v>
      </c>
      <c r="E599" s="17">
        <v>33</v>
      </c>
      <c r="F599" s="27">
        <v>12</v>
      </c>
      <c r="G599" s="17" t="s">
        <v>1366</v>
      </c>
      <c r="H599" s="17" t="s">
        <v>1369</v>
      </c>
    </row>
    <row r="600" spans="1:8" x14ac:dyDescent="0.25">
      <c r="A600" s="16" t="s">
        <v>1370</v>
      </c>
      <c r="B600" s="17" t="s">
        <v>135</v>
      </c>
      <c r="C600" s="17" t="s">
        <v>3766</v>
      </c>
      <c r="D600" s="17" t="s">
        <v>4597</v>
      </c>
      <c r="E600" s="17">
        <v>33</v>
      </c>
      <c r="F600" s="27">
        <v>12</v>
      </c>
      <c r="G600" s="17" t="s">
        <v>1366</v>
      </c>
      <c r="H600" s="17" t="s">
        <v>1371</v>
      </c>
    </row>
    <row r="601" spans="1:8" x14ac:dyDescent="0.25">
      <c r="A601" s="16" t="s">
        <v>1372</v>
      </c>
      <c r="B601" s="17" t="s">
        <v>1178</v>
      </c>
      <c r="C601" s="17" t="s">
        <v>3766</v>
      </c>
      <c r="D601" s="17" t="s">
        <v>4598</v>
      </c>
      <c r="E601" s="17">
        <v>33</v>
      </c>
      <c r="F601" s="27">
        <v>12</v>
      </c>
      <c r="G601" s="17" t="s">
        <v>1366</v>
      </c>
      <c r="H601" s="17" t="s">
        <v>950</v>
      </c>
    </row>
    <row r="602" spans="1:8" x14ac:dyDescent="0.25">
      <c r="A602" s="16" t="s">
        <v>1373</v>
      </c>
      <c r="B602" s="17" t="s">
        <v>135</v>
      </c>
      <c r="C602" s="17" t="s">
        <v>3766</v>
      </c>
      <c r="D602" s="17" t="s">
        <v>4599</v>
      </c>
      <c r="E602" s="17">
        <v>33</v>
      </c>
      <c r="F602" s="27">
        <v>12</v>
      </c>
      <c r="G602" s="17" t="s">
        <v>1366</v>
      </c>
      <c r="H602" s="17" t="s">
        <v>1374</v>
      </c>
    </row>
    <row r="603" spans="1:8" x14ac:dyDescent="0.25">
      <c r="A603" s="16" t="s">
        <v>1375</v>
      </c>
      <c r="B603" s="17" t="s">
        <v>254</v>
      </c>
      <c r="C603" s="17" t="s">
        <v>3766</v>
      </c>
      <c r="D603" s="17" t="s">
        <v>4600</v>
      </c>
      <c r="E603" s="17">
        <v>33</v>
      </c>
      <c r="F603" s="27">
        <v>12</v>
      </c>
      <c r="G603" s="17" t="s">
        <v>1366</v>
      </c>
      <c r="H603" s="17" t="s">
        <v>1376</v>
      </c>
    </row>
    <row r="604" spans="1:8" x14ac:dyDescent="0.25">
      <c r="A604" s="16" t="s">
        <v>1377</v>
      </c>
      <c r="B604" s="17" t="s">
        <v>301</v>
      </c>
      <c r="C604" s="17" t="s">
        <v>4601</v>
      </c>
      <c r="D604" s="17" t="s">
        <v>4602</v>
      </c>
      <c r="E604" s="17">
        <v>33</v>
      </c>
      <c r="F604" s="27">
        <v>12</v>
      </c>
      <c r="G604" s="17" t="s">
        <v>1366</v>
      </c>
      <c r="H604" s="17" t="s">
        <v>1378</v>
      </c>
    </row>
    <row r="605" spans="1:8" x14ac:dyDescent="0.25">
      <c r="A605" s="16" t="s">
        <v>1379</v>
      </c>
      <c r="B605" s="17" t="s">
        <v>80</v>
      </c>
      <c r="C605" s="17" t="s">
        <v>4037</v>
      </c>
      <c r="D605" s="17" t="s">
        <v>4603</v>
      </c>
      <c r="E605" s="17">
        <v>33</v>
      </c>
      <c r="F605" s="27">
        <v>12</v>
      </c>
      <c r="G605" s="17" t="s">
        <v>1366</v>
      </c>
      <c r="H605" s="17" t="s">
        <v>1380</v>
      </c>
    </row>
    <row r="606" spans="1:8" x14ac:dyDescent="0.25">
      <c r="A606" s="16" t="s">
        <v>1381</v>
      </c>
      <c r="B606" s="17" t="s">
        <v>166</v>
      </c>
      <c r="C606" s="17" t="s">
        <v>3871</v>
      </c>
      <c r="D606" s="17" t="s">
        <v>4604</v>
      </c>
      <c r="E606" s="17">
        <v>33</v>
      </c>
      <c r="F606" s="27">
        <v>12</v>
      </c>
      <c r="G606" s="17" t="s">
        <v>1366</v>
      </c>
      <c r="H606" s="17" t="s">
        <v>1382</v>
      </c>
    </row>
    <row r="607" spans="1:8" x14ac:dyDescent="0.25">
      <c r="A607" s="16" t="s">
        <v>1383</v>
      </c>
      <c r="B607" s="17" t="s">
        <v>92</v>
      </c>
      <c r="C607" s="17" t="s">
        <v>4605</v>
      </c>
      <c r="D607" s="17" t="s">
        <v>4606</v>
      </c>
      <c r="E607" s="17">
        <v>33</v>
      </c>
      <c r="F607" s="27">
        <v>12</v>
      </c>
      <c r="G607" s="17" t="s">
        <v>1366</v>
      </c>
      <c r="H607" s="17" t="s">
        <v>1384</v>
      </c>
    </row>
    <row r="608" spans="1:8" x14ac:dyDescent="0.25">
      <c r="A608" s="16" t="s">
        <v>1385</v>
      </c>
      <c r="B608" s="17" t="s">
        <v>80</v>
      </c>
      <c r="C608" s="17" t="s">
        <v>3766</v>
      </c>
      <c r="D608" s="17" t="s">
        <v>4607</v>
      </c>
      <c r="E608" s="17">
        <v>33</v>
      </c>
      <c r="F608" s="27">
        <v>12</v>
      </c>
      <c r="G608" s="17" t="s">
        <v>1386</v>
      </c>
      <c r="H608" s="17" t="s">
        <v>1387</v>
      </c>
    </row>
    <row r="609" spans="1:8" x14ac:dyDescent="0.25">
      <c r="A609" s="16" t="s">
        <v>1388</v>
      </c>
      <c r="B609" s="17" t="s">
        <v>23</v>
      </c>
      <c r="C609" s="17" t="s">
        <v>3766</v>
      </c>
      <c r="D609" s="17" t="s">
        <v>4608</v>
      </c>
      <c r="E609" s="17">
        <v>33</v>
      </c>
      <c r="F609" s="27">
        <v>12</v>
      </c>
      <c r="G609" s="17" t="s">
        <v>1386</v>
      </c>
      <c r="H609" s="17" t="s">
        <v>1389</v>
      </c>
    </row>
    <row r="610" spans="1:8" x14ac:dyDescent="0.25">
      <c r="A610" s="16" t="s">
        <v>1390</v>
      </c>
      <c r="B610" s="17" t="s">
        <v>298</v>
      </c>
      <c r="C610" s="17" t="s">
        <v>3766</v>
      </c>
      <c r="D610" s="17" t="s">
        <v>4609</v>
      </c>
      <c r="E610" s="17">
        <v>33</v>
      </c>
      <c r="F610" s="27">
        <v>12</v>
      </c>
      <c r="G610" s="17" t="s">
        <v>1386</v>
      </c>
      <c r="H610" s="17" t="s">
        <v>1391</v>
      </c>
    </row>
    <row r="611" spans="1:8" x14ac:dyDescent="0.25">
      <c r="A611" s="16" t="s">
        <v>1392</v>
      </c>
      <c r="B611" s="17" t="s">
        <v>166</v>
      </c>
      <c r="C611" s="17" t="s">
        <v>3871</v>
      </c>
      <c r="D611" s="17" t="s">
        <v>4610</v>
      </c>
      <c r="E611" s="17">
        <v>33</v>
      </c>
      <c r="F611" s="27">
        <v>12</v>
      </c>
      <c r="G611" s="17" t="s">
        <v>1386</v>
      </c>
      <c r="H611" s="17" t="s">
        <v>1226</v>
      </c>
    </row>
    <row r="612" spans="1:8" x14ac:dyDescent="0.25">
      <c r="A612" s="16" t="s">
        <v>1393</v>
      </c>
      <c r="B612" s="17" t="s">
        <v>92</v>
      </c>
      <c r="C612" s="17" t="s">
        <v>3800</v>
      </c>
      <c r="D612" s="17" t="s">
        <v>4611</v>
      </c>
      <c r="E612" s="17">
        <v>34</v>
      </c>
      <c r="F612" s="16">
        <v>2</v>
      </c>
      <c r="G612" s="17" t="s">
        <v>846</v>
      </c>
      <c r="H612" s="17" t="s">
        <v>950</v>
      </c>
    </row>
    <row r="613" spans="1:8" x14ac:dyDescent="0.25">
      <c r="A613" s="16" t="s">
        <v>1394</v>
      </c>
      <c r="B613" s="17" t="s">
        <v>1395</v>
      </c>
      <c r="C613" s="17" t="s">
        <v>4385</v>
      </c>
      <c r="D613" s="17" t="s">
        <v>4612</v>
      </c>
      <c r="E613" s="17">
        <v>34</v>
      </c>
      <c r="F613" s="16">
        <v>2</v>
      </c>
      <c r="G613" s="17" t="s">
        <v>846</v>
      </c>
      <c r="H613" s="17" t="s">
        <v>1396</v>
      </c>
    </row>
    <row r="614" spans="1:8" x14ac:dyDescent="0.25">
      <c r="A614" s="16" t="s">
        <v>1397</v>
      </c>
      <c r="B614" s="17" t="s">
        <v>151</v>
      </c>
      <c r="C614" s="17" t="s">
        <v>4332</v>
      </c>
      <c r="D614" s="17" t="s">
        <v>4613</v>
      </c>
      <c r="E614" s="17">
        <v>34</v>
      </c>
      <c r="F614" s="16">
        <v>2</v>
      </c>
      <c r="G614" s="17" t="s">
        <v>846</v>
      </c>
      <c r="H614" s="17" t="s">
        <v>1398</v>
      </c>
    </row>
    <row r="615" spans="1:8" x14ac:dyDescent="0.25">
      <c r="A615" s="16" t="s">
        <v>1399</v>
      </c>
      <c r="B615" s="17" t="s">
        <v>49</v>
      </c>
      <c r="C615" s="17" t="s">
        <v>4614</v>
      </c>
      <c r="D615" s="17" t="s">
        <v>4615</v>
      </c>
      <c r="E615" s="17">
        <v>34</v>
      </c>
      <c r="F615" s="16">
        <v>2</v>
      </c>
      <c r="G615" s="17" t="s">
        <v>846</v>
      </c>
      <c r="H615" s="17" t="s">
        <v>1400</v>
      </c>
    </row>
    <row r="616" spans="1:8" x14ac:dyDescent="0.25">
      <c r="A616" s="16" t="s">
        <v>1401</v>
      </c>
      <c r="B616" s="17" t="s">
        <v>443</v>
      </c>
      <c r="C616" s="17" t="s">
        <v>4616</v>
      </c>
      <c r="D616" s="17" t="s">
        <v>4617</v>
      </c>
      <c r="E616" s="17">
        <v>34</v>
      </c>
      <c r="F616" s="16">
        <v>2</v>
      </c>
      <c r="G616" s="17" t="s">
        <v>23</v>
      </c>
      <c r="H616" s="17" t="s">
        <v>1402</v>
      </c>
    </row>
    <row r="617" spans="1:8" x14ac:dyDescent="0.25">
      <c r="A617" s="16" t="s">
        <v>1403</v>
      </c>
      <c r="B617" s="17" t="s">
        <v>148</v>
      </c>
      <c r="C617" s="17" t="s">
        <v>3766</v>
      </c>
      <c r="D617" s="17" t="s">
        <v>4618</v>
      </c>
      <c r="E617" s="17">
        <v>34</v>
      </c>
      <c r="F617" s="16">
        <v>2</v>
      </c>
      <c r="G617" s="17" t="s">
        <v>23</v>
      </c>
      <c r="H617" s="17" t="s">
        <v>1404</v>
      </c>
    </row>
    <row r="618" spans="1:8" x14ac:dyDescent="0.25">
      <c r="A618" s="16" t="s">
        <v>1405</v>
      </c>
      <c r="B618" s="17" t="s">
        <v>157</v>
      </c>
      <c r="C618" s="17" t="s">
        <v>4619</v>
      </c>
      <c r="D618" s="17" t="s">
        <v>4620</v>
      </c>
      <c r="E618" s="17">
        <v>34</v>
      </c>
      <c r="F618" s="16">
        <v>2</v>
      </c>
      <c r="G618" s="17" t="s">
        <v>23</v>
      </c>
      <c r="H618" s="17" t="s">
        <v>1406</v>
      </c>
    </row>
    <row r="619" spans="1:8" x14ac:dyDescent="0.25">
      <c r="A619" s="16" t="s">
        <v>1407</v>
      </c>
      <c r="B619" s="17" t="s">
        <v>1408</v>
      </c>
      <c r="C619" s="17" t="s">
        <v>4621</v>
      </c>
      <c r="D619" s="17" t="s">
        <v>4622</v>
      </c>
      <c r="E619" s="17">
        <v>34</v>
      </c>
      <c r="F619" s="16">
        <v>2</v>
      </c>
      <c r="G619" s="17" t="s">
        <v>23</v>
      </c>
      <c r="H619" s="17" t="s">
        <v>1409</v>
      </c>
    </row>
    <row r="620" spans="1:8" x14ac:dyDescent="0.25">
      <c r="A620" s="16" t="s">
        <v>1410</v>
      </c>
      <c r="B620" s="17" t="s">
        <v>166</v>
      </c>
      <c r="C620" s="17" t="s">
        <v>4623</v>
      </c>
      <c r="D620" s="17" t="s">
        <v>4624</v>
      </c>
      <c r="E620" s="17">
        <v>34</v>
      </c>
      <c r="F620" s="16">
        <v>2</v>
      </c>
      <c r="G620" s="17" t="s">
        <v>23</v>
      </c>
      <c r="H620" s="17" t="s">
        <v>1411</v>
      </c>
    </row>
    <row r="621" spans="1:8" x14ac:dyDescent="0.25">
      <c r="A621" s="16" t="s">
        <v>1412</v>
      </c>
      <c r="B621" s="17" t="s">
        <v>466</v>
      </c>
      <c r="C621" s="17" t="s">
        <v>3766</v>
      </c>
      <c r="D621" s="17" t="s">
        <v>4625</v>
      </c>
      <c r="E621" s="17">
        <v>34</v>
      </c>
      <c r="F621" s="16">
        <v>2</v>
      </c>
      <c r="G621" s="17" t="s">
        <v>23</v>
      </c>
      <c r="H621" s="17" t="s">
        <v>1413</v>
      </c>
    </row>
    <row r="622" spans="1:8" x14ac:dyDescent="0.25">
      <c r="A622" s="16" t="s">
        <v>1414</v>
      </c>
      <c r="B622" s="17" t="s">
        <v>135</v>
      </c>
      <c r="C622" s="17" t="s">
        <v>4332</v>
      </c>
      <c r="D622" s="17" t="s">
        <v>4626</v>
      </c>
      <c r="E622" s="17">
        <v>34</v>
      </c>
      <c r="F622" s="16">
        <v>2</v>
      </c>
      <c r="G622" s="17" t="s">
        <v>23</v>
      </c>
      <c r="H622" s="17" t="s">
        <v>1415</v>
      </c>
    </row>
    <row r="623" spans="1:8" x14ac:dyDescent="0.25">
      <c r="A623" s="16" t="s">
        <v>1416</v>
      </c>
      <c r="B623" s="17" t="s">
        <v>301</v>
      </c>
      <c r="C623" s="17" t="s">
        <v>4627</v>
      </c>
      <c r="D623" s="17" t="s">
        <v>4628</v>
      </c>
      <c r="E623" s="17">
        <v>34</v>
      </c>
      <c r="F623" s="16">
        <v>2</v>
      </c>
      <c r="G623" s="17" t="s">
        <v>23</v>
      </c>
      <c r="H623" s="17" t="s">
        <v>1417</v>
      </c>
    </row>
    <row r="624" spans="1:8" x14ac:dyDescent="0.25">
      <c r="A624" s="16" t="s">
        <v>1418</v>
      </c>
      <c r="B624" s="17" t="s">
        <v>46</v>
      </c>
      <c r="C624" s="17" t="s">
        <v>4629</v>
      </c>
      <c r="D624" s="17" t="s">
        <v>4630</v>
      </c>
      <c r="E624" s="17">
        <v>34</v>
      </c>
      <c r="F624" s="16">
        <v>2</v>
      </c>
      <c r="G624" s="17" t="s">
        <v>23</v>
      </c>
      <c r="H624" s="17" t="s">
        <v>1419</v>
      </c>
    </row>
    <row r="625" spans="1:8" x14ac:dyDescent="0.25">
      <c r="A625" s="16" t="s">
        <v>1420</v>
      </c>
      <c r="B625" s="17" t="s">
        <v>23</v>
      </c>
      <c r="C625" s="17" t="s">
        <v>4339</v>
      </c>
      <c r="D625" s="17" t="s">
        <v>4631</v>
      </c>
      <c r="E625" s="17">
        <v>34</v>
      </c>
      <c r="F625" s="16">
        <v>2</v>
      </c>
      <c r="G625" s="17" t="s">
        <v>23</v>
      </c>
      <c r="H625" s="17" t="s">
        <v>1421</v>
      </c>
    </row>
    <row r="626" spans="1:8" x14ac:dyDescent="0.25">
      <c r="A626" s="16" t="s">
        <v>1422</v>
      </c>
      <c r="B626" s="17" t="s">
        <v>970</v>
      </c>
      <c r="C626" s="17" t="s">
        <v>4632</v>
      </c>
      <c r="D626" s="17" t="s">
        <v>4633</v>
      </c>
      <c r="E626" s="17">
        <v>34</v>
      </c>
      <c r="F626" s="16">
        <v>2</v>
      </c>
      <c r="G626" s="17" t="s">
        <v>225</v>
      </c>
      <c r="H626" s="17" t="s">
        <v>226</v>
      </c>
    </row>
    <row r="627" spans="1:8" x14ac:dyDescent="0.25">
      <c r="A627" s="16" t="s">
        <v>1423</v>
      </c>
      <c r="B627" s="17" t="s">
        <v>254</v>
      </c>
      <c r="C627" s="17" t="s">
        <v>4619</v>
      </c>
      <c r="D627" s="17" t="s">
        <v>4634</v>
      </c>
      <c r="E627" s="17">
        <v>35</v>
      </c>
      <c r="F627" s="27">
        <v>13</v>
      </c>
      <c r="G627" s="17" t="s">
        <v>1350</v>
      </c>
      <c r="H627" s="17" t="s">
        <v>1424</v>
      </c>
    </row>
    <row r="628" spans="1:8" x14ac:dyDescent="0.25">
      <c r="A628" s="16" t="s">
        <v>1425</v>
      </c>
      <c r="B628" s="17" t="s">
        <v>80</v>
      </c>
      <c r="C628" s="17" t="s">
        <v>4078</v>
      </c>
      <c r="D628" s="17" t="s">
        <v>4635</v>
      </c>
      <c r="E628" s="17">
        <v>35</v>
      </c>
      <c r="F628" s="27">
        <v>13</v>
      </c>
      <c r="G628" s="17" t="s">
        <v>1350</v>
      </c>
      <c r="H628" s="17" t="s">
        <v>1426</v>
      </c>
    </row>
    <row r="629" spans="1:8" x14ac:dyDescent="0.25">
      <c r="A629" s="16" t="s">
        <v>1427</v>
      </c>
      <c r="B629" s="17" t="s">
        <v>138</v>
      </c>
      <c r="C629" s="17" t="s">
        <v>4636</v>
      </c>
      <c r="D629" s="17" t="s">
        <v>4637</v>
      </c>
      <c r="E629" s="17">
        <v>35</v>
      </c>
      <c r="F629" s="27">
        <v>13</v>
      </c>
      <c r="G629" s="17" t="s">
        <v>1350</v>
      </c>
      <c r="H629" s="17" t="s">
        <v>1428</v>
      </c>
    </row>
    <row r="630" spans="1:8" x14ac:dyDescent="0.25">
      <c r="A630" s="16" t="s">
        <v>1429</v>
      </c>
      <c r="B630" s="17" t="s">
        <v>480</v>
      </c>
      <c r="C630" s="17" t="s">
        <v>4638</v>
      </c>
      <c r="D630" s="17" t="s">
        <v>4639</v>
      </c>
      <c r="E630" s="17">
        <v>35</v>
      </c>
      <c r="F630" s="27">
        <v>13</v>
      </c>
      <c r="G630" s="17" t="s">
        <v>1350</v>
      </c>
      <c r="H630" s="17" t="s">
        <v>1430</v>
      </c>
    </row>
    <row r="631" spans="1:8" x14ac:dyDescent="0.25">
      <c r="A631" s="16" t="s">
        <v>1431</v>
      </c>
      <c r="B631" s="17" t="s">
        <v>1432</v>
      </c>
      <c r="C631" s="17" t="s">
        <v>3766</v>
      </c>
      <c r="D631" s="17" t="s">
        <v>4640</v>
      </c>
      <c r="E631" s="17">
        <v>35</v>
      </c>
      <c r="F631" s="27">
        <v>13</v>
      </c>
      <c r="G631" s="17" t="s">
        <v>1350</v>
      </c>
      <c r="H631" s="17" t="s">
        <v>515</v>
      </c>
    </row>
    <row r="632" spans="1:8" x14ac:dyDescent="0.25">
      <c r="A632" s="16" t="s">
        <v>1433</v>
      </c>
      <c r="B632" s="17" t="s">
        <v>92</v>
      </c>
      <c r="C632" s="17" t="s">
        <v>3987</v>
      </c>
      <c r="D632" s="17" t="s">
        <v>4641</v>
      </c>
      <c r="E632" s="17">
        <v>35</v>
      </c>
      <c r="F632" s="27">
        <v>13</v>
      </c>
      <c r="G632" s="17" t="s">
        <v>1350</v>
      </c>
      <c r="H632" s="17" t="s">
        <v>61</v>
      </c>
    </row>
    <row r="633" spans="1:8" x14ac:dyDescent="0.25">
      <c r="A633" s="16" t="s">
        <v>1434</v>
      </c>
      <c r="B633" s="17" t="s">
        <v>295</v>
      </c>
      <c r="C633" s="17" t="s">
        <v>3766</v>
      </c>
      <c r="D633" s="17" t="s">
        <v>4642</v>
      </c>
      <c r="E633" s="17">
        <v>35</v>
      </c>
      <c r="F633" s="27">
        <v>13</v>
      </c>
      <c r="G633" s="17" t="s">
        <v>1350</v>
      </c>
      <c r="H633" s="17" t="s">
        <v>1435</v>
      </c>
    </row>
    <row r="634" spans="1:8" x14ac:dyDescent="0.25">
      <c r="A634" s="16" t="s">
        <v>1436</v>
      </c>
      <c r="B634" s="17" t="s">
        <v>1437</v>
      </c>
      <c r="C634" s="17" t="s">
        <v>4643</v>
      </c>
      <c r="D634" s="17" t="s">
        <v>4644</v>
      </c>
      <c r="E634" s="17">
        <v>35</v>
      </c>
      <c r="F634" s="27">
        <v>13</v>
      </c>
      <c r="G634" s="17" t="s">
        <v>225</v>
      </c>
      <c r="H634" s="17" t="s">
        <v>226</v>
      </c>
    </row>
    <row r="635" spans="1:8" x14ac:dyDescent="0.25">
      <c r="A635" s="16" t="s">
        <v>1438</v>
      </c>
      <c r="B635" s="17" t="s">
        <v>1439</v>
      </c>
      <c r="C635" s="17" t="s">
        <v>4645</v>
      </c>
      <c r="D635" s="17" t="s">
        <v>4646</v>
      </c>
      <c r="E635" s="17">
        <v>35</v>
      </c>
      <c r="F635" s="27">
        <v>13</v>
      </c>
      <c r="G635" s="17" t="s">
        <v>225</v>
      </c>
      <c r="H635" s="17" t="s">
        <v>226</v>
      </c>
    </row>
    <row r="636" spans="1:8" x14ac:dyDescent="0.25">
      <c r="A636" s="16" t="s">
        <v>1440</v>
      </c>
      <c r="B636" s="17" t="s">
        <v>63</v>
      </c>
      <c r="C636" s="17" t="s">
        <v>4647</v>
      </c>
      <c r="D636" s="17" t="s">
        <v>4648</v>
      </c>
      <c r="E636" s="17">
        <v>35</v>
      </c>
      <c r="F636" s="27">
        <v>13</v>
      </c>
      <c r="G636" s="17" t="s">
        <v>225</v>
      </c>
      <c r="H636" s="17" t="s">
        <v>226</v>
      </c>
    </row>
    <row r="637" spans="1:8" x14ac:dyDescent="0.25">
      <c r="A637" s="16" t="s">
        <v>1441</v>
      </c>
      <c r="B637" s="17" t="s">
        <v>533</v>
      </c>
      <c r="C637" s="17" t="s">
        <v>4649</v>
      </c>
      <c r="D637" s="17" t="s">
        <v>4650</v>
      </c>
      <c r="E637" s="17">
        <v>35</v>
      </c>
      <c r="F637" s="27">
        <v>13</v>
      </c>
      <c r="G637" s="17" t="s">
        <v>225</v>
      </c>
      <c r="H637" s="17" t="s">
        <v>1442</v>
      </c>
    </row>
    <row r="638" spans="1:8" x14ac:dyDescent="0.25">
      <c r="A638" s="16" t="s">
        <v>1443</v>
      </c>
      <c r="B638" s="17" t="s">
        <v>92</v>
      </c>
      <c r="C638" s="17" t="s">
        <v>4651</v>
      </c>
      <c r="D638" s="17" t="s">
        <v>4652</v>
      </c>
      <c r="E638" s="17">
        <v>35</v>
      </c>
      <c r="F638" s="27">
        <v>13</v>
      </c>
      <c r="G638" s="17" t="s">
        <v>228</v>
      </c>
      <c r="H638" s="17" t="s">
        <v>1444</v>
      </c>
    </row>
    <row r="639" spans="1:8" x14ac:dyDescent="0.25">
      <c r="A639" s="16" t="s">
        <v>1445</v>
      </c>
      <c r="B639" s="17" t="s">
        <v>254</v>
      </c>
      <c r="C639" s="17" t="s">
        <v>4653</v>
      </c>
      <c r="D639" s="17" t="s">
        <v>4654</v>
      </c>
      <c r="E639" s="17">
        <v>35</v>
      </c>
      <c r="F639" s="27">
        <v>13</v>
      </c>
      <c r="G639" s="17" t="s">
        <v>235</v>
      </c>
      <c r="H639" s="17" t="s">
        <v>1446</v>
      </c>
    </row>
    <row r="640" spans="1:8" x14ac:dyDescent="0.25">
      <c r="A640" s="16" t="s">
        <v>1447</v>
      </c>
      <c r="B640" s="17" t="s">
        <v>477</v>
      </c>
      <c r="C640" s="17" t="s">
        <v>3766</v>
      </c>
      <c r="D640" s="17" t="s">
        <v>4655</v>
      </c>
      <c r="E640" s="17">
        <v>35</v>
      </c>
      <c r="F640" s="27">
        <v>13</v>
      </c>
      <c r="G640" s="17" t="s">
        <v>1448</v>
      </c>
      <c r="H640" s="17" t="s">
        <v>1449</v>
      </c>
    </row>
    <row r="641" spans="1:8" x14ac:dyDescent="0.25">
      <c r="A641" s="16" t="s">
        <v>1450</v>
      </c>
      <c r="B641" s="17" t="s">
        <v>41</v>
      </c>
      <c r="C641" s="17" t="s">
        <v>4656</v>
      </c>
      <c r="D641" s="17" t="s">
        <v>4657</v>
      </c>
      <c r="E641" s="17">
        <v>35</v>
      </c>
      <c r="F641" s="27">
        <v>13</v>
      </c>
      <c r="G641" s="17" t="s">
        <v>1451</v>
      </c>
      <c r="H641" s="17" t="s">
        <v>1452</v>
      </c>
    </row>
    <row r="642" spans="1:8" x14ac:dyDescent="0.25">
      <c r="A642" s="16" t="s">
        <v>1453</v>
      </c>
      <c r="B642" s="17" t="s">
        <v>1454</v>
      </c>
      <c r="C642" s="17" t="s">
        <v>4658</v>
      </c>
      <c r="D642" s="17" t="s">
        <v>4659</v>
      </c>
      <c r="E642" s="17">
        <v>36</v>
      </c>
      <c r="F642" s="16">
        <v>4</v>
      </c>
      <c r="G642" s="17" t="s">
        <v>1455</v>
      </c>
      <c r="H642" s="17" t="s">
        <v>1455</v>
      </c>
    </row>
    <row r="643" spans="1:8" x14ac:dyDescent="0.25">
      <c r="A643" s="16" t="s">
        <v>1456</v>
      </c>
      <c r="B643" s="17" t="s">
        <v>166</v>
      </c>
      <c r="C643" s="17" t="s">
        <v>4316</v>
      </c>
      <c r="D643" s="17" t="s">
        <v>4660</v>
      </c>
      <c r="E643" s="17">
        <v>36</v>
      </c>
      <c r="F643" s="16">
        <v>4</v>
      </c>
      <c r="G643" s="17" t="s">
        <v>1455</v>
      </c>
      <c r="H643" s="17" t="s">
        <v>1457</v>
      </c>
    </row>
    <row r="644" spans="1:8" x14ac:dyDescent="0.25">
      <c r="A644" s="16" t="s">
        <v>1458</v>
      </c>
      <c r="B644" s="17" t="s">
        <v>1459</v>
      </c>
      <c r="C644" s="17" t="s">
        <v>4661</v>
      </c>
      <c r="D644" s="17" t="s">
        <v>4662</v>
      </c>
      <c r="E644" s="17">
        <v>36</v>
      </c>
      <c r="F644" s="16">
        <v>4</v>
      </c>
      <c r="G644" s="17" t="s">
        <v>1455</v>
      </c>
      <c r="H644" s="17" t="s">
        <v>1460</v>
      </c>
    </row>
    <row r="645" spans="1:8" x14ac:dyDescent="0.25">
      <c r="A645" s="16" t="s">
        <v>1461</v>
      </c>
      <c r="B645" s="17" t="s">
        <v>92</v>
      </c>
      <c r="C645" s="17" t="s">
        <v>4663</v>
      </c>
      <c r="D645" s="17" t="s">
        <v>4664</v>
      </c>
      <c r="E645" s="17">
        <v>36</v>
      </c>
      <c r="F645" s="16">
        <v>4</v>
      </c>
      <c r="G645" s="17" t="s">
        <v>1455</v>
      </c>
      <c r="H645" s="17" t="s">
        <v>1462</v>
      </c>
    </row>
    <row r="646" spans="1:8" x14ac:dyDescent="0.25">
      <c r="A646" s="16" t="s">
        <v>1463</v>
      </c>
      <c r="B646" s="17" t="s">
        <v>23</v>
      </c>
      <c r="C646" s="17" t="s">
        <v>4665</v>
      </c>
      <c r="D646" s="17" t="s">
        <v>4666</v>
      </c>
      <c r="E646" s="17">
        <v>36</v>
      </c>
      <c r="F646" s="16">
        <v>4</v>
      </c>
      <c r="G646" s="17" t="s">
        <v>1455</v>
      </c>
      <c r="H646" s="17" t="s">
        <v>1464</v>
      </c>
    </row>
    <row r="647" spans="1:8" x14ac:dyDescent="0.25">
      <c r="A647" s="16" t="s">
        <v>1465</v>
      </c>
      <c r="B647" s="17" t="s">
        <v>1466</v>
      </c>
      <c r="C647" s="17" t="s">
        <v>4545</v>
      </c>
      <c r="D647" s="17" t="s">
        <v>4667</v>
      </c>
      <c r="E647" s="17">
        <v>36</v>
      </c>
      <c r="F647" s="16">
        <v>4</v>
      </c>
      <c r="G647" s="17" t="s">
        <v>1455</v>
      </c>
      <c r="H647" s="17" t="s">
        <v>1467</v>
      </c>
    </row>
    <row r="648" spans="1:8" x14ac:dyDescent="0.25">
      <c r="A648" s="16" t="s">
        <v>1468</v>
      </c>
      <c r="B648" s="17" t="s">
        <v>254</v>
      </c>
      <c r="C648" s="17" t="s">
        <v>4668</v>
      </c>
      <c r="D648" s="17" t="s">
        <v>4669</v>
      </c>
      <c r="E648" s="17">
        <v>36</v>
      </c>
      <c r="F648" s="16">
        <v>4</v>
      </c>
      <c r="G648" s="17" t="s">
        <v>1455</v>
      </c>
      <c r="H648" s="17" t="s">
        <v>1469</v>
      </c>
    </row>
    <row r="649" spans="1:8" x14ac:dyDescent="0.25">
      <c r="A649" s="16" t="s">
        <v>1470</v>
      </c>
      <c r="B649" s="17" t="s">
        <v>138</v>
      </c>
      <c r="C649" s="17" t="s">
        <v>4670</v>
      </c>
      <c r="D649" s="17" t="s">
        <v>4671</v>
      </c>
      <c r="E649" s="17">
        <v>36</v>
      </c>
      <c r="F649" s="16">
        <v>4</v>
      </c>
      <c r="G649" s="17" t="s">
        <v>1455</v>
      </c>
      <c r="H649" s="17" t="s">
        <v>1471</v>
      </c>
    </row>
    <row r="650" spans="1:8" x14ac:dyDescent="0.25">
      <c r="A650" s="16" t="s">
        <v>1472</v>
      </c>
      <c r="B650" s="17" t="s">
        <v>151</v>
      </c>
      <c r="C650" s="17" t="s">
        <v>4672</v>
      </c>
      <c r="D650" s="17" t="s">
        <v>4673</v>
      </c>
      <c r="E650" s="17">
        <v>36</v>
      </c>
      <c r="F650" s="16">
        <v>4</v>
      </c>
      <c r="G650" s="17" t="s">
        <v>1455</v>
      </c>
      <c r="H650" s="17" t="s">
        <v>1473</v>
      </c>
    </row>
    <row r="651" spans="1:8" x14ac:dyDescent="0.25">
      <c r="A651" s="16" t="s">
        <v>1474</v>
      </c>
      <c r="B651" s="17" t="s">
        <v>1475</v>
      </c>
      <c r="C651" s="17" t="s">
        <v>4674</v>
      </c>
      <c r="D651" s="17" t="s">
        <v>4675</v>
      </c>
      <c r="E651" s="17">
        <v>36</v>
      </c>
      <c r="F651" s="16">
        <v>4</v>
      </c>
      <c r="G651" s="17" t="s">
        <v>884</v>
      </c>
      <c r="H651" s="17" t="s">
        <v>884</v>
      </c>
    </row>
    <row r="652" spans="1:8" x14ac:dyDescent="0.25">
      <c r="A652" s="16" t="s">
        <v>1476</v>
      </c>
      <c r="B652" s="17" t="s">
        <v>166</v>
      </c>
      <c r="C652" s="17" t="s">
        <v>4676</v>
      </c>
      <c r="D652" s="17" t="s">
        <v>4677</v>
      </c>
      <c r="E652" s="17">
        <v>36</v>
      </c>
      <c r="F652" s="16">
        <v>4</v>
      </c>
      <c r="G652" s="17" t="s">
        <v>884</v>
      </c>
      <c r="H652" s="17" t="s">
        <v>884</v>
      </c>
    </row>
    <row r="653" spans="1:8" x14ac:dyDescent="0.25">
      <c r="A653" s="16" t="s">
        <v>1477</v>
      </c>
      <c r="B653" s="17" t="s">
        <v>1478</v>
      </c>
      <c r="C653" s="17" t="s">
        <v>4670</v>
      </c>
      <c r="D653" s="17" t="s">
        <v>4678</v>
      </c>
      <c r="E653" s="17">
        <v>36</v>
      </c>
      <c r="F653" s="16">
        <v>4</v>
      </c>
      <c r="G653" s="17" t="s">
        <v>1479</v>
      </c>
      <c r="H653" s="17" t="s">
        <v>1480</v>
      </c>
    </row>
    <row r="654" spans="1:8" x14ac:dyDescent="0.25">
      <c r="A654" s="16" t="s">
        <v>1481</v>
      </c>
      <c r="B654" s="17" t="s">
        <v>46</v>
      </c>
      <c r="C654" s="17" t="s">
        <v>4679</v>
      </c>
      <c r="D654" s="17" t="s">
        <v>4680</v>
      </c>
      <c r="E654" s="17">
        <v>36</v>
      </c>
      <c r="F654" s="16">
        <v>4</v>
      </c>
      <c r="G654" s="17" t="s">
        <v>319</v>
      </c>
      <c r="H654" s="17" t="s">
        <v>1482</v>
      </c>
    </row>
    <row r="655" spans="1:8" x14ac:dyDescent="0.25">
      <c r="A655" s="16" t="s">
        <v>1483</v>
      </c>
      <c r="B655" s="17" t="s">
        <v>163</v>
      </c>
      <c r="C655" s="17" t="s">
        <v>4665</v>
      </c>
      <c r="D655" s="17" t="s">
        <v>4681</v>
      </c>
      <c r="E655" s="17">
        <v>37</v>
      </c>
      <c r="F655" s="27">
        <v>15</v>
      </c>
      <c r="G655" s="17" t="s">
        <v>857</v>
      </c>
      <c r="H655" s="17" t="s">
        <v>857</v>
      </c>
    </row>
    <row r="656" spans="1:8" x14ac:dyDescent="0.25">
      <c r="A656" s="16" t="s">
        <v>1484</v>
      </c>
      <c r="B656" s="17" t="s">
        <v>1286</v>
      </c>
      <c r="C656" s="17" t="s">
        <v>3766</v>
      </c>
      <c r="D656" s="17" t="s">
        <v>4682</v>
      </c>
      <c r="E656" s="17">
        <v>37</v>
      </c>
      <c r="F656" s="27">
        <v>15</v>
      </c>
      <c r="G656" s="17" t="s">
        <v>857</v>
      </c>
      <c r="H656" s="17" t="s">
        <v>1485</v>
      </c>
    </row>
    <row r="657" spans="1:8" x14ac:dyDescent="0.25">
      <c r="A657" s="16" t="s">
        <v>1486</v>
      </c>
      <c r="B657" s="17" t="s">
        <v>272</v>
      </c>
      <c r="C657" s="17" t="s">
        <v>4683</v>
      </c>
      <c r="D657" s="17" t="s">
        <v>4684</v>
      </c>
      <c r="E657" s="17">
        <v>37</v>
      </c>
      <c r="F657" s="27">
        <v>15</v>
      </c>
      <c r="G657" s="17" t="s">
        <v>886</v>
      </c>
      <c r="H657" s="17" t="s">
        <v>1487</v>
      </c>
    </row>
    <row r="658" spans="1:8" x14ac:dyDescent="0.25">
      <c r="A658" s="16" t="s">
        <v>1488</v>
      </c>
      <c r="B658" s="17" t="s">
        <v>49</v>
      </c>
      <c r="C658" s="17" t="s">
        <v>3766</v>
      </c>
      <c r="D658" s="17" t="s">
        <v>4685</v>
      </c>
      <c r="E658" s="17">
        <v>37</v>
      </c>
      <c r="F658" s="27">
        <v>15</v>
      </c>
      <c r="G658" s="17" t="s">
        <v>863</v>
      </c>
      <c r="H658" s="17" t="s">
        <v>1489</v>
      </c>
    </row>
    <row r="659" spans="1:8" x14ac:dyDescent="0.25">
      <c r="A659" s="16" t="s">
        <v>1490</v>
      </c>
      <c r="B659" s="17" t="s">
        <v>161</v>
      </c>
      <c r="C659" s="17" t="s">
        <v>4686</v>
      </c>
      <c r="D659" s="17" t="s">
        <v>4687</v>
      </c>
      <c r="E659" s="17">
        <v>37</v>
      </c>
      <c r="F659" s="27">
        <v>15</v>
      </c>
      <c r="G659" s="17" t="s">
        <v>863</v>
      </c>
      <c r="H659" s="17" t="s">
        <v>1491</v>
      </c>
    </row>
    <row r="660" spans="1:8" x14ac:dyDescent="0.25">
      <c r="A660" s="16" t="s">
        <v>1492</v>
      </c>
      <c r="B660" s="17" t="s">
        <v>80</v>
      </c>
      <c r="C660" s="17" t="s">
        <v>4688</v>
      </c>
      <c r="D660" s="17" t="s">
        <v>4689</v>
      </c>
      <c r="E660" s="17">
        <v>37</v>
      </c>
      <c r="F660" s="27">
        <v>15</v>
      </c>
      <c r="G660" s="17" t="s">
        <v>863</v>
      </c>
      <c r="H660" s="17" t="s">
        <v>1493</v>
      </c>
    </row>
    <row r="661" spans="1:8" x14ac:dyDescent="0.25">
      <c r="A661" s="16" t="s">
        <v>1494</v>
      </c>
      <c r="B661" s="17" t="s">
        <v>1495</v>
      </c>
      <c r="C661" s="17" t="s">
        <v>3764</v>
      </c>
      <c r="D661" s="17" t="s">
        <v>4690</v>
      </c>
      <c r="E661" s="17">
        <v>37</v>
      </c>
      <c r="F661" s="27">
        <v>15</v>
      </c>
      <c r="G661" s="17" t="s">
        <v>863</v>
      </c>
      <c r="H661" s="17" t="s">
        <v>647</v>
      </c>
    </row>
    <row r="662" spans="1:8" x14ac:dyDescent="0.25">
      <c r="A662" s="16" t="s">
        <v>1496</v>
      </c>
      <c r="B662" s="17" t="s">
        <v>148</v>
      </c>
      <c r="C662" s="17" t="s">
        <v>4691</v>
      </c>
      <c r="D662" s="17" t="s">
        <v>4692</v>
      </c>
      <c r="E662" s="17">
        <v>37</v>
      </c>
      <c r="F662" s="27">
        <v>15</v>
      </c>
      <c r="G662" s="17" t="s">
        <v>863</v>
      </c>
      <c r="H662" s="17" t="s">
        <v>1497</v>
      </c>
    </row>
    <row r="663" spans="1:8" x14ac:dyDescent="0.25">
      <c r="A663" s="16" t="s">
        <v>1498</v>
      </c>
      <c r="B663" s="17" t="s">
        <v>166</v>
      </c>
      <c r="C663" s="17" t="s">
        <v>4693</v>
      </c>
      <c r="D663" s="17" t="s">
        <v>4694</v>
      </c>
      <c r="E663" s="17">
        <v>37</v>
      </c>
      <c r="F663" s="27">
        <v>15</v>
      </c>
      <c r="G663" s="17" t="s">
        <v>863</v>
      </c>
      <c r="H663" s="17" t="s">
        <v>515</v>
      </c>
    </row>
    <row r="664" spans="1:8" x14ac:dyDescent="0.25">
      <c r="A664" s="16" t="s">
        <v>1499</v>
      </c>
      <c r="B664" s="17" t="s">
        <v>1500</v>
      </c>
      <c r="C664" s="17" t="s">
        <v>4695</v>
      </c>
      <c r="D664" s="17" t="s">
        <v>4696</v>
      </c>
      <c r="E664" s="17">
        <v>37</v>
      </c>
      <c r="F664" s="27">
        <v>15</v>
      </c>
      <c r="G664" s="17" t="s">
        <v>863</v>
      </c>
      <c r="H664" s="17" t="s">
        <v>1501</v>
      </c>
    </row>
    <row r="665" spans="1:8" x14ac:dyDescent="0.25">
      <c r="A665" s="16" t="s">
        <v>1502</v>
      </c>
      <c r="B665" s="17" t="s">
        <v>678</v>
      </c>
      <c r="C665" s="17" t="s">
        <v>4697</v>
      </c>
      <c r="D665" s="17" t="s">
        <v>4698</v>
      </c>
      <c r="E665" s="17">
        <v>37</v>
      </c>
      <c r="F665" s="27">
        <v>15</v>
      </c>
      <c r="G665" s="17" t="s">
        <v>893</v>
      </c>
      <c r="H665" s="17" t="s">
        <v>1503</v>
      </c>
    </row>
    <row r="666" spans="1:8" x14ac:dyDescent="0.25">
      <c r="A666" s="16" t="s">
        <v>1504</v>
      </c>
      <c r="B666" s="17" t="s">
        <v>49</v>
      </c>
      <c r="C666" s="17" t="s">
        <v>4699</v>
      </c>
      <c r="D666" s="17" t="s">
        <v>4700</v>
      </c>
      <c r="E666" s="17">
        <v>37</v>
      </c>
      <c r="F666" s="27">
        <v>15</v>
      </c>
      <c r="G666" s="17" t="s">
        <v>319</v>
      </c>
      <c r="H666" s="17" t="s">
        <v>319</v>
      </c>
    </row>
    <row r="667" spans="1:8" x14ac:dyDescent="0.25">
      <c r="A667" s="16" t="s">
        <v>1505</v>
      </c>
      <c r="B667" s="17" t="s">
        <v>135</v>
      </c>
      <c r="C667" s="17" t="s">
        <v>4701</v>
      </c>
      <c r="D667" s="17" t="s">
        <v>4702</v>
      </c>
      <c r="E667" s="17">
        <v>37</v>
      </c>
      <c r="F667" s="27">
        <v>15</v>
      </c>
      <c r="G667" s="17" t="s">
        <v>319</v>
      </c>
      <c r="H667" s="17" t="s">
        <v>319</v>
      </c>
    </row>
    <row r="668" spans="1:8" x14ac:dyDescent="0.25">
      <c r="A668" s="16" t="s">
        <v>1506</v>
      </c>
      <c r="B668" s="17" t="s">
        <v>1507</v>
      </c>
      <c r="C668" s="17" t="s">
        <v>4703</v>
      </c>
      <c r="D668" s="17" t="s">
        <v>4704</v>
      </c>
      <c r="E668" s="17">
        <v>37</v>
      </c>
      <c r="F668" s="27">
        <v>15</v>
      </c>
      <c r="G668" s="17" t="s">
        <v>319</v>
      </c>
      <c r="H668" s="17" t="s">
        <v>1508</v>
      </c>
    </row>
    <row r="669" spans="1:8" x14ac:dyDescent="0.25">
      <c r="A669" s="16" t="s">
        <v>1509</v>
      </c>
      <c r="B669" s="17" t="s">
        <v>1510</v>
      </c>
      <c r="C669" s="17" t="s">
        <v>4705</v>
      </c>
      <c r="D669" s="17" t="s">
        <v>3926</v>
      </c>
      <c r="E669" s="17">
        <v>37</v>
      </c>
      <c r="F669" s="27">
        <v>15</v>
      </c>
      <c r="G669" s="17" t="s">
        <v>319</v>
      </c>
      <c r="H669" s="17" t="s">
        <v>1511</v>
      </c>
    </row>
    <row r="670" spans="1:8" x14ac:dyDescent="0.25">
      <c r="A670" s="16" t="s">
        <v>1512</v>
      </c>
      <c r="B670" s="17" t="s">
        <v>120</v>
      </c>
      <c r="C670" s="17" t="s">
        <v>4706</v>
      </c>
      <c r="D670" s="17" t="s">
        <v>4707</v>
      </c>
      <c r="E670" s="17">
        <v>37</v>
      </c>
      <c r="F670" s="27">
        <v>15</v>
      </c>
      <c r="G670" s="17" t="s">
        <v>319</v>
      </c>
      <c r="H670" s="17" t="s">
        <v>1513</v>
      </c>
    </row>
    <row r="671" spans="1:8" x14ac:dyDescent="0.25">
      <c r="A671" s="16" t="s">
        <v>1514</v>
      </c>
      <c r="B671" s="17" t="s">
        <v>254</v>
      </c>
      <c r="C671" s="17" t="s">
        <v>4708</v>
      </c>
      <c r="D671" s="17" t="s">
        <v>4709</v>
      </c>
      <c r="E671" s="17">
        <v>38</v>
      </c>
      <c r="F671" s="16">
        <v>9</v>
      </c>
      <c r="G671" s="17" t="s">
        <v>945</v>
      </c>
      <c r="H671" s="17" t="s">
        <v>1515</v>
      </c>
    </row>
    <row r="672" spans="1:8" x14ac:dyDescent="0.25">
      <c r="A672" s="16" t="s">
        <v>1516</v>
      </c>
      <c r="B672" s="17" t="s">
        <v>135</v>
      </c>
      <c r="C672" s="17" t="s">
        <v>3956</v>
      </c>
      <c r="D672" s="17" t="s">
        <v>4710</v>
      </c>
      <c r="E672" s="17">
        <v>38</v>
      </c>
      <c r="F672" s="16">
        <v>9</v>
      </c>
      <c r="G672" s="17" t="s">
        <v>945</v>
      </c>
      <c r="H672" s="17" t="s">
        <v>1517</v>
      </c>
    </row>
    <row r="673" spans="1:8" x14ac:dyDescent="0.25">
      <c r="A673" s="16" t="s">
        <v>1518</v>
      </c>
      <c r="B673" s="17" t="s">
        <v>57</v>
      </c>
      <c r="C673" s="17" t="s">
        <v>4711</v>
      </c>
      <c r="D673" s="17" t="s">
        <v>4712</v>
      </c>
      <c r="E673" s="17">
        <v>38</v>
      </c>
      <c r="F673" s="16">
        <v>9</v>
      </c>
      <c r="G673" s="17" t="s">
        <v>945</v>
      </c>
      <c r="H673" s="17" t="s">
        <v>1519</v>
      </c>
    </row>
    <row r="674" spans="1:8" x14ac:dyDescent="0.25">
      <c r="A674" s="16" t="s">
        <v>1520</v>
      </c>
      <c r="B674" s="17" t="s">
        <v>117</v>
      </c>
      <c r="C674" s="17" t="s">
        <v>3766</v>
      </c>
      <c r="D674" s="17" t="s">
        <v>4713</v>
      </c>
      <c r="E674" s="17">
        <v>38</v>
      </c>
      <c r="F674" s="16">
        <v>9</v>
      </c>
      <c r="G674" s="17" t="s">
        <v>435</v>
      </c>
      <c r="H674" s="17" t="s">
        <v>1521</v>
      </c>
    </row>
    <row r="675" spans="1:8" x14ac:dyDescent="0.25">
      <c r="A675" s="16" t="s">
        <v>1522</v>
      </c>
      <c r="B675" s="17" t="s">
        <v>83</v>
      </c>
      <c r="C675" s="17" t="s">
        <v>4714</v>
      </c>
      <c r="D675" s="17" t="s">
        <v>4715</v>
      </c>
      <c r="E675" s="17">
        <v>38</v>
      </c>
      <c r="F675" s="16">
        <v>9</v>
      </c>
      <c r="G675" s="17" t="s">
        <v>435</v>
      </c>
      <c r="H675" s="17" t="s">
        <v>1523</v>
      </c>
    </row>
    <row r="676" spans="1:8" x14ac:dyDescent="0.25">
      <c r="A676" s="16" t="s">
        <v>1524</v>
      </c>
      <c r="B676" s="17" t="s">
        <v>49</v>
      </c>
      <c r="C676" s="17" t="s">
        <v>3766</v>
      </c>
      <c r="D676" s="17" t="s">
        <v>4716</v>
      </c>
      <c r="E676" s="17">
        <v>38</v>
      </c>
      <c r="F676" s="16">
        <v>9</v>
      </c>
      <c r="G676" s="17" t="s">
        <v>435</v>
      </c>
      <c r="H676" s="17" t="s">
        <v>1525</v>
      </c>
    </row>
    <row r="677" spans="1:8" x14ac:dyDescent="0.25">
      <c r="A677" s="16" t="s">
        <v>1526</v>
      </c>
      <c r="B677" s="17" t="s">
        <v>970</v>
      </c>
      <c r="C677" s="17" t="s">
        <v>3766</v>
      </c>
      <c r="D677" s="17" t="s">
        <v>4717</v>
      </c>
      <c r="E677" s="17">
        <v>38</v>
      </c>
      <c r="F677" s="16">
        <v>9</v>
      </c>
      <c r="G677" s="17" t="s">
        <v>435</v>
      </c>
      <c r="H677" s="17" t="s">
        <v>1527</v>
      </c>
    </row>
    <row r="678" spans="1:8" x14ac:dyDescent="0.25">
      <c r="A678" s="16" t="s">
        <v>1528</v>
      </c>
      <c r="B678" s="17" t="s">
        <v>1529</v>
      </c>
      <c r="C678" s="17" t="s">
        <v>3766</v>
      </c>
      <c r="D678" s="17" t="s">
        <v>4718</v>
      </c>
      <c r="E678" s="17">
        <v>38</v>
      </c>
      <c r="F678" s="16">
        <v>9</v>
      </c>
      <c r="G678" s="17" t="s">
        <v>435</v>
      </c>
      <c r="H678" s="17" t="s">
        <v>1530</v>
      </c>
    </row>
    <row r="679" spans="1:8" x14ac:dyDescent="0.25">
      <c r="A679" s="16" t="s">
        <v>1531</v>
      </c>
      <c r="B679" s="17" t="s">
        <v>138</v>
      </c>
      <c r="C679" s="17" t="s">
        <v>4719</v>
      </c>
      <c r="D679" s="17" t="s">
        <v>4720</v>
      </c>
      <c r="E679" s="17">
        <v>38</v>
      </c>
      <c r="F679" s="16">
        <v>9</v>
      </c>
      <c r="G679" s="17" t="s">
        <v>435</v>
      </c>
      <c r="H679" s="17" t="s">
        <v>1532</v>
      </c>
    </row>
    <row r="680" spans="1:8" x14ac:dyDescent="0.25">
      <c r="A680" s="16" t="s">
        <v>1533</v>
      </c>
      <c r="B680" s="17" t="s">
        <v>1534</v>
      </c>
      <c r="C680" s="17" t="s">
        <v>4721</v>
      </c>
      <c r="D680" s="17" t="s">
        <v>4722</v>
      </c>
      <c r="E680" s="17">
        <v>38</v>
      </c>
      <c r="F680" s="16">
        <v>9</v>
      </c>
      <c r="G680" s="17" t="s">
        <v>1535</v>
      </c>
      <c r="H680" s="17" t="s">
        <v>1535</v>
      </c>
    </row>
    <row r="681" spans="1:8" x14ac:dyDescent="0.25">
      <c r="A681" s="16" t="s">
        <v>1536</v>
      </c>
      <c r="B681" s="17" t="s">
        <v>1537</v>
      </c>
      <c r="C681" s="17" t="s">
        <v>4723</v>
      </c>
      <c r="D681" s="17" t="s">
        <v>4724</v>
      </c>
      <c r="E681" s="17">
        <v>38</v>
      </c>
      <c r="F681" s="16">
        <v>9</v>
      </c>
      <c r="G681" s="17" t="s">
        <v>1535</v>
      </c>
      <c r="H681" s="17" t="s">
        <v>1538</v>
      </c>
    </row>
    <row r="682" spans="1:8" x14ac:dyDescent="0.25">
      <c r="A682" s="16" t="s">
        <v>1539</v>
      </c>
      <c r="B682" s="17" t="s">
        <v>1540</v>
      </c>
      <c r="C682" s="17" t="s">
        <v>3758</v>
      </c>
      <c r="D682" s="17" t="s">
        <v>4725</v>
      </c>
      <c r="E682" s="17">
        <v>38</v>
      </c>
      <c r="F682" s="16">
        <v>9</v>
      </c>
      <c r="G682" s="17" t="s">
        <v>1535</v>
      </c>
      <c r="H682" s="17" t="s">
        <v>1541</v>
      </c>
    </row>
    <row r="683" spans="1:8" x14ac:dyDescent="0.25">
      <c r="A683" s="16" t="s">
        <v>1542</v>
      </c>
      <c r="B683" s="17" t="s">
        <v>23</v>
      </c>
      <c r="C683" s="17" t="s">
        <v>4726</v>
      </c>
      <c r="D683" s="17" t="s">
        <v>4727</v>
      </c>
      <c r="E683" s="17">
        <v>38</v>
      </c>
      <c r="F683" s="16">
        <v>9</v>
      </c>
      <c r="G683" s="17" t="s">
        <v>1535</v>
      </c>
      <c r="H683" s="17" t="s">
        <v>77</v>
      </c>
    </row>
    <row r="684" spans="1:8" x14ac:dyDescent="0.25">
      <c r="A684" s="16" t="s">
        <v>1543</v>
      </c>
      <c r="B684" s="17" t="s">
        <v>1432</v>
      </c>
      <c r="C684" s="17" t="s">
        <v>3766</v>
      </c>
      <c r="D684" s="17" t="s">
        <v>4728</v>
      </c>
      <c r="E684" s="17">
        <v>38</v>
      </c>
      <c r="F684" s="16">
        <v>9</v>
      </c>
      <c r="G684" s="17" t="s">
        <v>1535</v>
      </c>
      <c r="H684" s="17" t="s">
        <v>1544</v>
      </c>
    </row>
    <row r="685" spans="1:8" x14ac:dyDescent="0.25">
      <c r="A685" s="16" t="s">
        <v>1545</v>
      </c>
      <c r="B685" s="17" t="s">
        <v>261</v>
      </c>
      <c r="C685" s="17" t="s">
        <v>4108</v>
      </c>
      <c r="D685" s="17" t="s">
        <v>4729</v>
      </c>
      <c r="E685" s="17">
        <v>38</v>
      </c>
      <c r="F685" s="16">
        <v>9</v>
      </c>
      <c r="G685" s="17" t="s">
        <v>1535</v>
      </c>
      <c r="H685" s="17" t="s">
        <v>302</v>
      </c>
    </row>
    <row r="686" spans="1:8" x14ac:dyDescent="0.25">
      <c r="A686" s="16" t="s">
        <v>1546</v>
      </c>
      <c r="B686" s="17" t="s">
        <v>1311</v>
      </c>
      <c r="C686" s="17" t="s">
        <v>4730</v>
      </c>
      <c r="D686" s="17" t="s">
        <v>4731</v>
      </c>
      <c r="E686" s="17">
        <v>38</v>
      </c>
      <c r="F686" s="16">
        <v>9</v>
      </c>
      <c r="G686" s="17" t="s">
        <v>1535</v>
      </c>
      <c r="H686" s="17" t="s">
        <v>1547</v>
      </c>
    </row>
    <row r="687" spans="1:8" x14ac:dyDescent="0.25">
      <c r="A687" s="16" t="s">
        <v>1548</v>
      </c>
      <c r="B687" s="17" t="s">
        <v>1549</v>
      </c>
      <c r="C687" s="17" t="s">
        <v>3764</v>
      </c>
      <c r="D687" s="17" t="s">
        <v>4732</v>
      </c>
      <c r="E687" s="17">
        <v>38</v>
      </c>
      <c r="F687" s="16">
        <v>9</v>
      </c>
      <c r="G687" s="17" t="s">
        <v>1535</v>
      </c>
      <c r="H687" s="17" t="s">
        <v>1066</v>
      </c>
    </row>
    <row r="688" spans="1:8" x14ac:dyDescent="0.25">
      <c r="A688" s="16" t="s">
        <v>1550</v>
      </c>
      <c r="B688" s="17" t="s">
        <v>172</v>
      </c>
      <c r="C688" s="17" t="s">
        <v>3766</v>
      </c>
      <c r="D688" s="17" t="s">
        <v>4733</v>
      </c>
      <c r="E688" s="17">
        <v>38</v>
      </c>
      <c r="F688" s="16">
        <v>9</v>
      </c>
      <c r="G688" s="17" t="s">
        <v>1535</v>
      </c>
      <c r="H688" s="17" t="s">
        <v>1551</v>
      </c>
    </row>
    <row r="689" spans="1:8" x14ac:dyDescent="0.25">
      <c r="A689" s="16" t="s">
        <v>1552</v>
      </c>
      <c r="B689" s="17" t="s">
        <v>60</v>
      </c>
      <c r="C689" s="17" t="s">
        <v>4248</v>
      </c>
      <c r="D689" s="17" t="s">
        <v>4734</v>
      </c>
      <c r="E689" s="17">
        <v>38</v>
      </c>
      <c r="F689" s="16">
        <v>9</v>
      </c>
      <c r="G689" s="17" t="s">
        <v>1535</v>
      </c>
      <c r="H689" s="17" t="s">
        <v>1553</v>
      </c>
    </row>
    <row r="690" spans="1:8" x14ac:dyDescent="0.25">
      <c r="A690" s="16" t="s">
        <v>1554</v>
      </c>
      <c r="B690" s="17" t="s">
        <v>234</v>
      </c>
      <c r="C690" s="17" t="s">
        <v>4735</v>
      </c>
      <c r="D690" s="17" t="s">
        <v>4736</v>
      </c>
      <c r="E690" s="17">
        <v>38</v>
      </c>
      <c r="F690" s="16">
        <v>9</v>
      </c>
      <c r="G690" s="17" t="s">
        <v>1535</v>
      </c>
      <c r="H690" s="17" t="s">
        <v>1555</v>
      </c>
    </row>
    <row r="691" spans="1:8" x14ac:dyDescent="0.25">
      <c r="A691" s="16" t="s">
        <v>1556</v>
      </c>
      <c r="B691" s="17" t="s">
        <v>1311</v>
      </c>
      <c r="C691" s="17" t="s">
        <v>4737</v>
      </c>
      <c r="D691" s="17" t="s">
        <v>4738</v>
      </c>
      <c r="E691" s="17">
        <v>38</v>
      </c>
      <c r="F691" s="16">
        <v>9</v>
      </c>
      <c r="G691" s="17" t="s">
        <v>1535</v>
      </c>
      <c r="H691" s="17" t="s">
        <v>1557</v>
      </c>
    </row>
    <row r="692" spans="1:8" x14ac:dyDescent="0.25">
      <c r="A692" s="16" t="s">
        <v>1558</v>
      </c>
      <c r="B692" s="17" t="s">
        <v>1559</v>
      </c>
      <c r="C692" s="17" t="s">
        <v>3766</v>
      </c>
      <c r="D692" s="17" t="s">
        <v>4739</v>
      </c>
      <c r="E692" s="17">
        <v>38</v>
      </c>
      <c r="F692" s="16">
        <v>9</v>
      </c>
      <c r="G692" s="17" t="s">
        <v>1535</v>
      </c>
      <c r="H692" s="17" t="s">
        <v>1560</v>
      </c>
    </row>
    <row r="693" spans="1:8" x14ac:dyDescent="0.25">
      <c r="A693" s="16" t="s">
        <v>1561</v>
      </c>
      <c r="B693" s="17" t="s">
        <v>828</v>
      </c>
      <c r="C693" s="17" t="s">
        <v>3758</v>
      </c>
      <c r="D693" s="17" t="s">
        <v>4740</v>
      </c>
      <c r="E693" s="17">
        <v>38</v>
      </c>
      <c r="F693" s="16">
        <v>9</v>
      </c>
      <c r="G693" s="17" t="s">
        <v>1535</v>
      </c>
      <c r="H693" s="17" t="s">
        <v>1202</v>
      </c>
    </row>
    <row r="694" spans="1:8" x14ac:dyDescent="0.25">
      <c r="A694" s="16" t="s">
        <v>1562</v>
      </c>
      <c r="B694" s="17" t="s">
        <v>126</v>
      </c>
      <c r="C694" s="17" t="s">
        <v>4741</v>
      </c>
      <c r="D694" s="17" t="s">
        <v>4742</v>
      </c>
      <c r="E694" s="17">
        <v>38</v>
      </c>
      <c r="F694" s="16">
        <v>9</v>
      </c>
      <c r="G694" s="17" t="s">
        <v>1535</v>
      </c>
      <c r="H694" s="17" t="s">
        <v>1563</v>
      </c>
    </row>
    <row r="695" spans="1:8" x14ac:dyDescent="0.25">
      <c r="A695" s="16" t="s">
        <v>1564</v>
      </c>
      <c r="B695" s="17" t="s">
        <v>103</v>
      </c>
      <c r="C695" s="17" t="s">
        <v>4743</v>
      </c>
      <c r="D695" s="17" t="s">
        <v>4744</v>
      </c>
      <c r="E695" s="17">
        <v>38</v>
      </c>
      <c r="F695" s="16">
        <v>9</v>
      </c>
      <c r="G695" s="17" t="s">
        <v>1535</v>
      </c>
      <c r="H695" s="17" t="s">
        <v>1565</v>
      </c>
    </row>
    <row r="696" spans="1:8" x14ac:dyDescent="0.25">
      <c r="A696" s="16" t="s">
        <v>1566</v>
      </c>
      <c r="B696" s="17" t="s">
        <v>63</v>
      </c>
      <c r="C696" s="17" t="s">
        <v>4745</v>
      </c>
      <c r="D696" s="17" t="s">
        <v>4746</v>
      </c>
      <c r="E696" s="17">
        <v>38</v>
      </c>
      <c r="F696" s="16">
        <v>9</v>
      </c>
      <c r="G696" s="17" t="s">
        <v>1567</v>
      </c>
      <c r="H696" s="17" t="s">
        <v>1568</v>
      </c>
    </row>
    <row r="697" spans="1:8" x14ac:dyDescent="0.25">
      <c r="A697" s="16" t="s">
        <v>1569</v>
      </c>
      <c r="B697" s="17" t="s">
        <v>49</v>
      </c>
      <c r="C697" s="17" t="s">
        <v>4747</v>
      </c>
      <c r="D697" s="17" t="s">
        <v>4748</v>
      </c>
      <c r="E697" s="17">
        <v>39</v>
      </c>
      <c r="F697" s="27">
        <v>19</v>
      </c>
      <c r="G697" s="17" t="s">
        <v>1049</v>
      </c>
      <c r="H697" s="17" t="s">
        <v>1049</v>
      </c>
    </row>
    <row r="698" spans="1:8" x14ac:dyDescent="0.25">
      <c r="A698" s="16" t="s">
        <v>1570</v>
      </c>
      <c r="B698" s="17" t="s">
        <v>443</v>
      </c>
      <c r="C698" s="17" t="s">
        <v>4749</v>
      </c>
      <c r="D698" s="17" t="s">
        <v>4750</v>
      </c>
      <c r="E698" s="17">
        <v>39</v>
      </c>
      <c r="F698" s="27">
        <v>19</v>
      </c>
      <c r="G698" s="17" t="s">
        <v>1049</v>
      </c>
      <c r="H698" s="17" t="s">
        <v>1571</v>
      </c>
    </row>
    <row r="699" spans="1:8" x14ac:dyDescent="0.25">
      <c r="A699" s="16" t="s">
        <v>1572</v>
      </c>
      <c r="B699" s="17" t="s">
        <v>148</v>
      </c>
      <c r="C699" s="17" t="s">
        <v>4751</v>
      </c>
      <c r="D699" s="17" t="s">
        <v>4752</v>
      </c>
      <c r="E699" s="17">
        <v>39</v>
      </c>
      <c r="F699" s="27">
        <v>19</v>
      </c>
      <c r="G699" s="17" t="s">
        <v>1049</v>
      </c>
      <c r="H699" s="17" t="s">
        <v>1573</v>
      </c>
    </row>
    <row r="700" spans="1:8" x14ac:dyDescent="0.25">
      <c r="A700" s="16" t="s">
        <v>1574</v>
      </c>
      <c r="B700" s="17" t="s">
        <v>95</v>
      </c>
      <c r="C700" s="17" t="s">
        <v>4753</v>
      </c>
      <c r="D700" s="17" t="s">
        <v>4754</v>
      </c>
      <c r="E700" s="17">
        <v>39</v>
      </c>
      <c r="F700" s="27">
        <v>19</v>
      </c>
      <c r="G700" s="17" t="s">
        <v>1049</v>
      </c>
      <c r="H700" s="17" t="s">
        <v>1575</v>
      </c>
    </row>
    <row r="701" spans="1:8" x14ac:dyDescent="0.25">
      <c r="A701" s="16" t="s">
        <v>1576</v>
      </c>
      <c r="B701" s="17" t="s">
        <v>23</v>
      </c>
      <c r="C701" s="17" t="s">
        <v>4755</v>
      </c>
      <c r="D701" s="17" t="s">
        <v>4756</v>
      </c>
      <c r="E701" s="17">
        <v>39</v>
      </c>
      <c r="F701" s="27">
        <v>19</v>
      </c>
      <c r="G701" s="17" t="s">
        <v>1049</v>
      </c>
      <c r="H701" s="17" t="s">
        <v>1577</v>
      </c>
    </row>
    <row r="702" spans="1:8" x14ac:dyDescent="0.25">
      <c r="A702" s="16" t="s">
        <v>1578</v>
      </c>
      <c r="B702" s="17" t="s">
        <v>72</v>
      </c>
      <c r="C702" s="17" t="s">
        <v>4757</v>
      </c>
      <c r="D702" s="17" t="s">
        <v>4758</v>
      </c>
      <c r="E702" s="17">
        <v>39</v>
      </c>
      <c r="F702" s="27">
        <v>19</v>
      </c>
      <c r="G702" s="17" t="s">
        <v>1049</v>
      </c>
      <c r="H702" s="17" t="s">
        <v>1579</v>
      </c>
    </row>
    <row r="703" spans="1:8" x14ac:dyDescent="0.25">
      <c r="A703" s="16" t="s">
        <v>1580</v>
      </c>
      <c r="B703" s="17" t="s">
        <v>499</v>
      </c>
      <c r="C703" s="17" t="s">
        <v>3871</v>
      </c>
      <c r="D703" s="17" t="s">
        <v>4759</v>
      </c>
      <c r="E703" s="17">
        <v>39</v>
      </c>
      <c r="F703" s="27">
        <v>19</v>
      </c>
      <c r="G703" s="17" t="s">
        <v>1049</v>
      </c>
      <c r="H703" s="17" t="s">
        <v>1581</v>
      </c>
    </row>
    <row r="704" spans="1:8" x14ac:dyDescent="0.25">
      <c r="A704" s="16" t="s">
        <v>1582</v>
      </c>
      <c r="B704" s="17" t="s">
        <v>129</v>
      </c>
      <c r="C704" s="17" t="s">
        <v>4760</v>
      </c>
      <c r="D704" s="17" t="s">
        <v>4761</v>
      </c>
      <c r="E704" s="17">
        <v>39</v>
      </c>
      <c r="F704" s="27">
        <v>19</v>
      </c>
      <c r="G704" s="17" t="s">
        <v>1049</v>
      </c>
      <c r="H704" s="17" t="s">
        <v>1583</v>
      </c>
    </row>
    <row r="705" spans="1:8" x14ac:dyDescent="0.25">
      <c r="A705" s="16" t="s">
        <v>1584</v>
      </c>
      <c r="B705" s="17" t="s">
        <v>135</v>
      </c>
      <c r="C705" s="17" t="s">
        <v>3766</v>
      </c>
      <c r="D705" s="17" t="s">
        <v>4762</v>
      </c>
      <c r="E705" s="17">
        <v>39</v>
      </c>
      <c r="F705" s="27">
        <v>19</v>
      </c>
      <c r="G705" s="17" t="s">
        <v>1049</v>
      </c>
      <c r="H705" s="17" t="s">
        <v>1585</v>
      </c>
    </row>
    <row r="706" spans="1:8" x14ac:dyDescent="0.25">
      <c r="A706" s="16" t="s">
        <v>1586</v>
      </c>
      <c r="B706" s="17" t="s">
        <v>157</v>
      </c>
      <c r="C706" s="17" t="s">
        <v>3766</v>
      </c>
      <c r="D706" s="17" t="s">
        <v>4763</v>
      </c>
      <c r="E706" s="17">
        <v>39</v>
      </c>
      <c r="F706" s="27">
        <v>19</v>
      </c>
      <c r="G706" s="17" t="s">
        <v>1049</v>
      </c>
      <c r="H706" s="17" t="s">
        <v>1587</v>
      </c>
    </row>
    <row r="707" spans="1:8" x14ac:dyDescent="0.25">
      <c r="A707" s="16" t="s">
        <v>1588</v>
      </c>
      <c r="B707" s="17" t="s">
        <v>132</v>
      </c>
      <c r="C707" s="17" t="s">
        <v>4764</v>
      </c>
      <c r="D707" s="17" t="s">
        <v>4765</v>
      </c>
      <c r="E707" s="17">
        <v>39</v>
      </c>
      <c r="F707" s="27">
        <v>19</v>
      </c>
      <c r="G707" s="17" t="s">
        <v>1049</v>
      </c>
      <c r="H707" s="17" t="s">
        <v>1589</v>
      </c>
    </row>
    <row r="708" spans="1:8" x14ac:dyDescent="0.25">
      <c r="A708" s="16" t="s">
        <v>1590</v>
      </c>
      <c r="B708" s="17" t="s">
        <v>107</v>
      </c>
      <c r="C708" s="17" t="s">
        <v>4766</v>
      </c>
      <c r="D708" s="17" t="s">
        <v>4767</v>
      </c>
      <c r="E708" s="17">
        <v>39</v>
      </c>
      <c r="F708" s="27">
        <v>19</v>
      </c>
      <c r="G708" s="17" t="s">
        <v>1049</v>
      </c>
      <c r="H708" s="17" t="s">
        <v>1591</v>
      </c>
    </row>
    <row r="709" spans="1:8" x14ac:dyDescent="0.25">
      <c r="A709" s="16" t="s">
        <v>1592</v>
      </c>
      <c r="B709" s="17" t="s">
        <v>448</v>
      </c>
      <c r="C709" s="17" t="s">
        <v>4768</v>
      </c>
      <c r="D709" s="17" t="s">
        <v>4769</v>
      </c>
      <c r="E709" s="17">
        <v>39</v>
      </c>
      <c r="F709" s="27">
        <v>19</v>
      </c>
      <c r="G709" s="17" t="s">
        <v>1049</v>
      </c>
      <c r="H709" s="17" t="s">
        <v>1593</v>
      </c>
    </row>
    <row r="710" spans="1:8" x14ac:dyDescent="0.25">
      <c r="A710" s="16" t="s">
        <v>1594</v>
      </c>
      <c r="B710" s="17" t="s">
        <v>41</v>
      </c>
      <c r="C710" s="17" t="s">
        <v>3766</v>
      </c>
      <c r="D710" s="17" t="s">
        <v>4770</v>
      </c>
      <c r="E710" s="17">
        <v>39</v>
      </c>
      <c r="F710" s="27">
        <v>19</v>
      </c>
      <c r="G710" s="17" t="s">
        <v>1049</v>
      </c>
      <c r="H710" s="17" t="s">
        <v>1595</v>
      </c>
    </row>
    <row r="711" spans="1:8" x14ac:dyDescent="0.25">
      <c r="A711" s="16" t="s">
        <v>1596</v>
      </c>
      <c r="B711" s="17" t="s">
        <v>129</v>
      </c>
      <c r="C711" s="17" t="s">
        <v>4771</v>
      </c>
      <c r="D711" s="17" t="s">
        <v>4772</v>
      </c>
      <c r="E711" s="17">
        <v>39</v>
      </c>
      <c r="F711" s="27">
        <v>19</v>
      </c>
      <c r="G711" s="17" t="s">
        <v>1049</v>
      </c>
      <c r="H711" s="17" t="s">
        <v>1226</v>
      </c>
    </row>
    <row r="712" spans="1:8" x14ac:dyDescent="0.25">
      <c r="A712" s="16" t="s">
        <v>1597</v>
      </c>
      <c r="B712" s="17" t="s">
        <v>77</v>
      </c>
      <c r="C712" s="17" t="s">
        <v>4773</v>
      </c>
      <c r="D712" s="17" t="s">
        <v>4774</v>
      </c>
      <c r="E712" s="17">
        <v>39</v>
      </c>
      <c r="F712" s="27">
        <v>19</v>
      </c>
      <c r="G712" s="17" t="s">
        <v>1049</v>
      </c>
      <c r="H712" s="17" t="s">
        <v>1598</v>
      </c>
    </row>
    <row r="713" spans="1:8" x14ac:dyDescent="0.25">
      <c r="A713" s="16" t="s">
        <v>1599</v>
      </c>
      <c r="B713" s="17" t="s">
        <v>970</v>
      </c>
      <c r="C713" s="17" t="s">
        <v>4775</v>
      </c>
      <c r="D713" s="17" t="s">
        <v>4776</v>
      </c>
      <c r="E713" s="17">
        <v>40</v>
      </c>
      <c r="F713" s="16">
        <v>5</v>
      </c>
      <c r="G713" s="17" t="s">
        <v>1077</v>
      </c>
      <c r="H713" s="17" t="s">
        <v>1077</v>
      </c>
    </row>
    <row r="714" spans="1:8" x14ac:dyDescent="0.25">
      <c r="A714" s="16" t="s">
        <v>1600</v>
      </c>
      <c r="B714" s="17" t="s">
        <v>92</v>
      </c>
      <c r="C714" s="17" t="s">
        <v>4777</v>
      </c>
      <c r="D714" s="17" t="s">
        <v>4778</v>
      </c>
      <c r="E714" s="17">
        <v>40</v>
      </c>
      <c r="F714" s="16">
        <v>5</v>
      </c>
      <c r="G714" s="17" t="s">
        <v>1077</v>
      </c>
      <c r="H714" s="17" t="s">
        <v>1077</v>
      </c>
    </row>
    <row r="715" spans="1:8" x14ac:dyDescent="0.25">
      <c r="A715" s="16" t="s">
        <v>1601</v>
      </c>
      <c r="B715" s="17" t="s">
        <v>80</v>
      </c>
      <c r="C715" s="17" t="s">
        <v>3978</v>
      </c>
      <c r="D715" s="17" t="s">
        <v>4779</v>
      </c>
      <c r="E715" s="17">
        <v>40</v>
      </c>
      <c r="F715" s="16">
        <v>5</v>
      </c>
      <c r="G715" s="17" t="s">
        <v>1077</v>
      </c>
      <c r="H715" s="17" t="s">
        <v>1602</v>
      </c>
    </row>
    <row r="716" spans="1:8" x14ac:dyDescent="0.25">
      <c r="A716" s="16" t="s">
        <v>1603</v>
      </c>
      <c r="B716" s="17" t="s">
        <v>195</v>
      </c>
      <c r="C716" s="17" t="s">
        <v>4780</v>
      </c>
      <c r="D716" s="17" t="s">
        <v>4781</v>
      </c>
      <c r="E716" s="17">
        <v>40</v>
      </c>
      <c r="F716" s="16">
        <v>5</v>
      </c>
      <c r="G716" s="17" t="s">
        <v>1077</v>
      </c>
      <c r="H716" s="17" t="s">
        <v>1604</v>
      </c>
    </row>
    <row r="717" spans="1:8" x14ac:dyDescent="0.25">
      <c r="A717" s="16" t="s">
        <v>1605</v>
      </c>
      <c r="B717" s="17" t="s">
        <v>138</v>
      </c>
      <c r="C717" s="17" t="s">
        <v>3766</v>
      </c>
      <c r="D717" s="17" t="s">
        <v>4782</v>
      </c>
      <c r="E717" s="17">
        <v>40</v>
      </c>
      <c r="F717" s="16">
        <v>5</v>
      </c>
      <c r="G717" s="17" t="s">
        <v>1077</v>
      </c>
      <c r="H717" s="17" t="s">
        <v>1606</v>
      </c>
    </row>
    <row r="718" spans="1:8" x14ac:dyDescent="0.25">
      <c r="A718" s="16" t="s">
        <v>1607</v>
      </c>
      <c r="B718" s="17" t="s">
        <v>77</v>
      </c>
      <c r="C718" s="17" t="s">
        <v>4783</v>
      </c>
      <c r="D718" s="17" t="s">
        <v>4784</v>
      </c>
      <c r="E718" s="17">
        <v>40</v>
      </c>
      <c r="F718" s="16">
        <v>5</v>
      </c>
      <c r="G718" s="17" t="s">
        <v>1077</v>
      </c>
      <c r="H718" s="17" t="s">
        <v>1608</v>
      </c>
    </row>
    <row r="719" spans="1:8" x14ac:dyDescent="0.25">
      <c r="A719" s="16" t="s">
        <v>1609</v>
      </c>
      <c r="B719" s="17" t="s">
        <v>1309</v>
      </c>
      <c r="C719" s="17" t="s">
        <v>3904</v>
      </c>
      <c r="D719" s="17" t="s">
        <v>4785</v>
      </c>
      <c r="E719" s="17">
        <v>40</v>
      </c>
      <c r="F719" s="16">
        <v>5</v>
      </c>
      <c r="G719" s="17" t="s">
        <v>1087</v>
      </c>
      <c r="H719" s="17" t="s">
        <v>1610</v>
      </c>
    </row>
    <row r="720" spans="1:8" x14ac:dyDescent="0.25">
      <c r="A720" s="16" t="s">
        <v>1611</v>
      </c>
      <c r="B720" s="17" t="s">
        <v>161</v>
      </c>
      <c r="C720" s="17" t="s">
        <v>3766</v>
      </c>
      <c r="D720" s="17" t="s">
        <v>4786</v>
      </c>
      <c r="E720" s="17">
        <v>40</v>
      </c>
      <c r="F720" s="16">
        <v>5</v>
      </c>
      <c r="G720" s="17" t="s">
        <v>1612</v>
      </c>
      <c r="H720" s="17" t="s">
        <v>1613</v>
      </c>
    </row>
    <row r="721" spans="1:8" x14ac:dyDescent="0.25">
      <c r="A721" s="16" t="s">
        <v>1614</v>
      </c>
      <c r="B721" s="17" t="s">
        <v>1615</v>
      </c>
      <c r="C721" s="17" t="s">
        <v>4787</v>
      </c>
      <c r="D721" s="17" t="s">
        <v>4788</v>
      </c>
      <c r="E721" s="17">
        <v>40</v>
      </c>
      <c r="F721" s="16">
        <v>5</v>
      </c>
      <c r="G721" s="17" t="s">
        <v>1612</v>
      </c>
      <c r="H721" s="17" t="s">
        <v>1616</v>
      </c>
    </row>
    <row r="722" spans="1:8" x14ac:dyDescent="0.25">
      <c r="A722" s="16" t="s">
        <v>1617</v>
      </c>
      <c r="B722" s="17" t="s">
        <v>135</v>
      </c>
      <c r="C722" s="17" t="s">
        <v>3766</v>
      </c>
      <c r="D722" s="17" t="s">
        <v>4789</v>
      </c>
      <c r="E722" s="17">
        <v>40</v>
      </c>
      <c r="F722" s="16">
        <v>5</v>
      </c>
      <c r="G722" s="17" t="s">
        <v>1045</v>
      </c>
      <c r="H722" s="17" t="s">
        <v>115</v>
      </c>
    </row>
    <row r="723" spans="1:8" x14ac:dyDescent="0.25">
      <c r="A723" s="16" t="s">
        <v>1618</v>
      </c>
      <c r="B723" s="17" t="s">
        <v>1619</v>
      </c>
      <c r="C723" s="17" t="s">
        <v>4790</v>
      </c>
      <c r="D723" s="17" t="s">
        <v>4791</v>
      </c>
      <c r="E723" s="17">
        <v>40</v>
      </c>
      <c r="F723" s="16">
        <v>5</v>
      </c>
      <c r="G723" s="17" t="s">
        <v>1620</v>
      </c>
      <c r="H723" s="17" t="s">
        <v>1621</v>
      </c>
    </row>
    <row r="724" spans="1:8" x14ac:dyDescent="0.25">
      <c r="A724" s="16" t="s">
        <v>1622</v>
      </c>
      <c r="B724" s="17" t="s">
        <v>947</v>
      </c>
      <c r="C724" s="17" t="s">
        <v>3766</v>
      </c>
      <c r="D724" s="17" t="s">
        <v>4792</v>
      </c>
      <c r="E724" s="17">
        <v>40</v>
      </c>
      <c r="F724" s="16">
        <v>5</v>
      </c>
      <c r="G724" s="17" t="s">
        <v>1620</v>
      </c>
      <c r="H724" s="17" t="s">
        <v>1623</v>
      </c>
    </row>
    <row r="725" spans="1:8" x14ac:dyDescent="0.25">
      <c r="A725" s="16" t="s">
        <v>1624</v>
      </c>
      <c r="B725" s="17" t="s">
        <v>443</v>
      </c>
      <c r="C725" s="17" t="s">
        <v>3766</v>
      </c>
      <c r="D725" s="17" t="s">
        <v>4793</v>
      </c>
      <c r="E725" s="17">
        <v>40</v>
      </c>
      <c r="F725" s="16">
        <v>5</v>
      </c>
      <c r="G725" s="17" t="s">
        <v>1625</v>
      </c>
      <c r="H725" s="17" t="s">
        <v>1626</v>
      </c>
    </row>
    <row r="726" spans="1:8" x14ac:dyDescent="0.25">
      <c r="A726" s="16" t="s">
        <v>1627</v>
      </c>
      <c r="B726" s="17" t="s">
        <v>151</v>
      </c>
      <c r="C726" s="17" t="s">
        <v>3766</v>
      </c>
      <c r="D726" s="17" t="s">
        <v>4794</v>
      </c>
      <c r="E726" s="17">
        <v>40</v>
      </c>
      <c r="F726" s="16">
        <v>5</v>
      </c>
      <c r="G726" s="17" t="s">
        <v>1625</v>
      </c>
      <c r="H726" s="17" t="s">
        <v>1628</v>
      </c>
    </row>
    <row r="727" spans="1:8" x14ac:dyDescent="0.25">
      <c r="A727" s="16" t="s">
        <v>1629</v>
      </c>
      <c r="B727" s="17" t="s">
        <v>480</v>
      </c>
      <c r="C727" s="17" t="s">
        <v>3766</v>
      </c>
      <c r="D727" s="17" t="s">
        <v>4795</v>
      </c>
      <c r="E727" s="17">
        <v>40</v>
      </c>
      <c r="F727" s="16">
        <v>5</v>
      </c>
      <c r="G727" s="17" t="s">
        <v>1625</v>
      </c>
      <c r="H727" s="17" t="s">
        <v>1630</v>
      </c>
    </row>
    <row r="728" spans="1:8" x14ac:dyDescent="0.25">
      <c r="A728" s="16" t="s">
        <v>1631</v>
      </c>
      <c r="B728" s="17" t="s">
        <v>1029</v>
      </c>
      <c r="C728" s="17" t="s">
        <v>4796</v>
      </c>
      <c r="D728" s="17" t="s">
        <v>4797</v>
      </c>
      <c r="E728" s="17">
        <v>40</v>
      </c>
      <c r="F728" s="16">
        <v>5</v>
      </c>
      <c r="G728" s="17" t="s">
        <v>1625</v>
      </c>
      <c r="H728" s="17" t="s">
        <v>1632</v>
      </c>
    </row>
    <row r="729" spans="1:8" x14ac:dyDescent="0.25">
      <c r="A729" s="16" t="s">
        <v>1633</v>
      </c>
      <c r="B729" s="17" t="s">
        <v>46</v>
      </c>
      <c r="C729" s="17" t="s">
        <v>4679</v>
      </c>
      <c r="D729" s="17" t="s">
        <v>4798</v>
      </c>
      <c r="E729" s="17">
        <v>40</v>
      </c>
      <c r="F729" s="16">
        <v>5</v>
      </c>
      <c r="G729" s="17" t="s">
        <v>1625</v>
      </c>
      <c r="H729" s="17" t="s">
        <v>1634</v>
      </c>
    </row>
    <row r="730" spans="1:8" x14ac:dyDescent="0.25">
      <c r="A730" s="16" t="s">
        <v>1635</v>
      </c>
      <c r="B730" s="17" t="s">
        <v>272</v>
      </c>
      <c r="C730" s="17" t="s">
        <v>3766</v>
      </c>
      <c r="D730" s="17" t="s">
        <v>4799</v>
      </c>
      <c r="E730" s="17">
        <v>40</v>
      </c>
      <c r="F730" s="16">
        <v>5</v>
      </c>
      <c r="G730" s="17" t="s">
        <v>1625</v>
      </c>
      <c r="H730" s="17" t="s">
        <v>869</v>
      </c>
    </row>
    <row r="731" spans="1:8" x14ac:dyDescent="0.25">
      <c r="A731" s="16" t="s">
        <v>1636</v>
      </c>
      <c r="B731" s="17" t="s">
        <v>23</v>
      </c>
      <c r="C731" s="17" t="s">
        <v>4800</v>
      </c>
      <c r="D731" s="17" t="s">
        <v>4801</v>
      </c>
      <c r="E731" s="17">
        <v>40</v>
      </c>
      <c r="F731" s="16">
        <v>5</v>
      </c>
      <c r="G731" s="17" t="s">
        <v>1637</v>
      </c>
      <c r="H731" s="17" t="s">
        <v>1638</v>
      </c>
    </row>
    <row r="732" spans="1:8" x14ac:dyDescent="0.25">
      <c r="A732" s="16" t="s">
        <v>1639</v>
      </c>
      <c r="B732" s="17" t="s">
        <v>41</v>
      </c>
      <c r="C732" s="17" t="s">
        <v>4802</v>
      </c>
      <c r="D732" s="17" t="s">
        <v>4803</v>
      </c>
      <c r="E732" s="17">
        <v>40</v>
      </c>
      <c r="F732" s="16">
        <v>5</v>
      </c>
      <c r="G732" s="17" t="s">
        <v>1637</v>
      </c>
      <c r="H732" s="17" t="s">
        <v>1640</v>
      </c>
    </row>
    <row r="733" spans="1:8" x14ac:dyDescent="0.25">
      <c r="A733" s="16" t="s">
        <v>1641</v>
      </c>
      <c r="B733" s="17" t="s">
        <v>301</v>
      </c>
      <c r="C733" s="17" t="s">
        <v>3843</v>
      </c>
      <c r="D733" s="17" t="s">
        <v>4804</v>
      </c>
      <c r="E733" s="17">
        <v>40</v>
      </c>
      <c r="F733" s="16">
        <v>5</v>
      </c>
      <c r="G733" s="17" t="s">
        <v>1637</v>
      </c>
      <c r="H733" s="17" t="s">
        <v>1642</v>
      </c>
    </row>
    <row r="734" spans="1:8" x14ac:dyDescent="0.25">
      <c r="A734" s="16" t="s">
        <v>1643</v>
      </c>
      <c r="B734" s="17" t="s">
        <v>571</v>
      </c>
      <c r="C734" s="17" t="s">
        <v>4172</v>
      </c>
      <c r="D734" s="17" t="s">
        <v>4805</v>
      </c>
      <c r="E734" s="17">
        <v>40</v>
      </c>
      <c r="F734" s="16">
        <v>5</v>
      </c>
      <c r="G734" s="17" t="s">
        <v>1567</v>
      </c>
      <c r="H734" s="17" t="s">
        <v>1644</v>
      </c>
    </row>
    <row r="735" spans="1:8" x14ac:dyDescent="0.25">
      <c r="A735" s="16" t="s">
        <v>1645</v>
      </c>
      <c r="B735" s="17" t="s">
        <v>510</v>
      </c>
      <c r="C735" s="17" t="s">
        <v>4806</v>
      </c>
      <c r="D735" s="17" t="s">
        <v>4807</v>
      </c>
      <c r="E735" s="17">
        <v>40</v>
      </c>
      <c r="F735" s="16">
        <v>5</v>
      </c>
      <c r="G735" s="17" t="s">
        <v>1567</v>
      </c>
      <c r="H735" s="17" t="s">
        <v>1406</v>
      </c>
    </row>
    <row r="736" spans="1:8" x14ac:dyDescent="0.25">
      <c r="A736" s="16" t="s">
        <v>1646</v>
      </c>
      <c r="B736" s="17" t="s">
        <v>80</v>
      </c>
      <c r="C736" s="17" t="s">
        <v>3814</v>
      </c>
      <c r="D736" s="17" t="s">
        <v>4808</v>
      </c>
      <c r="E736" s="17">
        <v>40</v>
      </c>
      <c r="F736" s="16">
        <v>5</v>
      </c>
      <c r="G736" s="17" t="s">
        <v>1567</v>
      </c>
      <c r="H736" s="17" t="s">
        <v>1647</v>
      </c>
    </row>
    <row r="737" spans="1:8" x14ac:dyDescent="0.25">
      <c r="A737" s="16" t="s">
        <v>1648</v>
      </c>
      <c r="B737" s="17" t="s">
        <v>1649</v>
      </c>
      <c r="C737" s="17" t="s">
        <v>4809</v>
      </c>
      <c r="D737" s="17" t="s">
        <v>4810</v>
      </c>
      <c r="E737" s="17">
        <v>40</v>
      </c>
      <c r="F737" s="16">
        <v>5</v>
      </c>
      <c r="G737" s="17" t="s">
        <v>1567</v>
      </c>
      <c r="H737" s="17" t="s">
        <v>1650</v>
      </c>
    </row>
    <row r="738" spans="1:8" x14ac:dyDescent="0.25">
      <c r="A738" s="16" t="s">
        <v>1651</v>
      </c>
      <c r="B738" s="17" t="s">
        <v>1652</v>
      </c>
      <c r="C738" s="17" t="s">
        <v>3871</v>
      </c>
      <c r="D738" s="17" t="s">
        <v>4811</v>
      </c>
      <c r="E738" s="17">
        <v>40</v>
      </c>
      <c r="F738" s="16">
        <v>5</v>
      </c>
      <c r="G738" s="17" t="s">
        <v>1567</v>
      </c>
      <c r="H738" s="17" t="s">
        <v>1653</v>
      </c>
    </row>
    <row r="739" spans="1:8" x14ac:dyDescent="0.25">
      <c r="A739" s="16" t="s">
        <v>1654</v>
      </c>
      <c r="B739" s="17" t="s">
        <v>135</v>
      </c>
      <c r="C739" s="17" t="s">
        <v>3766</v>
      </c>
      <c r="D739" s="17" t="s">
        <v>4812</v>
      </c>
      <c r="E739" s="17">
        <v>40</v>
      </c>
      <c r="F739" s="16">
        <v>5</v>
      </c>
      <c r="G739" s="17" t="s">
        <v>1567</v>
      </c>
      <c r="H739" s="17" t="s">
        <v>1655</v>
      </c>
    </row>
    <row r="740" spans="1:8" x14ac:dyDescent="0.25">
      <c r="A740" s="16" t="s">
        <v>1656</v>
      </c>
      <c r="B740" s="17" t="s">
        <v>517</v>
      </c>
      <c r="C740" s="17" t="s">
        <v>3766</v>
      </c>
      <c r="D740" s="17" t="s">
        <v>4813</v>
      </c>
      <c r="E740" s="17">
        <v>40</v>
      </c>
      <c r="F740" s="16">
        <v>5</v>
      </c>
      <c r="G740" s="17" t="s">
        <v>1567</v>
      </c>
      <c r="H740" s="17" t="s">
        <v>1657</v>
      </c>
    </row>
    <row r="741" spans="1:8" x14ac:dyDescent="0.25">
      <c r="A741" s="16" t="s">
        <v>1658</v>
      </c>
      <c r="B741" s="17" t="s">
        <v>114</v>
      </c>
      <c r="C741" s="17" t="s">
        <v>4814</v>
      </c>
      <c r="D741" s="17" t="s">
        <v>4815</v>
      </c>
      <c r="E741" s="17">
        <v>40</v>
      </c>
      <c r="F741" s="16">
        <v>5</v>
      </c>
      <c r="G741" s="17" t="s">
        <v>1567</v>
      </c>
      <c r="H741" s="17" t="s">
        <v>1659</v>
      </c>
    </row>
    <row r="742" spans="1:8" x14ac:dyDescent="0.25">
      <c r="A742" s="16" t="s">
        <v>1660</v>
      </c>
      <c r="B742" s="17" t="s">
        <v>72</v>
      </c>
      <c r="C742" s="17" t="s">
        <v>3766</v>
      </c>
      <c r="D742" s="17" t="s">
        <v>4816</v>
      </c>
      <c r="E742" s="17">
        <v>40</v>
      </c>
      <c r="F742" s="16">
        <v>5</v>
      </c>
      <c r="G742" s="17" t="s">
        <v>1567</v>
      </c>
      <c r="H742" s="17" t="s">
        <v>1661</v>
      </c>
    </row>
    <row r="743" spans="1:8" x14ac:dyDescent="0.25">
      <c r="A743" s="16" t="s">
        <v>1662</v>
      </c>
      <c r="B743" s="17" t="s">
        <v>366</v>
      </c>
      <c r="C743" s="17" t="s">
        <v>3766</v>
      </c>
      <c r="D743" s="17" t="s">
        <v>4817</v>
      </c>
      <c r="E743" s="17">
        <v>40</v>
      </c>
      <c r="F743" s="16">
        <v>5</v>
      </c>
      <c r="G743" s="17" t="s">
        <v>1567</v>
      </c>
      <c r="H743" s="17" t="s">
        <v>1663</v>
      </c>
    </row>
    <row r="744" spans="1:8" x14ac:dyDescent="0.25">
      <c r="A744" s="16" t="s">
        <v>1664</v>
      </c>
      <c r="B744" s="17" t="s">
        <v>83</v>
      </c>
      <c r="C744" s="17" t="s">
        <v>3766</v>
      </c>
      <c r="D744" s="17" t="s">
        <v>4818</v>
      </c>
      <c r="E744" s="17">
        <v>40</v>
      </c>
      <c r="F744" s="16">
        <v>5</v>
      </c>
      <c r="G744" s="17" t="s">
        <v>1567</v>
      </c>
      <c r="H744" s="17" t="s">
        <v>1665</v>
      </c>
    </row>
    <row r="745" spans="1:8" x14ac:dyDescent="0.25">
      <c r="A745" s="16" t="s">
        <v>1666</v>
      </c>
      <c r="B745" s="17" t="s">
        <v>480</v>
      </c>
      <c r="C745" s="17" t="s">
        <v>4819</v>
      </c>
      <c r="D745" s="17" t="s">
        <v>4820</v>
      </c>
      <c r="E745" s="17">
        <v>40</v>
      </c>
      <c r="F745" s="16">
        <v>5</v>
      </c>
      <c r="G745" s="17" t="s">
        <v>1567</v>
      </c>
      <c r="H745" s="17" t="s">
        <v>1667</v>
      </c>
    </row>
    <row r="746" spans="1:8" x14ac:dyDescent="0.25">
      <c r="A746" s="16" t="s">
        <v>1668</v>
      </c>
      <c r="B746" s="17" t="s">
        <v>166</v>
      </c>
      <c r="C746" s="17" t="s">
        <v>4821</v>
      </c>
      <c r="D746" s="17" t="s">
        <v>4822</v>
      </c>
      <c r="E746" s="17">
        <v>40</v>
      </c>
      <c r="F746" s="16">
        <v>5</v>
      </c>
      <c r="G746" s="17" t="s">
        <v>1669</v>
      </c>
      <c r="H746" s="17" t="s">
        <v>1670</v>
      </c>
    </row>
    <row r="747" spans="1:8" x14ac:dyDescent="0.25">
      <c r="A747" s="16" t="s">
        <v>1671</v>
      </c>
      <c r="B747" s="17" t="s">
        <v>1672</v>
      </c>
      <c r="C747" s="17" t="s">
        <v>3956</v>
      </c>
      <c r="D747" s="17" t="s">
        <v>4823</v>
      </c>
      <c r="E747" s="17">
        <v>40</v>
      </c>
      <c r="F747" s="16">
        <v>5</v>
      </c>
      <c r="G747" s="17" t="s">
        <v>1669</v>
      </c>
      <c r="H747" s="17" t="s">
        <v>1673</v>
      </c>
    </row>
    <row r="748" spans="1:8" x14ac:dyDescent="0.25">
      <c r="A748" s="16" t="s">
        <v>1674</v>
      </c>
      <c r="B748" s="17" t="s">
        <v>406</v>
      </c>
      <c r="C748" s="17" t="s">
        <v>3766</v>
      </c>
      <c r="D748" s="17" t="s">
        <v>4824</v>
      </c>
      <c r="E748" s="17">
        <v>40</v>
      </c>
      <c r="F748" s="16">
        <v>5</v>
      </c>
      <c r="G748" s="17" t="s">
        <v>1669</v>
      </c>
      <c r="H748" s="17" t="s">
        <v>1675</v>
      </c>
    </row>
    <row r="749" spans="1:8" x14ac:dyDescent="0.25">
      <c r="A749" s="16" t="s">
        <v>1676</v>
      </c>
      <c r="B749" s="17" t="s">
        <v>466</v>
      </c>
      <c r="C749" s="17" t="s">
        <v>3766</v>
      </c>
      <c r="D749" s="17" t="s">
        <v>4825</v>
      </c>
      <c r="E749" s="17">
        <v>40</v>
      </c>
      <c r="F749" s="16">
        <v>5</v>
      </c>
      <c r="G749" s="17" t="s">
        <v>1669</v>
      </c>
      <c r="H749" s="17" t="s">
        <v>1677</v>
      </c>
    </row>
    <row r="750" spans="1:8" x14ac:dyDescent="0.25">
      <c r="A750" s="16" t="s">
        <v>1678</v>
      </c>
      <c r="B750" s="17" t="s">
        <v>1301</v>
      </c>
      <c r="C750" s="17" t="s">
        <v>3766</v>
      </c>
      <c r="D750" s="17" t="s">
        <v>4826</v>
      </c>
      <c r="E750" s="17">
        <v>40</v>
      </c>
      <c r="F750" s="16">
        <v>5</v>
      </c>
      <c r="G750" s="17" t="s">
        <v>1669</v>
      </c>
      <c r="H750" s="17" t="s">
        <v>1679</v>
      </c>
    </row>
    <row r="751" spans="1:8" x14ac:dyDescent="0.25">
      <c r="A751" s="16" t="s">
        <v>1680</v>
      </c>
      <c r="B751" s="17" t="s">
        <v>1681</v>
      </c>
      <c r="C751" s="17" t="s">
        <v>3766</v>
      </c>
      <c r="D751" s="17" t="s">
        <v>4827</v>
      </c>
      <c r="E751" s="17">
        <v>41</v>
      </c>
      <c r="F751" s="16">
        <v>3</v>
      </c>
      <c r="G751" s="17" t="s">
        <v>330</v>
      </c>
      <c r="H751" s="17" t="s">
        <v>1682</v>
      </c>
    </row>
    <row r="752" spans="1:8" x14ac:dyDescent="0.25">
      <c r="A752" s="16" t="s">
        <v>1683</v>
      </c>
      <c r="B752" s="17" t="s">
        <v>376</v>
      </c>
      <c r="C752" s="17" t="s">
        <v>3766</v>
      </c>
      <c r="D752" s="17" t="s">
        <v>4828</v>
      </c>
      <c r="E752" s="17">
        <v>41</v>
      </c>
      <c r="F752" s="16">
        <v>3</v>
      </c>
      <c r="G752" s="17" t="s">
        <v>820</v>
      </c>
      <c r="H752" s="17" t="s">
        <v>1684</v>
      </c>
    </row>
    <row r="753" spans="1:8" x14ac:dyDescent="0.25">
      <c r="A753" s="16" t="s">
        <v>1685</v>
      </c>
      <c r="B753" s="17" t="s">
        <v>610</v>
      </c>
      <c r="C753" s="17" t="s">
        <v>4829</v>
      </c>
      <c r="D753" s="17" t="s">
        <v>4830</v>
      </c>
      <c r="E753" s="17">
        <v>41</v>
      </c>
      <c r="F753" s="16">
        <v>3</v>
      </c>
      <c r="G753" s="17" t="s">
        <v>1686</v>
      </c>
      <c r="H753" s="17" t="s">
        <v>1686</v>
      </c>
    </row>
    <row r="754" spans="1:8" x14ac:dyDescent="0.25">
      <c r="A754" s="16" t="s">
        <v>1687</v>
      </c>
      <c r="B754" s="17" t="s">
        <v>1688</v>
      </c>
      <c r="C754" s="17" t="s">
        <v>4208</v>
      </c>
      <c r="D754" s="17" t="s">
        <v>4831</v>
      </c>
      <c r="E754" s="17">
        <v>41</v>
      </c>
      <c r="F754" s="16">
        <v>3</v>
      </c>
      <c r="G754" s="17" t="s">
        <v>1686</v>
      </c>
      <c r="H754" s="17" t="s">
        <v>1686</v>
      </c>
    </row>
    <row r="755" spans="1:8" x14ac:dyDescent="0.25">
      <c r="A755" s="16" t="s">
        <v>1689</v>
      </c>
      <c r="B755" s="17" t="s">
        <v>166</v>
      </c>
      <c r="C755" s="17" t="s">
        <v>3766</v>
      </c>
      <c r="D755" s="17" t="s">
        <v>4832</v>
      </c>
      <c r="E755" s="17">
        <v>41</v>
      </c>
      <c r="F755" s="16">
        <v>3</v>
      </c>
      <c r="G755" s="17" t="s">
        <v>1686</v>
      </c>
      <c r="H755" s="17" t="s">
        <v>1690</v>
      </c>
    </row>
    <row r="756" spans="1:8" x14ac:dyDescent="0.25">
      <c r="A756" s="16" t="s">
        <v>1691</v>
      </c>
      <c r="B756" s="17" t="s">
        <v>129</v>
      </c>
      <c r="C756" s="17" t="s">
        <v>3766</v>
      </c>
      <c r="D756" s="17" t="s">
        <v>4833</v>
      </c>
      <c r="E756" s="17">
        <v>41</v>
      </c>
      <c r="F756" s="16">
        <v>3</v>
      </c>
      <c r="G756" s="17" t="s">
        <v>1686</v>
      </c>
      <c r="H756" s="17" t="s">
        <v>1692</v>
      </c>
    </row>
    <row r="757" spans="1:8" x14ac:dyDescent="0.25">
      <c r="A757" s="16" t="s">
        <v>1693</v>
      </c>
      <c r="B757" s="17" t="s">
        <v>166</v>
      </c>
      <c r="C757" s="17" t="s">
        <v>4208</v>
      </c>
      <c r="D757" s="17" t="s">
        <v>4834</v>
      </c>
      <c r="E757" s="17">
        <v>41</v>
      </c>
      <c r="F757" s="16">
        <v>3</v>
      </c>
      <c r="G757" s="17" t="s">
        <v>1694</v>
      </c>
      <c r="H757" s="17" t="s">
        <v>1695</v>
      </c>
    </row>
    <row r="758" spans="1:8" x14ac:dyDescent="0.25">
      <c r="A758" s="16" t="s">
        <v>1696</v>
      </c>
      <c r="B758" s="17" t="s">
        <v>1697</v>
      </c>
      <c r="C758" s="17" t="s">
        <v>4835</v>
      </c>
      <c r="D758" s="17" t="s">
        <v>4836</v>
      </c>
      <c r="E758" s="17">
        <v>41</v>
      </c>
      <c r="F758" s="16">
        <v>3</v>
      </c>
      <c r="G758" s="17" t="s">
        <v>1694</v>
      </c>
      <c r="H758" s="17" t="s">
        <v>1698</v>
      </c>
    </row>
    <row r="759" spans="1:8" x14ac:dyDescent="0.25">
      <c r="A759" s="16" t="s">
        <v>1699</v>
      </c>
      <c r="B759" s="17" t="s">
        <v>1700</v>
      </c>
      <c r="C759" s="17" t="s">
        <v>3766</v>
      </c>
      <c r="D759" s="17" t="s">
        <v>4837</v>
      </c>
      <c r="E759" s="17">
        <v>41</v>
      </c>
      <c r="F759" s="16">
        <v>3</v>
      </c>
      <c r="G759" s="17" t="s">
        <v>337</v>
      </c>
      <c r="H759" s="17" t="s">
        <v>1701</v>
      </c>
    </row>
    <row r="760" spans="1:8" x14ac:dyDescent="0.25">
      <c r="A760" s="16" t="s">
        <v>1702</v>
      </c>
      <c r="B760" s="17" t="s">
        <v>1703</v>
      </c>
      <c r="C760" s="17" t="s">
        <v>3766</v>
      </c>
      <c r="D760" s="17" t="s">
        <v>4838</v>
      </c>
      <c r="E760" s="17">
        <v>41</v>
      </c>
      <c r="F760" s="16">
        <v>3</v>
      </c>
      <c r="G760" s="17" t="s">
        <v>337</v>
      </c>
      <c r="H760" s="17" t="s">
        <v>1704</v>
      </c>
    </row>
    <row r="761" spans="1:8" x14ac:dyDescent="0.25">
      <c r="A761" s="16" t="s">
        <v>1705</v>
      </c>
      <c r="B761" s="17" t="s">
        <v>1706</v>
      </c>
      <c r="C761" s="17" t="s">
        <v>3766</v>
      </c>
      <c r="D761" s="17" t="s">
        <v>4839</v>
      </c>
      <c r="E761" s="17">
        <v>41</v>
      </c>
      <c r="F761" s="16">
        <v>3</v>
      </c>
      <c r="G761" s="17" t="s">
        <v>337</v>
      </c>
      <c r="H761" s="17" t="s">
        <v>1677</v>
      </c>
    </row>
    <row r="762" spans="1:8" x14ac:dyDescent="0.25">
      <c r="A762" s="16" t="s">
        <v>1707</v>
      </c>
      <c r="B762" s="17" t="s">
        <v>92</v>
      </c>
      <c r="C762" s="17" t="s">
        <v>4840</v>
      </c>
      <c r="D762" s="17" t="s">
        <v>4841</v>
      </c>
      <c r="E762" s="17">
        <v>41</v>
      </c>
      <c r="F762" s="16">
        <v>3</v>
      </c>
      <c r="G762" s="17" t="s">
        <v>1708</v>
      </c>
      <c r="H762" s="17" t="s">
        <v>1708</v>
      </c>
    </row>
    <row r="763" spans="1:8" x14ac:dyDescent="0.25">
      <c r="A763" s="16" t="s">
        <v>1709</v>
      </c>
      <c r="B763" s="17" t="s">
        <v>151</v>
      </c>
      <c r="C763" s="17" t="s">
        <v>3766</v>
      </c>
      <c r="D763" s="17" t="s">
        <v>4842</v>
      </c>
      <c r="E763" s="17">
        <v>41</v>
      </c>
      <c r="F763" s="16">
        <v>3</v>
      </c>
      <c r="G763" s="17" t="s">
        <v>1708</v>
      </c>
      <c r="H763" s="17" t="s">
        <v>1710</v>
      </c>
    </row>
    <row r="764" spans="1:8" x14ac:dyDescent="0.25">
      <c r="A764" s="16" t="s">
        <v>1711</v>
      </c>
      <c r="B764" s="17" t="s">
        <v>1712</v>
      </c>
      <c r="C764" s="17" t="s">
        <v>3766</v>
      </c>
      <c r="D764" s="17" t="s">
        <v>4843</v>
      </c>
      <c r="E764" s="17">
        <v>42</v>
      </c>
      <c r="F764" s="27">
        <v>11</v>
      </c>
      <c r="G764" s="17" t="s">
        <v>1713</v>
      </c>
      <c r="H764" s="17" t="s">
        <v>1714</v>
      </c>
    </row>
    <row r="765" spans="1:8" x14ac:dyDescent="0.25">
      <c r="A765" s="16" t="s">
        <v>1715</v>
      </c>
      <c r="B765" s="17" t="s">
        <v>95</v>
      </c>
      <c r="C765" s="17" t="s">
        <v>3766</v>
      </c>
      <c r="D765" s="17" t="s">
        <v>4844</v>
      </c>
      <c r="E765" s="17">
        <v>42</v>
      </c>
      <c r="F765" s="27">
        <v>11</v>
      </c>
      <c r="G765" s="17" t="s">
        <v>1713</v>
      </c>
      <c r="H765" s="17" t="s">
        <v>1716</v>
      </c>
    </row>
    <row r="766" spans="1:8" x14ac:dyDescent="0.25">
      <c r="A766" s="16" t="s">
        <v>1717</v>
      </c>
      <c r="B766" s="17" t="s">
        <v>80</v>
      </c>
      <c r="C766" s="17" t="s">
        <v>3871</v>
      </c>
      <c r="D766" s="17" t="s">
        <v>4845</v>
      </c>
      <c r="E766" s="17">
        <v>42</v>
      </c>
      <c r="F766" s="27">
        <v>11</v>
      </c>
      <c r="G766" s="17" t="s">
        <v>1713</v>
      </c>
      <c r="H766" s="17" t="s">
        <v>1718</v>
      </c>
    </row>
    <row r="767" spans="1:8" x14ac:dyDescent="0.25">
      <c r="A767" s="16" t="s">
        <v>1719</v>
      </c>
      <c r="B767" s="17" t="s">
        <v>261</v>
      </c>
      <c r="C767" s="17" t="s">
        <v>4846</v>
      </c>
      <c r="D767" s="17" t="s">
        <v>4847</v>
      </c>
      <c r="E767" s="17">
        <v>42</v>
      </c>
      <c r="F767" s="27">
        <v>11</v>
      </c>
      <c r="G767" s="17" t="s">
        <v>1713</v>
      </c>
      <c r="H767" s="17" t="s">
        <v>483</v>
      </c>
    </row>
    <row r="768" spans="1:8" x14ac:dyDescent="0.25">
      <c r="A768" s="16" t="s">
        <v>1720</v>
      </c>
      <c r="B768" s="17" t="s">
        <v>254</v>
      </c>
      <c r="C768" s="17" t="s">
        <v>3766</v>
      </c>
      <c r="D768" s="17" t="s">
        <v>4848</v>
      </c>
      <c r="E768" s="17">
        <v>42</v>
      </c>
      <c r="F768" s="27">
        <v>11</v>
      </c>
      <c r="G768" s="17" t="s">
        <v>1713</v>
      </c>
      <c r="H768" s="17" t="s">
        <v>1721</v>
      </c>
    </row>
    <row r="769" spans="1:8" x14ac:dyDescent="0.25">
      <c r="A769" s="16" t="s">
        <v>1722</v>
      </c>
      <c r="B769" s="17" t="s">
        <v>135</v>
      </c>
      <c r="C769" s="17" t="s">
        <v>3766</v>
      </c>
      <c r="D769" s="17" t="s">
        <v>4849</v>
      </c>
      <c r="E769" s="17">
        <v>42</v>
      </c>
      <c r="F769" s="27">
        <v>11</v>
      </c>
      <c r="G769" s="17" t="s">
        <v>1713</v>
      </c>
      <c r="H769" s="17" t="s">
        <v>1723</v>
      </c>
    </row>
    <row r="770" spans="1:8" x14ac:dyDescent="0.25">
      <c r="A770" s="16" t="s">
        <v>1724</v>
      </c>
      <c r="B770" s="17" t="s">
        <v>660</v>
      </c>
      <c r="C770" s="17" t="s">
        <v>3766</v>
      </c>
      <c r="D770" s="17" t="s">
        <v>4850</v>
      </c>
      <c r="E770" s="17">
        <v>42</v>
      </c>
      <c r="F770" s="27">
        <v>11</v>
      </c>
      <c r="G770" s="17" t="s">
        <v>1713</v>
      </c>
      <c r="H770" s="17" t="s">
        <v>1725</v>
      </c>
    </row>
    <row r="771" spans="1:8" x14ac:dyDescent="0.25">
      <c r="A771" s="16" t="s">
        <v>1726</v>
      </c>
      <c r="B771" s="17" t="s">
        <v>443</v>
      </c>
      <c r="C771" s="17" t="s">
        <v>3766</v>
      </c>
      <c r="D771" s="17" t="s">
        <v>4851</v>
      </c>
      <c r="E771" s="17">
        <v>42</v>
      </c>
      <c r="F771" s="27">
        <v>11</v>
      </c>
      <c r="G771" s="17" t="s">
        <v>1713</v>
      </c>
      <c r="H771" s="17" t="s">
        <v>1727</v>
      </c>
    </row>
    <row r="772" spans="1:8" x14ac:dyDescent="0.25">
      <c r="A772" s="16" t="s">
        <v>1728</v>
      </c>
      <c r="B772" s="17" t="s">
        <v>151</v>
      </c>
      <c r="C772" s="17" t="s">
        <v>3871</v>
      </c>
      <c r="D772" s="17" t="s">
        <v>4852</v>
      </c>
      <c r="E772" s="17">
        <v>42</v>
      </c>
      <c r="F772" s="27">
        <v>11</v>
      </c>
      <c r="G772" s="17" t="s">
        <v>1713</v>
      </c>
      <c r="H772" s="17" t="s">
        <v>547</v>
      </c>
    </row>
    <row r="773" spans="1:8" x14ac:dyDescent="0.25">
      <c r="A773" s="16" t="s">
        <v>1729</v>
      </c>
      <c r="B773" s="17" t="s">
        <v>1730</v>
      </c>
      <c r="C773" s="17" t="s">
        <v>3764</v>
      </c>
      <c r="D773" s="17" t="s">
        <v>4853</v>
      </c>
      <c r="E773" s="17">
        <v>42</v>
      </c>
      <c r="F773" s="27">
        <v>11</v>
      </c>
      <c r="G773" s="17" t="s">
        <v>1713</v>
      </c>
      <c r="H773" s="17" t="s">
        <v>1731</v>
      </c>
    </row>
    <row r="774" spans="1:8" x14ac:dyDescent="0.25">
      <c r="A774" s="16" t="s">
        <v>1732</v>
      </c>
      <c r="B774" s="17" t="s">
        <v>123</v>
      </c>
      <c r="C774" s="17" t="s">
        <v>3766</v>
      </c>
      <c r="D774" s="17" t="s">
        <v>4854</v>
      </c>
      <c r="E774" s="17">
        <v>42</v>
      </c>
      <c r="F774" s="27">
        <v>11</v>
      </c>
      <c r="G774" s="17" t="s">
        <v>1713</v>
      </c>
      <c r="H774" s="17" t="s">
        <v>1733</v>
      </c>
    </row>
    <row r="775" spans="1:8" x14ac:dyDescent="0.25">
      <c r="A775" s="16" t="s">
        <v>1734</v>
      </c>
      <c r="B775" s="17" t="s">
        <v>132</v>
      </c>
      <c r="C775" s="17" t="s">
        <v>3766</v>
      </c>
      <c r="D775" s="17" t="s">
        <v>4855</v>
      </c>
      <c r="E775" s="17">
        <v>42</v>
      </c>
      <c r="F775" s="27">
        <v>11</v>
      </c>
      <c r="G775" s="17" t="s">
        <v>1713</v>
      </c>
      <c r="H775" s="17" t="s">
        <v>1735</v>
      </c>
    </row>
    <row r="776" spans="1:8" x14ac:dyDescent="0.25">
      <c r="A776" s="16" t="s">
        <v>1736</v>
      </c>
      <c r="B776" s="17" t="s">
        <v>306</v>
      </c>
      <c r="C776" s="17" t="s">
        <v>3766</v>
      </c>
      <c r="D776" s="17" t="s">
        <v>4856</v>
      </c>
      <c r="E776" s="17">
        <v>42</v>
      </c>
      <c r="F776" s="27">
        <v>11</v>
      </c>
      <c r="G776" s="17" t="s">
        <v>1713</v>
      </c>
      <c r="H776" s="17" t="s">
        <v>1737</v>
      </c>
    </row>
    <row r="777" spans="1:8" x14ac:dyDescent="0.25">
      <c r="A777" s="16" t="s">
        <v>1738</v>
      </c>
      <c r="B777" s="17" t="s">
        <v>148</v>
      </c>
      <c r="C777" s="17" t="s">
        <v>3766</v>
      </c>
      <c r="D777" s="17" t="s">
        <v>4857</v>
      </c>
      <c r="E777" s="17">
        <v>42</v>
      </c>
      <c r="F777" s="27">
        <v>11</v>
      </c>
      <c r="G777" s="17" t="s">
        <v>1713</v>
      </c>
      <c r="H777" s="17" t="s">
        <v>397</v>
      </c>
    </row>
    <row r="778" spans="1:8" x14ac:dyDescent="0.25">
      <c r="A778" s="16" t="s">
        <v>1739</v>
      </c>
      <c r="B778" s="17" t="s">
        <v>41</v>
      </c>
      <c r="C778" s="17" t="s">
        <v>3871</v>
      </c>
      <c r="D778" s="17" t="s">
        <v>4858</v>
      </c>
      <c r="E778" s="17">
        <v>42</v>
      </c>
      <c r="F778" s="27">
        <v>11</v>
      </c>
      <c r="G778" s="17" t="s">
        <v>1713</v>
      </c>
      <c r="H778" s="17" t="s">
        <v>1740</v>
      </c>
    </row>
    <row r="779" spans="1:8" x14ac:dyDescent="0.25">
      <c r="A779" s="16" t="s">
        <v>1741</v>
      </c>
      <c r="B779" s="17" t="s">
        <v>166</v>
      </c>
      <c r="C779" s="17" t="s">
        <v>4859</v>
      </c>
      <c r="D779" s="17" t="s">
        <v>4860</v>
      </c>
      <c r="E779" s="17">
        <v>43</v>
      </c>
      <c r="F779" s="27">
        <v>24</v>
      </c>
      <c r="G779" s="17" t="s">
        <v>390</v>
      </c>
      <c r="H779" s="17" t="s">
        <v>1742</v>
      </c>
    </row>
    <row r="780" spans="1:8" x14ac:dyDescent="0.25">
      <c r="A780" s="16" t="s">
        <v>1743</v>
      </c>
      <c r="B780" s="17" t="s">
        <v>63</v>
      </c>
      <c r="C780" s="17" t="s">
        <v>4522</v>
      </c>
      <c r="D780" s="17" t="s">
        <v>4861</v>
      </c>
      <c r="E780" s="17">
        <v>43</v>
      </c>
      <c r="F780" s="27">
        <v>24</v>
      </c>
      <c r="G780" s="17" t="s">
        <v>390</v>
      </c>
      <c r="H780" s="17" t="s">
        <v>1744</v>
      </c>
    </row>
    <row r="781" spans="1:8" x14ac:dyDescent="0.25">
      <c r="A781" s="16" t="s">
        <v>1745</v>
      </c>
      <c r="B781" s="17" t="s">
        <v>120</v>
      </c>
      <c r="C781" s="17" t="s">
        <v>3766</v>
      </c>
      <c r="D781" s="17" t="s">
        <v>4862</v>
      </c>
      <c r="E781" s="17">
        <v>43</v>
      </c>
      <c r="F781" s="27">
        <v>24</v>
      </c>
      <c r="G781" s="17" t="s">
        <v>390</v>
      </c>
      <c r="H781" s="17" t="s">
        <v>1746</v>
      </c>
    </row>
    <row r="782" spans="1:8" x14ac:dyDescent="0.25">
      <c r="A782" s="16" t="s">
        <v>1747</v>
      </c>
      <c r="B782" s="17" t="s">
        <v>49</v>
      </c>
      <c r="C782" s="17" t="s">
        <v>4863</v>
      </c>
      <c r="D782" s="17" t="s">
        <v>4864</v>
      </c>
      <c r="E782" s="17">
        <v>43</v>
      </c>
      <c r="F782" s="27">
        <v>24</v>
      </c>
      <c r="G782" s="17" t="s">
        <v>390</v>
      </c>
      <c r="H782" s="17" t="s">
        <v>1748</v>
      </c>
    </row>
    <row r="783" spans="1:8" x14ac:dyDescent="0.25">
      <c r="A783" s="16" t="s">
        <v>1749</v>
      </c>
      <c r="B783" s="17" t="s">
        <v>83</v>
      </c>
      <c r="C783" s="17" t="s">
        <v>4865</v>
      </c>
      <c r="D783" s="17" t="s">
        <v>4866</v>
      </c>
      <c r="E783" s="17">
        <v>43</v>
      </c>
      <c r="F783" s="27">
        <v>24</v>
      </c>
      <c r="G783" s="17" t="s">
        <v>390</v>
      </c>
      <c r="H783" s="17" t="s">
        <v>1750</v>
      </c>
    </row>
    <row r="784" spans="1:8" x14ac:dyDescent="0.25">
      <c r="A784" s="16" t="s">
        <v>1751</v>
      </c>
      <c r="B784" s="17" t="s">
        <v>151</v>
      </c>
      <c r="C784" s="17" t="s">
        <v>3766</v>
      </c>
      <c r="D784" s="17" t="s">
        <v>4867</v>
      </c>
      <c r="E784" s="17">
        <v>43</v>
      </c>
      <c r="F784" s="27">
        <v>24</v>
      </c>
      <c r="G784" s="17" t="s">
        <v>390</v>
      </c>
      <c r="H784" s="17" t="s">
        <v>1752</v>
      </c>
    </row>
    <row r="785" spans="1:8" x14ac:dyDescent="0.25">
      <c r="A785" s="16" t="s">
        <v>1753</v>
      </c>
      <c r="B785" s="17" t="s">
        <v>148</v>
      </c>
      <c r="C785" s="17" t="s">
        <v>3996</v>
      </c>
      <c r="D785" s="17" t="s">
        <v>4868</v>
      </c>
      <c r="E785" s="17">
        <v>43</v>
      </c>
      <c r="F785" s="27">
        <v>24</v>
      </c>
      <c r="G785" s="17" t="s">
        <v>390</v>
      </c>
      <c r="H785" s="17" t="s">
        <v>1754</v>
      </c>
    </row>
    <row r="786" spans="1:8" x14ac:dyDescent="0.25">
      <c r="A786" s="16" t="s">
        <v>1755</v>
      </c>
      <c r="B786" s="17" t="s">
        <v>166</v>
      </c>
      <c r="C786" s="17" t="s">
        <v>4869</v>
      </c>
      <c r="D786" s="17" t="s">
        <v>4870</v>
      </c>
      <c r="E786" s="17">
        <v>43</v>
      </c>
      <c r="F786" s="27">
        <v>24</v>
      </c>
      <c r="G786" s="17" t="s">
        <v>390</v>
      </c>
      <c r="H786" s="17" t="s">
        <v>1756</v>
      </c>
    </row>
    <row r="787" spans="1:8" x14ac:dyDescent="0.25">
      <c r="A787" s="16" t="s">
        <v>1757</v>
      </c>
      <c r="B787" s="17" t="s">
        <v>1758</v>
      </c>
      <c r="C787" s="17" t="s">
        <v>4871</v>
      </c>
      <c r="D787" s="17" t="s">
        <v>4872</v>
      </c>
      <c r="E787" s="17">
        <v>43</v>
      </c>
      <c r="F787" s="27">
        <v>24</v>
      </c>
      <c r="G787" s="17" t="s">
        <v>390</v>
      </c>
      <c r="H787" s="17" t="s">
        <v>201</v>
      </c>
    </row>
    <row r="788" spans="1:8" x14ac:dyDescent="0.25">
      <c r="A788" s="16" t="s">
        <v>1759</v>
      </c>
      <c r="B788" s="17" t="s">
        <v>166</v>
      </c>
      <c r="C788" s="17" t="s">
        <v>4873</v>
      </c>
      <c r="D788" s="17" t="s">
        <v>4874</v>
      </c>
      <c r="E788" s="17">
        <v>43</v>
      </c>
      <c r="F788" s="27">
        <v>24</v>
      </c>
      <c r="G788" s="17" t="s">
        <v>390</v>
      </c>
      <c r="H788" s="17" t="s">
        <v>1760</v>
      </c>
    </row>
    <row r="789" spans="1:8" x14ac:dyDescent="0.25">
      <c r="A789" s="16" t="s">
        <v>1761</v>
      </c>
      <c r="B789" s="17" t="s">
        <v>1311</v>
      </c>
      <c r="C789" s="17" t="s">
        <v>4875</v>
      </c>
      <c r="D789" s="17" t="s">
        <v>4876</v>
      </c>
      <c r="E789" s="17">
        <v>43</v>
      </c>
      <c r="F789" s="27">
        <v>24</v>
      </c>
      <c r="G789" s="17" t="s">
        <v>1762</v>
      </c>
      <c r="H789" s="17" t="s">
        <v>112</v>
      </c>
    </row>
    <row r="790" spans="1:8" x14ac:dyDescent="0.25">
      <c r="A790" s="16" t="s">
        <v>1763</v>
      </c>
      <c r="B790" s="17" t="s">
        <v>1764</v>
      </c>
      <c r="C790" s="17" t="s">
        <v>3766</v>
      </c>
      <c r="D790" s="17" t="s">
        <v>4877</v>
      </c>
      <c r="E790" s="17">
        <v>43</v>
      </c>
      <c r="F790" s="27">
        <v>24</v>
      </c>
      <c r="G790" s="17" t="s">
        <v>1762</v>
      </c>
      <c r="H790" s="17" t="s">
        <v>1765</v>
      </c>
    </row>
    <row r="791" spans="1:8" x14ac:dyDescent="0.25">
      <c r="A791" s="16" t="s">
        <v>1766</v>
      </c>
      <c r="B791" s="17" t="s">
        <v>881</v>
      </c>
      <c r="C791" s="17" t="s">
        <v>3766</v>
      </c>
      <c r="D791" s="17" t="s">
        <v>4878</v>
      </c>
      <c r="E791" s="17">
        <v>43</v>
      </c>
      <c r="F791" s="27">
        <v>24</v>
      </c>
      <c r="G791" s="17" t="s">
        <v>1762</v>
      </c>
      <c r="H791" s="17" t="s">
        <v>1767</v>
      </c>
    </row>
    <row r="792" spans="1:8" x14ac:dyDescent="0.25">
      <c r="A792" s="16" t="s">
        <v>1768</v>
      </c>
      <c r="B792" s="17" t="s">
        <v>1495</v>
      </c>
      <c r="C792" s="17" t="s">
        <v>3766</v>
      </c>
      <c r="D792" s="17" t="s">
        <v>4879</v>
      </c>
      <c r="E792" s="17">
        <v>43</v>
      </c>
      <c r="F792" s="27">
        <v>24</v>
      </c>
      <c r="G792" s="17" t="s">
        <v>1762</v>
      </c>
      <c r="H792" s="17" t="s">
        <v>1769</v>
      </c>
    </row>
    <row r="793" spans="1:8" x14ac:dyDescent="0.25">
      <c r="A793" s="16" t="s">
        <v>1770</v>
      </c>
      <c r="B793" s="17" t="s">
        <v>480</v>
      </c>
      <c r="C793" s="17" t="s">
        <v>3766</v>
      </c>
      <c r="D793" s="17" t="s">
        <v>4880</v>
      </c>
      <c r="E793" s="17">
        <v>43</v>
      </c>
      <c r="F793" s="27">
        <v>24</v>
      </c>
      <c r="G793" s="17" t="s">
        <v>1762</v>
      </c>
      <c r="H793" s="17" t="s">
        <v>1771</v>
      </c>
    </row>
    <row r="794" spans="1:8" x14ac:dyDescent="0.25">
      <c r="A794" s="16" t="s">
        <v>1772</v>
      </c>
      <c r="B794" s="17" t="s">
        <v>1773</v>
      </c>
      <c r="C794" s="17" t="s">
        <v>3766</v>
      </c>
      <c r="D794" s="17" t="s">
        <v>4769</v>
      </c>
      <c r="E794" s="17">
        <v>43</v>
      </c>
      <c r="F794" s="27">
        <v>24</v>
      </c>
      <c r="G794" s="17" t="s">
        <v>1762</v>
      </c>
      <c r="H794" s="17" t="s">
        <v>1774</v>
      </c>
    </row>
    <row r="795" spans="1:8" x14ac:dyDescent="0.25">
      <c r="A795" s="16" t="s">
        <v>1775</v>
      </c>
      <c r="B795" s="17" t="s">
        <v>135</v>
      </c>
      <c r="C795" s="17" t="s">
        <v>3766</v>
      </c>
      <c r="D795" s="17" t="s">
        <v>4881</v>
      </c>
      <c r="E795" s="17">
        <v>43</v>
      </c>
      <c r="F795" s="27">
        <v>24</v>
      </c>
      <c r="G795" s="17" t="s">
        <v>1762</v>
      </c>
      <c r="H795" s="17" t="s">
        <v>1776</v>
      </c>
    </row>
    <row r="796" spans="1:8" x14ac:dyDescent="0.25">
      <c r="A796" s="16" t="s">
        <v>1777</v>
      </c>
      <c r="B796" s="17" t="s">
        <v>103</v>
      </c>
      <c r="C796" s="17" t="s">
        <v>3766</v>
      </c>
      <c r="D796" s="17" t="s">
        <v>4882</v>
      </c>
      <c r="E796" s="17">
        <v>43</v>
      </c>
      <c r="F796" s="27">
        <v>24</v>
      </c>
      <c r="G796" s="17" t="s">
        <v>1762</v>
      </c>
      <c r="H796" s="17" t="s">
        <v>1778</v>
      </c>
    </row>
    <row r="797" spans="1:8" x14ac:dyDescent="0.25">
      <c r="A797" s="16" t="s">
        <v>1779</v>
      </c>
      <c r="B797" s="17" t="s">
        <v>135</v>
      </c>
      <c r="C797" s="17" t="s">
        <v>4883</v>
      </c>
      <c r="D797" s="17" t="s">
        <v>4884</v>
      </c>
      <c r="E797" s="17">
        <v>43</v>
      </c>
      <c r="F797" s="27">
        <v>24</v>
      </c>
      <c r="G797" s="17" t="s">
        <v>1762</v>
      </c>
      <c r="H797" s="17" t="s">
        <v>1780</v>
      </c>
    </row>
    <row r="798" spans="1:8" x14ac:dyDescent="0.25">
      <c r="A798" s="16" t="s">
        <v>1781</v>
      </c>
      <c r="B798" s="17" t="s">
        <v>510</v>
      </c>
      <c r="C798" s="17" t="s">
        <v>3766</v>
      </c>
      <c r="D798" s="17" t="s">
        <v>4885</v>
      </c>
      <c r="E798" s="17">
        <v>43</v>
      </c>
      <c r="F798" s="27">
        <v>24</v>
      </c>
      <c r="G798" s="17" t="s">
        <v>1762</v>
      </c>
      <c r="H798" s="17" t="s">
        <v>1782</v>
      </c>
    </row>
    <row r="799" spans="1:8" x14ac:dyDescent="0.25">
      <c r="A799" s="16" t="s">
        <v>1783</v>
      </c>
      <c r="B799" s="17" t="s">
        <v>1784</v>
      </c>
      <c r="C799" s="17" t="s">
        <v>4886</v>
      </c>
      <c r="D799" s="17" t="s">
        <v>4887</v>
      </c>
      <c r="E799" s="17">
        <v>43</v>
      </c>
      <c r="F799" s="27">
        <v>24</v>
      </c>
      <c r="G799" s="17" t="s">
        <v>1762</v>
      </c>
      <c r="H799" s="17" t="s">
        <v>1785</v>
      </c>
    </row>
    <row r="800" spans="1:8" x14ac:dyDescent="0.25">
      <c r="A800" s="16" t="s">
        <v>1786</v>
      </c>
      <c r="B800" s="17" t="s">
        <v>306</v>
      </c>
      <c r="C800" s="17" t="s">
        <v>3766</v>
      </c>
      <c r="D800" s="17" t="s">
        <v>4888</v>
      </c>
      <c r="E800" s="17">
        <v>43</v>
      </c>
      <c r="F800" s="27">
        <v>24</v>
      </c>
      <c r="G800" s="17" t="s">
        <v>1762</v>
      </c>
      <c r="H800" s="17" t="s">
        <v>1787</v>
      </c>
    </row>
    <row r="801" spans="1:8" x14ac:dyDescent="0.25">
      <c r="A801" s="16" t="s">
        <v>1788</v>
      </c>
      <c r="B801" s="17" t="s">
        <v>107</v>
      </c>
      <c r="C801" s="17" t="s">
        <v>4889</v>
      </c>
      <c r="D801" s="17" t="s">
        <v>4890</v>
      </c>
      <c r="E801" s="17">
        <v>43</v>
      </c>
      <c r="F801" s="27">
        <v>24</v>
      </c>
      <c r="G801" s="17" t="s">
        <v>1762</v>
      </c>
      <c r="H801" s="17" t="s">
        <v>1789</v>
      </c>
    </row>
    <row r="802" spans="1:8" x14ac:dyDescent="0.25">
      <c r="A802" s="16" t="s">
        <v>1790</v>
      </c>
      <c r="B802" s="17" t="s">
        <v>366</v>
      </c>
      <c r="C802" s="17" t="s">
        <v>3758</v>
      </c>
      <c r="D802" s="17" t="s">
        <v>4891</v>
      </c>
      <c r="E802" s="17">
        <v>43</v>
      </c>
      <c r="F802" s="27">
        <v>24</v>
      </c>
      <c r="G802" s="17" t="s">
        <v>1762</v>
      </c>
      <c r="H802" s="17" t="s">
        <v>1791</v>
      </c>
    </row>
    <row r="803" spans="1:8" x14ac:dyDescent="0.25">
      <c r="A803" s="16" t="s">
        <v>1792</v>
      </c>
      <c r="B803" s="17" t="s">
        <v>443</v>
      </c>
      <c r="C803" s="17" t="s">
        <v>3766</v>
      </c>
      <c r="D803" s="17" t="s">
        <v>4892</v>
      </c>
      <c r="E803" s="17">
        <v>43</v>
      </c>
      <c r="F803" s="27">
        <v>24</v>
      </c>
      <c r="G803" s="17" t="s">
        <v>1762</v>
      </c>
      <c r="H803" s="17" t="s">
        <v>1793</v>
      </c>
    </row>
    <row r="804" spans="1:8" x14ac:dyDescent="0.25">
      <c r="A804" s="16" t="s">
        <v>1794</v>
      </c>
      <c r="B804" s="17" t="s">
        <v>157</v>
      </c>
      <c r="C804" s="17" t="s">
        <v>3971</v>
      </c>
      <c r="D804" s="17" t="s">
        <v>4893</v>
      </c>
      <c r="E804" s="17">
        <v>43</v>
      </c>
      <c r="F804" s="27">
        <v>24</v>
      </c>
      <c r="G804" s="17" t="s">
        <v>1762</v>
      </c>
      <c r="H804" s="17" t="s">
        <v>1795</v>
      </c>
    </row>
    <row r="805" spans="1:8" x14ac:dyDescent="0.25">
      <c r="A805" s="16" t="s">
        <v>1796</v>
      </c>
      <c r="B805" s="17" t="s">
        <v>1797</v>
      </c>
      <c r="C805" s="17" t="s">
        <v>3766</v>
      </c>
      <c r="D805" s="17" t="s">
        <v>4894</v>
      </c>
      <c r="E805" s="17">
        <v>43</v>
      </c>
      <c r="F805" s="27">
        <v>24</v>
      </c>
      <c r="G805" s="17" t="s">
        <v>1762</v>
      </c>
      <c r="H805" s="17" t="s">
        <v>1798</v>
      </c>
    </row>
    <row r="806" spans="1:8" x14ac:dyDescent="0.25">
      <c r="A806" s="16" t="s">
        <v>1799</v>
      </c>
      <c r="B806" s="17" t="s">
        <v>166</v>
      </c>
      <c r="C806" s="17" t="s">
        <v>4895</v>
      </c>
      <c r="D806" s="17" t="s">
        <v>4896</v>
      </c>
      <c r="E806" s="17">
        <v>43</v>
      </c>
      <c r="F806" s="27">
        <v>24</v>
      </c>
      <c r="G806" s="17" t="s">
        <v>1762</v>
      </c>
      <c r="H806" s="17" t="s">
        <v>1800</v>
      </c>
    </row>
    <row r="807" spans="1:8" x14ac:dyDescent="0.25">
      <c r="A807" s="16" t="s">
        <v>1801</v>
      </c>
      <c r="B807" s="17" t="s">
        <v>1802</v>
      </c>
      <c r="C807" s="17" t="s">
        <v>4897</v>
      </c>
      <c r="D807" s="17" t="s">
        <v>4898</v>
      </c>
      <c r="E807" s="17">
        <v>44</v>
      </c>
      <c r="F807" s="16">
        <v>1</v>
      </c>
      <c r="G807" s="17" t="s">
        <v>1803</v>
      </c>
      <c r="H807" s="17" t="s">
        <v>1804</v>
      </c>
    </row>
    <row r="808" spans="1:8" x14ac:dyDescent="0.25">
      <c r="A808" s="16" t="s">
        <v>1805</v>
      </c>
      <c r="B808" s="17" t="s">
        <v>166</v>
      </c>
      <c r="C808" s="17" t="s">
        <v>4899</v>
      </c>
      <c r="D808" s="17" t="s">
        <v>4900</v>
      </c>
      <c r="E808" s="17">
        <v>44</v>
      </c>
      <c r="F808" s="16">
        <v>1</v>
      </c>
      <c r="G808" s="17" t="s">
        <v>1803</v>
      </c>
      <c r="H808" s="17" t="s">
        <v>1806</v>
      </c>
    </row>
    <row r="809" spans="1:8" x14ac:dyDescent="0.25">
      <c r="A809" s="16" t="s">
        <v>1807</v>
      </c>
      <c r="B809" s="17" t="s">
        <v>80</v>
      </c>
      <c r="C809" s="17" t="s">
        <v>3766</v>
      </c>
      <c r="D809" s="17" t="s">
        <v>4901</v>
      </c>
      <c r="E809" s="17">
        <v>44</v>
      </c>
      <c r="F809" s="16">
        <v>1</v>
      </c>
      <c r="G809" s="17" t="s">
        <v>1803</v>
      </c>
      <c r="H809" s="17" t="s">
        <v>1808</v>
      </c>
    </row>
    <row r="810" spans="1:8" x14ac:dyDescent="0.25">
      <c r="A810" s="16" t="s">
        <v>1809</v>
      </c>
      <c r="B810" s="17" t="s">
        <v>23</v>
      </c>
      <c r="C810" s="17" t="s">
        <v>3766</v>
      </c>
      <c r="D810" s="17" t="s">
        <v>4902</v>
      </c>
      <c r="E810" s="17">
        <v>44</v>
      </c>
      <c r="F810" s="16">
        <v>1</v>
      </c>
      <c r="G810" s="17" t="s">
        <v>1803</v>
      </c>
      <c r="H810" s="17" t="s">
        <v>1810</v>
      </c>
    </row>
    <row r="811" spans="1:8" x14ac:dyDescent="0.25">
      <c r="A811" s="16" t="s">
        <v>1811</v>
      </c>
      <c r="B811" s="17" t="s">
        <v>135</v>
      </c>
      <c r="C811" s="17" t="s">
        <v>3766</v>
      </c>
      <c r="D811" s="17" t="s">
        <v>4903</v>
      </c>
      <c r="E811" s="17">
        <v>44</v>
      </c>
      <c r="F811" s="16">
        <v>1</v>
      </c>
      <c r="G811" s="17" t="s">
        <v>1803</v>
      </c>
      <c r="H811" s="17" t="s">
        <v>1812</v>
      </c>
    </row>
    <row r="812" spans="1:8" x14ac:dyDescent="0.25">
      <c r="A812" s="16" t="s">
        <v>1813</v>
      </c>
      <c r="B812" s="17" t="s">
        <v>301</v>
      </c>
      <c r="C812" s="17" t="s">
        <v>4904</v>
      </c>
      <c r="D812" s="17" t="s">
        <v>4905</v>
      </c>
      <c r="E812" s="17">
        <v>44</v>
      </c>
      <c r="F812" s="16">
        <v>1</v>
      </c>
      <c r="G812" s="17" t="s">
        <v>1803</v>
      </c>
      <c r="H812" s="17" t="s">
        <v>1814</v>
      </c>
    </row>
    <row r="813" spans="1:8" x14ac:dyDescent="0.25">
      <c r="A813" s="16" t="s">
        <v>1815</v>
      </c>
      <c r="B813" s="17" t="s">
        <v>1816</v>
      </c>
      <c r="C813" s="17" t="s">
        <v>3766</v>
      </c>
      <c r="D813" s="17" t="s">
        <v>4906</v>
      </c>
      <c r="E813" s="17">
        <v>44</v>
      </c>
      <c r="F813" s="16">
        <v>1</v>
      </c>
      <c r="G813" s="17" t="s">
        <v>1803</v>
      </c>
      <c r="H813" s="17" t="s">
        <v>1817</v>
      </c>
    </row>
    <row r="814" spans="1:8" x14ac:dyDescent="0.25">
      <c r="A814" s="16" t="s">
        <v>1818</v>
      </c>
      <c r="B814" s="17" t="s">
        <v>129</v>
      </c>
      <c r="C814" s="17" t="s">
        <v>3766</v>
      </c>
      <c r="D814" s="17" t="s">
        <v>4907</v>
      </c>
      <c r="E814" s="17">
        <v>44</v>
      </c>
      <c r="F814" s="16">
        <v>1</v>
      </c>
      <c r="G814" s="17" t="s">
        <v>1803</v>
      </c>
      <c r="H814" s="17" t="s">
        <v>1819</v>
      </c>
    </row>
    <row r="815" spans="1:8" x14ac:dyDescent="0.25">
      <c r="A815" s="16" t="s">
        <v>1820</v>
      </c>
      <c r="B815" s="17" t="s">
        <v>95</v>
      </c>
      <c r="C815" s="17" t="s">
        <v>4908</v>
      </c>
      <c r="D815" s="17" t="s">
        <v>4909</v>
      </c>
      <c r="E815" s="17">
        <v>44</v>
      </c>
      <c r="F815" s="16">
        <v>1</v>
      </c>
      <c r="G815" s="17" t="s">
        <v>1803</v>
      </c>
      <c r="H815" s="17" t="s">
        <v>466</v>
      </c>
    </row>
    <row r="816" spans="1:8" x14ac:dyDescent="0.25">
      <c r="A816" s="16" t="s">
        <v>1821</v>
      </c>
      <c r="B816" s="17" t="s">
        <v>871</v>
      </c>
      <c r="C816" s="17" t="s">
        <v>4910</v>
      </c>
      <c r="D816" s="17" t="s">
        <v>4911</v>
      </c>
      <c r="E816" s="17">
        <v>44</v>
      </c>
      <c r="F816" s="16">
        <v>1</v>
      </c>
      <c r="G816" s="17" t="s">
        <v>18</v>
      </c>
      <c r="H816" s="17" t="s">
        <v>19</v>
      </c>
    </row>
    <row r="817" spans="1:8" x14ac:dyDescent="0.25">
      <c r="A817" s="16" t="s">
        <v>1822</v>
      </c>
      <c r="B817" s="17" t="s">
        <v>1797</v>
      </c>
      <c r="C817" s="17" t="s">
        <v>4912</v>
      </c>
      <c r="D817" s="17" t="s">
        <v>4913</v>
      </c>
      <c r="E817" s="17">
        <v>44</v>
      </c>
      <c r="F817" s="16">
        <v>1</v>
      </c>
      <c r="G817" s="17" t="s">
        <v>18</v>
      </c>
      <c r="H817" s="17" t="s">
        <v>19</v>
      </c>
    </row>
    <row r="818" spans="1:8" x14ac:dyDescent="0.25">
      <c r="A818" s="16" t="s">
        <v>1823</v>
      </c>
      <c r="B818" s="17" t="s">
        <v>1311</v>
      </c>
      <c r="C818" s="17" t="s">
        <v>4914</v>
      </c>
      <c r="D818" s="17" t="s">
        <v>4915</v>
      </c>
      <c r="E818" s="17">
        <v>44</v>
      </c>
      <c r="F818" s="16">
        <v>1</v>
      </c>
      <c r="G818" s="17" t="s">
        <v>18</v>
      </c>
      <c r="H818" s="17" t="s">
        <v>19</v>
      </c>
    </row>
    <row r="819" spans="1:8" x14ac:dyDescent="0.25">
      <c r="A819" s="16" t="s">
        <v>1824</v>
      </c>
      <c r="B819" s="17" t="s">
        <v>163</v>
      </c>
      <c r="C819" s="17" t="s">
        <v>4916</v>
      </c>
      <c r="D819" s="17" t="s">
        <v>4917</v>
      </c>
      <c r="E819" s="17">
        <v>44</v>
      </c>
      <c r="F819" s="16">
        <v>1</v>
      </c>
      <c r="G819" s="17" t="s">
        <v>18</v>
      </c>
      <c r="H819" s="17" t="s">
        <v>1825</v>
      </c>
    </row>
    <row r="820" spans="1:8" x14ac:dyDescent="0.25">
      <c r="A820" s="16" t="s">
        <v>1826</v>
      </c>
      <c r="B820" s="17" t="s">
        <v>135</v>
      </c>
      <c r="C820" s="17" t="s">
        <v>4670</v>
      </c>
      <c r="D820" s="17" t="s">
        <v>4918</v>
      </c>
      <c r="E820" s="17">
        <v>44</v>
      </c>
      <c r="F820" s="16">
        <v>1</v>
      </c>
      <c r="G820" s="17" t="s">
        <v>18</v>
      </c>
      <c r="H820" s="17" t="s">
        <v>1827</v>
      </c>
    </row>
    <row r="821" spans="1:8" x14ac:dyDescent="0.25">
      <c r="A821" s="16" t="s">
        <v>1828</v>
      </c>
      <c r="B821" s="17" t="s">
        <v>424</v>
      </c>
      <c r="C821" s="17" t="s">
        <v>3766</v>
      </c>
      <c r="D821" s="17" t="s">
        <v>4919</v>
      </c>
      <c r="E821" s="17">
        <v>44</v>
      </c>
      <c r="F821" s="16">
        <v>1</v>
      </c>
      <c r="G821" s="17" t="s">
        <v>18</v>
      </c>
      <c r="H821" s="17" t="s">
        <v>1829</v>
      </c>
    </row>
    <row r="822" spans="1:8" x14ac:dyDescent="0.25">
      <c r="A822" s="16" t="s">
        <v>1830</v>
      </c>
      <c r="B822" s="17" t="s">
        <v>151</v>
      </c>
      <c r="C822" s="17" t="s">
        <v>4920</v>
      </c>
      <c r="D822" s="17" t="s">
        <v>4921</v>
      </c>
      <c r="E822" s="17">
        <v>44</v>
      </c>
      <c r="F822" s="16">
        <v>1</v>
      </c>
      <c r="G822" s="17" t="s">
        <v>18</v>
      </c>
      <c r="H822" s="17" t="s">
        <v>1831</v>
      </c>
    </row>
    <row r="823" spans="1:8" x14ac:dyDescent="0.25">
      <c r="A823" s="16" t="s">
        <v>1832</v>
      </c>
      <c r="B823" s="17" t="s">
        <v>166</v>
      </c>
      <c r="C823" s="17" t="s">
        <v>4922</v>
      </c>
      <c r="D823" s="17" t="s">
        <v>4923</v>
      </c>
      <c r="E823" s="17">
        <v>44</v>
      </c>
      <c r="F823" s="16">
        <v>1</v>
      </c>
      <c r="G823" s="17" t="s">
        <v>18</v>
      </c>
      <c r="H823" s="17" t="s">
        <v>1833</v>
      </c>
    </row>
    <row r="824" spans="1:8" x14ac:dyDescent="0.25">
      <c r="A824" s="16" t="s">
        <v>1834</v>
      </c>
      <c r="B824" s="17" t="s">
        <v>1835</v>
      </c>
      <c r="C824" s="17" t="s">
        <v>4924</v>
      </c>
      <c r="D824" s="17" t="s">
        <v>4925</v>
      </c>
      <c r="E824" s="17">
        <v>45</v>
      </c>
      <c r="F824" s="27">
        <v>16</v>
      </c>
      <c r="G824" s="17" t="s">
        <v>1836</v>
      </c>
      <c r="H824" s="17" t="s">
        <v>1836</v>
      </c>
    </row>
    <row r="825" spans="1:8" x14ac:dyDescent="0.25">
      <c r="A825" s="16" t="s">
        <v>1837</v>
      </c>
      <c r="B825" s="17" t="s">
        <v>166</v>
      </c>
      <c r="C825" s="17" t="s">
        <v>4926</v>
      </c>
      <c r="D825" s="17" t="s">
        <v>4927</v>
      </c>
      <c r="E825" s="17">
        <v>45</v>
      </c>
      <c r="F825" s="27">
        <v>16</v>
      </c>
      <c r="G825" s="17" t="s">
        <v>1836</v>
      </c>
      <c r="H825" s="17" t="s">
        <v>1838</v>
      </c>
    </row>
    <row r="826" spans="1:8" x14ac:dyDescent="0.25">
      <c r="A826" s="16" t="s">
        <v>1839</v>
      </c>
      <c r="B826" s="17" t="s">
        <v>499</v>
      </c>
      <c r="C826" s="17" t="s">
        <v>4928</v>
      </c>
      <c r="D826" s="17" t="s">
        <v>4929</v>
      </c>
      <c r="E826" s="17">
        <v>45</v>
      </c>
      <c r="F826" s="27">
        <v>16</v>
      </c>
      <c r="G826" s="17" t="s">
        <v>1836</v>
      </c>
      <c r="H826" s="17" t="s">
        <v>1840</v>
      </c>
    </row>
    <row r="827" spans="1:8" x14ac:dyDescent="0.25">
      <c r="A827" s="16" t="s">
        <v>1841</v>
      </c>
      <c r="B827" s="17" t="s">
        <v>153</v>
      </c>
      <c r="C827" s="17" t="s">
        <v>3766</v>
      </c>
      <c r="D827" s="17" t="s">
        <v>4930</v>
      </c>
      <c r="E827" s="17">
        <v>45</v>
      </c>
      <c r="F827" s="27">
        <v>16</v>
      </c>
      <c r="G827" s="17" t="s">
        <v>1836</v>
      </c>
      <c r="H827" s="17" t="s">
        <v>1842</v>
      </c>
    </row>
    <row r="828" spans="1:8" x14ac:dyDescent="0.25">
      <c r="A828" s="16" t="s">
        <v>1843</v>
      </c>
      <c r="B828" s="17" t="s">
        <v>166</v>
      </c>
      <c r="C828" s="17" t="s">
        <v>3766</v>
      </c>
      <c r="D828" s="17" t="s">
        <v>4931</v>
      </c>
      <c r="E828" s="17">
        <v>45</v>
      </c>
      <c r="F828" s="27">
        <v>16</v>
      </c>
      <c r="G828" s="17" t="s">
        <v>1836</v>
      </c>
      <c r="H828" s="17" t="s">
        <v>1844</v>
      </c>
    </row>
    <row r="829" spans="1:8" x14ac:dyDescent="0.25">
      <c r="A829" s="16" t="s">
        <v>1845</v>
      </c>
      <c r="B829" s="17" t="s">
        <v>1846</v>
      </c>
      <c r="C829" s="17" t="s">
        <v>3766</v>
      </c>
      <c r="D829" s="17" t="s">
        <v>4932</v>
      </c>
      <c r="E829" s="17">
        <v>45</v>
      </c>
      <c r="F829" s="27">
        <v>16</v>
      </c>
      <c r="G829" s="17" t="s">
        <v>1836</v>
      </c>
      <c r="H829" s="17" t="s">
        <v>1847</v>
      </c>
    </row>
    <row r="830" spans="1:8" x14ac:dyDescent="0.25">
      <c r="A830" s="16" t="s">
        <v>1848</v>
      </c>
      <c r="B830" s="17" t="s">
        <v>166</v>
      </c>
      <c r="C830" s="17" t="s">
        <v>4933</v>
      </c>
      <c r="D830" s="17" t="s">
        <v>4934</v>
      </c>
      <c r="E830" s="17">
        <v>45</v>
      </c>
      <c r="F830" s="27">
        <v>16</v>
      </c>
      <c r="G830" s="17" t="s">
        <v>1836</v>
      </c>
      <c r="H830" s="17" t="s">
        <v>1849</v>
      </c>
    </row>
    <row r="831" spans="1:8" x14ac:dyDescent="0.25">
      <c r="A831" s="16" t="s">
        <v>1850</v>
      </c>
      <c r="B831" s="17" t="s">
        <v>292</v>
      </c>
      <c r="C831" s="17" t="s">
        <v>3871</v>
      </c>
      <c r="D831" s="17" t="s">
        <v>4935</v>
      </c>
      <c r="E831" s="17">
        <v>45</v>
      </c>
      <c r="F831" s="27">
        <v>16</v>
      </c>
      <c r="G831" s="17" t="s">
        <v>1836</v>
      </c>
      <c r="H831" s="17" t="s">
        <v>1851</v>
      </c>
    </row>
    <row r="832" spans="1:8" x14ac:dyDescent="0.25">
      <c r="A832" s="16" t="s">
        <v>1852</v>
      </c>
      <c r="B832" s="17" t="s">
        <v>46</v>
      </c>
      <c r="C832" s="17" t="s">
        <v>3766</v>
      </c>
      <c r="D832" s="17" t="s">
        <v>4936</v>
      </c>
      <c r="E832" s="17">
        <v>45</v>
      </c>
      <c r="F832" s="27">
        <v>16</v>
      </c>
      <c r="G832" s="17" t="s">
        <v>1836</v>
      </c>
      <c r="H832" s="17" t="s">
        <v>1853</v>
      </c>
    </row>
    <row r="833" spans="1:8" x14ac:dyDescent="0.25">
      <c r="A833" s="16" t="s">
        <v>1854</v>
      </c>
      <c r="B833" s="17" t="s">
        <v>57</v>
      </c>
      <c r="C833" s="17" t="s">
        <v>4937</v>
      </c>
      <c r="D833" s="17" t="s">
        <v>4938</v>
      </c>
      <c r="E833" s="17">
        <v>45</v>
      </c>
      <c r="F833" s="27">
        <v>16</v>
      </c>
      <c r="G833" s="17" t="s">
        <v>1855</v>
      </c>
      <c r="H833" s="17" t="s">
        <v>1855</v>
      </c>
    </row>
    <row r="834" spans="1:8" x14ac:dyDescent="0.25">
      <c r="A834" s="16" t="s">
        <v>1856</v>
      </c>
      <c r="B834" s="17" t="s">
        <v>166</v>
      </c>
      <c r="C834" s="17" t="s">
        <v>4939</v>
      </c>
      <c r="D834" s="17" t="s">
        <v>4940</v>
      </c>
      <c r="E834" s="17">
        <v>45</v>
      </c>
      <c r="F834" s="27">
        <v>16</v>
      </c>
      <c r="G834" s="17" t="s">
        <v>1855</v>
      </c>
      <c r="H834" s="17" t="s">
        <v>1857</v>
      </c>
    </row>
    <row r="835" spans="1:8" x14ac:dyDescent="0.25">
      <c r="A835" s="16" t="s">
        <v>1858</v>
      </c>
      <c r="B835" s="17" t="s">
        <v>166</v>
      </c>
      <c r="C835" s="17" t="s">
        <v>3758</v>
      </c>
      <c r="D835" s="17" t="s">
        <v>4746</v>
      </c>
      <c r="E835" s="17">
        <v>45</v>
      </c>
      <c r="F835" s="27">
        <v>16</v>
      </c>
      <c r="G835" s="17" t="s">
        <v>1855</v>
      </c>
      <c r="H835" s="17" t="s">
        <v>1859</v>
      </c>
    </row>
    <row r="836" spans="1:8" x14ac:dyDescent="0.25">
      <c r="A836" s="16" t="s">
        <v>1860</v>
      </c>
      <c r="B836" s="17" t="s">
        <v>254</v>
      </c>
      <c r="C836" s="17" t="s">
        <v>3766</v>
      </c>
      <c r="D836" s="17" t="s">
        <v>4941</v>
      </c>
      <c r="E836" s="17">
        <v>45</v>
      </c>
      <c r="F836" s="27">
        <v>16</v>
      </c>
      <c r="G836" s="17" t="s">
        <v>1855</v>
      </c>
      <c r="H836" s="17" t="s">
        <v>1861</v>
      </c>
    </row>
    <row r="837" spans="1:8" x14ac:dyDescent="0.25">
      <c r="A837" s="16" t="s">
        <v>1862</v>
      </c>
      <c r="B837" s="17" t="s">
        <v>72</v>
      </c>
      <c r="C837" s="17" t="s">
        <v>3766</v>
      </c>
      <c r="D837" s="17" t="s">
        <v>4942</v>
      </c>
      <c r="E837" s="17">
        <v>45</v>
      </c>
      <c r="F837" s="27">
        <v>16</v>
      </c>
      <c r="G837" s="17" t="s">
        <v>1855</v>
      </c>
      <c r="H837" s="17" t="s">
        <v>1863</v>
      </c>
    </row>
    <row r="838" spans="1:8" x14ac:dyDescent="0.25">
      <c r="A838" s="16" t="s">
        <v>1864</v>
      </c>
      <c r="B838" s="17" t="s">
        <v>480</v>
      </c>
      <c r="C838" s="17" t="s">
        <v>3766</v>
      </c>
      <c r="D838" s="17" t="s">
        <v>4943</v>
      </c>
      <c r="E838" s="17">
        <v>45</v>
      </c>
      <c r="F838" s="27">
        <v>16</v>
      </c>
      <c r="G838" s="17" t="s">
        <v>1855</v>
      </c>
      <c r="H838" s="17" t="s">
        <v>1865</v>
      </c>
    </row>
    <row r="839" spans="1:8" x14ac:dyDescent="0.25">
      <c r="A839" s="16" t="s">
        <v>1866</v>
      </c>
      <c r="B839" s="17" t="s">
        <v>77</v>
      </c>
      <c r="C839" s="17" t="s">
        <v>3766</v>
      </c>
      <c r="D839" s="17" t="s">
        <v>4944</v>
      </c>
      <c r="E839" s="17">
        <v>45</v>
      </c>
      <c r="F839" s="27">
        <v>16</v>
      </c>
      <c r="G839" s="17" t="s">
        <v>1855</v>
      </c>
      <c r="H839" s="17" t="s">
        <v>1867</v>
      </c>
    </row>
    <row r="840" spans="1:8" x14ac:dyDescent="0.25">
      <c r="A840" s="16" t="s">
        <v>1868</v>
      </c>
      <c r="B840" s="17" t="s">
        <v>166</v>
      </c>
      <c r="C840" s="17" t="s">
        <v>4492</v>
      </c>
      <c r="D840" s="17" t="s">
        <v>4945</v>
      </c>
      <c r="E840" s="17">
        <v>45</v>
      </c>
      <c r="F840" s="27">
        <v>16</v>
      </c>
      <c r="G840" s="17" t="s">
        <v>1855</v>
      </c>
      <c r="H840" s="17" t="s">
        <v>1869</v>
      </c>
    </row>
    <row r="841" spans="1:8" x14ac:dyDescent="0.25">
      <c r="A841" s="16" t="s">
        <v>1870</v>
      </c>
      <c r="B841" s="17" t="s">
        <v>135</v>
      </c>
      <c r="C841" s="17" t="s">
        <v>3766</v>
      </c>
      <c r="D841" s="17" t="s">
        <v>4946</v>
      </c>
      <c r="E841" s="17">
        <v>45</v>
      </c>
      <c r="F841" s="27">
        <v>16</v>
      </c>
      <c r="G841" s="17" t="s">
        <v>1855</v>
      </c>
      <c r="H841" s="17" t="s">
        <v>1871</v>
      </c>
    </row>
    <row r="842" spans="1:8" x14ac:dyDescent="0.25">
      <c r="A842" s="16" t="s">
        <v>1872</v>
      </c>
      <c r="B842" s="17" t="s">
        <v>547</v>
      </c>
      <c r="C842" s="17" t="s">
        <v>4208</v>
      </c>
      <c r="D842" s="17" t="s">
        <v>4947</v>
      </c>
      <c r="E842" s="17">
        <v>45</v>
      </c>
      <c r="F842" s="27">
        <v>16</v>
      </c>
      <c r="G842" s="17" t="s">
        <v>1873</v>
      </c>
      <c r="H842" s="17" t="s">
        <v>1873</v>
      </c>
    </row>
    <row r="843" spans="1:8" x14ac:dyDescent="0.25">
      <c r="A843" s="16" t="s">
        <v>1874</v>
      </c>
      <c r="B843" s="17" t="s">
        <v>166</v>
      </c>
      <c r="C843" s="17" t="s">
        <v>3758</v>
      </c>
      <c r="D843" s="17" t="s">
        <v>4948</v>
      </c>
      <c r="E843" s="17">
        <v>45</v>
      </c>
      <c r="F843" s="27">
        <v>16</v>
      </c>
      <c r="G843" s="17" t="s">
        <v>1873</v>
      </c>
      <c r="H843" s="17" t="s">
        <v>1875</v>
      </c>
    </row>
    <row r="844" spans="1:8" x14ac:dyDescent="0.25">
      <c r="A844" s="16" t="s">
        <v>1876</v>
      </c>
      <c r="B844" s="17" t="s">
        <v>157</v>
      </c>
      <c r="C844" s="17" t="s">
        <v>3766</v>
      </c>
      <c r="D844" s="17" t="s">
        <v>4949</v>
      </c>
      <c r="E844" s="17">
        <v>45</v>
      </c>
      <c r="F844" s="27">
        <v>16</v>
      </c>
      <c r="G844" s="17" t="s">
        <v>1873</v>
      </c>
      <c r="H844" s="17" t="s">
        <v>1877</v>
      </c>
    </row>
    <row r="845" spans="1:8" x14ac:dyDescent="0.25">
      <c r="A845" s="16" t="s">
        <v>1878</v>
      </c>
      <c r="B845" s="17" t="s">
        <v>95</v>
      </c>
      <c r="C845" s="17" t="s">
        <v>3766</v>
      </c>
      <c r="D845" s="17" t="s">
        <v>4950</v>
      </c>
      <c r="E845" s="17">
        <v>45</v>
      </c>
      <c r="F845" s="27">
        <v>16</v>
      </c>
      <c r="G845" s="17" t="s">
        <v>1873</v>
      </c>
      <c r="H845" s="17" t="s">
        <v>1879</v>
      </c>
    </row>
    <row r="846" spans="1:8" x14ac:dyDescent="0.25">
      <c r="A846" s="16" t="s">
        <v>1880</v>
      </c>
      <c r="B846" s="17" t="s">
        <v>166</v>
      </c>
      <c r="C846" s="17" t="s">
        <v>3758</v>
      </c>
      <c r="D846" s="17" t="s">
        <v>4951</v>
      </c>
      <c r="E846" s="17">
        <v>45</v>
      </c>
      <c r="F846" s="27">
        <v>16</v>
      </c>
      <c r="G846" s="17" t="s">
        <v>1873</v>
      </c>
      <c r="H846" s="17" t="s">
        <v>1881</v>
      </c>
    </row>
    <row r="847" spans="1:8" x14ac:dyDescent="0.25">
      <c r="A847" s="16" t="s">
        <v>1882</v>
      </c>
      <c r="B847" s="17" t="s">
        <v>1883</v>
      </c>
      <c r="C847" s="17" t="s">
        <v>3871</v>
      </c>
      <c r="D847" s="17" t="s">
        <v>4952</v>
      </c>
      <c r="E847" s="17">
        <v>45</v>
      </c>
      <c r="F847" s="27">
        <v>16</v>
      </c>
      <c r="G847" s="17" t="s">
        <v>1884</v>
      </c>
      <c r="H847" s="17" t="s">
        <v>1885</v>
      </c>
    </row>
    <row r="848" spans="1:8" x14ac:dyDescent="0.25">
      <c r="A848" s="16" t="s">
        <v>1886</v>
      </c>
      <c r="B848" s="17" t="s">
        <v>510</v>
      </c>
      <c r="C848" s="17" t="s">
        <v>3766</v>
      </c>
      <c r="D848" s="17" t="s">
        <v>4953</v>
      </c>
      <c r="E848" s="17">
        <v>45</v>
      </c>
      <c r="F848" s="27">
        <v>16</v>
      </c>
      <c r="G848" s="17" t="s">
        <v>1884</v>
      </c>
      <c r="H848" s="17" t="s">
        <v>1887</v>
      </c>
    </row>
    <row r="849" spans="1:8" x14ac:dyDescent="0.25">
      <c r="A849" s="16" t="s">
        <v>1888</v>
      </c>
      <c r="B849" s="17" t="s">
        <v>166</v>
      </c>
      <c r="C849" s="17" t="s">
        <v>3758</v>
      </c>
      <c r="D849" s="17" t="s">
        <v>4954</v>
      </c>
      <c r="E849" s="17">
        <v>45</v>
      </c>
      <c r="F849" s="27">
        <v>16</v>
      </c>
      <c r="G849" s="17" t="s">
        <v>1884</v>
      </c>
      <c r="H849" s="17" t="s">
        <v>1889</v>
      </c>
    </row>
    <row r="850" spans="1:8" x14ac:dyDescent="0.25">
      <c r="A850" s="16" t="s">
        <v>1890</v>
      </c>
      <c r="B850" s="17" t="s">
        <v>92</v>
      </c>
      <c r="C850" s="17" t="s">
        <v>3766</v>
      </c>
      <c r="D850" s="17" t="s">
        <v>4955</v>
      </c>
      <c r="E850" s="17">
        <v>45</v>
      </c>
      <c r="F850" s="27">
        <v>16</v>
      </c>
      <c r="G850" s="17" t="s">
        <v>1884</v>
      </c>
      <c r="H850" s="17" t="s">
        <v>1891</v>
      </c>
    </row>
    <row r="851" spans="1:8" x14ac:dyDescent="0.25">
      <c r="A851" s="16" t="s">
        <v>1892</v>
      </c>
      <c r="B851" s="17" t="s">
        <v>135</v>
      </c>
      <c r="C851" s="17" t="s">
        <v>4956</v>
      </c>
      <c r="D851" s="17" t="s">
        <v>4957</v>
      </c>
      <c r="E851" s="17">
        <v>45</v>
      </c>
      <c r="F851" s="27">
        <v>16</v>
      </c>
      <c r="G851" s="17" t="s">
        <v>1893</v>
      </c>
      <c r="H851" s="17" t="s">
        <v>1894</v>
      </c>
    </row>
    <row r="852" spans="1:8" x14ac:dyDescent="0.25">
      <c r="A852" s="16" t="s">
        <v>1895</v>
      </c>
      <c r="B852" s="17" t="s">
        <v>49</v>
      </c>
      <c r="C852" s="17" t="s">
        <v>3766</v>
      </c>
      <c r="D852" s="17" t="s">
        <v>4958</v>
      </c>
      <c r="E852" s="17">
        <v>45</v>
      </c>
      <c r="F852" s="27">
        <v>16</v>
      </c>
      <c r="G852" s="17" t="s">
        <v>1893</v>
      </c>
      <c r="H852" s="17" t="s">
        <v>1896</v>
      </c>
    </row>
    <row r="853" spans="1:8" x14ac:dyDescent="0.25">
      <c r="A853" s="16" t="s">
        <v>1897</v>
      </c>
      <c r="B853" s="17" t="s">
        <v>151</v>
      </c>
      <c r="C853" s="17" t="s">
        <v>3766</v>
      </c>
      <c r="D853" s="17" t="s">
        <v>4959</v>
      </c>
      <c r="E853" s="17">
        <v>45</v>
      </c>
      <c r="F853" s="27">
        <v>16</v>
      </c>
      <c r="G853" s="17" t="s">
        <v>1893</v>
      </c>
      <c r="H853" s="17" t="s">
        <v>1898</v>
      </c>
    </row>
    <row r="854" spans="1:8" x14ac:dyDescent="0.25">
      <c r="A854" s="16" t="s">
        <v>1899</v>
      </c>
      <c r="B854" s="17" t="s">
        <v>166</v>
      </c>
      <c r="C854" s="17" t="s">
        <v>3971</v>
      </c>
      <c r="D854" s="17" t="s">
        <v>4960</v>
      </c>
      <c r="E854" s="17">
        <v>45</v>
      </c>
      <c r="F854" s="27">
        <v>16</v>
      </c>
      <c r="G854" s="17" t="s">
        <v>1893</v>
      </c>
      <c r="H854" s="17" t="s">
        <v>1900</v>
      </c>
    </row>
    <row r="855" spans="1:8" x14ac:dyDescent="0.25">
      <c r="A855" s="16" t="s">
        <v>1901</v>
      </c>
      <c r="B855" s="17" t="s">
        <v>138</v>
      </c>
      <c r="C855" s="17" t="s">
        <v>3766</v>
      </c>
      <c r="D855" s="17" t="s">
        <v>4961</v>
      </c>
      <c r="E855" s="17">
        <v>45</v>
      </c>
      <c r="F855" s="27">
        <v>16</v>
      </c>
      <c r="G855" s="17" t="s">
        <v>1893</v>
      </c>
      <c r="H855" s="17" t="s">
        <v>614</v>
      </c>
    </row>
    <row r="856" spans="1:8" x14ac:dyDescent="0.25">
      <c r="A856" s="16" t="s">
        <v>1902</v>
      </c>
      <c r="B856" s="17" t="s">
        <v>1903</v>
      </c>
      <c r="C856" s="17" t="s">
        <v>3766</v>
      </c>
      <c r="D856" s="17" t="s">
        <v>4962</v>
      </c>
      <c r="E856" s="17">
        <v>45</v>
      </c>
      <c r="F856" s="27">
        <v>16</v>
      </c>
      <c r="G856" s="17" t="s">
        <v>1893</v>
      </c>
      <c r="H856" s="17" t="s">
        <v>1904</v>
      </c>
    </row>
    <row r="857" spans="1:8" x14ac:dyDescent="0.25">
      <c r="A857" s="16" t="s">
        <v>1905</v>
      </c>
      <c r="B857" s="17" t="s">
        <v>103</v>
      </c>
      <c r="C857" s="17" t="s">
        <v>3766</v>
      </c>
      <c r="D857" s="17" t="s">
        <v>4963</v>
      </c>
      <c r="E857" s="17">
        <v>45</v>
      </c>
      <c r="F857" s="27">
        <v>16</v>
      </c>
      <c r="G857" s="17" t="s">
        <v>1893</v>
      </c>
      <c r="H857" s="17" t="s">
        <v>1906</v>
      </c>
    </row>
    <row r="858" spans="1:8" x14ac:dyDescent="0.25">
      <c r="A858" s="16" t="s">
        <v>1907</v>
      </c>
      <c r="B858" s="17" t="s">
        <v>166</v>
      </c>
      <c r="C858" s="17" t="s">
        <v>3766</v>
      </c>
      <c r="D858" s="17" t="s">
        <v>4964</v>
      </c>
      <c r="E858" s="17">
        <v>45</v>
      </c>
      <c r="F858" s="27">
        <v>16</v>
      </c>
      <c r="G858" s="17" t="s">
        <v>1893</v>
      </c>
      <c r="H858" s="17" t="s">
        <v>1908</v>
      </c>
    </row>
    <row r="859" spans="1:8" x14ac:dyDescent="0.25">
      <c r="A859" s="16" t="s">
        <v>1909</v>
      </c>
      <c r="B859" s="17" t="s">
        <v>261</v>
      </c>
      <c r="C859" s="17" t="s">
        <v>3766</v>
      </c>
      <c r="D859" s="17" t="s">
        <v>4965</v>
      </c>
      <c r="E859" s="17">
        <v>45</v>
      </c>
      <c r="F859" s="27">
        <v>16</v>
      </c>
      <c r="G859" s="17" t="s">
        <v>1893</v>
      </c>
      <c r="H859" s="17" t="s">
        <v>1910</v>
      </c>
    </row>
    <row r="860" spans="1:8" x14ac:dyDescent="0.25">
      <c r="A860" s="16" t="s">
        <v>1911</v>
      </c>
      <c r="B860" s="17" t="s">
        <v>166</v>
      </c>
      <c r="C860" s="17" t="s">
        <v>3766</v>
      </c>
      <c r="D860" s="17" t="s">
        <v>4966</v>
      </c>
      <c r="E860" s="17">
        <v>46</v>
      </c>
      <c r="F860" s="27">
        <v>16</v>
      </c>
      <c r="G860" s="17" t="s">
        <v>1912</v>
      </c>
      <c r="H860" s="17" t="s">
        <v>1913</v>
      </c>
    </row>
    <row r="861" spans="1:8" x14ac:dyDescent="0.25">
      <c r="A861" s="16" t="s">
        <v>1914</v>
      </c>
      <c r="B861" s="17" t="s">
        <v>1915</v>
      </c>
      <c r="C861" s="17" t="s">
        <v>3766</v>
      </c>
      <c r="D861" s="17" t="s">
        <v>4967</v>
      </c>
      <c r="E861" s="17">
        <v>46</v>
      </c>
      <c r="F861" s="27">
        <v>16</v>
      </c>
      <c r="G861" s="17" t="s">
        <v>1912</v>
      </c>
      <c r="H861" s="17" t="s">
        <v>1916</v>
      </c>
    </row>
    <row r="862" spans="1:8" x14ac:dyDescent="0.25">
      <c r="A862" s="16" t="s">
        <v>1917</v>
      </c>
      <c r="B862" s="17" t="s">
        <v>1918</v>
      </c>
      <c r="C862" s="17" t="s">
        <v>3766</v>
      </c>
      <c r="D862" s="17" t="s">
        <v>4968</v>
      </c>
      <c r="E862" s="17">
        <v>46</v>
      </c>
      <c r="F862" s="27">
        <v>16</v>
      </c>
      <c r="G862" s="17" t="s">
        <v>1912</v>
      </c>
      <c r="H862" s="17" t="s">
        <v>1919</v>
      </c>
    </row>
    <row r="863" spans="1:8" x14ac:dyDescent="0.25">
      <c r="A863" s="16" t="s">
        <v>1920</v>
      </c>
      <c r="B863" s="17" t="s">
        <v>1921</v>
      </c>
      <c r="C863" s="17" t="s">
        <v>3758</v>
      </c>
      <c r="D863" s="17" t="s">
        <v>4969</v>
      </c>
      <c r="E863" s="17">
        <v>46</v>
      </c>
      <c r="F863" s="27">
        <v>16</v>
      </c>
      <c r="G863" s="17" t="s">
        <v>1912</v>
      </c>
      <c r="H863" s="17" t="s">
        <v>1922</v>
      </c>
    </row>
    <row r="864" spans="1:8" x14ac:dyDescent="0.25">
      <c r="A864" s="16" t="s">
        <v>1923</v>
      </c>
      <c r="B864" s="17" t="s">
        <v>97</v>
      </c>
      <c r="C864" s="17" t="s">
        <v>3766</v>
      </c>
      <c r="D864" s="17" t="s">
        <v>4970</v>
      </c>
      <c r="E864" s="17">
        <v>46</v>
      </c>
      <c r="F864" s="27">
        <v>16</v>
      </c>
      <c r="G864" s="17" t="s">
        <v>1912</v>
      </c>
      <c r="H864" s="17" t="s">
        <v>1924</v>
      </c>
    </row>
    <row r="865" spans="1:8" x14ac:dyDescent="0.25">
      <c r="A865" s="16" t="s">
        <v>1925</v>
      </c>
      <c r="B865" s="17" t="s">
        <v>49</v>
      </c>
      <c r="C865" s="17" t="s">
        <v>4971</v>
      </c>
      <c r="D865" s="17" t="s">
        <v>4972</v>
      </c>
      <c r="E865" s="17">
        <v>46</v>
      </c>
      <c r="F865" s="27">
        <v>16</v>
      </c>
      <c r="G865" s="17" t="s">
        <v>1912</v>
      </c>
      <c r="H865" s="17" t="s">
        <v>460</v>
      </c>
    </row>
    <row r="866" spans="1:8" x14ac:dyDescent="0.25">
      <c r="A866" s="16" t="s">
        <v>1926</v>
      </c>
      <c r="B866" s="17" t="s">
        <v>166</v>
      </c>
      <c r="C866" s="17" t="s">
        <v>3766</v>
      </c>
      <c r="D866" s="17" t="s">
        <v>4973</v>
      </c>
      <c r="E866" s="17">
        <v>46</v>
      </c>
      <c r="F866" s="27">
        <v>16</v>
      </c>
      <c r="G866" s="17" t="s">
        <v>1912</v>
      </c>
      <c r="H866" s="17" t="s">
        <v>359</v>
      </c>
    </row>
    <row r="867" spans="1:8" x14ac:dyDescent="0.25">
      <c r="A867" s="16" t="s">
        <v>1927</v>
      </c>
      <c r="B867" s="17" t="s">
        <v>1928</v>
      </c>
      <c r="C867" s="17" t="s">
        <v>3766</v>
      </c>
      <c r="D867" s="17" t="s">
        <v>4974</v>
      </c>
      <c r="E867" s="17">
        <v>46</v>
      </c>
      <c r="F867" s="27">
        <v>16</v>
      </c>
      <c r="G867" s="17" t="s">
        <v>1912</v>
      </c>
      <c r="H867" s="17" t="s">
        <v>1929</v>
      </c>
    </row>
    <row r="868" spans="1:8" x14ac:dyDescent="0.25">
      <c r="A868" s="16" t="s">
        <v>1930</v>
      </c>
      <c r="B868" s="17" t="s">
        <v>254</v>
      </c>
      <c r="C868" s="17" t="s">
        <v>3766</v>
      </c>
      <c r="D868" s="17" t="s">
        <v>4975</v>
      </c>
      <c r="E868" s="17">
        <v>46</v>
      </c>
      <c r="F868" s="27">
        <v>16</v>
      </c>
      <c r="G868" s="17" t="s">
        <v>1912</v>
      </c>
      <c r="H868" s="17" t="s">
        <v>1931</v>
      </c>
    </row>
    <row r="869" spans="1:8" x14ac:dyDescent="0.25">
      <c r="A869" s="16" t="s">
        <v>1932</v>
      </c>
      <c r="B869" s="17" t="s">
        <v>1672</v>
      </c>
      <c r="C869" s="17" t="s">
        <v>3766</v>
      </c>
      <c r="D869" s="17" t="s">
        <v>4976</v>
      </c>
      <c r="E869" s="17">
        <v>46</v>
      </c>
      <c r="F869" s="27">
        <v>16</v>
      </c>
      <c r="G869" s="17" t="s">
        <v>1912</v>
      </c>
      <c r="H869" s="17" t="s">
        <v>1933</v>
      </c>
    </row>
    <row r="870" spans="1:8" x14ac:dyDescent="0.25">
      <c r="A870" s="16" t="s">
        <v>1934</v>
      </c>
      <c r="B870" s="17" t="s">
        <v>138</v>
      </c>
      <c r="C870" s="17" t="s">
        <v>3766</v>
      </c>
      <c r="D870" s="17" t="s">
        <v>4977</v>
      </c>
      <c r="E870" s="17">
        <v>46</v>
      </c>
      <c r="F870" s="27">
        <v>16</v>
      </c>
      <c r="G870" s="17" t="s">
        <v>1912</v>
      </c>
      <c r="H870" s="17" t="s">
        <v>1935</v>
      </c>
    </row>
    <row r="871" spans="1:8" x14ac:dyDescent="0.25">
      <c r="A871" s="16" t="s">
        <v>1936</v>
      </c>
      <c r="B871" s="17" t="s">
        <v>1918</v>
      </c>
      <c r="C871" s="17" t="s">
        <v>3766</v>
      </c>
      <c r="D871" s="17" t="s">
        <v>4978</v>
      </c>
      <c r="E871" s="17">
        <v>46</v>
      </c>
      <c r="F871" s="27">
        <v>16</v>
      </c>
      <c r="G871" s="17" t="s">
        <v>1912</v>
      </c>
      <c r="H871" s="17" t="s">
        <v>1937</v>
      </c>
    </row>
    <row r="872" spans="1:8" x14ac:dyDescent="0.25">
      <c r="A872" s="16" t="s">
        <v>1938</v>
      </c>
      <c r="B872" s="17" t="s">
        <v>166</v>
      </c>
      <c r="C872" s="17" t="s">
        <v>3871</v>
      </c>
      <c r="D872" s="17" t="s">
        <v>4979</v>
      </c>
      <c r="E872" s="17">
        <v>46</v>
      </c>
      <c r="F872" s="27">
        <v>16</v>
      </c>
      <c r="G872" s="17" t="s">
        <v>1912</v>
      </c>
      <c r="H872" s="17" t="s">
        <v>1939</v>
      </c>
    </row>
    <row r="873" spans="1:8" x14ac:dyDescent="0.25">
      <c r="A873" s="16" t="s">
        <v>1940</v>
      </c>
      <c r="B873" s="17" t="s">
        <v>135</v>
      </c>
      <c r="C873" s="17" t="s">
        <v>3766</v>
      </c>
      <c r="D873" s="17" t="s">
        <v>4980</v>
      </c>
      <c r="E873" s="17">
        <v>46</v>
      </c>
      <c r="F873" s="27">
        <v>16</v>
      </c>
      <c r="G873" s="17" t="s">
        <v>1912</v>
      </c>
      <c r="H873" s="17" t="s">
        <v>1941</v>
      </c>
    </row>
    <row r="874" spans="1:8" x14ac:dyDescent="0.25">
      <c r="A874" s="16" t="s">
        <v>1942</v>
      </c>
      <c r="B874" s="17" t="s">
        <v>72</v>
      </c>
      <c r="C874" s="17" t="s">
        <v>3766</v>
      </c>
      <c r="D874" s="17" t="s">
        <v>4981</v>
      </c>
      <c r="E874" s="17">
        <v>46</v>
      </c>
      <c r="F874" s="27">
        <v>16</v>
      </c>
      <c r="G874" s="17" t="s">
        <v>1912</v>
      </c>
      <c r="H874" s="17" t="s">
        <v>1943</v>
      </c>
    </row>
    <row r="875" spans="1:8" x14ac:dyDescent="0.25">
      <c r="A875" s="16" t="s">
        <v>1944</v>
      </c>
      <c r="B875" s="17" t="s">
        <v>23</v>
      </c>
      <c r="C875" s="17" t="s">
        <v>3871</v>
      </c>
      <c r="D875" s="17" t="s">
        <v>4982</v>
      </c>
      <c r="E875" s="17">
        <v>46</v>
      </c>
      <c r="F875" s="27">
        <v>16</v>
      </c>
      <c r="G875" s="17" t="s">
        <v>1912</v>
      </c>
      <c r="H875" s="17" t="s">
        <v>1945</v>
      </c>
    </row>
    <row r="876" spans="1:8" x14ac:dyDescent="0.25">
      <c r="A876" s="16" t="s">
        <v>1946</v>
      </c>
      <c r="B876" s="17" t="s">
        <v>135</v>
      </c>
      <c r="C876" s="17" t="s">
        <v>3766</v>
      </c>
      <c r="D876" s="17" t="s">
        <v>4983</v>
      </c>
      <c r="E876" s="17">
        <v>46</v>
      </c>
      <c r="F876" s="27">
        <v>16</v>
      </c>
      <c r="G876" s="17" t="s">
        <v>1912</v>
      </c>
      <c r="H876" s="17" t="s">
        <v>1947</v>
      </c>
    </row>
    <row r="877" spans="1:8" x14ac:dyDescent="0.25">
      <c r="A877" s="16" t="s">
        <v>1948</v>
      </c>
      <c r="B877" s="17" t="s">
        <v>1507</v>
      </c>
      <c r="C877" s="17" t="s">
        <v>3766</v>
      </c>
      <c r="D877" s="17" t="s">
        <v>4984</v>
      </c>
      <c r="E877" s="17">
        <v>46</v>
      </c>
      <c r="F877" s="27">
        <v>16</v>
      </c>
      <c r="G877" s="17" t="s">
        <v>1912</v>
      </c>
      <c r="H877" s="17" t="s">
        <v>1949</v>
      </c>
    </row>
    <row r="878" spans="1:8" x14ac:dyDescent="0.25">
      <c r="A878" s="16" t="s">
        <v>1950</v>
      </c>
      <c r="B878" s="17" t="s">
        <v>135</v>
      </c>
      <c r="C878" s="17" t="s">
        <v>3766</v>
      </c>
      <c r="D878" s="17" t="s">
        <v>4985</v>
      </c>
      <c r="E878" s="17">
        <v>46</v>
      </c>
      <c r="F878" s="27">
        <v>16</v>
      </c>
      <c r="G878" s="17" t="s">
        <v>1912</v>
      </c>
      <c r="H878" s="17" t="s">
        <v>1951</v>
      </c>
    </row>
    <row r="879" spans="1:8" x14ac:dyDescent="0.25">
      <c r="A879" s="16" t="s">
        <v>1952</v>
      </c>
      <c r="B879" s="17" t="s">
        <v>234</v>
      </c>
      <c r="C879" s="17" t="s">
        <v>3766</v>
      </c>
      <c r="D879" s="17" t="s">
        <v>4986</v>
      </c>
      <c r="E879" s="17">
        <v>46</v>
      </c>
      <c r="F879" s="27">
        <v>16</v>
      </c>
      <c r="G879" s="17" t="s">
        <v>1912</v>
      </c>
      <c r="H879" s="17" t="s">
        <v>1953</v>
      </c>
    </row>
    <row r="880" spans="1:8" x14ac:dyDescent="0.25">
      <c r="A880" s="16" t="s">
        <v>1954</v>
      </c>
      <c r="B880" s="17" t="s">
        <v>517</v>
      </c>
      <c r="C880" s="17" t="s">
        <v>3766</v>
      </c>
      <c r="D880" s="17" t="s">
        <v>4987</v>
      </c>
      <c r="E880" s="17">
        <v>46</v>
      </c>
      <c r="F880" s="27">
        <v>16</v>
      </c>
      <c r="G880" s="17" t="s">
        <v>1912</v>
      </c>
      <c r="H880" s="17" t="s">
        <v>1955</v>
      </c>
    </row>
    <row r="881" spans="1:8" x14ac:dyDescent="0.25">
      <c r="A881" s="16" t="s">
        <v>1956</v>
      </c>
      <c r="B881" s="17" t="s">
        <v>166</v>
      </c>
      <c r="C881" s="17" t="s">
        <v>3766</v>
      </c>
      <c r="D881" s="17" t="s">
        <v>4988</v>
      </c>
      <c r="E881" s="17">
        <v>46</v>
      </c>
      <c r="F881" s="27">
        <v>16</v>
      </c>
      <c r="G881" s="17" t="s">
        <v>1912</v>
      </c>
      <c r="H881" s="17" t="s">
        <v>1957</v>
      </c>
    </row>
    <row r="882" spans="1:8" x14ac:dyDescent="0.25">
      <c r="A882" s="16" t="s">
        <v>1958</v>
      </c>
      <c r="B882" s="17" t="s">
        <v>151</v>
      </c>
      <c r="C882" s="17" t="s">
        <v>3766</v>
      </c>
      <c r="D882" s="17" t="s">
        <v>4989</v>
      </c>
      <c r="E882" s="17">
        <v>46</v>
      </c>
      <c r="F882" s="27">
        <v>16</v>
      </c>
      <c r="G882" s="17" t="s">
        <v>73</v>
      </c>
      <c r="H882" s="17" t="s">
        <v>1959</v>
      </c>
    </row>
    <row r="883" spans="1:8" x14ac:dyDescent="0.25">
      <c r="A883" s="16" t="s">
        <v>1960</v>
      </c>
      <c r="B883" s="17" t="s">
        <v>301</v>
      </c>
      <c r="C883" s="17" t="s">
        <v>4990</v>
      </c>
      <c r="D883" s="17" t="s">
        <v>4991</v>
      </c>
      <c r="E883" s="17">
        <v>46</v>
      </c>
      <c r="F883" s="27">
        <v>16</v>
      </c>
      <c r="G883" s="17" t="s">
        <v>1961</v>
      </c>
      <c r="H883" s="17" t="s">
        <v>1961</v>
      </c>
    </row>
    <row r="884" spans="1:8" x14ac:dyDescent="0.25">
      <c r="A884" s="16" t="s">
        <v>1962</v>
      </c>
      <c r="B884" s="17" t="s">
        <v>443</v>
      </c>
      <c r="C884" s="17" t="s">
        <v>3766</v>
      </c>
      <c r="D884" s="17" t="s">
        <v>4992</v>
      </c>
      <c r="E884" s="17">
        <v>46</v>
      </c>
      <c r="F884" s="27">
        <v>16</v>
      </c>
      <c r="G884" s="17" t="s">
        <v>1961</v>
      </c>
      <c r="H884" s="17" t="s">
        <v>1963</v>
      </c>
    </row>
    <row r="885" spans="1:8" x14ac:dyDescent="0.25">
      <c r="A885" s="16" t="s">
        <v>1964</v>
      </c>
      <c r="B885" s="17" t="s">
        <v>23</v>
      </c>
      <c r="C885" s="17" t="s">
        <v>3766</v>
      </c>
      <c r="D885" s="17" t="s">
        <v>4993</v>
      </c>
      <c r="E885" s="17">
        <v>46</v>
      </c>
      <c r="F885" s="27">
        <v>16</v>
      </c>
      <c r="G885" s="17" t="s">
        <v>1961</v>
      </c>
      <c r="H885" s="17" t="s">
        <v>187</v>
      </c>
    </row>
    <row r="886" spans="1:8" x14ac:dyDescent="0.25">
      <c r="A886" s="16" t="s">
        <v>1965</v>
      </c>
      <c r="B886" s="17" t="s">
        <v>153</v>
      </c>
      <c r="C886" s="17" t="s">
        <v>3766</v>
      </c>
      <c r="D886" s="17" t="s">
        <v>4994</v>
      </c>
      <c r="E886" s="17">
        <v>46</v>
      </c>
      <c r="F886" s="27">
        <v>16</v>
      </c>
      <c r="G886" s="17" t="s">
        <v>1961</v>
      </c>
      <c r="H886" s="17" t="s">
        <v>604</v>
      </c>
    </row>
    <row r="887" spans="1:8" x14ac:dyDescent="0.25">
      <c r="A887" s="16" t="s">
        <v>1966</v>
      </c>
      <c r="B887" s="17" t="s">
        <v>80</v>
      </c>
      <c r="C887" s="17" t="s">
        <v>3766</v>
      </c>
      <c r="D887" s="17" t="s">
        <v>4995</v>
      </c>
      <c r="E887" s="17">
        <v>46</v>
      </c>
      <c r="F887" s="27">
        <v>16</v>
      </c>
      <c r="G887" s="17" t="s">
        <v>1961</v>
      </c>
      <c r="H887" s="17" t="s">
        <v>1967</v>
      </c>
    </row>
    <row r="888" spans="1:8" x14ac:dyDescent="0.25">
      <c r="A888" s="16" t="s">
        <v>1968</v>
      </c>
      <c r="B888" s="17" t="s">
        <v>23</v>
      </c>
      <c r="C888" s="17" t="s">
        <v>3766</v>
      </c>
      <c r="D888" s="17" t="s">
        <v>4996</v>
      </c>
      <c r="E888" s="17">
        <v>46</v>
      </c>
      <c r="F888" s="27">
        <v>16</v>
      </c>
      <c r="G888" s="17" t="s">
        <v>1961</v>
      </c>
      <c r="H888" s="17" t="s">
        <v>1969</v>
      </c>
    </row>
    <row r="889" spans="1:8" x14ac:dyDescent="0.25">
      <c r="A889" s="16" t="s">
        <v>1970</v>
      </c>
      <c r="B889" s="17" t="s">
        <v>406</v>
      </c>
      <c r="C889" s="17" t="s">
        <v>3766</v>
      </c>
      <c r="D889" s="17" t="s">
        <v>4997</v>
      </c>
      <c r="E889" s="17">
        <v>46</v>
      </c>
      <c r="F889" s="27">
        <v>16</v>
      </c>
      <c r="G889" s="17" t="s">
        <v>1961</v>
      </c>
      <c r="H889" s="17" t="s">
        <v>1971</v>
      </c>
    </row>
    <row r="890" spans="1:8" x14ac:dyDescent="0.25">
      <c r="A890" s="16" t="s">
        <v>1972</v>
      </c>
      <c r="B890" s="17" t="s">
        <v>1311</v>
      </c>
      <c r="C890" s="17" t="s">
        <v>4155</v>
      </c>
      <c r="D890" s="17" t="s">
        <v>4998</v>
      </c>
      <c r="E890" s="17">
        <v>46</v>
      </c>
      <c r="F890" s="27">
        <v>16</v>
      </c>
      <c r="G890" s="17" t="s">
        <v>1961</v>
      </c>
      <c r="H890" s="17" t="s">
        <v>1973</v>
      </c>
    </row>
    <row r="891" spans="1:8" x14ac:dyDescent="0.25">
      <c r="A891" s="16" t="s">
        <v>1974</v>
      </c>
      <c r="B891" s="17" t="s">
        <v>1029</v>
      </c>
      <c r="C891" s="17" t="s">
        <v>3766</v>
      </c>
      <c r="D891" s="17" t="s">
        <v>4999</v>
      </c>
      <c r="E891" s="17">
        <v>46</v>
      </c>
      <c r="F891" s="27">
        <v>16</v>
      </c>
      <c r="G891" s="17" t="s">
        <v>1961</v>
      </c>
      <c r="H891" s="17" t="s">
        <v>1975</v>
      </c>
    </row>
    <row r="892" spans="1:8" x14ac:dyDescent="0.25">
      <c r="A892" s="16" t="s">
        <v>1976</v>
      </c>
      <c r="B892" s="17" t="s">
        <v>639</v>
      </c>
      <c r="C892" s="17" t="s">
        <v>3766</v>
      </c>
      <c r="D892" s="17" t="s">
        <v>5000</v>
      </c>
      <c r="E892" s="17">
        <v>46</v>
      </c>
      <c r="F892" s="27">
        <v>16</v>
      </c>
      <c r="G892" s="17" t="s">
        <v>78</v>
      </c>
      <c r="H892" s="17" t="s">
        <v>1977</v>
      </c>
    </row>
    <row r="893" spans="1:8" x14ac:dyDescent="0.25">
      <c r="A893" s="16" t="s">
        <v>1978</v>
      </c>
      <c r="B893" s="17" t="s">
        <v>1979</v>
      </c>
      <c r="C893" s="17" t="s">
        <v>5001</v>
      </c>
      <c r="D893" s="17" t="s">
        <v>5002</v>
      </c>
      <c r="E893" s="17">
        <v>47</v>
      </c>
      <c r="F893" s="16">
        <v>7</v>
      </c>
      <c r="G893" s="17" t="s">
        <v>521</v>
      </c>
      <c r="H893" s="17" t="s">
        <v>1306</v>
      </c>
    </row>
    <row r="894" spans="1:8" x14ac:dyDescent="0.25">
      <c r="A894" s="16" t="s">
        <v>1980</v>
      </c>
      <c r="B894" s="17" t="s">
        <v>166</v>
      </c>
      <c r="C894" s="17" t="s">
        <v>5003</v>
      </c>
      <c r="D894" s="17" t="s">
        <v>5004</v>
      </c>
      <c r="E894" s="17">
        <v>47</v>
      </c>
      <c r="F894" s="16">
        <v>7</v>
      </c>
      <c r="G894" s="17" t="s">
        <v>521</v>
      </c>
      <c r="H894" s="17" t="s">
        <v>1306</v>
      </c>
    </row>
    <row r="895" spans="1:8" x14ac:dyDescent="0.25">
      <c r="A895" s="16" t="s">
        <v>1981</v>
      </c>
      <c r="B895" s="17" t="s">
        <v>135</v>
      </c>
      <c r="C895" s="17" t="s">
        <v>3766</v>
      </c>
      <c r="D895" s="17" t="s">
        <v>5005</v>
      </c>
      <c r="E895" s="17">
        <v>47</v>
      </c>
      <c r="F895" s="16">
        <v>7</v>
      </c>
      <c r="G895" s="17" t="s">
        <v>521</v>
      </c>
      <c r="H895" s="17" t="s">
        <v>1116</v>
      </c>
    </row>
    <row r="896" spans="1:8" x14ac:dyDescent="0.25">
      <c r="A896" s="16" t="s">
        <v>1982</v>
      </c>
      <c r="B896" s="17" t="s">
        <v>947</v>
      </c>
      <c r="C896" s="17" t="s">
        <v>3766</v>
      </c>
      <c r="D896" s="17" t="s">
        <v>5006</v>
      </c>
      <c r="E896" s="17">
        <v>47</v>
      </c>
      <c r="F896" s="16">
        <v>7</v>
      </c>
      <c r="G896" s="17" t="s">
        <v>521</v>
      </c>
      <c r="H896" s="17" t="s">
        <v>1983</v>
      </c>
    </row>
    <row r="897" spans="1:8" x14ac:dyDescent="0.25">
      <c r="A897" s="16" t="s">
        <v>1984</v>
      </c>
      <c r="B897" s="17" t="s">
        <v>148</v>
      </c>
      <c r="C897" s="17" t="s">
        <v>4545</v>
      </c>
      <c r="D897" s="17" t="s">
        <v>5007</v>
      </c>
      <c r="E897" s="17">
        <v>47</v>
      </c>
      <c r="F897" s="16">
        <v>7</v>
      </c>
      <c r="G897" s="17" t="s">
        <v>521</v>
      </c>
      <c r="H897" s="17" t="s">
        <v>1985</v>
      </c>
    </row>
    <row r="898" spans="1:8" x14ac:dyDescent="0.25">
      <c r="A898" s="16" t="s">
        <v>1986</v>
      </c>
      <c r="B898" s="17" t="s">
        <v>135</v>
      </c>
      <c r="C898" s="17" t="s">
        <v>5008</v>
      </c>
      <c r="D898" s="17" t="s">
        <v>5009</v>
      </c>
      <c r="E898" s="17">
        <v>47</v>
      </c>
      <c r="F898" s="16">
        <v>7</v>
      </c>
      <c r="G898" s="17" t="s">
        <v>521</v>
      </c>
      <c r="H898" s="17" t="s">
        <v>63</v>
      </c>
    </row>
    <row r="899" spans="1:8" x14ac:dyDescent="0.25">
      <c r="A899" s="16" t="s">
        <v>1987</v>
      </c>
      <c r="B899" s="17" t="s">
        <v>63</v>
      </c>
      <c r="C899" s="17" t="s">
        <v>3766</v>
      </c>
      <c r="D899" s="17" t="s">
        <v>5010</v>
      </c>
      <c r="E899" s="17">
        <v>47</v>
      </c>
      <c r="F899" s="16">
        <v>7</v>
      </c>
      <c r="G899" s="17" t="s">
        <v>521</v>
      </c>
      <c r="H899" s="17" t="s">
        <v>538</v>
      </c>
    </row>
    <row r="900" spans="1:8" x14ac:dyDescent="0.25">
      <c r="A900" s="16" t="s">
        <v>1988</v>
      </c>
      <c r="B900" s="17" t="s">
        <v>781</v>
      </c>
      <c r="C900" s="17" t="s">
        <v>4796</v>
      </c>
      <c r="D900" s="17" t="s">
        <v>5011</v>
      </c>
      <c r="E900" s="17">
        <v>47</v>
      </c>
      <c r="F900" s="16">
        <v>7</v>
      </c>
      <c r="G900" s="17" t="s">
        <v>521</v>
      </c>
      <c r="H900" s="17" t="s">
        <v>1989</v>
      </c>
    </row>
    <row r="901" spans="1:8" x14ac:dyDescent="0.25">
      <c r="A901" s="16" t="s">
        <v>1990</v>
      </c>
      <c r="B901" s="17" t="s">
        <v>510</v>
      </c>
      <c r="C901" s="17" t="s">
        <v>3766</v>
      </c>
      <c r="D901" s="17" t="s">
        <v>5012</v>
      </c>
      <c r="E901" s="17">
        <v>47</v>
      </c>
      <c r="F901" s="16">
        <v>7</v>
      </c>
      <c r="G901" s="17" t="s">
        <v>521</v>
      </c>
      <c r="H901" s="17" t="s">
        <v>1991</v>
      </c>
    </row>
    <row r="902" spans="1:8" x14ac:dyDescent="0.25">
      <c r="A902" s="16" t="s">
        <v>1992</v>
      </c>
      <c r="B902" s="17" t="s">
        <v>151</v>
      </c>
      <c r="C902" s="17" t="s">
        <v>3871</v>
      </c>
      <c r="D902" s="17" t="s">
        <v>5013</v>
      </c>
      <c r="E902" s="17">
        <v>47</v>
      </c>
      <c r="F902" s="16">
        <v>7</v>
      </c>
      <c r="G902" s="17" t="s">
        <v>521</v>
      </c>
      <c r="H902" s="17" t="s">
        <v>1993</v>
      </c>
    </row>
    <row r="903" spans="1:8" x14ac:dyDescent="0.25">
      <c r="A903" s="16" t="s">
        <v>1994</v>
      </c>
      <c r="B903" s="17" t="s">
        <v>23</v>
      </c>
      <c r="C903" s="17" t="s">
        <v>5014</v>
      </c>
      <c r="D903" s="17" t="s">
        <v>5015</v>
      </c>
      <c r="E903" s="17">
        <v>47</v>
      </c>
      <c r="F903" s="16">
        <v>7</v>
      </c>
      <c r="G903" s="17" t="s">
        <v>521</v>
      </c>
      <c r="H903" s="17" t="s">
        <v>1995</v>
      </c>
    </row>
    <row r="904" spans="1:8" x14ac:dyDescent="0.25">
      <c r="A904" s="16" t="s">
        <v>1996</v>
      </c>
      <c r="B904" s="17" t="s">
        <v>1997</v>
      </c>
      <c r="C904" s="17" t="s">
        <v>138</v>
      </c>
      <c r="D904" s="17" t="s">
        <v>5016</v>
      </c>
      <c r="E904" s="17">
        <v>47</v>
      </c>
      <c r="F904" s="16">
        <v>7</v>
      </c>
      <c r="G904" s="17" t="s">
        <v>521</v>
      </c>
      <c r="H904" s="17" t="s">
        <v>1998</v>
      </c>
    </row>
    <row r="905" spans="1:8" x14ac:dyDescent="0.25">
      <c r="A905" s="16" t="s">
        <v>1999</v>
      </c>
      <c r="B905" s="17" t="s">
        <v>135</v>
      </c>
      <c r="C905" s="17" t="s">
        <v>3871</v>
      </c>
      <c r="D905" s="17" t="s">
        <v>5017</v>
      </c>
      <c r="E905" s="17">
        <v>47</v>
      </c>
      <c r="F905" s="16">
        <v>7</v>
      </c>
      <c r="G905" s="17" t="s">
        <v>521</v>
      </c>
      <c r="H905" s="17" t="s">
        <v>2000</v>
      </c>
    </row>
    <row r="906" spans="1:8" x14ac:dyDescent="0.25">
      <c r="A906" s="16" t="s">
        <v>2001</v>
      </c>
      <c r="B906" s="17" t="s">
        <v>166</v>
      </c>
      <c r="C906" s="17" t="s">
        <v>3766</v>
      </c>
      <c r="D906" s="17" t="s">
        <v>5018</v>
      </c>
      <c r="E906" s="17">
        <v>47</v>
      </c>
      <c r="F906" s="16">
        <v>7</v>
      </c>
      <c r="G906" s="17" t="s">
        <v>521</v>
      </c>
      <c r="H906" s="17" t="s">
        <v>2002</v>
      </c>
    </row>
    <row r="907" spans="1:8" x14ac:dyDescent="0.25">
      <c r="A907" s="16" t="s">
        <v>2003</v>
      </c>
      <c r="B907" s="17" t="s">
        <v>126</v>
      </c>
      <c r="C907" s="17" t="s">
        <v>4037</v>
      </c>
      <c r="D907" s="17" t="s">
        <v>5019</v>
      </c>
      <c r="E907" s="17">
        <v>47</v>
      </c>
      <c r="F907" s="16">
        <v>7</v>
      </c>
      <c r="G907" s="17" t="s">
        <v>521</v>
      </c>
      <c r="H907" s="17" t="s">
        <v>1194</v>
      </c>
    </row>
    <row r="908" spans="1:8" x14ac:dyDescent="0.25">
      <c r="A908" s="16" t="s">
        <v>2004</v>
      </c>
      <c r="B908" s="17" t="s">
        <v>871</v>
      </c>
      <c r="C908" s="17" t="s">
        <v>3971</v>
      </c>
      <c r="D908" s="17" t="s">
        <v>5020</v>
      </c>
      <c r="E908" s="17">
        <v>47</v>
      </c>
      <c r="F908" s="16">
        <v>7</v>
      </c>
      <c r="G908" s="17" t="s">
        <v>521</v>
      </c>
      <c r="H908" s="17" t="s">
        <v>2005</v>
      </c>
    </row>
    <row r="909" spans="1:8" x14ac:dyDescent="0.25">
      <c r="A909" s="16" t="s">
        <v>2006</v>
      </c>
      <c r="B909" s="17" t="s">
        <v>153</v>
      </c>
      <c r="C909" s="17" t="s">
        <v>3766</v>
      </c>
      <c r="D909" s="17" t="s">
        <v>5021</v>
      </c>
      <c r="E909" s="17">
        <v>48</v>
      </c>
      <c r="F909" s="16">
        <v>8</v>
      </c>
      <c r="G909" s="17" t="s">
        <v>111</v>
      </c>
      <c r="H909" s="17" t="s">
        <v>2007</v>
      </c>
    </row>
    <row r="910" spans="1:8" x14ac:dyDescent="0.25">
      <c r="A910" s="16" t="s">
        <v>2008</v>
      </c>
      <c r="B910" s="17" t="s">
        <v>166</v>
      </c>
      <c r="C910" s="17" t="s">
        <v>5022</v>
      </c>
      <c r="D910" s="17" t="s">
        <v>5023</v>
      </c>
      <c r="E910" s="17">
        <v>48</v>
      </c>
      <c r="F910" s="16">
        <v>8</v>
      </c>
      <c r="G910" s="17" t="s">
        <v>111</v>
      </c>
      <c r="H910" s="17" t="s">
        <v>2009</v>
      </c>
    </row>
    <row r="911" spans="1:8" x14ac:dyDescent="0.25">
      <c r="A911" s="16" t="s">
        <v>2010</v>
      </c>
      <c r="B911" s="17" t="s">
        <v>166</v>
      </c>
      <c r="C911" s="17" t="s">
        <v>3766</v>
      </c>
      <c r="D911" s="17" t="s">
        <v>5024</v>
      </c>
      <c r="E911" s="17">
        <v>48</v>
      </c>
      <c r="F911" s="16">
        <v>8</v>
      </c>
      <c r="G911" s="17" t="s">
        <v>111</v>
      </c>
      <c r="H911" s="17" t="s">
        <v>2011</v>
      </c>
    </row>
    <row r="912" spans="1:8" x14ac:dyDescent="0.25">
      <c r="A912" s="16" t="s">
        <v>2012</v>
      </c>
      <c r="B912" s="17" t="s">
        <v>49</v>
      </c>
      <c r="C912" s="17" t="s">
        <v>3766</v>
      </c>
      <c r="D912" s="17" t="s">
        <v>5025</v>
      </c>
      <c r="E912" s="17">
        <v>48</v>
      </c>
      <c r="F912" s="16">
        <v>8</v>
      </c>
      <c r="G912" s="17" t="s">
        <v>111</v>
      </c>
      <c r="H912" s="17" t="s">
        <v>2013</v>
      </c>
    </row>
    <row r="913" spans="1:8" x14ac:dyDescent="0.25">
      <c r="A913" s="16" t="s">
        <v>2014</v>
      </c>
      <c r="B913" s="17" t="s">
        <v>166</v>
      </c>
      <c r="C913" s="17" t="s">
        <v>5026</v>
      </c>
      <c r="D913" s="17" t="s">
        <v>5027</v>
      </c>
      <c r="E913" s="17">
        <v>48</v>
      </c>
      <c r="F913" s="16">
        <v>8</v>
      </c>
      <c r="G913" s="17" t="s">
        <v>111</v>
      </c>
      <c r="H913" s="17" t="s">
        <v>2015</v>
      </c>
    </row>
    <row r="914" spans="1:8" x14ac:dyDescent="0.25">
      <c r="A914" s="16" t="s">
        <v>2016</v>
      </c>
      <c r="B914" s="17" t="s">
        <v>166</v>
      </c>
      <c r="C914" s="17" t="s">
        <v>5022</v>
      </c>
      <c r="D914" s="17" t="s">
        <v>5028</v>
      </c>
      <c r="E914" s="17">
        <v>48</v>
      </c>
      <c r="F914" s="16">
        <v>8</v>
      </c>
      <c r="G914" s="17" t="s">
        <v>111</v>
      </c>
      <c r="H914" s="17" t="s">
        <v>628</v>
      </c>
    </row>
    <row r="915" spans="1:8" x14ac:dyDescent="0.25">
      <c r="A915" s="16" t="s">
        <v>2017</v>
      </c>
      <c r="B915" s="17" t="s">
        <v>23</v>
      </c>
      <c r="C915" s="17" t="s">
        <v>5029</v>
      </c>
      <c r="D915" s="17" t="s">
        <v>5030</v>
      </c>
      <c r="E915" s="17">
        <v>48</v>
      </c>
      <c r="F915" s="16">
        <v>8</v>
      </c>
      <c r="G915" s="17" t="s">
        <v>111</v>
      </c>
      <c r="H915" s="17" t="s">
        <v>2018</v>
      </c>
    </row>
    <row r="916" spans="1:8" x14ac:dyDescent="0.25">
      <c r="A916" s="16" t="s">
        <v>2019</v>
      </c>
      <c r="B916" s="17" t="s">
        <v>148</v>
      </c>
      <c r="C916" s="17" t="s">
        <v>3766</v>
      </c>
      <c r="D916" s="17" t="s">
        <v>5031</v>
      </c>
      <c r="E916" s="17">
        <v>48</v>
      </c>
      <c r="F916" s="16">
        <v>8</v>
      </c>
      <c r="G916" s="17" t="s">
        <v>111</v>
      </c>
      <c r="H916" s="17" t="s">
        <v>2020</v>
      </c>
    </row>
    <row r="917" spans="1:8" x14ac:dyDescent="0.25">
      <c r="A917" s="16" t="s">
        <v>2021</v>
      </c>
      <c r="B917" s="17" t="s">
        <v>123</v>
      </c>
      <c r="C917" s="17" t="s">
        <v>3766</v>
      </c>
      <c r="D917" s="17" t="s">
        <v>5032</v>
      </c>
      <c r="E917" s="17">
        <v>48</v>
      </c>
      <c r="F917" s="16">
        <v>8</v>
      </c>
      <c r="G917" s="17" t="s">
        <v>111</v>
      </c>
      <c r="H917" s="17" t="s">
        <v>2022</v>
      </c>
    </row>
    <row r="918" spans="1:8" x14ac:dyDescent="0.25">
      <c r="A918" s="16" t="s">
        <v>2023</v>
      </c>
      <c r="B918" s="17" t="s">
        <v>678</v>
      </c>
      <c r="C918" s="17" t="s">
        <v>3766</v>
      </c>
      <c r="D918" s="17" t="s">
        <v>5033</v>
      </c>
      <c r="E918" s="17">
        <v>48</v>
      </c>
      <c r="F918" s="16">
        <v>8</v>
      </c>
      <c r="G918" s="17" t="s">
        <v>111</v>
      </c>
      <c r="H918" s="17" t="s">
        <v>2024</v>
      </c>
    </row>
    <row r="919" spans="1:8" x14ac:dyDescent="0.25">
      <c r="A919" s="16" t="s">
        <v>2025</v>
      </c>
      <c r="B919" s="17" t="s">
        <v>132</v>
      </c>
      <c r="C919" s="17" t="s">
        <v>3766</v>
      </c>
      <c r="D919" s="17" t="s">
        <v>5034</v>
      </c>
      <c r="E919" s="17">
        <v>48</v>
      </c>
      <c r="F919" s="16">
        <v>8</v>
      </c>
      <c r="G919" s="17" t="s">
        <v>111</v>
      </c>
      <c r="H919" s="17" t="s">
        <v>2026</v>
      </c>
    </row>
    <row r="920" spans="1:8" x14ac:dyDescent="0.25">
      <c r="A920" s="16" t="s">
        <v>2027</v>
      </c>
      <c r="B920" s="17" t="s">
        <v>254</v>
      </c>
      <c r="C920" s="17" t="s">
        <v>3766</v>
      </c>
      <c r="D920" s="17" t="s">
        <v>5035</v>
      </c>
      <c r="E920" s="17">
        <v>48</v>
      </c>
      <c r="F920" s="16">
        <v>8</v>
      </c>
      <c r="G920" s="17" t="s">
        <v>111</v>
      </c>
      <c r="H920" s="17" t="s">
        <v>2028</v>
      </c>
    </row>
    <row r="921" spans="1:8" x14ac:dyDescent="0.25">
      <c r="A921" s="16" t="s">
        <v>2029</v>
      </c>
      <c r="B921" s="17" t="s">
        <v>166</v>
      </c>
      <c r="C921" s="17" t="s">
        <v>5036</v>
      </c>
      <c r="D921" s="17" t="s">
        <v>5037</v>
      </c>
      <c r="E921" s="17">
        <v>48</v>
      </c>
      <c r="F921" s="16">
        <v>8</v>
      </c>
      <c r="G921" s="17" t="s">
        <v>111</v>
      </c>
      <c r="H921" s="17" t="s">
        <v>2030</v>
      </c>
    </row>
    <row r="922" spans="1:8" x14ac:dyDescent="0.25">
      <c r="A922" s="16" t="s">
        <v>2031</v>
      </c>
      <c r="B922" s="17" t="s">
        <v>166</v>
      </c>
      <c r="C922" s="17" t="s">
        <v>5038</v>
      </c>
      <c r="D922" s="17" t="s">
        <v>5039</v>
      </c>
      <c r="E922" s="17">
        <v>48</v>
      </c>
      <c r="F922" s="16">
        <v>8</v>
      </c>
      <c r="G922" s="17" t="s">
        <v>149</v>
      </c>
      <c r="H922" s="17" t="s">
        <v>2032</v>
      </c>
    </row>
    <row r="923" spans="1:8" x14ac:dyDescent="0.25">
      <c r="A923" s="16" t="s">
        <v>2033</v>
      </c>
      <c r="B923" s="17" t="s">
        <v>406</v>
      </c>
      <c r="C923" s="17" t="s">
        <v>3766</v>
      </c>
      <c r="D923" s="17" t="s">
        <v>5040</v>
      </c>
      <c r="E923" s="17">
        <v>48</v>
      </c>
      <c r="F923" s="16">
        <v>8</v>
      </c>
      <c r="G923" s="17" t="s">
        <v>149</v>
      </c>
      <c r="H923" s="17" t="s">
        <v>2034</v>
      </c>
    </row>
    <row r="924" spans="1:8" x14ac:dyDescent="0.25">
      <c r="A924" s="16" t="s">
        <v>2035</v>
      </c>
      <c r="B924" s="17" t="s">
        <v>1012</v>
      </c>
      <c r="C924" s="17" t="s">
        <v>5041</v>
      </c>
      <c r="D924" s="17" t="s">
        <v>5042</v>
      </c>
      <c r="E924" s="17">
        <v>48</v>
      </c>
      <c r="F924" s="16">
        <v>8</v>
      </c>
      <c r="G924" s="17" t="s">
        <v>149</v>
      </c>
      <c r="H924" s="17" t="s">
        <v>1012</v>
      </c>
    </row>
    <row r="925" spans="1:8" x14ac:dyDescent="0.25">
      <c r="A925" s="16" t="s">
        <v>2036</v>
      </c>
      <c r="B925" s="17" t="s">
        <v>261</v>
      </c>
      <c r="C925" s="17" t="s">
        <v>3766</v>
      </c>
      <c r="D925" s="17" t="s">
        <v>5043</v>
      </c>
      <c r="E925" s="17">
        <v>48</v>
      </c>
      <c r="F925" s="16">
        <v>8</v>
      </c>
      <c r="G925" s="17" t="s">
        <v>149</v>
      </c>
      <c r="H925" s="17" t="s">
        <v>2037</v>
      </c>
    </row>
    <row r="926" spans="1:8" x14ac:dyDescent="0.25">
      <c r="A926" s="16" t="s">
        <v>2038</v>
      </c>
      <c r="B926" s="17" t="s">
        <v>443</v>
      </c>
      <c r="C926" s="17" t="s">
        <v>3766</v>
      </c>
      <c r="D926" s="17" t="s">
        <v>5044</v>
      </c>
      <c r="E926" s="17">
        <v>48</v>
      </c>
      <c r="F926" s="16">
        <v>8</v>
      </c>
      <c r="G926" s="17" t="s">
        <v>149</v>
      </c>
      <c r="H926" s="17" t="s">
        <v>2039</v>
      </c>
    </row>
    <row r="927" spans="1:8" x14ac:dyDescent="0.25">
      <c r="A927" s="16" t="s">
        <v>2040</v>
      </c>
      <c r="B927" s="17" t="s">
        <v>652</v>
      </c>
      <c r="C927" s="17" t="s">
        <v>3766</v>
      </c>
      <c r="D927" s="17" t="s">
        <v>5045</v>
      </c>
      <c r="E927" s="17">
        <v>48</v>
      </c>
      <c r="F927" s="16">
        <v>8</v>
      </c>
      <c r="G927" s="17" t="s">
        <v>149</v>
      </c>
      <c r="H927" s="17" t="s">
        <v>2041</v>
      </c>
    </row>
    <row r="928" spans="1:8" x14ac:dyDescent="0.25">
      <c r="A928" s="16" t="s">
        <v>2042</v>
      </c>
      <c r="B928" s="17" t="s">
        <v>1198</v>
      </c>
      <c r="C928" s="17" t="s">
        <v>3766</v>
      </c>
      <c r="D928" s="17" t="s">
        <v>5046</v>
      </c>
      <c r="E928" s="17">
        <v>48</v>
      </c>
      <c r="F928" s="16">
        <v>8</v>
      </c>
      <c r="G928" s="17" t="s">
        <v>158</v>
      </c>
      <c r="H928" s="17" t="s">
        <v>1616</v>
      </c>
    </row>
    <row r="929" spans="1:8" x14ac:dyDescent="0.25">
      <c r="A929" s="16" t="s">
        <v>2043</v>
      </c>
      <c r="B929" s="17" t="s">
        <v>671</v>
      </c>
      <c r="C929" s="17" t="s">
        <v>3766</v>
      </c>
      <c r="D929" s="17" t="s">
        <v>5047</v>
      </c>
      <c r="E929" s="17">
        <v>48</v>
      </c>
      <c r="F929" s="16">
        <v>8</v>
      </c>
      <c r="G929" s="17" t="s">
        <v>158</v>
      </c>
      <c r="H929" s="17" t="s">
        <v>2044</v>
      </c>
    </row>
    <row r="930" spans="1:8" x14ac:dyDescent="0.25">
      <c r="A930" s="16" t="s">
        <v>2045</v>
      </c>
      <c r="B930" s="17" t="s">
        <v>2046</v>
      </c>
      <c r="C930" s="17" t="s">
        <v>3766</v>
      </c>
      <c r="D930" s="17" t="s">
        <v>5048</v>
      </c>
      <c r="E930" s="17">
        <v>49</v>
      </c>
      <c r="F930" s="27">
        <v>12</v>
      </c>
      <c r="G930" s="17" t="s">
        <v>104</v>
      </c>
      <c r="H930" s="17" t="s">
        <v>2047</v>
      </c>
    </row>
    <row r="931" spans="1:8" x14ac:dyDescent="0.25">
      <c r="A931" s="16" t="s">
        <v>2048</v>
      </c>
      <c r="B931" s="17" t="s">
        <v>1012</v>
      </c>
      <c r="C931" s="17" t="s">
        <v>3814</v>
      </c>
      <c r="D931" s="17" t="s">
        <v>5049</v>
      </c>
      <c r="E931" s="17">
        <v>49</v>
      </c>
      <c r="F931" s="27">
        <v>12</v>
      </c>
      <c r="G931" s="17" t="s">
        <v>1355</v>
      </c>
      <c r="H931" s="17" t="s">
        <v>579</v>
      </c>
    </row>
    <row r="932" spans="1:8" x14ac:dyDescent="0.25">
      <c r="A932" s="16" t="s">
        <v>2049</v>
      </c>
      <c r="B932" s="17" t="s">
        <v>83</v>
      </c>
      <c r="C932" s="17" t="s">
        <v>3766</v>
      </c>
      <c r="D932" s="17" t="s">
        <v>5050</v>
      </c>
      <c r="E932" s="17">
        <v>49</v>
      </c>
      <c r="F932" s="27">
        <v>12</v>
      </c>
      <c r="G932" s="17" t="s">
        <v>180</v>
      </c>
      <c r="H932" s="17" t="s">
        <v>2050</v>
      </c>
    </row>
    <row r="933" spans="1:8" x14ac:dyDescent="0.25">
      <c r="A933" s="16" t="s">
        <v>2051</v>
      </c>
      <c r="B933" s="17" t="s">
        <v>781</v>
      </c>
      <c r="C933" s="17" t="s">
        <v>3766</v>
      </c>
      <c r="D933" s="17" t="s">
        <v>5051</v>
      </c>
      <c r="E933" s="17">
        <v>49</v>
      </c>
      <c r="F933" s="27">
        <v>12</v>
      </c>
      <c r="G933" s="17" t="s">
        <v>180</v>
      </c>
      <c r="H933" s="17" t="s">
        <v>1396</v>
      </c>
    </row>
    <row r="934" spans="1:8" x14ac:dyDescent="0.25">
      <c r="A934" s="16" t="s">
        <v>2052</v>
      </c>
      <c r="B934" s="17" t="s">
        <v>366</v>
      </c>
      <c r="C934" s="17" t="s">
        <v>3766</v>
      </c>
      <c r="D934" s="17" t="s">
        <v>5052</v>
      </c>
      <c r="E934" s="17">
        <v>49</v>
      </c>
      <c r="F934" s="27">
        <v>12</v>
      </c>
      <c r="G934" s="17" t="s">
        <v>180</v>
      </c>
      <c r="H934" s="17" t="s">
        <v>2053</v>
      </c>
    </row>
    <row r="935" spans="1:8" x14ac:dyDescent="0.25">
      <c r="A935" s="16" t="s">
        <v>2054</v>
      </c>
      <c r="B935" s="17" t="s">
        <v>2055</v>
      </c>
      <c r="C935" s="17" t="s">
        <v>4037</v>
      </c>
      <c r="D935" s="17" t="s">
        <v>5053</v>
      </c>
      <c r="E935" s="17">
        <v>49</v>
      </c>
      <c r="F935" s="27">
        <v>12</v>
      </c>
      <c r="G935" s="17" t="s">
        <v>180</v>
      </c>
      <c r="H935" s="17" t="s">
        <v>2056</v>
      </c>
    </row>
    <row r="936" spans="1:8" x14ac:dyDescent="0.25">
      <c r="A936" s="16" t="s">
        <v>2057</v>
      </c>
      <c r="B936" s="17" t="s">
        <v>132</v>
      </c>
      <c r="C936" s="17" t="s">
        <v>3766</v>
      </c>
      <c r="D936" s="17" t="s">
        <v>5054</v>
      </c>
      <c r="E936" s="17">
        <v>49</v>
      </c>
      <c r="F936" s="27">
        <v>12</v>
      </c>
      <c r="G936" s="17" t="s">
        <v>180</v>
      </c>
      <c r="H936" s="17" t="s">
        <v>2058</v>
      </c>
    </row>
    <row r="937" spans="1:8" x14ac:dyDescent="0.25">
      <c r="A937" s="16" t="s">
        <v>2059</v>
      </c>
      <c r="B937" s="17" t="s">
        <v>132</v>
      </c>
      <c r="C937" s="17" t="s">
        <v>3766</v>
      </c>
      <c r="D937" s="17" t="s">
        <v>5055</v>
      </c>
      <c r="E937" s="17">
        <v>49</v>
      </c>
      <c r="F937" s="27">
        <v>12</v>
      </c>
      <c r="G937" s="17" t="s">
        <v>180</v>
      </c>
      <c r="H937" s="17" t="s">
        <v>38</v>
      </c>
    </row>
    <row r="938" spans="1:8" x14ac:dyDescent="0.25">
      <c r="A938" s="16" t="s">
        <v>2060</v>
      </c>
      <c r="B938" s="17" t="s">
        <v>23</v>
      </c>
      <c r="C938" s="17" t="s">
        <v>3766</v>
      </c>
      <c r="D938" s="17" t="s">
        <v>5056</v>
      </c>
      <c r="E938" s="17">
        <v>49</v>
      </c>
      <c r="F938" s="27">
        <v>12</v>
      </c>
      <c r="G938" s="17" t="s">
        <v>180</v>
      </c>
      <c r="H938" s="17" t="s">
        <v>2061</v>
      </c>
    </row>
    <row r="939" spans="1:8" x14ac:dyDescent="0.25">
      <c r="A939" s="16" t="s">
        <v>2062</v>
      </c>
      <c r="B939" s="17" t="s">
        <v>2063</v>
      </c>
      <c r="C939" s="17" t="s">
        <v>5057</v>
      </c>
      <c r="D939" s="17" t="s">
        <v>5058</v>
      </c>
      <c r="E939" s="17">
        <v>49</v>
      </c>
      <c r="F939" s="27">
        <v>12</v>
      </c>
      <c r="G939" s="17" t="s">
        <v>180</v>
      </c>
      <c r="H939" s="17" t="s">
        <v>674</v>
      </c>
    </row>
    <row r="940" spans="1:8" x14ac:dyDescent="0.25">
      <c r="A940" s="16" t="s">
        <v>2064</v>
      </c>
      <c r="B940" s="17" t="s">
        <v>132</v>
      </c>
      <c r="C940" s="17" t="s">
        <v>3766</v>
      </c>
      <c r="D940" s="17" t="s">
        <v>5059</v>
      </c>
      <c r="E940" s="17">
        <v>49</v>
      </c>
      <c r="F940" s="27">
        <v>12</v>
      </c>
      <c r="G940" s="17" t="s">
        <v>180</v>
      </c>
      <c r="H940" s="17" t="s">
        <v>2065</v>
      </c>
    </row>
    <row r="941" spans="1:8" x14ac:dyDescent="0.25">
      <c r="A941" s="16" t="s">
        <v>2066</v>
      </c>
      <c r="B941" s="17" t="s">
        <v>23</v>
      </c>
      <c r="C941" s="17" t="s">
        <v>3766</v>
      </c>
      <c r="D941" s="17" t="s">
        <v>5060</v>
      </c>
      <c r="E941" s="17">
        <v>49</v>
      </c>
      <c r="F941" s="27">
        <v>12</v>
      </c>
      <c r="G941" s="17" t="s">
        <v>180</v>
      </c>
      <c r="H941" s="17" t="s">
        <v>2067</v>
      </c>
    </row>
    <row r="942" spans="1:8" x14ac:dyDescent="0.25">
      <c r="A942" s="16" t="s">
        <v>2068</v>
      </c>
      <c r="B942" s="17" t="s">
        <v>254</v>
      </c>
      <c r="C942" s="17" t="s">
        <v>3766</v>
      </c>
      <c r="D942" s="17" t="s">
        <v>5061</v>
      </c>
      <c r="E942" s="17">
        <v>49</v>
      </c>
      <c r="F942" s="27">
        <v>12</v>
      </c>
      <c r="G942" s="17" t="s">
        <v>180</v>
      </c>
      <c r="H942" s="17" t="s">
        <v>57</v>
      </c>
    </row>
    <row r="943" spans="1:8" x14ac:dyDescent="0.25">
      <c r="A943" s="16" t="s">
        <v>2069</v>
      </c>
      <c r="B943" s="17" t="s">
        <v>72</v>
      </c>
      <c r="C943" s="17" t="s">
        <v>3766</v>
      </c>
      <c r="D943" s="17" t="s">
        <v>5062</v>
      </c>
      <c r="E943" s="17">
        <v>49</v>
      </c>
      <c r="F943" s="27">
        <v>12</v>
      </c>
      <c r="G943" s="17" t="s">
        <v>180</v>
      </c>
      <c r="H943" s="17" t="s">
        <v>72</v>
      </c>
    </row>
    <row r="944" spans="1:8" x14ac:dyDescent="0.25">
      <c r="A944" s="16" t="s">
        <v>2070</v>
      </c>
      <c r="B944" s="17" t="s">
        <v>107</v>
      </c>
      <c r="C944" s="17" t="s">
        <v>3766</v>
      </c>
      <c r="D944" s="17" t="s">
        <v>5063</v>
      </c>
      <c r="E944" s="17">
        <v>49</v>
      </c>
      <c r="F944" s="27">
        <v>12</v>
      </c>
      <c r="G944" s="17" t="s">
        <v>180</v>
      </c>
      <c r="H944" s="17" t="s">
        <v>1400</v>
      </c>
    </row>
    <row r="945" spans="1:8" x14ac:dyDescent="0.25">
      <c r="A945" s="16" t="s">
        <v>2071</v>
      </c>
      <c r="B945" s="17" t="s">
        <v>440</v>
      </c>
      <c r="C945" s="17" t="s">
        <v>3766</v>
      </c>
      <c r="D945" s="17" t="s">
        <v>5064</v>
      </c>
      <c r="E945" s="17">
        <v>49</v>
      </c>
      <c r="F945" s="27">
        <v>12</v>
      </c>
      <c r="G945" s="17" t="s">
        <v>180</v>
      </c>
      <c r="H945" s="17" t="s">
        <v>2072</v>
      </c>
    </row>
    <row r="946" spans="1:8" x14ac:dyDescent="0.25">
      <c r="A946" s="16" t="s">
        <v>2073</v>
      </c>
      <c r="B946" s="17" t="s">
        <v>510</v>
      </c>
      <c r="C946" s="17" t="s">
        <v>3766</v>
      </c>
      <c r="D946" s="17" t="s">
        <v>5065</v>
      </c>
      <c r="E946" s="17">
        <v>49</v>
      </c>
      <c r="F946" s="27">
        <v>12</v>
      </c>
      <c r="G946" s="17" t="s">
        <v>180</v>
      </c>
      <c r="H946" s="17" t="s">
        <v>265</v>
      </c>
    </row>
    <row r="947" spans="1:8" x14ac:dyDescent="0.25">
      <c r="A947" s="16" t="s">
        <v>2074</v>
      </c>
      <c r="B947" s="17" t="s">
        <v>2075</v>
      </c>
      <c r="C947" s="17" t="s">
        <v>3871</v>
      </c>
      <c r="D947" s="17" t="s">
        <v>5066</v>
      </c>
      <c r="E947" s="17">
        <v>49</v>
      </c>
      <c r="F947" s="27">
        <v>12</v>
      </c>
      <c r="G947" s="17" t="s">
        <v>180</v>
      </c>
      <c r="H947" s="17" t="s">
        <v>1655</v>
      </c>
    </row>
    <row r="948" spans="1:8" x14ac:dyDescent="0.25">
      <c r="A948" s="16" t="s">
        <v>2076</v>
      </c>
      <c r="B948" s="17" t="s">
        <v>41</v>
      </c>
      <c r="C948" s="17" t="s">
        <v>3766</v>
      </c>
      <c r="D948" s="17" t="s">
        <v>5067</v>
      </c>
      <c r="E948" s="17">
        <v>49</v>
      </c>
      <c r="F948" s="27">
        <v>12</v>
      </c>
      <c r="G948" s="17" t="s">
        <v>180</v>
      </c>
      <c r="H948" s="17" t="s">
        <v>2077</v>
      </c>
    </row>
    <row r="949" spans="1:8" x14ac:dyDescent="0.25">
      <c r="A949" s="16" t="s">
        <v>2078</v>
      </c>
      <c r="B949" s="17" t="s">
        <v>480</v>
      </c>
      <c r="C949" s="17" t="s">
        <v>3766</v>
      </c>
      <c r="D949" s="17" t="s">
        <v>5068</v>
      </c>
      <c r="E949" s="17">
        <v>49</v>
      </c>
      <c r="F949" s="27">
        <v>12</v>
      </c>
      <c r="G949" s="17" t="s">
        <v>180</v>
      </c>
      <c r="H949" s="17" t="s">
        <v>2079</v>
      </c>
    </row>
    <row r="950" spans="1:8" x14ac:dyDescent="0.25">
      <c r="A950" s="16" t="s">
        <v>2080</v>
      </c>
      <c r="B950" s="17" t="s">
        <v>49</v>
      </c>
      <c r="C950" s="17" t="s">
        <v>5069</v>
      </c>
      <c r="D950" s="17" t="s">
        <v>5070</v>
      </c>
      <c r="E950" s="17">
        <v>49</v>
      </c>
      <c r="F950" s="27">
        <v>12</v>
      </c>
      <c r="G950" s="17" t="s">
        <v>1918</v>
      </c>
      <c r="H950" s="17" t="s">
        <v>1918</v>
      </c>
    </row>
    <row r="951" spans="1:8" x14ac:dyDescent="0.25">
      <c r="A951" s="16" t="s">
        <v>2081</v>
      </c>
      <c r="B951" s="17" t="s">
        <v>2082</v>
      </c>
      <c r="C951" s="17" t="s">
        <v>3766</v>
      </c>
      <c r="D951" s="17" t="s">
        <v>5071</v>
      </c>
      <c r="E951" s="17">
        <v>49</v>
      </c>
      <c r="F951" s="27">
        <v>12</v>
      </c>
      <c r="G951" s="17" t="s">
        <v>1918</v>
      </c>
      <c r="H951" s="17" t="s">
        <v>2083</v>
      </c>
    </row>
    <row r="952" spans="1:8" x14ac:dyDescent="0.25">
      <c r="A952" s="16" t="s">
        <v>2084</v>
      </c>
      <c r="B952" s="17" t="s">
        <v>120</v>
      </c>
      <c r="C952" s="17" t="s">
        <v>3766</v>
      </c>
      <c r="D952" s="17" t="s">
        <v>5072</v>
      </c>
      <c r="E952" s="17">
        <v>49</v>
      </c>
      <c r="F952" s="27">
        <v>12</v>
      </c>
      <c r="G952" s="17" t="s">
        <v>1386</v>
      </c>
      <c r="H952" s="17" t="s">
        <v>117</v>
      </c>
    </row>
    <row r="953" spans="1:8" x14ac:dyDescent="0.25">
      <c r="A953" s="16" t="s">
        <v>2085</v>
      </c>
      <c r="B953" s="17" t="s">
        <v>23</v>
      </c>
      <c r="C953" s="17" t="s">
        <v>4339</v>
      </c>
      <c r="D953" s="17" t="s">
        <v>5073</v>
      </c>
      <c r="E953" s="17">
        <v>50</v>
      </c>
      <c r="F953" s="27">
        <v>13</v>
      </c>
      <c r="G953" s="17" t="s">
        <v>2086</v>
      </c>
      <c r="H953" s="17" t="s">
        <v>2086</v>
      </c>
    </row>
    <row r="954" spans="1:8" x14ac:dyDescent="0.25">
      <c r="A954" s="16" t="s">
        <v>2087</v>
      </c>
      <c r="B954" s="17" t="s">
        <v>301</v>
      </c>
      <c r="C954" s="17" t="s">
        <v>3766</v>
      </c>
      <c r="D954" s="17" t="s">
        <v>5074</v>
      </c>
      <c r="E954" s="17">
        <v>50</v>
      </c>
      <c r="F954" s="27">
        <v>13</v>
      </c>
      <c r="G954" s="17" t="s">
        <v>2086</v>
      </c>
      <c r="H954" s="17" t="s">
        <v>2088</v>
      </c>
    </row>
    <row r="955" spans="1:8" x14ac:dyDescent="0.25">
      <c r="A955" s="16" t="s">
        <v>2089</v>
      </c>
      <c r="B955" s="17" t="s">
        <v>517</v>
      </c>
      <c r="C955" s="17" t="s">
        <v>3766</v>
      </c>
      <c r="D955" s="17" t="s">
        <v>5075</v>
      </c>
      <c r="E955" s="17">
        <v>50</v>
      </c>
      <c r="F955" s="27">
        <v>13</v>
      </c>
      <c r="G955" s="17" t="s">
        <v>2086</v>
      </c>
      <c r="H955" s="17" t="s">
        <v>2090</v>
      </c>
    </row>
    <row r="956" spans="1:8" x14ac:dyDescent="0.25">
      <c r="A956" s="16" t="s">
        <v>2091</v>
      </c>
      <c r="B956" s="17" t="s">
        <v>80</v>
      </c>
      <c r="C956" s="17" t="s">
        <v>5076</v>
      </c>
      <c r="D956" s="17" t="s">
        <v>5077</v>
      </c>
      <c r="E956" s="17">
        <v>50</v>
      </c>
      <c r="F956" s="27">
        <v>13</v>
      </c>
      <c r="G956" s="17" t="s">
        <v>2086</v>
      </c>
      <c r="H956" s="17" t="s">
        <v>2092</v>
      </c>
    </row>
    <row r="957" spans="1:8" x14ac:dyDescent="0.25">
      <c r="A957" s="16" t="s">
        <v>2093</v>
      </c>
      <c r="B957" s="17" t="s">
        <v>480</v>
      </c>
      <c r="C957" s="17" t="s">
        <v>3766</v>
      </c>
      <c r="D957" s="17" t="s">
        <v>5078</v>
      </c>
      <c r="E957" s="17">
        <v>50</v>
      </c>
      <c r="F957" s="27">
        <v>13</v>
      </c>
      <c r="G957" s="17" t="s">
        <v>23</v>
      </c>
      <c r="H957" s="17" t="s">
        <v>2094</v>
      </c>
    </row>
    <row r="958" spans="1:8" x14ac:dyDescent="0.25">
      <c r="A958" s="16" t="s">
        <v>2095</v>
      </c>
      <c r="B958" s="17" t="s">
        <v>261</v>
      </c>
      <c r="C958" s="17" t="s">
        <v>4013</v>
      </c>
      <c r="D958" s="17" t="s">
        <v>5079</v>
      </c>
      <c r="E958" s="17">
        <v>50</v>
      </c>
      <c r="F958" s="27">
        <v>13</v>
      </c>
      <c r="G958" s="17" t="s">
        <v>23</v>
      </c>
      <c r="H958" s="17" t="s">
        <v>2096</v>
      </c>
    </row>
    <row r="959" spans="1:8" x14ac:dyDescent="0.25">
      <c r="A959" s="16" t="s">
        <v>2097</v>
      </c>
      <c r="B959" s="17" t="s">
        <v>23</v>
      </c>
      <c r="C959" s="17" t="s">
        <v>3766</v>
      </c>
      <c r="D959" s="17" t="s">
        <v>5080</v>
      </c>
      <c r="E959" s="17">
        <v>50</v>
      </c>
      <c r="F959" s="27">
        <v>13</v>
      </c>
      <c r="G959" s="17" t="s">
        <v>23</v>
      </c>
      <c r="H959" s="17" t="s">
        <v>2098</v>
      </c>
    </row>
    <row r="960" spans="1:8" x14ac:dyDescent="0.25">
      <c r="A960" s="16" t="s">
        <v>2099</v>
      </c>
      <c r="B960" s="17" t="s">
        <v>151</v>
      </c>
      <c r="C960" s="17" t="s">
        <v>5081</v>
      </c>
      <c r="D960" s="17" t="s">
        <v>5082</v>
      </c>
      <c r="E960" s="17">
        <v>50</v>
      </c>
      <c r="F960" s="27">
        <v>13</v>
      </c>
      <c r="G960" s="17" t="s">
        <v>23</v>
      </c>
      <c r="H960" s="17" t="s">
        <v>2100</v>
      </c>
    </row>
    <row r="961" spans="1:8" x14ac:dyDescent="0.25">
      <c r="A961" s="16" t="s">
        <v>2101</v>
      </c>
      <c r="B961" s="17" t="s">
        <v>1029</v>
      </c>
      <c r="C961" s="17" t="s">
        <v>5083</v>
      </c>
      <c r="D961" s="17" t="s">
        <v>5084</v>
      </c>
      <c r="E961" s="17">
        <v>50</v>
      </c>
      <c r="F961" s="27">
        <v>13</v>
      </c>
      <c r="G961" s="17" t="s">
        <v>225</v>
      </c>
      <c r="H961" s="17" t="s">
        <v>226</v>
      </c>
    </row>
    <row r="962" spans="1:8" x14ac:dyDescent="0.25">
      <c r="A962" s="16" t="s">
        <v>2101</v>
      </c>
      <c r="B962" s="17" t="s">
        <v>1029</v>
      </c>
      <c r="C962" s="17" t="s">
        <v>5083</v>
      </c>
      <c r="D962" s="17" t="s">
        <v>5084</v>
      </c>
      <c r="E962" s="17">
        <v>50</v>
      </c>
      <c r="F962" s="27">
        <v>13</v>
      </c>
      <c r="G962" s="17" t="s">
        <v>225</v>
      </c>
      <c r="H962" s="17" t="s">
        <v>226</v>
      </c>
    </row>
    <row r="963" spans="1:8" x14ac:dyDescent="0.25">
      <c r="A963" s="16" t="s">
        <v>2102</v>
      </c>
      <c r="B963" s="17" t="s">
        <v>2103</v>
      </c>
      <c r="C963" s="17" t="s">
        <v>5085</v>
      </c>
      <c r="D963" s="17" t="s">
        <v>5086</v>
      </c>
      <c r="E963" s="17">
        <v>50</v>
      </c>
      <c r="F963" s="27">
        <v>13</v>
      </c>
      <c r="G963" s="17" t="s">
        <v>225</v>
      </c>
      <c r="H963" s="17" t="s">
        <v>226</v>
      </c>
    </row>
    <row r="964" spans="1:8" x14ac:dyDescent="0.25">
      <c r="A964" s="16" t="s">
        <v>2102</v>
      </c>
      <c r="B964" s="17" t="s">
        <v>2103</v>
      </c>
      <c r="C964" s="17" t="s">
        <v>5085</v>
      </c>
      <c r="D964" s="17" t="s">
        <v>5086</v>
      </c>
      <c r="E964" s="17">
        <v>50</v>
      </c>
      <c r="F964" s="27">
        <v>13</v>
      </c>
      <c r="G964" s="17" t="s">
        <v>225</v>
      </c>
      <c r="H964" s="17" t="s">
        <v>226</v>
      </c>
    </row>
    <row r="965" spans="1:8" x14ac:dyDescent="0.25">
      <c r="A965" s="16" t="s">
        <v>2104</v>
      </c>
      <c r="B965" s="17" t="s">
        <v>2105</v>
      </c>
      <c r="C965" s="17" t="s">
        <v>5087</v>
      </c>
      <c r="D965" s="17" t="s">
        <v>5088</v>
      </c>
      <c r="E965" s="17">
        <v>50</v>
      </c>
      <c r="F965" s="27">
        <v>13</v>
      </c>
      <c r="G965" s="17" t="s">
        <v>225</v>
      </c>
      <c r="H965" s="17" t="s">
        <v>226</v>
      </c>
    </row>
    <row r="966" spans="1:8" x14ac:dyDescent="0.25">
      <c r="A966" s="16" t="s">
        <v>2106</v>
      </c>
      <c r="B966" s="17" t="s">
        <v>123</v>
      </c>
      <c r="C966" s="17" t="s">
        <v>5089</v>
      </c>
      <c r="D966" s="17" t="s">
        <v>5090</v>
      </c>
      <c r="E966" s="17">
        <v>50</v>
      </c>
      <c r="F966" s="27">
        <v>13</v>
      </c>
      <c r="G966" s="17" t="s">
        <v>225</v>
      </c>
      <c r="H966" s="17" t="s">
        <v>2107</v>
      </c>
    </row>
    <row r="967" spans="1:8" x14ac:dyDescent="0.25">
      <c r="A967" s="16" t="s">
        <v>2108</v>
      </c>
      <c r="B967" s="17" t="s">
        <v>1178</v>
      </c>
      <c r="C967" s="17" t="s">
        <v>5091</v>
      </c>
      <c r="D967" s="17" t="s">
        <v>5092</v>
      </c>
      <c r="E967" s="17">
        <v>50</v>
      </c>
      <c r="F967" s="27">
        <v>13</v>
      </c>
      <c r="G967" s="17" t="s">
        <v>2109</v>
      </c>
      <c r="H967" s="17" t="s">
        <v>2109</v>
      </c>
    </row>
    <row r="968" spans="1:8" x14ac:dyDescent="0.25">
      <c r="A968" s="16" t="s">
        <v>2110</v>
      </c>
      <c r="B968" s="17" t="s">
        <v>57</v>
      </c>
      <c r="C968" s="17" t="s">
        <v>3766</v>
      </c>
      <c r="D968" s="17" t="s">
        <v>5093</v>
      </c>
      <c r="E968" s="17">
        <v>51</v>
      </c>
      <c r="F968" s="16">
        <v>3</v>
      </c>
      <c r="G968" s="17" t="s">
        <v>327</v>
      </c>
      <c r="H968" s="17" t="s">
        <v>2111</v>
      </c>
    </row>
    <row r="969" spans="1:8" x14ac:dyDescent="0.25">
      <c r="A969" s="16" t="s">
        <v>2112</v>
      </c>
      <c r="B969" s="17" t="s">
        <v>1835</v>
      </c>
      <c r="C969" s="17" t="s">
        <v>5094</v>
      </c>
      <c r="D969" s="17" t="s">
        <v>5095</v>
      </c>
      <c r="E969" s="17">
        <v>51</v>
      </c>
      <c r="F969" s="16">
        <v>3</v>
      </c>
      <c r="G969" s="17" t="s">
        <v>327</v>
      </c>
      <c r="H969" s="17" t="s">
        <v>2113</v>
      </c>
    </row>
    <row r="970" spans="1:8" x14ac:dyDescent="0.25">
      <c r="A970" s="16" t="s">
        <v>2114</v>
      </c>
      <c r="B970" s="17" t="s">
        <v>2115</v>
      </c>
      <c r="C970" s="17" t="s">
        <v>5096</v>
      </c>
      <c r="D970" s="17" t="s">
        <v>5097</v>
      </c>
      <c r="E970" s="17">
        <v>51</v>
      </c>
      <c r="F970" s="16">
        <v>3</v>
      </c>
      <c r="G970" s="17" t="s">
        <v>327</v>
      </c>
      <c r="H970" s="17" t="s">
        <v>44</v>
      </c>
    </row>
    <row r="971" spans="1:8" x14ac:dyDescent="0.25">
      <c r="A971" s="16" t="s">
        <v>2116</v>
      </c>
      <c r="B971" s="17" t="s">
        <v>192</v>
      </c>
      <c r="C971" s="17" t="s">
        <v>5098</v>
      </c>
      <c r="D971" s="17" t="s">
        <v>5099</v>
      </c>
      <c r="E971" s="17">
        <v>51</v>
      </c>
      <c r="F971" s="16">
        <v>3</v>
      </c>
      <c r="G971" s="17" t="s">
        <v>2117</v>
      </c>
      <c r="H971" s="17" t="s">
        <v>2117</v>
      </c>
    </row>
    <row r="972" spans="1:8" x14ac:dyDescent="0.25">
      <c r="A972" s="16" t="s">
        <v>2118</v>
      </c>
      <c r="B972" s="17" t="s">
        <v>166</v>
      </c>
      <c r="C972" s="17" t="s">
        <v>3766</v>
      </c>
      <c r="D972" s="17" t="s">
        <v>5100</v>
      </c>
      <c r="E972" s="17">
        <v>51</v>
      </c>
      <c r="F972" s="16">
        <v>3</v>
      </c>
      <c r="G972" s="17" t="s">
        <v>2117</v>
      </c>
      <c r="H972" s="17" t="s">
        <v>2119</v>
      </c>
    </row>
    <row r="973" spans="1:8" x14ac:dyDescent="0.25">
      <c r="A973" s="16" t="s">
        <v>2120</v>
      </c>
      <c r="B973" s="17" t="s">
        <v>1286</v>
      </c>
      <c r="C973" s="17" t="s">
        <v>4971</v>
      </c>
      <c r="D973" s="17" t="s">
        <v>5101</v>
      </c>
      <c r="E973" s="17">
        <v>51</v>
      </c>
      <c r="F973" s="16">
        <v>3</v>
      </c>
      <c r="G973" s="17" t="s">
        <v>2121</v>
      </c>
      <c r="H973" s="17" t="s">
        <v>2121</v>
      </c>
    </row>
    <row r="974" spans="1:8" x14ac:dyDescent="0.25">
      <c r="A974" s="16" t="s">
        <v>2122</v>
      </c>
      <c r="B974" s="17" t="s">
        <v>49</v>
      </c>
      <c r="C974" s="17" t="s">
        <v>5102</v>
      </c>
      <c r="D974" s="17" t="s">
        <v>5103</v>
      </c>
      <c r="E974" s="17">
        <v>51</v>
      </c>
      <c r="F974" s="16">
        <v>3</v>
      </c>
      <c r="G974" s="17" t="s">
        <v>2121</v>
      </c>
      <c r="H974" s="17" t="s">
        <v>2123</v>
      </c>
    </row>
    <row r="975" spans="1:8" x14ac:dyDescent="0.25">
      <c r="A975" s="16" t="s">
        <v>2124</v>
      </c>
      <c r="B975" s="17" t="s">
        <v>135</v>
      </c>
      <c r="C975" s="17" t="s">
        <v>3956</v>
      </c>
      <c r="D975" s="17" t="s">
        <v>5104</v>
      </c>
      <c r="E975" s="17">
        <v>51</v>
      </c>
      <c r="F975" s="16">
        <v>3</v>
      </c>
      <c r="G975" s="17" t="s">
        <v>2125</v>
      </c>
      <c r="H975" s="17" t="s">
        <v>2125</v>
      </c>
    </row>
    <row r="976" spans="1:8" x14ac:dyDescent="0.25">
      <c r="A976" s="16" t="s">
        <v>2126</v>
      </c>
      <c r="B976" s="17" t="s">
        <v>499</v>
      </c>
      <c r="C976" s="17" t="s">
        <v>5105</v>
      </c>
      <c r="D976" s="17" t="s">
        <v>5106</v>
      </c>
      <c r="E976" s="17">
        <v>51</v>
      </c>
      <c r="F976" s="16">
        <v>3</v>
      </c>
      <c r="G976" s="17" t="s">
        <v>2125</v>
      </c>
      <c r="H976" s="17" t="s">
        <v>2127</v>
      </c>
    </row>
    <row r="977" spans="1:8" x14ac:dyDescent="0.25">
      <c r="A977" s="16" t="s">
        <v>2128</v>
      </c>
      <c r="B977" s="17" t="s">
        <v>443</v>
      </c>
      <c r="C977" s="17" t="s">
        <v>3766</v>
      </c>
      <c r="D977" s="17" t="s">
        <v>5107</v>
      </c>
      <c r="E977" s="17">
        <v>51</v>
      </c>
      <c r="F977" s="16">
        <v>3</v>
      </c>
      <c r="G977" s="17" t="s">
        <v>2125</v>
      </c>
      <c r="H977" s="17" t="s">
        <v>2129</v>
      </c>
    </row>
    <row r="978" spans="1:8" x14ac:dyDescent="0.25">
      <c r="A978" s="16" t="s">
        <v>2130</v>
      </c>
      <c r="B978" s="17" t="s">
        <v>166</v>
      </c>
      <c r="C978" s="17" t="s">
        <v>5108</v>
      </c>
      <c r="D978" s="17" t="s">
        <v>5109</v>
      </c>
      <c r="E978" s="17">
        <v>51</v>
      </c>
      <c r="F978" s="16">
        <v>3</v>
      </c>
      <c r="G978" s="17" t="s">
        <v>2125</v>
      </c>
      <c r="H978" s="17" t="s">
        <v>2131</v>
      </c>
    </row>
    <row r="979" spans="1:8" x14ac:dyDescent="0.25">
      <c r="A979" s="16" t="s">
        <v>2132</v>
      </c>
      <c r="B979" s="17" t="s">
        <v>280</v>
      </c>
      <c r="C979" s="17" t="s">
        <v>3766</v>
      </c>
      <c r="D979" s="17" t="s">
        <v>5110</v>
      </c>
      <c r="E979" s="17">
        <v>51</v>
      </c>
      <c r="F979" s="16">
        <v>3</v>
      </c>
      <c r="G979" s="17" t="s">
        <v>2133</v>
      </c>
      <c r="H979" s="17" t="s">
        <v>2134</v>
      </c>
    </row>
    <row r="980" spans="1:8" x14ac:dyDescent="0.25">
      <c r="A980" s="16" t="s">
        <v>2135</v>
      </c>
      <c r="B980" s="17" t="s">
        <v>466</v>
      </c>
      <c r="C980" s="17" t="s">
        <v>3766</v>
      </c>
      <c r="D980" s="17" t="s">
        <v>5111</v>
      </c>
      <c r="E980" s="17">
        <v>51</v>
      </c>
      <c r="F980" s="16">
        <v>3</v>
      </c>
      <c r="G980" s="17" t="s">
        <v>2133</v>
      </c>
      <c r="H980" s="17" t="s">
        <v>2136</v>
      </c>
    </row>
    <row r="981" spans="1:8" x14ac:dyDescent="0.25">
      <c r="A981" s="16" t="s">
        <v>2137</v>
      </c>
      <c r="B981" s="17" t="s">
        <v>254</v>
      </c>
      <c r="C981" s="17" t="s">
        <v>5112</v>
      </c>
      <c r="D981" s="17" t="s">
        <v>5113</v>
      </c>
      <c r="E981" s="17">
        <v>51</v>
      </c>
      <c r="F981" s="16">
        <v>3</v>
      </c>
      <c r="G981" s="17" t="s">
        <v>337</v>
      </c>
      <c r="H981" s="17" t="s">
        <v>2138</v>
      </c>
    </row>
    <row r="982" spans="1:8" x14ac:dyDescent="0.25">
      <c r="A982" s="16" t="s">
        <v>2139</v>
      </c>
      <c r="B982" s="17" t="s">
        <v>166</v>
      </c>
      <c r="C982" s="17" t="s">
        <v>5114</v>
      </c>
      <c r="D982" s="17" t="s">
        <v>5115</v>
      </c>
      <c r="E982" s="17">
        <v>51</v>
      </c>
      <c r="F982" s="16">
        <v>3</v>
      </c>
      <c r="G982" s="17" t="s">
        <v>2140</v>
      </c>
      <c r="H982" s="17" t="s">
        <v>2141</v>
      </c>
    </row>
    <row r="983" spans="1:8" x14ac:dyDescent="0.25">
      <c r="A983" s="16" t="s">
        <v>2142</v>
      </c>
      <c r="B983" s="17" t="s">
        <v>2143</v>
      </c>
      <c r="C983" s="17" t="s">
        <v>5116</v>
      </c>
      <c r="D983" s="17" t="s">
        <v>5117</v>
      </c>
      <c r="E983" s="17">
        <v>51</v>
      </c>
      <c r="F983" s="16">
        <v>3</v>
      </c>
      <c r="G983" s="17" t="s">
        <v>2140</v>
      </c>
      <c r="H983" s="17" t="s">
        <v>2144</v>
      </c>
    </row>
    <row r="984" spans="1:8" x14ac:dyDescent="0.25">
      <c r="A984" s="16" t="s">
        <v>2145</v>
      </c>
      <c r="B984" s="17" t="s">
        <v>2146</v>
      </c>
      <c r="C984" s="17" t="s">
        <v>5118</v>
      </c>
      <c r="D984" s="17" t="s">
        <v>5119</v>
      </c>
      <c r="E984" s="17">
        <v>51</v>
      </c>
      <c r="F984" s="16">
        <v>3</v>
      </c>
      <c r="G984" s="17" t="s">
        <v>2140</v>
      </c>
      <c r="H984" s="17" t="s">
        <v>2147</v>
      </c>
    </row>
    <row r="985" spans="1:8" x14ac:dyDescent="0.25">
      <c r="A985" s="16" t="s">
        <v>2148</v>
      </c>
      <c r="B985" s="17" t="s">
        <v>151</v>
      </c>
      <c r="C985" s="17" t="s">
        <v>5120</v>
      </c>
      <c r="D985" s="17" t="s">
        <v>5121</v>
      </c>
      <c r="E985" s="17">
        <v>51</v>
      </c>
      <c r="F985" s="16">
        <v>3</v>
      </c>
      <c r="G985" s="17" t="s">
        <v>2140</v>
      </c>
      <c r="H985" s="17" t="s">
        <v>2149</v>
      </c>
    </row>
    <row r="986" spans="1:8" x14ac:dyDescent="0.25">
      <c r="A986" s="16" t="s">
        <v>2150</v>
      </c>
      <c r="B986" s="17" t="s">
        <v>166</v>
      </c>
      <c r="C986" s="17" t="s">
        <v>5122</v>
      </c>
      <c r="D986" s="17" t="s">
        <v>5123</v>
      </c>
      <c r="E986" s="17">
        <v>51</v>
      </c>
      <c r="F986" s="16">
        <v>3</v>
      </c>
      <c r="G986" s="17" t="s">
        <v>2151</v>
      </c>
      <c r="H986" s="17" t="s">
        <v>2152</v>
      </c>
    </row>
    <row r="987" spans="1:8" x14ac:dyDescent="0.25">
      <c r="A987" s="16" t="s">
        <v>2153</v>
      </c>
      <c r="B987" s="17" t="s">
        <v>151</v>
      </c>
      <c r="C987" s="17" t="s">
        <v>3766</v>
      </c>
      <c r="D987" s="17" t="s">
        <v>5124</v>
      </c>
      <c r="E987" s="17">
        <v>51</v>
      </c>
      <c r="F987" s="16">
        <v>3</v>
      </c>
      <c r="G987" s="17" t="s">
        <v>2151</v>
      </c>
      <c r="H987" s="17" t="s">
        <v>2154</v>
      </c>
    </row>
    <row r="988" spans="1:8" x14ac:dyDescent="0.25">
      <c r="A988" s="16" t="s">
        <v>2155</v>
      </c>
      <c r="B988" s="17" t="s">
        <v>2156</v>
      </c>
      <c r="C988" s="17" t="s">
        <v>5125</v>
      </c>
      <c r="D988" s="17" t="s">
        <v>5126</v>
      </c>
      <c r="E988" s="17">
        <v>51</v>
      </c>
      <c r="F988" s="16">
        <v>3</v>
      </c>
      <c r="G988" s="17" t="s">
        <v>2151</v>
      </c>
      <c r="H988" s="17" t="s">
        <v>2157</v>
      </c>
    </row>
    <row r="989" spans="1:8" x14ac:dyDescent="0.25">
      <c r="A989" s="16" t="s">
        <v>2158</v>
      </c>
      <c r="B989" s="17" t="s">
        <v>2159</v>
      </c>
      <c r="C989" s="17" t="s">
        <v>3766</v>
      </c>
      <c r="D989" s="17" t="s">
        <v>5127</v>
      </c>
      <c r="E989" s="17">
        <v>51</v>
      </c>
      <c r="F989" s="16">
        <v>3</v>
      </c>
      <c r="G989" s="17" t="s">
        <v>2160</v>
      </c>
      <c r="H989" s="17" t="s">
        <v>2161</v>
      </c>
    </row>
    <row r="990" spans="1:8" x14ac:dyDescent="0.25">
      <c r="A990" s="16" t="s">
        <v>2162</v>
      </c>
      <c r="B990" s="17" t="s">
        <v>2163</v>
      </c>
      <c r="C990" s="17" t="s">
        <v>5128</v>
      </c>
      <c r="D990" s="17" t="s">
        <v>5129</v>
      </c>
      <c r="E990" s="17">
        <v>51</v>
      </c>
      <c r="F990" s="16">
        <v>3</v>
      </c>
      <c r="G990" s="17" t="s">
        <v>2160</v>
      </c>
      <c r="H990" s="17" t="s">
        <v>2164</v>
      </c>
    </row>
    <row r="991" spans="1:8" x14ac:dyDescent="0.25">
      <c r="A991" s="16" t="s">
        <v>2165</v>
      </c>
      <c r="B991" s="17" t="s">
        <v>172</v>
      </c>
      <c r="C991" s="17" t="s">
        <v>4208</v>
      </c>
      <c r="D991" s="17" t="s">
        <v>5130</v>
      </c>
      <c r="E991" s="17">
        <v>51</v>
      </c>
      <c r="F991" s="16">
        <v>3</v>
      </c>
      <c r="G991" s="17" t="s">
        <v>2166</v>
      </c>
      <c r="H991" s="17" t="s">
        <v>2166</v>
      </c>
    </row>
    <row r="992" spans="1:8" x14ac:dyDescent="0.25">
      <c r="A992" s="16" t="s">
        <v>2167</v>
      </c>
      <c r="B992" s="17" t="s">
        <v>23</v>
      </c>
      <c r="C992" s="17" t="s">
        <v>3766</v>
      </c>
      <c r="D992" s="17" t="s">
        <v>5131</v>
      </c>
      <c r="E992" s="17">
        <v>51</v>
      </c>
      <c r="F992" s="16">
        <v>3</v>
      </c>
      <c r="G992" s="17" t="s">
        <v>2168</v>
      </c>
      <c r="H992" s="17" t="s">
        <v>2169</v>
      </c>
    </row>
    <row r="993" spans="1:8" x14ac:dyDescent="0.25">
      <c r="A993" s="16" t="s">
        <v>2170</v>
      </c>
      <c r="B993" s="17" t="s">
        <v>135</v>
      </c>
      <c r="C993" s="17" t="s">
        <v>3766</v>
      </c>
      <c r="D993" s="17" t="s">
        <v>5132</v>
      </c>
      <c r="E993" s="17">
        <v>51</v>
      </c>
      <c r="F993" s="16">
        <v>3</v>
      </c>
      <c r="G993" s="17" t="s">
        <v>2168</v>
      </c>
      <c r="H993" s="17" t="s">
        <v>2171</v>
      </c>
    </row>
    <row r="994" spans="1:8" x14ac:dyDescent="0.25">
      <c r="A994" s="16" t="s">
        <v>2172</v>
      </c>
      <c r="B994" s="17" t="s">
        <v>138</v>
      </c>
      <c r="C994" s="17" t="s">
        <v>3766</v>
      </c>
      <c r="D994" s="17" t="s">
        <v>5133</v>
      </c>
      <c r="E994" s="17">
        <v>51</v>
      </c>
      <c r="F994" s="16">
        <v>3</v>
      </c>
      <c r="G994" s="17" t="s">
        <v>2168</v>
      </c>
      <c r="H994" s="17" t="s">
        <v>2173</v>
      </c>
    </row>
    <row r="995" spans="1:8" x14ac:dyDescent="0.25">
      <c r="A995" s="16" t="s">
        <v>2174</v>
      </c>
      <c r="B995" s="17" t="s">
        <v>95</v>
      </c>
      <c r="C995" s="17" t="s">
        <v>3766</v>
      </c>
      <c r="D995" s="17" t="s">
        <v>5134</v>
      </c>
      <c r="E995" s="17">
        <v>51</v>
      </c>
      <c r="F995" s="16">
        <v>3</v>
      </c>
      <c r="G995" s="17" t="s">
        <v>2168</v>
      </c>
      <c r="H995" s="17" t="s">
        <v>2175</v>
      </c>
    </row>
    <row r="996" spans="1:8" x14ac:dyDescent="0.25">
      <c r="A996" s="16" t="s">
        <v>2176</v>
      </c>
      <c r="B996" s="17" t="s">
        <v>49</v>
      </c>
      <c r="C996" s="17" t="s">
        <v>5135</v>
      </c>
      <c r="D996" s="17" t="s">
        <v>5136</v>
      </c>
      <c r="E996" s="17">
        <v>51</v>
      </c>
      <c r="F996" s="16">
        <v>3</v>
      </c>
      <c r="G996" s="17" t="s">
        <v>2177</v>
      </c>
      <c r="H996" s="17" t="s">
        <v>2177</v>
      </c>
    </row>
    <row r="997" spans="1:8" x14ac:dyDescent="0.25">
      <c r="A997" s="16" t="s">
        <v>2178</v>
      </c>
      <c r="B997" s="17" t="s">
        <v>166</v>
      </c>
      <c r="C997" s="17" t="s">
        <v>5137</v>
      </c>
      <c r="D997" s="17" t="s">
        <v>5138</v>
      </c>
      <c r="E997" s="17">
        <v>51</v>
      </c>
      <c r="F997" s="16">
        <v>3</v>
      </c>
      <c r="G997" s="17" t="s">
        <v>2177</v>
      </c>
      <c r="H997" s="17" t="s">
        <v>2179</v>
      </c>
    </row>
    <row r="998" spans="1:8" x14ac:dyDescent="0.25">
      <c r="A998" s="16" t="s">
        <v>2180</v>
      </c>
      <c r="B998" s="17" t="s">
        <v>169</v>
      </c>
      <c r="C998" s="17" t="s">
        <v>3758</v>
      </c>
      <c r="D998" s="17" t="s">
        <v>5139</v>
      </c>
      <c r="E998" s="17">
        <v>51</v>
      </c>
      <c r="F998" s="16">
        <v>3</v>
      </c>
      <c r="G998" s="17" t="s">
        <v>2177</v>
      </c>
      <c r="H998" s="17" t="s">
        <v>2181</v>
      </c>
    </row>
    <row r="999" spans="1:8" x14ac:dyDescent="0.25">
      <c r="A999" s="16" t="s">
        <v>2182</v>
      </c>
      <c r="B999" s="17" t="s">
        <v>80</v>
      </c>
      <c r="C999" s="17" t="s">
        <v>3766</v>
      </c>
      <c r="D999" s="17" t="s">
        <v>5140</v>
      </c>
      <c r="E999" s="17">
        <v>51</v>
      </c>
      <c r="F999" s="16">
        <v>3</v>
      </c>
      <c r="G999" s="17" t="s">
        <v>2177</v>
      </c>
      <c r="H999" s="17" t="s">
        <v>2183</v>
      </c>
    </row>
    <row r="1000" spans="1:8" x14ac:dyDescent="0.25">
      <c r="A1000" s="16" t="s">
        <v>2184</v>
      </c>
      <c r="B1000" s="17" t="s">
        <v>828</v>
      </c>
      <c r="C1000" s="17" t="s">
        <v>5141</v>
      </c>
      <c r="D1000" s="17" t="s">
        <v>5142</v>
      </c>
      <c r="E1000" s="17">
        <v>51</v>
      </c>
      <c r="F1000" s="16">
        <v>3</v>
      </c>
      <c r="G1000" s="17" t="s">
        <v>2177</v>
      </c>
      <c r="H1000" s="17" t="s">
        <v>2185</v>
      </c>
    </row>
    <row r="1001" spans="1:8" x14ac:dyDescent="0.25">
      <c r="A1001" s="16" t="s">
        <v>2186</v>
      </c>
      <c r="B1001" s="17" t="s">
        <v>135</v>
      </c>
      <c r="C1001" s="17" t="s">
        <v>5135</v>
      </c>
      <c r="D1001" s="17" t="s">
        <v>5143</v>
      </c>
      <c r="E1001" s="17">
        <v>51</v>
      </c>
      <c r="F1001" s="16">
        <v>3</v>
      </c>
      <c r="G1001" s="17" t="s">
        <v>2187</v>
      </c>
      <c r="H1001" s="17" t="s">
        <v>2187</v>
      </c>
    </row>
    <row r="1002" spans="1:8" x14ac:dyDescent="0.25">
      <c r="A1002" s="16" t="s">
        <v>2188</v>
      </c>
      <c r="B1002" s="17" t="s">
        <v>2189</v>
      </c>
      <c r="C1002" s="17" t="s">
        <v>5144</v>
      </c>
      <c r="D1002" s="17" t="s">
        <v>5145</v>
      </c>
      <c r="E1002" s="17">
        <v>51</v>
      </c>
      <c r="F1002" s="16">
        <v>3</v>
      </c>
      <c r="G1002" s="17" t="s">
        <v>2190</v>
      </c>
      <c r="H1002" s="17" t="s">
        <v>2191</v>
      </c>
    </row>
    <row r="1003" spans="1:8" x14ac:dyDescent="0.25">
      <c r="A1003" s="16" t="s">
        <v>2192</v>
      </c>
      <c r="B1003" s="17" t="s">
        <v>129</v>
      </c>
      <c r="C1003" s="17" t="s">
        <v>5135</v>
      </c>
      <c r="D1003" s="17" t="s">
        <v>5146</v>
      </c>
      <c r="E1003" s="17">
        <v>51</v>
      </c>
      <c r="F1003" s="16">
        <v>3</v>
      </c>
      <c r="G1003" s="17" t="s">
        <v>2193</v>
      </c>
      <c r="H1003" s="17" t="s">
        <v>2193</v>
      </c>
    </row>
    <row r="1004" spans="1:8" x14ac:dyDescent="0.25">
      <c r="A1004" s="16" t="s">
        <v>2194</v>
      </c>
      <c r="B1004" s="17" t="s">
        <v>1301</v>
      </c>
      <c r="C1004" s="17" t="s">
        <v>5147</v>
      </c>
      <c r="D1004" s="17" t="s">
        <v>5148</v>
      </c>
      <c r="E1004" s="17">
        <v>51</v>
      </c>
      <c r="F1004" s="16">
        <v>3</v>
      </c>
      <c r="G1004" s="17" t="s">
        <v>2195</v>
      </c>
      <c r="H1004" s="17" t="s">
        <v>2196</v>
      </c>
    </row>
    <row r="1005" spans="1:8" x14ac:dyDescent="0.25">
      <c r="A1005" s="16" t="s">
        <v>2197</v>
      </c>
      <c r="B1005" s="17" t="s">
        <v>166</v>
      </c>
      <c r="C1005" s="17" t="s">
        <v>5149</v>
      </c>
      <c r="D1005" s="17" t="s">
        <v>5150</v>
      </c>
      <c r="E1005" s="17">
        <v>52</v>
      </c>
      <c r="F1005" s="27">
        <v>10</v>
      </c>
      <c r="G1005" s="17" t="s">
        <v>922</v>
      </c>
      <c r="H1005" s="17" t="s">
        <v>923</v>
      </c>
    </row>
    <row r="1006" spans="1:8" x14ac:dyDescent="0.25">
      <c r="A1006" s="16" t="s">
        <v>2198</v>
      </c>
      <c r="B1006" s="17" t="s">
        <v>2199</v>
      </c>
      <c r="C1006" s="17" t="s">
        <v>5151</v>
      </c>
      <c r="D1006" s="17" t="s">
        <v>5152</v>
      </c>
      <c r="E1006" s="17">
        <v>52</v>
      </c>
      <c r="F1006" s="27">
        <v>10</v>
      </c>
      <c r="G1006" s="17" t="s">
        <v>922</v>
      </c>
      <c r="H1006" s="17" t="s">
        <v>2200</v>
      </c>
    </row>
    <row r="1007" spans="1:8" x14ac:dyDescent="0.25">
      <c r="A1007" s="16" t="s">
        <v>2201</v>
      </c>
      <c r="B1007" s="17" t="s">
        <v>2202</v>
      </c>
      <c r="C1007" s="17" t="s">
        <v>5153</v>
      </c>
      <c r="D1007" s="17" t="s">
        <v>5154</v>
      </c>
      <c r="E1007" s="17">
        <v>52</v>
      </c>
      <c r="F1007" s="27">
        <v>10</v>
      </c>
      <c r="G1007" s="17" t="s">
        <v>2203</v>
      </c>
      <c r="H1007" s="17" t="s">
        <v>2203</v>
      </c>
    </row>
    <row r="1008" spans="1:8" x14ac:dyDescent="0.25">
      <c r="A1008" s="16" t="s">
        <v>2204</v>
      </c>
      <c r="B1008" s="17" t="s">
        <v>157</v>
      </c>
      <c r="C1008" s="17" t="s">
        <v>3766</v>
      </c>
      <c r="D1008" s="17" t="s">
        <v>5155</v>
      </c>
      <c r="E1008" s="17">
        <v>52</v>
      </c>
      <c r="F1008" s="27">
        <v>10</v>
      </c>
      <c r="G1008" s="17" t="s">
        <v>2203</v>
      </c>
      <c r="H1008" s="17" t="s">
        <v>404</v>
      </c>
    </row>
    <row r="1009" spans="1:8" x14ac:dyDescent="0.25">
      <c r="A1009" s="16" t="s">
        <v>2205</v>
      </c>
      <c r="B1009" s="17" t="s">
        <v>123</v>
      </c>
      <c r="C1009" s="17" t="s">
        <v>3766</v>
      </c>
      <c r="D1009" s="17" t="s">
        <v>4762</v>
      </c>
      <c r="E1009" s="17">
        <v>52</v>
      </c>
      <c r="F1009" s="27">
        <v>10</v>
      </c>
      <c r="G1009" s="17" t="s">
        <v>2203</v>
      </c>
      <c r="H1009" s="17" t="s">
        <v>2206</v>
      </c>
    </row>
    <row r="1010" spans="1:8" x14ac:dyDescent="0.25">
      <c r="A1010" s="16" t="s">
        <v>2207</v>
      </c>
      <c r="B1010" s="17" t="s">
        <v>38</v>
      </c>
      <c r="C1010" s="17" t="s">
        <v>3766</v>
      </c>
      <c r="D1010" s="17" t="s">
        <v>5156</v>
      </c>
      <c r="E1010" s="17">
        <v>52</v>
      </c>
      <c r="F1010" s="27">
        <v>10</v>
      </c>
      <c r="G1010" s="17" t="s">
        <v>2203</v>
      </c>
      <c r="H1010" s="17" t="s">
        <v>2208</v>
      </c>
    </row>
    <row r="1011" spans="1:8" x14ac:dyDescent="0.25">
      <c r="A1011" s="16" t="s">
        <v>2209</v>
      </c>
      <c r="B1011" s="17" t="s">
        <v>23</v>
      </c>
      <c r="C1011" s="17" t="s">
        <v>3766</v>
      </c>
      <c r="D1011" s="17" t="s">
        <v>5157</v>
      </c>
      <c r="E1011" s="17">
        <v>52</v>
      </c>
      <c r="F1011" s="27">
        <v>10</v>
      </c>
      <c r="G1011" s="17" t="s">
        <v>2203</v>
      </c>
      <c r="H1011" s="17" t="s">
        <v>2210</v>
      </c>
    </row>
    <row r="1012" spans="1:8" x14ac:dyDescent="0.25">
      <c r="A1012" s="16" t="s">
        <v>2211</v>
      </c>
      <c r="B1012" s="17" t="s">
        <v>1178</v>
      </c>
      <c r="C1012" s="17" t="s">
        <v>3766</v>
      </c>
      <c r="D1012" s="17" t="s">
        <v>5158</v>
      </c>
      <c r="E1012" s="17">
        <v>52</v>
      </c>
      <c r="F1012" s="27">
        <v>10</v>
      </c>
      <c r="G1012" s="17" t="s">
        <v>2203</v>
      </c>
      <c r="H1012" s="17" t="s">
        <v>2212</v>
      </c>
    </row>
    <row r="1013" spans="1:8" x14ac:dyDescent="0.25">
      <c r="A1013" s="16" t="s">
        <v>2213</v>
      </c>
      <c r="B1013" s="17" t="s">
        <v>166</v>
      </c>
      <c r="C1013" s="17" t="s">
        <v>3766</v>
      </c>
      <c r="D1013" s="17" t="s">
        <v>5159</v>
      </c>
      <c r="E1013" s="17">
        <v>52</v>
      </c>
      <c r="F1013" s="27">
        <v>10</v>
      </c>
      <c r="G1013" s="17" t="s">
        <v>2203</v>
      </c>
      <c r="H1013" s="17" t="s">
        <v>2214</v>
      </c>
    </row>
    <row r="1014" spans="1:8" x14ac:dyDescent="0.25">
      <c r="A1014" s="16" t="s">
        <v>2215</v>
      </c>
      <c r="B1014" s="17" t="s">
        <v>80</v>
      </c>
      <c r="C1014" s="17" t="s">
        <v>3766</v>
      </c>
      <c r="D1014" s="17" t="s">
        <v>5160</v>
      </c>
      <c r="E1014" s="17">
        <v>52</v>
      </c>
      <c r="F1014" s="27">
        <v>10</v>
      </c>
      <c r="G1014" s="17" t="s">
        <v>2203</v>
      </c>
      <c r="H1014" s="17" t="s">
        <v>2216</v>
      </c>
    </row>
    <row r="1015" spans="1:8" x14ac:dyDescent="0.25">
      <c r="A1015" s="16" t="s">
        <v>2217</v>
      </c>
      <c r="B1015" s="17" t="s">
        <v>129</v>
      </c>
      <c r="C1015" s="17" t="s">
        <v>5161</v>
      </c>
      <c r="D1015" s="17" t="s">
        <v>5162</v>
      </c>
      <c r="E1015" s="17">
        <v>52</v>
      </c>
      <c r="F1015" s="27">
        <v>10</v>
      </c>
      <c r="G1015" s="17" t="s">
        <v>2218</v>
      </c>
      <c r="H1015" s="17" t="s">
        <v>2218</v>
      </c>
    </row>
    <row r="1016" spans="1:8" x14ac:dyDescent="0.25">
      <c r="A1016" s="16" t="s">
        <v>2219</v>
      </c>
      <c r="B1016" s="17" t="s">
        <v>92</v>
      </c>
      <c r="C1016" s="17" t="s">
        <v>5163</v>
      </c>
      <c r="D1016" s="17" t="s">
        <v>5164</v>
      </c>
      <c r="E1016" s="17">
        <v>52</v>
      </c>
      <c r="F1016" s="27">
        <v>10</v>
      </c>
      <c r="G1016" s="17" t="s">
        <v>2220</v>
      </c>
      <c r="H1016" s="17" t="s">
        <v>2220</v>
      </c>
    </row>
    <row r="1017" spans="1:8" x14ac:dyDescent="0.25">
      <c r="A1017" s="16" t="s">
        <v>2221</v>
      </c>
      <c r="B1017" s="17" t="s">
        <v>2146</v>
      </c>
      <c r="C1017" s="17" t="s">
        <v>5165</v>
      </c>
      <c r="D1017" s="17" t="s">
        <v>5166</v>
      </c>
      <c r="E1017" s="17">
        <v>52</v>
      </c>
      <c r="F1017" s="27">
        <v>10</v>
      </c>
      <c r="G1017" s="17" t="s">
        <v>938</v>
      </c>
      <c r="H1017" s="17" t="s">
        <v>938</v>
      </c>
    </row>
    <row r="1018" spans="1:8" x14ac:dyDescent="0.25">
      <c r="A1018" s="16" t="s">
        <v>2222</v>
      </c>
      <c r="B1018" s="17" t="s">
        <v>2223</v>
      </c>
      <c r="C1018" s="17" t="s">
        <v>3766</v>
      </c>
      <c r="D1018" s="17" t="s">
        <v>5167</v>
      </c>
      <c r="E1018" s="17">
        <v>52</v>
      </c>
      <c r="F1018" s="27">
        <v>10</v>
      </c>
      <c r="G1018" s="17" t="s">
        <v>938</v>
      </c>
      <c r="H1018" s="17" t="s">
        <v>2224</v>
      </c>
    </row>
    <row r="1019" spans="1:8" x14ac:dyDescent="0.25">
      <c r="A1019" s="16" t="s">
        <v>2225</v>
      </c>
      <c r="B1019" s="17" t="s">
        <v>2226</v>
      </c>
      <c r="C1019" s="17" t="s">
        <v>5168</v>
      </c>
      <c r="D1019" s="17" t="s">
        <v>5169</v>
      </c>
      <c r="E1019" s="17">
        <v>52</v>
      </c>
      <c r="F1019" s="27">
        <v>10</v>
      </c>
      <c r="G1019" s="17" t="s">
        <v>938</v>
      </c>
      <c r="H1019" s="17" t="s">
        <v>604</v>
      </c>
    </row>
    <row r="1020" spans="1:8" x14ac:dyDescent="0.25">
      <c r="A1020" s="16" t="s">
        <v>2227</v>
      </c>
      <c r="B1020" s="17" t="s">
        <v>166</v>
      </c>
      <c r="C1020" s="17" t="s">
        <v>3766</v>
      </c>
      <c r="D1020" s="17" t="s">
        <v>5170</v>
      </c>
      <c r="E1020" s="17">
        <v>52</v>
      </c>
      <c r="F1020" s="27">
        <v>10</v>
      </c>
      <c r="G1020" s="17" t="s">
        <v>306</v>
      </c>
      <c r="H1020" s="17" t="s">
        <v>2228</v>
      </c>
    </row>
    <row r="1021" spans="1:8" x14ac:dyDescent="0.25">
      <c r="A1021" s="16" t="s">
        <v>2229</v>
      </c>
      <c r="B1021" s="17" t="s">
        <v>301</v>
      </c>
      <c r="C1021" s="17" t="s">
        <v>5171</v>
      </c>
      <c r="D1021" s="17" t="s">
        <v>5172</v>
      </c>
      <c r="E1021" s="17">
        <v>53</v>
      </c>
      <c r="F1021" s="27">
        <v>14</v>
      </c>
      <c r="G1021" s="17" t="s">
        <v>2230</v>
      </c>
      <c r="H1021" s="17" t="s">
        <v>2230</v>
      </c>
    </row>
    <row r="1022" spans="1:8" x14ac:dyDescent="0.25">
      <c r="A1022" s="16" t="s">
        <v>2231</v>
      </c>
      <c r="B1022" s="17" t="s">
        <v>135</v>
      </c>
      <c r="C1022" s="17" t="s">
        <v>3766</v>
      </c>
      <c r="D1022" s="17" t="s">
        <v>5173</v>
      </c>
      <c r="E1022" s="17">
        <v>53</v>
      </c>
      <c r="F1022" s="27">
        <v>14</v>
      </c>
      <c r="G1022" s="17" t="s">
        <v>2230</v>
      </c>
      <c r="H1022" s="17" t="s">
        <v>2232</v>
      </c>
    </row>
    <row r="1023" spans="1:8" x14ac:dyDescent="0.25">
      <c r="A1023" s="16" t="s">
        <v>2233</v>
      </c>
      <c r="B1023" s="17" t="s">
        <v>2234</v>
      </c>
      <c r="C1023" s="17" t="s">
        <v>3766</v>
      </c>
      <c r="D1023" s="17" t="s">
        <v>5174</v>
      </c>
      <c r="E1023" s="17">
        <v>53</v>
      </c>
      <c r="F1023" s="27">
        <v>14</v>
      </c>
      <c r="G1023" s="17" t="s">
        <v>2230</v>
      </c>
      <c r="H1023" s="17" t="s">
        <v>2235</v>
      </c>
    </row>
    <row r="1024" spans="1:8" x14ac:dyDescent="0.25">
      <c r="A1024" s="16" t="s">
        <v>2236</v>
      </c>
      <c r="B1024" s="17" t="s">
        <v>480</v>
      </c>
      <c r="C1024" s="17" t="s">
        <v>3766</v>
      </c>
      <c r="D1024" s="17" t="s">
        <v>5175</v>
      </c>
      <c r="E1024" s="17">
        <v>53</v>
      </c>
      <c r="F1024" s="27">
        <v>14</v>
      </c>
      <c r="G1024" s="17" t="s">
        <v>2230</v>
      </c>
      <c r="H1024" s="17" t="s">
        <v>2237</v>
      </c>
    </row>
    <row r="1025" spans="1:8" x14ac:dyDescent="0.25">
      <c r="A1025" s="16" t="s">
        <v>2238</v>
      </c>
      <c r="B1025" s="17" t="s">
        <v>166</v>
      </c>
      <c r="C1025" s="17" t="s">
        <v>3766</v>
      </c>
      <c r="D1025" s="17" t="s">
        <v>5176</v>
      </c>
      <c r="E1025" s="17">
        <v>53</v>
      </c>
      <c r="F1025" s="27">
        <v>14</v>
      </c>
      <c r="G1025" s="17" t="s">
        <v>2230</v>
      </c>
      <c r="H1025" s="17" t="s">
        <v>2239</v>
      </c>
    </row>
    <row r="1026" spans="1:8" x14ac:dyDescent="0.25">
      <c r="A1026" s="16" t="s">
        <v>2240</v>
      </c>
      <c r="B1026" s="17" t="s">
        <v>2241</v>
      </c>
      <c r="C1026" s="17" t="s">
        <v>3766</v>
      </c>
      <c r="D1026" s="17" t="s">
        <v>5177</v>
      </c>
      <c r="E1026" s="17">
        <v>53</v>
      </c>
      <c r="F1026" s="27">
        <v>14</v>
      </c>
      <c r="G1026" s="17" t="s">
        <v>2230</v>
      </c>
      <c r="H1026" s="17" t="s">
        <v>2242</v>
      </c>
    </row>
    <row r="1027" spans="1:8" x14ac:dyDescent="0.25">
      <c r="A1027" s="16" t="s">
        <v>2243</v>
      </c>
      <c r="B1027" s="17" t="s">
        <v>2244</v>
      </c>
      <c r="C1027" s="17" t="s">
        <v>5178</v>
      </c>
      <c r="D1027" s="17" t="s">
        <v>5179</v>
      </c>
      <c r="E1027" s="17">
        <v>53</v>
      </c>
      <c r="F1027" s="27">
        <v>14</v>
      </c>
      <c r="G1027" s="17" t="s">
        <v>2230</v>
      </c>
      <c r="H1027" s="17" t="s">
        <v>2245</v>
      </c>
    </row>
    <row r="1028" spans="1:8" x14ac:dyDescent="0.25">
      <c r="A1028" s="16" t="s">
        <v>2246</v>
      </c>
      <c r="B1028" s="17" t="s">
        <v>151</v>
      </c>
      <c r="C1028" s="17" t="s">
        <v>3956</v>
      </c>
      <c r="D1028" s="17" t="s">
        <v>5180</v>
      </c>
      <c r="E1028" s="17">
        <v>53</v>
      </c>
      <c r="F1028" s="27">
        <v>14</v>
      </c>
      <c r="G1028" s="17" t="s">
        <v>2230</v>
      </c>
      <c r="H1028" s="17" t="s">
        <v>2247</v>
      </c>
    </row>
    <row r="1029" spans="1:8" x14ac:dyDescent="0.25">
      <c r="A1029" s="16" t="s">
        <v>2248</v>
      </c>
      <c r="B1029" s="17" t="s">
        <v>306</v>
      </c>
      <c r="C1029" s="17" t="s">
        <v>5181</v>
      </c>
      <c r="D1029" s="17" t="s">
        <v>5182</v>
      </c>
      <c r="E1029" s="17">
        <v>53</v>
      </c>
      <c r="F1029" s="27">
        <v>14</v>
      </c>
      <c r="G1029" s="17" t="s">
        <v>2230</v>
      </c>
      <c r="H1029" s="17" t="s">
        <v>710</v>
      </c>
    </row>
    <row r="1030" spans="1:8" x14ac:dyDescent="0.25">
      <c r="A1030" s="16" t="s">
        <v>2249</v>
      </c>
      <c r="B1030" s="17" t="s">
        <v>466</v>
      </c>
      <c r="C1030" s="17" t="s">
        <v>3766</v>
      </c>
      <c r="D1030" s="17" t="s">
        <v>5183</v>
      </c>
      <c r="E1030" s="17">
        <v>53</v>
      </c>
      <c r="F1030" s="27">
        <v>14</v>
      </c>
      <c r="G1030" s="17" t="s">
        <v>2230</v>
      </c>
      <c r="H1030" s="17" t="s">
        <v>2250</v>
      </c>
    </row>
    <row r="1031" spans="1:8" x14ac:dyDescent="0.25">
      <c r="A1031" s="16" t="s">
        <v>2251</v>
      </c>
      <c r="B1031" s="17" t="s">
        <v>443</v>
      </c>
      <c r="C1031" s="17" t="s">
        <v>5184</v>
      </c>
      <c r="D1031" s="17" t="s">
        <v>5185</v>
      </c>
      <c r="E1031" s="17">
        <v>53</v>
      </c>
      <c r="F1031" s="27">
        <v>14</v>
      </c>
      <c r="G1031" s="17" t="s">
        <v>2230</v>
      </c>
      <c r="H1031" s="17" t="s">
        <v>2252</v>
      </c>
    </row>
    <row r="1032" spans="1:8" x14ac:dyDescent="0.25">
      <c r="A1032" s="16" t="s">
        <v>2253</v>
      </c>
      <c r="B1032" s="17" t="s">
        <v>23</v>
      </c>
      <c r="C1032" s="17" t="s">
        <v>3766</v>
      </c>
      <c r="D1032" s="17" t="s">
        <v>5186</v>
      </c>
      <c r="E1032" s="17">
        <v>53</v>
      </c>
      <c r="F1032" s="27">
        <v>14</v>
      </c>
      <c r="G1032" s="17" t="s">
        <v>2230</v>
      </c>
      <c r="H1032" s="17" t="s">
        <v>2254</v>
      </c>
    </row>
    <row r="1033" spans="1:8" x14ac:dyDescent="0.25">
      <c r="A1033" s="16" t="s">
        <v>2255</v>
      </c>
      <c r="B1033" s="17" t="s">
        <v>272</v>
      </c>
      <c r="C1033" s="17" t="s">
        <v>5187</v>
      </c>
      <c r="D1033" s="17" t="s">
        <v>5188</v>
      </c>
      <c r="E1033" s="17">
        <v>53</v>
      </c>
      <c r="F1033" s="27">
        <v>14</v>
      </c>
      <c r="G1033" s="17" t="s">
        <v>2230</v>
      </c>
      <c r="H1033" s="17" t="s">
        <v>416</v>
      </c>
    </row>
    <row r="1034" spans="1:8" x14ac:dyDescent="0.25">
      <c r="A1034" s="16" t="s">
        <v>2256</v>
      </c>
      <c r="B1034" s="17" t="s">
        <v>132</v>
      </c>
      <c r="C1034" s="17" t="s">
        <v>3766</v>
      </c>
      <c r="D1034" s="17" t="s">
        <v>5189</v>
      </c>
      <c r="E1034" s="17">
        <v>53</v>
      </c>
      <c r="F1034" s="27">
        <v>14</v>
      </c>
      <c r="G1034" s="17" t="s">
        <v>2230</v>
      </c>
      <c r="H1034" s="17" t="s">
        <v>2257</v>
      </c>
    </row>
    <row r="1035" spans="1:8" x14ac:dyDescent="0.25">
      <c r="A1035" s="16" t="s">
        <v>2258</v>
      </c>
      <c r="B1035" s="17" t="s">
        <v>2259</v>
      </c>
      <c r="C1035" s="17" t="s">
        <v>5190</v>
      </c>
      <c r="D1035" s="17" t="s">
        <v>5191</v>
      </c>
      <c r="E1035" s="17">
        <v>53</v>
      </c>
      <c r="F1035" s="27">
        <v>14</v>
      </c>
      <c r="G1035" s="17" t="s">
        <v>2230</v>
      </c>
      <c r="H1035" s="17" t="s">
        <v>2260</v>
      </c>
    </row>
    <row r="1036" spans="1:8" x14ac:dyDescent="0.25">
      <c r="A1036" s="16" t="s">
        <v>2261</v>
      </c>
      <c r="B1036" s="17" t="s">
        <v>306</v>
      </c>
      <c r="C1036" s="17" t="s">
        <v>5192</v>
      </c>
      <c r="D1036" s="17" t="s">
        <v>5193</v>
      </c>
      <c r="E1036" s="17">
        <v>53</v>
      </c>
      <c r="F1036" s="27">
        <v>14</v>
      </c>
      <c r="G1036" s="17" t="s">
        <v>2230</v>
      </c>
      <c r="H1036" s="17" t="s">
        <v>628</v>
      </c>
    </row>
    <row r="1037" spans="1:8" x14ac:dyDescent="0.25">
      <c r="A1037" s="16" t="s">
        <v>2262</v>
      </c>
      <c r="B1037" s="17" t="s">
        <v>135</v>
      </c>
      <c r="C1037" s="17" t="s">
        <v>5194</v>
      </c>
      <c r="D1037" s="17" t="s">
        <v>5195</v>
      </c>
      <c r="E1037" s="17">
        <v>53</v>
      </c>
      <c r="F1037" s="27">
        <v>14</v>
      </c>
      <c r="G1037" s="17" t="s">
        <v>2230</v>
      </c>
      <c r="H1037" s="17" t="s">
        <v>1259</v>
      </c>
    </row>
    <row r="1038" spans="1:8" x14ac:dyDescent="0.25">
      <c r="A1038" s="16" t="s">
        <v>2263</v>
      </c>
      <c r="B1038" s="17" t="s">
        <v>46</v>
      </c>
      <c r="C1038" s="17" t="s">
        <v>3766</v>
      </c>
      <c r="D1038" s="17" t="s">
        <v>5196</v>
      </c>
      <c r="E1038" s="17">
        <v>53</v>
      </c>
      <c r="F1038" s="27">
        <v>14</v>
      </c>
      <c r="G1038" s="17" t="s">
        <v>2230</v>
      </c>
      <c r="H1038" s="17" t="s">
        <v>2264</v>
      </c>
    </row>
    <row r="1039" spans="1:8" x14ac:dyDescent="0.25">
      <c r="A1039" s="16" t="s">
        <v>2265</v>
      </c>
      <c r="B1039" s="17" t="s">
        <v>157</v>
      </c>
      <c r="C1039" s="17" t="s">
        <v>4082</v>
      </c>
      <c r="D1039" s="17" t="s">
        <v>5197</v>
      </c>
      <c r="E1039" s="17">
        <v>53</v>
      </c>
      <c r="F1039" s="27">
        <v>14</v>
      </c>
      <c r="G1039" s="17" t="s">
        <v>2230</v>
      </c>
      <c r="H1039" s="17" t="s">
        <v>2266</v>
      </c>
    </row>
    <row r="1040" spans="1:8" x14ac:dyDescent="0.25">
      <c r="A1040" s="16" t="s">
        <v>2267</v>
      </c>
      <c r="B1040" s="17" t="s">
        <v>41</v>
      </c>
      <c r="C1040" s="17" t="s">
        <v>3764</v>
      </c>
      <c r="D1040" s="17" t="s">
        <v>5198</v>
      </c>
      <c r="E1040" s="17">
        <v>53</v>
      </c>
      <c r="F1040" s="27">
        <v>14</v>
      </c>
      <c r="G1040" s="17" t="s">
        <v>2230</v>
      </c>
      <c r="H1040" s="17" t="s">
        <v>2268</v>
      </c>
    </row>
    <row r="1041" spans="1:8" x14ac:dyDescent="0.25">
      <c r="A1041" s="16" t="s">
        <v>2269</v>
      </c>
      <c r="B1041" s="17" t="s">
        <v>166</v>
      </c>
      <c r="C1041" s="17" t="s">
        <v>3766</v>
      </c>
      <c r="D1041" s="17" t="s">
        <v>5199</v>
      </c>
      <c r="E1041" s="17">
        <v>53</v>
      </c>
      <c r="F1041" s="27">
        <v>14</v>
      </c>
      <c r="G1041" s="17" t="s">
        <v>2230</v>
      </c>
      <c r="H1041" s="17" t="s">
        <v>2270</v>
      </c>
    </row>
    <row r="1042" spans="1:8" x14ac:dyDescent="0.25">
      <c r="A1042" s="16" t="s">
        <v>2271</v>
      </c>
      <c r="B1042" s="17" t="s">
        <v>72</v>
      </c>
      <c r="C1042" s="17" t="s">
        <v>3766</v>
      </c>
      <c r="D1042" s="17" t="s">
        <v>5200</v>
      </c>
      <c r="E1042" s="17">
        <v>53</v>
      </c>
      <c r="F1042" s="27">
        <v>14</v>
      </c>
      <c r="G1042" s="17" t="s">
        <v>2230</v>
      </c>
      <c r="H1042" s="17" t="s">
        <v>2272</v>
      </c>
    </row>
    <row r="1043" spans="1:8" x14ac:dyDescent="0.25">
      <c r="A1043" s="16" t="s">
        <v>2273</v>
      </c>
      <c r="B1043" s="17" t="s">
        <v>166</v>
      </c>
      <c r="C1043" s="17" t="s">
        <v>3766</v>
      </c>
      <c r="D1043" s="17" t="s">
        <v>5201</v>
      </c>
      <c r="E1043" s="17">
        <v>53</v>
      </c>
      <c r="F1043" s="27">
        <v>14</v>
      </c>
      <c r="G1043" s="17" t="s">
        <v>1620</v>
      </c>
      <c r="H1043" s="17" t="s">
        <v>2274</v>
      </c>
    </row>
    <row r="1044" spans="1:8" x14ac:dyDescent="0.25">
      <c r="A1044" s="16" t="s">
        <v>2275</v>
      </c>
      <c r="B1044" s="17" t="s">
        <v>2276</v>
      </c>
      <c r="C1044" s="17" t="s">
        <v>5202</v>
      </c>
      <c r="D1044" s="17" t="s">
        <v>5203</v>
      </c>
      <c r="E1044" s="17">
        <v>53</v>
      </c>
      <c r="F1044" s="27">
        <v>14</v>
      </c>
      <c r="G1044" s="17" t="s">
        <v>1064</v>
      </c>
      <c r="H1044" s="17" t="s">
        <v>884</v>
      </c>
    </row>
    <row r="1045" spans="1:8" x14ac:dyDescent="0.25">
      <c r="A1045" s="16" t="s">
        <v>2277</v>
      </c>
      <c r="B1045" s="17" t="s">
        <v>80</v>
      </c>
      <c r="C1045" s="17" t="s">
        <v>4627</v>
      </c>
      <c r="D1045" s="17" t="s">
        <v>5204</v>
      </c>
      <c r="E1045" s="17">
        <v>53</v>
      </c>
      <c r="F1045" s="27">
        <v>14</v>
      </c>
      <c r="G1045" s="17" t="s">
        <v>1064</v>
      </c>
      <c r="H1045" s="17" t="s">
        <v>2278</v>
      </c>
    </row>
    <row r="1046" spans="1:8" x14ac:dyDescent="0.25">
      <c r="A1046" s="16" t="s">
        <v>2279</v>
      </c>
      <c r="B1046" s="17" t="s">
        <v>254</v>
      </c>
      <c r="C1046" s="17" t="s">
        <v>3766</v>
      </c>
      <c r="D1046" s="17" t="s">
        <v>5205</v>
      </c>
      <c r="E1046" s="17">
        <v>53</v>
      </c>
      <c r="F1046" s="27">
        <v>14</v>
      </c>
      <c r="G1046" s="17" t="s">
        <v>1064</v>
      </c>
      <c r="H1046" s="17" t="s">
        <v>2280</v>
      </c>
    </row>
    <row r="1047" spans="1:8" x14ac:dyDescent="0.25">
      <c r="A1047" s="16" t="s">
        <v>2281</v>
      </c>
      <c r="B1047" s="17" t="s">
        <v>466</v>
      </c>
      <c r="C1047" s="17" t="s">
        <v>5206</v>
      </c>
      <c r="D1047" s="17" t="s">
        <v>5207</v>
      </c>
      <c r="E1047" s="17">
        <v>53</v>
      </c>
      <c r="F1047" s="27">
        <v>14</v>
      </c>
      <c r="G1047" s="17" t="s">
        <v>1064</v>
      </c>
      <c r="H1047" s="17" t="s">
        <v>2282</v>
      </c>
    </row>
    <row r="1048" spans="1:8" x14ac:dyDescent="0.25">
      <c r="A1048" s="16" t="s">
        <v>2283</v>
      </c>
      <c r="B1048" s="17" t="s">
        <v>261</v>
      </c>
      <c r="C1048" s="17" t="s">
        <v>3978</v>
      </c>
      <c r="D1048" s="17" t="s">
        <v>5208</v>
      </c>
      <c r="E1048" s="17">
        <v>53</v>
      </c>
      <c r="F1048" s="27">
        <v>14</v>
      </c>
      <c r="G1048" s="17" t="s">
        <v>1064</v>
      </c>
      <c r="H1048" s="17" t="s">
        <v>2284</v>
      </c>
    </row>
    <row r="1049" spans="1:8" x14ac:dyDescent="0.25">
      <c r="A1049" s="16" t="s">
        <v>2285</v>
      </c>
      <c r="B1049" s="17" t="s">
        <v>117</v>
      </c>
      <c r="C1049" s="17" t="s">
        <v>3766</v>
      </c>
      <c r="D1049" s="17" t="s">
        <v>5209</v>
      </c>
      <c r="E1049" s="17">
        <v>53</v>
      </c>
      <c r="F1049" s="27">
        <v>14</v>
      </c>
      <c r="G1049" s="17" t="s">
        <v>1064</v>
      </c>
      <c r="H1049" s="17" t="s">
        <v>2286</v>
      </c>
    </row>
    <row r="1050" spans="1:8" x14ac:dyDescent="0.25">
      <c r="A1050" s="16" t="s">
        <v>2287</v>
      </c>
      <c r="B1050" s="17" t="s">
        <v>157</v>
      </c>
      <c r="C1050" s="17" t="s">
        <v>5210</v>
      </c>
      <c r="D1050" s="17" t="s">
        <v>5211</v>
      </c>
      <c r="E1050" s="17">
        <v>54</v>
      </c>
      <c r="F1050" s="27">
        <v>19</v>
      </c>
      <c r="G1050" s="17" t="s">
        <v>2288</v>
      </c>
      <c r="H1050" s="17" t="s">
        <v>2288</v>
      </c>
    </row>
    <row r="1051" spans="1:8" x14ac:dyDescent="0.25">
      <c r="A1051" s="16" t="s">
        <v>2289</v>
      </c>
      <c r="B1051" s="17" t="s">
        <v>166</v>
      </c>
      <c r="C1051" s="17" t="s">
        <v>3814</v>
      </c>
      <c r="D1051" s="17" t="s">
        <v>5212</v>
      </c>
      <c r="E1051" s="17">
        <v>54</v>
      </c>
      <c r="F1051" s="27">
        <v>19</v>
      </c>
      <c r="G1051" s="17" t="s">
        <v>2288</v>
      </c>
      <c r="H1051" s="17" t="s">
        <v>2290</v>
      </c>
    </row>
    <row r="1052" spans="1:8" x14ac:dyDescent="0.25">
      <c r="A1052" s="16" t="s">
        <v>2291</v>
      </c>
      <c r="B1052" s="17" t="s">
        <v>129</v>
      </c>
      <c r="C1052" s="17" t="s">
        <v>3766</v>
      </c>
      <c r="D1052" s="17" t="s">
        <v>5213</v>
      </c>
      <c r="E1052" s="17">
        <v>54</v>
      </c>
      <c r="F1052" s="27">
        <v>19</v>
      </c>
      <c r="G1052" s="17" t="s">
        <v>2288</v>
      </c>
      <c r="H1052" s="17" t="s">
        <v>2292</v>
      </c>
    </row>
    <row r="1053" spans="1:8" x14ac:dyDescent="0.25">
      <c r="A1053" s="16" t="s">
        <v>2293</v>
      </c>
      <c r="B1053" s="17" t="s">
        <v>83</v>
      </c>
      <c r="C1053" s="17" t="s">
        <v>3766</v>
      </c>
      <c r="D1053" s="17" t="s">
        <v>5214</v>
      </c>
      <c r="E1053" s="17">
        <v>54</v>
      </c>
      <c r="F1053" s="27">
        <v>19</v>
      </c>
      <c r="G1053" s="17" t="s">
        <v>2288</v>
      </c>
      <c r="H1053" s="17" t="s">
        <v>2294</v>
      </c>
    </row>
    <row r="1054" spans="1:8" x14ac:dyDescent="0.25">
      <c r="A1054" s="16" t="s">
        <v>2295</v>
      </c>
      <c r="B1054" s="17" t="s">
        <v>135</v>
      </c>
      <c r="C1054" s="17" t="s">
        <v>4751</v>
      </c>
      <c r="D1054" s="17" t="s">
        <v>5215</v>
      </c>
      <c r="E1054" s="17">
        <v>54</v>
      </c>
      <c r="F1054" s="27">
        <v>19</v>
      </c>
      <c r="G1054" s="17" t="s">
        <v>2288</v>
      </c>
      <c r="H1054" s="17" t="s">
        <v>2296</v>
      </c>
    </row>
    <row r="1055" spans="1:8" x14ac:dyDescent="0.25">
      <c r="A1055" s="16" t="s">
        <v>2297</v>
      </c>
      <c r="B1055" s="17" t="s">
        <v>117</v>
      </c>
      <c r="C1055" s="17" t="s">
        <v>3766</v>
      </c>
      <c r="D1055" s="17" t="s">
        <v>5216</v>
      </c>
      <c r="E1055" s="17">
        <v>54</v>
      </c>
      <c r="F1055" s="27">
        <v>19</v>
      </c>
      <c r="G1055" s="17" t="s">
        <v>2288</v>
      </c>
      <c r="H1055" s="17" t="s">
        <v>2298</v>
      </c>
    </row>
    <row r="1056" spans="1:8" x14ac:dyDescent="0.25">
      <c r="A1056" s="16" t="s">
        <v>2299</v>
      </c>
      <c r="B1056" s="17" t="s">
        <v>652</v>
      </c>
      <c r="C1056" s="17" t="s">
        <v>5217</v>
      </c>
      <c r="D1056" s="17" t="s">
        <v>5218</v>
      </c>
      <c r="E1056" s="17">
        <v>54</v>
      </c>
      <c r="F1056" s="27">
        <v>19</v>
      </c>
      <c r="G1056" s="17" t="s">
        <v>2288</v>
      </c>
      <c r="H1056" s="17" t="s">
        <v>2300</v>
      </c>
    </row>
    <row r="1057" spans="1:8" x14ac:dyDescent="0.25">
      <c r="A1057" s="16" t="s">
        <v>2301</v>
      </c>
      <c r="B1057" s="17" t="s">
        <v>169</v>
      </c>
      <c r="C1057" s="17" t="s">
        <v>5219</v>
      </c>
      <c r="D1057" s="17" t="s">
        <v>5220</v>
      </c>
      <c r="E1057" s="17">
        <v>54</v>
      </c>
      <c r="F1057" s="27">
        <v>19</v>
      </c>
      <c r="G1057" s="17" t="s">
        <v>2288</v>
      </c>
      <c r="H1057" s="17" t="s">
        <v>2302</v>
      </c>
    </row>
    <row r="1058" spans="1:8" x14ac:dyDescent="0.25">
      <c r="A1058" s="16" t="s">
        <v>2303</v>
      </c>
      <c r="B1058" s="17" t="s">
        <v>2304</v>
      </c>
      <c r="C1058" s="17" t="s">
        <v>3766</v>
      </c>
      <c r="D1058" s="17" t="s">
        <v>5221</v>
      </c>
      <c r="E1058" s="17">
        <v>54</v>
      </c>
      <c r="F1058" s="27">
        <v>19</v>
      </c>
      <c r="G1058" s="17" t="s">
        <v>2288</v>
      </c>
      <c r="H1058" s="17" t="s">
        <v>947</v>
      </c>
    </row>
    <row r="1059" spans="1:8" x14ac:dyDescent="0.25">
      <c r="A1059" s="16" t="s">
        <v>2305</v>
      </c>
      <c r="B1059" s="17" t="s">
        <v>2306</v>
      </c>
      <c r="C1059" s="17" t="s">
        <v>3766</v>
      </c>
      <c r="D1059" s="17" t="s">
        <v>5222</v>
      </c>
      <c r="E1059" s="17">
        <v>54</v>
      </c>
      <c r="F1059" s="16">
        <v>19</v>
      </c>
      <c r="G1059" s="17" t="s">
        <v>2288</v>
      </c>
      <c r="H1059" s="17" t="s">
        <v>2307</v>
      </c>
    </row>
    <row r="1060" spans="1:8" x14ac:dyDescent="0.25">
      <c r="A1060" s="16" t="s">
        <v>2308</v>
      </c>
      <c r="B1060" s="17" t="s">
        <v>424</v>
      </c>
      <c r="C1060" s="17" t="s">
        <v>3766</v>
      </c>
      <c r="D1060" s="17" t="s">
        <v>5223</v>
      </c>
      <c r="E1060" s="17">
        <v>54</v>
      </c>
      <c r="F1060" s="27">
        <v>19</v>
      </c>
      <c r="G1060" s="17" t="s">
        <v>2288</v>
      </c>
      <c r="H1060" s="17" t="s">
        <v>2309</v>
      </c>
    </row>
    <row r="1061" spans="1:8" x14ac:dyDescent="0.25">
      <c r="A1061" s="16" t="s">
        <v>2310</v>
      </c>
      <c r="B1061" s="17" t="s">
        <v>443</v>
      </c>
      <c r="C1061" s="17" t="s">
        <v>3814</v>
      </c>
      <c r="D1061" s="17" t="s">
        <v>5224</v>
      </c>
      <c r="E1061" s="17">
        <v>54</v>
      </c>
      <c r="F1061" s="27">
        <v>19</v>
      </c>
      <c r="G1061" s="17" t="s">
        <v>2288</v>
      </c>
      <c r="H1061" s="17" t="s">
        <v>2311</v>
      </c>
    </row>
    <row r="1062" spans="1:8" x14ac:dyDescent="0.25">
      <c r="A1062" s="16" t="s">
        <v>2312</v>
      </c>
      <c r="B1062" s="17" t="s">
        <v>107</v>
      </c>
      <c r="C1062" s="17" t="s">
        <v>5225</v>
      </c>
      <c r="D1062" s="17" t="s">
        <v>5226</v>
      </c>
      <c r="E1062" s="17">
        <v>54</v>
      </c>
      <c r="F1062" s="27">
        <v>19</v>
      </c>
      <c r="G1062" s="17" t="s">
        <v>1507</v>
      </c>
      <c r="H1062" s="17" t="s">
        <v>2313</v>
      </c>
    </row>
    <row r="1063" spans="1:8" x14ac:dyDescent="0.25">
      <c r="A1063" s="16" t="s">
        <v>2314</v>
      </c>
      <c r="B1063" s="17" t="s">
        <v>2315</v>
      </c>
      <c r="C1063" s="17" t="s">
        <v>3766</v>
      </c>
      <c r="D1063" s="17" t="s">
        <v>5227</v>
      </c>
      <c r="E1063" s="17">
        <v>54</v>
      </c>
      <c r="F1063" s="27">
        <v>19</v>
      </c>
      <c r="G1063" s="17" t="s">
        <v>1507</v>
      </c>
      <c r="H1063" s="17" t="s">
        <v>2316</v>
      </c>
    </row>
    <row r="1064" spans="1:8" x14ac:dyDescent="0.25">
      <c r="A1064" s="16" t="s">
        <v>2317</v>
      </c>
      <c r="B1064" s="17" t="s">
        <v>301</v>
      </c>
      <c r="C1064" s="17" t="s">
        <v>3766</v>
      </c>
      <c r="D1064" s="17" t="s">
        <v>5228</v>
      </c>
      <c r="E1064" s="17">
        <v>54</v>
      </c>
      <c r="F1064" s="27">
        <v>19</v>
      </c>
      <c r="G1064" s="17" t="s">
        <v>1507</v>
      </c>
      <c r="H1064" s="17" t="s">
        <v>2318</v>
      </c>
    </row>
    <row r="1065" spans="1:8" x14ac:dyDescent="0.25">
      <c r="A1065" s="16" t="s">
        <v>2319</v>
      </c>
      <c r="B1065" s="17" t="s">
        <v>135</v>
      </c>
      <c r="C1065" s="17" t="s">
        <v>5229</v>
      </c>
      <c r="D1065" s="17" t="s">
        <v>5230</v>
      </c>
      <c r="E1065" s="17">
        <v>54</v>
      </c>
      <c r="F1065" s="27">
        <v>19</v>
      </c>
      <c r="G1065" s="17" t="s">
        <v>1507</v>
      </c>
      <c r="H1065" s="17" t="s">
        <v>2320</v>
      </c>
    </row>
    <row r="1066" spans="1:8" x14ac:dyDescent="0.25">
      <c r="A1066" s="16" t="s">
        <v>2321</v>
      </c>
      <c r="B1066" s="17" t="s">
        <v>77</v>
      </c>
      <c r="C1066" s="17" t="s">
        <v>5231</v>
      </c>
      <c r="D1066" s="17" t="s">
        <v>5232</v>
      </c>
      <c r="E1066" s="17">
        <v>54</v>
      </c>
      <c r="F1066" s="27">
        <v>19</v>
      </c>
      <c r="G1066" s="17" t="s">
        <v>1507</v>
      </c>
      <c r="H1066" s="17" t="s">
        <v>2322</v>
      </c>
    </row>
    <row r="1067" spans="1:8" x14ac:dyDescent="0.25">
      <c r="A1067" s="16" t="s">
        <v>2323</v>
      </c>
      <c r="B1067" s="17" t="s">
        <v>411</v>
      </c>
      <c r="C1067" s="17" t="s">
        <v>5233</v>
      </c>
      <c r="D1067" s="17" t="s">
        <v>5234</v>
      </c>
      <c r="E1067" s="17">
        <v>54</v>
      </c>
      <c r="F1067" s="27">
        <v>19</v>
      </c>
      <c r="G1067" s="17" t="s">
        <v>1507</v>
      </c>
      <c r="H1067" s="17" t="s">
        <v>2324</v>
      </c>
    </row>
    <row r="1068" spans="1:8" x14ac:dyDescent="0.25">
      <c r="A1068" s="16" t="s">
        <v>2325</v>
      </c>
      <c r="B1068" s="17" t="s">
        <v>77</v>
      </c>
      <c r="C1068" s="17" t="s">
        <v>5235</v>
      </c>
      <c r="D1068" s="17" t="s">
        <v>5236</v>
      </c>
      <c r="E1068" s="17">
        <v>54</v>
      </c>
      <c r="F1068" s="27">
        <v>19</v>
      </c>
      <c r="G1068" s="17" t="s">
        <v>1507</v>
      </c>
      <c r="H1068" s="17" t="s">
        <v>44</v>
      </c>
    </row>
    <row r="1069" spans="1:8" x14ac:dyDescent="0.25">
      <c r="A1069" s="16" t="s">
        <v>2326</v>
      </c>
      <c r="B1069" s="17" t="s">
        <v>671</v>
      </c>
      <c r="C1069" s="17" t="s">
        <v>5237</v>
      </c>
      <c r="D1069" s="17" t="s">
        <v>5238</v>
      </c>
      <c r="E1069" s="17">
        <v>54</v>
      </c>
      <c r="F1069" s="27">
        <v>19</v>
      </c>
      <c r="G1069" s="17" t="s">
        <v>1507</v>
      </c>
      <c r="H1069" s="17" t="s">
        <v>2327</v>
      </c>
    </row>
    <row r="1070" spans="1:8" x14ac:dyDescent="0.25">
      <c r="A1070" s="16" t="s">
        <v>2328</v>
      </c>
      <c r="B1070" s="17" t="s">
        <v>1507</v>
      </c>
      <c r="C1070" s="17" t="s">
        <v>5239</v>
      </c>
      <c r="D1070" s="17" t="s">
        <v>5240</v>
      </c>
      <c r="E1070" s="17">
        <v>54</v>
      </c>
      <c r="F1070" s="27">
        <v>19</v>
      </c>
      <c r="G1070" s="17" t="s">
        <v>1507</v>
      </c>
      <c r="H1070" s="17" t="s">
        <v>2329</v>
      </c>
    </row>
    <row r="1071" spans="1:8" x14ac:dyDescent="0.25">
      <c r="A1071" s="16" t="s">
        <v>2330</v>
      </c>
      <c r="B1071" s="17" t="s">
        <v>151</v>
      </c>
      <c r="C1071" s="17" t="s">
        <v>5235</v>
      </c>
      <c r="D1071" s="17" t="s">
        <v>5241</v>
      </c>
      <c r="E1071" s="17">
        <v>54</v>
      </c>
      <c r="F1071" s="27">
        <v>19</v>
      </c>
      <c r="G1071" s="17" t="s">
        <v>1507</v>
      </c>
      <c r="H1071" s="17" t="s">
        <v>2331</v>
      </c>
    </row>
    <row r="1072" spans="1:8" x14ac:dyDescent="0.25">
      <c r="A1072" s="16" t="s">
        <v>2332</v>
      </c>
      <c r="B1072" s="17" t="s">
        <v>138</v>
      </c>
      <c r="C1072" s="17" t="s">
        <v>5242</v>
      </c>
      <c r="D1072" s="17" t="s">
        <v>5243</v>
      </c>
      <c r="E1072" s="17">
        <v>54</v>
      </c>
      <c r="F1072" s="27">
        <v>19</v>
      </c>
      <c r="G1072" s="17" t="s">
        <v>1507</v>
      </c>
      <c r="H1072" s="17" t="s">
        <v>2333</v>
      </c>
    </row>
    <row r="1073" spans="1:8" x14ac:dyDescent="0.25">
      <c r="A1073" s="16" t="s">
        <v>2334</v>
      </c>
      <c r="B1073" s="17" t="s">
        <v>46</v>
      </c>
      <c r="C1073" s="17" t="s">
        <v>3766</v>
      </c>
      <c r="D1073" s="17" t="s">
        <v>5244</v>
      </c>
      <c r="E1073" s="17">
        <v>54</v>
      </c>
      <c r="F1073" s="27">
        <v>19</v>
      </c>
      <c r="G1073" s="17" t="s">
        <v>1507</v>
      </c>
      <c r="H1073" s="17" t="s">
        <v>2335</v>
      </c>
    </row>
    <row r="1074" spans="1:8" x14ac:dyDescent="0.25">
      <c r="A1074" s="16" t="s">
        <v>2336</v>
      </c>
      <c r="B1074" s="17" t="s">
        <v>254</v>
      </c>
      <c r="C1074" s="17" t="s">
        <v>5245</v>
      </c>
      <c r="D1074" s="17" t="s">
        <v>5246</v>
      </c>
      <c r="E1074" s="17">
        <v>54</v>
      </c>
      <c r="F1074" s="27">
        <v>19</v>
      </c>
      <c r="G1074" s="17" t="s">
        <v>1507</v>
      </c>
      <c r="H1074" s="17" t="s">
        <v>2337</v>
      </c>
    </row>
    <row r="1075" spans="1:8" x14ac:dyDescent="0.25">
      <c r="A1075" s="16" t="s">
        <v>2338</v>
      </c>
      <c r="B1075" s="17" t="s">
        <v>424</v>
      </c>
      <c r="C1075" s="17" t="s">
        <v>5247</v>
      </c>
      <c r="D1075" s="17" t="s">
        <v>5248</v>
      </c>
      <c r="E1075" s="17">
        <v>55</v>
      </c>
      <c r="F1075" s="16">
        <v>5</v>
      </c>
      <c r="G1075" s="17" t="s">
        <v>1013</v>
      </c>
      <c r="H1075" s="17" t="s">
        <v>2339</v>
      </c>
    </row>
    <row r="1076" spans="1:8" x14ac:dyDescent="0.25">
      <c r="A1076" s="16" t="s">
        <v>2340</v>
      </c>
      <c r="B1076" s="17" t="s">
        <v>151</v>
      </c>
      <c r="C1076" s="17" t="s">
        <v>4566</v>
      </c>
      <c r="D1076" s="17" t="s">
        <v>5249</v>
      </c>
      <c r="E1076" s="17">
        <v>55</v>
      </c>
      <c r="F1076" s="16">
        <v>5</v>
      </c>
      <c r="G1076" s="17" t="s">
        <v>2341</v>
      </c>
      <c r="H1076" s="17" t="s">
        <v>2341</v>
      </c>
    </row>
    <row r="1077" spans="1:8" x14ac:dyDescent="0.25">
      <c r="A1077" s="16" t="s">
        <v>2342</v>
      </c>
      <c r="B1077" s="17" t="s">
        <v>72</v>
      </c>
      <c r="C1077" s="17" t="s">
        <v>5250</v>
      </c>
      <c r="D1077" s="17" t="s">
        <v>5251</v>
      </c>
      <c r="E1077" s="17">
        <v>55</v>
      </c>
      <c r="F1077" s="16">
        <v>5</v>
      </c>
      <c r="G1077" s="17" t="s">
        <v>2341</v>
      </c>
      <c r="H1077" s="17" t="s">
        <v>2343</v>
      </c>
    </row>
    <row r="1078" spans="1:8" x14ac:dyDescent="0.25">
      <c r="A1078" s="16" t="s">
        <v>2344</v>
      </c>
      <c r="B1078" s="17" t="s">
        <v>153</v>
      </c>
      <c r="C1078" s="17" t="s">
        <v>3766</v>
      </c>
      <c r="D1078" s="17" t="s">
        <v>5252</v>
      </c>
      <c r="E1078" s="17">
        <v>55</v>
      </c>
      <c r="F1078" s="16">
        <v>5</v>
      </c>
      <c r="G1078" s="17" t="s">
        <v>2341</v>
      </c>
      <c r="H1078" s="17" t="s">
        <v>2345</v>
      </c>
    </row>
    <row r="1079" spans="1:8" x14ac:dyDescent="0.25">
      <c r="A1079" s="16" t="s">
        <v>2346</v>
      </c>
      <c r="B1079" s="17" t="s">
        <v>41</v>
      </c>
      <c r="C1079" s="17" t="s">
        <v>3766</v>
      </c>
      <c r="D1079" s="17" t="s">
        <v>5253</v>
      </c>
      <c r="E1079" s="17">
        <v>55</v>
      </c>
      <c r="F1079" s="16">
        <v>5</v>
      </c>
      <c r="G1079" s="17" t="s">
        <v>2341</v>
      </c>
      <c r="H1079" s="17" t="s">
        <v>2347</v>
      </c>
    </row>
    <row r="1080" spans="1:8" x14ac:dyDescent="0.25">
      <c r="A1080" s="16" t="s">
        <v>2348</v>
      </c>
      <c r="B1080" s="17" t="s">
        <v>41</v>
      </c>
      <c r="C1080" s="17" t="s">
        <v>3766</v>
      </c>
      <c r="D1080" s="17" t="s">
        <v>5254</v>
      </c>
      <c r="E1080" s="17">
        <v>55</v>
      </c>
      <c r="F1080" s="16">
        <v>5</v>
      </c>
      <c r="G1080" s="17" t="s">
        <v>2341</v>
      </c>
      <c r="H1080" s="17" t="s">
        <v>2349</v>
      </c>
    </row>
    <row r="1081" spans="1:8" x14ac:dyDescent="0.25">
      <c r="A1081" s="16" t="s">
        <v>2350</v>
      </c>
      <c r="B1081" s="17" t="s">
        <v>57</v>
      </c>
      <c r="C1081" s="17" t="s">
        <v>4971</v>
      </c>
      <c r="D1081" s="17" t="s">
        <v>5255</v>
      </c>
      <c r="E1081" s="17">
        <v>55</v>
      </c>
      <c r="F1081" s="16">
        <v>5</v>
      </c>
      <c r="G1081" s="17" t="s">
        <v>2341</v>
      </c>
      <c r="H1081" s="17" t="s">
        <v>2351</v>
      </c>
    </row>
    <row r="1082" spans="1:8" x14ac:dyDescent="0.25">
      <c r="A1082" s="16" t="s">
        <v>2352</v>
      </c>
      <c r="B1082" s="17" t="s">
        <v>23</v>
      </c>
      <c r="C1082" s="17" t="s">
        <v>3766</v>
      </c>
      <c r="D1082" s="17" t="s">
        <v>5256</v>
      </c>
      <c r="E1082" s="17">
        <v>55</v>
      </c>
      <c r="F1082" s="16">
        <v>5</v>
      </c>
      <c r="G1082" s="17" t="s">
        <v>2341</v>
      </c>
      <c r="H1082" s="17" t="s">
        <v>2353</v>
      </c>
    </row>
    <row r="1083" spans="1:8" x14ac:dyDescent="0.25">
      <c r="A1083" s="16" t="s">
        <v>2354</v>
      </c>
      <c r="B1083" s="17" t="s">
        <v>411</v>
      </c>
      <c r="C1083" s="17" t="s">
        <v>3871</v>
      </c>
      <c r="D1083" s="17" t="s">
        <v>5257</v>
      </c>
      <c r="E1083" s="17">
        <v>55</v>
      </c>
      <c r="F1083" s="16">
        <v>5</v>
      </c>
      <c r="G1083" s="17" t="s">
        <v>2341</v>
      </c>
      <c r="H1083" s="17" t="s">
        <v>2355</v>
      </c>
    </row>
    <row r="1084" spans="1:8" x14ac:dyDescent="0.25">
      <c r="A1084" s="16" t="s">
        <v>2356</v>
      </c>
      <c r="B1084" s="17" t="s">
        <v>157</v>
      </c>
      <c r="C1084" s="17" t="s">
        <v>3766</v>
      </c>
      <c r="D1084" s="17" t="s">
        <v>5258</v>
      </c>
      <c r="E1084" s="17">
        <v>55</v>
      </c>
      <c r="F1084" s="16">
        <v>5</v>
      </c>
      <c r="G1084" s="17" t="s">
        <v>2341</v>
      </c>
      <c r="H1084" s="17" t="s">
        <v>2357</v>
      </c>
    </row>
    <row r="1085" spans="1:8" x14ac:dyDescent="0.25">
      <c r="A1085" s="16" t="s">
        <v>2358</v>
      </c>
      <c r="B1085" s="17" t="s">
        <v>671</v>
      </c>
      <c r="C1085" s="17" t="s">
        <v>5259</v>
      </c>
      <c r="D1085" s="17" t="s">
        <v>5260</v>
      </c>
      <c r="E1085" s="17">
        <v>55</v>
      </c>
      <c r="F1085" s="16">
        <v>5</v>
      </c>
      <c r="G1085" s="17" t="s">
        <v>2341</v>
      </c>
      <c r="H1085" s="17" t="s">
        <v>2359</v>
      </c>
    </row>
    <row r="1086" spans="1:8" x14ac:dyDescent="0.25">
      <c r="A1086" s="16" t="s">
        <v>2360</v>
      </c>
      <c r="B1086" s="17" t="s">
        <v>49</v>
      </c>
      <c r="C1086" s="17" t="s">
        <v>3766</v>
      </c>
      <c r="D1086" s="17" t="s">
        <v>5261</v>
      </c>
      <c r="E1086" s="17">
        <v>55</v>
      </c>
      <c r="F1086" s="16">
        <v>5</v>
      </c>
      <c r="G1086" s="17" t="s">
        <v>2341</v>
      </c>
      <c r="H1086" s="17" t="s">
        <v>2280</v>
      </c>
    </row>
    <row r="1087" spans="1:8" x14ac:dyDescent="0.25">
      <c r="A1087" s="16" t="s">
        <v>2361</v>
      </c>
      <c r="B1087" s="17" t="s">
        <v>129</v>
      </c>
      <c r="C1087" s="17" t="s">
        <v>3766</v>
      </c>
      <c r="D1087" s="17" t="s">
        <v>5262</v>
      </c>
      <c r="E1087" s="17">
        <v>55</v>
      </c>
      <c r="F1087" s="16">
        <v>5</v>
      </c>
      <c r="G1087" s="17" t="s">
        <v>2341</v>
      </c>
      <c r="H1087" s="17" t="s">
        <v>2362</v>
      </c>
    </row>
    <row r="1088" spans="1:8" x14ac:dyDescent="0.25">
      <c r="A1088" s="16" t="s">
        <v>2363</v>
      </c>
      <c r="B1088" s="17" t="s">
        <v>123</v>
      </c>
      <c r="C1088" s="17" t="s">
        <v>3766</v>
      </c>
      <c r="D1088" s="17" t="s">
        <v>5263</v>
      </c>
      <c r="E1088" s="17">
        <v>55</v>
      </c>
      <c r="F1088" s="16">
        <v>5</v>
      </c>
      <c r="G1088" s="17" t="s">
        <v>2341</v>
      </c>
      <c r="H1088" s="17" t="s">
        <v>2364</v>
      </c>
    </row>
    <row r="1089" spans="1:8" x14ac:dyDescent="0.25">
      <c r="A1089" s="16" t="s">
        <v>2365</v>
      </c>
      <c r="B1089" s="17" t="s">
        <v>107</v>
      </c>
      <c r="C1089" s="17" t="s">
        <v>3766</v>
      </c>
      <c r="D1089" s="17" t="s">
        <v>5264</v>
      </c>
      <c r="E1089" s="17">
        <v>55</v>
      </c>
      <c r="F1089" s="16">
        <v>5</v>
      </c>
      <c r="G1089" s="17" t="s">
        <v>2341</v>
      </c>
      <c r="H1089" s="17" t="s">
        <v>515</v>
      </c>
    </row>
    <row r="1090" spans="1:8" x14ac:dyDescent="0.25">
      <c r="A1090" s="16" t="s">
        <v>2366</v>
      </c>
      <c r="B1090" s="17" t="s">
        <v>120</v>
      </c>
      <c r="C1090" s="17" t="s">
        <v>3766</v>
      </c>
      <c r="D1090" s="17" t="s">
        <v>5265</v>
      </c>
      <c r="E1090" s="17">
        <v>55</v>
      </c>
      <c r="F1090" s="16">
        <v>5</v>
      </c>
      <c r="G1090" s="17" t="s">
        <v>2341</v>
      </c>
      <c r="H1090" s="17" t="s">
        <v>2367</v>
      </c>
    </row>
    <row r="1091" spans="1:8" x14ac:dyDescent="0.25">
      <c r="A1091" s="16" t="s">
        <v>2368</v>
      </c>
      <c r="B1091" s="17" t="s">
        <v>80</v>
      </c>
      <c r="C1091" s="17" t="s">
        <v>3766</v>
      </c>
      <c r="D1091" s="17" t="s">
        <v>5266</v>
      </c>
      <c r="E1091" s="17">
        <v>55</v>
      </c>
      <c r="F1091" s="16">
        <v>5</v>
      </c>
      <c r="G1091" s="17" t="s">
        <v>2341</v>
      </c>
      <c r="H1091" s="17" t="s">
        <v>2369</v>
      </c>
    </row>
    <row r="1092" spans="1:8" x14ac:dyDescent="0.25">
      <c r="A1092" s="16" t="s">
        <v>2370</v>
      </c>
      <c r="B1092" s="17" t="s">
        <v>117</v>
      </c>
      <c r="C1092" s="17" t="s">
        <v>3766</v>
      </c>
      <c r="D1092" s="17" t="s">
        <v>5267</v>
      </c>
      <c r="E1092" s="17">
        <v>55</v>
      </c>
      <c r="F1092" s="16">
        <v>5</v>
      </c>
      <c r="G1092" s="17" t="s">
        <v>2341</v>
      </c>
      <c r="H1092" s="17" t="s">
        <v>2371</v>
      </c>
    </row>
    <row r="1093" spans="1:8" x14ac:dyDescent="0.25">
      <c r="A1093" s="16" t="s">
        <v>2372</v>
      </c>
      <c r="B1093" s="17" t="s">
        <v>261</v>
      </c>
      <c r="C1093" s="17" t="s">
        <v>3766</v>
      </c>
      <c r="D1093" s="17" t="s">
        <v>5268</v>
      </c>
      <c r="E1093" s="17">
        <v>55</v>
      </c>
      <c r="F1093" s="16">
        <v>5</v>
      </c>
      <c r="G1093" s="17" t="s">
        <v>2341</v>
      </c>
      <c r="H1093" s="17" t="s">
        <v>2373</v>
      </c>
    </row>
    <row r="1094" spans="1:8" x14ac:dyDescent="0.25">
      <c r="A1094" s="16" t="s">
        <v>2374</v>
      </c>
      <c r="B1094" s="17" t="s">
        <v>46</v>
      </c>
      <c r="C1094" s="17" t="s">
        <v>3766</v>
      </c>
      <c r="D1094" s="17" t="s">
        <v>5269</v>
      </c>
      <c r="E1094" s="17">
        <v>55</v>
      </c>
      <c r="F1094" s="16">
        <v>5</v>
      </c>
      <c r="G1094" s="17" t="s">
        <v>2341</v>
      </c>
      <c r="H1094" s="17" t="s">
        <v>693</v>
      </c>
    </row>
    <row r="1095" spans="1:8" x14ac:dyDescent="0.25">
      <c r="A1095" s="16" t="s">
        <v>2375</v>
      </c>
      <c r="B1095" s="17" t="s">
        <v>135</v>
      </c>
      <c r="C1095" s="17" t="s">
        <v>5270</v>
      </c>
      <c r="D1095" s="17" t="s">
        <v>5271</v>
      </c>
      <c r="E1095" s="17">
        <v>55</v>
      </c>
      <c r="F1095" s="16">
        <v>5</v>
      </c>
      <c r="G1095" s="17" t="s">
        <v>1637</v>
      </c>
      <c r="H1095" s="17" t="s">
        <v>2376</v>
      </c>
    </row>
    <row r="1096" spans="1:8" x14ac:dyDescent="0.25">
      <c r="A1096" s="16" t="s">
        <v>2377</v>
      </c>
      <c r="B1096" s="17" t="s">
        <v>254</v>
      </c>
      <c r="C1096" s="17" t="s">
        <v>3766</v>
      </c>
      <c r="D1096" s="17" t="s">
        <v>4261</v>
      </c>
      <c r="E1096" s="17">
        <v>55</v>
      </c>
      <c r="F1096" s="16">
        <v>5</v>
      </c>
      <c r="G1096" s="17" t="s">
        <v>1637</v>
      </c>
      <c r="H1096" s="17" t="s">
        <v>2378</v>
      </c>
    </row>
    <row r="1097" spans="1:8" x14ac:dyDescent="0.25">
      <c r="A1097" s="16" t="s">
        <v>2379</v>
      </c>
      <c r="B1097" s="17" t="s">
        <v>2380</v>
      </c>
      <c r="C1097" s="17" t="s">
        <v>3766</v>
      </c>
      <c r="D1097" s="17" t="s">
        <v>5272</v>
      </c>
      <c r="E1097" s="17">
        <v>55</v>
      </c>
      <c r="F1097" s="16">
        <v>5</v>
      </c>
      <c r="G1097" s="17" t="s">
        <v>1637</v>
      </c>
      <c r="H1097" s="17" t="s">
        <v>2381</v>
      </c>
    </row>
    <row r="1098" spans="1:8" x14ac:dyDescent="0.25">
      <c r="A1098" s="16" t="s">
        <v>2382</v>
      </c>
      <c r="B1098" s="17" t="s">
        <v>466</v>
      </c>
      <c r="C1098" s="17" t="s">
        <v>5273</v>
      </c>
      <c r="D1098" s="17" t="s">
        <v>5274</v>
      </c>
      <c r="E1098" s="17">
        <v>56</v>
      </c>
      <c r="F1098" s="16">
        <v>5</v>
      </c>
      <c r="G1098" s="17" t="s">
        <v>1077</v>
      </c>
      <c r="H1098" s="17" t="s">
        <v>1077</v>
      </c>
    </row>
    <row r="1099" spans="1:8" x14ac:dyDescent="0.25">
      <c r="A1099" s="16" t="s">
        <v>2383</v>
      </c>
      <c r="B1099" s="17" t="s">
        <v>254</v>
      </c>
      <c r="C1099" s="17" t="s">
        <v>5275</v>
      </c>
      <c r="D1099" s="17" t="s">
        <v>5276</v>
      </c>
      <c r="E1099" s="17">
        <v>56</v>
      </c>
      <c r="F1099" s="16">
        <v>5</v>
      </c>
      <c r="G1099" s="17" t="s">
        <v>1612</v>
      </c>
      <c r="H1099" s="17" t="s">
        <v>1612</v>
      </c>
    </row>
    <row r="1100" spans="1:8" x14ac:dyDescent="0.25">
      <c r="A1100" s="16" t="s">
        <v>2384</v>
      </c>
      <c r="B1100" s="17" t="s">
        <v>107</v>
      </c>
      <c r="C1100" s="17" t="s">
        <v>3766</v>
      </c>
      <c r="D1100" s="17" t="s">
        <v>5277</v>
      </c>
      <c r="E1100" s="17">
        <v>56</v>
      </c>
      <c r="F1100" s="16">
        <v>5</v>
      </c>
      <c r="G1100" s="17" t="s">
        <v>1612</v>
      </c>
      <c r="H1100" s="17" t="s">
        <v>2385</v>
      </c>
    </row>
    <row r="1101" spans="1:8" x14ac:dyDescent="0.25">
      <c r="A1101" s="16" t="s">
        <v>2386</v>
      </c>
      <c r="B1101" s="17" t="s">
        <v>41</v>
      </c>
      <c r="C1101" s="17" t="s">
        <v>5278</v>
      </c>
      <c r="D1101" s="17" t="s">
        <v>5279</v>
      </c>
      <c r="E1101" s="17">
        <v>56</v>
      </c>
      <c r="F1101" s="16">
        <v>5</v>
      </c>
      <c r="G1101" s="17" t="s">
        <v>1620</v>
      </c>
      <c r="H1101" s="17" t="s">
        <v>1620</v>
      </c>
    </row>
    <row r="1102" spans="1:8" x14ac:dyDescent="0.25">
      <c r="A1102" s="16" t="s">
        <v>2387</v>
      </c>
      <c r="B1102" s="17" t="s">
        <v>135</v>
      </c>
      <c r="C1102" s="17" t="s">
        <v>3766</v>
      </c>
      <c r="D1102" s="17" t="s">
        <v>5280</v>
      </c>
      <c r="E1102" s="17">
        <v>56</v>
      </c>
      <c r="F1102" s="16">
        <v>5</v>
      </c>
      <c r="G1102" s="17" t="s">
        <v>1620</v>
      </c>
      <c r="H1102" s="17" t="s">
        <v>2388</v>
      </c>
    </row>
    <row r="1103" spans="1:8" x14ac:dyDescent="0.25">
      <c r="A1103" s="16" t="s">
        <v>2389</v>
      </c>
      <c r="B1103" s="17" t="s">
        <v>2390</v>
      </c>
      <c r="C1103" s="17" t="s">
        <v>3766</v>
      </c>
      <c r="D1103" s="17" t="s">
        <v>5281</v>
      </c>
      <c r="E1103" s="17">
        <v>56</v>
      </c>
      <c r="F1103" s="16">
        <v>5</v>
      </c>
      <c r="G1103" s="17" t="s">
        <v>1620</v>
      </c>
      <c r="H1103" s="17" t="s">
        <v>2391</v>
      </c>
    </row>
    <row r="1104" spans="1:8" x14ac:dyDescent="0.25">
      <c r="A1104" s="16" t="s">
        <v>2392</v>
      </c>
      <c r="B1104" s="17" t="s">
        <v>828</v>
      </c>
      <c r="C1104" s="17" t="s">
        <v>3766</v>
      </c>
      <c r="D1104" s="17" t="s">
        <v>5282</v>
      </c>
      <c r="E1104" s="17">
        <v>56</v>
      </c>
      <c r="F1104" s="16">
        <v>5</v>
      </c>
      <c r="G1104" s="17" t="s">
        <v>1620</v>
      </c>
      <c r="H1104" s="17" t="s">
        <v>1031</v>
      </c>
    </row>
    <row r="1105" spans="1:8" x14ac:dyDescent="0.25">
      <c r="A1105" s="16" t="s">
        <v>2393</v>
      </c>
      <c r="B1105" s="17" t="s">
        <v>80</v>
      </c>
      <c r="C1105" s="17" t="s">
        <v>3766</v>
      </c>
      <c r="D1105" s="17" t="s">
        <v>5283</v>
      </c>
      <c r="E1105" s="17">
        <v>56</v>
      </c>
      <c r="F1105" s="16">
        <v>5</v>
      </c>
      <c r="G1105" s="17" t="s">
        <v>1085</v>
      </c>
      <c r="H1105" s="17" t="s">
        <v>2394</v>
      </c>
    </row>
    <row r="1106" spans="1:8" x14ac:dyDescent="0.25">
      <c r="A1106" s="16" t="s">
        <v>2395</v>
      </c>
      <c r="B1106" s="17" t="s">
        <v>2396</v>
      </c>
      <c r="C1106" s="17" t="s">
        <v>3766</v>
      </c>
      <c r="D1106" s="17" t="s">
        <v>5284</v>
      </c>
      <c r="E1106" s="17">
        <v>56</v>
      </c>
      <c r="F1106" s="16">
        <v>5</v>
      </c>
      <c r="G1106" s="17" t="s">
        <v>1085</v>
      </c>
      <c r="H1106" s="17" t="s">
        <v>2397</v>
      </c>
    </row>
    <row r="1107" spans="1:8" x14ac:dyDescent="0.25">
      <c r="A1107" s="16" t="s">
        <v>2398</v>
      </c>
      <c r="B1107" s="17" t="s">
        <v>120</v>
      </c>
      <c r="C1107" s="17" t="s">
        <v>3766</v>
      </c>
      <c r="D1107" s="17" t="s">
        <v>5285</v>
      </c>
      <c r="E1107" s="17">
        <v>56</v>
      </c>
      <c r="F1107" s="16">
        <v>5</v>
      </c>
      <c r="G1107" s="17" t="s">
        <v>1085</v>
      </c>
      <c r="H1107" s="17" t="s">
        <v>2399</v>
      </c>
    </row>
    <row r="1108" spans="1:8" x14ac:dyDescent="0.25">
      <c r="A1108" s="16" t="s">
        <v>2400</v>
      </c>
      <c r="B1108" s="17" t="s">
        <v>163</v>
      </c>
      <c r="C1108" s="17" t="s">
        <v>3766</v>
      </c>
      <c r="D1108" s="17" t="s">
        <v>5286</v>
      </c>
      <c r="E1108" s="17">
        <v>56</v>
      </c>
      <c r="F1108" s="16">
        <v>5</v>
      </c>
      <c r="G1108" s="17" t="s">
        <v>1085</v>
      </c>
      <c r="H1108" s="17" t="s">
        <v>2401</v>
      </c>
    </row>
    <row r="1109" spans="1:8" x14ac:dyDescent="0.25">
      <c r="A1109" s="16" t="s">
        <v>2402</v>
      </c>
      <c r="B1109" s="17" t="s">
        <v>129</v>
      </c>
      <c r="C1109" s="17" t="s">
        <v>3766</v>
      </c>
      <c r="D1109" s="17" t="s">
        <v>5287</v>
      </c>
      <c r="E1109" s="17">
        <v>56</v>
      </c>
      <c r="F1109" s="16">
        <v>5</v>
      </c>
      <c r="G1109" s="17" t="s">
        <v>1085</v>
      </c>
      <c r="H1109" s="17" t="s">
        <v>2403</v>
      </c>
    </row>
    <row r="1110" spans="1:8" x14ac:dyDescent="0.25">
      <c r="A1110" s="16" t="s">
        <v>2404</v>
      </c>
      <c r="B1110" s="17" t="s">
        <v>138</v>
      </c>
      <c r="C1110" s="17" t="s">
        <v>3766</v>
      </c>
      <c r="D1110" s="17" t="s">
        <v>5288</v>
      </c>
      <c r="E1110" s="17">
        <v>56</v>
      </c>
      <c r="F1110" s="16">
        <v>5</v>
      </c>
      <c r="G1110" s="17" t="s">
        <v>1085</v>
      </c>
      <c r="H1110" s="17" t="s">
        <v>2405</v>
      </c>
    </row>
    <row r="1111" spans="1:8" x14ac:dyDescent="0.25">
      <c r="A1111" s="16" t="s">
        <v>2406</v>
      </c>
      <c r="B1111" s="17" t="s">
        <v>480</v>
      </c>
      <c r="C1111" s="17" t="s">
        <v>3766</v>
      </c>
      <c r="D1111" s="17" t="s">
        <v>5289</v>
      </c>
      <c r="E1111" s="17">
        <v>56</v>
      </c>
      <c r="F1111" s="16">
        <v>5</v>
      </c>
      <c r="G1111" s="17" t="s">
        <v>1085</v>
      </c>
      <c r="H1111" s="17" t="s">
        <v>77</v>
      </c>
    </row>
    <row r="1112" spans="1:8" x14ac:dyDescent="0.25">
      <c r="A1112" s="16" t="s">
        <v>2407</v>
      </c>
      <c r="B1112" s="17" t="s">
        <v>46</v>
      </c>
      <c r="C1112" s="17" t="s">
        <v>3956</v>
      </c>
      <c r="D1112" s="17" t="s">
        <v>5290</v>
      </c>
      <c r="E1112" s="17">
        <v>56</v>
      </c>
      <c r="F1112" s="16">
        <v>5</v>
      </c>
      <c r="G1112" s="17" t="s">
        <v>1085</v>
      </c>
      <c r="H1112" s="17" t="s">
        <v>2408</v>
      </c>
    </row>
    <row r="1113" spans="1:8" x14ac:dyDescent="0.25">
      <c r="A1113" s="16" t="s">
        <v>2409</v>
      </c>
      <c r="B1113" s="17" t="s">
        <v>1816</v>
      </c>
      <c r="C1113" s="17" t="s">
        <v>3766</v>
      </c>
      <c r="D1113" s="17" t="s">
        <v>5291</v>
      </c>
      <c r="E1113" s="17">
        <v>56</v>
      </c>
      <c r="F1113" s="16">
        <v>5</v>
      </c>
      <c r="G1113" s="17" t="s">
        <v>1085</v>
      </c>
      <c r="H1113" s="17" t="s">
        <v>2410</v>
      </c>
    </row>
    <row r="1114" spans="1:8" x14ac:dyDescent="0.25">
      <c r="A1114" s="16" t="s">
        <v>2411</v>
      </c>
      <c r="B1114" s="17" t="s">
        <v>151</v>
      </c>
      <c r="C1114" s="17" t="s">
        <v>3766</v>
      </c>
      <c r="D1114" s="17" t="s">
        <v>5292</v>
      </c>
      <c r="E1114" s="17">
        <v>56</v>
      </c>
      <c r="F1114" s="16">
        <v>5</v>
      </c>
      <c r="G1114" s="17" t="s">
        <v>1085</v>
      </c>
      <c r="H1114" s="17" t="s">
        <v>2412</v>
      </c>
    </row>
    <row r="1115" spans="1:8" x14ac:dyDescent="0.25">
      <c r="A1115" s="16" t="s">
        <v>2413</v>
      </c>
      <c r="B1115" s="17" t="s">
        <v>138</v>
      </c>
      <c r="C1115" s="17" t="s">
        <v>3766</v>
      </c>
      <c r="D1115" s="17" t="s">
        <v>5293</v>
      </c>
      <c r="E1115" s="17">
        <v>56</v>
      </c>
      <c r="F1115" s="16">
        <v>5</v>
      </c>
      <c r="G1115" s="17" t="s">
        <v>1085</v>
      </c>
      <c r="H1115" s="17" t="s">
        <v>430</v>
      </c>
    </row>
    <row r="1116" spans="1:8" x14ac:dyDescent="0.25">
      <c r="A1116" s="16" t="s">
        <v>2414</v>
      </c>
      <c r="B1116" s="17" t="s">
        <v>80</v>
      </c>
      <c r="C1116" s="17" t="s">
        <v>3766</v>
      </c>
      <c r="D1116" s="17" t="s">
        <v>5294</v>
      </c>
      <c r="E1116" s="17">
        <v>56</v>
      </c>
      <c r="F1116" s="16">
        <v>5</v>
      </c>
      <c r="G1116" s="17" t="s">
        <v>1085</v>
      </c>
      <c r="H1116" s="17" t="s">
        <v>2415</v>
      </c>
    </row>
    <row r="1117" spans="1:8" x14ac:dyDescent="0.25">
      <c r="A1117" s="16" t="s">
        <v>2416</v>
      </c>
      <c r="B1117" s="17" t="s">
        <v>129</v>
      </c>
      <c r="C1117" s="17" t="s">
        <v>3766</v>
      </c>
      <c r="D1117" s="17" t="s">
        <v>5295</v>
      </c>
      <c r="E1117" s="17">
        <v>56</v>
      </c>
      <c r="F1117" s="16">
        <v>5</v>
      </c>
      <c r="G1117" s="17" t="s">
        <v>1085</v>
      </c>
      <c r="H1117" s="17" t="s">
        <v>2417</v>
      </c>
    </row>
    <row r="1118" spans="1:8" x14ac:dyDescent="0.25">
      <c r="A1118" s="16" t="s">
        <v>2418</v>
      </c>
      <c r="B1118" s="17" t="s">
        <v>1478</v>
      </c>
      <c r="C1118" s="17" t="s">
        <v>3766</v>
      </c>
      <c r="D1118" s="17" t="s">
        <v>5296</v>
      </c>
      <c r="E1118" s="17">
        <v>56</v>
      </c>
      <c r="F1118" s="16">
        <v>5</v>
      </c>
      <c r="G1118" s="17" t="s">
        <v>1085</v>
      </c>
      <c r="H1118" s="17" t="s">
        <v>2419</v>
      </c>
    </row>
    <row r="1119" spans="1:8" x14ac:dyDescent="0.25">
      <c r="A1119" s="16" t="s">
        <v>2420</v>
      </c>
      <c r="B1119" s="17" t="s">
        <v>1311</v>
      </c>
      <c r="C1119" s="17" t="s">
        <v>3766</v>
      </c>
      <c r="D1119" s="17" t="s">
        <v>5297</v>
      </c>
      <c r="E1119" s="17">
        <v>56</v>
      </c>
      <c r="F1119" s="16">
        <v>5</v>
      </c>
      <c r="G1119" s="17" t="s">
        <v>1085</v>
      </c>
      <c r="H1119" s="17" t="s">
        <v>2421</v>
      </c>
    </row>
    <row r="1120" spans="1:8" x14ac:dyDescent="0.25">
      <c r="A1120" s="16" t="s">
        <v>2422</v>
      </c>
      <c r="B1120" s="17" t="s">
        <v>1012</v>
      </c>
      <c r="C1120" s="17" t="s">
        <v>3766</v>
      </c>
      <c r="D1120" s="17" t="s">
        <v>5298</v>
      </c>
      <c r="E1120" s="17">
        <v>56</v>
      </c>
      <c r="F1120" s="16">
        <v>5</v>
      </c>
      <c r="G1120" s="17" t="s">
        <v>1085</v>
      </c>
      <c r="H1120" s="17" t="s">
        <v>2423</v>
      </c>
    </row>
    <row r="1121" spans="1:8" x14ac:dyDescent="0.25">
      <c r="A1121" s="16" t="s">
        <v>2424</v>
      </c>
      <c r="B1121" s="17" t="s">
        <v>970</v>
      </c>
      <c r="C1121" s="17" t="s">
        <v>3766</v>
      </c>
      <c r="D1121" s="17" t="s">
        <v>5299</v>
      </c>
      <c r="E1121" s="17">
        <v>56</v>
      </c>
      <c r="F1121" s="16">
        <v>5</v>
      </c>
      <c r="G1121" s="17" t="s">
        <v>1085</v>
      </c>
      <c r="H1121" s="17" t="s">
        <v>2425</v>
      </c>
    </row>
    <row r="1122" spans="1:8" x14ac:dyDescent="0.25">
      <c r="A1122" s="16" t="s">
        <v>2426</v>
      </c>
      <c r="B1122" s="17" t="s">
        <v>261</v>
      </c>
      <c r="C1122" s="17" t="s">
        <v>5300</v>
      </c>
      <c r="D1122" s="17" t="s">
        <v>5301</v>
      </c>
      <c r="E1122" s="17">
        <v>57</v>
      </c>
      <c r="F1122" s="16">
        <v>9</v>
      </c>
      <c r="G1122" s="17" t="s">
        <v>435</v>
      </c>
      <c r="H1122" s="17" t="s">
        <v>435</v>
      </c>
    </row>
    <row r="1123" spans="1:8" x14ac:dyDescent="0.25">
      <c r="A1123" s="16" t="s">
        <v>2427</v>
      </c>
      <c r="B1123" s="17" t="s">
        <v>2428</v>
      </c>
      <c r="C1123" s="17" t="s">
        <v>4670</v>
      </c>
      <c r="D1123" s="17" t="s">
        <v>5302</v>
      </c>
      <c r="E1123" s="17">
        <v>57</v>
      </c>
      <c r="F1123" s="16">
        <v>9</v>
      </c>
      <c r="G1123" s="17" t="s">
        <v>435</v>
      </c>
      <c r="H1123" s="17" t="s">
        <v>435</v>
      </c>
    </row>
    <row r="1124" spans="1:8" x14ac:dyDescent="0.25">
      <c r="A1124" s="16" t="s">
        <v>2429</v>
      </c>
      <c r="B1124" s="17" t="s">
        <v>1311</v>
      </c>
      <c r="C1124" s="17" t="s">
        <v>5303</v>
      </c>
      <c r="D1124" s="17" t="s">
        <v>5304</v>
      </c>
      <c r="E1124" s="17">
        <v>57</v>
      </c>
      <c r="F1124" s="16">
        <v>9</v>
      </c>
      <c r="G1124" s="17" t="s">
        <v>435</v>
      </c>
      <c r="H1124" s="17" t="s">
        <v>2430</v>
      </c>
    </row>
    <row r="1125" spans="1:8" x14ac:dyDescent="0.25">
      <c r="A1125" s="16" t="s">
        <v>2431</v>
      </c>
      <c r="B1125" s="17" t="s">
        <v>2432</v>
      </c>
      <c r="C1125" s="17" t="s">
        <v>5305</v>
      </c>
      <c r="D1125" s="17" t="s">
        <v>5306</v>
      </c>
      <c r="E1125" s="17">
        <v>57</v>
      </c>
      <c r="F1125" s="16">
        <v>9</v>
      </c>
      <c r="G1125" s="17" t="s">
        <v>435</v>
      </c>
      <c r="H1125" s="17" t="s">
        <v>2433</v>
      </c>
    </row>
    <row r="1126" spans="1:8" x14ac:dyDescent="0.25">
      <c r="A1126" s="16" t="s">
        <v>2434</v>
      </c>
      <c r="B1126" s="17" t="s">
        <v>517</v>
      </c>
      <c r="C1126" s="17" t="s">
        <v>5307</v>
      </c>
      <c r="D1126" s="17" t="s">
        <v>5308</v>
      </c>
      <c r="E1126" s="17">
        <v>57</v>
      </c>
      <c r="F1126" s="16">
        <v>9</v>
      </c>
      <c r="G1126" s="17" t="s">
        <v>435</v>
      </c>
      <c r="H1126" s="17" t="s">
        <v>2435</v>
      </c>
    </row>
    <row r="1127" spans="1:8" x14ac:dyDescent="0.25">
      <c r="A1127" s="16" t="s">
        <v>2436</v>
      </c>
      <c r="B1127" s="17" t="s">
        <v>195</v>
      </c>
      <c r="C1127" s="17" t="s">
        <v>5309</v>
      </c>
      <c r="D1127" s="17" t="s">
        <v>5310</v>
      </c>
      <c r="E1127" s="17">
        <v>57</v>
      </c>
      <c r="F1127" s="16">
        <v>9</v>
      </c>
      <c r="G1127" s="17" t="s">
        <v>435</v>
      </c>
      <c r="H1127" s="17" t="s">
        <v>2437</v>
      </c>
    </row>
    <row r="1128" spans="1:8" x14ac:dyDescent="0.25">
      <c r="A1128" s="16" t="s">
        <v>2438</v>
      </c>
      <c r="B1128" s="17" t="s">
        <v>132</v>
      </c>
      <c r="C1128" s="17" t="s">
        <v>5311</v>
      </c>
      <c r="D1128" s="17" t="s">
        <v>5312</v>
      </c>
      <c r="E1128" s="17">
        <v>57</v>
      </c>
      <c r="F1128" s="16">
        <v>9</v>
      </c>
      <c r="G1128" s="17" t="s">
        <v>435</v>
      </c>
      <c r="H1128" s="17" t="s">
        <v>2439</v>
      </c>
    </row>
    <row r="1129" spans="1:8" x14ac:dyDescent="0.25">
      <c r="A1129" s="16" t="s">
        <v>2440</v>
      </c>
      <c r="B1129" s="17" t="s">
        <v>103</v>
      </c>
      <c r="C1129" s="17" t="s">
        <v>5313</v>
      </c>
      <c r="D1129" s="17" t="s">
        <v>5314</v>
      </c>
      <c r="E1129" s="17">
        <v>57</v>
      </c>
      <c r="F1129" s="16">
        <v>9</v>
      </c>
      <c r="G1129" s="17" t="s">
        <v>435</v>
      </c>
      <c r="H1129" s="17" t="s">
        <v>2441</v>
      </c>
    </row>
    <row r="1130" spans="1:8" x14ac:dyDescent="0.25">
      <c r="A1130" s="16" t="s">
        <v>2442</v>
      </c>
      <c r="B1130" s="17" t="s">
        <v>151</v>
      </c>
      <c r="C1130" s="17" t="s">
        <v>5094</v>
      </c>
      <c r="D1130" s="17" t="s">
        <v>5315</v>
      </c>
      <c r="E1130" s="17">
        <v>57</v>
      </c>
      <c r="F1130" s="16">
        <v>9</v>
      </c>
      <c r="G1130" s="17" t="s">
        <v>435</v>
      </c>
      <c r="H1130" s="17" t="s">
        <v>2443</v>
      </c>
    </row>
    <row r="1131" spans="1:8" x14ac:dyDescent="0.25">
      <c r="A1131" s="16" t="s">
        <v>2444</v>
      </c>
      <c r="B1131" s="17" t="s">
        <v>23</v>
      </c>
      <c r="C1131" s="17" t="s">
        <v>5316</v>
      </c>
      <c r="D1131" s="17" t="s">
        <v>5317</v>
      </c>
      <c r="E1131" s="17">
        <v>57</v>
      </c>
      <c r="F1131" s="16">
        <v>9</v>
      </c>
      <c r="G1131" s="17" t="s">
        <v>435</v>
      </c>
      <c r="H1131" s="17" t="s">
        <v>2445</v>
      </c>
    </row>
    <row r="1132" spans="1:8" x14ac:dyDescent="0.25">
      <c r="A1132" s="16" t="s">
        <v>2446</v>
      </c>
      <c r="B1132" s="17" t="s">
        <v>57</v>
      </c>
      <c r="C1132" s="17" t="s">
        <v>5318</v>
      </c>
      <c r="D1132" s="17" t="s">
        <v>5319</v>
      </c>
      <c r="E1132" s="17">
        <v>57</v>
      </c>
      <c r="F1132" s="16">
        <v>9</v>
      </c>
      <c r="G1132" s="17" t="s">
        <v>435</v>
      </c>
      <c r="H1132" s="17" t="s">
        <v>2447</v>
      </c>
    </row>
    <row r="1133" spans="1:8" x14ac:dyDescent="0.25">
      <c r="A1133" s="16" t="s">
        <v>2448</v>
      </c>
      <c r="B1133" s="17" t="s">
        <v>63</v>
      </c>
      <c r="C1133" s="17" t="s">
        <v>4112</v>
      </c>
      <c r="D1133" s="17" t="s">
        <v>5320</v>
      </c>
      <c r="E1133" s="17">
        <v>57</v>
      </c>
      <c r="F1133" s="16">
        <v>9</v>
      </c>
      <c r="G1133" s="17" t="s">
        <v>435</v>
      </c>
      <c r="H1133" s="17" t="s">
        <v>2449</v>
      </c>
    </row>
    <row r="1134" spans="1:8" x14ac:dyDescent="0.25">
      <c r="A1134" s="16" t="s">
        <v>2450</v>
      </c>
      <c r="B1134" s="17" t="s">
        <v>440</v>
      </c>
      <c r="C1134" s="17" t="s">
        <v>5321</v>
      </c>
      <c r="D1134" s="17" t="s">
        <v>5322</v>
      </c>
      <c r="E1134" s="17">
        <v>57</v>
      </c>
      <c r="F1134" s="16">
        <v>9</v>
      </c>
      <c r="G1134" s="17" t="s">
        <v>435</v>
      </c>
      <c r="H1134" s="17" t="s">
        <v>2451</v>
      </c>
    </row>
    <row r="1135" spans="1:8" x14ac:dyDescent="0.25">
      <c r="A1135" s="16" t="s">
        <v>2452</v>
      </c>
      <c r="B1135" s="17" t="s">
        <v>652</v>
      </c>
      <c r="C1135" s="17" t="s">
        <v>3776</v>
      </c>
      <c r="D1135" s="17" t="s">
        <v>5323</v>
      </c>
      <c r="E1135" s="17">
        <v>57</v>
      </c>
      <c r="F1135" s="16">
        <v>9</v>
      </c>
      <c r="G1135" s="17" t="s">
        <v>435</v>
      </c>
      <c r="H1135" s="17" t="s">
        <v>2453</v>
      </c>
    </row>
    <row r="1136" spans="1:8" x14ac:dyDescent="0.25">
      <c r="A1136" s="16" t="s">
        <v>2454</v>
      </c>
      <c r="B1136" s="17" t="s">
        <v>2199</v>
      </c>
      <c r="C1136" s="17" t="s">
        <v>4019</v>
      </c>
      <c r="D1136" s="17" t="s">
        <v>5324</v>
      </c>
      <c r="E1136" s="17">
        <v>57</v>
      </c>
      <c r="F1136" s="16">
        <v>9</v>
      </c>
      <c r="G1136" s="17" t="s">
        <v>435</v>
      </c>
      <c r="H1136" s="17" t="s">
        <v>2455</v>
      </c>
    </row>
    <row r="1137" spans="1:8" x14ac:dyDescent="0.25">
      <c r="A1137" s="16" t="s">
        <v>2456</v>
      </c>
      <c r="B1137" s="17" t="s">
        <v>41</v>
      </c>
      <c r="C1137" s="17" t="s">
        <v>3776</v>
      </c>
      <c r="D1137" s="17" t="s">
        <v>5325</v>
      </c>
      <c r="E1137" s="17">
        <v>57</v>
      </c>
      <c r="F1137" s="16">
        <v>9</v>
      </c>
      <c r="G1137" s="17" t="s">
        <v>435</v>
      </c>
      <c r="H1137" s="17" t="s">
        <v>2457</v>
      </c>
    </row>
    <row r="1138" spans="1:8" x14ac:dyDescent="0.25">
      <c r="A1138" s="16" t="s">
        <v>2458</v>
      </c>
      <c r="B1138" s="17" t="s">
        <v>881</v>
      </c>
      <c r="C1138" s="17" t="s">
        <v>3800</v>
      </c>
      <c r="D1138" s="17" t="s">
        <v>5326</v>
      </c>
      <c r="E1138" s="17">
        <v>57</v>
      </c>
      <c r="F1138" s="16">
        <v>9</v>
      </c>
      <c r="G1138" s="17" t="s">
        <v>1535</v>
      </c>
      <c r="H1138" s="17" t="s">
        <v>2459</v>
      </c>
    </row>
    <row r="1139" spans="1:8" x14ac:dyDescent="0.25">
      <c r="A1139" s="16" t="s">
        <v>2460</v>
      </c>
      <c r="B1139" s="17" t="s">
        <v>2461</v>
      </c>
      <c r="C1139" s="17" t="s">
        <v>5327</v>
      </c>
      <c r="D1139" s="17" t="s">
        <v>5328</v>
      </c>
      <c r="E1139" s="17">
        <v>57</v>
      </c>
      <c r="F1139" s="16">
        <v>9</v>
      </c>
      <c r="G1139" s="17" t="s">
        <v>1535</v>
      </c>
      <c r="H1139" s="17" t="s">
        <v>725</v>
      </c>
    </row>
    <row r="1140" spans="1:8" x14ac:dyDescent="0.25">
      <c r="A1140" s="16" t="s">
        <v>2462</v>
      </c>
      <c r="B1140" s="17" t="s">
        <v>332</v>
      </c>
      <c r="C1140" s="17" t="s">
        <v>5329</v>
      </c>
      <c r="D1140" s="17" t="s">
        <v>5330</v>
      </c>
      <c r="E1140" s="17">
        <v>57</v>
      </c>
      <c r="F1140" s="16">
        <v>9</v>
      </c>
      <c r="G1140" s="17" t="s">
        <v>1535</v>
      </c>
      <c r="H1140" s="17" t="s">
        <v>2463</v>
      </c>
    </row>
    <row r="1141" spans="1:8" x14ac:dyDescent="0.25">
      <c r="A1141" s="16" t="s">
        <v>2464</v>
      </c>
      <c r="B1141" s="17" t="s">
        <v>166</v>
      </c>
      <c r="C1141" s="17" t="s">
        <v>5331</v>
      </c>
      <c r="D1141" s="17" t="s">
        <v>5332</v>
      </c>
      <c r="E1141" s="17">
        <v>57</v>
      </c>
      <c r="F1141" s="16">
        <v>9</v>
      </c>
      <c r="G1141" s="17" t="s">
        <v>1535</v>
      </c>
      <c r="H1141" s="17" t="s">
        <v>2465</v>
      </c>
    </row>
    <row r="1142" spans="1:8" x14ac:dyDescent="0.25">
      <c r="A1142" s="16" t="s">
        <v>2466</v>
      </c>
      <c r="B1142" s="17" t="s">
        <v>123</v>
      </c>
      <c r="C1142" s="17" t="s">
        <v>3956</v>
      </c>
      <c r="D1142" s="17" t="s">
        <v>5333</v>
      </c>
      <c r="E1142" s="17">
        <v>57</v>
      </c>
      <c r="F1142" s="16">
        <v>9</v>
      </c>
      <c r="G1142" s="17" t="s">
        <v>1535</v>
      </c>
      <c r="H1142" s="17" t="s">
        <v>2467</v>
      </c>
    </row>
    <row r="1143" spans="1:8" x14ac:dyDescent="0.25">
      <c r="A1143" s="16" t="s">
        <v>2468</v>
      </c>
      <c r="B1143" s="17" t="s">
        <v>80</v>
      </c>
      <c r="C1143" s="17" t="s">
        <v>5334</v>
      </c>
      <c r="D1143" s="17" t="s">
        <v>5335</v>
      </c>
      <c r="E1143" s="17">
        <v>57</v>
      </c>
      <c r="F1143" s="16">
        <v>9</v>
      </c>
      <c r="G1143" s="17" t="s">
        <v>1535</v>
      </c>
      <c r="H1143" s="17" t="s">
        <v>2469</v>
      </c>
    </row>
    <row r="1144" spans="1:8" x14ac:dyDescent="0.25">
      <c r="A1144" s="16" t="s">
        <v>2470</v>
      </c>
      <c r="B1144" s="17" t="s">
        <v>2046</v>
      </c>
      <c r="C1144" s="17" t="s">
        <v>3871</v>
      </c>
      <c r="D1144" s="17" t="s">
        <v>5336</v>
      </c>
      <c r="E1144" s="17">
        <v>57</v>
      </c>
      <c r="F1144" s="16">
        <v>9</v>
      </c>
      <c r="G1144" s="17" t="s">
        <v>1535</v>
      </c>
      <c r="H1144" s="17" t="s">
        <v>2471</v>
      </c>
    </row>
    <row r="1145" spans="1:8" x14ac:dyDescent="0.25">
      <c r="A1145" s="16" t="s">
        <v>2472</v>
      </c>
      <c r="B1145" s="17" t="s">
        <v>2259</v>
      </c>
      <c r="C1145" s="17" t="s">
        <v>5337</v>
      </c>
      <c r="D1145" s="17" t="s">
        <v>5338</v>
      </c>
      <c r="E1145" s="17">
        <v>57</v>
      </c>
      <c r="F1145" s="16">
        <v>9</v>
      </c>
      <c r="G1145" s="17" t="s">
        <v>1535</v>
      </c>
      <c r="H1145" s="17" t="s">
        <v>158</v>
      </c>
    </row>
    <row r="1146" spans="1:8" x14ac:dyDescent="0.25">
      <c r="A1146" s="16" t="s">
        <v>2473</v>
      </c>
      <c r="B1146" s="17" t="s">
        <v>120</v>
      </c>
      <c r="C1146" s="17" t="s">
        <v>5339</v>
      </c>
      <c r="D1146" s="17" t="s">
        <v>5340</v>
      </c>
      <c r="E1146" s="17">
        <v>57</v>
      </c>
      <c r="F1146" s="16">
        <v>9</v>
      </c>
      <c r="G1146" s="17" t="s">
        <v>1535</v>
      </c>
      <c r="H1146" s="17" t="s">
        <v>2474</v>
      </c>
    </row>
    <row r="1147" spans="1:8" x14ac:dyDescent="0.25">
      <c r="A1147" s="16" t="s">
        <v>2475</v>
      </c>
      <c r="B1147" s="17" t="s">
        <v>2476</v>
      </c>
      <c r="C1147" s="17" t="s">
        <v>3766</v>
      </c>
      <c r="D1147" s="17" t="s">
        <v>5341</v>
      </c>
      <c r="E1147" s="17">
        <v>58</v>
      </c>
      <c r="F1147" s="27">
        <v>15</v>
      </c>
      <c r="G1147" s="17" t="s">
        <v>846</v>
      </c>
      <c r="H1147" s="17" t="s">
        <v>2477</v>
      </c>
    </row>
    <row r="1148" spans="1:8" x14ac:dyDescent="0.25">
      <c r="A1148" s="16" t="s">
        <v>2478</v>
      </c>
      <c r="B1148" s="17" t="s">
        <v>1529</v>
      </c>
      <c r="C1148" s="17" t="s">
        <v>5342</v>
      </c>
      <c r="D1148" s="17" t="s">
        <v>5343</v>
      </c>
      <c r="E1148" s="17">
        <v>58</v>
      </c>
      <c r="F1148" s="27">
        <v>15</v>
      </c>
      <c r="G1148" s="17" t="s">
        <v>846</v>
      </c>
      <c r="H1148" s="17" t="s">
        <v>2479</v>
      </c>
    </row>
    <row r="1149" spans="1:8" x14ac:dyDescent="0.25">
      <c r="A1149" s="16" t="s">
        <v>2480</v>
      </c>
      <c r="B1149" s="17" t="s">
        <v>254</v>
      </c>
      <c r="C1149" s="17" t="s">
        <v>3766</v>
      </c>
      <c r="D1149" s="17" t="s">
        <v>5344</v>
      </c>
      <c r="E1149" s="17">
        <v>58</v>
      </c>
      <c r="F1149" s="27">
        <v>15</v>
      </c>
      <c r="G1149" s="17" t="s">
        <v>846</v>
      </c>
      <c r="H1149" s="17" t="s">
        <v>2481</v>
      </c>
    </row>
    <row r="1150" spans="1:8" x14ac:dyDescent="0.25">
      <c r="A1150" s="16" t="s">
        <v>2482</v>
      </c>
      <c r="B1150" s="17" t="s">
        <v>254</v>
      </c>
      <c r="C1150" s="17" t="s">
        <v>5345</v>
      </c>
      <c r="D1150" s="17" t="s">
        <v>5346</v>
      </c>
      <c r="E1150" s="17">
        <v>58</v>
      </c>
      <c r="F1150" s="27">
        <v>15</v>
      </c>
      <c r="G1150" s="17" t="s">
        <v>857</v>
      </c>
      <c r="H1150" s="17" t="s">
        <v>858</v>
      </c>
    </row>
    <row r="1151" spans="1:8" x14ac:dyDescent="0.25">
      <c r="A1151" s="16" t="s">
        <v>2483</v>
      </c>
      <c r="B1151" s="17" t="s">
        <v>1029</v>
      </c>
      <c r="C1151" s="17" t="s">
        <v>3800</v>
      </c>
      <c r="D1151" s="17" t="s">
        <v>5347</v>
      </c>
      <c r="E1151" s="17">
        <v>58</v>
      </c>
      <c r="F1151" s="27">
        <v>15</v>
      </c>
      <c r="G1151" s="17" t="s">
        <v>857</v>
      </c>
      <c r="H1151" s="17" t="s">
        <v>2484</v>
      </c>
    </row>
    <row r="1152" spans="1:8" x14ac:dyDescent="0.25">
      <c r="A1152" s="16" t="s">
        <v>2485</v>
      </c>
      <c r="B1152" s="17" t="s">
        <v>46</v>
      </c>
      <c r="C1152" s="17" t="s">
        <v>3766</v>
      </c>
      <c r="D1152" s="17" t="s">
        <v>5348</v>
      </c>
      <c r="E1152" s="17">
        <v>58</v>
      </c>
      <c r="F1152" s="27">
        <v>15</v>
      </c>
      <c r="G1152" s="17" t="s">
        <v>866</v>
      </c>
      <c r="H1152" s="17" t="s">
        <v>2486</v>
      </c>
    </row>
    <row r="1153" spans="1:8" x14ac:dyDescent="0.25">
      <c r="A1153" s="16" t="s">
        <v>2487</v>
      </c>
      <c r="B1153" s="17" t="s">
        <v>77</v>
      </c>
      <c r="C1153" s="17" t="s">
        <v>5349</v>
      </c>
      <c r="D1153" s="17" t="s">
        <v>5350</v>
      </c>
      <c r="E1153" s="17">
        <v>58</v>
      </c>
      <c r="F1153" s="27">
        <v>15</v>
      </c>
      <c r="G1153" s="17" t="s">
        <v>866</v>
      </c>
      <c r="H1153" s="17" t="s">
        <v>2488</v>
      </c>
    </row>
    <row r="1154" spans="1:8" x14ac:dyDescent="0.25">
      <c r="A1154" s="16" t="s">
        <v>2489</v>
      </c>
      <c r="B1154" s="17" t="s">
        <v>660</v>
      </c>
      <c r="C1154" s="17" t="s">
        <v>5351</v>
      </c>
      <c r="D1154" s="17" t="s">
        <v>5352</v>
      </c>
      <c r="E1154" s="17">
        <v>58</v>
      </c>
      <c r="F1154" s="27">
        <v>15</v>
      </c>
      <c r="G1154" s="17" t="s">
        <v>866</v>
      </c>
      <c r="H1154" s="17" t="s">
        <v>2490</v>
      </c>
    </row>
    <row r="1155" spans="1:8" x14ac:dyDescent="0.25">
      <c r="A1155" s="16" t="s">
        <v>2491</v>
      </c>
      <c r="B1155" s="17" t="s">
        <v>1997</v>
      </c>
      <c r="C1155" s="17" t="s">
        <v>3766</v>
      </c>
      <c r="D1155" s="17" t="s">
        <v>5353</v>
      </c>
      <c r="E1155" s="17">
        <v>58</v>
      </c>
      <c r="F1155" s="27">
        <v>15</v>
      </c>
      <c r="G1155" s="17" t="s">
        <v>866</v>
      </c>
      <c r="H1155" s="17" t="s">
        <v>2492</v>
      </c>
    </row>
    <row r="1156" spans="1:8" x14ac:dyDescent="0.25">
      <c r="A1156" s="16" t="s">
        <v>2493</v>
      </c>
      <c r="B1156" s="17" t="s">
        <v>83</v>
      </c>
      <c r="C1156" s="17" t="s">
        <v>3766</v>
      </c>
      <c r="D1156" s="17" t="s">
        <v>5354</v>
      </c>
      <c r="E1156" s="17">
        <v>58</v>
      </c>
      <c r="F1156" s="27">
        <v>15</v>
      </c>
      <c r="G1156" s="17" t="s">
        <v>866</v>
      </c>
      <c r="H1156" s="17" t="s">
        <v>2494</v>
      </c>
    </row>
    <row r="1157" spans="1:8" x14ac:dyDescent="0.25">
      <c r="A1157" s="16" t="s">
        <v>2495</v>
      </c>
      <c r="B1157" s="17" t="s">
        <v>95</v>
      </c>
      <c r="C1157" s="17" t="s">
        <v>5355</v>
      </c>
      <c r="D1157" s="17" t="s">
        <v>5356</v>
      </c>
      <c r="E1157" s="17">
        <v>58</v>
      </c>
      <c r="F1157" s="27">
        <v>15</v>
      </c>
      <c r="G1157" s="17" t="s">
        <v>866</v>
      </c>
      <c r="H1157" s="17" t="s">
        <v>811</v>
      </c>
    </row>
    <row r="1158" spans="1:8" x14ac:dyDescent="0.25">
      <c r="A1158" s="16" t="s">
        <v>2496</v>
      </c>
      <c r="B1158" s="17" t="s">
        <v>443</v>
      </c>
      <c r="C1158" s="17" t="s">
        <v>5357</v>
      </c>
      <c r="D1158" s="17" t="s">
        <v>5358</v>
      </c>
      <c r="E1158" s="17">
        <v>58</v>
      </c>
      <c r="F1158" s="27">
        <v>15</v>
      </c>
      <c r="G1158" s="17" t="s">
        <v>866</v>
      </c>
      <c r="H1158" s="17" t="s">
        <v>805</v>
      </c>
    </row>
    <row r="1159" spans="1:8" x14ac:dyDescent="0.25">
      <c r="A1159" s="16" t="s">
        <v>2497</v>
      </c>
      <c r="B1159" s="17" t="s">
        <v>135</v>
      </c>
      <c r="C1159" s="17" t="s">
        <v>3766</v>
      </c>
      <c r="D1159" s="17" t="s">
        <v>5359</v>
      </c>
      <c r="E1159" s="17">
        <v>58</v>
      </c>
      <c r="F1159" s="27">
        <v>15</v>
      </c>
      <c r="G1159" s="17" t="s">
        <v>866</v>
      </c>
      <c r="H1159" s="17" t="s">
        <v>2498</v>
      </c>
    </row>
    <row r="1160" spans="1:8" x14ac:dyDescent="0.25">
      <c r="A1160" s="16" t="s">
        <v>2499</v>
      </c>
      <c r="B1160" s="17" t="s">
        <v>123</v>
      </c>
      <c r="C1160" s="17" t="s">
        <v>3766</v>
      </c>
      <c r="D1160" s="17" t="s">
        <v>5360</v>
      </c>
      <c r="E1160" s="17">
        <v>58</v>
      </c>
      <c r="F1160" s="27">
        <v>15</v>
      </c>
      <c r="G1160" s="17" t="s">
        <v>869</v>
      </c>
      <c r="H1160" s="17" t="s">
        <v>2500</v>
      </c>
    </row>
    <row r="1161" spans="1:8" x14ac:dyDescent="0.25">
      <c r="A1161" s="16" t="s">
        <v>2501</v>
      </c>
      <c r="B1161" s="17" t="s">
        <v>376</v>
      </c>
      <c r="C1161" s="17" t="s">
        <v>5361</v>
      </c>
      <c r="D1161" s="17" t="s">
        <v>5362</v>
      </c>
      <c r="E1161" s="17">
        <v>58</v>
      </c>
      <c r="F1161" s="27">
        <v>15</v>
      </c>
      <c r="G1161" s="17" t="s">
        <v>869</v>
      </c>
      <c r="H1161" s="17" t="s">
        <v>2502</v>
      </c>
    </row>
    <row r="1162" spans="1:8" x14ac:dyDescent="0.25">
      <c r="A1162" s="16" t="s">
        <v>2503</v>
      </c>
      <c r="B1162" s="17" t="s">
        <v>151</v>
      </c>
      <c r="C1162" s="17" t="s">
        <v>3996</v>
      </c>
      <c r="D1162" s="17" t="s">
        <v>5363</v>
      </c>
      <c r="E1162" s="17">
        <v>59</v>
      </c>
      <c r="F1162" s="27">
        <v>11</v>
      </c>
      <c r="G1162" s="17" t="s">
        <v>1170</v>
      </c>
      <c r="H1162" s="17" t="s">
        <v>1173</v>
      </c>
    </row>
    <row r="1163" spans="1:8" x14ac:dyDescent="0.25">
      <c r="A1163" s="16" t="s">
        <v>2504</v>
      </c>
      <c r="B1163" s="17" t="s">
        <v>135</v>
      </c>
      <c r="C1163" s="17" t="s">
        <v>3766</v>
      </c>
      <c r="D1163" s="17" t="s">
        <v>5364</v>
      </c>
      <c r="E1163" s="17">
        <v>59</v>
      </c>
      <c r="F1163" s="27">
        <v>11</v>
      </c>
      <c r="G1163" s="17" t="s">
        <v>1170</v>
      </c>
      <c r="H1163" s="17" t="s">
        <v>2505</v>
      </c>
    </row>
    <row r="1164" spans="1:8" x14ac:dyDescent="0.25">
      <c r="A1164" s="16" t="s">
        <v>2506</v>
      </c>
      <c r="B1164" s="17" t="s">
        <v>306</v>
      </c>
      <c r="C1164" s="17" t="s">
        <v>3766</v>
      </c>
      <c r="D1164" s="17" t="s">
        <v>5365</v>
      </c>
      <c r="E1164" s="17">
        <v>59</v>
      </c>
      <c r="F1164" s="27">
        <v>11</v>
      </c>
      <c r="G1164" s="17" t="s">
        <v>1170</v>
      </c>
      <c r="H1164" s="17" t="s">
        <v>2507</v>
      </c>
    </row>
    <row r="1165" spans="1:8" x14ac:dyDescent="0.25">
      <c r="A1165" s="16" t="s">
        <v>2508</v>
      </c>
      <c r="B1165" s="17" t="s">
        <v>2509</v>
      </c>
      <c r="C1165" s="17" t="s">
        <v>3766</v>
      </c>
      <c r="D1165" s="17" t="s">
        <v>5366</v>
      </c>
      <c r="E1165" s="17">
        <v>59</v>
      </c>
      <c r="F1165" s="27">
        <v>11</v>
      </c>
      <c r="G1165" s="17" t="s">
        <v>1170</v>
      </c>
      <c r="H1165" s="17" t="s">
        <v>2510</v>
      </c>
    </row>
    <row r="1166" spans="1:8" x14ac:dyDescent="0.25">
      <c r="A1166" s="16" t="s">
        <v>2511</v>
      </c>
      <c r="B1166" s="17" t="s">
        <v>411</v>
      </c>
      <c r="C1166" s="17" t="s">
        <v>5367</v>
      </c>
      <c r="D1166" s="17" t="s">
        <v>5368</v>
      </c>
      <c r="E1166" s="17">
        <v>59</v>
      </c>
      <c r="F1166" s="27">
        <v>11</v>
      </c>
      <c r="G1166" s="17" t="s">
        <v>2067</v>
      </c>
      <c r="H1166" s="17" t="s">
        <v>17</v>
      </c>
    </row>
    <row r="1167" spans="1:8" x14ac:dyDescent="0.25">
      <c r="A1167" s="16" t="s">
        <v>2512</v>
      </c>
      <c r="B1167" s="17" t="s">
        <v>103</v>
      </c>
      <c r="C1167" s="17" t="s">
        <v>3766</v>
      </c>
      <c r="D1167" s="17" t="s">
        <v>5369</v>
      </c>
      <c r="E1167" s="17">
        <v>59</v>
      </c>
      <c r="F1167" s="27">
        <v>11</v>
      </c>
      <c r="G1167" s="17" t="s">
        <v>2067</v>
      </c>
      <c r="H1167" s="17" t="s">
        <v>2513</v>
      </c>
    </row>
    <row r="1168" spans="1:8" x14ac:dyDescent="0.25">
      <c r="A1168" s="16" t="s">
        <v>2514</v>
      </c>
      <c r="B1168" s="17" t="s">
        <v>57</v>
      </c>
      <c r="C1168" s="17" t="s">
        <v>3766</v>
      </c>
      <c r="D1168" s="17" t="s">
        <v>5370</v>
      </c>
      <c r="E1168" s="17">
        <v>59</v>
      </c>
      <c r="F1168" s="27">
        <v>11</v>
      </c>
      <c r="G1168" s="17" t="s">
        <v>2067</v>
      </c>
      <c r="H1168" s="17" t="s">
        <v>2515</v>
      </c>
    </row>
    <row r="1169" spans="1:8" x14ac:dyDescent="0.25">
      <c r="A1169" s="16" t="s">
        <v>2516</v>
      </c>
      <c r="B1169" s="17" t="s">
        <v>397</v>
      </c>
      <c r="C1169" s="17" t="s">
        <v>3766</v>
      </c>
      <c r="D1169" s="17" t="s">
        <v>5371</v>
      </c>
      <c r="E1169" s="17">
        <v>59</v>
      </c>
      <c r="F1169" s="27">
        <v>11</v>
      </c>
      <c r="G1169" s="17" t="s">
        <v>2067</v>
      </c>
      <c r="H1169" s="17" t="s">
        <v>2517</v>
      </c>
    </row>
    <row r="1170" spans="1:8" x14ac:dyDescent="0.25">
      <c r="A1170" s="16" t="s">
        <v>2518</v>
      </c>
      <c r="B1170" s="17" t="s">
        <v>120</v>
      </c>
      <c r="C1170" s="17" t="s">
        <v>3766</v>
      </c>
      <c r="D1170" s="17" t="s">
        <v>5372</v>
      </c>
      <c r="E1170" s="17">
        <v>59</v>
      </c>
      <c r="F1170" s="27">
        <v>11</v>
      </c>
      <c r="G1170" s="17" t="s">
        <v>2067</v>
      </c>
      <c r="H1170" s="17" t="s">
        <v>390</v>
      </c>
    </row>
    <row r="1171" spans="1:8" x14ac:dyDescent="0.25">
      <c r="A1171" s="16" t="s">
        <v>2519</v>
      </c>
      <c r="B1171" s="17" t="s">
        <v>41</v>
      </c>
      <c r="C1171" s="17" t="s">
        <v>5373</v>
      </c>
      <c r="D1171" s="17" t="s">
        <v>5374</v>
      </c>
      <c r="E1171" s="17">
        <v>59</v>
      </c>
      <c r="F1171" s="27">
        <v>11</v>
      </c>
      <c r="G1171" s="17" t="s">
        <v>2067</v>
      </c>
      <c r="H1171" s="17" t="s">
        <v>390</v>
      </c>
    </row>
    <row r="1172" spans="1:8" x14ac:dyDescent="0.25">
      <c r="A1172" s="16" t="s">
        <v>2520</v>
      </c>
      <c r="B1172" s="17" t="s">
        <v>23</v>
      </c>
      <c r="C1172" s="17" t="s">
        <v>3766</v>
      </c>
      <c r="D1172" s="17" t="s">
        <v>5375</v>
      </c>
      <c r="E1172" s="17">
        <v>59</v>
      </c>
      <c r="F1172" s="27">
        <v>11</v>
      </c>
      <c r="G1172" s="17" t="s">
        <v>2067</v>
      </c>
      <c r="H1172" s="17" t="s">
        <v>23</v>
      </c>
    </row>
    <row r="1173" spans="1:8" x14ac:dyDescent="0.25">
      <c r="A1173" s="16" t="s">
        <v>2521</v>
      </c>
      <c r="B1173" s="17" t="s">
        <v>2522</v>
      </c>
      <c r="C1173" s="17" t="s">
        <v>5376</v>
      </c>
      <c r="D1173" s="17" t="s">
        <v>5377</v>
      </c>
      <c r="E1173" s="17">
        <v>59</v>
      </c>
      <c r="F1173" s="27">
        <v>11</v>
      </c>
      <c r="G1173" s="17" t="s">
        <v>2523</v>
      </c>
      <c r="H1173" s="17" t="s">
        <v>2523</v>
      </c>
    </row>
    <row r="1174" spans="1:8" x14ac:dyDescent="0.25">
      <c r="A1174" s="16" t="s">
        <v>2524</v>
      </c>
      <c r="B1174" s="17" t="s">
        <v>148</v>
      </c>
      <c r="C1174" s="17" t="s">
        <v>4208</v>
      </c>
      <c r="D1174" s="17" t="s">
        <v>5378</v>
      </c>
      <c r="E1174" s="17">
        <v>59</v>
      </c>
      <c r="F1174" s="27">
        <v>11</v>
      </c>
      <c r="G1174" s="17" t="s">
        <v>2523</v>
      </c>
      <c r="H1174" s="17" t="s">
        <v>2523</v>
      </c>
    </row>
    <row r="1175" spans="1:8" x14ac:dyDescent="0.25">
      <c r="A1175" s="16" t="s">
        <v>2525</v>
      </c>
      <c r="B1175" s="17" t="s">
        <v>138</v>
      </c>
      <c r="C1175" s="17" t="s">
        <v>3766</v>
      </c>
      <c r="D1175" s="17" t="s">
        <v>5379</v>
      </c>
      <c r="E1175" s="17">
        <v>59</v>
      </c>
      <c r="F1175" s="27">
        <v>11</v>
      </c>
      <c r="G1175" s="17" t="s">
        <v>2523</v>
      </c>
      <c r="H1175" s="17" t="s">
        <v>2526</v>
      </c>
    </row>
    <row r="1176" spans="1:8" x14ac:dyDescent="0.25">
      <c r="A1176" s="16" t="s">
        <v>2527</v>
      </c>
      <c r="B1176" s="17" t="s">
        <v>132</v>
      </c>
      <c r="C1176" s="17" t="s">
        <v>5380</v>
      </c>
      <c r="D1176" s="17" t="s">
        <v>5381</v>
      </c>
      <c r="E1176" s="17">
        <v>59</v>
      </c>
      <c r="F1176" s="27">
        <v>11</v>
      </c>
      <c r="G1176" s="17" t="s">
        <v>2523</v>
      </c>
      <c r="H1176" s="17" t="s">
        <v>2528</v>
      </c>
    </row>
    <row r="1177" spans="1:8" x14ac:dyDescent="0.25">
      <c r="A1177" s="16" t="s">
        <v>2529</v>
      </c>
      <c r="B1177" s="17" t="s">
        <v>671</v>
      </c>
      <c r="C1177" s="17" t="s">
        <v>4041</v>
      </c>
      <c r="D1177" s="17" t="s">
        <v>5382</v>
      </c>
      <c r="E1177" s="17">
        <v>59</v>
      </c>
      <c r="F1177" s="27">
        <v>11</v>
      </c>
      <c r="G1177" s="17" t="s">
        <v>2523</v>
      </c>
      <c r="H1177" s="17" t="s">
        <v>2530</v>
      </c>
    </row>
    <row r="1178" spans="1:8" x14ac:dyDescent="0.25">
      <c r="A1178" s="16" t="s">
        <v>2531</v>
      </c>
      <c r="B1178" s="17" t="s">
        <v>1507</v>
      </c>
      <c r="C1178" s="17" t="s">
        <v>3766</v>
      </c>
      <c r="D1178" s="17" t="s">
        <v>5383</v>
      </c>
      <c r="E1178" s="17">
        <v>59</v>
      </c>
      <c r="F1178" s="27">
        <v>11</v>
      </c>
      <c r="G1178" s="17" t="s">
        <v>2523</v>
      </c>
      <c r="H1178" s="17" t="s">
        <v>2532</v>
      </c>
    </row>
    <row r="1179" spans="1:8" x14ac:dyDescent="0.25">
      <c r="A1179" s="16" t="s">
        <v>2533</v>
      </c>
      <c r="B1179" s="17" t="s">
        <v>550</v>
      </c>
      <c r="C1179" s="17" t="s">
        <v>3766</v>
      </c>
      <c r="D1179" s="17" t="s">
        <v>5384</v>
      </c>
      <c r="E1179" s="17">
        <v>59</v>
      </c>
      <c r="F1179" s="27">
        <v>11</v>
      </c>
      <c r="G1179" s="17" t="s">
        <v>2523</v>
      </c>
      <c r="H1179" s="17" t="s">
        <v>2534</v>
      </c>
    </row>
    <row r="1180" spans="1:8" x14ac:dyDescent="0.25">
      <c r="A1180" s="16" t="s">
        <v>2535</v>
      </c>
      <c r="B1180" s="17" t="s">
        <v>89</v>
      </c>
      <c r="C1180" s="17" t="s">
        <v>3904</v>
      </c>
      <c r="D1180" s="17" t="s">
        <v>5385</v>
      </c>
      <c r="E1180" s="17">
        <v>60</v>
      </c>
      <c r="F1180" s="27">
        <v>13</v>
      </c>
      <c r="G1180" s="17" t="s">
        <v>682</v>
      </c>
      <c r="H1180" s="17" t="s">
        <v>682</v>
      </c>
    </row>
    <row r="1181" spans="1:8" x14ac:dyDescent="0.25">
      <c r="A1181" s="16" t="s">
        <v>2536</v>
      </c>
      <c r="B1181" s="17" t="s">
        <v>166</v>
      </c>
      <c r="C1181" s="17" t="s">
        <v>3776</v>
      </c>
      <c r="D1181" s="17" t="s">
        <v>5386</v>
      </c>
      <c r="E1181" s="17">
        <v>60</v>
      </c>
      <c r="F1181" s="27">
        <v>13</v>
      </c>
      <c r="G1181" s="17" t="s">
        <v>682</v>
      </c>
      <c r="H1181" s="17" t="s">
        <v>2537</v>
      </c>
    </row>
    <row r="1182" spans="1:8" x14ac:dyDescent="0.25">
      <c r="A1182" s="16" t="s">
        <v>2538</v>
      </c>
      <c r="B1182" s="17" t="s">
        <v>2539</v>
      </c>
      <c r="C1182" s="17" t="s">
        <v>3766</v>
      </c>
      <c r="D1182" s="17" t="s">
        <v>5387</v>
      </c>
      <c r="E1182" s="17">
        <v>60</v>
      </c>
      <c r="F1182" s="27">
        <v>13</v>
      </c>
      <c r="G1182" s="17" t="s">
        <v>682</v>
      </c>
      <c r="H1182" s="17" t="s">
        <v>2540</v>
      </c>
    </row>
    <row r="1183" spans="1:8" x14ac:dyDescent="0.25">
      <c r="A1183" s="16" t="s">
        <v>2541</v>
      </c>
      <c r="B1183" s="17" t="s">
        <v>166</v>
      </c>
      <c r="C1183" s="17" t="s">
        <v>3766</v>
      </c>
      <c r="D1183" s="17" t="s">
        <v>5388</v>
      </c>
      <c r="E1183" s="17">
        <v>60</v>
      </c>
      <c r="F1183" s="27">
        <v>13</v>
      </c>
      <c r="G1183" s="17" t="s">
        <v>682</v>
      </c>
      <c r="H1183" s="17" t="s">
        <v>2542</v>
      </c>
    </row>
    <row r="1184" spans="1:8" x14ac:dyDescent="0.25">
      <c r="A1184" s="16" t="s">
        <v>2543</v>
      </c>
      <c r="B1184" s="17" t="s">
        <v>2396</v>
      </c>
      <c r="C1184" s="17" t="s">
        <v>3766</v>
      </c>
      <c r="D1184" s="17" t="s">
        <v>5389</v>
      </c>
      <c r="E1184" s="17">
        <v>60</v>
      </c>
      <c r="F1184" s="27">
        <v>13</v>
      </c>
      <c r="G1184" s="17" t="s">
        <v>682</v>
      </c>
      <c r="H1184" s="17" t="s">
        <v>2544</v>
      </c>
    </row>
    <row r="1185" spans="1:8" x14ac:dyDescent="0.25">
      <c r="A1185" s="16" t="s">
        <v>2545</v>
      </c>
      <c r="B1185" s="17" t="s">
        <v>166</v>
      </c>
      <c r="C1185" s="17" t="s">
        <v>5390</v>
      </c>
      <c r="D1185" s="17" t="s">
        <v>5391</v>
      </c>
      <c r="E1185" s="17">
        <v>60</v>
      </c>
      <c r="F1185" s="27">
        <v>13</v>
      </c>
      <c r="G1185" s="17" t="s">
        <v>682</v>
      </c>
      <c r="H1185" s="17" t="s">
        <v>167</v>
      </c>
    </row>
    <row r="1186" spans="1:8" x14ac:dyDescent="0.25">
      <c r="A1186" s="16" t="s">
        <v>2546</v>
      </c>
      <c r="B1186" s="17" t="s">
        <v>95</v>
      </c>
      <c r="C1186" s="17" t="s">
        <v>3766</v>
      </c>
      <c r="D1186" s="17" t="s">
        <v>5392</v>
      </c>
      <c r="E1186" s="17">
        <v>60</v>
      </c>
      <c r="F1186" s="27">
        <v>13</v>
      </c>
      <c r="G1186" s="17" t="s">
        <v>682</v>
      </c>
      <c r="H1186" s="17" t="s">
        <v>2547</v>
      </c>
    </row>
    <row r="1187" spans="1:8" x14ac:dyDescent="0.25">
      <c r="A1187" s="16" t="s">
        <v>2548</v>
      </c>
      <c r="B1187" s="17" t="s">
        <v>135</v>
      </c>
      <c r="C1187" s="17" t="s">
        <v>5393</v>
      </c>
      <c r="D1187" s="17" t="s">
        <v>5394</v>
      </c>
      <c r="E1187" s="17">
        <v>60</v>
      </c>
      <c r="F1187" s="27">
        <v>13</v>
      </c>
      <c r="G1187" s="17" t="s">
        <v>2549</v>
      </c>
      <c r="H1187" s="17" t="s">
        <v>2549</v>
      </c>
    </row>
    <row r="1188" spans="1:8" x14ac:dyDescent="0.25">
      <c r="A1188" s="16" t="s">
        <v>2550</v>
      </c>
      <c r="B1188" s="17" t="s">
        <v>2551</v>
      </c>
      <c r="C1188" s="17" t="s">
        <v>3766</v>
      </c>
      <c r="D1188" s="17" t="s">
        <v>5395</v>
      </c>
      <c r="E1188" s="17">
        <v>60</v>
      </c>
      <c r="F1188" s="27">
        <v>13</v>
      </c>
      <c r="G1188" s="17" t="s">
        <v>2549</v>
      </c>
      <c r="H1188" s="17" t="s">
        <v>2552</v>
      </c>
    </row>
    <row r="1189" spans="1:8" x14ac:dyDescent="0.25">
      <c r="A1189" s="16" t="s">
        <v>2553</v>
      </c>
      <c r="B1189" s="17" t="s">
        <v>166</v>
      </c>
      <c r="C1189" s="17" t="s">
        <v>3766</v>
      </c>
      <c r="D1189" s="17" t="s">
        <v>5396</v>
      </c>
      <c r="E1189" s="17">
        <v>60</v>
      </c>
      <c r="F1189" s="27">
        <v>13</v>
      </c>
      <c r="G1189" s="17" t="s">
        <v>2549</v>
      </c>
      <c r="H1189" s="17" t="s">
        <v>481</v>
      </c>
    </row>
    <row r="1190" spans="1:8" x14ac:dyDescent="0.25">
      <c r="A1190" s="16" t="s">
        <v>2554</v>
      </c>
      <c r="B1190" s="17" t="s">
        <v>166</v>
      </c>
      <c r="C1190" s="17" t="s">
        <v>3766</v>
      </c>
      <c r="D1190" s="17" t="s">
        <v>5397</v>
      </c>
      <c r="E1190" s="17">
        <v>60</v>
      </c>
      <c r="F1190" s="27">
        <v>13</v>
      </c>
      <c r="G1190" s="17" t="s">
        <v>2549</v>
      </c>
      <c r="H1190" s="17" t="s">
        <v>2555</v>
      </c>
    </row>
    <row r="1191" spans="1:8" x14ac:dyDescent="0.25">
      <c r="A1191" s="16" t="s">
        <v>2556</v>
      </c>
      <c r="B1191" s="17" t="s">
        <v>2557</v>
      </c>
      <c r="C1191" s="17" t="s">
        <v>5398</v>
      </c>
      <c r="D1191" s="17" t="s">
        <v>5399</v>
      </c>
      <c r="E1191" s="17">
        <v>60</v>
      </c>
      <c r="F1191" s="27">
        <v>13</v>
      </c>
      <c r="G1191" s="17" t="s">
        <v>225</v>
      </c>
      <c r="H1191" s="17" t="s">
        <v>226</v>
      </c>
    </row>
    <row r="1192" spans="1:8" x14ac:dyDescent="0.25">
      <c r="A1192" s="16" t="s">
        <v>2558</v>
      </c>
      <c r="B1192" s="17" t="s">
        <v>2559</v>
      </c>
      <c r="C1192" s="17" t="s">
        <v>5400</v>
      </c>
      <c r="D1192" s="17" t="s">
        <v>5401</v>
      </c>
      <c r="E1192" s="17">
        <v>60</v>
      </c>
      <c r="F1192" s="27">
        <v>13</v>
      </c>
      <c r="G1192" s="17" t="s">
        <v>225</v>
      </c>
      <c r="H1192" s="17" t="s">
        <v>226</v>
      </c>
    </row>
    <row r="1193" spans="1:8" x14ac:dyDescent="0.25">
      <c r="A1193" s="16" t="s">
        <v>2560</v>
      </c>
      <c r="B1193" s="17" t="s">
        <v>2561</v>
      </c>
      <c r="C1193" s="17" t="s">
        <v>3766</v>
      </c>
      <c r="D1193" s="17" t="s">
        <v>5402</v>
      </c>
      <c r="E1193" s="17">
        <v>60</v>
      </c>
      <c r="F1193" s="27">
        <v>13</v>
      </c>
      <c r="G1193" s="17" t="s">
        <v>2562</v>
      </c>
      <c r="H1193" s="17" t="s">
        <v>2563</v>
      </c>
    </row>
    <row r="1194" spans="1:8" x14ac:dyDescent="0.25">
      <c r="A1194" s="16" t="s">
        <v>2564</v>
      </c>
      <c r="B1194" s="17" t="s">
        <v>132</v>
      </c>
      <c r="C1194" s="17" t="s">
        <v>4339</v>
      </c>
      <c r="D1194" s="17" t="s">
        <v>5403</v>
      </c>
      <c r="E1194" s="17">
        <v>60</v>
      </c>
      <c r="F1194" s="27">
        <v>13</v>
      </c>
      <c r="G1194" s="17" t="s">
        <v>2562</v>
      </c>
      <c r="H1194" s="17" t="s">
        <v>1698</v>
      </c>
    </row>
    <row r="1195" spans="1:8" x14ac:dyDescent="0.25">
      <c r="A1195" s="16" t="s">
        <v>2565</v>
      </c>
      <c r="B1195" s="17" t="s">
        <v>129</v>
      </c>
      <c r="C1195" s="17" t="s">
        <v>5404</v>
      </c>
      <c r="D1195" s="17" t="s">
        <v>5405</v>
      </c>
      <c r="E1195" s="17">
        <v>61</v>
      </c>
      <c r="F1195" s="27">
        <v>17</v>
      </c>
      <c r="G1195" s="17" t="s">
        <v>782</v>
      </c>
      <c r="H1195" s="17" t="s">
        <v>2566</v>
      </c>
    </row>
    <row r="1196" spans="1:8" x14ac:dyDescent="0.25">
      <c r="A1196" s="16" t="s">
        <v>2567</v>
      </c>
      <c r="B1196" s="17" t="s">
        <v>2115</v>
      </c>
      <c r="C1196" s="17" t="s">
        <v>5406</v>
      </c>
      <c r="D1196" s="17" t="s">
        <v>5407</v>
      </c>
      <c r="E1196" s="17">
        <v>61</v>
      </c>
      <c r="F1196" s="27">
        <v>17</v>
      </c>
      <c r="G1196" s="17" t="s">
        <v>820</v>
      </c>
      <c r="H1196" s="17" t="s">
        <v>820</v>
      </c>
    </row>
    <row r="1197" spans="1:8" x14ac:dyDescent="0.25">
      <c r="A1197" s="16" t="s">
        <v>2568</v>
      </c>
      <c r="B1197" s="17" t="s">
        <v>92</v>
      </c>
      <c r="C1197" s="17" t="s">
        <v>5408</v>
      </c>
      <c r="D1197" s="17" t="s">
        <v>5409</v>
      </c>
      <c r="E1197" s="17">
        <v>61</v>
      </c>
      <c r="F1197" s="27">
        <v>17</v>
      </c>
      <c r="G1197" s="17" t="s">
        <v>820</v>
      </c>
      <c r="H1197" s="17" t="s">
        <v>2569</v>
      </c>
    </row>
    <row r="1198" spans="1:8" x14ac:dyDescent="0.25">
      <c r="A1198" s="16" t="s">
        <v>2570</v>
      </c>
      <c r="B1198" s="17" t="s">
        <v>138</v>
      </c>
      <c r="C1198" s="17" t="s">
        <v>5410</v>
      </c>
      <c r="D1198" s="17" t="s">
        <v>5411</v>
      </c>
      <c r="E1198" s="17">
        <v>61</v>
      </c>
      <c r="F1198" s="27">
        <v>17</v>
      </c>
      <c r="G1198" s="17" t="s">
        <v>2571</v>
      </c>
      <c r="H1198" s="17" t="s">
        <v>2571</v>
      </c>
    </row>
    <row r="1199" spans="1:8" x14ac:dyDescent="0.25">
      <c r="A1199" s="16" t="s">
        <v>2572</v>
      </c>
      <c r="B1199" s="17" t="s">
        <v>166</v>
      </c>
      <c r="C1199" s="17" t="s">
        <v>5412</v>
      </c>
      <c r="D1199" s="17" t="s">
        <v>5413</v>
      </c>
      <c r="E1199" s="17">
        <v>61</v>
      </c>
      <c r="F1199" s="27">
        <v>17</v>
      </c>
      <c r="G1199" s="17" t="s">
        <v>2571</v>
      </c>
      <c r="H1199" s="17" t="s">
        <v>2573</v>
      </c>
    </row>
    <row r="1200" spans="1:8" x14ac:dyDescent="0.25">
      <c r="A1200" s="16" t="s">
        <v>2574</v>
      </c>
      <c r="B1200" s="17" t="s">
        <v>23</v>
      </c>
      <c r="C1200" s="17" t="s">
        <v>5414</v>
      </c>
      <c r="D1200" s="17" t="s">
        <v>5415</v>
      </c>
      <c r="E1200" s="17">
        <v>61</v>
      </c>
      <c r="F1200" s="27">
        <v>17</v>
      </c>
      <c r="G1200" s="17" t="s">
        <v>2571</v>
      </c>
      <c r="H1200" s="17" t="s">
        <v>2575</v>
      </c>
    </row>
    <row r="1201" spans="1:8" x14ac:dyDescent="0.25">
      <c r="A1201" s="16" t="s">
        <v>2576</v>
      </c>
      <c r="B1201" s="17" t="s">
        <v>135</v>
      </c>
      <c r="C1201" s="17" t="s">
        <v>3758</v>
      </c>
      <c r="D1201" s="17" t="s">
        <v>5416</v>
      </c>
      <c r="E1201" s="17">
        <v>61</v>
      </c>
      <c r="F1201" s="27">
        <v>17</v>
      </c>
      <c r="G1201" s="17" t="s">
        <v>828</v>
      </c>
      <c r="H1201" s="17" t="s">
        <v>2577</v>
      </c>
    </row>
    <row r="1202" spans="1:8" x14ac:dyDescent="0.25">
      <c r="A1202" s="16" t="s">
        <v>2578</v>
      </c>
      <c r="B1202" s="17" t="s">
        <v>77</v>
      </c>
      <c r="C1202" s="17" t="s">
        <v>5417</v>
      </c>
      <c r="D1202" s="17" t="s">
        <v>5418</v>
      </c>
      <c r="E1202" s="17">
        <v>61</v>
      </c>
      <c r="F1202" s="27">
        <v>17</v>
      </c>
      <c r="G1202" s="17" t="s">
        <v>2579</v>
      </c>
      <c r="H1202" s="17" t="s">
        <v>2579</v>
      </c>
    </row>
    <row r="1203" spans="1:8" x14ac:dyDescent="0.25">
      <c r="A1203" s="16" t="s">
        <v>2580</v>
      </c>
      <c r="B1203" s="17" t="s">
        <v>2581</v>
      </c>
      <c r="C1203" s="17" t="s">
        <v>3758</v>
      </c>
      <c r="D1203" s="17" t="s">
        <v>5419</v>
      </c>
      <c r="E1203" s="17">
        <v>61</v>
      </c>
      <c r="F1203" s="27">
        <v>17</v>
      </c>
      <c r="G1203" s="17" t="s">
        <v>2579</v>
      </c>
      <c r="H1203" s="17" t="s">
        <v>2582</v>
      </c>
    </row>
    <row r="1204" spans="1:8" x14ac:dyDescent="0.25">
      <c r="A1204" s="16" t="s">
        <v>2583</v>
      </c>
      <c r="B1204" s="17" t="s">
        <v>198</v>
      </c>
      <c r="C1204" s="17" t="s">
        <v>5420</v>
      </c>
      <c r="D1204" s="17" t="s">
        <v>5421</v>
      </c>
      <c r="E1204" s="17">
        <v>61</v>
      </c>
      <c r="F1204" s="27">
        <v>17</v>
      </c>
      <c r="G1204" s="17" t="s">
        <v>2579</v>
      </c>
      <c r="H1204" s="17" t="s">
        <v>2584</v>
      </c>
    </row>
    <row r="1205" spans="1:8" x14ac:dyDescent="0.25">
      <c r="A1205" s="16" t="s">
        <v>2585</v>
      </c>
      <c r="B1205" s="17" t="s">
        <v>166</v>
      </c>
      <c r="C1205" s="17" t="s">
        <v>5422</v>
      </c>
      <c r="D1205" s="17"/>
      <c r="E1205" s="17">
        <v>61</v>
      </c>
      <c r="F1205" s="27">
        <v>17</v>
      </c>
      <c r="G1205" s="17" t="s">
        <v>2579</v>
      </c>
      <c r="H1205" s="17" t="s">
        <v>2586</v>
      </c>
    </row>
    <row r="1206" spans="1:8" x14ac:dyDescent="0.25">
      <c r="A1206" s="16" t="s">
        <v>2587</v>
      </c>
      <c r="B1206" s="17" t="s">
        <v>301</v>
      </c>
      <c r="C1206" s="17" t="s">
        <v>3956</v>
      </c>
      <c r="D1206" s="17" t="s">
        <v>5423</v>
      </c>
      <c r="E1206" s="17">
        <v>61</v>
      </c>
      <c r="F1206" s="27">
        <v>17</v>
      </c>
      <c r="G1206" s="17" t="s">
        <v>2579</v>
      </c>
      <c r="H1206" s="17" t="s">
        <v>2588</v>
      </c>
    </row>
    <row r="1207" spans="1:8" x14ac:dyDescent="0.25">
      <c r="A1207" s="16" t="s">
        <v>2589</v>
      </c>
      <c r="B1207" s="17" t="s">
        <v>254</v>
      </c>
      <c r="C1207" s="17" t="s">
        <v>5424</v>
      </c>
      <c r="D1207" s="17" t="s">
        <v>5425</v>
      </c>
      <c r="E1207" s="17">
        <v>61</v>
      </c>
      <c r="F1207" s="27">
        <v>17</v>
      </c>
      <c r="G1207" s="17" t="s">
        <v>2579</v>
      </c>
      <c r="H1207" s="17" t="s">
        <v>2590</v>
      </c>
    </row>
    <row r="1208" spans="1:8" x14ac:dyDescent="0.25">
      <c r="A1208" s="16" t="s">
        <v>2591</v>
      </c>
      <c r="B1208" s="17" t="s">
        <v>1529</v>
      </c>
      <c r="C1208" s="17" t="s">
        <v>5426</v>
      </c>
      <c r="D1208" s="17" t="s">
        <v>5427</v>
      </c>
      <c r="E1208" s="17">
        <v>61</v>
      </c>
      <c r="F1208" s="27">
        <v>17</v>
      </c>
      <c r="G1208" s="17" t="s">
        <v>2579</v>
      </c>
      <c r="H1208" s="17" t="s">
        <v>2592</v>
      </c>
    </row>
    <row r="1209" spans="1:8" x14ac:dyDescent="0.25">
      <c r="A1209" s="16" t="s">
        <v>2593</v>
      </c>
      <c r="B1209" s="17" t="s">
        <v>2594</v>
      </c>
      <c r="C1209" s="17" t="s">
        <v>3766</v>
      </c>
      <c r="D1209" s="17" t="s">
        <v>5428</v>
      </c>
      <c r="E1209" s="17">
        <v>61</v>
      </c>
      <c r="F1209" s="27">
        <v>17</v>
      </c>
      <c r="G1209" s="17" t="s">
        <v>2579</v>
      </c>
      <c r="H1209" s="17" t="s">
        <v>2595</v>
      </c>
    </row>
    <row r="1210" spans="1:8" x14ac:dyDescent="0.25">
      <c r="A1210" s="16" t="s">
        <v>2596</v>
      </c>
      <c r="B1210" s="17" t="s">
        <v>97</v>
      </c>
      <c r="C1210" s="17" t="s">
        <v>5429</v>
      </c>
      <c r="D1210" s="17" t="s">
        <v>5430</v>
      </c>
      <c r="E1210" s="17">
        <v>61</v>
      </c>
      <c r="F1210" s="27">
        <v>17</v>
      </c>
      <c r="G1210" s="17" t="s">
        <v>2579</v>
      </c>
      <c r="H1210" s="17" t="s">
        <v>2597</v>
      </c>
    </row>
    <row r="1211" spans="1:8" x14ac:dyDescent="0.25">
      <c r="A1211" s="16" t="s">
        <v>2598</v>
      </c>
      <c r="B1211" s="17" t="s">
        <v>2599</v>
      </c>
      <c r="C1211" s="17" t="s">
        <v>5408</v>
      </c>
      <c r="D1211" s="17" t="s">
        <v>4590</v>
      </c>
      <c r="E1211" s="17">
        <v>61</v>
      </c>
      <c r="F1211" s="27">
        <v>17</v>
      </c>
      <c r="G1211" s="17" t="s">
        <v>2600</v>
      </c>
      <c r="H1211" s="17" t="s">
        <v>2601</v>
      </c>
    </row>
    <row r="1212" spans="1:8" x14ac:dyDescent="0.25">
      <c r="A1212" s="16" t="s">
        <v>2602</v>
      </c>
      <c r="B1212" s="17" t="s">
        <v>157</v>
      </c>
      <c r="C1212" s="17" t="s">
        <v>5431</v>
      </c>
      <c r="D1212" s="17" t="s">
        <v>5432</v>
      </c>
      <c r="E1212" s="17">
        <v>61</v>
      </c>
      <c r="F1212" s="27">
        <v>17</v>
      </c>
      <c r="G1212" s="17" t="s">
        <v>2600</v>
      </c>
      <c r="H1212" s="17" t="s">
        <v>2603</v>
      </c>
    </row>
    <row r="1213" spans="1:8" x14ac:dyDescent="0.25">
      <c r="A1213" s="16" t="s">
        <v>2604</v>
      </c>
      <c r="B1213" s="17" t="s">
        <v>1178</v>
      </c>
      <c r="C1213" s="17" t="s">
        <v>3766</v>
      </c>
      <c r="D1213" s="17" t="s">
        <v>5433</v>
      </c>
      <c r="E1213" s="17">
        <v>61</v>
      </c>
      <c r="F1213" s="27">
        <v>17</v>
      </c>
      <c r="G1213" s="17" t="s">
        <v>2600</v>
      </c>
      <c r="H1213" s="17" t="s">
        <v>2605</v>
      </c>
    </row>
    <row r="1214" spans="1:8" x14ac:dyDescent="0.25">
      <c r="A1214" s="16" t="s">
        <v>2606</v>
      </c>
      <c r="B1214" s="17" t="s">
        <v>652</v>
      </c>
      <c r="C1214" s="17" t="s">
        <v>5434</v>
      </c>
      <c r="D1214" s="17" t="s">
        <v>5435</v>
      </c>
      <c r="E1214" s="17">
        <v>61</v>
      </c>
      <c r="F1214" s="27">
        <v>17</v>
      </c>
      <c r="G1214" s="17" t="s">
        <v>2600</v>
      </c>
      <c r="H1214" s="17" t="s">
        <v>2607</v>
      </c>
    </row>
    <row r="1215" spans="1:8" x14ac:dyDescent="0.25">
      <c r="A1215" s="16" t="s">
        <v>2608</v>
      </c>
      <c r="B1215" s="17" t="s">
        <v>1652</v>
      </c>
      <c r="C1215" s="17" t="s">
        <v>5426</v>
      </c>
      <c r="D1215" s="17" t="s">
        <v>5436</v>
      </c>
      <c r="E1215" s="17">
        <v>61</v>
      </c>
      <c r="F1215" s="27">
        <v>17</v>
      </c>
      <c r="G1215" s="17" t="s">
        <v>2600</v>
      </c>
      <c r="H1215" s="17" t="s">
        <v>2609</v>
      </c>
    </row>
    <row r="1216" spans="1:8" x14ac:dyDescent="0.25">
      <c r="A1216" s="16" t="s">
        <v>2610</v>
      </c>
      <c r="B1216" s="17" t="s">
        <v>660</v>
      </c>
      <c r="C1216" s="17" t="s">
        <v>3843</v>
      </c>
      <c r="D1216" s="17" t="s">
        <v>5437</v>
      </c>
      <c r="E1216" s="17">
        <v>61</v>
      </c>
      <c r="F1216" s="27">
        <v>17</v>
      </c>
      <c r="G1216" s="17" t="s">
        <v>2600</v>
      </c>
      <c r="H1216" s="17" t="s">
        <v>2611</v>
      </c>
    </row>
    <row r="1217" spans="1:8" x14ac:dyDescent="0.25">
      <c r="A1217" s="16" t="s">
        <v>2612</v>
      </c>
      <c r="B1217" s="17" t="s">
        <v>120</v>
      </c>
      <c r="C1217" s="17" t="s">
        <v>3758</v>
      </c>
      <c r="D1217" s="17" t="s">
        <v>5438</v>
      </c>
      <c r="E1217" s="17">
        <v>61</v>
      </c>
      <c r="F1217" s="27">
        <v>17</v>
      </c>
      <c r="G1217" s="17" t="s">
        <v>2600</v>
      </c>
      <c r="H1217" s="17" t="s">
        <v>2613</v>
      </c>
    </row>
    <row r="1218" spans="1:8" x14ac:dyDescent="0.25">
      <c r="A1218" s="16" t="s">
        <v>2614</v>
      </c>
      <c r="B1218" s="17" t="s">
        <v>480</v>
      </c>
      <c r="C1218" s="17" t="s">
        <v>3871</v>
      </c>
      <c r="D1218" s="17" t="s">
        <v>5439</v>
      </c>
      <c r="E1218" s="17">
        <v>61</v>
      </c>
      <c r="F1218" s="27">
        <v>17</v>
      </c>
      <c r="G1218" s="17" t="s">
        <v>2600</v>
      </c>
      <c r="H1218" s="17" t="s">
        <v>2615</v>
      </c>
    </row>
    <row r="1219" spans="1:8" x14ac:dyDescent="0.25">
      <c r="A1219" s="16" t="s">
        <v>2616</v>
      </c>
      <c r="B1219" s="17" t="s">
        <v>135</v>
      </c>
      <c r="C1219" s="17" t="s">
        <v>5440</v>
      </c>
      <c r="D1219" s="17" t="s">
        <v>5441</v>
      </c>
      <c r="E1219" s="17">
        <v>61</v>
      </c>
      <c r="F1219" s="27">
        <v>17</v>
      </c>
      <c r="G1219" s="17" t="s">
        <v>2600</v>
      </c>
      <c r="H1219" s="17" t="s">
        <v>2617</v>
      </c>
    </row>
    <row r="1220" spans="1:8" x14ac:dyDescent="0.25">
      <c r="A1220" s="16" t="s">
        <v>2618</v>
      </c>
      <c r="B1220" s="17" t="s">
        <v>2619</v>
      </c>
      <c r="C1220" s="17" t="s">
        <v>5442</v>
      </c>
      <c r="D1220" s="17" t="s">
        <v>5443</v>
      </c>
      <c r="E1220" s="17">
        <v>61</v>
      </c>
      <c r="F1220" s="27">
        <v>17</v>
      </c>
      <c r="G1220" s="17" t="s">
        <v>2600</v>
      </c>
      <c r="H1220" s="17" t="s">
        <v>2620</v>
      </c>
    </row>
    <row r="1221" spans="1:8" x14ac:dyDescent="0.25">
      <c r="A1221" s="16" t="s">
        <v>2621</v>
      </c>
      <c r="B1221" s="17" t="s">
        <v>2622</v>
      </c>
      <c r="C1221" s="17" t="s">
        <v>5444</v>
      </c>
      <c r="D1221" s="17" t="s">
        <v>5445</v>
      </c>
      <c r="E1221" s="17">
        <v>61</v>
      </c>
      <c r="F1221" s="27">
        <v>17</v>
      </c>
      <c r="G1221" s="17" t="s">
        <v>2600</v>
      </c>
      <c r="H1221" s="17" t="s">
        <v>2623</v>
      </c>
    </row>
    <row r="1222" spans="1:8" x14ac:dyDescent="0.25">
      <c r="A1222" s="16" t="s">
        <v>2624</v>
      </c>
      <c r="B1222" s="17" t="s">
        <v>41</v>
      </c>
      <c r="C1222" s="17" t="s">
        <v>5446</v>
      </c>
      <c r="D1222" s="17" t="s">
        <v>5447</v>
      </c>
      <c r="E1222" s="17">
        <v>61</v>
      </c>
      <c r="F1222" s="27">
        <v>17</v>
      </c>
      <c r="G1222" s="17" t="s">
        <v>2600</v>
      </c>
      <c r="H1222" s="17" t="s">
        <v>2625</v>
      </c>
    </row>
    <row r="1223" spans="1:8" x14ac:dyDescent="0.25">
      <c r="A1223" s="16" t="s">
        <v>2626</v>
      </c>
      <c r="B1223" s="17" t="s">
        <v>103</v>
      </c>
      <c r="C1223" s="17" t="s">
        <v>3758</v>
      </c>
      <c r="D1223" s="17" t="s">
        <v>5448</v>
      </c>
      <c r="E1223" s="17">
        <v>61</v>
      </c>
      <c r="F1223" s="27">
        <v>17</v>
      </c>
      <c r="G1223" s="17" t="s">
        <v>2600</v>
      </c>
      <c r="H1223" s="17" t="s">
        <v>2627</v>
      </c>
    </row>
    <row r="1224" spans="1:8" x14ac:dyDescent="0.25">
      <c r="A1224" s="16" t="s">
        <v>2628</v>
      </c>
      <c r="B1224" s="17" t="s">
        <v>254</v>
      </c>
      <c r="C1224" s="17" t="s">
        <v>5449</v>
      </c>
      <c r="D1224" s="17" t="s">
        <v>5450</v>
      </c>
      <c r="E1224" s="17">
        <v>61</v>
      </c>
      <c r="F1224" s="27">
        <v>17</v>
      </c>
      <c r="G1224" s="17" t="s">
        <v>2600</v>
      </c>
      <c r="H1224" s="17" t="s">
        <v>2629</v>
      </c>
    </row>
    <row r="1225" spans="1:8" x14ac:dyDescent="0.25">
      <c r="A1225" s="16" t="s">
        <v>2630</v>
      </c>
      <c r="B1225" s="17" t="s">
        <v>510</v>
      </c>
      <c r="C1225" s="17" t="s">
        <v>5451</v>
      </c>
      <c r="D1225" s="17" t="s">
        <v>5452</v>
      </c>
      <c r="E1225" s="17">
        <v>61</v>
      </c>
      <c r="F1225" s="27">
        <v>17</v>
      </c>
      <c r="G1225" s="17" t="s">
        <v>2600</v>
      </c>
      <c r="H1225" s="17" t="s">
        <v>2631</v>
      </c>
    </row>
    <row r="1226" spans="1:8" x14ac:dyDescent="0.25">
      <c r="A1226" s="16" t="s">
        <v>2632</v>
      </c>
      <c r="B1226" s="17" t="s">
        <v>2633</v>
      </c>
      <c r="C1226" s="17" t="s">
        <v>5453</v>
      </c>
      <c r="D1226" s="17" t="s">
        <v>5454</v>
      </c>
      <c r="E1226" s="17">
        <v>61</v>
      </c>
      <c r="F1226" s="27">
        <v>17</v>
      </c>
      <c r="G1226" s="17" t="s">
        <v>2600</v>
      </c>
      <c r="H1226" s="17" t="s">
        <v>2634</v>
      </c>
    </row>
    <row r="1227" spans="1:8" x14ac:dyDescent="0.25">
      <c r="A1227" s="16" t="s">
        <v>2635</v>
      </c>
      <c r="B1227" s="17" t="s">
        <v>1507</v>
      </c>
      <c r="C1227" s="17" t="s">
        <v>3766</v>
      </c>
      <c r="D1227" s="17" t="s">
        <v>5455</v>
      </c>
      <c r="E1227" s="17">
        <v>62</v>
      </c>
      <c r="F1227" s="16">
        <v>4</v>
      </c>
      <c r="G1227" s="17" t="s">
        <v>89</v>
      </c>
      <c r="H1227" s="17" t="s">
        <v>2636</v>
      </c>
    </row>
    <row r="1228" spans="1:8" x14ac:dyDescent="0.25">
      <c r="A1228" s="16" t="s">
        <v>2637</v>
      </c>
      <c r="B1228" s="17" t="s">
        <v>301</v>
      </c>
      <c r="C1228" s="17" t="s">
        <v>3766</v>
      </c>
      <c r="D1228" s="17" t="s">
        <v>5456</v>
      </c>
      <c r="E1228" s="17">
        <v>62</v>
      </c>
      <c r="F1228" s="16">
        <v>4</v>
      </c>
      <c r="G1228" s="17" t="s">
        <v>89</v>
      </c>
      <c r="H1228" s="17" t="s">
        <v>1471</v>
      </c>
    </row>
    <row r="1229" spans="1:8" x14ac:dyDescent="0.25">
      <c r="A1229" s="16" t="s">
        <v>2638</v>
      </c>
      <c r="B1229" s="17" t="s">
        <v>1784</v>
      </c>
      <c r="C1229" s="17" t="s">
        <v>3766</v>
      </c>
      <c r="D1229" s="17" t="s">
        <v>5457</v>
      </c>
      <c r="E1229" s="17">
        <v>62</v>
      </c>
      <c r="F1229" s="16">
        <v>4</v>
      </c>
      <c r="G1229" s="17" t="s">
        <v>89</v>
      </c>
      <c r="H1229" s="17" t="s">
        <v>2232</v>
      </c>
    </row>
    <row r="1230" spans="1:8" x14ac:dyDescent="0.25">
      <c r="A1230" s="16" t="s">
        <v>2639</v>
      </c>
      <c r="B1230" s="17" t="s">
        <v>63</v>
      </c>
      <c r="C1230" s="17" t="s">
        <v>3766</v>
      </c>
      <c r="D1230" s="17" t="s">
        <v>5458</v>
      </c>
      <c r="E1230" s="17">
        <v>62</v>
      </c>
      <c r="F1230" s="16">
        <v>4</v>
      </c>
      <c r="G1230" s="17" t="s">
        <v>89</v>
      </c>
      <c r="H1230" s="17" t="s">
        <v>2640</v>
      </c>
    </row>
    <row r="1231" spans="1:8" x14ac:dyDescent="0.25">
      <c r="A1231" s="16" t="s">
        <v>2641</v>
      </c>
      <c r="B1231" s="17" t="s">
        <v>135</v>
      </c>
      <c r="C1231" s="17" t="s">
        <v>3766</v>
      </c>
      <c r="D1231" s="17" t="s">
        <v>5459</v>
      </c>
      <c r="E1231" s="17">
        <v>62</v>
      </c>
      <c r="F1231" s="16">
        <v>4</v>
      </c>
      <c r="G1231" s="17" t="s">
        <v>1479</v>
      </c>
      <c r="H1231" s="17" t="s">
        <v>2642</v>
      </c>
    </row>
    <row r="1232" spans="1:8" x14ac:dyDescent="0.25">
      <c r="A1232" s="16" t="s">
        <v>2643</v>
      </c>
      <c r="B1232" s="17" t="s">
        <v>2644</v>
      </c>
      <c r="C1232" s="17" t="s">
        <v>3766</v>
      </c>
      <c r="D1232" s="17" t="s">
        <v>5460</v>
      </c>
      <c r="E1232" s="17">
        <v>62</v>
      </c>
      <c r="F1232" s="16">
        <v>4</v>
      </c>
      <c r="G1232" s="17" t="s">
        <v>1479</v>
      </c>
      <c r="H1232" s="17" t="s">
        <v>2645</v>
      </c>
    </row>
    <row r="1233" spans="1:8" x14ac:dyDescent="0.25">
      <c r="A1233" s="16" t="s">
        <v>2646</v>
      </c>
      <c r="B1233" s="17" t="s">
        <v>77</v>
      </c>
      <c r="C1233" s="17" t="s">
        <v>3766</v>
      </c>
      <c r="D1233" s="17" t="s">
        <v>5461</v>
      </c>
      <c r="E1233" s="17">
        <v>62</v>
      </c>
      <c r="F1233" s="16">
        <v>4</v>
      </c>
      <c r="G1233" s="17" t="s">
        <v>1479</v>
      </c>
      <c r="H1233" s="17" t="s">
        <v>2647</v>
      </c>
    </row>
    <row r="1234" spans="1:8" x14ac:dyDescent="0.25">
      <c r="A1234" s="16" t="s">
        <v>2648</v>
      </c>
      <c r="B1234" s="17" t="s">
        <v>57</v>
      </c>
      <c r="C1234" s="17" t="s">
        <v>3766</v>
      </c>
      <c r="D1234" s="17" t="s">
        <v>5462</v>
      </c>
      <c r="E1234" s="17">
        <v>62</v>
      </c>
      <c r="F1234" s="16">
        <v>4</v>
      </c>
      <c r="G1234" s="17" t="s">
        <v>1479</v>
      </c>
      <c r="H1234" s="17" t="s">
        <v>2649</v>
      </c>
    </row>
    <row r="1235" spans="1:8" x14ac:dyDescent="0.25">
      <c r="A1235" s="16" t="s">
        <v>2650</v>
      </c>
      <c r="B1235" s="17" t="s">
        <v>2651</v>
      </c>
      <c r="C1235" s="17" t="s">
        <v>3766</v>
      </c>
      <c r="D1235" s="17" t="s">
        <v>5463</v>
      </c>
      <c r="E1235" s="17">
        <v>62</v>
      </c>
      <c r="F1235" s="16">
        <v>4</v>
      </c>
      <c r="G1235" s="17" t="s">
        <v>1479</v>
      </c>
      <c r="H1235" s="17" t="s">
        <v>2652</v>
      </c>
    </row>
    <row r="1236" spans="1:8" x14ac:dyDescent="0.25">
      <c r="A1236" s="16" t="s">
        <v>2653</v>
      </c>
      <c r="B1236" s="17" t="s">
        <v>2654</v>
      </c>
      <c r="C1236" s="17" t="s">
        <v>3758</v>
      </c>
      <c r="D1236" s="17" t="s">
        <v>5464</v>
      </c>
      <c r="E1236" s="17">
        <v>62</v>
      </c>
      <c r="F1236" s="16">
        <v>4</v>
      </c>
      <c r="G1236" s="17" t="s">
        <v>1479</v>
      </c>
      <c r="H1236" s="17" t="s">
        <v>2655</v>
      </c>
    </row>
    <row r="1237" spans="1:8" x14ac:dyDescent="0.25">
      <c r="A1237" s="16" t="s">
        <v>2656</v>
      </c>
      <c r="B1237" s="17" t="s">
        <v>166</v>
      </c>
      <c r="C1237" s="17" t="s">
        <v>5465</v>
      </c>
      <c r="D1237" s="17" t="s">
        <v>5466</v>
      </c>
      <c r="E1237" s="17">
        <v>62</v>
      </c>
      <c r="F1237" s="16">
        <v>4</v>
      </c>
      <c r="G1237" s="17" t="s">
        <v>1479</v>
      </c>
      <c r="H1237" s="17" t="s">
        <v>2657</v>
      </c>
    </row>
    <row r="1238" spans="1:8" x14ac:dyDescent="0.25">
      <c r="A1238" s="16" t="s">
        <v>2658</v>
      </c>
      <c r="B1238" s="17" t="s">
        <v>2659</v>
      </c>
      <c r="C1238" s="17" t="s">
        <v>4108</v>
      </c>
      <c r="D1238" s="17" t="s">
        <v>5467</v>
      </c>
      <c r="E1238" s="17">
        <v>62</v>
      </c>
      <c r="F1238" s="16">
        <v>4</v>
      </c>
      <c r="G1238" s="17" t="s">
        <v>1479</v>
      </c>
      <c r="H1238" s="17" t="s">
        <v>1471</v>
      </c>
    </row>
    <row r="1239" spans="1:8" x14ac:dyDescent="0.25">
      <c r="A1239" s="16" t="s">
        <v>2660</v>
      </c>
      <c r="B1239" s="17" t="s">
        <v>151</v>
      </c>
      <c r="C1239" s="17" t="s">
        <v>3766</v>
      </c>
      <c r="D1239" s="17" t="s">
        <v>5468</v>
      </c>
      <c r="E1239" s="17">
        <v>62</v>
      </c>
      <c r="F1239" s="16">
        <v>4</v>
      </c>
      <c r="G1239" s="17" t="s">
        <v>1479</v>
      </c>
      <c r="H1239" s="17" t="s">
        <v>2661</v>
      </c>
    </row>
    <row r="1240" spans="1:8" x14ac:dyDescent="0.25">
      <c r="A1240" s="16" t="s">
        <v>2662</v>
      </c>
      <c r="B1240" s="17" t="s">
        <v>2663</v>
      </c>
      <c r="C1240" s="17" t="s">
        <v>5469</v>
      </c>
      <c r="D1240" s="17" t="s">
        <v>5470</v>
      </c>
      <c r="E1240" s="17">
        <v>62</v>
      </c>
      <c r="F1240" s="16">
        <v>4</v>
      </c>
      <c r="G1240" s="17" t="s">
        <v>319</v>
      </c>
      <c r="H1240" s="17" t="s">
        <v>319</v>
      </c>
    </row>
    <row r="1241" spans="1:8" x14ac:dyDescent="0.25">
      <c r="A1241" s="16" t="s">
        <v>2664</v>
      </c>
      <c r="B1241" s="17" t="s">
        <v>1773</v>
      </c>
      <c r="C1241" s="17" t="s">
        <v>5471</v>
      </c>
      <c r="D1241" s="17" t="s">
        <v>5472</v>
      </c>
      <c r="E1241" s="17">
        <v>62</v>
      </c>
      <c r="F1241" s="16">
        <v>4</v>
      </c>
      <c r="G1241" s="17" t="s">
        <v>319</v>
      </c>
      <c r="H1241" s="17" t="s">
        <v>319</v>
      </c>
    </row>
    <row r="1242" spans="1:8" x14ac:dyDescent="0.25">
      <c r="A1242" s="16" t="s">
        <v>2665</v>
      </c>
      <c r="B1242" s="17" t="s">
        <v>411</v>
      </c>
      <c r="C1242" s="17" t="s">
        <v>5473</v>
      </c>
      <c r="D1242" s="17" t="s">
        <v>5474</v>
      </c>
      <c r="E1242" s="17">
        <v>62</v>
      </c>
      <c r="F1242" s="16">
        <v>4</v>
      </c>
      <c r="G1242" s="17" t="s">
        <v>319</v>
      </c>
      <c r="H1242" s="17" t="s">
        <v>2666</v>
      </c>
    </row>
    <row r="1243" spans="1:8" x14ac:dyDescent="0.25">
      <c r="A1243" s="16" t="s">
        <v>2667</v>
      </c>
      <c r="B1243" s="17" t="s">
        <v>1012</v>
      </c>
      <c r="C1243" s="17" t="s">
        <v>5475</v>
      </c>
      <c r="D1243" s="17" t="s">
        <v>5476</v>
      </c>
      <c r="E1243" s="17">
        <v>63</v>
      </c>
      <c r="F1243" s="27">
        <v>17</v>
      </c>
      <c r="G1243" s="17" t="s">
        <v>2668</v>
      </c>
      <c r="H1243" s="17" t="s">
        <v>2668</v>
      </c>
    </row>
    <row r="1244" spans="1:8" x14ac:dyDescent="0.25">
      <c r="A1244" s="16" t="s">
        <v>2669</v>
      </c>
      <c r="B1244" s="17" t="s">
        <v>166</v>
      </c>
      <c r="C1244" s="17" t="s">
        <v>3766</v>
      </c>
      <c r="D1244" s="17" t="s">
        <v>5477</v>
      </c>
      <c r="E1244" s="17">
        <v>63</v>
      </c>
      <c r="F1244" s="27">
        <v>17</v>
      </c>
      <c r="G1244" s="17" t="s">
        <v>2668</v>
      </c>
      <c r="H1244" s="17" t="s">
        <v>2670</v>
      </c>
    </row>
    <row r="1245" spans="1:8" x14ac:dyDescent="0.25">
      <c r="A1245" s="16" t="s">
        <v>2671</v>
      </c>
      <c r="B1245" s="17" t="s">
        <v>2672</v>
      </c>
      <c r="C1245" s="17" t="s">
        <v>3766</v>
      </c>
      <c r="D1245" s="17" t="s">
        <v>5478</v>
      </c>
      <c r="E1245" s="17">
        <v>63</v>
      </c>
      <c r="F1245" s="27">
        <v>17</v>
      </c>
      <c r="G1245" s="17" t="s">
        <v>2668</v>
      </c>
      <c r="H1245" s="17" t="s">
        <v>682</v>
      </c>
    </row>
    <row r="1246" spans="1:8" x14ac:dyDescent="0.25">
      <c r="A1246" s="16" t="s">
        <v>2673</v>
      </c>
      <c r="B1246" s="17" t="s">
        <v>166</v>
      </c>
      <c r="C1246" s="17" t="s">
        <v>5479</v>
      </c>
      <c r="D1246" s="17" t="s">
        <v>5480</v>
      </c>
      <c r="E1246" s="17">
        <v>63</v>
      </c>
      <c r="F1246" s="27">
        <v>17</v>
      </c>
      <c r="G1246" s="17" t="s">
        <v>2668</v>
      </c>
      <c r="H1246" s="17" t="s">
        <v>2674</v>
      </c>
    </row>
    <row r="1247" spans="1:8" x14ac:dyDescent="0.25">
      <c r="A1247" s="16" t="s">
        <v>2675</v>
      </c>
      <c r="B1247" s="17" t="s">
        <v>2676</v>
      </c>
      <c r="C1247" s="17" t="s">
        <v>3766</v>
      </c>
      <c r="D1247" s="17" t="s">
        <v>5481</v>
      </c>
      <c r="E1247" s="17">
        <v>63</v>
      </c>
      <c r="F1247" s="27">
        <v>17</v>
      </c>
      <c r="G1247" s="17" t="s">
        <v>2668</v>
      </c>
      <c r="H1247" s="17" t="s">
        <v>2677</v>
      </c>
    </row>
    <row r="1248" spans="1:8" x14ac:dyDescent="0.25">
      <c r="A1248" s="16" t="s">
        <v>2678</v>
      </c>
      <c r="B1248" s="17" t="s">
        <v>166</v>
      </c>
      <c r="C1248" s="17" t="s">
        <v>5482</v>
      </c>
      <c r="D1248" s="17" t="s">
        <v>5483</v>
      </c>
      <c r="E1248" s="17">
        <v>63</v>
      </c>
      <c r="F1248" s="27">
        <v>17</v>
      </c>
      <c r="G1248" s="17" t="s">
        <v>2668</v>
      </c>
      <c r="H1248" s="17" t="s">
        <v>2679</v>
      </c>
    </row>
    <row r="1249" spans="1:8" x14ac:dyDescent="0.25">
      <c r="A1249" s="16" t="s">
        <v>2680</v>
      </c>
      <c r="B1249" s="17" t="s">
        <v>295</v>
      </c>
      <c r="C1249" s="17" t="s">
        <v>5484</v>
      </c>
      <c r="D1249" s="17" t="s">
        <v>5485</v>
      </c>
      <c r="E1249" s="17">
        <v>63</v>
      </c>
      <c r="F1249" s="27">
        <v>17</v>
      </c>
      <c r="G1249" s="17" t="s">
        <v>2681</v>
      </c>
      <c r="H1249" s="17" t="s">
        <v>2681</v>
      </c>
    </row>
    <row r="1250" spans="1:8" x14ac:dyDescent="0.25">
      <c r="A1250" s="16" t="s">
        <v>2682</v>
      </c>
      <c r="B1250" s="17" t="s">
        <v>2683</v>
      </c>
      <c r="C1250" s="17" t="s">
        <v>3766</v>
      </c>
      <c r="D1250" s="17" t="s">
        <v>5486</v>
      </c>
      <c r="E1250" s="17">
        <v>63</v>
      </c>
      <c r="F1250" s="27">
        <v>17</v>
      </c>
      <c r="G1250" s="17" t="s">
        <v>2681</v>
      </c>
      <c r="H1250" s="17" t="s">
        <v>2684</v>
      </c>
    </row>
    <row r="1251" spans="1:8" x14ac:dyDescent="0.25">
      <c r="A1251" s="16" t="s">
        <v>2685</v>
      </c>
      <c r="B1251" s="17" t="s">
        <v>151</v>
      </c>
      <c r="C1251" s="17" t="s">
        <v>3766</v>
      </c>
      <c r="D1251" s="17" t="s">
        <v>5487</v>
      </c>
      <c r="E1251" s="17">
        <v>63</v>
      </c>
      <c r="F1251" s="27">
        <v>17</v>
      </c>
      <c r="G1251" s="17" t="s">
        <v>2681</v>
      </c>
      <c r="H1251" s="17" t="s">
        <v>2686</v>
      </c>
    </row>
    <row r="1252" spans="1:8" x14ac:dyDescent="0.25">
      <c r="A1252" s="16" t="s">
        <v>2687</v>
      </c>
      <c r="B1252" s="17" t="s">
        <v>510</v>
      </c>
      <c r="C1252" s="17" t="s">
        <v>3766</v>
      </c>
      <c r="D1252" s="17" t="s">
        <v>5488</v>
      </c>
      <c r="E1252" s="17">
        <v>63</v>
      </c>
      <c r="F1252" s="27">
        <v>17</v>
      </c>
      <c r="G1252" s="17" t="s">
        <v>2681</v>
      </c>
      <c r="H1252" s="17" t="s">
        <v>2688</v>
      </c>
    </row>
    <row r="1253" spans="1:8" x14ac:dyDescent="0.25">
      <c r="A1253" s="16" t="s">
        <v>2689</v>
      </c>
      <c r="B1253" s="17" t="s">
        <v>166</v>
      </c>
      <c r="C1253" s="17" t="s">
        <v>3766</v>
      </c>
      <c r="D1253" s="17" t="s">
        <v>5489</v>
      </c>
      <c r="E1253" s="17">
        <v>63</v>
      </c>
      <c r="F1253" s="27">
        <v>17</v>
      </c>
      <c r="G1253" s="17" t="s">
        <v>2681</v>
      </c>
      <c r="H1253" s="17" t="s">
        <v>2690</v>
      </c>
    </row>
    <row r="1254" spans="1:8" x14ac:dyDescent="0.25">
      <c r="A1254" s="16" t="s">
        <v>2691</v>
      </c>
      <c r="B1254" s="17" t="s">
        <v>166</v>
      </c>
      <c r="C1254" s="17" t="s">
        <v>3766</v>
      </c>
      <c r="D1254" s="17" t="s">
        <v>5490</v>
      </c>
      <c r="E1254" s="17">
        <v>63</v>
      </c>
      <c r="F1254" s="27">
        <v>17</v>
      </c>
      <c r="G1254" s="17" t="s">
        <v>2681</v>
      </c>
      <c r="H1254" s="17" t="s">
        <v>2692</v>
      </c>
    </row>
    <row r="1255" spans="1:8" x14ac:dyDescent="0.25">
      <c r="A1255" s="16" t="s">
        <v>2693</v>
      </c>
      <c r="B1255" s="17" t="s">
        <v>135</v>
      </c>
      <c r="C1255" s="17" t="s">
        <v>3766</v>
      </c>
      <c r="D1255" s="17" t="s">
        <v>5491</v>
      </c>
      <c r="E1255" s="17">
        <v>63</v>
      </c>
      <c r="F1255" s="27">
        <v>17</v>
      </c>
      <c r="G1255" s="17" t="s">
        <v>2681</v>
      </c>
      <c r="H1255" s="17" t="s">
        <v>2694</v>
      </c>
    </row>
    <row r="1256" spans="1:8" x14ac:dyDescent="0.25">
      <c r="A1256" s="16" t="s">
        <v>2695</v>
      </c>
      <c r="B1256" s="17" t="s">
        <v>166</v>
      </c>
      <c r="C1256" s="17" t="s">
        <v>3758</v>
      </c>
      <c r="D1256" s="17" t="s">
        <v>5492</v>
      </c>
      <c r="E1256" s="17">
        <v>63</v>
      </c>
      <c r="F1256" s="27">
        <v>17</v>
      </c>
      <c r="G1256" s="17" t="s">
        <v>2681</v>
      </c>
      <c r="H1256" s="17" t="s">
        <v>2696</v>
      </c>
    </row>
    <row r="1257" spans="1:8" x14ac:dyDescent="0.25">
      <c r="A1257" s="16" t="s">
        <v>2697</v>
      </c>
      <c r="B1257" s="17" t="s">
        <v>166</v>
      </c>
      <c r="C1257" s="17" t="s">
        <v>3758</v>
      </c>
      <c r="D1257" s="17" t="s">
        <v>5493</v>
      </c>
      <c r="E1257" s="17">
        <v>63</v>
      </c>
      <c r="F1257" s="27">
        <v>17</v>
      </c>
      <c r="G1257" s="17" t="s">
        <v>2681</v>
      </c>
      <c r="H1257" s="17" t="s">
        <v>2698</v>
      </c>
    </row>
    <row r="1258" spans="1:8" x14ac:dyDescent="0.25">
      <c r="A1258" s="16" t="s">
        <v>2699</v>
      </c>
      <c r="B1258" s="17" t="s">
        <v>166</v>
      </c>
      <c r="C1258" s="17" t="s">
        <v>3758</v>
      </c>
      <c r="D1258" s="17" t="s">
        <v>5494</v>
      </c>
      <c r="E1258" s="17">
        <v>63</v>
      </c>
      <c r="F1258" s="27">
        <v>17</v>
      </c>
      <c r="G1258" s="17" t="s">
        <v>2700</v>
      </c>
      <c r="H1258" s="17" t="s">
        <v>2701</v>
      </c>
    </row>
    <row r="1259" spans="1:8" x14ac:dyDescent="0.25">
      <c r="A1259" s="16" t="s">
        <v>2702</v>
      </c>
      <c r="B1259" s="17" t="s">
        <v>41</v>
      </c>
      <c r="C1259" s="17" t="s">
        <v>5495</v>
      </c>
      <c r="D1259" s="17" t="s">
        <v>5496</v>
      </c>
      <c r="E1259" s="17">
        <v>63</v>
      </c>
      <c r="F1259" s="27">
        <v>17</v>
      </c>
      <c r="G1259" s="17" t="s">
        <v>2703</v>
      </c>
      <c r="H1259" s="17" t="s">
        <v>2704</v>
      </c>
    </row>
    <row r="1260" spans="1:8" x14ac:dyDescent="0.25">
      <c r="A1260" s="16" t="s">
        <v>2705</v>
      </c>
      <c r="B1260" s="17" t="s">
        <v>166</v>
      </c>
      <c r="C1260" s="17" t="s">
        <v>3766</v>
      </c>
      <c r="D1260" s="17" t="s">
        <v>5497</v>
      </c>
      <c r="E1260" s="17">
        <v>63</v>
      </c>
      <c r="F1260" s="27">
        <v>17</v>
      </c>
      <c r="G1260" s="17" t="s">
        <v>2703</v>
      </c>
      <c r="H1260" s="17" t="s">
        <v>2706</v>
      </c>
    </row>
    <row r="1261" spans="1:8" x14ac:dyDescent="0.25">
      <c r="A1261" s="16" t="s">
        <v>2707</v>
      </c>
      <c r="B1261" s="17" t="s">
        <v>46</v>
      </c>
      <c r="C1261" s="17" t="s">
        <v>3766</v>
      </c>
      <c r="D1261" s="17" t="s">
        <v>5498</v>
      </c>
      <c r="E1261" s="17">
        <v>63</v>
      </c>
      <c r="F1261" s="27">
        <v>17</v>
      </c>
      <c r="G1261" s="17" t="s">
        <v>2703</v>
      </c>
      <c r="H1261" s="17" t="s">
        <v>2708</v>
      </c>
    </row>
    <row r="1262" spans="1:8" x14ac:dyDescent="0.25">
      <c r="A1262" s="16" t="s">
        <v>2709</v>
      </c>
      <c r="B1262" s="17" t="s">
        <v>166</v>
      </c>
      <c r="C1262" s="17" t="s">
        <v>3766</v>
      </c>
      <c r="D1262" s="17" t="s">
        <v>5499</v>
      </c>
      <c r="E1262" s="17">
        <v>63</v>
      </c>
      <c r="F1262" s="27">
        <v>17</v>
      </c>
      <c r="G1262" s="17" t="s">
        <v>2703</v>
      </c>
      <c r="H1262" s="17" t="s">
        <v>2710</v>
      </c>
    </row>
    <row r="1263" spans="1:8" x14ac:dyDescent="0.25">
      <c r="A1263" s="16" t="s">
        <v>2711</v>
      </c>
      <c r="B1263" s="17" t="s">
        <v>166</v>
      </c>
      <c r="C1263" s="17" t="s">
        <v>3981</v>
      </c>
      <c r="D1263" s="17" t="s">
        <v>5500</v>
      </c>
      <c r="E1263" s="17">
        <v>63</v>
      </c>
      <c r="F1263" s="27">
        <v>17</v>
      </c>
      <c r="G1263" s="17" t="s">
        <v>2703</v>
      </c>
      <c r="H1263" s="17" t="s">
        <v>2712</v>
      </c>
    </row>
    <row r="1264" spans="1:8" x14ac:dyDescent="0.25">
      <c r="A1264" s="16" t="s">
        <v>2713</v>
      </c>
      <c r="B1264" s="17" t="s">
        <v>166</v>
      </c>
      <c r="C1264" s="17" t="s">
        <v>3956</v>
      </c>
      <c r="D1264" s="17" t="s">
        <v>5501</v>
      </c>
      <c r="E1264" s="17">
        <v>63</v>
      </c>
      <c r="F1264" s="27">
        <v>17</v>
      </c>
      <c r="G1264" s="17" t="s">
        <v>2703</v>
      </c>
      <c r="H1264" s="17" t="s">
        <v>397</v>
      </c>
    </row>
    <row r="1265" spans="1:8" x14ac:dyDescent="0.25">
      <c r="A1265" s="16" t="s">
        <v>2714</v>
      </c>
      <c r="B1265" s="17" t="s">
        <v>505</v>
      </c>
      <c r="C1265" s="17" t="s">
        <v>3766</v>
      </c>
      <c r="D1265" s="17" t="s">
        <v>5502</v>
      </c>
      <c r="E1265" s="17">
        <v>63</v>
      </c>
      <c r="F1265" s="27">
        <v>17</v>
      </c>
      <c r="G1265" s="17" t="s">
        <v>2703</v>
      </c>
      <c r="H1265" s="17" t="s">
        <v>345</v>
      </c>
    </row>
    <row r="1266" spans="1:8" x14ac:dyDescent="0.25">
      <c r="A1266" s="16" t="s">
        <v>2715</v>
      </c>
      <c r="B1266" s="17" t="s">
        <v>166</v>
      </c>
      <c r="C1266" s="17" t="s">
        <v>3766</v>
      </c>
      <c r="D1266" s="17" t="s">
        <v>5503</v>
      </c>
      <c r="E1266" s="17">
        <v>63</v>
      </c>
      <c r="F1266" s="27">
        <v>17</v>
      </c>
      <c r="G1266" s="17" t="s">
        <v>2703</v>
      </c>
      <c r="H1266" s="17" t="s">
        <v>2716</v>
      </c>
    </row>
    <row r="1267" spans="1:8" x14ac:dyDescent="0.25">
      <c r="A1267" s="16" t="s">
        <v>2717</v>
      </c>
      <c r="B1267" s="17" t="s">
        <v>269</v>
      </c>
      <c r="C1267" s="17" t="s">
        <v>3766</v>
      </c>
      <c r="D1267" s="17" t="s">
        <v>5504</v>
      </c>
      <c r="E1267" s="17">
        <v>63</v>
      </c>
      <c r="F1267" s="27">
        <v>17</v>
      </c>
      <c r="G1267" s="17" t="s">
        <v>2703</v>
      </c>
      <c r="H1267" s="17" t="s">
        <v>2718</v>
      </c>
    </row>
    <row r="1268" spans="1:8" x14ac:dyDescent="0.25">
      <c r="A1268" s="16" t="s">
        <v>2719</v>
      </c>
      <c r="B1268" s="17" t="s">
        <v>2720</v>
      </c>
      <c r="C1268" s="17" t="s">
        <v>3790</v>
      </c>
      <c r="D1268" s="17" t="s">
        <v>5505</v>
      </c>
      <c r="E1268" s="17">
        <v>63</v>
      </c>
      <c r="F1268" s="27">
        <v>17</v>
      </c>
      <c r="G1268" s="17" t="s">
        <v>2703</v>
      </c>
      <c r="H1268" s="17" t="s">
        <v>2721</v>
      </c>
    </row>
    <row r="1269" spans="1:8" x14ac:dyDescent="0.25">
      <c r="A1269" s="16" t="s">
        <v>2722</v>
      </c>
      <c r="B1269" s="17" t="s">
        <v>23</v>
      </c>
      <c r="C1269" s="17" t="s">
        <v>5506</v>
      </c>
      <c r="D1269" s="17" t="s">
        <v>5502</v>
      </c>
      <c r="E1269" s="17">
        <v>63</v>
      </c>
      <c r="F1269" s="27">
        <v>17</v>
      </c>
      <c r="G1269" s="17" t="s">
        <v>2703</v>
      </c>
      <c r="H1269" s="17" t="s">
        <v>2723</v>
      </c>
    </row>
    <row r="1270" spans="1:8" x14ac:dyDescent="0.25">
      <c r="A1270" s="16" t="s">
        <v>2724</v>
      </c>
      <c r="B1270" s="17" t="s">
        <v>172</v>
      </c>
      <c r="C1270" s="17" t="s">
        <v>5507</v>
      </c>
      <c r="D1270" s="17" t="s">
        <v>5508</v>
      </c>
      <c r="E1270" s="17">
        <v>63</v>
      </c>
      <c r="F1270" s="27">
        <v>17</v>
      </c>
      <c r="G1270" s="17" t="s">
        <v>2703</v>
      </c>
      <c r="H1270" s="17" t="s">
        <v>2725</v>
      </c>
    </row>
    <row r="1271" spans="1:8" x14ac:dyDescent="0.25">
      <c r="A1271" s="16" t="s">
        <v>2726</v>
      </c>
      <c r="B1271" s="17" t="s">
        <v>1029</v>
      </c>
      <c r="C1271" s="17" t="s">
        <v>3766</v>
      </c>
      <c r="D1271" s="17" t="s">
        <v>5509</v>
      </c>
      <c r="E1271" s="17">
        <v>63</v>
      </c>
      <c r="F1271" s="27">
        <v>17</v>
      </c>
      <c r="G1271" s="17" t="s">
        <v>2703</v>
      </c>
      <c r="H1271" s="17" t="s">
        <v>2315</v>
      </c>
    </row>
    <row r="1272" spans="1:8" x14ac:dyDescent="0.25">
      <c r="A1272" s="16" t="s">
        <v>2727</v>
      </c>
      <c r="B1272" s="17" t="s">
        <v>166</v>
      </c>
      <c r="C1272" s="17" t="s">
        <v>3956</v>
      </c>
      <c r="D1272" s="17" t="s">
        <v>5510</v>
      </c>
      <c r="E1272" s="17">
        <v>63</v>
      </c>
      <c r="F1272" s="27">
        <v>17</v>
      </c>
      <c r="G1272" s="17" t="s">
        <v>2703</v>
      </c>
      <c r="H1272" s="17" t="s">
        <v>2728</v>
      </c>
    </row>
    <row r="1273" spans="1:8" x14ac:dyDescent="0.25">
      <c r="A1273" s="16" t="s">
        <v>2729</v>
      </c>
      <c r="B1273" s="17" t="s">
        <v>166</v>
      </c>
      <c r="C1273" s="17" t="s">
        <v>3766</v>
      </c>
      <c r="D1273" s="17" t="s">
        <v>5511</v>
      </c>
      <c r="E1273" s="17">
        <v>63</v>
      </c>
      <c r="F1273" s="27">
        <v>17</v>
      </c>
      <c r="G1273" s="17" t="s">
        <v>2703</v>
      </c>
      <c r="H1273" s="17" t="s">
        <v>2730</v>
      </c>
    </row>
    <row r="1274" spans="1:8" x14ac:dyDescent="0.25">
      <c r="A1274" s="16" t="s">
        <v>2731</v>
      </c>
      <c r="B1274" s="17" t="s">
        <v>166</v>
      </c>
      <c r="C1274" s="17" t="s">
        <v>3766</v>
      </c>
      <c r="D1274" s="17" t="s">
        <v>4640</v>
      </c>
      <c r="E1274" s="17">
        <v>63</v>
      </c>
      <c r="F1274" s="27">
        <v>17</v>
      </c>
      <c r="G1274" s="17" t="s">
        <v>2703</v>
      </c>
      <c r="H1274" s="17" t="s">
        <v>2732</v>
      </c>
    </row>
    <row r="1275" spans="1:8" x14ac:dyDescent="0.25">
      <c r="A1275" s="16" t="s">
        <v>2733</v>
      </c>
      <c r="B1275" s="17" t="s">
        <v>166</v>
      </c>
      <c r="C1275" s="17" t="s">
        <v>5512</v>
      </c>
      <c r="D1275" s="17" t="s">
        <v>5513</v>
      </c>
      <c r="E1275" s="17">
        <v>63</v>
      </c>
      <c r="F1275" s="27">
        <v>17</v>
      </c>
      <c r="G1275" s="17" t="s">
        <v>2703</v>
      </c>
      <c r="H1275" s="17" t="s">
        <v>44</v>
      </c>
    </row>
    <row r="1276" spans="1:8" x14ac:dyDescent="0.25">
      <c r="A1276" s="16" t="s">
        <v>2734</v>
      </c>
      <c r="B1276" s="17" t="s">
        <v>92</v>
      </c>
      <c r="C1276" s="17" t="s">
        <v>5514</v>
      </c>
      <c r="D1276" s="17" t="s">
        <v>5515</v>
      </c>
      <c r="E1276" s="17">
        <v>63</v>
      </c>
      <c r="F1276" s="27">
        <v>17</v>
      </c>
      <c r="G1276" s="17" t="s">
        <v>2735</v>
      </c>
      <c r="H1276" s="17" t="s">
        <v>2735</v>
      </c>
    </row>
    <row r="1277" spans="1:8" x14ac:dyDescent="0.25">
      <c r="A1277" s="16" t="s">
        <v>2736</v>
      </c>
      <c r="B1277" s="17" t="s">
        <v>129</v>
      </c>
      <c r="C1277" s="17" t="s">
        <v>3766</v>
      </c>
      <c r="D1277" s="17" t="s">
        <v>5516</v>
      </c>
      <c r="E1277" s="17">
        <v>63</v>
      </c>
      <c r="F1277" s="27">
        <v>17</v>
      </c>
      <c r="G1277" s="17" t="s">
        <v>2735</v>
      </c>
      <c r="H1277" s="17" t="s">
        <v>332</v>
      </c>
    </row>
    <row r="1278" spans="1:8" x14ac:dyDescent="0.25">
      <c r="A1278" s="16" t="s">
        <v>2737</v>
      </c>
      <c r="B1278" s="17" t="s">
        <v>2738</v>
      </c>
      <c r="C1278" s="17" t="s">
        <v>3766</v>
      </c>
      <c r="D1278" s="17" t="s">
        <v>5517</v>
      </c>
      <c r="E1278" s="17">
        <v>63</v>
      </c>
      <c r="F1278" s="27">
        <v>17</v>
      </c>
      <c r="G1278" s="17" t="s">
        <v>2735</v>
      </c>
      <c r="H1278" s="17" t="s">
        <v>2739</v>
      </c>
    </row>
    <row r="1279" spans="1:8" x14ac:dyDescent="0.25">
      <c r="A1279" s="16" t="s">
        <v>2740</v>
      </c>
      <c r="B1279" s="17" t="s">
        <v>2741</v>
      </c>
      <c r="C1279" s="17" t="s">
        <v>3766</v>
      </c>
      <c r="D1279" s="17" t="s">
        <v>5518</v>
      </c>
      <c r="E1279" s="17">
        <v>63</v>
      </c>
      <c r="F1279" s="27">
        <v>17</v>
      </c>
      <c r="G1279" s="17" t="s">
        <v>2735</v>
      </c>
      <c r="H1279" s="17" t="s">
        <v>2742</v>
      </c>
    </row>
    <row r="1280" spans="1:8" x14ac:dyDescent="0.25">
      <c r="A1280" s="16" t="s">
        <v>2743</v>
      </c>
      <c r="B1280" s="17" t="s">
        <v>57</v>
      </c>
      <c r="C1280" s="17" t="s">
        <v>3766</v>
      </c>
      <c r="D1280" s="17" t="s">
        <v>5519</v>
      </c>
      <c r="E1280" s="17">
        <v>63</v>
      </c>
      <c r="F1280" s="27">
        <v>17</v>
      </c>
      <c r="G1280" s="17" t="s">
        <v>2735</v>
      </c>
      <c r="H1280" s="17" t="s">
        <v>2744</v>
      </c>
    </row>
    <row r="1281" spans="1:8" x14ac:dyDescent="0.25">
      <c r="A1281" s="16" t="s">
        <v>2745</v>
      </c>
      <c r="B1281" s="17" t="s">
        <v>123</v>
      </c>
      <c r="C1281" s="17" t="s">
        <v>3766</v>
      </c>
      <c r="D1281" s="17" t="s">
        <v>5520</v>
      </c>
      <c r="E1281" s="17">
        <v>63</v>
      </c>
      <c r="F1281" s="27">
        <v>17</v>
      </c>
      <c r="G1281" s="17" t="s">
        <v>2735</v>
      </c>
      <c r="H1281" s="17" t="s">
        <v>2746</v>
      </c>
    </row>
    <row r="1282" spans="1:8" x14ac:dyDescent="0.25">
      <c r="A1282" s="16" t="s">
        <v>2747</v>
      </c>
      <c r="B1282" s="17" t="s">
        <v>166</v>
      </c>
      <c r="C1282" s="17" t="s">
        <v>3766</v>
      </c>
      <c r="D1282" s="17" t="s">
        <v>5521</v>
      </c>
      <c r="E1282" s="17">
        <v>63</v>
      </c>
      <c r="F1282" s="27">
        <v>17</v>
      </c>
      <c r="G1282" s="17" t="s">
        <v>2735</v>
      </c>
      <c r="H1282" s="17" t="s">
        <v>2748</v>
      </c>
    </row>
    <row r="1283" spans="1:8" x14ac:dyDescent="0.25">
      <c r="A1283" s="16" t="s">
        <v>2749</v>
      </c>
      <c r="B1283" s="17" t="s">
        <v>254</v>
      </c>
      <c r="C1283" s="17" t="s">
        <v>4208</v>
      </c>
      <c r="D1283" s="17" t="s">
        <v>5522</v>
      </c>
      <c r="E1283" s="17">
        <v>63</v>
      </c>
      <c r="F1283" s="27">
        <v>17</v>
      </c>
      <c r="G1283" s="17" t="s">
        <v>2750</v>
      </c>
      <c r="H1283" s="17" t="s">
        <v>2750</v>
      </c>
    </row>
    <row r="1284" spans="1:8" x14ac:dyDescent="0.25">
      <c r="A1284" s="16" t="s">
        <v>2751</v>
      </c>
      <c r="B1284" s="17" t="s">
        <v>1178</v>
      </c>
      <c r="C1284" s="17" t="s">
        <v>3766</v>
      </c>
      <c r="D1284" s="17" t="s">
        <v>5523</v>
      </c>
      <c r="E1284" s="17">
        <v>63</v>
      </c>
      <c r="F1284" s="27">
        <v>17</v>
      </c>
      <c r="G1284" s="17" t="s">
        <v>2750</v>
      </c>
      <c r="H1284" s="17" t="s">
        <v>1406</v>
      </c>
    </row>
    <row r="1285" spans="1:8" x14ac:dyDescent="0.25">
      <c r="A1285" s="16" t="s">
        <v>2752</v>
      </c>
      <c r="B1285" s="17" t="s">
        <v>2753</v>
      </c>
      <c r="C1285" s="17" t="s">
        <v>3766</v>
      </c>
      <c r="D1285" s="17" t="s">
        <v>5524</v>
      </c>
      <c r="E1285" s="17">
        <v>63</v>
      </c>
      <c r="F1285" s="27">
        <v>17</v>
      </c>
      <c r="G1285" s="17" t="s">
        <v>2750</v>
      </c>
      <c r="H1285" s="17" t="s">
        <v>628</v>
      </c>
    </row>
    <row r="1286" spans="1:8" x14ac:dyDescent="0.25">
      <c r="A1286" s="16" t="s">
        <v>2754</v>
      </c>
      <c r="B1286" s="17" t="s">
        <v>292</v>
      </c>
      <c r="C1286" s="17" t="s">
        <v>3766</v>
      </c>
      <c r="D1286" s="17" t="s">
        <v>5525</v>
      </c>
      <c r="E1286" s="17">
        <v>63</v>
      </c>
      <c r="F1286" s="27">
        <v>17</v>
      </c>
      <c r="G1286" s="17" t="s">
        <v>2750</v>
      </c>
      <c r="H1286" s="17" t="s">
        <v>688</v>
      </c>
    </row>
    <row r="1287" spans="1:8" x14ac:dyDescent="0.25">
      <c r="A1287" s="16" t="s">
        <v>2755</v>
      </c>
      <c r="B1287" s="17" t="s">
        <v>1029</v>
      </c>
      <c r="C1287" s="17" t="s">
        <v>4208</v>
      </c>
      <c r="D1287" s="17" t="s">
        <v>6663</v>
      </c>
      <c r="E1287" s="17">
        <v>64</v>
      </c>
      <c r="F1287" s="16">
        <v>5</v>
      </c>
      <c r="G1287" s="17" t="s">
        <v>2756</v>
      </c>
      <c r="H1287" s="17" t="s">
        <v>2756</v>
      </c>
    </row>
    <row r="1288" spans="1:8" x14ac:dyDescent="0.25">
      <c r="A1288" s="16" t="s">
        <v>2757</v>
      </c>
      <c r="B1288" s="17" t="s">
        <v>1201</v>
      </c>
      <c r="C1288" s="17" t="s">
        <v>3766</v>
      </c>
      <c r="D1288" s="17" t="s">
        <v>6664</v>
      </c>
      <c r="E1288" s="17">
        <v>64</v>
      </c>
      <c r="F1288" s="16">
        <v>5</v>
      </c>
      <c r="G1288" s="17" t="s">
        <v>2756</v>
      </c>
      <c r="H1288" s="17" t="s">
        <v>2758</v>
      </c>
    </row>
    <row r="1289" spans="1:8" x14ac:dyDescent="0.25">
      <c r="A1289" s="16" t="s">
        <v>2759</v>
      </c>
      <c r="B1289" s="17" t="s">
        <v>280</v>
      </c>
      <c r="C1289" s="17" t="s">
        <v>3766</v>
      </c>
      <c r="D1289" s="17" t="s">
        <v>6665</v>
      </c>
      <c r="E1289" s="17">
        <v>64</v>
      </c>
      <c r="F1289" s="16">
        <v>5</v>
      </c>
      <c r="G1289" s="17" t="s">
        <v>2756</v>
      </c>
      <c r="H1289" s="17" t="s">
        <v>2760</v>
      </c>
    </row>
    <row r="1290" spans="1:8" x14ac:dyDescent="0.25">
      <c r="A1290" s="16" t="s">
        <v>2761</v>
      </c>
      <c r="B1290" s="17" t="s">
        <v>166</v>
      </c>
      <c r="C1290" s="17" t="s">
        <v>5526</v>
      </c>
      <c r="D1290" s="17" t="s">
        <v>6666</v>
      </c>
      <c r="E1290" s="17">
        <v>64</v>
      </c>
      <c r="F1290" s="16">
        <v>5</v>
      </c>
      <c r="G1290" s="17" t="s">
        <v>2756</v>
      </c>
      <c r="H1290" s="17" t="s">
        <v>2762</v>
      </c>
    </row>
    <row r="1291" spans="1:8" x14ac:dyDescent="0.25">
      <c r="A1291" s="16" t="s">
        <v>2763</v>
      </c>
      <c r="B1291" s="17" t="s">
        <v>166</v>
      </c>
      <c r="C1291" s="17" t="s">
        <v>5527</v>
      </c>
      <c r="D1291" s="17" t="s">
        <v>6667</v>
      </c>
      <c r="E1291" s="17">
        <v>64</v>
      </c>
      <c r="F1291" s="16">
        <v>5</v>
      </c>
      <c r="G1291" s="17" t="s">
        <v>2756</v>
      </c>
      <c r="H1291" s="17" t="s">
        <v>2764</v>
      </c>
    </row>
    <row r="1292" spans="1:8" x14ac:dyDescent="0.25">
      <c r="A1292" s="16" t="s">
        <v>2765</v>
      </c>
      <c r="B1292" s="17" t="s">
        <v>57</v>
      </c>
      <c r="C1292" s="17" t="s">
        <v>3766</v>
      </c>
      <c r="D1292" s="17" t="s">
        <v>6668</v>
      </c>
      <c r="E1292" s="17">
        <v>64</v>
      </c>
      <c r="F1292" s="16">
        <v>5</v>
      </c>
      <c r="G1292" s="17" t="s">
        <v>2756</v>
      </c>
      <c r="H1292" s="17" t="s">
        <v>2766</v>
      </c>
    </row>
    <row r="1293" spans="1:8" x14ac:dyDescent="0.25">
      <c r="A1293" s="16" t="s">
        <v>2767</v>
      </c>
      <c r="B1293" s="17" t="s">
        <v>2768</v>
      </c>
      <c r="C1293" s="17" t="s">
        <v>3766</v>
      </c>
      <c r="D1293" s="17" t="s">
        <v>5528</v>
      </c>
      <c r="E1293" s="17">
        <v>64</v>
      </c>
      <c r="F1293" s="16">
        <v>5</v>
      </c>
      <c r="G1293" s="17" t="s">
        <v>2756</v>
      </c>
      <c r="H1293" s="17" t="s">
        <v>2769</v>
      </c>
    </row>
    <row r="1294" spans="1:8" x14ac:dyDescent="0.25">
      <c r="A1294" s="16" t="s">
        <v>2770</v>
      </c>
      <c r="B1294" s="17" t="s">
        <v>1540</v>
      </c>
      <c r="C1294" s="17" t="s">
        <v>5529</v>
      </c>
      <c r="D1294" s="17" t="s">
        <v>6669</v>
      </c>
      <c r="E1294" s="17">
        <v>64</v>
      </c>
      <c r="F1294" s="16">
        <v>5</v>
      </c>
      <c r="G1294" s="17" t="s">
        <v>2756</v>
      </c>
      <c r="H1294" s="17" t="s">
        <v>390</v>
      </c>
    </row>
    <row r="1295" spans="1:8" x14ac:dyDescent="0.25">
      <c r="A1295" s="16" t="s">
        <v>2771</v>
      </c>
      <c r="B1295" s="17" t="s">
        <v>2772</v>
      </c>
      <c r="C1295" s="17" t="s">
        <v>5530</v>
      </c>
      <c r="D1295" s="17" t="s">
        <v>6670</v>
      </c>
      <c r="E1295" s="17">
        <v>64</v>
      </c>
      <c r="F1295" s="16">
        <v>5</v>
      </c>
      <c r="G1295" s="17" t="s">
        <v>2756</v>
      </c>
      <c r="H1295" s="17" t="s">
        <v>2773</v>
      </c>
    </row>
    <row r="1296" spans="1:8" x14ac:dyDescent="0.25">
      <c r="A1296" s="16" t="s">
        <v>2774</v>
      </c>
      <c r="B1296" s="17" t="s">
        <v>135</v>
      </c>
      <c r="C1296" s="17" t="s">
        <v>3766</v>
      </c>
      <c r="D1296" s="17" t="s">
        <v>6671</v>
      </c>
      <c r="E1296" s="17">
        <v>64</v>
      </c>
      <c r="F1296" s="16">
        <v>5</v>
      </c>
      <c r="G1296" s="17" t="s">
        <v>2756</v>
      </c>
      <c r="H1296" s="17" t="s">
        <v>452</v>
      </c>
    </row>
    <row r="1297" spans="1:8" x14ac:dyDescent="0.25">
      <c r="A1297" s="16" t="s">
        <v>2775</v>
      </c>
      <c r="B1297" s="17" t="s">
        <v>1697</v>
      </c>
      <c r="C1297" s="17" t="s">
        <v>3766</v>
      </c>
      <c r="D1297" s="17" t="s">
        <v>5531</v>
      </c>
      <c r="E1297" s="17">
        <v>64</v>
      </c>
      <c r="F1297" s="16">
        <v>5</v>
      </c>
      <c r="G1297" s="17" t="s">
        <v>2756</v>
      </c>
      <c r="H1297" s="17" t="s">
        <v>2776</v>
      </c>
    </row>
    <row r="1298" spans="1:8" x14ac:dyDescent="0.25">
      <c r="A1298" s="16" t="s">
        <v>2777</v>
      </c>
      <c r="B1298" s="17" t="s">
        <v>166</v>
      </c>
      <c r="C1298" s="17" t="s">
        <v>5532</v>
      </c>
      <c r="D1298" s="17" t="s">
        <v>6672</v>
      </c>
      <c r="E1298" s="17">
        <v>64</v>
      </c>
      <c r="F1298" s="16">
        <v>5</v>
      </c>
      <c r="G1298" s="17" t="s">
        <v>2756</v>
      </c>
      <c r="H1298" s="17" t="s">
        <v>2778</v>
      </c>
    </row>
    <row r="1299" spans="1:8" x14ac:dyDescent="0.25">
      <c r="A1299" s="16" t="s">
        <v>2779</v>
      </c>
      <c r="B1299" s="17" t="s">
        <v>157</v>
      </c>
      <c r="C1299" s="17" t="s">
        <v>3956</v>
      </c>
      <c r="D1299" s="17" t="s">
        <v>6673</v>
      </c>
      <c r="E1299" s="17">
        <v>64</v>
      </c>
      <c r="F1299" s="16">
        <v>5</v>
      </c>
      <c r="G1299" s="17" t="s">
        <v>2756</v>
      </c>
      <c r="H1299" s="17" t="s">
        <v>2780</v>
      </c>
    </row>
    <row r="1300" spans="1:8" x14ac:dyDescent="0.25">
      <c r="A1300" s="16" t="s">
        <v>2781</v>
      </c>
      <c r="B1300" s="17" t="s">
        <v>1797</v>
      </c>
      <c r="C1300" s="17" t="s">
        <v>3766</v>
      </c>
      <c r="D1300" s="17" t="s">
        <v>6674</v>
      </c>
      <c r="E1300" s="17">
        <v>64</v>
      </c>
      <c r="F1300" s="16">
        <v>5</v>
      </c>
      <c r="G1300" s="17" t="s">
        <v>2756</v>
      </c>
      <c r="H1300" s="17" t="s">
        <v>547</v>
      </c>
    </row>
    <row r="1301" spans="1:8" x14ac:dyDescent="0.25">
      <c r="A1301" s="16" t="s">
        <v>2782</v>
      </c>
      <c r="B1301" s="17" t="s">
        <v>129</v>
      </c>
      <c r="C1301" s="17" t="s">
        <v>3766</v>
      </c>
      <c r="D1301" s="17" t="s">
        <v>6675</v>
      </c>
      <c r="E1301" s="17">
        <v>64</v>
      </c>
      <c r="F1301" s="16">
        <v>5</v>
      </c>
      <c r="G1301" s="17" t="s">
        <v>2756</v>
      </c>
      <c r="H1301" s="17" t="s">
        <v>2783</v>
      </c>
    </row>
    <row r="1302" spans="1:8" x14ac:dyDescent="0.25">
      <c r="A1302" s="16" t="s">
        <v>2784</v>
      </c>
      <c r="B1302" s="17" t="s">
        <v>166</v>
      </c>
      <c r="C1302" s="17" t="s">
        <v>5533</v>
      </c>
      <c r="D1302" s="17" t="s">
        <v>6676</v>
      </c>
      <c r="E1302" s="17">
        <v>64</v>
      </c>
      <c r="F1302" s="16">
        <v>5</v>
      </c>
      <c r="G1302" s="17" t="s">
        <v>2756</v>
      </c>
      <c r="H1302" s="17" t="s">
        <v>2785</v>
      </c>
    </row>
    <row r="1303" spans="1:8" x14ac:dyDescent="0.25">
      <c r="A1303" s="16" t="s">
        <v>2786</v>
      </c>
      <c r="B1303" s="17" t="s">
        <v>166</v>
      </c>
      <c r="C1303" s="17" t="s">
        <v>5120</v>
      </c>
      <c r="D1303" s="17" t="s">
        <v>6677</v>
      </c>
      <c r="E1303" s="17">
        <v>64</v>
      </c>
      <c r="F1303" s="16">
        <v>5</v>
      </c>
      <c r="G1303" s="17" t="s">
        <v>2756</v>
      </c>
      <c r="H1303" s="17" t="s">
        <v>190</v>
      </c>
    </row>
    <row r="1304" spans="1:8" x14ac:dyDescent="0.25">
      <c r="A1304" s="16" t="s">
        <v>2787</v>
      </c>
      <c r="B1304" s="17" t="s">
        <v>2559</v>
      </c>
      <c r="C1304" s="17" t="s">
        <v>3766</v>
      </c>
      <c r="D1304" s="17" t="s">
        <v>6678</v>
      </c>
      <c r="E1304" s="17">
        <v>64</v>
      </c>
      <c r="F1304" s="16">
        <v>5</v>
      </c>
      <c r="G1304" s="17" t="s">
        <v>2756</v>
      </c>
      <c r="H1304" s="17" t="s">
        <v>2788</v>
      </c>
    </row>
    <row r="1305" spans="1:8" x14ac:dyDescent="0.25">
      <c r="A1305" s="16" t="s">
        <v>2789</v>
      </c>
      <c r="B1305" s="17" t="s">
        <v>166</v>
      </c>
      <c r="C1305" s="17" t="s">
        <v>3902</v>
      </c>
      <c r="D1305" s="17" t="s">
        <v>6679</v>
      </c>
      <c r="E1305" s="17">
        <v>64</v>
      </c>
      <c r="F1305" s="16">
        <v>5</v>
      </c>
      <c r="G1305" s="17" t="s">
        <v>2756</v>
      </c>
      <c r="H1305" s="17" t="s">
        <v>2790</v>
      </c>
    </row>
    <row r="1306" spans="1:8" x14ac:dyDescent="0.25">
      <c r="A1306" s="16" t="s">
        <v>2791</v>
      </c>
      <c r="B1306" s="17" t="s">
        <v>166</v>
      </c>
      <c r="C1306" s="17" t="s">
        <v>5534</v>
      </c>
      <c r="D1306" s="17" t="s">
        <v>6680</v>
      </c>
      <c r="E1306" s="17">
        <v>64</v>
      </c>
      <c r="F1306" s="16">
        <v>5</v>
      </c>
      <c r="G1306" s="17" t="s">
        <v>2756</v>
      </c>
      <c r="H1306" s="17" t="s">
        <v>2586</v>
      </c>
    </row>
    <row r="1307" spans="1:8" x14ac:dyDescent="0.25">
      <c r="A1307" s="16" t="s">
        <v>2792</v>
      </c>
      <c r="B1307" s="17" t="s">
        <v>1029</v>
      </c>
      <c r="C1307" s="17" t="s">
        <v>4679</v>
      </c>
      <c r="D1307" s="17" t="s">
        <v>6681</v>
      </c>
      <c r="E1307" s="17">
        <v>64</v>
      </c>
      <c r="F1307" s="16">
        <v>5</v>
      </c>
      <c r="G1307" s="17" t="s">
        <v>1612</v>
      </c>
      <c r="H1307" s="17" t="s">
        <v>269</v>
      </c>
    </row>
    <row r="1308" spans="1:8" x14ac:dyDescent="0.25">
      <c r="A1308" s="16" t="s">
        <v>2793</v>
      </c>
      <c r="B1308" s="17" t="s">
        <v>2794</v>
      </c>
      <c r="C1308" s="17" t="s">
        <v>3987</v>
      </c>
      <c r="D1308" s="17" t="s">
        <v>6682</v>
      </c>
      <c r="E1308" s="17">
        <v>64</v>
      </c>
      <c r="F1308" s="16">
        <v>5</v>
      </c>
      <c r="G1308" s="17" t="s">
        <v>1612</v>
      </c>
      <c r="H1308" s="17" t="s">
        <v>2795</v>
      </c>
    </row>
    <row r="1309" spans="1:8" x14ac:dyDescent="0.25">
      <c r="A1309" s="16" t="s">
        <v>2796</v>
      </c>
      <c r="B1309" s="17" t="s">
        <v>306</v>
      </c>
      <c r="C1309" s="17" t="s">
        <v>3766</v>
      </c>
      <c r="D1309" s="17" t="s">
        <v>5535</v>
      </c>
      <c r="E1309" s="17">
        <v>64</v>
      </c>
      <c r="F1309" s="16">
        <v>5</v>
      </c>
      <c r="G1309" s="17" t="s">
        <v>1612</v>
      </c>
      <c r="H1309" s="17" t="s">
        <v>950</v>
      </c>
    </row>
    <row r="1310" spans="1:8" x14ac:dyDescent="0.25">
      <c r="A1310" s="16" t="s">
        <v>2797</v>
      </c>
      <c r="B1310" s="17" t="s">
        <v>1012</v>
      </c>
      <c r="C1310" s="17" t="s">
        <v>3766</v>
      </c>
      <c r="D1310" s="17" t="s">
        <v>6683</v>
      </c>
      <c r="E1310" s="17">
        <v>64</v>
      </c>
      <c r="F1310" s="16">
        <v>5</v>
      </c>
      <c r="G1310" s="17" t="s">
        <v>1612</v>
      </c>
      <c r="H1310" s="17" t="s">
        <v>2798</v>
      </c>
    </row>
    <row r="1311" spans="1:8" x14ac:dyDescent="0.25">
      <c r="A1311" s="16" t="s">
        <v>2799</v>
      </c>
      <c r="B1311" s="17" t="s">
        <v>77</v>
      </c>
      <c r="C1311" s="17" t="s">
        <v>5536</v>
      </c>
      <c r="D1311" s="17" t="s">
        <v>6684</v>
      </c>
      <c r="E1311" s="17">
        <v>64</v>
      </c>
      <c r="F1311" s="16">
        <v>5</v>
      </c>
      <c r="G1311" s="17" t="s">
        <v>1612</v>
      </c>
      <c r="H1311" s="17" t="s">
        <v>1816</v>
      </c>
    </row>
    <row r="1312" spans="1:8" x14ac:dyDescent="0.25">
      <c r="A1312" s="16" t="s">
        <v>2800</v>
      </c>
      <c r="B1312" s="17" t="s">
        <v>151</v>
      </c>
      <c r="C1312" s="17" t="s">
        <v>5537</v>
      </c>
      <c r="D1312" s="17" t="s">
        <v>4781</v>
      </c>
      <c r="E1312" s="17">
        <v>64</v>
      </c>
      <c r="F1312" s="16">
        <v>5</v>
      </c>
      <c r="G1312" s="17" t="s">
        <v>1612</v>
      </c>
      <c r="H1312" s="17" t="s">
        <v>72</v>
      </c>
    </row>
    <row r="1313" spans="1:8" x14ac:dyDescent="0.25">
      <c r="A1313" s="16" t="s">
        <v>2801</v>
      </c>
      <c r="B1313" s="17" t="s">
        <v>23</v>
      </c>
      <c r="C1313" s="17" t="s">
        <v>3766</v>
      </c>
      <c r="D1313" s="17" t="s">
        <v>5023</v>
      </c>
      <c r="E1313" s="17">
        <v>64</v>
      </c>
      <c r="F1313" s="16">
        <v>5</v>
      </c>
      <c r="G1313" s="17" t="s">
        <v>1085</v>
      </c>
      <c r="H1313" s="17" t="s">
        <v>390</v>
      </c>
    </row>
    <row r="1314" spans="1:8" x14ac:dyDescent="0.25">
      <c r="A1314" s="16" t="s">
        <v>2802</v>
      </c>
      <c r="B1314" s="17" t="s">
        <v>254</v>
      </c>
      <c r="C1314" s="17" t="s">
        <v>3766</v>
      </c>
      <c r="D1314" s="17" t="s">
        <v>6685</v>
      </c>
      <c r="E1314" s="17">
        <v>64</v>
      </c>
      <c r="F1314" s="16">
        <v>5</v>
      </c>
      <c r="G1314" s="17" t="s">
        <v>1085</v>
      </c>
      <c r="H1314" s="17" t="s">
        <v>2803</v>
      </c>
    </row>
    <row r="1315" spans="1:8" x14ac:dyDescent="0.25">
      <c r="A1315" s="16" t="s">
        <v>2804</v>
      </c>
      <c r="B1315" s="17" t="s">
        <v>163</v>
      </c>
      <c r="C1315" s="17" t="s">
        <v>3766</v>
      </c>
      <c r="D1315" s="17" t="s">
        <v>6686</v>
      </c>
      <c r="E1315" s="17">
        <v>64</v>
      </c>
      <c r="F1315" s="16">
        <v>5</v>
      </c>
      <c r="G1315" s="17" t="s">
        <v>1085</v>
      </c>
      <c r="H1315" s="17" t="s">
        <v>1444</v>
      </c>
    </row>
    <row r="1316" spans="1:8" x14ac:dyDescent="0.25">
      <c r="A1316" s="16" t="s">
        <v>2805</v>
      </c>
      <c r="B1316" s="17" t="s">
        <v>1209</v>
      </c>
      <c r="C1316" s="17" t="s">
        <v>3766</v>
      </c>
      <c r="D1316" s="17" t="s">
        <v>5538</v>
      </c>
      <c r="E1316" s="17">
        <v>64</v>
      </c>
      <c r="F1316" s="16">
        <v>5</v>
      </c>
      <c r="G1316" s="17" t="s">
        <v>1085</v>
      </c>
      <c r="H1316" s="17" t="s">
        <v>77</v>
      </c>
    </row>
    <row r="1317" spans="1:8" x14ac:dyDescent="0.25">
      <c r="A1317" s="16" t="s">
        <v>2806</v>
      </c>
      <c r="B1317" s="17" t="s">
        <v>1816</v>
      </c>
      <c r="C1317" s="17" t="s">
        <v>3766</v>
      </c>
      <c r="D1317" s="17" t="s">
        <v>6687</v>
      </c>
      <c r="E1317" s="17">
        <v>64</v>
      </c>
      <c r="F1317" s="16">
        <v>5</v>
      </c>
      <c r="G1317" s="17" t="s">
        <v>1085</v>
      </c>
      <c r="H1317" s="17" t="s">
        <v>2807</v>
      </c>
    </row>
    <row r="1318" spans="1:8" x14ac:dyDescent="0.25">
      <c r="A1318" s="16" t="s">
        <v>2808</v>
      </c>
      <c r="B1318" s="17" t="s">
        <v>2226</v>
      </c>
      <c r="C1318" s="17" t="s">
        <v>5539</v>
      </c>
      <c r="D1318" s="17" t="s">
        <v>6688</v>
      </c>
      <c r="E1318" s="17">
        <v>64</v>
      </c>
      <c r="F1318" s="16">
        <v>5</v>
      </c>
      <c r="G1318" s="17" t="s">
        <v>1085</v>
      </c>
      <c r="H1318" s="17" t="s">
        <v>2809</v>
      </c>
    </row>
    <row r="1319" spans="1:8" x14ac:dyDescent="0.25">
      <c r="A1319" s="16" t="s">
        <v>2810</v>
      </c>
      <c r="B1319" s="17" t="s">
        <v>254</v>
      </c>
      <c r="C1319" s="17" t="s">
        <v>5540</v>
      </c>
      <c r="D1319" s="17" t="s">
        <v>6689</v>
      </c>
      <c r="E1319" s="17">
        <v>64</v>
      </c>
      <c r="F1319" s="16">
        <v>5</v>
      </c>
      <c r="G1319" s="17" t="s">
        <v>1085</v>
      </c>
      <c r="H1319" s="17" t="s">
        <v>2811</v>
      </c>
    </row>
    <row r="1320" spans="1:8" x14ac:dyDescent="0.25">
      <c r="A1320" s="16" t="s">
        <v>2812</v>
      </c>
      <c r="B1320" s="17" t="s">
        <v>1301</v>
      </c>
      <c r="C1320" s="17" t="s">
        <v>3766</v>
      </c>
      <c r="D1320" s="17" t="s">
        <v>6690</v>
      </c>
      <c r="E1320" s="17">
        <v>64</v>
      </c>
      <c r="F1320" s="16">
        <v>5</v>
      </c>
      <c r="G1320" s="17" t="s">
        <v>1085</v>
      </c>
      <c r="H1320" s="17" t="s">
        <v>2813</v>
      </c>
    </row>
    <row r="1321" spans="1:8" x14ac:dyDescent="0.25">
      <c r="A1321" s="16" t="s">
        <v>2814</v>
      </c>
      <c r="B1321" s="17" t="s">
        <v>107</v>
      </c>
      <c r="C1321" s="17" t="s">
        <v>3766</v>
      </c>
      <c r="D1321" s="17" t="s">
        <v>6691</v>
      </c>
      <c r="E1321" s="17">
        <v>64</v>
      </c>
      <c r="F1321" s="16">
        <v>5</v>
      </c>
      <c r="G1321" s="17" t="s">
        <v>1085</v>
      </c>
      <c r="H1321" s="17" t="s">
        <v>2815</v>
      </c>
    </row>
    <row r="1322" spans="1:8" x14ac:dyDescent="0.25">
      <c r="A1322" s="16" t="s">
        <v>2816</v>
      </c>
      <c r="B1322" s="17" t="s">
        <v>46</v>
      </c>
      <c r="C1322" s="17" t="s">
        <v>5541</v>
      </c>
      <c r="D1322" s="17" t="s">
        <v>5542</v>
      </c>
      <c r="E1322" s="17">
        <v>64</v>
      </c>
      <c r="F1322" s="16">
        <v>5</v>
      </c>
      <c r="G1322" s="17" t="s">
        <v>1085</v>
      </c>
      <c r="H1322" s="17" t="s">
        <v>876</v>
      </c>
    </row>
    <row r="1323" spans="1:8" x14ac:dyDescent="0.25">
      <c r="A1323" s="16" t="s">
        <v>2817</v>
      </c>
      <c r="B1323" s="17" t="s">
        <v>49</v>
      </c>
      <c r="C1323" s="17" t="s">
        <v>3766</v>
      </c>
      <c r="D1323" s="17" t="s">
        <v>6692</v>
      </c>
      <c r="E1323" s="17">
        <v>64</v>
      </c>
      <c r="F1323" s="16">
        <v>5</v>
      </c>
      <c r="G1323" s="17" t="s">
        <v>1085</v>
      </c>
      <c r="H1323" s="17" t="s">
        <v>2818</v>
      </c>
    </row>
    <row r="1324" spans="1:8" x14ac:dyDescent="0.25">
      <c r="A1324" s="16" t="s">
        <v>2819</v>
      </c>
      <c r="B1324" s="17" t="s">
        <v>166</v>
      </c>
      <c r="C1324" s="17" t="s">
        <v>3766</v>
      </c>
      <c r="D1324" s="17" t="s">
        <v>6693</v>
      </c>
      <c r="E1324" s="17">
        <v>64</v>
      </c>
      <c r="F1324" s="16">
        <v>5</v>
      </c>
      <c r="G1324" s="17" t="s">
        <v>1085</v>
      </c>
      <c r="H1324" s="17" t="s">
        <v>2820</v>
      </c>
    </row>
    <row r="1325" spans="1:8" x14ac:dyDescent="0.25">
      <c r="A1325" s="16" t="s">
        <v>2821</v>
      </c>
      <c r="B1325" s="17" t="s">
        <v>169</v>
      </c>
      <c r="C1325" s="17" t="s">
        <v>3766</v>
      </c>
      <c r="D1325" s="17" t="s">
        <v>6694</v>
      </c>
      <c r="E1325" s="17">
        <v>64</v>
      </c>
      <c r="F1325" s="16">
        <v>5</v>
      </c>
      <c r="G1325" s="17" t="s">
        <v>1085</v>
      </c>
      <c r="H1325" s="17" t="s">
        <v>201</v>
      </c>
    </row>
    <row r="1326" spans="1:8" x14ac:dyDescent="0.25">
      <c r="A1326" s="16" t="s">
        <v>2822</v>
      </c>
      <c r="B1326" s="17" t="s">
        <v>2189</v>
      </c>
      <c r="C1326" s="17" t="s">
        <v>5543</v>
      </c>
      <c r="D1326" s="17" t="s">
        <v>5544</v>
      </c>
      <c r="E1326" s="17">
        <v>64</v>
      </c>
      <c r="F1326" s="16">
        <v>5</v>
      </c>
      <c r="G1326" s="17" t="s">
        <v>1110</v>
      </c>
      <c r="H1326" s="17" t="s">
        <v>1110</v>
      </c>
    </row>
    <row r="1327" spans="1:8" x14ac:dyDescent="0.25">
      <c r="A1327" s="16" t="s">
        <v>2823</v>
      </c>
      <c r="B1327" s="17" t="s">
        <v>120</v>
      </c>
      <c r="C1327" s="17" t="s">
        <v>3871</v>
      </c>
      <c r="D1327" s="17" t="s">
        <v>5545</v>
      </c>
      <c r="E1327" s="17">
        <v>64</v>
      </c>
      <c r="F1327" s="16">
        <v>5</v>
      </c>
      <c r="G1327" s="17" t="s">
        <v>1110</v>
      </c>
      <c r="H1327" s="17" t="s">
        <v>2824</v>
      </c>
    </row>
    <row r="1328" spans="1:8" x14ac:dyDescent="0.25">
      <c r="A1328" s="16" t="s">
        <v>2825</v>
      </c>
      <c r="B1328" s="17" t="s">
        <v>1209</v>
      </c>
      <c r="C1328" s="17" t="s">
        <v>5546</v>
      </c>
      <c r="D1328" s="17" t="s">
        <v>6695</v>
      </c>
      <c r="E1328" s="17">
        <v>64</v>
      </c>
      <c r="F1328" s="16">
        <v>5</v>
      </c>
      <c r="G1328" s="17" t="s">
        <v>1110</v>
      </c>
      <c r="H1328" s="17" t="s">
        <v>2826</v>
      </c>
    </row>
    <row r="1329" spans="1:8" x14ac:dyDescent="0.25">
      <c r="A1329" s="16" t="s">
        <v>2827</v>
      </c>
      <c r="B1329" s="17" t="s">
        <v>1133</v>
      </c>
      <c r="C1329" s="17" t="s">
        <v>3902</v>
      </c>
      <c r="D1329" s="17" t="s">
        <v>5547</v>
      </c>
      <c r="E1329" s="17">
        <v>64</v>
      </c>
      <c r="F1329" s="16">
        <v>5</v>
      </c>
      <c r="G1329" s="17" t="s">
        <v>1110</v>
      </c>
      <c r="H1329" s="17" t="s">
        <v>2828</v>
      </c>
    </row>
    <row r="1330" spans="1:8" x14ac:dyDescent="0.25">
      <c r="A1330" s="16" t="s">
        <v>2829</v>
      </c>
      <c r="B1330" s="17" t="s">
        <v>135</v>
      </c>
      <c r="C1330" s="17" t="s">
        <v>4208</v>
      </c>
      <c r="D1330" s="17" t="s">
        <v>5548</v>
      </c>
      <c r="E1330" s="17">
        <v>65</v>
      </c>
      <c r="F1330" s="27">
        <v>21</v>
      </c>
      <c r="G1330" s="17" t="s">
        <v>104</v>
      </c>
      <c r="H1330" s="17" t="s">
        <v>104</v>
      </c>
    </row>
    <row r="1331" spans="1:8" x14ac:dyDescent="0.25">
      <c r="A1331" s="16" t="s">
        <v>2830</v>
      </c>
      <c r="B1331" s="17" t="s">
        <v>163</v>
      </c>
      <c r="C1331" s="17" t="s">
        <v>3766</v>
      </c>
      <c r="D1331" s="17" t="s">
        <v>5549</v>
      </c>
      <c r="E1331" s="17">
        <v>65</v>
      </c>
      <c r="F1331" s="27">
        <v>21</v>
      </c>
      <c r="G1331" s="17" t="s">
        <v>104</v>
      </c>
      <c r="H1331" s="17" t="s">
        <v>2831</v>
      </c>
    </row>
    <row r="1332" spans="1:8" x14ac:dyDescent="0.25">
      <c r="A1332" s="16" t="s">
        <v>2832</v>
      </c>
      <c r="B1332" s="17" t="s">
        <v>166</v>
      </c>
      <c r="C1332" s="17" t="s">
        <v>5550</v>
      </c>
      <c r="D1332" s="17" t="s">
        <v>5551</v>
      </c>
      <c r="E1332" s="17">
        <v>65</v>
      </c>
      <c r="F1332" s="27">
        <v>21</v>
      </c>
      <c r="G1332" s="17" t="s">
        <v>104</v>
      </c>
      <c r="H1332" s="17" t="s">
        <v>2833</v>
      </c>
    </row>
    <row r="1333" spans="1:8" x14ac:dyDescent="0.25">
      <c r="A1333" s="16" t="s">
        <v>2834</v>
      </c>
      <c r="B1333" s="17" t="s">
        <v>2835</v>
      </c>
      <c r="C1333" s="17" t="s">
        <v>5552</v>
      </c>
      <c r="D1333" s="17" t="s">
        <v>5553</v>
      </c>
      <c r="E1333" s="17">
        <v>65</v>
      </c>
      <c r="F1333" s="27">
        <v>21</v>
      </c>
      <c r="G1333" s="17" t="s">
        <v>104</v>
      </c>
      <c r="H1333" s="17" t="s">
        <v>2836</v>
      </c>
    </row>
    <row r="1334" spans="1:8" x14ac:dyDescent="0.25">
      <c r="A1334" s="16" t="s">
        <v>2837</v>
      </c>
      <c r="B1334" s="17" t="s">
        <v>1773</v>
      </c>
      <c r="C1334" s="17" t="s">
        <v>3766</v>
      </c>
      <c r="D1334" s="17" t="s">
        <v>5554</v>
      </c>
      <c r="E1334" s="17">
        <v>65</v>
      </c>
      <c r="F1334" s="27">
        <v>21</v>
      </c>
      <c r="G1334" s="17" t="s">
        <v>104</v>
      </c>
      <c r="H1334" s="17" t="s">
        <v>2838</v>
      </c>
    </row>
    <row r="1335" spans="1:8" x14ac:dyDescent="0.25">
      <c r="A1335" s="16" t="s">
        <v>2839</v>
      </c>
      <c r="B1335" s="17" t="s">
        <v>63</v>
      </c>
      <c r="C1335" s="17" t="s">
        <v>3766</v>
      </c>
      <c r="D1335" s="17" t="s">
        <v>5555</v>
      </c>
      <c r="E1335" s="17">
        <v>65</v>
      </c>
      <c r="F1335" s="27">
        <v>21</v>
      </c>
      <c r="G1335" s="17" t="s">
        <v>104</v>
      </c>
      <c r="H1335" s="17" t="s">
        <v>283</v>
      </c>
    </row>
    <row r="1336" spans="1:8" x14ac:dyDescent="0.25">
      <c r="A1336" s="16" t="s">
        <v>2840</v>
      </c>
      <c r="B1336" s="17" t="s">
        <v>510</v>
      </c>
      <c r="C1336" s="17" t="s">
        <v>3766</v>
      </c>
      <c r="D1336" s="17" t="s">
        <v>5556</v>
      </c>
      <c r="E1336" s="17">
        <v>65</v>
      </c>
      <c r="F1336" s="27">
        <v>21</v>
      </c>
      <c r="G1336" s="17" t="s">
        <v>104</v>
      </c>
      <c r="H1336" s="17" t="s">
        <v>2841</v>
      </c>
    </row>
    <row r="1337" spans="1:8" x14ac:dyDescent="0.25">
      <c r="A1337" s="16" t="s">
        <v>2842</v>
      </c>
      <c r="B1337" s="17" t="s">
        <v>166</v>
      </c>
      <c r="C1337" s="17" t="s">
        <v>5557</v>
      </c>
      <c r="D1337" s="17" t="s">
        <v>5558</v>
      </c>
      <c r="E1337" s="17">
        <v>65</v>
      </c>
      <c r="F1337" s="27">
        <v>21</v>
      </c>
      <c r="G1337" s="17" t="s">
        <v>104</v>
      </c>
      <c r="H1337" s="17" t="s">
        <v>2843</v>
      </c>
    </row>
    <row r="1338" spans="1:8" x14ac:dyDescent="0.25">
      <c r="A1338" s="16" t="s">
        <v>2844</v>
      </c>
      <c r="B1338" s="17" t="s">
        <v>295</v>
      </c>
      <c r="C1338" s="17" t="s">
        <v>3766</v>
      </c>
      <c r="D1338" s="17" t="s">
        <v>5559</v>
      </c>
      <c r="E1338" s="17">
        <v>65</v>
      </c>
      <c r="F1338" s="27">
        <v>21</v>
      </c>
      <c r="G1338" s="17" t="s">
        <v>104</v>
      </c>
      <c r="H1338" s="17" t="s">
        <v>2845</v>
      </c>
    </row>
    <row r="1339" spans="1:8" x14ac:dyDescent="0.25">
      <c r="A1339" s="16" t="s">
        <v>2846</v>
      </c>
      <c r="B1339" s="17" t="s">
        <v>135</v>
      </c>
      <c r="C1339" s="17" t="s">
        <v>3814</v>
      </c>
      <c r="D1339" s="17" t="s">
        <v>5560</v>
      </c>
      <c r="E1339" s="17">
        <v>65</v>
      </c>
      <c r="F1339" s="27">
        <v>21</v>
      </c>
      <c r="G1339" s="17" t="s">
        <v>104</v>
      </c>
      <c r="H1339" s="17" t="s">
        <v>2847</v>
      </c>
    </row>
    <row r="1340" spans="1:8" x14ac:dyDescent="0.25">
      <c r="A1340" s="16" t="s">
        <v>2848</v>
      </c>
      <c r="B1340" s="17" t="s">
        <v>2849</v>
      </c>
      <c r="C1340" s="17" t="s">
        <v>5561</v>
      </c>
      <c r="D1340" s="17" t="s">
        <v>5562</v>
      </c>
      <c r="E1340" s="17">
        <v>65</v>
      </c>
      <c r="F1340" s="27">
        <v>21</v>
      </c>
      <c r="G1340" s="17" t="s">
        <v>111</v>
      </c>
      <c r="H1340" s="17" t="s">
        <v>111</v>
      </c>
    </row>
    <row r="1341" spans="1:8" x14ac:dyDescent="0.25">
      <c r="A1341" s="16" t="s">
        <v>2850</v>
      </c>
      <c r="B1341" s="17" t="s">
        <v>319</v>
      </c>
      <c r="C1341" s="17" t="s">
        <v>3766</v>
      </c>
      <c r="D1341" s="17" t="s">
        <v>5563</v>
      </c>
      <c r="E1341" s="17">
        <v>65</v>
      </c>
      <c r="F1341" s="27">
        <v>21</v>
      </c>
      <c r="G1341" s="17" t="s">
        <v>111</v>
      </c>
      <c r="H1341" s="17" t="s">
        <v>2851</v>
      </c>
    </row>
    <row r="1342" spans="1:8" x14ac:dyDescent="0.25">
      <c r="A1342" s="16" t="s">
        <v>2852</v>
      </c>
      <c r="B1342" s="17" t="s">
        <v>810</v>
      </c>
      <c r="C1342" s="17" t="s">
        <v>5564</v>
      </c>
      <c r="D1342" s="17" t="s">
        <v>5565</v>
      </c>
      <c r="E1342" s="17">
        <v>65</v>
      </c>
      <c r="F1342" s="27">
        <v>21</v>
      </c>
      <c r="G1342" s="17" t="s">
        <v>111</v>
      </c>
      <c r="H1342" s="17" t="s">
        <v>2853</v>
      </c>
    </row>
    <row r="1343" spans="1:8" x14ac:dyDescent="0.25">
      <c r="A1343" s="16" t="s">
        <v>2854</v>
      </c>
      <c r="B1343" s="17" t="s">
        <v>49</v>
      </c>
      <c r="C1343" s="17" t="s">
        <v>5566</v>
      </c>
      <c r="D1343" s="17" t="s">
        <v>5567</v>
      </c>
      <c r="E1343" s="17">
        <v>65</v>
      </c>
      <c r="F1343" s="27">
        <v>21</v>
      </c>
      <c r="G1343" s="17" t="s">
        <v>111</v>
      </c>
      <c r="H1343" s="17" t="s">
        <v>2855</v>
      </c>
    </row>
    <row r="1344" spans="1:8" x14ac:dyDescent="0.25">
      <c r="A1344" s="16" t="s">
        <v>2856</v>
      </c>
      <c r="B1344" s="17" t="s">
        <v>1198</v>
      </c>
      <c r="C1344" s="17" t="s">
        <v>3766</v>
      </c>
      <c r="D1344" s="17" t="s">
        <v>5568</v>
      </c>
      <c r="E1344" s="17">
        <v>65</v>
      </c>
      <c r="F1344" s="27">
        <v>21</v>
      </c>
      <c r="G1344" s="17" t="s">
        <v>111</v>
      </c>
      <c r="H1344" s="17" t="s">
        <v>2857</v>
      </c>
    </row>
    <row r="1345" spans="1:8" x14ac:dyDescent="0.25">
      <c r="A1345" s="16" t="s">
        <v>2858</v>
      </c>
      <c r="B1345" s="17" t="s">
        <v>828</v>
      </c>
      <c r="C1345" s="17" t="s">
        <v>5564</v>
      </c>
      <c r="D1345" s="17" t="s">
        <v>5569</v>
      </c>
      <c r="E1345" s="17">
        <v>65</v>
      </c>
      <c r="F1345" s="27">
        <v>21</v>
      </c>
      <c r="G1345" s="17" t="s">
        <v>111</v>
      </c>
      <c r="H1345" s="17" t="s">
        <v>2859</v>
      </c>
    </row>
    <row r="1346" spans="1:8" x14ac:dyDescent="0.25">
      <c r="A1346" s="16" t="s">
        <v>2860</v>
      </c>
      <c r="B1346" s="17" t="s">
        <v>1437</v>
      </c>
      <c r="C1346" s="17" t="s">
        <v>3766</v>
      </c>
      <c r="D1346" s="17" t="s">
        <v>5570</v>
      </c>
      <c r="E1346" s="17">
        <v>65</v>
      </c>
      <c r="F1346" s="27">
        <v>21</v>
      </c>
      <c r="G1346" s="17" t="s">
        <v>111</v>
      </c>
      <c r="H1346" s="17" t="s">
        <v>2861</v>
      </c>
    </row>
    <row r="1347" spans="1:8" x14ac:dyDescent="0.25">
      <c r="A1347" s="16" t="s">
        <v>2862</v>
      </c>
      <c r="B1347" s="17" t="s">
        <v>148</v>
      </c>
      <c r="C1347" s="17" t="s">
        <v>3766</v>
      </c>
      <c r="D1347" s="17" t="s">
        <v>5571</v>
      </c>
      <c r="E1347" s="17">
        <v>65</v>
      </c>
      <c r="F1347" s="27">
        <v>21</v>
      </c>
      <c r="G1347" s="17" t="s">
        <v>111</v>
      </c>
      <c r="H1347" s="17" t="s">
        <v>1679</v>
      </c>
    </row>
    <row r="1348" spans="1:8" x14ac:dyDescent="0.25">
      <c r="A1348" s="16" t="s">
        <v>2863</v>
      </c>
      <c r="B1348" s="17" t="s">
        <v>1997</v>
      </c>
      <c r="C1348" s="17" t="s">
        <v>3766</v>
      </c>
      <c r="D1348" s="17" t="s">
        <v>5572</v>
      </c>
      <c r="E1348" s="17">
        <v>65</v>
      </c>
      <c r="F1348" s="27">
        <v>21</v>
      </c>
      <c r="G1348" s="17" t="s">
        <v>111</v>
      </c>
      <c r="H1348" s="17" t="s">
        <v>2864</v>
      </c>
    </row>
    <row r="1349" spans="1:8" x14ac:dyDescent="0.25">
      <c r="A1349" s="16" t="s">
        <v>2865</v>
      </c>
      <c r="B1349" s="17" t="s">
        <v>2866</v>
      </c>
      <c r="C1349" s="17" t="s">
        <v>3766</v>
      </c>
      <c r="D1349" s="17" t="s">
        <v>5573</v>
      </c>
      <c r="E1349" s="17">
        <v>65</v>
      </c>
      <c r="F1349" s="27">
        <v>21</v>
      </c>
      <c r="G1349" s="17" t="s">
        <v>145</v>
      </c>
      <c r="H1349" s="17" t="s">
        <v>2867</v>
      </c>
    </row>
    <row r="1350" spans="1:8" x14ac:dyDescent="0.25">
      <c r="A1350" s="16" t="s">
        <v>2868</v>
      </c>
      <c r="B1350" s="17" t="s">
        <v>448</v>
      </c>
      <c r="C1350" s="17" t="s">
        <v>5552</v>
      </c>
      <c r="D1350" s="17" t="s">
        <v>5574</v>
      </c>
      <c r="E1350" s="17">
        <v>65</v>
      </c>
      <c r="F1350" s="27">
        <v>21</v>
      </c>
      <c r="G1350" s="17" t="s">
        <v>145</v>
      </c>
      <c r="H1350" s="17" t="s">
        <v>1589</v>
      </c>
    </row>
    <row r="1351" spans="1:8" x14ac:dyDescent="0.25">
      <c r="A1351" s="16" t="s">
        <v>2869</v>
      </c>
      <c r="B1351" s="17" t="s">
        <v>2870</v>
      </c>
      <c r="C1351" s="17" t="s">
        <v>3766</v>
      </c>
      <c r="D1351" s="17" t="s">
        <v>5575</v>
      </c>
      <c r="E1351" s="17">
        <v>65</v>
      </c>
      <c r="F1351" s="27">
        <v>21</v>
      </c>
      <c r="G1351" s="17" t="s">
        <v>145</v>
      </c>
      <c r="H1351" s="17" t="s">
        <v>2871</v>
      </c>
    </row>
    <row r="1352" spans="1:8" x14ac:dyDescent="0.25">
      <c r="A1352" s="16" t="s">
        <v>2872</v>
      </c>
      <c r="B1352" s="17" t="s">
        <v>2873</v>
      </c>
      <c r="C1352" s="17" t="s">
        <v>3766</v>
      </c>
      <c r="D1352" s="17" t="s">
        <v>5576</v>
      </c>
      <c r="E1352" s="17">
        <v>65</v>
      </c>
      <c r="F1352" s="27">
        <v>21</v>
      </c>
      <c r="G1352" s="17" t="s">
        <v>145</v>
      </c>
      <c r="H1352" s="17" t="s">
        <v>2874</v>
      </c>
    </row>
    <row r="1353" spans="1:8" x14ac:dyDescent="0.25">
      <c r="A1353" s="16" t="s">
        <v>2875</v>
      </c>
      <c r="B1353" s="17" t="s">
        <v>1478</v>
      </c>
      <c r="C1353" s="17" t="s">
        <v>5577</v>
      </c>
      <c r="D1353" s="17" t="s">
        <v>5578</v>
      </c>
      <c r="E1353" s="17">
        <v>66</v>
      </c>
      <c r="F1353" s="27">
        <v>22</v>
      </c>
      <c r="G1353" s="17" t="s">
        <v>879</v>
      </c>
      <c r="H1353" s="17" t="s">
        <v>2876</v>
      </c>
    </row>
    <row r="1354" spans="1:8" x14ac:dyDescent="0.25">
      <c r="A1354" s="16" t="s">
        <v>2877</v>
      </c>
      <c r="B1354" s="17" t="s">
        <v>1997</v>
      </c>
      <c r="C1354" s="17" t="s">
        <v>5579</v>
      </c>
      <c r="D1354" s="17" t="s">
        <v>5580</v>
      </c>
      <c r="E1354" s="17">
        <v>66</v>
      </c>
      <c r="F1354" s="27">
        <v>22</v>
      </c>
      <c r="G1354" s="17" t="s">
        <v>1455</v>
      </c>
      <c r="H1354" s="17" t="s">
        <v>2878</v>
      </c>
    </row>
    <row r="1355" spans="1:8" x14ac:dyDescent="0.25">
      <c r="A1355" s="16" t="s">
        <v>2879</v>
      </c>
      <c r="B1355" s="17" t="s">
        <v>1029</v>
      </c>
      <c r="C1355" s="17" t="s">
        <v>5581</v>
      </c>
      <c r="D1355" s="17" t="s">
        <v>5582</v>
      </c>
      <c r="E1355" s="17">
        <v>66</v>
      </c>
      <c r="F1355" s="27">
        <v>22</v>
      </c>
      <c r="G1355" s="17" t="s">
        <v>290</v>
      </c>
      <c r="H1355" s="17" t="s">
        <v>2880</v>
      </c>
    </row>
    <row r="1356" spans="1:8" x14ac:dyDescent="0.25">
      <c r="A1356" s="16" t="s">
        <v>2881</v>
      </c>
      <c r="B1356" s="17" t="s">
        <v>151</v>
      </c>
      <c r="C1356" s="17" t="s">
        <v>5583</v>
      </c>
      <c r="D1356" s="17" t="s">
        <v>5584</v>
      </c>
      <c r="E1356" s="17">
        <v>66</v>
      </c>
      <c r="F1356" s="27">
        <v>22</v>
      </c>
      <c r="G1356" s="17" t="s">
        <v>296</v>
      </c>
      <c r="H1356" s="17" t="s">
        <v>2882</v>
      </c>
    </row>
    <row r="1357" spans="1:8" x14ac:dyDescent="0.25">
      <c r="A1357" s="16" t="s">
        <v>2883</v>
      </c>
      <c r="B1357" s="17" t="s">
        <v>1540</v>
      </c>
      <c r="C1357" s="17" t="s">
        <v>4665</v>
      </c>
      <c r="D1357" s="17" t="s">
        <v>5585</v>
      </c>
      <c r="E1357" s="17">
        <v>66</v>
      </c>
      <c r="F1357" s="27">
        <v>22</v>
      </c>
      <c r="G1357" s="17" t="s">
        <v>886</v>
      </c>
      <c r="H1357" s="17" t="s">
        <v>2884</v>
      </c>
    </row>
    <row r="1358" spans="1:8" x14ac:dyDescent="0.25">
      <c r="A1358" s="16" t="s">
        <v>2885</v>
      </c>
      <c r="B1358" s="17" t="s">
        <v>254</v>
      </c>
      <c r="C1358" s="17" t="s">
        <v>5586</v>
      </c>
      <c r="D1358" s="17" t="s">
        <v>5587</v>
      </c>
      <c r="E1358" s="17">
        <v>66</v>
      </c>
      <c r="F1358" s="27">
        <v>22</v>
      </c>
      <c r="G1358" s="17" t="s">
        <v>863</v>
      </c>
      <c r="H1358" s="17" t="s">
        <v>2886</v>
      </c>
    </row>
    <row r="1359" spans="1:8" x14ac:dyDescent="0.25">
      <c r="A1359" s="16" t="s">
        <v>2887</v>
      </c>
      <c r="B1359" s="17" t="s">
        <v>660</v>
      </c>
      <c r="C1359" s="17" t="s">
        <v>5588</v>
      </c>
      <c r="D1359" s="17" t="s">
        <v>5589</v>
      </c>
      <c r="E1359" s="17">
        <v>66</v>
      </c>
      <c r="F1359" s="27">
        <v>22</v>
      </c>
      <c r="G1359" s="17" t="s">
        <v>1479</v>
      </c>
      <c r="H1359" s="17" t="s">
        <v>452</v>
      </c>
    </row>
    <row r="1360" spans="1:8" x14ac:dyDescent="0.25">
      <c r="A1360" s="16" t="s">
        <v>2888</v>
      </c>
      <c r="B1360" s="17" t="s">
        <v>2889</v>
      </c>
      <c r="C1360" s="17" t="s">
        <v>5590</v>
      </c>
      <c r="D1360" s="17" t="s">
        <v>5591</v>
      </c>
      <c r="E1360" s="17">
        <v>66</v>
      </c>
      <c r="F1360" s="27">
        <v>22</v>
      </c>
      <c r="G1360" s="17" t="s">
        <v>319</v>
      </c>
      <c r="H1360" s="17" t="s">
        <v>319</v>
      </c>
    </row>
    <row r="1361" spans="1:8" x14ac:dyDescent="0.25">
      <c r="A1361" s="16" t="s">
        <v>2890</v>
      </c>
      <c r="B1361" s="17" t="s">
        <v>1559</v>
      </c>
      <c r="C1361" s="17" t="s">
        <v>5592</v>
      </c>
      <c r="D1361" s="17" t="s">
        <v>5593</v>
      </c>
      <c r="E1361" s="17">
        <v>66</v>
      </c>
      <c r="F1361" s="27">
        <v>22</v>
      </c>
      <c r="G1361" s="17" t="s">
        <v>319</v>
      </c>
      <c r="H1361" s="17" t="s">
        <v>319</v>
      </c>
    </row>
    <row r="1362" spans="1:8" x14ac:dyDescent="0.25">
      <c r="A1362" s="16" t="s">
        <v>2891</v>
      </c>
      <c r="B1362" s="17" t="s">
        <v>505</v>
      </c>
      <c r="C1362" s="17" t="s">
        <v>5594</v>
      </c>
      <c r="D1362" s="17" t="s">
        <v>5595</v>
      </c>
      <c r="E1362" s="17">
        <v>66</v>
      </c>
      <c r="F1362" s="27">
        <v>22</v>
      </c>
      <c r="G1362" s="17" t="s">
        <v>319</v>
      </c>
      <c r="H1362" s="17" t="s">
        <v>319</v>
      </c>
    </row>
    <row r="1363" spans="1:8" x14ac:dyDescent="0.25">
      <c r="A1363" s="16" t="s">
        <v>2892</v>
      </c>
      <c r="B1363" s="17" t="s">
        <v>57</v>
      </c>
      <c r="C1363" s="17" t="s">
        <v>5596</v>
      </c>
      <c r="D1363" s="17" t="s">
        <v>5597</v>
      </c>
      <c r="E1363" s="17">
        <v>66</v>
      </c>
      <c r="F1363" s="27">
        <v>22</v>
      </c>
      <c r="G1363" s="17" t="s">
        <v>319</v>
      </c>
      <c r="H1363" s="17" t="s">
        <v>2893</v>
      </c>
    </row>
    <row r="1364" spans="1:8" x14ac:dyDescent="0.25">
      <c r="A1364" s="16" t="s">
        <v>2894</v>
      </c>
      <c r="B1364" s="17" t="s">
        <v>1133</v>
      </c>
      <c r="C1364" s="17" t="s">
        <v>5598</v>
      </c>
      <c r="D1364" s="17" t="s">
        <v>5599</v>
      </c>
      <c r="E1364" s="17">
        <v>66</v>
      </c>
      <c r="F1364" s="27">
        <v>22</v>
      </c>
      <c r="G1364" s="17" t="s">
        <v>319</v>
      </c>
      <c r="H1364" s="17" t="s">
        <v>2895</v>
      </c>
    </row>
    <row r="1365" spans="1:8" x14ac:dyDescent="0.25">
      <c r="A1365" s="16" t="s">
        <v>2896</v>
      </c>
      <c r="B1365" s="17" t="s">
        <v>2897</v>
      </c>
      <c r="C1365" s="17" t="s">
        <v>5600</v>
      </c>
      <c r="D1365" s="17" t="s">
        <v>5601</v>
      </c>
      <c r="E1365" s="17">
        <v>67</v>
      </c>
      <c r="F1365" s="16">
        <v>8</v>
      </c>
      <c r="G1365" s="17" t="s">
        <v>846</v>
      </c>
      <c r="H1365" s="17" t="s">
        <v>2898</v>
      </c>
    </row>
    <row r="1366" spans="1:8" x14ac:dyDescent="0.25">
      <c r="A1366" s="16" t="s">
        <v>2899</v>
      </c>
      <c r="B1366" s="17" t="s">
        <v>135</v>
      </c>
      <c r="C1366" s="17" t="s">
        <v>3956</v>
      </c>
      <c r="D1366" s="17" t="s">
        <v>5602</v>
      </c>
      <c r="E1366" s="17">
        <v>67</v>
      </c>
      <c r="F1366" s="16">
        <v>8</v>
      </c>
      <c r="G1366" s="17" t="s">
        <v>1350</v>
      </c>
      <c r="H1366" s="17" t="s">
        <v>1234</v>
      </c>
    </row>
    <row r="1367" spans="1:8" x14ac:dyDescent="0.25">
      <c r="A1367" s="16" t="s">
        <v>2900</v>
      </c>
      <c r="B1367" s="17" t="s">
        <v>151</v>
      </c>
      <c r="C1367" s="17" t="s">
        <v>5603</v>
      </c>
      <c r="D1367" s="17" t="s">
        <v>5604</v>
      </c>
      <c r="E1367" s="17">
        <v>67</v>
      </c>
      <c r="F1367" s="16">
        <v>8</v>
      </c>
      <c r="G1367" s="17" t="s">
        <v>1350</v>
      </c>
      <c r="H1367" s="17" t="s">
        <v>1234</v>
      </c>
    </row>
    <row r="1368" spans="1:8" x14ac:dyDescent="0.25">
      <c r="A1368" s="16" t="s">
        <v>2901</v>
      </c>
      <c r="B1368" s="17" t="s">
        <v>547</v>
      </c>
      <c r="C1368" s="17" t="s">
        <v>3766</v>
      </c>
      <c r="D1368" s="17" t="s">
        <v>5605</v>
      </c>
      <c r="E1368" s="17">
        <v>67</v>
      </c>
      <c r="F1368" s="16">
        <v>8</v>
      </c>
      <c r="G1368" s="17" t="s">
        <v>1350</v>
      </c>
      <c r="H1368" s="17" t="s">
        <v>2902</v>
      </c>
    </row>
    <row r="1369" spans="1:8" x14ac:dyDescent="0.25">
      <c r="A1369" s="16" t="s">
        <v>2903</v>
      </c>
      <c r="B1369" s="17" t="s">
        <v>138</v>
      </c>
      <c r="C1369" s="17" t="s">
        <v>3766</v>
      </c>
      <c r="D1369" s="17" t="s">
        <v>5606</v>
      </c>
      <c r="E1369" s="17">
        <v>67</v>
      </c>
      <c r="F1369" s="16">
        <v>8</v>
      </c>
      <c r="G1369" s="17" t="s">
        <v>1350</v>
      </c>
      <c r="H1369" s="17" t="s">
        <v>2904</v>
      </c>
    </row>
    <row r="1370" spans="1:8" x14ac:dyDescent="0.25">
      <c r="A1370" s="16" t="s">
        <v>2905</v>
      </c>
      <c r="B1370" s="17" t="s">
        <v>2906</v>
      </c>
      <c r="C1370" s="17" t="s">
        <v>3871</v>
      </c>
      <c r="D1370" s="17" t="s">
        <v>5607</v>
      </c>
      <c r="E1370" s="17">
        <v>67</v>
      </c>
      <c r="F1370" s="16">
        <v>8</v>
      </c>
      <c r="G1370" s="17" t="s">
        <v>210</v>
      </c>
      <c r="H1370" s="17" t="s">
        <v>2907</v>
      </c>
    </row>
    <row r="1371" spans="1:8" x14ac:dyDescent="0.25">
      <c r="A1371" s="16" t="s">
        <v>2908</v>
      </c>
      <c r="B1371" s="17" t="s">
        <v>272</v>
      </c>
      <c r="C1371" s="17" t="s">
        <v>5608</v>
      </c>
      <c r="D1371" s="17" t="s">
        <v>5609</v>
      </c>
      <c r="E1371" s="17">
        <v>67</v>
      </c>
      <c r="F1371" s="16">
        <v>8</v>
      </c>
      <c r="G1371" s="17" t="s">
        <v>2909</v>
      </c>
      <c r="H1371" s="17" t="s">
        <v>2909</v>
      </c>
    </row>
    <row r="1372" spans="1:8" x14ac:dyDescent="0.25">
      <c r="A1372" s="16" t="s">
        <v>2910</v>
      </c>
      <c r="B1372" s="17" t="s">
        <v>49</v>
      </c>
      <c r="C1372" s="17" t="s">
        <v>3766</v>
      </c>
      <c r="D1372" s="17" t="s">
        <v>5610</v>
      </c>
      <c r="E1372" s="17">
        <v>67</v>
      </c>
      <c r="F1372" s="16">
        <v>8</v>
      </c>
      <c r="G1372" s="17" t="s">
        <v>2909</v>
      </c>
      <c r="H1372" s="17" t="s">
        <v>2911</v>
      </c>
    </row>
    <row r="1373" spans="1:8" x14ac:dyDescent="0.25">
      <c r="A1373" s="16" t="s">
        <v>2912</v>
      </c>
      <c r="B1373" s="17" t="s">
        <v>95</v>
      </c>
      <c r="C1373" s="17" t="s">
        <v>23</v>
      </c>
      <c r="D1373" s="17" t="s">
        <v>5611</v>
      </c>
      <c r="E1373" s="17">
        <v>67</v>
      </c>
      <c r="F1373" s="16">
        <v>8</v>
      </c>
      <c r="G1373" s="17" t="s">
        <v>2909</v>
      </c>
      <c r="H1373" s="17" t="s">
        <v>2913</v>
      </c>
    </row>
    <row r="1374" spans="1:8" x14ac:dyDescent="0.25">
      <c r="A1374" s="16" t="s">
        <v>2914</v>
      </c>
      <c r="B1374" s="17" t="s">
        <v>157</v>
      </c>
      <c r="C1374" s="17" t="s">
        <v>3766</v>
      </c>
      <c r="D1374" s="17" t="s">
        <v>5612</v>
      </c>
      <c r="E1374" s="17">
        <v>67</v>
      </c>
      <c r="F1374" s="16">
        <v>8</v>
      </c>
      <c r="G1374" s="17" t="s">
        <v>2909</v>
      </c>
      <c r="H1374" s="17" t="s">
        <v>2915</v>
      </c>
    </row>
    <row r="1375" spans="1:8" x14ac:dyDescent="0.25">
      <c r="A1375" s="16" t="s">
        <v>2916</v>
      </c>
      <c r="B1375" s="17" t="s">
        <v>92</v>
      </c>
      <c r="C1375" s="17" t="s">
        <v>3766</v>
      </c>
      <c r="D1375" s="17" t="s">
        <v>5613</v>
      </c>
      <c r="E1375" s="17">
        <v>67</v>
      </c>
      <c r="F1375" s="16">
        <v>8</v>
      </c>
      <c r="G1375" s="17" t="s">
        <v>2909</v>
      </c>
      <c r="H1375" s="17" t="s">
        <v>2917</v>
      </c>
    </row>
    <row r="1376" spans="1:8" x14ac:dyDescent="0.25">
      <c r="A1376" s="16" t="s">
        <v>2918</v>
      </c>
      <c r="B1376" s="17" t="s">
        <v>80</v>
      </c>
      <c r="C1376" s="17" t="s">
        <v>5614</v>
      </c>
      <c r="D1376" s="17" t="s">
        <v>5615</v>
      </c>
      <c r="E1376" s="17">
        <v>68</v>
      </c>
      <c r="F1376" s="16">
        <v>6</v>
      </c>
      <c r="G1376" s="17" t="s">
        <v>1261</v>
      </c>
      <c r="H1376" s="17" t="s">
        <v>2919</v>
      </c>
    </row>
    <row r="1377" spans="1:8" x14ac:dyDescent="0.25">
      <c r="A1377" s="16" t="s">
        <v>2920</v>
      </c>
      <c r="B1377" s="17" t="s">
        <v>2921</v>
      </c>
      <c r="C1377" s="17" t="s">
        <v>3766</v>
      </c>
      <c r="D1377" s="17" t="s">
        <v>5616</v>
      </c>
      <c r="E1377" s="17">
        <v>68</v>
      </c>
      <c r="F1377" s="16">
        <v>6</v>
      </c>
      <c r="G1377" s="17" t="s">
        <v>1261</v>
      </c>
      <c r="H1377" s="17" t="s">
        <v>1812</v>
      </c>
    </row>
    <row r="1378" spans="1:8" x14ac:dyDescent="0.25">
      <c r="A1378" s="16" t="s">
        <v>2922</v>
      </c>
      <c r="B1378" s="17" t="s">
        <v>107</v>
      </c>
      <c r="C1378" s="17" t="s">
        <v>5617</v>
      </c>
      <c r="D1378" s="17" t="s">
        <v>5618</v>
      </c>
      <c r="E1378" s="17">
        <v>68</v>
      </c>
      <c r="F1378" s="16">
        <v>6</v>
      </c>
      <c r="G1378" s="17" t="s">
        <v>521</v>
      </c>
      <c r="H1378" s="17" t="s">
        <v>2923</v>
      </c>
    </row>
    <row r="1379" spans="1:8" x14ac:dyDescent="0.25">
      <c r="A1379" s="16" t="s">
        <v>2924</v>
      </c>
      <c r="B1379" s="17" t="s">
        <v>135</v>
      </c>
      <c r="C1379" s="17" t="s">
        <v>5619</v>
      </c>
      <c r="D1379" s="17" t="s">
        <v>5620</v>
      </c>
      <c r="E1379" s="17">
        <v>68</v>
      </c>
      <c r="F1379" s="16">
        <v>6</v>
      </c>
      <c r="G1379" s="17" t="s">
        <v>521</v>
      </c>
      <c r="H1379" s="17" t="s">
        <v>2925</v>
      </c>
    </row>
    <row r="1380" spans="1:8" x14ac:dyDescent="0.25">
      <c r="A1380" s="16" t="s">
        <v>2926</v>
      </c>
      <c r="B1380" s="17" t="s">
        <v>2927</v>
      </c>
      <c r="C1380" s="17" t="s">
        <v>5621</v>
      </c>
      <c r="D1380" s="17" t="s">
        <v>5622</v>
      </c>
      <c r="E1380" s="17">
        <v>68</v>
      </c>
      <c r="F1380" s="16">
        <v>6</v>
      </c>
      <c r="G1380" s="17" t="s">
        <v>73</v>
      </c>
      <c r="H1380" s="17" t="s">
        <v>73</v>
      </c>
    </row>
    <row r="1381" spans="1:8" x14ac:dyDescent="0.25">
      <c r="A1381" s="16" t="s">
        <v>2928</v>
      </c>
      <c r="B1381" s="17" t="s">
        <v>151</v>
      </c>
      <c r="C1381" s="17" t="s">
        <v>3800</v>
      </c>
      <c r="D1381" s="17" t="s">
        <v>5623</v>
      </c>
      <c r="E1381" s="17">
        <v>68</v>
      </c>
      <c r="F1381" s="16">
        <v>6</v>
      </c>
      <c r="G1381" s="17" t="s">
        <v>78</v>
      </c>
      <c r="H1381" s="17" t="s">
        <v>2929</v>
      </c>
    </row>
    <row r="1382" spans="1:8" x14ac:dyDescent="0.25">
      <c r="A1382" s="16" t="s">
        <v>2930</v>
      </c>
      <c r="B1382" s="17" t="s">
        <v>49</v>
      </c>
      <c r="C1382" s="17" t="s">
        <v>3766</v>
      </c>
      <c r="D1382" s="17" t="s">
        <v>5624</v>
      </c>
      <c r="E1382" s="17">
        <v>68</v>
      </c>
      <c r="F1382" s="16">
        <v>6</v>
      </c>
      <c r="G1382" s="17" t="s">
        <v>78</v>
      </c>
      <c r="H1382" s="17" t="s">
        <v>2931</v>
      </c>
    </row>
    <row r="1383" spans="1:8" x14ac:dyDescent="0.25">
      <c r="A1383" s="16" t="s">
        <v>2932</v>
      </c>
      <c r="B1383" s="17" t="s">
        <v>301</v>
      </c>
      <c r="C1383" s="17" t="s">
        <v>5625</v>
      </c>
      <c r="D1383" s="17" t="s">
        <v>5626</v>
      </c>
      <c r="E1383" s="17">
        <v>68</v>
      </c>
      <c r="F1383" s="16">
        <v>6</v>
      </c>
      <c r="G1383" s="17" t="s">
        <v>78</v>
      </c>
      <c r="H1383" s="17" t="s">
        <v>2933</v>
      </c>
    </row>
    <row r="1384" spans="1:8" x14ac:dyDescent="0.25">
      <c r="A1384" s="16" t="s">
        <v>2934</v>
      </c>
      <c r="B1384" s="17" t="s">
        <v>41</v>
      </c>
      <c r="C1384" s="17" t="s">
        <v>5627</v>
      </c>
      <c r="D1384" s="17" t="s">
        <v>5628</v>
      </c>
      <c r="E1384" s="17">
        <v>68</v>
      </c>
      <c r="F1384" s="16">
        <v>6</v>
      </c>
      <c r="G1384" s="17" t="s">
        <v>78</v>
      </c>
      <c r="H1384" s="17" t="s">
        <v>2935</v>
      </c>
    </row>
    <row r="1385" spans="1:8" x14ac:dyDescent="0.25">
      <c r="A1385" s="16" t="s">
        <v>2936</v>
      </c>
      <c r="B1385" s="17" t="s">
        <v>2937</v>
      </c>
      <c r="C1385" s="17" t="s">
        <v>3800</v>
      </c>
      <c r="D1385" s="17" t="s">
        <v>5629</v>
      </c>
      <c r="E1385" s="17">
        <v>68</v>
      </c>
      <c r="F1385" s="16">
        <v>6</v>
      </c>
      <c r="G1385" s="17" t="s">
        <v>78</v>
      </c>
      <c r="H1385" s="17" t="s">
        <v>2938</v>
      </c>
    </row>
    <row r="1386" spans="1:8" x14ac:dyDescent="0.25">
      <c r="A1386" s="16" t="s">
        <v>2939</v>
      </c>
      <c r="B1386" s="17" t="s">
        <v>947</v>
      </c>
      <c r="C1386" s="17" t="s">
        <v>3764</v>
      </c>
      <c r="D1386" s="17" t="s">
        <v>5630</v>
      </c>
      <c r="E1386" s="17">
        <v>68</v>
      </c>
      <c r="F1386" s="16">
        <v>6</v>
      </c>
      <c r="G1386" s="17" t="s">
        <v>78</v>
      </c>
      <c r="H1386" s="17" t="s">
        <v>2940</v>
      </c>
    </row>
    <row r="1387" spans="1:8" x14ac:dyDescent="0.25">
      <c r="A1387" s="16" t="s">
        <v>2941</v>
      </c>
      <c r="B1387" s="17" t="s">
        <v>319</v>
      </c>
      <c r="C1387" s="17" t="s">
        <v>5631</v>
      </c>
      <c r="D1387" s="17" t="s">
        <v>5632</v>
      </c>
      <c r="E1387" s="17">
        <v>68</v>
      </c>
      <c r="F1387" s="16">
        <v>6</v>
      </c>
      <c r="G1387" s="17" t="s">
        <v>78</v>
      </c>
      <c r="H1387" s="17" t="s">
        <v>515</v>
      </c>
    </row>
    <row r="1388" spans="1:8" x14ac:dyDescent="0.25">
      <c r="A1388" s="16" t="s">
        <v>2942</v>
      </c>
      <c r="B1388" s="17" t="s">
        <v>135</v>
      </c>
      <c r="C1388" s="17" t="s">
        <v>5633</v>
      </c>
      <c r="D1388" s="17" t="s">
        <v>5634</v>
      </c>
      <c r="E1388" s="17">
        <v>68</v>
      </c>
      <c r="F1388" s="16">
        <v>6</v>
      </c>
      <c r="G1388" s="17" t="s">
        <v>78</v>
      </c>
      <c r="H1388" s="17" t="s">
        <v>2943</v>
      </c>
    </row>
    <row r="1389" spans="1:8" x14ac:dyDescent="0.25">
      <c r="A1389" s="16" t="s">
        <v>2944</v>
      </c>
      <c r="B1389" s="17" t="s">
        <v>32</v>
      </c>
      <c r="C1389" s="17" t="s">
        <v>3758</v>
      </c>
      <c r="D1389" s="17" t="s">
        <v>5635</v>
      </c>
      <c r="E1389" s="17">
        <v>68</v>
      </c>
      <c r="F1389" s="16">
        <v>6</v>
      </c>
      <c r="G1389" s="17" t="s">
        <v>78</v>
      </c>
      <c r="H1389" s="17" t="s">
        <v>2945</v>
      </c>
    </row>
    <row r="1390" spans="1:8" x14ac:dyDescent="0.25">
      <c r="A1390" s="16" t="s">
        <v>2946</v>
      </c>
      <c r="B1390" s="17" t="s">
        <v>57</v>
      </c>
      <c r="C1390" s="17" t="s">
        <v>3766</v>
      </c>
      <c r="D1390" s="17" t="s">
        <v>5636</v>
      </c>
      <c r="E1390" s="17">
        <v>68</v>
      </c>
      <c r="F1390" s="16">
        <v>6</v>
      </c>
      <c r="G1390" s="17" t="s">
        <v>78</v>
      </c>
      <c r="H1390" s="17" t="s">
        <v>2947</v>
      </c>
    </row>
    <row r="1391" spans="1:8" x14ac:dyDescent="0.25">
      <c r="A1391" s="16" t="s">
        <v>2948</v>
      </c>
      <c r="B1391" s="17" t="s">
        <v>614</v>
      </c>
      <c r="C1391" s="17" t="s">
        <v>3766</v>
      </c>
      <c r="D1391" s="17" t="s">
        <v>5637</v>
      </c>
      <c r="E1391" s="17">
        <v>69</v>
      </c>
      <c r="F1391" s="27">
        <v>18</v>
      </c>
      <c r="G1391" s="17" t="s">
        <v>1762</v>
      </c>
      <c r="H1391" s="17" t="s">
        <v>359</v>
      </c>
    </row>
    <row r="1392" spans="1:8" x14ac:dyDescent="0.25">
      <c r="A1392" s="16" t="s">
        <v>2949</v>
      </c>
      <c r="B1392" s="17" t="s">
        <v>2950</v>
      </c>
      <c r="C1392" s="17" t="s">
        <v>5638</v>
      </c>
      <c r="D1392" s="17" t="s">
        <v>5639</v>
      </c>
      <c r="E1392" s="17">
        <v>69</v>
      </c>
      <c r="F1392" s="27">
        <v>18</v>
      </c>
      <c r="G1392" s="17" t="s">
        <v>2951</v>
      </c>
      <c r="H1392" s="17" t="s">
        <v>2952</v>
      </c>
    </row>
    <row r="1393" spans="1:8" x14ac:dyDescent="0.25">
      <c r="A1393" s="16" t="s">
        <v>2953</v>
      </c>
      <c r="B1393" s="17" t="s">
        <v>480</v>
      </c>
      <c r="C1393" s="17" t="s">
        <v>3766</v>
      </c>
      <c r="D1393" s="17" t="s">
        <v>5640</v>
      </c>
      <c r="E1393" s="17">
        <v>69</v>
      </c>
      <c r="F1393" s="27">
        <v>18</v>
      </c>
      <c r="G1393" s="17" t="s">
        <v>2951</v>
      </c>
      <c r="H1393" s="17" t="s">
        <v>356</v>
      </c>
    </row>
    <row r="1394" spans="1:8" x14ac:dyDescent="0.25">
      <c r="A1394" s="16" t="s">
        <v>2954</v>
      </c>
      <c r="B1394" s="17" t="s">
        <v>466</v>
      </c>
      <c r="C1394" s="17" t="s">
        <v>3766</v>
      </c>
      <c r="D1394" s="17" t="s">
        <v>5641</v>
      </c>
      <c r="E1394" s="17">
        <v>69</v>
      </c>
      <c r="F1394" s="27">
        <v>18</v>
      </c>
      <c r="G1394" s="17" t="s">
        <v>2951</v>
      </c>
      <c r="H1394" s="17" t="s">
        <v>187</v>
      </c>
    </row>
    <row r="1395" spans="1:8" x14ac:dyDescent="0.25">
      <c r="A1395" s="16" t="s">
        <v>2955</v>
      </c>
      <c r="B1395" s="17" t="s">
        <v>505</v>
      </c>
      <c r="C1395" s="17" t="s">
        <v>3766</v>
      </c>
      <c r="D1395" s="17" t="s">
        <v>5642</v>
      </c>
      <c r="E1395" s="17">
        <v>69</v>
      </c>
      <c r="F1395" s="27">
        <v>18</v>
      </c>
      <c r="G1395" s="17" t="s">
        <v>2951</v>
      </c>
      <c r="H1395" s="17" t="s">
        <v>2956</v>
      </c>
    </row>
    <row r="1396" spans="1:8" x14ac:dyDescent="0.25">
      <c r="A1396" s="16" t="s">
        <v>2957</v>
      </c>
      <c r="B1396" s="17" t="s">
        <v>57</v>
      </c>
      <c r="C1396" s="17" t="s">
        <v>3766</v>
      </c>
      <c r="D1396" s="17" t="s">
        <v>5643</v>
      </c>
      <c r="E1396" s="17">
        <v>69</v>
      </c>
      <c r="F1396" s="27">
        <v>18</v>
      </c>
      <c r="G1396" s="17" t="s">
        <v>2951</v>
      </c>
      <c r="H1396" s="17" t="s">
        <v>2958</v>
      </c>
    </row>
    <row r="1397" spans="1:8" x14ac:dyDescent="0.25">
      <c r="A1397" s="16" t="s">
        <v>2959</v>
      </c>
      <c r="B1397" s="17" t="s">
        <v>540</v>
      </c>
      <c r="C1397" s="17" t="s">
        <v>3766</v>
      </c>
      <c r="D1397" s="17" t="s">
        <v>5644</v>
      </c>
      <c r="E1397" s="17">
        <v>69</v>
      </c>
      <c r="F1397" s="27">
        <v>18</v>
      </c>
      <c r="G1397" s="17" t="s">
        <v>2951</v>
      </c>
      <c r="H1397" s="17" t="s">
        <v>2960</v>
      </c>
    </row>
    <row r="1398" spans="1:8" x14ac:dyDescent="0.25">
      <c r="A1398" s="16" t="s">
        <v>2961</v>
      </c>
      <c r="B1398" s="17" t="s">
        <v>92</v>
      </c>
      <c r="C1398" s="17" t="s">
        <v>3766</v>
      </c>
      <c r="D1398" s="17" t="s">
        <v>5645</v>
      </c>
      <c r="E1398" s="17">
        <v>69</v>
      </c>
      <c r="F1398" s="27">
        <v>18</v>
      </c>
      <c r="G1398" s="17" t="s">
        <v>2951</v>
      </c>
      <c r="H1398" s="17" t="s">
        <v>2962</v>
      </c>
    </row>
    <row r="1399" spans="1:8" x14ac:dyDescent="0.25">
      <c r="A1399" s="16" t="s">
        <v>2963</v>
      </c>
      <c r="B1399" s="17" t="s">
        <v>586</v>
      </c>
      <c r="C1399" s="17" t="s">
        <v>3766</v>
      </c>
      <c r="D1399" s="17" t="s">
        <v>5646</v>
      </c>
      <c r="E1399" s="17">
        <v>69</v>
      </c>
      <c r="F1399" s="27">
        <v>18</v>
      </c>
      <c r="G1399" s="17" t="s">
        <v>2951</v>
      </c>
      <c r="H1399" s="17" t="s">
        <v>2964</v>
      </c>
    </row>
    <row r="1400" spans="1:8" x14ac:dyDescent="0.25">
      <c r="A1400" s="16" t="s">
        <v>2965</v>
      </c>
      <c r="B1400" s="17" t="s">
        <v>153</v>
      </c>
      <c r="C1400" s="17" t="s">
        <v>3766</v>
      </c>
      <c r="D1400" s="17" t="s">
        <v>5647</v>
      </c>
      <c r="E1400" s="17">
        <v>69</v>
      </c>
      <c r="F1400" s="27">
        <v>18</v>
      </c>
      <c r="G1400" s="17" t="s">
        <v>2951</v>
      </c>
      <c r="H1400" s="17" t="s">
        <v>2966</v>
      </c>
    </row>
    <row r="1401" spans="1:8" x14ac:dyDescent="0.25">
      <c r="A1401" s="16" t="s">
        <v>2967</v>
      </c>
      <c r="B1401" s="17" t="s">
        <v>1997</v>
      </c>
      <c r="C1401" s="17" t="s">
        <v>3766</v>
      </c>
      <c r="D1401" s="17" t="s">
        <v>5648</v>
      </c>
      <c r="E1401" s="17">
        <v>69</v>
      </c>
      <c r="F1401" s="27">
        <v>18</v>
      </c>
      <c r="G1401" s="17" t="s">
        <v>2951</v>
      </c>
      <c r="H1401" s="17" t="s">
        <v>2968</v>
      </c>
    </row>
    <row r="1402" spans="1:8" x14ac:dyDescent="0.25">
      <c r="A1402" s="16" t="s">
        <v>2969</v>
      </c>
      <c r="B1402" s="17" t="s">
        <v>1154</v>
      </c>
      <c r="C1402" s="17" t="s">
        <v>5649</v>
      </c>
      <c r="D1402" s="17" t="s">
        <v>5650</v>
      </c>
      <c r="E1402" s="17">
        <v>69</v>
      </c>
      <c r="F1402" s="27">
        <v>18</v>
      </c>
      <c r="G1402" s="17" t="s">
        <v>2951</v>
      </c>
      <c r="H1402" s="17" t="s">
        <v>2970</v>
      </c>
    </row>
    <row r="1403" spans="1:8" x14ac:dyDescent="0.25">
      <c r="A1403" s="16" t="s">
        <v>2971</v>
      </c>
      <c r="B1403" s="17" t="s">
        <v>120</v>
      </c>
      <c r="C1403" s="17" t="s">
        <v>3758</v>
      </c>
      <c r="D1403" s="17" t="s">
        <v>5651</v>
      </c>
      <c r="E1403" s="17">
        <v>69</v>
      </c>
      <c r="F1403" s="27">
        <v>18</v>
      </c>
      <c r="G1403" s="17" t="s">
        <v>2951</v>
      </c>
      <c r="H1403" s="17" t="s">
        <v>2972</v>
      </c>
    </row>
    <row r="1404" spans="1:8" x14ac:dyDescent="0.25">
      <c r="A1404" s="16" t="s">
        <v>2973</v>
      </c>
      <c r="B1404" s="17" t="s">
        <v>2974</v>
      </c>
      <c r="C1404" s="17" t="s">
        <v>3766</v>
      </c>
      <c r="D1404" s="17" t="s">
        <v>5652</v>
      </c>
      <c r="E1404" s="17">
        <v>69</v>
      </c>
      <c r="F1404" s="27">
        <v>18</v>
      </c>
      <c r="G1404" s="17" t="s">
        <v>2951</v>
      </c>
      <c r="H1404" s="17" t="s">
        <v>2975</v>
      </c>
    </row>
    <row r="1405" spans="1:8" x14ac:dyDescent="0.25">
      <c r="A1405" s="16" t="s">
        <v>2976</v>
      </c>
      <c r="B1405" s="17" t="s">
        <v>41</v>
      </c>
      <c r="C1405" s="17" t="s">
        <v>5653</v>
      </c>
      <c r="D1405" s="17" t="s">
        <v>5654</v>
      </c>
      <c r="E1405" s="17">
        <v>69</v>
      </c>
      <c r="F1405" s="27">
        <v>18</v>
      </c>
      <c r="G1405" s="17" t="s">
        <v>2951</v>
      </c>
      <c r="H1405" s="17" t="s">
        <v>2977</v>
      </c>
    </row>
    <row r="1406" spans="1:8" x14ac:dyDescent="0.25">
      <c r="A1406" s="16" t="s">
        <v>2978</v>
      </c>
      <c r="B1406" s="17" t="s">
        <v>41</v>
      </c>
      <c r="C1406" s="17" t="s">
        <v>3766</v>
      </c>
      <c r="D1406" s="17" t="s">
        <v>5655</v>
      </c>
      <c r="E1406" s="17">
        <v>69</v>
      </c>
      <c r="F1406" s="27">
        <v>18</v>
      </c>
      <c r="G1406" s="17" t="s">
        <v>2951</v>
      </c>
      <c r="H1406" s="17" t="s">
        <v>466</v>
      </c>
    </row>
    <row r="1407" spans="1:8" x14ac:dyDescent="0.25">
      <c r="A1407" s="16" t="s">
        <v>2979</v>
      </c>
      <c r="B1407" s="17" t="s">
        <v>2980</v>
      </c>
      <c r="C1407" s="17" t="s">
        <v>3766</v>
      </c>
      <c r="D1407" s="17" t="s">
        <v>5656</v>
      </c>
      <c r="E1407" s="17">
        <v>69</v>
      </c>
      <c r="F1407" s="27">
        <v>18</v>
      </c>
      <c r="G1407" s="17" t="s">
        <v>2951</v>
      </c>
      <c r="H1407" s="17" t="s">
        <v>2981</v>
      </c>
    </row>
    <row r="1408" spans="1:8" x14ac:dyDescent="0.25">
      <c r="A1408" s="16" t="s">
        <v>2982</v>
      </c>
      <c r="B1408" s="17" t="s">
        <v>1256</v>
      </c>
      <c r="C1408" s="17" t="s">
        <v>3766</v>
      </c>
      <c r="D1408" s="17" t="s">
        <v>5657</v>
      </c>
      <c r="E1408" s="17">
        <v>69</v>
      </c>
      <c r="F1408" s="27">
        <v>18</v>
      </c>
      <c r="G1408" s="17" t="s">
        <v>78</v>
      </c>
      <c r="H1408" s="17" t="s">
        <v>2983</v>
      </c>
    </row>
    <row r="1409" spans="1:8" x14ac:dyDescent="0.25">
      <c r="A1409" s="16" t="s">
        <v>2984</v>
      </c>
      <c r="B1409" s="17" t="s">
        <v>172</v>
      </c>
      <c r="C1409" s="17" t="s">
        <v>5658</v>
      </c>
      <c r="D1409" s="17" t="s">
        <v>5659</v>
      </c>
      <c r="E1409" s="17">
        <v>70</v>
      </c>
      <c r="F1409" s="27">
        <v>10</v>
      </c>
      <c r="G1409" s="17" t="s">
        <v>61</v>
      </c>
      <c r="H1409" s="17" t="s">
        <v>61</v>
      </c>
    </row>
    <row r="1410" spans="1:8" x14ac:dyDescent="0.25">
      <c r="A1410" s="16" t="s">
        <v>2985</v>
      </c>
      <c r="B1410" s="17" t="s">
        <v>153</v>
      </c>
      <c r="C1410" s="17" t="s">
        <v>3766</v>
      </c>
      <c r="D1410" s="17" t="s">
        <v>5660</v>
      </c>
      <c r="E1410" s="17">
        <v>70</v>
      </c>
      <c r="F1410" s="27">
        <v>10</v>
      </c>
      <c r="G1410" s="17" t="s">
        <v>61</v>
      </c>
      <c r="H1410" s="17" t="s">
        <v>2986</v>
      </c>
    </row>
    <row r="1411" spans="1:8" x14ac:dyDescent="0.25">
      <c r="A1411" s="16" t="s">
        <v>2987</v>
      </c>
      <c r="B1411" s="17" t="s">
        <v>166</v>
      </c>
      <c r="C1411" s="17" t="s">
        <v>3758</v>
      </c>
      <c r="D1411" s="17" t="s">
        <v>5661</v>
      </c>
      <c r="E1411" s="17">
        <v>70</v>
      </c>
      <c r="F1411" s="27">
        <v>10</v>
      </c>
      <c r="G1411" s="17" t="s">
        <v>61</v>
      </c>
      <c r="H1411" s="17" t="s">
        <v>2988</v>
      </c>
    </row>
    <row r="1412" spans="1:8" x14ac:dyDescent="0.25">
      <c r="A1412" s="16" t="s">
        <v>2989</v>
      </c>
      <c r="B1412" s="17" t="s">
        <v>2559</v>
      </c>
      <c r="C1412" s="17" t="s">
        <v>3766</v>
      </c>
      <c r="D1412" s="17" t="s">
        <v>5662</v>
      </c>
      <c r="E1412" s="17">
        <v>70</v>
      </c>
      <c r="F1412" s="27">
        <v>10</v>
      </c>
      <c r="G1412" s="17" t="s">
        <v>61</v>
      </c>
      <c r="H1412" s="17" t="s">
        <v>2990</v>
      </c>
    </row>
    <row r="1413" spans="1:8" x14ac:dyDescent="0.25">
      <c r="A1413" s="16" t="s">
        <v>2991</v>
      </c>
      <c r="B1413" s="17" t="s">
        <v>46</v>
      </c>
      <c r="C1413" s="17" t="s">
        <v>3766</v>
      </c>
      <c r="D1413" s="17" t="s">
        <v>5663</v>
      </c>
      <c r="E1413" s="17">
        <v>70</v>
      </c>
      <c r="F1413" s="27">
        <v>10</v>
      </c>
      <c r="G1413" s="17" t="s">
        <v>61</v>
      </c>
      <c r="H1413" s="17" t="s">
        <v>2463</v>
      </c>
    </row>
    <row r="1414" spans="1:8" x14ac:dyDescent="0.25">
      <c r="A1414" s="16" t="s">
        <v>2992</v>
      </c>
      <c r="B1414" s="17" t="s">
        <v>80</v>
      </c>
      <c r="C1414" s="17" t="s">
        <v>5664</v>
      </c>
      <c r="D1414" s="17" t="s">
        <v>5665</v>
      </c>
      <c r="E1414" s="17">
        <v>70</v>
      </c>
      <c r="F1414" s="27">
        <v>10</v>
      </c>
      <c r="G1414" s="17" t="s">
        <v>61</v>
      </c>
      <c r="H1414" s="17" t="s">
        <v>822</v>
      </c>
    </row>
    <row r="1415" spans="1:8" x14ac:dyDescent="0.25">
      <c r="A1415" s="16" t="s">
        <v>2993</v>
      </c>
      <c r="B1415" s="17" t="s">
        <v>1029</v>
      </c>
      <c r="C1415" s="17" t="s">
        <v>3871</v>
      </c>
      <c r="D1415" s="17" t="s">
        <v>5666</v>
      </c>
      <c r="E1415" s="17">
        <v>70</v>
      </c>
      <c r="F1415" s="27">
        <v>10</v>
      </c>
      <c r="G1415" s="17" t="s">
        <v>61</v>
      </c>
      <c r="H1415" s="17" t="s">
        <v>1223</v>
      </c>
    </row>
    <row r="1416" spans="1:8" x14ac:dyDescent="0.25">
      <c r="A1416" s="16" t="s">
        <v>2994</v>
      </c>
      <c r="B1416" s="17" t="s">
        <v>132</v>
      </c>
      <c r="C1416" s="17" t="s">
        <v>3996</v>
      </c>
      <c r="D1416" s="17" t="s">
        <v>5667</v>
      </c>
      <c r="E1416" s="17">
        <v>70</v>
      </c>
      <c r="F1416" s="27">
        <v>10</v>
      </c>
      <c r="G1416" s="17" t="s">
        <v>61</v>
      </c>
      <c r="H1416" s="17" t="s">
        <v>2995</v>
      </c>
    </row>
    <row r="1417" spans="1:8" x14ac:dyDescent="0.25">
      <c r="A1417" s="16" t="s">
        <v>2996</v>
      </c>
      <c r="B1417" s="17" t="s">
        <v>734</v>
      </c>
      <c r="C1417" s="17" t="s">
        <v>3871</v>
      </c>
      <c r="D1417" s="17" t="s">
        <v>5668</v>
      </c>
      <c r="E1417" s="17">
        <v>70</v>
      </c>
      <c r="F1417" s="27">
        <v>10</v>
      </c>
      <c r="G1417" s="17" t="s">
        <v>61</v>
      </c>
      <c r="H1417" s="17" t="s">
        <v>2997</v>
      </c>
    </row>
    <row r="1418" spans="1:8" x14ac:dyDescent="0.25">
      <c r="A1418" s="16" t="s">
        <v>2998</v>
      </c>
      <c r="B1418" s="17" t="s">
        <v>970</v>
      </c>
      <c r="C1418" s="17" t="s">
        <v>3871</v>
      </c>
      <c r="D1418" s="17" t="s">
        <v>5669</v>
      </c>
      <c r="E1418" s="17">
        <v>70</v>
      </c>
      <c r="F1418" s="27">
        <v>10</v>
      </c>
      <c r="G1418" s="17" t="s">
        <v>61</v>
      </c>
      <c r="H1418" s="17" t="s">
        <v>2999</v>
      </c>
    </row>
    <row r="1419" spans="1:8" x14ac:dyDescent="0.25">
      <c r="A1419" s="16" t="s">
        <v>3000</v>
      </c>
      <c r="B1419" s="17" t="s">
        <v>95</v>
      </c>
      <c r="C1419" s="17" t="s">
        <v>3871</v>
      </c>
      <c r="D1419" s="17" t="s">
        <v>5670</v>
      </c>
      <c r="E1419" s="17">
        <v>70</v>
      </c>
      <c r="F1419" s="27">
        <v>10</v>
      </c>
      <c r="G1419" s="17" t="s">
        <v>61</v>
      </c>
      <c r="H1419" s="17" t="s">
        <v>3001</v>
      </c>
    </row>
    <row r="1420" spans="1:8" x14ac:dyDescent="0.25">
      <c r="A1420" s="16" t="s">
        <v>3002</v>
      </c>
      <c r="B1420" s="17" t="s">
        <v>3003</v>
      </c>
      <c r="C1420" s="17" t="s">
        <v>3871</v>
      </c>
      <c r="D1420" s="17" t="s">
        <v>5671</v>
      </c>
      <c r="E1420" s="17">
        <v>70</v>
      </c>
      <c r="F1420" s="27">
        <v>10</v>
      </c>
      <c r="G1420" s="17" t="s">
        <v>61</v>
      </c>
      <c r="H1420" s="17" t="s">
        <v>3004</v>
      </c>
    </row>
    <row r="1421" spans="1:8" x14ac:dyDescent="0.25">
      <c r="A1421" s="16" t="s">
        <v>3005</v>
      </c>
      <c r="B1421" s="17" t="s">
        <v>151</v>
      </c>
      <c r="C1421" s="17" t="s">
        <v>3766</v>
      </c>
      <c r="D1421" s="17" t="s">
        <v>5672</v>
      </c>
      <c r="E1421" s="17">
        <v>70</v>
      </c>
      <c r="F1421" s="27">
        <v>10</v>
      </c>
      <c r="G1421" s="17" t="s">
        <v>938</v>
      </c>
      <c r="H1421" s="17" t="s">
        <v>3006</v>
      </c>
    </row>
    <row r="1422" spans="1:8" x14ac:dyDescent="0.25">
      <c r="A1422" s="16" t="s">
        <v>3007</v>
      </c>
      <c r="B1422" s="17" t="s">
        <v>3008</v>
      </c>
      <c r="C1422" s="17" t="s">
        <v>3766</v>
      </c>
      <c r="D1422" s="17" t="s">
        <v>5673</v>
      </c>
      <c r="E1422" s="17">
        <v>70</v>
      </c>
      <c r="F1422" s="27">
        <v>10</v>
      </c>
      <c r="G1422" s="17" t="s">
        <v>938</v>
      </c>
      <c r="H1422" s="17" t="s">
        <v>3009</v>
      </c>
    </row>
    <row r="1423" spans="1:8" x14ac:dyDescent="0.25">
      <c r="A1423" s="16" t="s">
        <v>3010</v>
      </c>
      <c r="B1423" s="17" t="s">
        <v>172</v>
      </c>
      <c r="C1423" s="17" t="s">
        <v>3766</v>
      </c>
      <c r="D1423" s="17" t="s">
        <v>5674</v>
      </c>
      <c r="E1423" s="17">
        <v>70</v>
      </c>
      <c r="F1423" s="27">
        <v>10</v>
      </c>
      <c r="G1423" s="17" t="s">
        <v>938</v>
      </c>
      <c r="H1423" s="17" t="s">
        <v>3011</v>
      </c>
    </row>
    <row r="1424" spans="1:8" x14ac:dyDescent="0.25">
      <c r="A1424" s="16" t="s">
        <v>3012</v>
      </c>
      <c r="B1424" s="17" t="s">
        <v>234</v>
      </c>
      <c r="C1424" s="17" t="s">
        <v>3996</v>
      </c>
      <c r="D1424" s="17" t="s">
        <v>5675</v>
      </c>
      <c r="E1424" s="17">
        <v>71</v>
      </c>
      <c r="F1424" s="16">
        <v>7</v>
      </c>
      <c r="G1424" s="17" t="s">
        <v>579</v>
      </c>
      <c r="H1424" s="17" t="s">
        <v>3013</v>
      </c>
    </row>
    <row r="1425" spans="1:8" x14ac:dyDescent="0.25">
      <c r="A1425" s="16" t="s">
        <v>3014</v>
      </c>
      <c r="B1425" s="17" t="s">
        <v>3015</v>
      </c>
      <c r="C1425" s="17" t="s">
        <v>5676</v>
      </c>
      <c r="D1425" s="17" t="s">
        <v>5677</v>
      </c>
      <c r="E1425" s="17">
        <v>71</v>
      </c>
      <c r="F1425" s="16">
        <v>7</v>
      </c>
      <c r="G1425" s="17" t="s">
        <v>521</v>
      </c>
      <c r="H1425" s="17" t="s">
        <v>1306</v>
      </c>
    </row>
    <row r="1426" spans="1:8" x14ac:dyDescent="0.25">
      <c r="A1426" s="16" t="s">
        <v>3016</v>
      </c>
      <c r="B1426" s="17" t="s">
        <v>1437</v>
      </c>
      <c r="C1426" s="17" t="s">
        <v>3766</v>
      </c>
      <c r="D1426" s="17" t="s">
        <v>5678</v>
      </c>
      <c r="E1426" s="17">
        <v>71</v>
      </c>
      <c r="F1426" s="16">
        <v>7</v>
      </c>
      <c r="G1426" s="17" t="s">
        <v>521</v>
      </c>
      <c r="H1426" s="17" t="s">
        <v>3017</v>
      </c>
    </row>
    <row r="1427" spans="1:8" x14ac:dyDescent="0.25">
      <c r="A1427" s="16" t="s">
        <v>3018</v>
      </c>
      <c r="B1427" s="17" t="s">
        <v>3019</v>
      </c>
      <c r="C1427" s="17" t="s">
        <v>5679</v>
      </c>
      <c r="D1427" s="17" t="s">
        <v>5680</v>
      </c>
      <c r="E1427" s="17">
        <v>71</v>
      </c>
      <c r="F1427" s="16">
        <v>7</v>
      </c>
      <c r="G1427" s="17" t="s">
        <v>521</v>
      </c>
      <c r="H1427" s="17" t="s">
        <v>1315</v>
      </c>
    </row>
    <row r="1428" spans="1:8" x14ac:dyDescent="0.25">
      <c r="A1428" s="16" t="s">
        <v>3020</v>
      </c>
      <c r="B1428" s="17" t="s">
        <v>23</v>
      </c>
      <c r="C1428" s="17" t="s">
        <v>4082</v>
      </c>
      <c r="D1428" s="17" t="s">
        <v>5681</v>
      </c>
      <c r="E1428" s="17">
        <v>71</v>
      </c>
      <c r="F1428" s="16">
        <v>7</v>
      </c>
      <c r="G1428" s="17" t="s">
        <v>521</v>
      </c>
      <c r="H1428" s="17" t="s">
        <v>23</v>
      </c>
    </row>
    <row r="1429" spans="1:8" x14ac:dyDescent="0.25">
      <c r="A1429" s="16" t="s">
        <v>3021</v>
      </c>
      <c r="B1429" s="17" t="s">
        <v>3022</v>
      </c>
      <c r="C1429" s="17" t="s">
        <v>3766</v>
      </c>
      <c r="D1429" s="17" t="s">
        <v>5682</v>
      </c>
      <c r="E1429" s="17">
        <v>71</v>
      </c>
      <c r="F1429" s="16">
        <v>7</v>
      </c>
      <c r="G1429" s="17" t="s">
        <v>521</v>
      </c>
      <c r="H1429" s="17" t="s">
        <v>3022</v>
      </c>
    </row>
    <row r="1430" spans="1:8" x14ac:dyDescent="0.25">
      <c r="A1430" s="16" t="s">
        <v>3023</v>
      </c>
      <c r="B1430" s="17" t="s">
        <v>3024</v>
      </c>
      <c r="C1430" s="17" t="s">
        <v>4172</v>
      </c>
      <c r="D1430" s="17" t="s">
        <v>5683</v>
      </c>
      <c r="E1430" s="17">
        <v>71</v>
      </c>
      <c r="F1430" s="16">
        <v>7</v>
      </c>
      <c r="G1430" s="17" t="s">
        <v>521</v>
      </c>
      <c r="H1430" s="17" t="s">
        <v>3025</v>
      </c>
    </row>
    <row r="1431" spans="1:8" x14ac:dyDescent="0.25">
      <c r="A1431" s="16" t="s">
        <v>3026</v>
      </c>
      <c r="B1431" s="17" t="s">
        <v>23</v>
      </c>
      <c r="C1431" s="17" t="s">
        <v>5684</v>
      </c>
      <c r="D1431" s="17" t="s">
        <v>5685</v>
      </c>
      <c r="E1431" s="17">
        <v>71</v>
      </c>
      <c r="F1431" s="16">
        <v>7</v>
      </c>
      <c r="G1431" s="17" t="s">
        <v>521</v>
      </c>
      <c r="H1431" s="17" t="s">
        <v>3027</v>
      </c>
    </row>
    <row r="1432" spans="1:8" x14ac:dyDescent="0.25">
      <c r="A1432" s="16" t="s">
        <v>3028</v>
      </c>
      <c r="B1432" s="17" t="s">
        <v>3029</v>
      </c>
      <c r="C1432" s="17" t="s">
        <v>169</v>
      </c>
      <c r="D1432" s="17" t="s">
        <v>5686</v>
      </c>
      <c r="E1432" s="17">
        <v>71</v>
      </c>
      <c r="F1432" s="16">
        <v>7</v>
      </c>
      <c r="G1432" s="17" t="s">
        <v>521</v>
      </c>
      <c r="H1432" s="17" t="s">
        <v>3030</v>
      </c>
    </row>
    <row r="1433" spans="1:8" x14ac:dyDescent="0.25">
      <c r="A1433" s="16" t="s">
        <v>3031</v>
      </c>
      <c r="B1433" s="17" t="s">
        <v>254</v>
      </c>
      <c r="C1433" s="17" t="s">
        <v>3766</v>
      </c>
      <c r="D1433" s="17" t="s">
        <v>5687</v>
      </c>
      <c r="E1433" s="17">
        <v>71</v>
      </c>
      <c r="F1433" s="16">
        <v>7</v>
      </c>
      <c r="G1433" s="17" t="s">
        <v>521</v>
      </c>
      <c r="H1433" s="17" t="s">
        <v>3032</v>
      </c>
    </row>
    <row r="1434" spans="1:8" x14ac:dyDescent="0.25">
      <c r="A1434" s="16" t="s">
        <v>3033</v>
      </c>
      <c r="B1434" s="17" t="s">
        <v>295</v>
      </c>
      <c r="C1434" s="17" t="s">
        <v>5688</v>
      </c>
      <c r="D1434" s="17" t="s">
        <v>5689</v>
      </c>
      <c r="E1434" s="17">
        <v>71</v>
      </c>
      <c r="F1434" s="16">
        <v>7</v>
      </c>
      <c r="G1434" s="17" t="s">
        <v>521</v>
      </c>
      <c r="H1434" s="17" t="s">
        <v>3034</v>
      </c>
    </row>
    <row r="1435" spans="1:8" x14ac:dyDescent="0.25">
      <c r="A1435" s="16" t="s">
        <v>3035</v>
      </c>
      <c r="B1435" s="17" t="s">
        <v>261</v>
      </c>
      <c r="C1435" s="17" t="s">
        <v>5442</v>
      </c>
      <c r="D1435" s="17" t="s">
        <v>5690</v>
      </c>
      <c r="E1435" s="17">
        <v>71</v>
      </c>
      <c r="F1435" s="16">
        <v>7</v>
      </c>
      <c r="G1435" s="17" t="s">
        <v>521</v>
      </c>
      <c r="H1435" s="17" t="s">
        <v>811</v>
      </c>
    </row>
    <row r="1436" spans="1:8" x14ac:dyDescent="0.25">
      <c r="A1436" s="16" t="s">
        <v>3036</v>
      </c>
      <c r="B1436" s="17" t="s">
        <v>254</v>
      </c>
      <c r="C1436" s="17" t="s">
        <v>3937</v>
      </c>
      <c r="D1436" s="17" t="s">
        <v>5691</v>
      </c>
      <c r="E1436" s="17">
        <v>72</v>
      </c>
      <c r="F1436" s="27">
        <v>19</v>
      </c>
      <c r="G1436" s="17" t="s">
        <v>980</v>
      </c>
      <c r="H1436" s="17" t="s">
        <v>3037</v>
      </c>
    </row>
    <row r="1437" spans="1:8" x14ac:dyDescent="0.25">
      <c r="A1437" s="16" t="s">
        <v>3038</v>
      </c>
      <c r="B1437" s="17" t="s">
        <v>556</v>
      </c>
      <c r="C1437" s="17" t="s">
        <v>3871</v>
      </c>
      <c r="D1437" s="17" t="s">
        <v>5692</v>
      </c>
      <c r="E1437" s="17">
        <v>72</v>
      </c>
      <c r="F1437" s="27">
        <v>19</v>
      </c>
      <c r="G1437" s="17" t="s">
        <v>980</v>
      </c>
      <c r="H1437" s="17" t="s">
        <v>3039</v>
      </c>
    </row>
    <row r="1438" spans="1:8" x14ac:dyDescent="0.25">
      <c r="A1438" s="16" t="s">
        <v>3040</v>
      </c>
      <c r="B1438" s="17" t="s">
        <v>424</v>
      </c>
      <c r="C1438" s="17" t="s">
        <v>4155</v>
      </c>
      <c r="D1438" s="17" t="s">
        <v>5693</v>
      </c>
      <c r="E1438" s="17">
        <v>72</v>
      </c>
      <c r="F1438" s="27">
        <v>19</v>
      </c>
      <c r="G1438" s="17" t="s">
        <v>980</v>
      </c>
      <c r="H1438" s="17" t="s">
        <v>3041</v>
      </c>
    </row>
    <row r="1439" spans="1:8" x14ac:dyDescent="0.25">
      <c r="A1439" s="16" t="s">
        <v>3042</v>
      </c>
      <c r="B1439" s="17" t="s">
        <v>46</v>
      </c>
      <c r="C1439" s="17" t="s">
        <v>3766</v>
      </c>
      <c r="D1439" s="17" t="s">
        <v>5694</v>
      </c>
      <c r="E1439" s="17">
        <v>72</v>
      </c>
      <c r="F1439" s="27">
        <v>19</v>
      </c>
      <c r="G1439" s="17" t="s">
        <v>980</v>
      </c>
      <c r="H1439" s="17" t="s">
        <v>3043</v>
      </c>
    </row>
    <row r="1440" spans="1:8" x14ac:dyDescent="0.25">
      <c r="A1440" s="16" t="s">
        <v>3044</v>
      </c>
      <c r="B1440" s="17" t="s">
        <v>480</v>
      </c>
      <c r="C1440" s="17" t="s">
        <v>5695</v>
      </c>
      <c r="D1440" s="17" t="s">
        <v>5696</v>
      </c>
      <c r="E1440" s="17">
        <v>72</v>
      </c>
      <c r="F1440" s="27">
        <v>19</v>
      </c>
      <c r="G1440" s="17" t="s">
        <v>980</v>
      </c>
      <c r="H1440" s="17" t="s">
        <v>3045</v>
      </c>
    </row>
    <row r="1441" spans="1:8" x14ac:dyDescent="0.25">
      <c r="A1441" s="16" t="s">
        <v>3046</v>
      </c>
      <c r="B1441" s="17" t="s">
        <v>148</v>
      </c>
      <c r="C1441" s="17" t="s">
        <v>5697</v>
      </c>
      <c r="D1441" s="17" t="s">
        <v>5698</v>
      </c>
      <c r="E1441" s="17">
        <v>72</v>
      </c>
      <c r="F1441" s="27">
        <v>19</v>
      </c>
      <c r="G1441" s="17" t="s">
        <v>980</v>
      </c>
      <c r="H1441" s="17" t="s">
        <v>3047</v>
      </c>
    </row>
    <row r="1442" spans="1:8" x14ac:dyDescent="0.25">
      <c r="A1442" s="16" t="s">
        <v>3048</v>
      </c>
      <c r="B1442" s="17" t="s">
        <v>3049</v>
      </c>
      <c r="C1442" s="17" t="s">
        <v>4619</v>
      </c>
      <c r="D1442" s="17" t="s">
        <v>5699</v>
      </c>
      <c r="E1442" s="17">
        <v>72</v>
      </c>
      <c r="F1442" s="27">
        <v>19</v>
      </c>
      <c r="G1442" s="17" t="s">
        <v>980</v>
      </c>
      <c r="H1442" s="17" t="s">
        <v>3050</v>
      </c>
    </row>
    <row r="1443" spans="1:8" x14ac:dyDescent="0.25">
      <c r="A1443" s="16" t="s">
        <v>3051</v>
      </c>
      <c r="B1443" s="17" t="s">
        <v>1029</v>
      </c>
      <c r="C1443" s="17" t="s">
        <v>3766</v>
      </c>
      <c r="D1443" s="17" t="s">
        <v>5698</v>
      </c>
      <c r="E1443" s="17">
        <v>72</v>
      </c>
      <c r="F1443" s="27">
        <v>19</v>
      </c>
      <c r="G1443" s="17" t="s">
        <v>980</v>
      </c>
      <c r="H1443" s="17" t="s">
        <v>3052</v>
      </c>
    </row>
    <row r="1444" spans="1:8" x14ac:dyDescent="0.25">
      <c r="A1444" s="16" t="s">
        <v>3053</v>
      </c>
      <c r="B1444" s="17" t="s">
        <v>135</v>
      </c>
      <c r="C1444" s="17" t="s">
        <v>5700</v>
      </c>
      <c r="D1444" s="17" t="s">
        <v>5701</v>
      </c>
      <c r="E1444" s="17">
        <v>72</v>
      </c>
      <c r="F1444" s="27">
        <v>19</v>
      </c>
      <c r="G1444" s="17" t="s">
        <v>980</v>
      </c>
      <c r="H1444" s="17" t="s">
        <v>3054</v>
      </c>
    </row>
    <row r="1445" spans="1:8" x14ac:dyDescent="0.25">
      <c r="A1445" s="16" t="s">
        <v>3055</v>
      </c>
      <c r="B1445" s="17" t="s">
        <v>411</v>
      </c>
      <c r="C1445" s="17" t="s">
        <v>3766</v>
      </c>
      <c r="D1445" s="17" t="s">
        <v>5702</v>
      </c>
      <c r="E1445" s="17">
        <v>72</v>
      </c>
      <c r="F1445" s="27">
        <v>19</v>
      </c>
      <c r="G1445" s="17" t="s">
        <v>1006</v>
      </c>
      <c r="H1445" s="17" t="s">
        <v>390</v>
      </c>
    </row>
    <row r="1446" spans="1:8" x14ac:dyDescent="0.25">
      <c r="A1446" s="16" t="s">
        <v>3056</v>
      </c>
      <c r="B1446" s="17" t="s">
        <v>120</v>
      </c>
      <c r="C1446" s="17" t="s">
        <v>3871</v>
      </c>
      <c r="D1446" s="17" t="s">
        <v>5703</v>
      </c>
      <c r="E1446" s="17">
        <v>72</v>
      </c>
      <c r="F1446" s="27">
        <v>19</v>
      </c>
      <c r="G1446" s="17" t="s">
        <v>1006</v>
      </c>
      <c r="H1446" s="17" t="s">
        <v>3057</v>
      </c>
    </row>
    <row r="1447" spans="1:8" x14ac:dyDescent="0.25">
      <c r="A1447" s="16" t="s">
        <v>3058</v>
      </c>
      <c r="B1447" s="17" t="s">
        <v>49</v>
      </c>
      <c r="C1447" s="17" t="s">
        <v>3766</v>
      </c>
      <c r="D1447" s="17" t="s">
        <v>5704</v>
      </c>
      <c r="E1447" s="17">
        <v>72</v>
      </c>
      <c r="F1447" s="27">
        <v>19</v>
      </c>
      <c r="G1447" s="17" t="s">
        <v>1006</v>
      </c>
      <c r="H1447" s="17" t="s">
        <v>3059</v>
      </c>
    </row>
    <row r="1448" spans="1:8" x14ac:dyDescent="0.25">
      <c r="A1448" s="16" t="s">
        <v>3060</v>
      </c>
      <c r="B1448" s="17" t="s">
        <v>406</v>
      </c>
      <c r="C1448" s="17" t="s">
        <v>3766</v>
      </c>
      <c r="D1448" s="17" t="s">
        <v>5705</v>
      </c>
      <c r="E1448" s="17">
        <v>72</v>
      </c>
      <c r="F1448" s="27">
        <v>19</v>
      </c>
      <c r="G1448" s="17" t="s">
        <v>1006</v>
      </c>
      <c r="H1448" s="17" t="s">
        <v>3061</v>
      </c>
    </row>
    <row r="1449" spans="1:8" x14ac:dyDescent="0.25">
      <c r="A1449" s="16" t="s">
        <v>3062</v>
      </c>
      <c r="B1449" s="17" t="s">
        <v>23</v>
      </c>
      <c r="C1449" s="17" t="s">
        <v>3766</v>
      </c>
      <c r="D1449" s="17" t="s">
        <v>5706</v>
      </c>
      <c r="E1449" s="17">
        <v>72</v>
      </c>
      <c r="F1449" s="27">
        <v>19</v>
      </c>
      <c r="G1449" s="17" t="s">
        <v>1006</v>
      </c>
      <c r="H1449" s="17" t="s">
        <v>3063</v>
      </c>
    </row>
    <row r="1450" spans="1:8" x14ac:dyDescent="0.25">
      <c r="A1450" s="16" t="s">
        <v>3064</v>
      </c>
      <c r="B1450" s="17" t="s">
        <v>107</v>
      </c>
      <c r="C1450" s="17" t="s">
        <v>3766</v>
      </c>
      <c r="D1450" s="17" t="s">
        <v>5707</v>
      </c>
      <c r="E1450" s="17">
        <v>73</v>
      </c>
      <c r="F1450" s="16">
        <v>6</v>
      </c>
      <c r="G1450" s="17" t="s">
        <v>500</v>
      </c>
      <c r="H1450" s="17" t="s">
        <v>1134</v>
      </c>
    </row>
    <row r="1451" spans="1:8" x14ac:dyDescent="0.25">
      <c r="A1451" s="16" t="s">
        <v>3065</v>
      </c>
      <c r="B1451" s="17" t="s">
        <v>499</v>
      </c>
      <c r="C1451" s="17" t="s">
        <v>3766</v>
      </c>
      <c r="D1451" s="17" t="s">
        <v>5708</v>
      </c>
      <c r="E1451" s="17">
        <v>73</v>
      </c>
      <c r="F1451" s="16">
        <v>6</v>
      </c>
      <c r="G1451" s="17" t="s">
        <v>500</v>
      </c>
      <c r="H1451" s="17" t="s">
        <v>3066</v>
      </c>
    </row>
    <row r="1452" spans="1:8" x14ac:dyDescent="0.25">
      <c r="A1452" s="16" t="s">
        <v>3067</v>
      </c>
      <c r="B1452" s="17" t="s">
        <v>120</v>
      </c>
      <c r="C1452" s="17" t="s">
        <v>5541</v>
      </c>
      <c r="D1452" s="17" t="s">
        <v>5709</v>
      </c>
      <c r="E1452" s="17">
        <v>73</v>
      </c>
      <c r="F1452" s="16">
        <v>6</v>
      </c>
      <c r="G1452" s="17" t="s">
        <v>500</v>
      </c>
      <c r="H1452" s="17" t="s">
        <v>3068</v>
      </c>
    </row>
    <row r="1453" spans="1:8" x14ac:dyDescent="0.25">
      <c r="A1453" s="16" t="s">
        <v>3069</v>
      </c>
      <c r="B1453" s="17" t="s">
        <v>480</v>
      </c>
      <c r="C1453" s="17" t="s">
        <v>3766</v>
      </c>
      <c r="D1453" s="17" t="s">
        <v>5710</v>
      </c>
      <c r="E1453" s="17">
        <v>73</v>
      </c>
      <c r="F1453" s="16">
        <v>6</v>
      </c>
      <c r="G1453" s="17" t="s">
        <v>500</v>
      </c>
      <c r="H1453" s="17" t="s">
        <v>3070</v>
      </c>
    </row>
    <row r="1454" spans="1:8" x14ac:dyDescent="0.25">
      <c r="A1454" s="16" t="s">
        <v>3071</v>
      </c>
      <c r="B1454" s="17" t="s">
        <v>153</v>
      </c>
      <c r="C1454" s="17" t="s">
        <v>3766</v>
      </c>
      <c r="D1454" s="17" t="s">
        <v>5711</v>
      </c>
      <c r="E1454" s="17">
        <v>73</v>
      </c>
      <c r="F1454" s="16">
        <v>6</v>
      </c>
      <c r="G1454" s="17" t="s">
        <v>501</v>
      </c>
      <c r="H1454" s="17" t="s">
        <v>3072</v>
      </c>
    </row>
    <row r="1455" spans="1:8" x14ac:dyDescent="0.25">
      <c r="A1455" s="16" t="s">
        <v>3073</v>
      </c>
      <c r="B1455" s="17" t="s">
        <v>57</v>
      </c>
      <c r="C1455" s="17" t="s">
        <v>3766</v>
      </c>
      <c r="D1455" s="17" t="s">
        <v>5712</v>
      </c>
      <c r="E1455" s="17">
        <v>73</v>
      </c>
      <c r="F1455" s="16">
        <v>6</v>
      </c>
      <c r="G1455" s="17" t="s">
        <v>500</v>
      </c>
      <c r="H1455" s="17" t="s">
        <v>3074</v>
      </c>
    </row>
    <row r="1456" spans="1:8" x14ac:dyDescent="0.25">
      <c r="A1456" s="16" t="s">
        <v>3075</v>
      </c>
      <c r="B1456" s="17" t="s">
        <v>671</v>
      </c>
      <c r="C1456" s="17" t="s">
        <v>4679</v>
      </c>
      <c r="D1456" s="17" t="s">
        <v>5713</v>
      </c>
      <c r="E1456" s="17">
        <v>73</v>
      </c>
      <c r="F1456" s="16">
        <v>6</v>
      </c>
      <c r="G1456" s="17" t="s">
        <v>500</v>
      </c>
      <c r="H1456" s="17" t="s">
        <v>3076</v>
      </c>
    </row>
    <row r="1457" spans="1:8" x14ac:dyDescent="0.25">
      <c r="A1457" s="16" t="s">
        <v>3077</v>
      </c>
      <c r="B1457" s="17" t="s">
        <v>155</v>
      </c>
      <c r="C1457" s="17" t="s">
        <v>3766</v>
      </c>
      <c r="D1457" s="17" t="s">
        <v>5714</v>
      </c>
      <c r="E1457" s="17">
        <v>73</v>
      </c>
      <c r="F1457" s="16">
        <v>6</v>
      </c>
      <c r="G1457" s="17" t="s">
        <v>518</v>
      </c>
      <c r="H1457" s="17" t="s">
        <v>3078</v>
      </c>
    </row>
    <row r="1458" spans="1:8" x14ac:dyDescent="0.25">
      <c r="A1458" s="16" t="s">
        <v>3079</v>
      </c>
      <c r="B1458" s="17" t="s">
        <v>41</v>
      </c>
      <c r="C1458" s="17" t="s">
        <v>3871</v>
      </c>
      <c r="D1458" s="17" t="s">
        <v>5715</v>
      </c>
      <c r="E1458" s="17">
        <v>73</v>
      </c>
      <c r="F1458" s="16">
        <v>6</v>
      </c>
      <c r="G1458" s="17" t="s">
        <v>518</v>
      </c>
      <c r="H1458" s="17" t="s">
        <v>3080</v>
      </c>
    </row>
    <row r="1459" spans="1:8" x14ac:dyDescent="0.25">
      <c r="A1459" s="16" t="s">
        <v>3081</v>
      </c>
      <c r="B1459" s="17" t="s">
        <v>3082</v>
      </c>
      <c r="C1459" s="17" t="s">
        <v>3871</v>
      </c>
      <c r="D1459" s="17" t="s">
        <v>5716</v>
      </c>
      <c r="E1459" s="17">
        <v>73</v>
      </c>
      <c r="F1459" s="16">
        <v>6</v>
      </c>
      <c r="G1459" s="17" t="s">
        <v>1261</v>
      </c>
      <c r="H1459" s="17" t="s">
        <v>506</v>
      </c>
    </row>
    <row r="1460" spans="1:8" x14ac:dyDescent="0.25">
      <c r="A1460" s="16" t="s">
        <v>3083</v>
      </c>
      <c r="B1460" s="17" t="s">
        <v>77</v>
      </c>
      <c r="C1460" s="17" t="s">
        <v>5717</v>
      </c>
      <c r="D1460" s="17" t="s">
        <v>5718</v>
      </c>
      <c r="E1460" s="17">
        <v>73</v>
      </c>
      <c r="F1460" s="16">
        <v>6</v>
      </c>
      <c r="G1460" s="17" t="s">
        <v>1261</v>
      </c>
      <c r="H1460" s="17" t="s">
        <v>3084</v>
      </c>
    </row>
    <row r="1461" spans="1:8" x14ac:dyDescent="0.25">
      <c r="A1461" s="16" t="s">
        <v>3085</v>
      </c>
      <c r="B1461" s="17" t="s">
        <v>151</v>
      </c>
      <c r="C1461" s="17" t="s">
        <v>4082</v>
      </c>
      <c r="D1461" s="17" t="s">
        <v>5719</v>
      </c>
      <c r="E1461" s="17">
        <v>73</v>
      </c>
      <c r="F1461" s="16">
        <v>6</v>
      </c>
      <c r="G1461" s="17" t="s">
        <v>521</v>
      </c>
      <c r="H1461" s="17" t="s">
        <v>3086</v>
      </c>
    </row>
    <row r="1462" spans="1:8" x14ac:dyDescent="0.25">
      <c r="A1462" s="16" t="s">
        <v>3087</v>
      </c>
      <c r="B1462" s="17" t="s">
        <v>148</v>
      </c>
      <c r="C1462" s="17" t="s">
        <v>2559</v>
      </c>
      <c r="D1462" s="17" t="s">
        <v>5720</v>
      </c>
      <c r="E1462" s="17">
        <v>73</v>
      </c>
      <c r="F1462" s="16">
        <v>6</v>
      </c>
      <c r="G1462" s="17" t="s">
        <v>521</v>
      </c>
      <c r="H1462" s="17" t="s">
        <v>2716</v>
      </c>
    </row>
    <row r="1463" spans="1:8" x14ac:dyDescent="0.25">
      <c r="A1463" s="16" t="s">
        <v>3088</v>
      </c>
      <c r="B1463" s="17" t="s">
        <v>540</v>
      </c>
      <c r="C1463" s="17" t="s">
        <v>3766</v>
      </c>
      <c r="D1463" s="17" t="s">
        <v>5721</v>
      </c>
      <c r="E1463" s="17">
        <v>73</v>
      </c>
      <c r="F1463" s="16">
        <v>6</v>
      </c>
      <c r="G1463" s="17" t="s">
        <v>521</v>
      </c>
      <c r="H1463" s="17" t="s">
        <v>3089</v>
      </c>
    </row>
    <row r="1464" spans="1:8" x14ac:dyDescent="0.25">
      <c r="A1464" s="16" t="s">
        <v>3090</v>
      </c>
      <c r="B1464" s="17" t="s">
        <v>80</v>
      </c>
      <c r="C1464" s="17" t="s">
        <v>5722</v>
      </c>
      <c r="D1464" s="17" t="s">
        <v>5723</v>
      </c>
      <c r="E1464" s="17">
        <v>73</v>
      </c>
      <c r="F1464" s="16">
        <v>6</v>
      </c>
      <c r="G1464" s="17" t="s">
        <v>73</v>
      </c>
      <c r="H1464" s="17" t="s">
        <v>73</v>
      </c>
    </row>
    <row r="1465" spans="1:8" x14ac:dyDescent="0.25">
      <c r="A1465" s="16" t="s">
        <v>3091</v>
      </c>
      <c r="B1465" s="17" t="s">
        <v>630</v>
      </c>
      <c r="C1465" s="17" t="s">
        <v>5724</v>
      </c>
      <c r="D1465" s="17" t="s">
        <v>5725</v>
      </c>
      <c r="E1465" s="17">
        <v>73</v>
      </c>
      <c r="F1465" s="16">
        <v>6</v>
      </c>
      <c r="G1465" s="17" t="s">
        <v>73</v>
      </c>
      <c r="H1465" s="17" t="s">
        <v>73</v>
      </c>
    </row>
    <row r="1466" spans="1:8" x14ac:dyDescent="0.25">
      <c r="A1466" s="16" t="s">
        <v>3092</v>
      </c>
      <c r="B1466" s="17" t="s">
        <v>135</v>
      </c>
      <c r="C1466" s="17" t="s">
        <v>5726</v>
      </c>
      <c r="D1466" s="17" t="s">
        <v>5727</v>
      </c>
      <c r="E1466" s="17">
        <v>73</v>
      </c>
      <c r="F1466" s="16">
        <v>6</v>
      </c>
      <c r="G1466" s="17" t="s">
        <v>78</v>
      </c>
      <c r="H1466" s="17" t="s">
        <v>3093</v>
      </c>
    </row>
    <row r="1467" spans="1:8" x14ac:dyDescent="0.25">
      <c r="A1467" s="16" t="s">
        <v>3094</v>
      </c>
      <c r="B1467" s="17" t="s">
        <v>970</v>
      </c>
      <c r="C1467" s="17" t="s">
        <v>5728</v>
      </c>
      <c r="D1467" s="17" t="s">
        <v>5729</v>
      </c>
      <c r="E1467" s="17">
        <v>73</v>
      </c>
      <c r="F1467" s="16">
        <v>6</v>
      </c>
      <c r="G1467" s="17" t="s">
        <v>78</v>
      </c>
      <c r="H1467" s="17" t="s">
        <v>869</v>
      </c>
    </row>
    <row r="1468" spans="1:8" x14ac:dyDescent="0.25">
      <c r="A1468" s="16" t="s">
        <v>3095</v>
      </c>
      <c r="B1468" s="17" t="s">
        <v>166</v>
      </c>
      <c r="C1468" s="17" t="s">
        <v>3981</v>
      </c>
      <c r="D1468" s="17" t="s">
        <v>5730</v>
      </c>
      <c r="E1468" s="17">
        <v>74</v>
      </c>
      <c r="F1468" s="16">
        <v>1</v>
      </c>
      <c r="G1468" s="17" t="s">
        <v>3096</v>
      </c>
      <c r="H1468" s="17" t="s">
        <v>3097</v>
      </c>
    </row>
    <row r="1469" spans="1:8" x14ac:dyDescent="0.25">
      <c r="A1469" s="16" t="s">
        <v>3098</v>
      </c>
      <c r="B1469" s="17" t="s">
        <v>117</v>
      </c>
      <c r="C1469" s="17" t="s">
        <v>4339</v>
      </c>
      <c r="D1469" s="17" t="s">
        <v>5731</v>
      </c>
      <c r="E1469" s="17">
        <v>74</v>
      </c>
      <c r="F1469" s="16">
        <v>1</v>
      </c>
      <c r="G1469" s="17" t="s">
        <v>3096</v>
      </c>
      <c r="H1469" s="17" t="s">
        <v>3099</v>
      </c>
    </row>
    <row r="1470" spans="1:8" x14ac:dyDescent="0.25">
      <c r="A1470" s="16" t="s">
        <v>3100</v>
      </c>
      <c r="B1470" s="17" t="s">
        <v>301</v>
      </c>
      <c r="C1470" s="17" t="s">
        <v>3766</v>
      </c>
      <c r="D1470" s="17" t="s">
        <v>5732</v>
      </c>
      <c r="E1470" s="17">
        <v>74</v>
      </c>
      <c r="F1470" s="16">
        <v>1</v>
      </c>
      <c r="G1470" s="17" t="s">
        <v>3096</v>
      </c>
      <c r="H1470" s="17" t="s">
        <v>3101</v>
      </c>
    </row>
    <row r="1471" spans="1:8" x14ac:dyDescent="0.25">
      <c r="A1471" s="16" t="s">
        <v>3102</v>
      </c>
      <c r="B1471" s="17" t="s">
        <v>261</v>
      </c>
      <c r="C1471" s="17" t="s">
        <v>5733</v>
      </c>
      <c r="D1471" s="17" t="s">
        <v>5734</v>
      </c>
      <c r="E1471" s="17">
        <v>74</v>
      </c>
      <c r="F1471" s="16">
        <v>1</v>
      </c>
      <c r="G1471" s="17" t="s">
        <v>1803</v>
      </c>
      <c r="H1471" s="17" t="s">
        <v>3103</v>
      </c>
    </row>
    <row r="1472" spans="1:8" x14ac:dyDescent="0.25">
      <c r="A1472" s="16" t="s">
        <v>3104</v>
      </c>
      <c r="B1472" s="17" t="s">
        <v>77</v>
      </c>
      <c r="C1472" s="17" t="s">
        <v>3766</v>
      </c>
      <c r="D1472" s="17" t="s">
        <v>5735</v>
      </c>
      <c r="E1472" s="17">
        <v>74</v>
      </c>
      <c r="F1472" s="16">
        <v>1</v>
      </c>
      <c r="G1472" s="17" t="s">
        <v>1803</v>
      </c>
      <c r="H1472" s="17" t="s">
        <v>3105</v>
      </c>
    </row>
    <row r="1473" spans="1:8" x14ac:dyDescent="0.25">
      <c r="A1473" s="16" t="s">
        <v>3106</v>
      </c>
      <c r="B1473" s="17" t="s">
        <v>1133</v>
      </c>
      <c r="C1473" s="17" t="s">
        <v>3766</v>
      </c>
      <c r="D1473" s="17" t="s">
        <v>5736</v>
      </c>
      <c r="E1473" s="17">
        <v>74</v>
      </c>
      <c r="F1473" s="16">
        <v>1</v>
      </c>
      <c r="G1473" s="17" t="s">
        <v>1803</v>
      </c>
      <c r="H1473" s="17" t="s">
        <v>3107</v>
      </c>
    </row>
    <row r="1474" spans="1:8" x14ac:dyDescent="0.25">
      <c r="A1474" s="16" t="s">
        <v>3108</v>
      </c>
      <c r="B1474" s="17" t="s">
        <v>166</v>
      </c>
      <c r="C1474" s="17" t="s">
        <v>3766</v>
      </c>
      <c r="D1474" s="17" t="s">
        <v>5737</v>
      </c>
      <c r="E1474" s="17">
        <v>74</v>
      </c>
      <c r="F1474" s="16">
        <v>1</v>
      </c>
      <c r="G1474" s="17" t="s">
        <v>1803</v>
      </c>
      <c r="H1474" s="17" t="s">
        <v>2880</v>
      </c>
    </row>
    <row r="1475" spans="1:8" x14ac:dyDescent="0.25">
      <c r="A1475" s="16" t="s">
        <v>3109</v>
      </c>
      <c r="B1475" s="17" t="s">
        <v>23</v>
      </c>
      <c r="C1475" s="17" t="s">
        <v>5738</v>
      </c>
      <c r="D1475" s="17" t="s">
        <v>5739</v>
      </c>
      <c r="E1475" s="17">
        <v>74</v>
      </c>
      <c r="F1475" s="16">
        <v>1</v>
      </c>
      <c r="G1475" s="17" t="s">
        <v>3110</v>
      </c>
      <c r="H1475" s="17" t="s">
        <v>3110</v>
      </c>
    </row>
    <row r="1476" spans="1:8" x14ac:dyDescent="0.25">
      <c r="A1476" s="16" t="s">
        <v>3111</v>
      </c>
      <c r="B1476" s="17" t="s">
        <v>166</v>
      </c>
      <c r="C1476" s="17" t="s">
        <v>5740</v>
      </c>
      <c r="D1476" s="17" t="s">
        <v>5741</v>
      </c>
      <c r="E1476" s="17">
        <v>74</v>
      </c>
      <c r="F1476" s="16">
        <v>1</v>
      </c>
      <c r="G1476" s="17" t="s">
        <v>3110</v>
      </c>
      <c r="H1476" s="17" t="s">
        <v>3112</v>
      </c>
    </row>
    <row r="1477" spans="1:8" x14ac:dyDescent="0.25">
      <c r="A1477" s="16" t="s">
        <v>3113</v>
      </c>
      <c r="B1477" s="17" t="s">
        <v>46</v>
      </c>
      <c r="C1477" s="17" t="s">
        <v>3766</v>
      </c>
      <c r="D1477" s="17" t="s">
        <v>5742</v>
      </c>
      <c r="E1477" s="17">
        <v>74</v>
      </c>
      <c r="F1477" s="16">
        <v>1</v>
      </c>
      <c r="G1477" s="17" t="s">
        <v>3110</v>
      </c>
      <c r="H1477" s="17" t="s">
        <v>3114</v>
      </c>
    </row>
    <row r="1478" spans="1:8" x14ac:dyDescent="0.25">
      <c r="A1478" s="16" t="s">
        <v>3115</v>
      </c>
      <c r="B1478" s="17" t="s">
        <v>148</v>
      </c>
      <c r="C1478" s="17" t="s">
        <v>3766</v>
      </c>
      <c r="D1478" s="17" t="s">
        <v>5743</v>
      </c>
      <c r="E1478" s="17">
        <v>74</v>
      </c>
      <c r="F1478" s="16">
        <v>1</v>
      </c>
      <c r="G1478" s="17" t="s">
        <v>3110</v>
      </c>
      <c r="H1478" s="17" t="s">
        <v>3116</v>
      </c>
    </row>
    <row r="1479" spans="1:8" x14ac:dyDescent="0.25">
      <c r="A1479" s="16" t="s">
        <v>3117</v>
      </c>
      <c r="B1479" s="17" t="s">
        <v>49</v>
      </c>
      <c r="C1479" s="17" t="s">
        <v>5744</v>
      </c>
      <c r="D1479" s="17" t="s">
        <v>5745</v>
      </c>
      <c r="E1479" s="17">
        <v>74</v>
      </c>
      <c r="F1479" s="16">
        <v>1</v>
      </c>
      <c r="G1479" s="17" t="s">
        <v>2951</v>
      </c>
      <c r="H1479" s="17" t="s">
        <v>3118</v>
      </c>
    </row>
    <row r="1480" spans="1:8" x14ac:dyDescent="0.25">
      <c r="A1480" s="16" t="s">
        <v>3119</v>
      </c>
      <c r="B1480" s="17" t="s">
        <v>533</v>
      </c>
      <c r="C1480" s="17" t="s">
        <v>3766</v>
      </c>
      <c r="D1480" s="17" t="s">
        <v>5746</v>
      </c>
      <c r="E1480" s="17">
        <v>74</v>
      </c>
      <c r="F1480" s="16">
        <v>1</v>
      </c>
      <c r="G1480" s="17" t="s">
        <v>2951</v>
      </c>
      <c r="H1480" s="17" t="s">
        <v>3120</v>
      </c>
    </row>
    <row r="1481" spans="1:8" x14ac:dyDescent="0.25">
      <c r="A1481" s="16" t="s">
        <v>3121</v>
      </c>
      <c r="B1481" s="17" t="s">
        <v>306</v>
      </c>
      <c r="C1481" s="17" t="s">
        <v>3766</v>
      </c>
      <c r="D1481" s="17" t="s">
        <v>5747</v>
      </c>
      <c r="E1481" s="17">
        <v>74</v>
      </c>
      <c r="F1481" s="16">
        <v>1</v>
      </c>
      <c r="G1481" s="17" t="s">
        <v>2951</v>
      </c>
      <c r="H1481" s="17" t="s">
        <v>3122</v>
      </c>
    </row>
    <row r="1482" spans="1:8" x14ac:dyDescent="0.25">
      <c r="A1482" s="16" t="s">
        <v>3123</v>
      </c>
      <c r="B1482" s="17" t="s">
        <v>571</v>
      </c>
      <c r="C1482" s="17" t="s">
        <v>3766</v>
      </c>
      <c r="D1482" s="17" t="s">
        <v>5748</v>
      </c>
      <c r="E1482" s="17">
        <v>74</v>
      </c>
      <c r="F1482" s="16">
        <v>1</v>
      </c>
      <c r="G1482" s="17" t="s">
        <v>1793</v>
      </c>
      <c r="H1482" s="17" t="s">
        <v>3124</v>
      </c>
    </row>
    <row r="1483" spans="1:8" x14ac:dyDescent="0.25">
      <c r="A1483" s="16" t="s">
        <v>3125</v>
      </c>
      <c r="B1483" s="17" t="s">
        <v>272</v>
      </c>
      <c r="C1483" s="17" t="s">
        <v>3766</v>
      </c>
      <c r="D1483" s="17" t="s">
        <v>5749</v>
      </c>
      <c r="E1483" s="17">
        <v>74</v>
      </c>
      <c r="F1483" s="16">
        <v>1</v>
      </c>
      <c r="G1483" s="17" t="s">
        <v>1793</v>
      </c>
      <c r="H1483" s="17" t="s">
        <v>3126</v>
      </c>
    </row>
    <row r="1484" spans="1:8" x14ac:dyDescent="0.25">
      <c r="A1484" s="16" t="s">
        <v>3127</v>
      </c>
      <c r="B1484" s="17" t="s">
        <v>57</v>
      </c>
      <c r="C1484" s="17" t="s">
        <v>3766</v>
      </c>
      <c r="D1484" s="17" t="s">
        <v>5750</v>
      </c>
      <c r="E1484" s="17">
        <v>74</v>
      </c>
      <c r="F1484" s="16">
        <v>1</v>
      </c>
      <c r="G1484" s="17" t="s">
        <v>1793</v>
      </c>
      <c r="H1484" s="17" t="s">
        <v>1247</v>
      </c>
    </row>
    <row r="1485" spans="1:8" x14ac:dyDescent="0.25">
      <c r="A1485" s="16" t="s">
        <v>3128</v>
      </c>
      <c r="B1485" s="17" t="s">
        <v>547</v>
      </c>
      <c r="C1485" s="17" t="s">
        <v>3766</v>
      </c>
      <c r="D1485" s="17" t="s">
        <v>5751</v>
      </c>
      <c r="E1485" s="17">
        <v>74</v>
      </c>
      <c r="F1485" s="16">
        <v>1</v>
      </c>
      <c r="G1485" s="17" t="s">
        <v>1793</v>
      </c>
      <c r="H1485" s="17" t="s">
        <v>3129</v>
      </c>
    </row>
    <row r="1486" spans="1:8" x14ac:dyDescent="0.25">
      <c r="A1486" s="16" t="s">
        <v>3130</v>
      </c>
      <c r="B1486" s="17" t="s">
        <v>480</v>
      </c>
      <c r="C1486" s="17" t="s">
        <v>3766</v>
      </c>
      <c r="D1486" s="17" t="s">
        <v>5752</v>
      </c>
      <c r="E1486" s="17">
        <v>74</v>
      </c>
      <c r="F1486" s="16">
        <v>1</v>
      </c>
      <c r="G1486" s="17" t="s">
        <v>1793</v>
      </c>
      <c r="H1486" s="17" t="s">
        <v>3131</v>
      </c>
    </row>
    <row r="1487" spans="1:8" x14ac:dyDescent="0.25">
      <c r="A1487" s="16" t="s">
        <v>3132</v>
      </c>
      <c r="B1487" s="17" t="s">
        <v>166</v>
      </c>
      <c r="C1487" s="17" t="s">
        <v>3766</v>
      </c>
      <c r="D1487" s="17" t="s">
        <v>5753</v>
      </c>
      <c r="E1487" s="17">
        <v>74</v>
      </c>
      <c r="F1487" s="16">
        <v>1</v>
      </c>
      <c r="G1487" s="17" t="s">
        <v>1793</v>
      </c>
      <c r="H1487" s="17" t="s">
        <v>2983</v>
      </c>
    </row>
    <row r="1488" spans="1:8" x14ac:dyDescent="0.25">
      <c r="A1488" s="16" t="s">
        <v>3133</v>
      </c>
      <c r="B1488" s="17" t="s">
        <v>3134</v>
      </c>
      <c r="C1488" s="17" t="s">
        <v>4814</v>
      </c>
      <c r="D1488" s="17" t="s">
        <v>5754</v>
      </c>
      <c r="E1488" s="17">
        <v>74</v>
      </c>
      <c r="F1488" s="16">
        <v>1</v>
      </c>
      <c r="G1488" s="17" t="s">
        <v>1793</v>
      </c>
      <c r="H1488" s="17" t="s">
        <v>61</v>
      </c>
    </row>
    <row r="1489" spans="1:8" x14ac:dyDescent="0.25">
      <c r="A1489" s="16" t="s">
        <v>3135</v>
      </c>
      <c r="B1489" s="17" t="s">
        <v>23</v>
      </c>
      <c r="C1489" s="17" t="s">
        <v>3766</v>
      </c>
      <c r="D1489" s="17" t="s">
        <v>5755</v>
      </c>
      <c r="E1489" s="17">
        <v>75</v>
      </c>
      <c r="F1489" s="27">
        <v>23</v>
      </c>
      <c r="G1489" s="17" t="s">
        <v>846</v>
      </c>
      <c r="H1489" s="17" t="s">
        <v>506</v>
      </c>
    </row>
    <row r="1490" spans="1:8" x14ac:dyDescent="0.25">
      <c r="A1490" s="16" t="s">
        <v>3136</v>
      </c>
      <c r="B1490" s="17" t="s">
        <v>1029</v>
      </c>
      <c r="C1490" s="17" t="s">
        <v>3766</v>
      </c>
      <c r="D1490" s="17" t="s">
        <v>5756</v>
      </c>
      <c r="E1490" s="17">
        <v>75</v>
      </c>
      <c r="F1490" s="27">
        <v>23</v>
      </c>
      <c r="G1490" s="17" t="s">
        <v>846</v>
      </c>
      <c r="H1490" s="17" t="s">
        <v>2094</v>
      </c>
    </row>
    <row r="1491" spans="1:8" x14ac:dyDescent="0.25">
      <c r="A1491" s="16" t="s">
        <v>3137</v>
      </c>
      <c r="B1491" s="17" t="s">
        <v>155</v>
      </c>
      <c r="C1491" s="17" t="s">
        <v>4339</v>
      </c>
      <c r="D1491" s="17" t="s">
        <v>5757</v>
      </c>
      <c r="E1491" s="17">
        <v>75</v>
      </c>
      <c r="F1491" s="27">
        <v>23</v>
      </c>
      <c r="G1491" s="17" t="s">
        <v>846</v>
      </c>
      <c r="H1491" s="17" t="s">
        <v>3138</v>
      </c>
    </row>
    <row r="1492" spans="1:8" x14ac:dyDescent="0.25">
      <c r="A1492" s="16" t="s">
        <v>3139</v>
      </c>
      <c r="B1492" s="17" t="s">
        <v>120</v>
      </c>
      <c r="C1492" s="17" t="s">
        <v>3766</v>
      </c>
      <c r="D1492" s="17" t="s">
        <v>5758</v>
      </c>
      <c r="E1492" s="17">
        <v>75</v>
      </c>
      <c r="F1492" s="27">
        <v>23</v>
      </c>
      <c r="G1492" s="17" t="s">
        <v>846</v>
      </c>
      <c r="H1492" s="17" t="s">
        <v>3140</v>
      </c>
    </row>
    <row r="1493" spans="1:8" x14ac:dyDescent="0.25">
      <c r="A1493" s="16" t="s">
        <v>3141</v>
      </c>
      <c r="B1493" s="17" t="s">
        <v>41</v>
      </c>
      <c r="C1493" s="17" t="s">
        <v>3766</v>
      </c>
      <c r="D1493" s="17" t="s">
        <v>5759</v>
      </c>
      <c r="E1493" s="17">
        <v>75</v>
      </c>
      <c r="F1493" s="27">
        <v>23</v>
      </c>
      <c r="G1493" s="17" t="s">
        <v>846</v>
      </c>
      <c r="H1493" s="17" t="s">
        <v>3142</v>
      </c>
    </row>
    <row r="1494" spans="1:8" x14ac:dyDescent="0.25">
      <c r="A1494" s="16" t="s">
        <v>3143</v>
      </c>
      <c r="B1494" s="17" t="s">
        <v>1286</v>
      </c>
      <c r="C1494" s="17" t="s">
        <v>3766</v>
      </c>
      <c r="D1494" s="17" t="s">
        <v>5760</v>
      </c>
      <c r="E1494" s="17">
        <v>75</v>
      </c>
      <c r="F1494" s="27">
        <v>23</v>
      </c>
      <c r="G1494" s="17" t="s">
        <v>846</v>
      </c>
      <c r="H1494" s="17" t="s">
        <v>3144</v>
      </c>
    </row>
    <row r="1495" spans="1:8" x14ac:dyDescent="0.25">
      <c r="A1495" s="16" t="s">
        <v>3145</v>
      </c>
      <c r="B1495" s="17" t="s">
        <v>234</v>
      </c>
      <c r="C1495" s="17" t="s">
        <v>3843</v>
      </c>
      <c r="D1495" s="17" t="s">
        <v>5761</v>
      </c>
      <c r="E1495" s="17">
        <v>75</v>
      </c>
      <c r="F1495" s="27">
        <v>23</v>
      </c>
      <c r="G1495" s="17" t="s">
        <v>846</v>
      </c>
      <c r="H1495" s="17" t="s">
        <v>3146</v>
      </c>
    </row>
    <row r="1496" spans="1:8" x14ac:dyDescent="0.25">
      <c r="A1496" s="16" t="s">
        <v>3147</v>
      </c>
      <c r="B1496" s="17" t="s">
        <v>95</v>
      </c>
      <c r="C1496" s="17" t="s">
        <v>3766</v>
      </c>
      <c r="D1496" s="17" t="s">
        <v>5762</v>
      </c>
      <c r="E1496" s="17">
        <v>75</v>
      </c>
      <c r="F1496" s="27">
        <v>23</v>
      </c>
      <c r="G1496" s="17" t="s">
        <v>1350</v>
      </c>
      <c r="H1496" s="17" t="s">
        <v>3148</v>
      </c>
    </row>
    <row r="1497" spans="1:8" x14ac:dyDescent="0.25">
      <c r="A1497" s="16" t="s">
        <v>3149</v>
      </c>
      <c r="B1497" s="17" t="s">
        <v>660</v>
      </c>
      <c r="C1497" s="17" t="s">
        <v>3766</v>
      </c>
      <c r="D1497" s="17" t="s">
        <v>5763</v>
      </c>
      <c r="E1497" s="17">
        <v>75</v>
      </c>
      <c r="F1497" s="27">
        <v>23</v>
      </c>
      <c r="G1497" s="17" t="s">
        <v>1350</v>
      </c>
      <c r="H1497" s="17" t="s">
        <v>3150</v>
      </c>
    </row>
    <row r="1498" spans="1:8" x14ac:dyDescent="0.25">
      <c r="A1498" s="16" t="s">
        <v>3151</v>
      </c>
      <c r="B1498" s="17" t="s">
        <v>678</v>
      </c>
      <c r="C1498" s="17" t="s">
        <v>5764</v>
      </c>
      <c r="D1498" s="17" t="s">
        <v>5765</v>
      </c>
      <c r="E1498" s="17">
        <v>75</v>
      </c>
      <c r="F1498" s="27">
        <v>23</v>
      </c>
      <c r="G1498" s="17" t="s">
        <v>1350</v>
      </c>
      <c r="H1498" s="17" t="s">
        <v>201</v>
      </c>
    </row>
    <row r="1499" spans="1:8" x14ac:dyDescent="0.25">
      <c r="A1499" s="16" t="s">
        <v>3152</v>
      </c>
      <c r="B1499" s="17" t="s">
        <v>3153</v>
      </c>
      <c r="C1499" s="17" t="s">
        <v>5766</v>
      </c>
      <c r="D1499" s="17" t="s">
        <v>5767</v>
      </c>
      <c r="E1499" s="17">
        <v>75</v>
      </c>
      <c r="F1499" s="27">
        <v>23</v>
      </c>
      <c r="G1499" s="17" t="s">
        <v>218</v>
      </c>
      <c r="H1499" s="17" t="s">
        <v>3154</v>
      </c>
    </row>
    <row r="1500" spans="1:8" x14ac:dyDescent="0.25">
      <c r="A1500" s="16" t="s">
        <v>3155</v>
      </c>
      <c r="B1500" s="17" t="s">
        <v>198</v>
      </c>
      <c r="C1500" s="17" t="s">
        <v>5768</v>
      </c>
      <c r="D1500" s="17" t="s">
        <v>5769</v>
      </c>
      <c r="E1500" s="17">
        <v>75</v>
      </c>
      <c r="F1500" s="27">
        <v>23</v>
      </c>
      <c r="G1500" s="17" t="s">
        <v>218</v>
      </c>
      <c r="H1500" s="17" t="s">
        <v>3156</v>
      </c>
    </row>
    <row r="1501" spans="1:8" x14ac:dyDescent="0.25">
      <c r="A1501" s="16" t="s">
        <v>3157</v>
      </c>
      <c r="B1501" s="17" t="s">
        <v>23</v>
      </c>
      <c r="C1501" s="17" t="s">
        <v>5770</v>
      </c>
      <c r="D1501" s="17" t="s">
        <v>5763</v>
      </c>
      <c r="E1501" s="17">
        <v>75</v>
      </c>
      <c r="F1501" s="27">
        <v>23</v>
      </c>
      <c r="G1501" s="17" t="s">
        <v>225</v>
      </c>
      <c r="H1501" s="17" t="s">
        <v>226</v>
      </c>
    </row>
    <row r="1502" spans="1:8" x14ac:dyDescent="0.25">
      <c r="A1502" s="16" t="s">
        <v>3158</v>
      </c>
      <c r="B1502" s="17" t="s">
        <v>272</v>
      </c>
      <c r="C1502" s="17" t="s">
        <v>5771</v>
      </c>
      <c r="D1502" s="17" t="s">
        <v>5772</v>
      </c>
      <c r="E1502" s="17">
        <v>75</v>
      </c>
      <c r="F1502" s="27">
        <v>23</v>
      </c>
      <c r="G1502" s="17" t="s">
        <v>225</v>
      </c>
      <c r="H1502" s="17" t="s">
        <v>226</v>
      </c>
    </row>
    <row r="1503" spans="1:8" x14ac:dyDescent="0.25">
      <c r="A1503" s="16" t="s">
        <v>3159</v>
      </c>
      <c r="B1503" s="17" t="s">
        <v>517</v>
      </c>
      <c r="C1503" s="17" t="s">
        <v>5773</v>
      </c>
      <c r="D1503" s="17" t="s">
        <v>5774</v>
      </c>
      <c r="E1503" s="17">
        <v>75</v>
      </c>
      <c r="F1503" s="27">
        <v>23</v>
      </c>
      <c r="G1503" s="17" t="s">
        <v>225</v>
      </c>
      <c r="H1503" s="17" t="s">
        <v>226</v>
      </c>
    </row>
    <row r="1504" spans="1:8" x14ac:dyDescent="0.25">
      <c r="A1504" s="16" t="s">
        <v>3160</v>
      </c>
      <c r="B1504" s="17" t="s">
        <v>166</v>
      </c>
      <c r="C1504" s="17" t="s">
        <v>5770</v>
      </c>
      <c r="D1504" s="17" t="s">
        <v>5775</v>
      </c>
      <c r="E1504" s="17">
        <v>75</v>
      </c>
      <c r="F1504" s="27">
        <v>23</v>
      </c>
      <c r="G1504" s="17" t="s">
        <v>225</v>
      </c>
      <c r="H1504" s="17" t="s">
        <v>226</v>
      </c>
    </row>
    <row r="1505" spans="1:8" x14ac:dyDescent="0.25">
      <c r="A1505" s="16" t="s">
        <v>3161</v>
      </c>
      <c r="B1505" s="17" t="s">
        <v>712</v>
      </c>
      <c r="C1505" s="17" t="s">
        <v>3766</v>
      </c>
      <c r="D1505" s="17" t="s">
        <v>5776</v>
      </c>
      <c r="E1505" s="17">
        <v>75</v>
      </c>
      <c r="F1505" s="27">
        <v>23</v>
      </c>
      <c r="G1505" s="17" t="s">
        <v>225</v>
      </c>
      <c r="H1505" s="17" t="s">
        <v>3162</v>
      </c>
    </row>
    <row r="1506" spans="1:8" x14ac:dyDescent="0.25">
      <c r="A1506" s="16" t="s">
        <v>3163</v>
      </c>
      <c r="B1506" s="17" t="s">
        <v>3164</v>
      </c>
      <c r="C1506" s="17" t="s">
        <v>3758</v>
      </c>
      <c r="D1506" s="17" t="s">
        <v>5777</v>
      </c>
      <c r="E1506" s="17">
        <v>75</v>
      </c>
      <c r="F1506" s="27">
        <v>23</v>
      </c>
      <c r="G1506" s="17" t="s">
        <v>225</v>
      </c>
      <c r="H1506" s="17" t="s">
        <v>1164</v>
      </c>
    </row>
    <row r="1507" spans="1:8" x14ac:dyDescent="0.25">
      <c r="A1507" s="16" t="s">
        <v>3165</v>
      </c>
      <c r="B1507" s="17" t="s">
        <v>148</v>
      </c>
      <c r="C1507" s="17" t="s">
        <v>5778</v>
      </c>
      <c r="D1507" s="17" t="s">
        <v>5779</v>
      </c>
      <c r="E1507" s="17">
        <v>75</v>
      </c>
      <c r="F1507" s="27">
        <v>23</v>
      </c>
      <c r="G1507" s="17" t="s">
        <v>228</v>
      </c>
      <c r="H1507" s="17" t="s">
        <v>3166</v>
      </c>
    </row>
    <row r="1508" spans="1:8" x14ac:dyDescent="0.25">
      <c r="A1508" s="16" t="s">
        <v>3167</v>
      </c>
      <c r="B1508" s="17" t="s">
        <v>135</v>
      </c>
      <c r="C1508" s="17" t="s">
        <v>5780</v>
      </c>
      <c r="D1508" s="17" t="s">
        <v>5781</v>
      </c>
      <c r="E1508" s="17">
        <v>76</v>
      </c>
      <c r="F1508" s="16">
        <v>9</v>
      </c>
      <c r="G1508" s="17" t="s">
        <v>418</v>
      </c>
      <c r="H1508" s="17" t="s">
        <v>418</v>
      </c>
    </row>
    <row r="1509" spans="1:8" x14ac:dyDescent="0.25">
      <c r="A1509" s="16" t="s">
        <v>3168</v>
      </c>
      <c r="B1509" s="17" t="s">
        <v>46</v>
      </c>
      <c r="C1509" s="17" t="s">
        <v>5583</v>
      </c>
      <c r="D1509" s="17" t="s">
        <v>5782</v>
      </c>
      <c r="E1509" s="17">
        <v>76</v>
      </c>
      <c r="F1509" s="16">
        <v>9</v>
      </c>
      <c r="G1509" s="17" t="s">
        <v>418</v>
      </c>
      <c r="H1509" s="17" t="s">
        <v>3169</v>
      </c>
    </row>
    <row r="1510" spans="1:8" x14ac:dyDescent="0.25">
      <c r="A1510" s="16" t="s">
        <v>3170</v>
      </c>
      <c r="B1510" s="17" t="s">
        <v>411</v>
      </c>
      <c r="C1510" s="17" t="s">
        <v>5783</v>
      </c>
      <c r="D1510" s="17" t="s">
        <v>5784</v>
      </c>
      <c r="E1510" s="17">
        <v>76</v>
      </c>
      <c r="F1510" s="16">
        <v>9</v>
      </c>
      <c r="G1510" s="17" t="s">
        <v>418</v>
      </c>
      <c r="H1510" s="17" t="s">
        <v>3171</v>
      </c>
    </row>
    <row r="1511" spans="1:8" x14ac:dyDescent="0.25">
      <c r="A1511" s="16" t="s">
        <v>3172</v>
      </c>
      <c r="B1511" s="17" t="s">
        <v>172</v>
      </c>
      <c r="C1511" s="17" t="s">
        <v>3766</v>
      </c>
      <c r="D1511" s="17" t="s">
        <v>5785</v>
      </c>
      <c r="E1511" s="17">
        <v>76</v>
      </c>
      <c r="F1511" s="16">
        <v>9</v>
      </c>
      <c r="G1511" s="17" t="s">
        <v>418</v>
      </c>
      <c r="H1511" s="17" t="s">
        <v>3173</v>
      </c>
    </row>
    <row r="1512" spans="1:8" x14ac:dyDescent="0.25">
      <c r="A1512" s="16" t="s">
        <v>3174</v>
      </c>
      <c r="B1512" s="17" t="s">
        <v>163</v>
      </c>
      <c r="C1512" s="17" t="s">
        <v>5786</v>
      </c>
      <c r="D1512" s="17" t="s">
        <v>5785</v>
      </c>
      <c r="E1512" s="17">
        <v>76</v>
      </c>
      <c r="F1512" s="16">
        <v>9</v>
      </c>
      <c r="G1512" s="17" t="s">
        <v>418</v>
      </c>
      <c r="H1512" s="17" t="s">
        <v>628</v>
      </c>
    </row>
    <row r="1513" spans="1:8" x14ac:dyDescent="0.25">
      <c r="A1513" s="16" t="s">
        <v>3175</v>
      </c>
      <c r="B1513" s="17" t="s">
        <v>411</v>
      </c>
      <c r="C1513" s="17" t="s">
        <v>5787</v>
      </c>
      <c r="D1513" s="17" t="s">
        <v>5788</v>
      </c>
      <c r="E1513" s="17">
        <v>76</v>
      </c>
      <c r="F1513" s="16">
        <v>9</v>
      </c>
      <c r="G1513" s="17" t="s">
        <v>418</v>
      </c>
      <c r="H1513" s="17" t="s">
        <v>3176</v>
      </c>
    </row>
    <row r="1514" spans="1:8" x14ac:dyDescent="0.25">
      <c r="A1514" s="16" t="s">
        <v>3177</v>
      </c>
      <c r="B1514" s="17" t="s">
        <v>517</v>
      </c>
      <c r="C1514" s="17" t="s">
        <v>5789</v>
      </c>
      <c r="D1514" s="17" t="s">
        <v>5790</v>
      </c>
      <c r="E1514" s="17">
        <v>76</v>
      </c>
      <c r="F1514" s="16">
        <v>9</v>
      </c>
      <c r="G1514" s="17" t="s">
        <v>418</v>
      </c>
      <c r="H1514" s="17" t="s">
        <v>3178</v>
      </c>
    </row>
    <row r="1515" spans="1:8" x14ac:dyDescent="0.25">
      <c r="A1515" s="16" t="s">
        <v>3179</v>
      </c>
      <c r="B1515" s="17" t="s">
        <v>157</v>
      </c>
      <c r="C1515" s="17" t="s">
        <v>5791</v>
      </c>
      <c r="D1515" s="17" t="s">
        <v>5792</v>
      </c>
      <c r="E1515" s="17">
        <v>76</v>
      </c>
      <c r="F1515" s="16">
        <v>9</v>
      </c>
      <c r="G1515" s="17" t="s">
        <v>435</v>
      </c>
      <c r="H1515" s="17" t="s">
        <v>3180</v>
      </c>
    </row>
    <row r="1516" spans="1:8" x14ac:dyDescent="0.25">
      <c r="A1516" s="16" t="s">
        <v>3181</v>
      </c>
      <c r="B1516" s="17" t="s">
        <v>49</v>
      </c>
      <c r="C1516" s="17" t="s">
        <v>5793</v>
      </c>
      <c r="D1516" s="17" t="s">
        <v>5794</v>
      </c>
      <c r="E1516" s="17">
        <v>76</v>
      </c>
      <c r="F1516" s="16">
        <v>9</v>
      </c>
      <c r="G1516" s="17" t="s">
        <v>435</v>
      </c>
      <c r="H1516" s="17" t="s">
        <v>3182</v>
      </c>
    </row>
    <row r="1517" spans="1:8" x14ac:dyDescent="0.25">
      <c r="A1517" s="16" t="s">
        <v>3183</v>
      </c>
      <c r="B1517" s="17" t="s">
        <v>3184</v>
      </c>
      <c r="C1517" s="17" t="s">
        <v>5795</v>
      </c>
      <c r="D1517" s="17" t="s">
        <v>5796</v>
      </c>
      <c r="E1517" s="17">
        <v>76</v>
      </c>
      <c r="F1517" s="16">
        <v>9</v>
      </c>
      <c r="G1517" s="17" t="s">
        <v>435</v>
      </c>
      <c r="H1517" s="17" t="s">
        <v>3185</v>
      </c>
    </row>
    <row r="1518" spans="1:8" x14ac:dyDescent="0.25">
      <c r="A1518" s="16" t="s">
        <v>3186</v>
      </c>
      <c r="B1518" s="17" t="s">
        <v>148</v>
      </c>
      <c r="C1518" s="17" t="s">
        <v>3766</v>
      </c>
      <c r="D1518" s="17" t="s">
        <v>5797</v>
      </c>
      <c r="E1518" s="17">
        <v>76</v>
      </c>
      <c r="F1518" s="16">
        <v>9</v>
      </c>
      <c r="G1518" s="17" t="s">
        <v>435</v>
      </c>
      <c r="H1518" s="17" t="s">
        <v>3187</v>
      </c>
    </row>
    <row r="1519" spans="1:8" x14ac:dyDescent="0.25">
      <c r="A1519" s="16" t="s">
        <v>3188</v>
      </c>
      <c r="B1519" s="17" t="s">
        <v>3189</v>
      </c>
      <c r="C1519" s="17" t="s">
        <v>5798</v>
      </c>
      <c r="D1519" s="17" t="s">
        <v>5799</v>
      </c>
      <c r="E1519" s="17">
        <v>76</v>
      </c>
      <c r="F1519" s="16">
        <v>9</v>
      </c>
      <c r="G1519" s="17" t="s">
        <v>435</v>
      </c>
      <c r="H1519" s="17" t="s">
        <v>3190</v>
      </c>
    </row>
    <row r="1520" spans="1:8" x14ac:dyDescent="0.25">
      <c r="A1520" s="16" t="s">
        <v>3191</v>
      </c>
      <c r="B1520" s="17" t="s">
        <v>510</v>
      </c>
      <c r="C1520" s="17" t="s">
        <v>3766</v>
      </c>
      <c r="D1520" s="17" t="s">
        <v>5800</v>
      </c>
      <c r="E1520" s="17">
        <v>76</v>
      </c>
      <c r="F1520" s="16">
        <v>9</v>
      </c>
      <c r="G1520" s="17" t="s">
        <v>435</v>
      </c>
      <c r="H1520" s="17" t="s">
        <v>3192</v>
      </c>
    </row>
    <row r="1521" spans="1:8" x14ac:dyDescent="0.25">
      <c r="A1521" s="16" t="s">
        <v>3193</v>
      </c>
      <c r="B1521" s="17" t="s">
        <v>510</v>
      </c>
      <c r="C1521" s="17" t="s">
        <v>3766</v>
      </c>
      <c r="D1521" s="17" t="s">
        <v>5801</v>
      </c>
      <c r="E1521" s="17">
        <v>77</v>
      </c>
      <c r="F1521" s="27">
        <v>21</v>
      </c>
      <c r="G1521" s="17" t="s">
        <v>213</v>
      </c>
      <c r="H1521" s="17" t="s">
        <v>3194</v>
      </c>
    </row>
    <row r="1522" spans="1:8" x14ac:dyDescent="0.25">
      <c r="A1522" s="16" t="s">
        <v>3195</v>
      </c>
      <c r="B1522" s="17" t="s">
        <v>480</v>
      </c>
      <c r="C1522" s="17" t="s">
        <v>3766</v>
      </c>
      <c r="D1522" s="17" t="s">
        <v>5802</v>
      </c>
      <c r="E1522" s="17">
        <v>77</v>
      </c>
      <c r="F1522" s="27">
        <v>21</v>
      </c>
      <c r="G1522" s="17" t="s">
        <v>104</v>
      </c>
      <c r="H1522" s="17" t="s">
        <v>107</v>
      </c>
    </row>
    <row r="1523" spans="1:8" x14ac:dyDescent="0.25">
      <c r="A1523" s="16" t="s">
        <v>3196</v>
      </c>
      <c r="B1523" s="17" t="s">
        <v>319</v>
      </c>
      <c r="C1523" s="17" t="s">
        <v>3766</v>
      </c>
      <c r="D1523" s="17" t="s">
        <v>5803</v>
      </c>
      <c r="E1523" s="17">
        <v>77</v>
      </c>
      <c r="F1523" s="27">
        <v>21</v>
      </c>
      <c r="G1523" s="17" t="s">
        <v>104</v>
      </c>
      <c r="H1523" s="17" t="s">
        <v>3197</v>
      </c>
    </row>
    <row r="1524" spans="1:8" x14ac:dyDescent="0.25">
      <c r="A1524" s="16" t="s">
        <v>3198</v>
      </c>
      <c r="B1524" s="17" t="s">
        <v>583</v>
      </c>
      <c r="C1524" s="17" t="s">
        <v>3766</v>
      </c>
      <c r="D1524" s="17" t="s">
        <v>5804</v>
      </c>
      <c r="E1524" s="17">
        <v>77</v>
      </c>
      <c r="F1524" s="27">
        <v>21</v>
      </c>
      <c r="G1524" s="17" t="s">
        <v>104</v>
      </c>
      <c r="H1524" s="17" t="s">
        <v>579</v>
      </c>
    </row>
    <row r="1525" spans="1:8" x14ac:dyDescent="0.25">
      <c r="A1525" s="16" t="s">
        <v>3199</v>
      </c>
      <c r="B1525" s="17" t="s">
        <v>120</v>
      </c>
      <c r="C1525" s="17" t="s">
        <v>3766</v>
      </c>
      <c r="D1525" s="17" t="s">
        <v>5805</v>
      </c>
      <c r="E1525" s="17">
        <v>77</v>
      </c>
      <c r="F1525" s="27">
        <v>21</v>
      </c>
      <c r="G1525" s="17" t="s">
        <v>104</v>
      </c>
      <c r="H1525" s="17" t="s">
        <v>3200</v>
      </c>
    </row>
    <row r="1526" spans="1:8" x14ac:dyDescent="0.25">
      <c r="A1526" s="16" t="s">
        <v>3201</v>
      </c>
      <c r="B1526" s="17" t="s">
        <v>1311</v>
      </c>
      <c r="C1526" s="17" t="s">
        <v>5806</v>
      </c>
      <c r="D1526" s="17" t="s">
        <v>5807</v>
      </c>
      <c r="E1526" s="17">
        <v>77</v>
      </c>
      <c r="F1526" s="27">
        <v>21</v>
      </c>
      <c r="G1526" s="17" t="s">
        <v>225</v>
      </c>
      <c r="H1526" s="17" t="s">
        <v>226</v>
      </c>
    </row>
    <row r="1527" spans="1:8" x14ac:dyDescent="0.25">
      <c r="A1527" s="16" t="s">
        <v>3202</v>
      </c>
      <c r="B1527" s="17" t="s">
        <v>1229</v>
      </c>
      <c r="C1527" s="17" t="s">
        <v>5808</v>
      </c>
      <c r="D1527" s="17" t="s">
        <v>5809</v>
      </c>
      <c r="E1527" s="17">
        <v>77</v>
      </c>
      <c r="F1527" s="27">
        <v>21</v>
      </c>
      <c r="G1527" s="17" t="s">
        <v>225</v>
      </c>
      <c r="H1527" s="17" t="s">
        <v>226</v>
      </c>
    </row>
    <row r="1528" spans="1:8" x14ac:dyDescent="0.25">
      <c r="A1528" s="16" t="s">
        <v>3203</v>
      </c>
      <c r="B1528" s="17" t="s">
        <v>406</v>
      </c>
      <c r="C1528" s="17" t="s">
        <v>5810</v>
      </c>
      <c r="D1528" s="17" t="s">
        <v>5811</v>
      </c>
      <c r="E1528" s="17">
        <v>77</v>
      </c>
      <c r="F1528" s="27">
        <v>21</v>
      </c>
      <c r="G1528" s="17" t="s">
        <v>235</v>
      </c>
      <c r="H1528" s="17" t="s">
        <v>3204</v>
      </c>
    </row>
    <row r="1529" spans="1:8" x14ac:dyDescent="0.25">
      <c r="A1529" s="16" t="s">
        <v>3205</v>
      </c>
      <c r="B1529" s="17" t="s">
        <v>424</v>
      </c>
      <c r="C1529" s="17" t="s">
        <v>3766</v>
      </c>
      <c r="D1529" s="17" t="s">
        <v>5812</v>
      </c>
      <c r="E1529" s="17">
        <v>77</v>
      </c>
      <c r="F1529" s="27">
        <v>21</v>
      </c>
      <c r="G1529" s="17" t="s">
        <v>701</v>
      </c>
      <c r="H1529" s="17" t="s">
        <v>3206</v>
      </c>
    </row>
    <row r="1530" spans="1:8" x14ac:dyDescent="0.25">
      <c r="A1530" s="16" t="s">
        <v>3207</v>
      </c>
      <c r="B1530" s="17" t="s">
        <v>547</v>
      </c>
      <c r="C1530" s="17" t="s">
        <v>5813</v>
      </c>
      <c r="D1530" s="17" t="s">
        <v>5814</v>
      </c>
      <c r="E1530" s="17">
        <v>77</v>
      </c>
      <c r="F1530" s="27">
        <v>21</v>
      </c>
      <c r="G1530" s="17" t="s">
        <v>240</v>
      </c>
      <c r="H1530" s="17" t="s">
        <v>240</v>
      </c>
    </row>
    <row r="1531" spans="1:8" x14ac:dyDescent="0.25">
      <c r="A1531" s="16" t="s">
        <v>3208</v>
      </c>
      <c r="B1531" s="17" t="s">
        <v>172</v>
      </c>
      <c r="C1531" s="17" t="s">
        <v>3875</v>
      </c>
      <c r="D1531" s="17" t="s">
        <v>5815</v>
      </c>
      <c r="E1531" s="17">
        <v>77</v>
      </c>
      <c r="F1531" s="27">
        <v>21</v>
      </c>
      <c r="G1531" s="17" t="s">
        <v>240</v>
      </c>
      <c r="H1531" s="17" t="s">
        <v>3209</v>
      </c>
    </row>
    <row r="1532" spans="1:8" x14ac:dyDescent="0.25">
      <c r="A1532" s="16" t="s">
        <v>3210</v>
      </c>
      <c r="B1532" s="17" t="s">
        <v>63</v>
      </c>
      <c r="C1532" s="17" t="s">
        <v>3766</v>
      </c>
      <c r="D1532" s="17" t="s">
        <v>5816</v>
      </c>
      <c r="E1532" s="17">
        <v>77</v>
      </c>
      <c r="F1532" s="27">
        <v>21</v>
      </c>
      <c r="G1532" s="17" t="s">
        <v>240</v>
      </c>
      <c r="H1532" s="17" t="s">
        <v>3211</v>
      </c>
    </row>
    <row r="1533" spans="1:8" x14ac:dyDescent="0.25">
      <c r="A1533" s="16" t="s">
        <v>3212</v>
      </c>
      <c r="B1533" s="17" t="s">
        <v>550</v>
      </c>
      <c r="C1533" s="17" t="s">
        <v>5817</v>
      </c>
      <c r="D1533" s="17" t="s">
        <v>5818</v>
      </c>
      <c r="E1533" s="17">
        <v>77</v>
      </c>
      <c r="F1533" s="27">
        <v>21</v>
      </c>
      <c r="G1533" s="17" t="s">
        <v>3213</v>
      </c>
      <c r="H1533" s="17" t="s">
        <v>3213</v>
      </c>
    </row>
    <row r="1534" spans="1:8" x14ac:dyDescent="0.25">
      <c r="A1534" s="16" t="s">
        <v>3214</v>
      </c>
      <c r="B1534" s="17" t="s">
        <v>3215</v>
      </c>
      <c r="C1534" s="17" t="s">
        <v>3766</v>
      </c>
      <c r="D1534" s="17" t="s">
        <v>5819</v>
      </c>
      <c r="E1534" s="17">
        <v>77</v>
      </c>
      <c r="F1534" s="27">
        <v>21</v>
      </c>
      <c r="G1534" s="17" t="s">
        <v>3213</v>
      </c>
      <c r="H1534" s="17" t="s">
        <v>3216</v>
      </c>
    </row>
    <row r="1535" spans="1:8" x14ac:dyDescent="0.25">
      <c r="A1535" s="16" t="s">
        <v>3217</v>
      </c>
      <c r="B1535" s="17" t="s">
        <v>166</v>
      </c>
      <c r="C1535" s="17" t="s">
        <v>3766</v>
      </c>
      <c r="D1535" s="17" t="s">
        <v>5820</v>
      </c>
      <c r="E1535" s="17">
        <v>77</v>
      </c>
      <c r="F1535" s="27">
        <v>21</v>
      </c>
      <c r="G1535" s="17" t="s">
        <v>3213</v>
      </c>
      <c r="H1535" s="17" t="s">
        <v>3218</v>
      </c>
    </row>
    <row r="1536" spans="1:8" x14ac:dyDescent="0.25">
      <c r="A1536" s="16" t="s">
        <v>3219</v>
      </c>
      <c r="B1536" s="17" t="s">
        <v>2146</v>
      </c>
      <c r="C1536" s="17" t="s">
        <v>5821</v>
      </c>
      <c r="D1536" s="17" t="s">
        <v>5822</v>
      </c>
      <c r="E1536" s="17">
        <v>77</v>
      </c>
      <c r="F1536" s="27">
        <v>21</v>
      </c>
      <c r="G1536" s="17" t="s">
        <v>250</v>
      </c>
      <c r="H1536" s="17" t="s">
        <v>3220</v>
      </c>
    </row>
    <row r="1537" spans="1:8" x14ac:dyDescent="0.25">
      <c r="A1537" s="16" t="s">
        <v>3221</v>
      </c>
      <c r="B1537" s="17" t="s">
        <v>49</v>
      </c>
      <c r="C1537" s="17" t="s">
        <v>3766</v>
      </c>
      <c r="D1537" s="17" t="s">
        <v>5823</v>
      </c>
      <c r="E1537" s="17">
        <v>77</v>
      </c>
      <c r="F1537" s="27">
        <v>21</v>
      </c>
      <c r="G1537" s="17" t="s">
        <v>3222</v>
      </c>
      <c r="H1537" s="17" t="s">
        <v>3223</v>
      </c>
    </row>
    <row r="1538" spans="1:8" x14ac:dyDescent="0.25">
      <c r="A1538" s="16" t="s">
        <v>3224</v>
      </c>
      <c r="B1538" s="17" t="s">
        <v>1256</v>
      </c>
      <c r="C1538" s="17" t="s">
        <v>3766</v>
      </c>
      <c r="D1538" s="17" t="s">
        <v>5824</v>
      </c>
      <c r="E1538" s="17">
        <v>77</v>
      </c>
      <c r="F1538" s="27">
        <v>21</v>
      </c>
      <c r="G1538" s="17" t="s">
        <v>3222</v>
      </c>
      <c r="H1538" s="17" t="s">
        <v>3225</v>
      </c>
    </row>
    <row r="1539" spans="1:8" x14ac:dyDescent="0.25">
      <c r="A1539" s="16" t="s">
        <v>3226</v>
      </c>
      <c r="B1539" s="17" t="s">
        <v>172</v>
      </c>
      <c r="C1539" s="17" t="s">
        <v>3766</v>
      </c>
      <c r="D1539" s="17" t="s">
        <v>5822</v>
      </c>
      <c r="E1539" s="17">
        <v>77</v>
      </c>
      <c r="F1539" s="27">
        <v>21</v>
      </c>
      <c r="G1539" s="17" t="s">
        <v>3222</v>
      </c>
      <c r="H1539" s="17" t="s">
        <v>3227</v>
      </c>
    </row>
    <row r="1540" spans="1:8" x14ac:dyDescent="0.25">
      <c r="A1540" s="16" t="s">
        <v>3228</v>
      </c>
      <c r="B1540" s="17" t="s">
        <v>148</v>
      </c>
      <c r="C1540" s="17" t="s">
        <v>5825</v>
      </c>
      <c r="D1540" s="17" t="s">
        <v>5826</v>
      </c>
      <c r="E1540" s="17">
        <v>78</v>
      </c>
      <c r="F1540" s="27">
        <v>14</v>
      </c>
      <c r="G1540" s="17" t="s">
        <v>1045</v>
      </c>
      <c r="H1540" s="17" t="s">
        <v>3229</v>
      </c>
    </row>
    <row r="1541" spans="1:8" x14ac:dyDescent="0.25">
      <c r="A1541" s="16" t="s">
        <v>3230</v>
      </c>
      <c r="B1541" s="17" t="s">
        <v>157</v>
      </c>
      <c r="C1541" s="17" t="s">
        <v>5827</v>
      </c>
      <c r="D1541" s="17" t="s">
        <v>5828</v>
      </c>
      <c r="E1541" s="17">
        <v>78</v>
      </c>
      <c r="F1541" s="27">
        <v>14</v>
      </c>
      <c r="G1541" s="17" t="s">
        <v>1045</v>
      </c>
      <c r="H1541" s="17" t="s">
        <v>3231</v>
      </c>
    </row>
    <row r="1542" spans="1:8" x14ac:dyDescent="0.25">
      <c r="A1542" s="16" t="s">
        <v>3232</v>
      </c>
      <c r="B1542" s="17" t="s">
        <v>3233</v>
      </c>
      <c r="C1542" s="17" t="s">
        <v>5829</v>
      </c>
      <c r="D1542" s="17" t="s">
        <v>5830</v>
      </c>
      <c r="E1542" s="17">
        <v>78</v>
      </c>
      <c r="F1542" s="27">
        <v>14</v>
      </c>
      <c r="G1542" s="17" t="s">
        <v>1045</v>
      </c>
      <c r="H1542" s="17" t="s">
        <v>3234</v>
      </c>
    </row>
    <row r="1543" spans="1:8" x14ac:dyDescent="0.25">
      <c r="A1543" s="16" t="s">
        <v>3235</v>
      </c>
      <c r="B1543" s="17" t="s">
        <v>517</v>
      </c>
      <c r="C1543" s="17" t="s">
        <v>5831</v>
      </c>
      <c r="D1543" s="17" t="s">
        <v>5832</v>
      </c>
      <c r="E1543" s="17">
        <v>78</v>
      </c>
      <c r="F1543" s="27">
        <v>14</v>
      </c>
      <c r="G1543" s="17" t="s">
        <v>3236</v>
      </c>
      <c r="H1543" s="17" t="s">
        <v>3237</v>
      </c>
    </row>
    <row r="1544" spans="1:8" x14ac:dyDescent="0.25">
      <c r="A1544" s="16" t="s">
        <v>3238</v>
      </c>
      <c r="B1544" s="17" t="s">
        <v>135</v>
      </c>
      <c r="C1544" s="17" t="s">
        <v>5833</v>
      </c>
      <c r="D1544" s="17" t="s">
        <v>5834</v>
      </c>
      <c r="E1544" s="17">
        <v>78</v>
      </c>
      <c r="F1544" s="27">
        <v>14</v>
      </c>
      <c r="G1544" s="17" t="s">
        <v>3236</v>
      </c>
      <c r="H1544" s="17" t="s">
        <v>3239</v>
      </c>
    </row>
    <row r="1545" spans="1:8" x14ac:dyDescent="0.25">
      <c r="A1545" s="16" t="s">
        <v>3240</v>
      </c>
      <c r="B1545" s="17" t="s">
        <v>443</v>
      </c>
      <c r="C1545" s="17" t="s">
        <v>3902</v>
      </c>
      <c r="D1545" s="17" t="s">
        <v>5835</v>
      </c>
      <c r="E1545" s="17">
        <v>78</v>
      </c>
      <c r="F1545" s="27">
        <v>14</v>
      </c>
      <c r="G1545" s="17" t="s">
        <v>3236</v>
      </c>
      <c r="H1545" s="17" t="s">
        <v>2605</v>
      </c>
    </row>
    <row r="1546" spans="1:8" x14ac:dyDescent="0.25">
      <c r="A1546" s="16" t="s">
        <v>3241</v>
      </c>
      <c r="B1546" s="17" t="s">
        <v>153</v>
      </c>
      <c r="C1546" s="17" t="s">
        <v>5836</v>
      </c>
      <c r="D1546" s="17" t="s">
        <v>5837</v>
      </c>
      <c r="E1546" s="17">
        <v>78</v>
      </c>
      <c r="F1546" s="27">
        <v>14</v>
      </c>
      <c r="G1546" s="17" t="s">
        <v>3236</v>
      </c>
      <c r="H1546" s="17" t="s">
        <v>3242</v>
      </c>
    </row>
    <row r="1547" spans="1:8" x14ac:dyDescent="0.25">
      <c r="A1547" s="16" t="s">
        <v>3243</v>
      </c>
      <c r="B1547" s="17" t="s">
        <v>3244</v>
      </c>
      <c r="C1547" s="17" t="s">
        <v>5838</v>
      </c>
      <c r="D1547" s="17" t="s">
        <v>5839</v>
      </c>
      <c r="E1547" s="17">
        <v>78</v>
      </c>
      <c r="F1547" s="27">
        <v>14</v>
      </c>
      <c r="G1547" s="17" t="s">
        <v>3236</v>
      </c>
      <c r="H1547" s="17" t="s">
        <v>1598</v>
      </c>
    </row>
    <row r="1548" spans="1:8" x14ac:dyDescent="0.25">
      <c r="A1548" s="16" t="s">
        <v>3245</v>
      </c>
      <c r="B1548" s="17" t="s">
        <v>107</v>
      </c>
      <c r="C1548" s="17" t="s">
        <v>3981</v>
      </c>
      <c r="D1548" s="17" t="s">
        <v>5840</v>
      </c>
      <c r="E1548" s="17">
        <v>78</v>
      </c>
      <c r="F1548" s="27">
        <v>14</v>
      </c>
      <c r="G1548" s="17" t="s">
        <v>3236</v>
      </c>
      <c r="H1548" s="17" t="s">
        <v>3246</v>
      </c>
    </row>
    <row r="1549" spans="1:8" x14ac:dyDescent="0.25">
      <c r="A1549" s="16" t="s">
        <v>3247</v>
      </c>
      <c r="B1549" s="17" t="s">
        <v>480</v>
      </c>
      <c r="C1549" s="17" t="s">
        <v>5841</v>
      </c>
      <c r="D1549" s="17" t="s">
        <v>5842</v>
      </c>
      <c r="E1549" s="17">
        <v>78</v>
      </c>
      <c r="F1549" s="27">
        <v>14</v>
      </c>
      <c r="G1549" s="17" t="s">
        <v>3236</v>
      </c>
      <c r="H1549" s="17" t="s">
        <v>3248</v>
      </c>
    </row>
    <row r="1550" spans="1:8" x14ac:dyDescent="0.25">
      <c r="A1550" s="16" t="s">
        <v>3249</v>
      </c>
      <c r="B1550" s="17" t="s">
        <v>166</v>
      </c>
      <c r="C1550" s="17" t="s">
        <v>5843</v>
      </c>
      <c r="D1550" s="17" t="s">
        <v>5844</v>
      </c>
      <c r="E1550" s="17">
        <v>78</v>
      </c>
      <c r="F1550" s="27">
        <v>14</v>
      </c>
      <c r="G1550" s="17" t="s">
        <v>3236</v>
      </c>
      <c r="H1550" s="17" t="s">
        <v>3250</v>
      </c>
    </row>
    <row r="1551" spans="1:8" x14ac:dyDescent="0.25">
      <c r="A1551" s="16" t="s">
        <v>3251</v>
      </c>
      <c r="B1551" s="17" t="s">
        <v>107</v>
      </c>
      <c r="C1551" s="17" t="s">
        <v>77</v>
      </c>
      <c r="D1551" s="17" t="s">
        <v>5845</v>
      </c>
      <c r="E1551" s="17">
        <v>78</v>
      </c>
      <c r="F1551" s="27">
        <v>14</v>
      </c>
      <c r="G1551" s="17" t="s">
        <v>3236</v>
      </c>
      <c r="H1551" s="17" t="s">
        <v>434</v>
      </c>
    </row>
    <row r="1552" spans="1:8" x14ac:dyDescent="0.25">
      <c r="A1552" s="16" t="s">
        <v>3252</v>
      </c>
      <c r="B1552" s="17" t="s">
        <v>138</v>
      </c>
      <c r="C1552" s="17" t="s">
        <v>5846</v>
      </c>
      <c r="D1552" s="17" t="s">
        <v>5847</v>
      </c>
      <c r="E1552" s="17">
        <v>78</v>
      </c>
      <c r="F1552" s="27">
        <v>14</v>
      </c>
      <c r="G1552" s="17" t="s">
        <v>3236</v>
      </c>
      <c r="H1552" s="17" t="s">
        <v>506</v>
      </c>
    </row>
    <row r="1553" spans="1:8" x14ac:dyDescent="0.25">
      <c r="A1553" s="16" t="s">
        <v>3253</v>
      </c>
      <c r="B1553" s="17" t="s">
        <v>3254</v>
      </c>
      <c r="C1553" s="17" t="s">
        <v>5848</v>
      </c>
      <c r="D1553" s="17" t="s">
        <v>5849</v>
      </c>
      <c r="E1553" s="17">
        <v>78</v>
      </c>
      <c r="F1553" s="27">
        <v>14</v>
      </c>
      <c r="G1553" s="17" t="s">
        <v>1637</v>
      </c>
      <c r="H1553" s="17" t="s">
        <v>301</v>
      </c>
    </row>
    <row r="1554" spans="1:8" x14ac:dyDescent="0.25">
      <c r="A1554" s="16" t="s">
        <v>3255</v>
      </c>
      <c r="B1554" s="17" t="s">
        <v>41</v>
      </c>
      <c r="C1554" s="17" t="s">
        <v>5850</v>
      </c>
      <c r="D1554" s="17" t="s">
        <v>5851</v>
      </c>
      <c r="E1554" s="17">
        <v>78</v>
      </c>
      <c r="F1554" s="27">
        <v>14</v>
      </c>
      <c r="G1554" s="17" t="s">
        <v>1637</v>
      </c>
      <c r="H1554" s="17" t="s">
        <v>3256</v>
      </c>
    </row>
    <row r="1555" spans="1:8" x14ac:dyDescent="0.25">
      <c r="A1555" s="16" t="s">
        <v>3257</v>
      </c>
      <c r="B1555" s="17" t="s">
        <v>117</v>
      </c>
      <c r="C1555" s="17" t="s">
        <v>5852</v>
      </c>
      <c r="D1555" s="17" t="s">
        <v>5853</v>
      </c>
      <c r="E1555" s="17">
        <v>78</v>
      </c>
      <c r="F1555" s="27">
        <v>14</v>
      </c>
      <c r="G1555" s="17" t="s">
        <v>1637</v>
      </c>
      <c r="H1555" s="17" t="s">
        <v>3258</v>
      </c>
    </row>
    <row r="1556" spans="1:8" x14ac:dyDescent="0.25">
      <c r="A1556" s="16" t="s">
        <v>3259</v>
      </c>
      <c r="B1556" s="17" t="s">
        <v>3260</v>
      </c>
      <c r="C1556" s="17" t="s">
        <v>3956</v>
      </c>
      <c r="D1556" s="17" t="s">
        <v>5854</v>
      </c>
      <c r="E1556" s="17">
        <v>78</v>
      </c>
      <c r="F1556" s="27">
        <v>14</v>
      </c>
      <c r="G1556" s="17" t="s">
        <v>3261</v>
      </c>
      <c r="H1556" s="17" t="s">
        <v>3262</v>
      </c>
    </row>
    <row r="1557" spans="1:8" x14ac:dyDescent="0.25">
      <c r="A1557" s="16" t="s">
        <v>3263</v>
      </c>
      <c r="B1557" s="17" t="s">
        <v>254</v>
      </c>
      <c r="C1557" s="17" t="s">
        <v>5855</v>
      </c>
      <c r="D1557" s="17" t="s">
        <v>5856</v>
      </c>
      <c r="E1557" s="17">
        <v>78</v>
      </c>
      <c r="F1557" s="27">
        <v>14</v>
      </c>
      <c r="G1557" s="17" t="s">
        <v>3261</v>
      </c>
      <c r="H1557" s="17" t="s">
        <v>3182</v>
      </c>
    </row>
    <row r="1558" spans="1:8" x14ac:dyDescent="0.25">
      <c r="A1558" s="16" t="s">
        <v>3264</v>
      </c>
      <c r="B1558" s="17" t="s">
        <v>153</v>
      </c>
      <c r="C1558" s="17" t="s">
        <v>4112</v>
      </c>
      <c r="D1558" s="17" t="s">
        <v>5857</v>
      </c>
      <c r="E1558" s="17">
        <v>78</v>
      </c>
      <c r="F1558" s="27">
        <v>14</v>
      </c>
      <c r="G1558" s="17" t="s">
        <v>3261</v>
      </c>
      <c r="H1558" s="17" t="s">
        <v>3265</v>
      </c>
    </row>
    <row r="1559" spans="1:8" x14ac:dyDescent="0.25">
      <c r="A1559" s="16" t="s">
        <v>3266</v>
      </c>
      <c r="B1559" s="17" t="s">
        <v>2809</v>
      </c>
      <c r="C1559" s="17" t="s">
        <v>3786</v>
      </c>
      <c r="D1559" s="17" t="s">
        <v>5858</v>
      </c>
      <c r="E1559" s="17">
        <v>78</v>
      </c>
      <c r="F1559" s="27">
        <v>14</v>
      </c>
      <c r="G1559" s="17" t="s">
        <v>3261</v>
      </c>
      <c r="H1559" s="17" t="s">
        <v>3267</v>
      </c>
    </row>
    <row r="1560" spans="1:8" x14ac:dyDescent="0.25">
      <c r="A1560" s="16" t="s">
        <v>3268</v>
      </c>
      <c r="B1560" s="17" t="s">
        <v>166</v>
      </c>
      <c r="C1560" s="17" t="s">
        <v>3971</v>
      </c>
      <c r="D1560" s="17" t="s">
        <v>5859</v>
      </c>
      <c r="E1560" s="17">
        <v>78</v>
      </c>
      <c r="F1560" s="27">
        <v>14</v>
      </c>
      <c r="G1560" s="17" t="s">
        <v>3261</v>
      </c>
      <c r="H1560" s="17" t="s">
        <v>876</v>
      </c>
    </row>
    <row r="1561" spans="1:8" x14ac:dyDescent="0.25">
      <c r="A1561" s="16" t="s">
        <v>3269</v>
      </c>
      <c r="B1561" s="17" t="s">
        <v>80</v>
      </c>
      <c r="C1561" s="17" t="s">
        <v>5608</v>
      </c>
      <c r="D1561" s="17" t="s">
        <v>5860</v>
      </c>
      <c r="E1561" s="17">
        <v>78</v>
      </c>
      <c r="F1561" s="27">
        <v>14</v>
      </c>
      <c r="G1561" s="17" t="s">
        <v>3261</v>
      </c>
      <c r="H1561" s="17" t="s">
        <v>3270</v>
      </c>
    </row>
    <row r="1562" spans="1:8" x14ac:dyDescent="0.25">
      <c r="A1562" s="16" t="s">
        <v>3271</v>
      </c>
      <c r="B1562" s="17" t="s">
        <v>986</v>
      </c>
      <c r="C1562" s="17" t="s">
        <v>5861</v>
      </c>
      <c r="D1562" s="17" t="s">
        <v>5862</v>
      </c>
      <c r="E1562" s="17">
        <v>78</v>
      </c>
      <c r="F1562" s="27">
        <v>14</v>
      </c>
      <c r="G1562" s="17" t="s">
        <v>3261</v>
      </c>
      <c r="H1562" s="17" t="s">
        <v>3272</v>
      </c>
    </row>
    <row r="1563" spans="1:8" x14ac:dyDescent="0.25">
      <c r="A1563" s="16" t="s">
        <v>3273</v>
      </c>
      <c r="B1563" s="17" t="s">
        <v>129</v>
      </c>
      <c r="C1563" s="17" t="s">
        <v>5863</v>
      </c>
      <c r="D1563" s="17" t="s">
        <v>5864</v>
      </c>
      <c r="E1563" s="17">
        <v>78</v>
      </c>
      <c r="F1563" s="27">
        <v>14</v>
      </c>
      <c r="G1563" s="17" t="s">
        <v>3261</v>
      </c>
      <c r="H1563" s="17" t="s">
        <v>3274</v>
      </c>
    </row>
    <row r="1564" spans="1:8" x14ac:dyDescent="0.25">
      <c r="A1564" s="16" t="s">
        <v>3275</v>
      </c>
      <c r="B1564" s="17" t="s">
        <v>23</v>
      </c>
      <c r="C1564" s="17" t="s">
        <v>5393</v>
      </c>
      <c r="D1564" s="17" t="s">
        <v>5865</v>
      </c>
      <c r="E1564" s="17">
        <v>78</v>
      </c>
      <c r="F1564" s="27">
        <v>14</v>
      </c>
      <c r="G1564" s="17" t="s">
        <v>3261</v>
      </c>
      <c r="H1564" s="17" t="s">
        <v>3276</v>
      </c>
    </row>
    <row r="1565" spans="1:8" x14ac:dyDescent="0.25">
      <c r="A1565" s="16" t="s">
        <v>3277</v>
      </c>
      <c r="B1565" s="17" t="s">
        <v>166</v>
      </c>
      <c r="C1565" s="17" t="s">
        <v>5866</v>
      </c>
      <c r="D1565" s="17" t="s">
        <v>5867</v>
      </c>
      <c r="E1565" s="17">
        <v>78</v>
      </c>
      <c r="F1565" s="27">
        <v>14</v>
      </c>
      <c r="G1565" s="17" t="s">
        <v>3261</v>
      </c>
      <c r="H1565" s="17" t="s">
        <v>130</v>
      </c>
    </row>
    <row r="1566" spans="1:8" x14ac:dyDescent="0.25">
      <c r="A1566" s="16" t="s">
        <v>3278</v>
      </c>
      <c r="B1566" s="17" t="s">
        <v>411</v>
      </c>
      <c r="C1566" s="17" t="s">
        <v>5868</v>
      </c>
      <c r="D1566" s="17" t="s">
        <v>5869</v>
      </c>
      <c r="E1566" s="17">
        <v>79</v>
      </c>
      <c r="F1566" s="27">
        <v>18</v>
      </c>
      <c r="G1566" s="17" t="s">
        <v>2951</v>
      </c>
      <c r="H1566" s="17" t="s">
        <v>2952</v>
      </c>
    </row>
    <row r="1567" spans="1:8" x14ac:dyDescent="0.25">
      <c r="A1567" s="16" t="s">
        <v>3279</v>
      </c>
      <c r="B1567" s="17" t="s">
        <v>172</v>
      </c>
      <c r="C1567" s="17" t="s">
        <v>3766</v>
      </c>
      <c r="D1567" s="17" t="s">
        <v>5870</v>
      </c>
      <c r="E1567" s="17">
        <v>79</v>
      </c>
      <c r="F1567" s="27">
        <v>18</v>
      </c>
      <c r="G1567" s="17" t="s">
        <v>2951</v>
      </c>
      <c r="H1567" s="17" t="s">
        <v>3280</v>
      </c>
    </row>
    <row r="1568" spans="1:8" x14ac:dyDescent="0.25">
      <c r="A1568" s="16" t="s">
        <v>3281</v>
      </c>
      <c r="B1568" s="17" t="s">
        <v>254</v>
      </c>
      <c r="C1568" s="17" t="s">
        <v>3766</v>
      </c>
      <c r="D1568" s="17" t="s">
        <v>5871</v>
      </c>
      <c r="E1568" s="17">
        <v>79</v>
      </c>
      <c r="F1568" s="27">
        <v>18</v>
      </c>
      <c r="G1568" s="17" t="s">
        <v>2951</v>
      </c>
      <c r="H1568" s="17" t="s">
        <v>3282</v>
      </c>
    </row>
    <row r="1569" spans="1:8" x14ac:dyDescent="0.25">
      <c r="A1569" s="16" t="s">
        <v>3283</v>
      </c>
      <c r="B1569" s="17" t="s">
        <v>57</v>
      </c>
      <c r="C1569" s="17" t="s">
        <v>3766</v>
      </c>
      <c r="D1569" s="17" t="s">
        <v>5872</v>
      </c>
      <c r="E1569" s="17">
        <v>79</v>
      </c>
      <c r="F1569" s="27">
        <v>18</v>
      </c>
      <c r="G1569" s="17" t="s">
        <v>2951</v>
      </c>
      <c r="H1569" s="17" t="s">
        <v>3284</v>
      </c>
    </row>
    <row r="1570" spans="1:8" x14ac:dyDescent="0.25">
      <c r="A1570" s="16" t="s">
        <v>3285</v>
      </c>
      <c r="B1570" s="17" t="s">
        <v>72</v>
      </c>
      <c r="C1570" s="17" t="s">
        <v>3766</v>
      </c>
      <c r="D1570" s="17" t="s">
        <v>5873</v>
      </c>
      <c r="E1570" s="17">
        <v>79</v>
      </c>
      <c r="F1570" s="27">
        <v>18</v>
      </c>
      <c r="G1570" s="17" t="s">
        <v>2951</v>
      </c>
      <c r="H1570" s="17" t="s">
        <v>1444</v>
      </c>
    </row>
    <row r="1571" spans="1:8" x14ac:dyDescent="0.25">
      <c r="A1571" s="16" t="s">
        <v>3286</v>
      </c>
      <c r="B1571" s="17" t="s">
        <v>41</v>
      </c>
      <c r="C1571" s="17" t="s">
        <v>5874</v>
      </c>
      <c r="D1571" s="17" t="s">
        <v>5875</v>
      </c>
      <c r="E1571" s="17">
        <v>79</v>
      </c>
      <c r="F1571" s="27">
        <v>18</v>
      </c>
      <c r="G1571" s="17" t="s">
        <v>2951</v>
      </c>
      <c r="H1571" s="17" t="s">
        <v>3287</v>
      </c>
    </row>
    <row r="1572" spans="1:8" x14ac:dyDescent="0.25">
      <c r="A1572" s="16" t="s">
        <v>3288</v>
      </c>
      <c r="B1572" s="17" t="s">
        <v>135</v>
      </c>
      <c r="C1572" s="17" t="s">
        <v>3766</v>
      </c>
      <c r="D1572" s="17" t="s">
        <v>5876</v>
      </c>
      <c r="E1572" s="17">
        <v>79</v>
      </c>
      <c r="F1572" s="27">
        <v>18</v>
      </c>
      <c r="G1572" s="17" t="s">
        <v>2951</v>
      </c>
      <c r="H1572" s="17" t="s">
        <v>23</v>
      </c>
    </row>
    <row r="1573" spans="1:8" x14ac:dyDescent="0.25">
      <c r="A1573" s="16" t="s">
        <v>3289</v>
      </c>
      <c r="B1573" s="17" t="s">
        <v>166</v>
      </c>
      <c r="C1573" s="17" t="s">
        <v>3956</v>
      </c>
      <c r="D1573" s="17" t="s">
        <v>5877</v>
      </c>
      <c r="E1573" s="17">
        <v>79</v>
      </c>
      <c r="F1573" s="27">
        <v>18</v>
      </c>
      <c r="G1573" s="17" t="s">
        <v>2951</v>
      </c>
      <c r="H1573" s="17" t="s">
        <v>3290</v>
      </c>
    </row>
    <row r="1574" spans="1:8" x14ac:dyDescent="0.25">
      <c r="A1574" s="16" t="s">
        <v>3291</v>
      </c>
      <c r="B1574" s="17" t="s">
        <v>1309</v>
      </c>
      <c r="C1574" s="17" t="s">
        <v>3766</v>
      </c>
      <c r="D1574" s="17" t="s">
        <v>5878</v>
      </c>
      <c r="E1574" s="17">
        <v>79</v>
      </c>
      <c r="F1574" s="27">
        <v>18</v>
      </c>
      <c r="G1574" s="17" t="s">
        <v>2951</v>
      </c>
      <c r="H1574" s="17" t="s">
        <v>1661</v>
      </c>
    </row>
    <row r="1575" spans="1:8" x14ac:dyDescent="0.25">
      <c r="A1575" s="16" t="s">
        <v>3292</v>
      </c>
      <c r="B1575" s="17" t="s">
        <v>151</v>
      </c>
      <c r="C1575" s="17" t="s">
        <v>3871</v>
      </c>
      <c r="D1575" s="17" t="s">
        <v>5879</v>
      </c>
      <c r="E1575" s="17">
        <v>79</v>
      </c>
      <c r="F1575" s="27">
        <v>18</v>
      </c>
      <c r="G1575" s="17" t="s">
        <v>2951</v>
      </c>
      <c r="H1575" s="17" t="s">
        <v>3293</v>
      </c>
    </row>
    <row r="1576" spans="1:8" x14ac:dyDescent="0.25">
      <c r="A1576" s="16" t="s">
        <v>3294</v>
      </c>
      <c r="B1576" s="17" t="s">
        <v>135</v>
      </c>
      <c r="C1576" s="17" t="s">
        <v>3871</v>
      </c>
      <c r="D1576" s="17" t="s">
        <v>5880</v>
      </c>
      <c r="E1576" s="17">
        <v>79</v>
      </c>
      <c r="F1576" s="27">
        <v>18</v>
      </c>
      <c r="G1576" s="17" t="s">
        <v>2951</v>
      </c>
      <c r="H1576" s="17" t="s">
        <v>3295</v>
      </c>
    </row>
    <row r="1577" spans="1:8" x14ac:dyDescent="0.25">
      <c r="A1577" s="16" t="s">
        <v>3296</v>
      </c>
      <c r="B1577" s="17" t="s">
        <v>77</v>
      </c>
      <c r="C1577" s="17" t="s">
        <v>3766</v>
      </c>
      <c r="D1577" s="17" t="s">
        <v>5881</v>
      </c>
      <c r="E1577" s="17">
        <v>79</v>
      </c>
      <c r="F1577" s="27">
        <v>18</v>
      </c>
      <c r="G1577" s="17" t="s">
        <v>2951</v>
      </c>
      <c r="H1577" s="17" t="s">
        <v>3297</v>
      </c>
    </row>
    <row r="1578" spans="1:8" x14ac:dyDescent="0.25">
      <c r="A1578" s="16" t="s">
        <v>3298</v>
      </c>
      <c r="B1578" s="17" t="s">
        <v>781</v>
      </c>
      <c r="C1578" s="17" t="s">
        <v>3766</v>
      </c>
      <c r="D1578" s="17" t="s">
        <v>5882</v>
      </c>
      <c r="E1578" s="17">
        <v>79</v>
      </c>
      <c r="F1578" s="27">
        <v>18</v>
      </c>
      <c r="G1578" s="17" t="s">
        <v>2951</v>
      </c>
      <c r="H1578" s="17" t="s">
        <v>3299</v>
      </c>
    </row>
    <row r="1579" spans="1:8" x14ac:dyDescent="0.25">
      <c r="A1579" s="16" t="s">
        <v>3300</v>
      </c>
      <c r="B1579" s="17" t="s">
        <v>166</v>
      </c>
      <c r="C1579" s="17" t="s">
        <v>3758</v>
      </c>
      <c r="D1579" s="17" t="s">
        <v>5883</v>
      </c>
      <c r="E1579" s="17">
        <v>79</v>
      </c>
      <c r="F1579" s="27">
        <v>18</v>
      </c>
      <c r="G1579" s="17" t="s">
        <v>2951</v>
      </c>
      <c r="H1579" s="17" t="s">
        <v>201</v>
      </c>
    </row>
    <row r="1580" spans="1:8" x14ac:dyDescent="0.25">
      <c r="A1580" s="16" t="s">
        <v>3301</v>
      </c>
      <c r="B1580" s="17" t="s">
        <v>23</v>
      </c>
      <c r="C1580" s="17" t="s">
        <v>3766</v>
      </c>
      <c r="D1580" s="17" t="s">
        <v>5884</v>
      </c>
      <c r="E1580" s="17">
        <v>79</v>
      </c>
      <c r="F1580" s="27">
        <v>18</v>
      </c>
      <c r="G1580" s="17" t="s">
        <v>2951</v>
      </c>
      <c r="H1580" s="17" t="s">
        <v>3302</v>
      </c>
    </row>
    <row r="1581" spans="1:8" x14ac:dyDescent="0.25">
      <c r="A1581" s="16" t="s">
        <v>3303</v>
      </c>
      <c r="B1581" s="17" t="s">
        <v>443</v>
      </c>
      <c r="C1581" s="17" t="s">
        <v>4971</v>
      </c>
      <c r="D1581" s="17" t="s">
        <v>5885</v>
      </c>
      <c r="E1581" s="17">
        <v>79</v>
      </c>
      <c r="F1581" s="27">
        <v>18</v>
      </c>
      <c r="G1581" s="17" t="s">
        <v>2951</v>
      </c>
      <c r="H1581" s="17" t="s">
        <v>3304</v>
      </c>
    </row>
    <row r="1582" spans="1:8" x14ac:dyDescent="0.25">
      <c r="A1582" s="16" t="s">
        <v>3305</v>
      </c>
      <c r="B1582" s="17" t="s">
        <v>97</v>
      </c>
      <c r="C1582" s="17" t="s">
        <v>3766</v>
      </c>
      <c r="D1582" s="17" t="s">
        <v>5886</v>
      </c>
      <c r="E1582" s="17">
        <v>79</v>
      </c>
      <c r="F1582" s="27">
        <v>18</v>
      </c>
      <c r="G1582" s="17" t="s">
        <v>2951</v>
      </c>
      <c r="H1582" s="17" t="s">
        <v>3306</v>
      </c>
    </row>
    <row r="1583" spans="1:8" x14ac:dyDescent="0.25">
      <c r="A1583" s="16" t="s">
        <v>3307</v>
      </c>
      <c r="B1583" s="17" t="s">
        <v>3308</v>
      </c>
      <c r="C1583" s="17" t="s">
        <v>3766</v>
      </c>
      <c r="D1583" s="17" t="s">
        <v>5887</v>
      </c>
      <c r="E1583" s="17">
        <v>79</v>
      </c>
      <c r="F1583" s="27">
        <v>18</v>
      </c>
      <c r="G1583" s="17" t="s">
        <v>2951</v>
      </c>
      <c r="H1583" s="17" t="s">
        <v>3309</v>
      </c>
    </row>
    <row r="1584" spans="1:8" x14ac:dyDescent="0.25">
      <c r="A1584" s="16" t="s">
        <v>3310</v>
      </c>
      <c r="B1584" s="17" t="s">
        <v>295</v>
      </c>
      <c r="C1584" s="17" t="s">
        <v>3766</v>
      </c>
      <c r="D1584" s="17" t="s">
        <v>5888</v>
      </c>
      <c r="E1584" s="17">
        <v>79</v>
      </c>
      <c r="F1584" s="27">
        <v>18</v>
      </c>
      <c r="G1584" s="17" t="s">
        <v>2951</v>
      </c>
      <c r="H1584" s="17" t="s">
        <v>3311</v>
      </c>
    </row>
    <row r="1585" spans="1:8" x14ac:dyDescent="0.25">
      <c r="A1585" s="16" t="s">
        <v>3312</v>
      </c>
      <c r="B1585" s="17" t="s">
        <v>23</v>
      </c>
      <c r="C1585" s="17" t="s">
        <v>5889</v>
      </c>
      <c r="D1585" s="17" t="s">
        <v>5890</v>
      </c>
      <c r="E1585" s="17">
        <v>79</v>
      </c>
      <c r="F1585" s="27">
        <v>18</v>
      </c>
      <c r="G1585" s="17" t="s">
        <v>78</v>
      </c>
      <c r="H1585" s="17" t="s">
        <v>78</v>
      </c>
    </row>
    <row r="1586" spans="1:8" x14ac:dyDescent="0.25">
      <c r="A1586" s="16" t="s">
        <v>3313</v>
      </c>
      <c r="B1586" s="17" t="s">
        <v>129</v>
      </c>
      <c r="C1586" s="17" t="s">
        <v>5891</v>
      </c>
      <c r="D1586" s="17" t="s">
        <v>5892</v>
      </c>
      <c r="E1586" s="17">
        <v>80</v>
      </c>
      <c r="F1586" s="27">
        <v>24</v>
      </c>
      <c r="G1586" s="17" t="s">
        <v>3314</v>
      </c>
      <c r="H1586" s="17" t="s">
        <v>3315</v>
      </c>
    </row>
    <row r="1587" spans="1:8" x14ac:dyDescent="0.25">
      <c r="A1587" s="16" t="s">
        <v>3316</v>
      </c>
      <c r="B1587" s="17" t="s">
        <v>480</v>
      </c>
      <c r="C1587" s="17" t="s">
        <v>5893</v>
      </c>
      <c r="D1587" s="17" t="s">
        <v>5894</v>
      </c>
      <c r="E1587" s="17">
        <v>80</v>
      </c>
      <c r="F1587" s="27">
        <v>24</v>
      </c>
      <c r="G1587" s="17" t="s">
        <v>3314</v>
      </c>
      <c r="H1587" s="17" t="s">
        <v>3317</v>
      </c>
    </row>
    <row r="1588" spans="1:8" x14ac:dyDescent="0.25">
      <c r="A1588" s="16" t="s">
        <v>3318</v>
      </c>
      <c r="B1588" s="17" t="s">
        <v>269</v>
      </c>
      <c r="C1588" s="17" t="s">
        <v>4005</v>
      </c>
      <c r="D1588" s="17" t="s">
        <v>5895</v>
      </c>
      <c r="E1588" s="17">
        <v>80</v>
      </c>
      <c r="F1588" s="27">
        <v>24</v>
      </c>
      <c r="G1588" s="17" t="s">
        <v>3314</v>
      </c>
      <c r="H1588" s="17" t="s">
        <v>3319</v>
      </c>
    </row>
    <row r="1589" spans="1:8" x14ac:dyDescent="0.25">
      <c r="A1589" s="16" t="s">
        <v>3320</v>
      </c>
      <c r="B1589" s="17" t="s">
        <v>3321</v>
      </c>
      <c r="C1589" s="17" t="s">
        <v>3843</v>
      </c>
      <c r="D1589" s="17" t="s">
        <v>5896</v>
      </c>
      <c r="E1589" s="17">
        <v>80</v>
      </c>
      <c r="F1589" s="27">
        <v>24</v>
      </c>
      <c r="G1589" s="17" t="s">
        <v>3322</v>
      </c>
      <c r="H1589" s="17" t="s">
        <v>3322</v>
      </c>
    </row>
    <row r="1590" spans="1:8" x14ac:dyDescent="0.25">
      <c r="A1590" s="16" t="s">
        <v>3323</v>
      </c>
      <c r="B1590" s="17" t="s">
        <v>92</v>
      </c>
      <c r="C1590" s="17" t="s">
        <v>3766</v>
      </c>
      <c r="D1590" s="17" t="s">
        <v>5897</v>
      </c>
      <c r="E1590" s="17">
        <v>80</v>
      </c>
      <c r="F1590" s="27">
        <v>24</v>
      </c>
      <c r="G1590" s="17" t="s">
        <v>3322</v>
      </c>
      <c r="H1590" s="17" t="s">
        <v>3324</v>
      </c>
    </row>
    <row r="1591" spans="1:8" x14ac:dyDescent="0.25">
      <c r="A1591" s="16" t="s">
        <v>3325</v>
      </c>
      <c r="B1591" s="17" t="s">
        <v>41</v>
      </c>
      <c r="C1591" s="17" t="s">
        <v>5583</v>
      </c>
      <c r="D1591" s="17" t="s">
        <v>5898</v>
      </c>
      <c r="E1591" s="17">
        <v>80</v>
      </c>
      <c r="F1591" s="27">
        <v>24</v>
      </c>
      <c r="G1591" s="17" t="s">
        <v>3322</v>
      </c>
      <c r="H1591" s="17" t="s">
        <v>359</v>
      </c>
    </row>
    <row r="1592" spans="1:8" x14ac:dyDescent="0.25">
      <c r="A1592" s="16" t="s">
        <v>3326</v>
      </c>
      <c r="B1592" s="17" t="s">
        <v>23</v>
      </c>
      <c r="C1592" s="17" t="s">
        <v>5899</v>
      </c>
      <c r="D1592" s="17" t="s">
        <v>5900</v>
      </c>
      <c r="E1592" s="17">
        <v>80</v>
      </c>
      <c r="F1592" s="27">
        <v>24</v>
      </c>
      <c r="G1592" s="17" t="s">
        <v>3322</v>
      </c>
      <c r="H1592" s="17" t="s">
        <v>3327</v>
      </c>
    </row>
    <row r="1593" spans="1:8" x14ac:dyDescent="0.25">
      <c r="A1593" s="16" t="s">
        <v>3328</v>
      </c>
      <c r="B1593" s="17" t="s">
        <v>157</v>
      </c>
      <c r="C1593" s="17" t="s">
        <v>3871</v>
      </c>
      <c r="D1593" s="17" t="s">
        <v>5901</v>
      </c>
      <c r="E1593" s="17">
        <v>80</v>
      </c>
      <c r="F1593" s="27">
        <v>24</v>
      </c>
      <c r="G1593" s="17" t="s">
        <v>3322</v>
      </c>
      <c r="H1593" s="17" t="s">
        <v>3329</v>
      </c>
    </row>
    <row r="1594" spans="1:8" x14ac:dyDescent="0.25">
      <c r="A1594" s="16" t="s">
        <v>3330</v>
      </c>
      <c r="B1594" s="17" t="s">
        <v>480</v>
      </c>
      <c r="C1594" s="17" t="s">
        <v>3871</v>
      </c>
      <c r="D1594" s="17" t="s">
        <v>5902</v>
      </c>
      <c r="E1594" s="17">
        <v>80</v>
      </c>
      <c r="F1594" s="27">
        <v>24</v>
      </c>
      <c r="G1594" s="17" t="s">
        <v>3331</v>
      </c>
      <c r="H1594" s="17" t="s">
        <v>3332</v>
      </c>
    </row>
    <row r="1595" spans="1:8" x14ac:dyDescent="0.25">
      <c r="A1595" s="16" t="s">
        <v>3333</v>
      </c>
      <c r="B1595" s="17" t="s">
        <v>466</v>
      </c>
      <c r="C1595" s="17" t="s">
        <v>3766</v>
      </c>
      <c r="D1595" s="17" t="s">
        <v>5903</v>
      </c>
      <c r="E1595" s="17">
        <v>80</v>
      </c>
      <c r="F1595" s="27">
        <v>24</v>
      </c>
      <c r="G1595" s="17" t="s">
        <v>3331</v>
      </c>
      <c r="H1595" s="17" t="s">
        <v>3334</v>
      </c>
    </row>
    <row r="1596" spans="1:8" x14ac:dyDescent="0.25">
      <c r="A1596" s="16" t="s">
        <v>3335</v>
      </c>
      <c r="B1596" s="17" t="s">
        <v>166</v>
      </c>
      <c r="C1596" s="17" t="s">
        <v>5904</v>
      </c>
      <c r="D1596" s="17" t="s">
        <v>5905</v>
      </c>
      <c r="E1596" s="17">
        <v>80</v>
      </c>
      <c r="F1596" s="27">
        <v>24</v>
      </c>
      <c r="G1596" s="17" t="s">
        <v>3331</v>
      </c>
      <c r="H1596" s="17" t="s">
        <v>3336</v>
      </c>
    </row>
    <row r="1597" spans="1:8" x14ac:dyDescent="0.25">
      <c r="A1597" s="16" t="s">
        <v>3337</v>
      </c>
      <c r="B1597" s="17" t="s">
        <v>41</v>
      </c>
      <c r="C1597" s="17" t="s">
        <v>3917</v>
      </c>
      <c r="D1597" s="17" t="s">
        <v>5906</v>
      </c>
      <c r="E1597" s="17">
        <v>80</v>
      </c>
      <c r="F1597" s="27">
        <v>24</v>
      </c>
      <c r="G1597" s="17" t="s">
        <v>3331</v>
      </c>
      <c r="H1597" s="17" t="s">
        <v>3338</v>
      </c>
    </row>
    <row r="1598" spans="1:8" x14ac:dyDescent="0.25">
      <c r="A1598" s="16" t="s">
        <v>3339</v>
      </c>
      <c r="B1598" s="17" t="s">
        <v>517</v>
      </c>
      <c r="C1598" s="17" t="s">
        <v>3766</v>
      </c>
      <c r="D1598" s="17" t="s">
        <v>5907</v>
      </c>
      <c r="E1598" s="17">
        <v>80</v>
      </c>
      <c r="F1598" s="27">
        <v>24</v>
      </c>
      <c r="G1598" s="17" t="s">
        <v>3331</v>
      </c>
      <c r="H1598" s="17" t="s">
        <v>3340</v>
      </c>
    </row>
    <row r="1599" spans="1:8" x14ac:dyDescent="0.25">
      <c r="A1599" s="16" t="s">
        <v>3341</v>
      </c>
      <c r="B1599" s="17" t="s">
        <v>1286</v>
      </c>
      <c r="C1599" s="17" t="s">
        <v>4037</v>
      </c>
      <c r="D1599" s="17" t="s">
        <v>5908</v>
      </c>
      <c r="E1599" s="17">
        <v>80</v>
      </c>
      <c r="F1599" s="27">
        <v>24</v>
      </c>
      <c r="G1599" s="17" t="s">
        <v>3331</v>
      </c>
      <c r="H1599" s="17" t="s">
        <v>3342</v>
      </c>
    </row>
    <row r="1600" spans="1:8" x14ac:dyDescent="0.25">
      <c r="A1600" s="16" t="s">
        <v>3343</v>
      </c>
      <c r="B1600" s="17" t="s">
        <v>72</v>
      </c>
      <c r="C1600" s="17" t="s">
        <v>5909</v>
      </c>
      <c r="D1600" s="17" t="s">
        <v>5910</v>
      </c>
      <c r="E1600" s="17">
        <v>80</v>
      </c>
      <c r="F1600" s="27">
        <v>24</v>
      </c>
      <c r="G1600" s="17" t="s">
        <v>456</v>
      </c>
      <c r="H1600" s="17" t="s">
        <v>3344</v>
      </c>
    </row>
    <row r="1601" spans="1:8" x14ac:dyDescent="0.25">
      <c r="A1601" s="16" t="s">
        <v>3345</v>
      </c>
      <c r="B1601" s="17" t="s">
        <v>120</v>
      </c>
      <c r="C1601" s="17" t="s">
        <v>5911</v>
      </c>
      <c r="D1601" s="17" t="s">
        <v>5912</v>
      </c>
      <c r="E1601" s="17">
        <v>80</v>
      </c>
      <c r="F1601" s="27">
        <v>24</v>
      </c>
      <c r="G1601" s="17" t="s">
        <v>456</v>
      </c>
      <c r="H1601" s="17" t="s">
        <v>3346</v>
      </c>
    </row>
    <row r="1602" spans="1:8" x14ac:dyDescent="0.25">
      <c r="A1602" s="16" t="s">
        <v>3347</v>
      </c>
      <c r="B1602" s="17" t="s">
        <v>117</v>
      </c>
      <c r="C1602" s="17" t="s">
        <v>3758</v>
      </c>
      <c r="D1602" s="17" t="s">
        <v>4961</v>
      </c>
      <c r="E1602" s="17">
        <v>80</v>
      </c>
      <c r="F1602" s="27">
        <v>24</v>
      </c>
      <c r="G1602" s="17" t="s">
        <v>3348</v>
      </c>
      <c r="H1602" s="17" t="s">
        <v>3349</v>
      </c>
    </row>
    <row r="1603" spans="1:8" x14ac:dyDescent="0.25">
      <c r="A1603" s="16" t="s">
        <v>3350</v>
      </c>
      <c r="B1603" s="17" t="s">
        <v>1529</v>
      </c>
      <c r="C1603" s="17" t="s">
        <v>5913</v>
      </c>
      <c r="D1603" s="17" t="s">
        <v>5914</v>
      </c>
      <c r="E1603" s="17">
        <v>80</v>
      </c>
      <c r="F1603" s="27">
        <v>24</v>
      </c>
      <c r="G1603" s="17" t="s">
        <v>3348</v>
      </c>
      <c r="H1603" s="17" t="s">
        <v>3351</v>
      </c>
    </row>
    <row r="1604" spans="1:8" x14ac:dyDescent="0.25">
      <c r="A1604" s="16" t="s">
        <v>3352</v>
      </c>
      <c r="B1604" s="17" t="s">
        <v>480</v>
      </c>
      <c r="C1604" s="17" t="s">
        <v>5915</v>
      </c>
      <c r="D1604" s="17" t="s">
        <v>5916</v>
      </c>
      <c r="E1604" s="17">
        <v>80</v>
      </c>
      <c r="F1604" s="27">
        <v>24</v>
      </c>
      <c r="G1604" s="17" t="s">
        <v>3348</v>
      </c>
      <c r="H1604" s="17" t="s">
        <v>3353</v>
      </c>
    </row>
    <row r="1605" spans="1:8" x14ac:dyDescent="0.25">
      <c r="A1605" s="16" t="s">
        <v>3354</v>
      </c>
      <c r="B1605" s="17" t="s">
        <v>166</v>
      </c>
      <c r="C1605" s="17" t="s">
        <v>5917</v>
      </c>
      <c r="D1605" s="17" t="s">
        <v>5918</v>
      </c>
      <c r="E1605" s="17">
        <v>81</v>
      </c>
      <c r="F1605" s="27">
        <v>16</v>
      </c>
      <c r="G1605" s="17" t="s">
        <v>521</v>
      </c>
      <c r="H1605" s="17" t="s">
        <v>1306</v>
      </c>
    </row>
    <row r="1606" spans="1:8" x14ac:dyDescent="0.25">
      <c r="A1606" s="16" t="s">
        <v>3355</v>
      </c>
      <c r="B1606" s="17" t="s">
        <v>3356</v>
      </c>
      <c r="C1606" s="17" t="s">
        <v>5919</v>
      </c>
      <c r="D1606" s="17" t="s">
        <v>5920</v>
      </c>
      <c r="E1606" s="17">
        <v>81</v>
      </c>
      <c r="F1606" s="27">
        <v>16</v>
      </c>
      <c r="G1606" s="17" t="s">
        <v>521</v>
      </c>
      <c r="H1606" s="17" t="s">
        <v>1113</v>
      </c>
    </row>
    <row r="1607" spans="1:8" x14ac:dyDescent="0.25">
      <c r="A1607" s="16" t="s">
        <v>3357</v>
      </c>
      <c r="B1607" s="17" t="s">
        <v>166</v>
      </c>
      <c r="C1607" s="17" t="s">
        <v>4565</v>
      </c>
      <c r="D1607" s="17" t="s">
        <v>5921</v>
      </c>
      <c r="E1607" s="17">
        <v>81</v>
      </c>
      <c r="F1607" s="27">
        <v>16</v>
      </c>
      <c r="G1607" s="17" t="s">
        <v>521</v>
      </c>
      <c r="H1607" s="17" t="s">
        <v>3358</v>
      </c>
    </row>
    <row r="1608" spans="1:8" x14ac:dyDescent="0.25">
      <c r="A1608" s="16" t="s">
        <v>3359</v>
      </c>
      <c r="B1608" s="17" t="s">
        <v>41</v>
      </c>
      <c r="C1608" s="17" t="s">
        <v>5922</v>
      </c>
      <c r="D1608" s="17" t="s">
        <v>5923</v>
      </c>
      <c r="E1608" s="17">
        <v>81</v>
      </c>
      <c r="F1608" s="27">
        <v>16</v>
      </c>
      <c r="G1608" s="17" t="s">
        <v>521</v>
      </c>
      <c r="H1608" s="17" t="s">
        <v>3360</v>
      </c>
    </row>
    <row r="1609" spans="1:8" x14ac:dyDescent="0.25">
      <c r="A1609" s="16" t="s">
        <v>3361</v>
      </c>
      <c r="B1609" s="17" t="s">
        <v>166</v>
      </c>
      <c r="C1609" s="17" t="s">
        <v>5924</v>
      </c>
      <c r="D1609" s="17" t="s">
        <v>5925</v>
      </c>
      <c r="E1609" s="17">
        <v>81</v>
      </c>
      <c r="F1609" s="27">
        <v>16</v>
      </c>
      <c r="G1609" s="17" t="s">
        <v>521</v>
      </c>
      <c r="H1609" s="17" t="s">
        <v>645</v>
      </c>
    </row>
    <row r="1610" spans="1:8" x14ac:dyDescent="0.25">
      <c r="A1610" s="16" t="s">
        <v>3362</v>
      </c>
      <c r="B1610" s="17" t="s">
        <v>3363</v>
      </c>
      <c r="C1610" s="17" t="s">
        <v>5926</v>
      </c>
      <c r="D1610" s="17" t="s">
        <v>5927</v>
      </c>
      <c r="E1610" s="17">
        <v>81</v>
      </c>
      <c r="F1610" s="27">
        <v>16</v>
      </c>
      <c r="G1610" s="17" t="s">
        <v>521</v>
      </c>
      <c r="H1610" s="17" t="s">
        <v>3364</v>
      </c>
    </row>
    <row r="1611" spans="1:8" x14ac:dyDescent="0.25">
      <c r="A1611" s="16" t="s">
        <v>3365</v>
      </c>
      <c r="B1611" s="17" t="s">
        <v>443</v>
      </c>
      <c r="C1611" s="17" t="s">
        <v>3766</v>
      </c>
      <c r="D1611" s="17" t="s">
        <v>5928</v>
      </c>
      <c r="E1611" s="17">
        <v>81</v>
      </c>
      <c r="F1611" s="27">
        <v>16</v>
      </c>
      <c r="G1611" s="17" t="s">
        <v>521</v>
      </c>
      <c r="H1611" s="17" t="s">
        <v>3366</v>
      </c>
    </row>
    <row r="1612" spans="1:8" x14ac:dyDescent="0.25">
      <c r="A1612" s="16" t="s">
        <v>3367</v>
      </c>
      <c r="B1612" s="17" t="s">
        <v>261</v>
      </c>
      <c r="C1612" s="17" t="s">
        <v>5929</v>
      </c>
      <c r="D1612" s="17" t="s">
        <v>5930</v>
      </c>
      <c r="E1612" s="17">
        <v>81</v>
      </c>
      <c r="F1612" s="27">
        <v>16</v>
      </c>
      <c r="G1612" s="17" t="s">
        <v>521</v>
      </c>
      <c r="H1612" s="17" t="s">
        <v>3368</v>
      </c>
    </row>
    <row r="1613" spans="1:8" x14ac:dyDescent="0.25">
      <c r="A1613" s="16" t="s">
        <v>3369</v>
      </c>
      <c r="B1613" s="17" t="s">
        <v>254</v>
      </c>
      <c r="C1613" s="17" t="s">
        <v>4112</v>
      </c>
      <c r="D1613" s="17" t="s">
        <v>5931</v>
      </c>
      <c r="E1613" s="17">
        <v>81</v>
      </c>
      <c r="F1613" s="27">
        <v>16</v>
      </c>
      <c r="G1613" s="17" t="s">
        <v>521</v>
      </c>
      <c r="H1613" s="17" t="s">
        <v>3370</v>
      </c>
    </row>
    <row r="1614" spans="1:8" x14ac:dyDescent="0.25">
      <c r="A1614" s="16" t="s">
        <v>3371</v>
      </c>
      <c r="B1614" s="17" t="s">
        <v>72</v>
      </c>
      <c r="C1614" s="17" t="s">
        <v>5932</v>
      </c>
      <c r="D1614" s="17" t="s">
        <v>5933</v>
      </c>
      <c r="E1614" s="17">
        <v>81</v>
      </c>
      <c r="F1614" s="27">
        <v>16</v>
      </c>
      <c r="G1614" s="17" t="s">
        <v>521</v>
      </c>
      <c r="H1614" s="17" t="s">
        <v>3372</v>
      </c>
    </row>
    <row r="1615" spans="1:8" x14ac:dyDescent="0.25">
      <c r="A1615" s="16" t="s">
        <v>3373</v>
      </c>
      <c r="B1615" s="17" t="s">
        <v>41</v>
      </c>
      <c r="C1615" s="17" t="s">
        <v>3766</v>
      </c>
      <c r="D1615" s="17" t="s">
        <v>5934</v>
      </c>
      <c r="E1615" s="17">
        <v>81</v>
      </c>
      <c r="F1615" s="27">
        <v>16</v>
      </c>
      <c r="G1615" s="17" t="s">
        <v>521</v>
      </c>
      <c r="H1615" s="17" t="s">
        <v>3374</v>
      </c>
    </row>
    <row r="1616" spans="1:8" x14ac:dyDescent="0.25">
      <c r="A1616" s="16" t="s">
        <v>3375</v>
      </c>
      <c r="B1616" s="17" t="s">
        <v>3376</v>
      </c>
      <c r="C1616" s="17" t="s">
        <v>5935</v>
      </c>
      <c r="D1616" s="17" t="s">
        <v>5936</v>
      </c>
      <c r="E1616" s="17">
        <v>81</v>
      </c>
      <c r="F1616" s="27">
        <v>16</v>
      </c>
      <c r="G1616" s="17" t="s">
        <v>521</v>
      </c>
      <c r="H1616" s="17" t="s">
        <v>3377</v>
      </c>
    </row>
    <row r="1617" spans="1:8" x14ac:dyDescent="0.25">
      <c r="A1617" s="16" t="s">
        <v>3378</v>
      </c>
      <c r="B1617" s="17" t="s">
        <v>3379</v>
      </c>
      <c r="C1617" s="17" t="s">
        <v>4349</v>
      </c>
      <c r="D1617" s="17" t="s">
        <v>5937</v>
      </c>
      <c r="E1617" s="17">
        <v>81</v>
      </c>
      <c r="F1617" s="27">
        <v>16</v>
      </c>
      <c r="G1617" s="17" t="s">
        <v>521</v>
      </c>
      <c r="H1617" s="17" t="s">
        <v>3379</v>
      </c>
    </row>
    <row r="1618" spans="1:8" x14ac:dyDescent="0.25">
      <c r="A1618" s="16" t="s">
        <v>3380</v>
      </c>
      <c r="B1618" s="17" t="s">
        <v>129</v>
      </c>
      <c r="C1618" s="17" t="s">
        <v>5938</v>
      </c>
      <c r="D1618" s="17" t="s">
        <v>5939</v>
      </c>
      <c r="E1618" s="17">
        <v>81</v>
      </c>
      <c r="F1618" s="27">
        <v>16</v>
      </c>
      <c r="G1618" s="17" t="s">
        <v>521</v>
      </c>
      <c r="H1618" s="17" t="s">
        <v>3381</v>
      </c>
    </row>
    <row r="1619" spans="1:8" x14ac:dyDescent="0.25">
      <c r="A1619" s="16" t="s">
        <v>3382</v>
      </c>
      <c r="B1619" s="17" t="s">
        <v>166</v>
      </c>
      <c r="C1619" s="17" t="s">
        <v>5940</v>
      </c>
      <c r="D1619" s="17" t="s">
        <v>5941</v>
      </c>
      <c r="E1619" s="17">
        <v>81</v>
      </c>
      <c r="F1619" s="27">
        <v>16</v>
      </c>
      <c r="G1619" s="17" t="s">
        <v>521</v>
      </c>
      <c r="H1619" s="17" t="s">
        <v>2851</v>
      </c>
    </row>
    <row r="1620" spans="1:8" x14ac:dyDescent="0.25">
      <c r="A1620" s="16" t="s">
        <v>3383</v>
      </c>
      <c r="B1620" s="17" t="s">
        <v>166</v>
      </c>
      <c r="C1620" s="17" t="s">
        <v>5942</v>
      </c>
      <c r="D1620" s="17" t="s">
        <v>5943</v>
      </c>
      <c r="E1620" s="17">
        <v>81</v>
      </c>
      <c r="F1620" s="27">
        <v>16</v>
      </c>
      <c r="G1620" s="17" t="s">
        <v>521</v>
      </c>
      <c r="H1620" s="17" t="s">
        <v>3384</v>
      </c>
    </row>
    <row r="1621" spans="1:8" x14ac:dyDescent="0.25">
      <c r="A1621" s="16" t="s">
        <v>3385</v>
      </c>
      <c r="B1621" s="17" t="s">
        <v>166</v>
      </c>
      <c r="C1621" s="17" t="s">
        <v>3766</v>
      </c>
      <c r="D1621" s="17" t="s">
        <v>5944</v>
      </c>
      <c r="E1621" s="17">
        <v>82</v>
      </c>
      <c r="F1621" s="16">
        <v>3</v>
      </c>
      <c r="G1621" s="17" t="s">
        <v>327</v>
      </c>
      <c r="H1621" s="17" t="s">
        <v>3386</v>
      </c>
    </row>
    <row r="1622" spans="1:8" x14ac:dyDescent="0.25">
      <c r="A1622" s="16" t="s">
        <v>3387</v>
      </c>
      <c r="B1622" s="17" t="s">
        <v>157</v>
      </c>
      <c r="C1622" s="17" t="s">
        <v>3766</v>
      </c>
      <c r="D1622" s="17" t="s">
        <v>5945</v>
      </c>
      <c r="E1622" s="17">
        <v>82</v>
      </c>
      <c r="F1622" s="16">
        <v>3</v>
      </c>
      <c r="G1622" s="17" t="s">
        <v>327</v>
      </c>
      <c r="H1622" s="17" t="s">
        <v>3388</v>
      </c>
    </row>
    <row r="1623" spans="1:8" x14ac:dyDescent="0.25">
      <c r="A1623" s="16" t="s">
        <v>3389</v>
      </c>
      <c r="B1623" s="17" t="s">
        <v>166</v>
      </c>
      <c r="C1623" s="17" t="s">
        <v>3766</v>
      </c>
      <c r="D1623" s="17" t="s">
        <v>5946</v>
      </c>
      <c r="E1623" s="17">
        <v>82</v>
      </c>
      <c r="F1623" s="16">
        <v>3</v>
      </c>
      <c r="G1623" s="17" t="s">
        <v>327</v>
      </c>
      <c r="H1623" s="17" t="s">
        <v>273</v>
      </c>
    </row>
    <row r="1624" spans="1:8" x14ac:dyDescent="0.25">
      <c r="A1624" s="16" t="s">
        <v>3390</v>
      </c>
      <c r="B1624" s="17" t="s">
        <v>166</v>
      </c>
      <c r="C1624" s="17" t="s">
        <v>3814</v>
      </c>
      <c r="D1624" s="17" t="s">
        <v>5947</v>
      </c>
      <c r="E1624" s="17">
        <v>82</v>
      </c>
      <c r="F1624" s="16">
        <v>3</v>
      </c>
      <c r="G1624" s="17" t="s">
        <v>330</v>
      </c>
      <c r="H1624" s="17" t="s">
        <v>3391</v>
      </c>
    </row>
    <row r="1625" spans="1:8" x14ac:dyDescent="0.25">
      <c r="A1625" s="16" t="s">
        <v>3392</v>
      </c>
      <c r="B1625" s="17" t="s">
        <v>97</v>
      </c>
      <c r="C1625" s="17" t="s">
        <v>3814</v>
      </c>
      <c r="D1625" s="17" t="s">
        <v>5948</v>
      </c>
      <c r="E1625" s="17">
        <v>82</v>
      </c>
      <c r="F1625" s="16">
        <v>3</v>
      </c>
      <c r="G1625" s="17" t="s">
        <v>330</v>
      </c>
      <c r="H1625" s="17" t="s">
        <v>3393</v>
      </c>
    </row>
    <row r="1626" spans="1:8" x14ac:dyDescent="0.25">
      <c r="A1626" s="16" t="s">
        <v>3394</v>
      </c>
      <c r="B1626" s="17" t="s">
        <v>151</v>
      </c>
      <c r="C1626" s="17" t="s">
        <v>5949</v>
      </c>
      <c r="D1626" s="17" t="s">
        <v>5515</v>
      </c>
      <c r="E1626" s="17">
        <v>82</v>
      </c>
      <c r="F1626" s="16">
        <v>3</v>
      </c>
      <c r="G1626" s="17" t="s">
        <v>2133</v>
      </c>
      <c r="H1626" s="17" t="s">
        <v>3395</v>
      </c>
    </row>
    <row r="1627" spans="1:8" x14ac:dyDescent="0.25">
      <c r="A1627" s="16" t="s">
        <v>3396</v>
      </c>
      <c r="B1627" s="17" t="s">
        <v>3397</v>
      </c>
      <c r="C1627" s="17" t="s">
        <v>5210</v>
      </c>
      <c r="D1627" s="17" t="s">
        <v>5950</v>
      </c>
      <c r="E1627" s="17">
        <v>82</v>
      </c>
      <c r="F1627" s="16">
        <v>3</v>
      </c>
      <c r="G1627" s="17" t="s">
        <v>3398</v>
      </c>
      <c r="H1627" s="17" t="s">
        <v>3399</v>
      </c>
    </row>
    <row r="1628" spans="1:8" x14ac:dyDescent="0.25">
      <c r="A1628" s="16" t="s">
        <v>3400</v>
      </c>
      <c r="B1628" s="17" t="s">
        <v>151</v>
      </c>
      <c r="C1628" s="17" t="s">
        <v>5951</v>
      </c>
      <c r="D1628" s="17" t="s">
        <v>5952</v>
      </c>
      <c r="E1628" s="17">
        <v>82</v>
      </c>
      <c r="F1628" s="16">
        <v>3</v>
      </c>
      <c r="G1628" s="17" t="s">
        <v>337</v>
      </c>
      <c r="H1628" s="17" t="s">
        <v>506</v>
      </c>
    </row>
    <row r="1629" spans="1:8" x14ac:dyDescent="0.25">
      <c r="A1629" s="16" t="s">
        <v>3401</v>
      </c>
      <c r="B1629" s="17" t="s">
        <v>172</v>
      </c>
      <c r="C1629" s="17" t="s">
        <v>5953</v>
      </c>
      <c r="D1629" s="17" t="s">
        <v>5954</v>
      </c>
      <c r="E1629" s="17">
        <v>82</v>
      </c>
      <c r="F1629" s="16">
        <v>3</v>
      </c>
      <c r="G1629" s="17" t="s">
        <v>337</v>
      </c>
      <c r="H1629" s="17" t="s">
        <v>3402</v>
      </c>
    </row>
    <row r="1630" spans="1:8" x14ac:dyDescent="0.25">
      <c r="A1630" s="16" t="s">
        <v>3403</v>
      </c>
      <c r="B1630" s="17" t="s">
        <v>443</v>
      </c>
      <c r="C1630" s="17" t="s">
        <v>3766</v>
      </c>
      <c r="D1630" s="17" t="s">
        <v>5955</v>
      </c>
      <c r="E1630" s="17">
        <v>82</v>
      </c>
      <c r="F1630" s="16">
        <v>3</v>
      </c>
      <c r="G1630" s="17" t="s">
        <v>347</v>
      </c>
      <c r="H1630" s="17" t="s">
        <v>3404</v>
      </c>
    </row>
    <row r="1631" spans="1:8" x14ac:dyDescent="0.25">
      <c r="A1631" s="16" t="s">
        <v>3405</v>
      </c>
      <c r="B1631" s="17" t="s">
        <v>23</v>
      </c>
      <c r="C1631" s="17" t="s">
        <v>3766</v>
      </c>
      <c r="D1631" s="17" t="s">
        <v>5956</v>
      </c>
      <c r="E1631" s="17">
        <v>82</v>
      </c>
      <c r="F1631" s="16">
        <v>3</v>
      </c>
      <c r="G1631" s="17" t="s">
        <v>353</v>
      </c>
      <c r="H1631" s="17" t="s">
        <v>3406</v>
      </c>
    </row>
    <row r="1632" spans="1:8" x14ac:dyDescent="0.25">
      <c r="A1632" s="16" t="s">
        <v>3407</v>
      </c>
      <c r="B1632" s="17" t="s">
        <v>1029</v>
      </c>
      <c r="C1632" s="17" t="s">
        <v>3766</v>
      </c>
      <c r="D1632" s="17" t="s">
        <v>5957</v>
      </c>
      <c r="E1632" s="17">
        <v>82</v>
      </c>
      <c r="F1632" s="16">
        <v>3</v>
      </c>
      <c r="G1632" s="17" t="s">
        <v>353</v>
      </c>
      <c r="H1632" s="17" t="s">
        <v>3408</v>
      </c>
    </row>
    <row r="1633" spans="1:8" x14ac:dyDescent="0.25">
      <c r="A1633" s="16" t="s">
        <v>3409</v>
      </c>
      <c r="B1633" s="17" t="s">
        <v>95</v>
      </c>
      <c r="C1633" s="17" t="s">
        <v>4339</v>
      </c>
      <c r="D1633" s="17" t="s">
        <v>5958</v>
      </c>
      <c r="E1633" s="17">
        <v>82</v>
      </c>
      <c r="F1633" s="16">
        <v>3</v>
      </c>
      <c r="G1633" s="17" t="s">
        <v>370</v>
      </c>
      <c r="H1633" s="17" t="s">
        <v>3410</v>
      </c>
    </row>
    <row r="1634" spans="1:8" x14ac:dyDescent="0.25">
      <c r="A1634" s="16" t="s">
        <v>3411</v>
      </c>
      <c r="B1634" s="17" t="s">
        <v>166</v>
      </c>
      <c r="C1634" s="17" t="s">
        <v>3766</v>
      </c>
      <c r="D1634" s="17" t="s">
        <v>5959</v>
      </c>
      <c r="E1634" s="17">
        <v>82</v>
      </c>
      <c r="F1634" s="16">
        <v>3</v>
      </c>
      <c r="G1634" s="17" t="s">
        <v>370</v>
      </c>
      <c r="H1634" s="17" t="s">
        <v>3412</v>
      </c>
    </row>
    <row r="1635" spans="1:8" x14ac:dyDescent="0.25">
      <c r="A1635" s="16" t="s">
        <v>3413</v>
      </c>
      <c r="B1635" s="17" t="s">
        <v>166</v>
      </c>
      <c r="C1635" s="17" t="s">
        <v>3766</v>
      </c>
      <c r="D1635" s="17" t="s">
        <v>5960</v>
      </c>
      <c r="E1635" s="17">
        <v>82</v>
      </c>
      <c r="F1635" s="16">
        <v>3</v>
      </c>
      <c r="G1635" s="17" t="s">
        <v>380</v>
      </c>
      <c r="H1635" s="17" t="s">
        <v>3414</v>
      </c>
    </row>
    <row r="1636" spans="1:8" x14ac:dyDescent="0.25">
      <c r="A1636" s="16" t="s">
        <v>3415</v>
      </c>
      <c r="B1636" s="17" t="s">
        <v>41</v>
      </c>
      <c r="C1636" s="17" t="s">
        <v>3766</v>
      </c>
      <c r="D1636" s="17" t="s">
        <v>5961</v>
      </c>
      <c r="E1636" s="17">
        <v>82</v>
      </c>
      <c r="F1636" s="16">
        <v>3</v>
      </c>
      <c r="G1636" s="17" t="s">
        <v>380</v>
      </c>
      <c r="H1636" s="17" t="s">
        <v>3416</v>
      </c>
    </row>
    <row r="1637" spans="1:8" x14ac:dyDescent="0.25">
      <c r="A1637" s="16" t="s">
        <v>3417</v>
      </c>
      <c r="B1637" s="17" t="s">
        <v>57</v>
      </c>
      <c r="C1637" s="17" t="s">
        <v>3766</v>
      </c>
      <c r="D1637" s="17" t="s">
        <v>5962</v>
      </c>
      <c r="E1637" s="17">
        <v>82</v>
      </c>
      <c r="F1637" s="16">
        <v>3</v>
      </c>
      <c r="G1637" s="17" t="s">
        <v>380</v>
      </c>
      <c r="H1637" s="17" t="s">
        <v>3418</v>
      </c>
    </row>
    <row r="1638" spans="1:8" x14ac:dyDescent="0.25">
      <c r="A1638" s="16" t="s">
        <v>3419</v>
      </c>
      <c r="B1638" s="17" t="s">
        <v>3420</v>
      </c>
      <c r="C1638" s="17" t="s">
        <v>3766</v>
      </c>
      <c r="D1638" s="17" t="s">
        <v>5963</v>
      </c>
      <c r="E1638" s="17">
        <v>82</v>
      </c>
      <c r="F1638" s="16">
        <v>3</v>
      </c>
      <c r="G1638" s="17" t="s">
        <v>380</v>
      </c>
      <c r="H1638" s="17" t="s">
        <v>3421</v>
      </c>
    </row>
    <row r="1639" spans="1:8" x14ac:dyDescent="0.25">
      <c r="A1639" s="16" t="s">
        <v>3422</v>
      </c>
      <c r="B1639" s="17" t="s">
        <v>166</v>
      </c>
      <c r="C1639" s="17" t="s">
        <v>5964</v>
      </c>
      <c r="D1639" s="17" t="s">
        <v>5965</v>
      </c>
      <c r="E1639" s="17">
        <v>83</v>
      </c>
      <c r="F1639" s="16">
        <v>3</v>
      </c>
      <c r="G1639" s="17" t="s">
        <v>3423</v>
      </c>
      <c r="H1639" s="17" t="s">
        <v>3424</v>
      </c>
    </row>
    <row r="1640" spans="1:8" x14ac:dyDescent="0.25">
      <c r="A1640" s="16" t="s">
        <v>3425</v>
      </c>
      <c r="B1640" s="17" t="s">
        <v>166</v>
      </c>
      <c r="C1640" s="17" t="s">
        <v>5966</v>
      </c>
      <c r="D1640" s="17" t="s">
        <v>5967</v>
      </c>
      <c r="E1640" s="17">
        <v>83</v>
      </c>
      <c r="F1640" s="16">
        <v>3</v>
      </c>
      <c r="G1640" s="17" t="s">
        <v>3423</v>
      </c>
      <c r="H1640" s="17" t="s">
        <v>3426</v>
      </c>
    </row>
    <row r="1641" spans="1:8" x14ac:dyDescent="0.25">
      <c r="A1641" s="16" t="s">
        <v>3427</v>
      </c>
      <c r="B1641" s="17" t="s">
        <v>166</v>
      </c>
      <c r="C1641" s="17" t="s">
        <v>3758</v>
      </c>
      <c r="D1641" s="17" t="s">
        <v>5968</v>
      </c>
      <c r="E1641" s="17">
        <v>83</v>
      </c>
      <c r="F1641" s="16">
        <v>3</v>
      </c>
      <c r="G1641" s="17" t="s">
        <v>3423</v>
      </c>
      <c r="H1641" s="17" t="s">
        <v>3428</v>
      </c>
    </row>
    <row r="1642" spans="1:8" x14ac:dyDescent="0.25">
      <c r="A1642" s="16" t="s">
        <v>3429</v>
      </c>
      <c r="B1642" s="17" t="s">
        <v>166</v>
      </c>
      <c r="C1642" s="17" t="s">
        <v>3766</v>
      </c>
      <c r="D1642" s="17" t="s">
        <v>5820</v>
      </c>
      <c r="E1642" s="17">
        <v>83</v>
      </c>
      <c r="F1642" s="16">
        <v>3</v>
      </c>
      <c r="G1642" s="17" t="s">
        <v>2177</v>
      </c>
      <c r="H1642" s="17" t="s">
        <v>1859</v>
      </c>
    </row>
    <row r="1643" spans="1:8" x14ac:dyDescent="0.25">
      <c r="A1643" s="16" t="s">
        <v>3430</v>
      </c>
      <c r="B1643" s="17" t="s">
        <v>49</v>
      </c>
      <c r="C1643" s="17" t="s">
        <v>5135</v>
      </c>
      <c r="D1643" s="17" t="s">
        <v>5969</v>
      </c>
      <c r="E1643" s="17">
        <v>83</v>
      </c>
      <c r="F1643" s="16">
        <v>3</v>
      </c>
      <c r="G1643" s="17" t="s">
        <v>3431</v>
      </c>
      <c r="H1643" s="17" t="s">
        <v>3431</v>
      </c>
    </row>
    <row r="1644" spans="1:8" x14ac:dyDescent="0.25">
      <c r="A1644" s="16" t="s">
        <v>3432</v>
      </c>
      <c r="B1644" s="17" t="s">
        <v>3433</v>
      </c>
      <c r="C1644" s="17" t="s">
        <v>3766</v>
      </c>
      <c r="D1644" s="17" t="s">
        <v>5970</v>
      </c>
      <c r="E1644" s="17">
        <v>83</v>
      </c>
      <c r="F1644" s="16">
        <v>3</v>
      </c>
      <c r="G1644" s="17" t="s">
        <v>2195</v>
      </c>
      <c r="H1644" s="17" t="s">
        <v>3434</v>
      </c>
    </row>
    <row r="1645" spans="1:8" x14ac:dyDescent="0.25">
      <c r="A1645" s="16" t="s">
        <v>3435</v>
      </c>
      <c r="B1645" s="17" t="s">
        <v>80</v>
      </c>
      <c r="C1645" s="17" t="s">
        <v>3766</v>
      </c>
      <c r="D1645" s="17" t="s">
        <v>5971</v>
      </c>
      <c r="E1645" s="17">
        <v>83</v>
      </c>
      <c r="F1645" s="16">
        <v>3</v>
      </c>
      <c r="G1645" s="17" t="s">
        <v>2195</v>
      </c>
      <c r="H1645" s="17" t="s">
        <v>3436</v>
      </c>
    </row>
    <row r="1646" spans="1:8" x14ac:dyDescent="0.25">
      <c r="A1646" s="16" t="s">
        <v>3437</v>
      </c>
      <c r="B1646" s="17" t="s">
        <v>289</v>
      </c>
      <c r="C1646" s="17" t="s">
        <v>3766</v>
      </c>
      <c r="D1646" s="17" t="s">
        <v>5972</v>
      </c>
      <c r="E1646" s="17">
        <v>83</v>
      </c>
      <c r="F1646" s="16">
        <v>3</v>
      </c>
      <c r="G1646" s="17" t="s">
        <v>2195</v>
      </c>
      <c r="H1646" s="17" t="s">
        <v>3438</v>
      </c>
    </row>
    <row r="1647" spans="1:8" x14ac:dyDescent="0.25">
      <c r="A1647" s="16" t="s">
        <v>3439</v>
      </c>
      <c r="B1647" s="17" t="s">
        <v>3440</v>
      </c>
      <c r="C1647" s="17" t="s">
        <v>3766</v>
      </c>
      <c r="D1647" s="17" t="s">
        <v>5973</v>
      </c>
      <c r="E1647" s="17">
        <v>83</v>
      </c>
      <c r="F1647" s="16">
        <v>3</v>
      </c>
      <c r="G1647" s="17" t="s">
        <v>2195</v>
      </c>
      <c r="H1647" s="17" t="s">
        <v>3441</v>
      </c>
    </row>
    <row r="1648" spans="1:8" x14ac:dyDescent="0.25">
      <c r="A1648" s="16" t="s">
        <v>3442</v>
      </c>
      <c r="B1648" s="17" t="s">
        <v>298</v>
      </c>
      <c r="C1648" s="17" t="s">
        <v>3766</v>
      </c>
      <c r="D1648" s="17" t="s">
        <v>5974</v>
      </c>
      <c r="E1648" s="17">
        <v>83</v>
      </c>
      <c r="F1648" s="16">
        <v>3</v>
      </c>
      <c r="G1648" s="17" t="s">
        <v>2195</v>
      </c>
      <c r="H1648" s="17" t="s">
        <v>3443</v>
      </c>
    </row>
    <row r="1649" spans="1:8" x14ac:dyDescent="0.25">
      <c r="A1649" s="16" t="s">
        <v>3444</v>
      </c>
      <c r="B1649" s="17" t="s">
        <v>172</v>
      </c>
      <c r="C1649" s="17" t="s">
        <v>3766</v>
      </c>
      <c r="D1649" s="17" t="s">
        <v>5975</v>
      </c>
      <c r="E1649" s="17">
        <v>83</v>
      </c>
      <c r="F1649" s="16">
        <v>3</v>
      </c>
      <c r="G1649" s="17" t="s">
        <v>2195</v>
      </c>
      <c r="H1649" s="17" t="s">
        <v>3445</v>
      </c>
    </row>
    <row r="1650" spans="1:8" x14ac:dyDescent="0.25">
      <c r="A1650" s="16" t="s">
        <v>3446</v>
      </c>
      <c r="B1650" s="17" t="s">
        <v>57</v>
      </c>
      <c r="C1650" s="17" t="s">
        <v>3766</v>
      </c>
      <c r="D1650" s="17" t="s">
        <v>5976</v>
      </c>
      <c r="E1650" s="17">
        <v>83</v>
      </c>
      <c r="F1650" s="16">
        <v>3</v>
      </c>
      <c r="G1650" s="17" t="s">
        <v>2195</v>
      </c>
      <c r="H1650" s="17" t="s">
        <v>822</v>
      </c>
    </row>
    <row r="1651" spans="1:8" x14ac:dyDescent="0.25">
      <c r="A1651" s="16" t="s">
        <v>3447</v>
      </c>
      <c r="B1651" s="17" t="s">
        <v>424</v>
      </c>
      <c r="C1651" s="17" t="s">
        <v>3766</v>
      </c>
      <c r="D1651" s="17" t="s">
        <v>5977</v>
      </c>
      <c r="E1651" s="17">
        <v>83</v>
      </c>
      <c r="F1651" s="16">
        <v>3</v>
      </c>
      <c r="G1651" s="17" t="s">
        <v>2195</v>
      </c>
      <c r="H1651" s="17" t="s">
        <v>3448</v>
      </c>
    </row>
    <row r="1652" spans="1:8" x14ac:dyDescent="0.25">
      <c r="A1652" s="16" t="s">
        <v>3449</v>
      </c>
      <c r="B1652" s="17" t="s">
        <v>2937</v>
      </c>
      <c r="C1652" s="17" t="s">
        <v>3766</v>
      </c>
      <c r="D1652" s="17" t="s">
        <v>5978</v>
      </c>
      <c r="E1652" s="17">
        <v>83</v>
      </c>
      <c r="F1652" s="16">
        <v>3</v>
      </c>
      <c r="G1652" s="17" t="s">
        <v>2195</v>
      </c>
      <c r="H1652" s="17" t="s">
        <v>3450</v>
      </c>
    </row>
    <row r="1653" spans="1:8" x14ac:dyDescent="0.25">
      <c r="A1653" s="16" t="s">
        <v>3451</v>
      </c>
      <c r="B1653" s="17" t="s">
        <v>132</v>
      </c>
      <c r="C1653" s="17" t="s">
        <v>3766</v>
      </c>
      <c r="D1653" s="17" t="s">
        <v>5979</v>
      </c>
      <c r="E1653" s="17">
        <v>83</v>
      </c>
      <c r="F1653" s="16">
        <v>3</v>
      </c>
      <c r="G1653" s="17" t="s">
        <v>2195</v>
      </c>
      <c r="H1653" s="17" t="s">
        <v>3452</v>
      </c>
    </row>
    <row r="1654" spans="1:8" x14ac:dyDescent="0.25">
      <c r="A1654" s="16" t="s">
        <v>3453</v>
      </c>
      <c r="B1654" s="17" t="s">
        <v>1697</v>
      </c>
      <c r="C1654" s="17" t="s">
        <v>3766</v>
      </c>
      <c r="D1654" s="17" t="s">
        <v>5980</v>
      </c>
      <c r="E1654" s="17">
        <v>83</v>
      </c>
      <c r="F1654" s="16">
        <v>3</v>
      </c>
      <c r="G1654" s="17" t="s">
        <v>2195</v>
      </c>
      <c r="H1654" s="17" t="s">
        <v>1857</v>
      </c>
    </row>
    <row r="1655" spans="1:8" x14ac:dyDescent="0.25">
      <c r="A1655" s="16" t="s">
        <v>3454</v>
      </c>
      <c r="B1655" s="17" t="s">
        <v>80</v>
      </c>
      <c r="C1655" s="17" t="s">
        <v>3766</v>
      </c>
      <c r="D1655" s="17" t="s">
        <v>5981</v>
      </c>
      <c r="E1655" s="17">
        <v>83</v>
      </c>
      <c r="F1655" s="16">
        <v>3</v>
      </c>
      <c r="G1655" s="17" t="s">
        <v>2195</v>
      </c>
      <c r="H1655" s="17" t="s">
        <v>3455</v>
      </c>
    </row>
    <row r="1656" spans="1:8" x14ac:dyDescent="0.25">
      <c r="A1656" s="16" t="s">
        <v>3456</v>
      </c>
      <c r="B1656" s="17" t="s">
        <v>157</v>
      </c>
      <c r="C1656" s="17" t="s">
        <v>3766</v>
      </c>
      <c r="D1656" s="17" t="s">
        <v>5982</v>
      </c>
      <c r="E1656" s="17">
        <v>83</v>
      </c>
      <c r="F1656" s="16">
        <v>3</v>
      </c>
      <c r="G1656" s="17" t="s">
        <v>2195</v>
      </c>
      <c r="H1656" s="17" t="s">
        <v>3457</v>
      </c>
    </row>
    <row r="1657" spans="1:8" x14ac:dyDescent="0.25">
      <c r="A1657" s="16" t="s">
        <v>3458</v>
      </c>
      <c r="B1657" s="17" t="s">
        <v>138</v>
      </c>
      <c r="C1657" s="17" t="s">
        <v>5983</v>
      </c>
      <c r="D1657" s="17" t="s">
        <v>5984</v>
      </c>
      <c r="E1657" s="17">
        <v>84</v>
      </c>
      <c r="F1657" s="16">
        <v>22</v>
      </c>
      <c r="G1657" s="17" t="s">
        <v>879</v>
      </c>
      <c r="H1657" s="17" t="s">
        <v>3459</v>
      </c>
    </row>
    <row r="1658" spans="1:8" x14ac:dyDescent="0.25">
      <c r="A1658" s="16" t="s">
        <v>3460</v>
      </c>
      <c r="B1658" s="17" t="s">
        <v>855</v>
      </c>
      <c r="C1658" s="17" t="s">
        <v>5985</v>
      </c>
      <c r="D1658" s="17" t="s">
        <v>5986</v>
      </c>
      <c r="E1658" s="17">
        <v>84</v>
      </c>
      <c r="F1658" s="27">
        <v>22</v>
      </c>
      <c r="G1658" s="17" t="s">
        <v>1455</v>
      </c>
      <c r="H1658" s="17" t="s">
        <v>3461</v>
      </c>
    </row>
    <row r="1659" spans="1:8" x14ac:dyDescent="0.25">
      <c r="A1659" s="16" t="s">
        <v>3462</v>
      </c>
      <c r="B1659" s="17" t="s">
        <v>166</v>
      </c>
      <c r="C1659" s="17" t="s">
        <v>5987</v>
      </c>
      <c r="D1659" s="17" t="s">
        <v>5988</v>
      </c>
      <c r="E1659" s="17">
        <v>84</v>
      </c>
      <c r="F1659" s="27">
        <v>22</v>
      </c>
      <c r="G1659" s="17" t="s">
        <v>884</v>
      </c>
      <c r="H1659" s="17" t="s">
        <v>884</v>
      </c>
    </row>
    <row r="1660" spans="1:8" x14ac:dyDescent="0.25">
      <c r="A1660" s="16" t="s">
        <v>3463</v>
      </c>
      <c r="B1660" s="17" t="s">
        <v>301</v>
      </c>
      <c r="C1660" s="17" t="s">
        <v>5989</v>
      </c>
      <c r="D1660" s="17" t="s">
        <v>5990</v>
      </c>
      <c r="E1660" s="17">
        <v>84</v>
      </c>
      <c r="F1660" s="27">
        <v>22</v>
      </c>
      <c r="G1660" s="17" t="s">
        <v>290</v>
      </c>
      <c r="H1660" s="17" t="s">
        <v>3464</v>
      </c>
    </row>
    <row r="1661" spans="1:8" x14ac:dyDescent="0.25">
      <c r="A1661" s="16" t="s">
        <v>3465</v>
      </c>
      <c r="B1661" s="17" t="s">
        <v>1029</v>
      </c>
      <c r="C1661" s="17" t="s">
        <v>3766</v>
      </c>
      <c r="D1661" s="17" t="s">
        <v>5991</v>
      </c>
      <c r="E1661" s="17">
        <v>84</v>
      </c>
      <c r="F1661" s="27">
        <v>22</v>
      </c>
      <c r="G1661" s="17" t="s">
        <v>89</v>
      </c>
      <c r="H1661" s="17" t="s">
        <v>3466</v>
      </c>
    </row>
    <row r="1662" spans="1:8" x14ac:dyDescent="0.25">
      <c r="A1662" s="16" t="s">
        <v>3467</v>
      </c>
      <c r="B1662" s="17" t="s">
        <v>477</v>
      </c>
      <c r="C1662" s="17" t="s">
        <v>5309</v>
      </c>
      <c r="D1662" s="17" t="s">
        <v>5992</v>
      </c>
      <c r="E1662" s="17">
        <v>84</v>
      </c>
      <c r="F1662" s="27">
        <v>22</v>
      </c>
      <c r="G1662" s="17" t="s">
        <v>89</v>
      </c>
      <c r="H1662" s="17" t="s">
        <v>3468</v>
      </c>
    </row>
    <row r="1663" spans="1:8" x14ac:dyDescent="0.25">
      <c r="A1663" s="16" t="s">
        <v>3469</v>
      </c>
      <c r="B1663" s="17" t="s">
        <v>886</v>
      </c>
      <c r="C1663" s="17" t="s">
        <v>5993</v>
      </c>
      <c r="D1663" s="17" t="s">
        <v>5994</v>
      </c>
      <c r="E1663" s="17">
        <v>84</v>
      </c>
      <c r="F1663" s="27">
        <v>22</v>
      </c>
      <c r="G1663" s="17" t="s">
        <v>3470</v>
      </c>
      <c r="H1663" s="17" t="s">
        <v>3470</v>
      </c>
    </row>
    <row r="1664" spans="1:8" x14ac:dyDescent="0.25">
      <c r="A1664" s="16" t="s">
        <v>3471</v>
      </c>
      <c r="B1664" s="17" t="s">
        <v>1507</v>
      </c>
      <c r="C1664" s="17" t="s">
        <v>5995</v>
      </c>
      <c r="D1664" s="17" t="s">
        <v>5996</v>
      </c>
      <c r="E1664" s="17">
        <v>84</v>
      </c>
      <c r="F1664" s="27">
        <v>22</v>
      </c>
      <c r="G1664" s="17" t="s">
        <v>3470</v>
      </c>
      <c r="H1664" s="17" t="s">
        <v>1202</v>
      </c>
    </row>
    <row r="1665" spans="1:8" x14ac:dyDescent="0.25">
      <c r="A1665" s="16" t="s">
        <v>3472</v>
      </c>
      <c r="B1665" s="17" t="s">
        <v>135</v>
      </c>
      <c r="C1665" s="17" t="s">
        <v>5997</v>
      </c>
      <c r="D1665" s="17" t="s">
        <v>5998</v>
      </c>
      <c r="E1665" s="17">
        <v>84</v>
      </c>
      <c r="F1665" s="27">
        <v>22</v>
      </c>
      <c r="G1665" s="17" t="s">
        <v>893</v>
      </c>
      <c r="H1665" s="17" t="s">
        <v>3473</v>
      </c>
    </row>
    <row r="1666" spans="1:8" x14ac:dyDescent="0.25">
      <c r="A1666" s="16" t="s">
        <v>3474</v>
      </c>
      <c r="B1666" s="17" t="s">
        <v>3475</v>
      </c>
      <c r="C1666" s="17" t="s">
        <v>5999</v>
      </c>
      <c r="D1666" s="17" t="s">
        <v>6000</v>
      </c>
      <c r="E1666" s="17">
        <v>84</v>
      </c>
      <c r="F1666" s="27">
        <v>22</v>
      </c>
      <c r="G1666" s="17" t="s">
        <v>893</v>
      </c>
      <c r="H1666" s="17" t="s">
        <v>3476</v>
      </c>
    </row>
    <row r="1667" spans="1:8" x14ac:dyDescent="0.25">
      <c r="A1667" s="16" t="s">
        <v>3477</v>
      </c>
      <c r="B1667" s="17" t="s">
        <v>3478</v>
      </c>
      <c r="C1667" s="17" t="s">
        <v>6001</v>
      </c>
      <c r="D1667" s="17" t="s">
        <v>6002</v>
      </c>
      <c r="E1667" s="17">
        <v>84</v>
      </c>
      <c r="F1667" s="27">
        <v>22</v>
      </c>
      <c r="G1667" s="17" t="s">
        <v>893</v>
      </c>
      <c r="H1667" s="17" t="s">
        <v>1971</v>
      </c>
    </row>
    <row r="1668" spans="1:8" x14ac:dyDescent="0.25">
      <c r="A1668" s="16" t="s">
        <v>3479</v>
      </c>
      <c r="B1668" s="17" t="s">
        <v>32</v>
      </c>
      <c r="C1668" s="17" t="s">
        <v>6003</v>
      </c>
      <c r="D1668" s="17" t="s">
        <v>6004</v>
      </c>
      <c r="E1668" s="17">
        <v>84</v>
      </c>
      <c r="F1668" s="27">
        <v>22</v>
      </c>
      <c r="G1668" s="17" t="s">
        <v>1479</v>
      </c>
      <c r="H1668" s="17" t="s">
        <v>1479</v>
      </c>
    </row>
    <row r="1669" spans="1:8" x14ac:dyDescent="0.25">
      <c r="A1669" s="16" t="s">
        <v>3480</v>
      </c>
      <c r="B1669" s="17" t="s">
        <v>163</v>
      </c>
      <c r="C1669" s="17" t="s">
        <v>3766</v>
      </c>
      <c r="D1669" s="17" t="s">
        <v>6005</v>
      </c>
      <c r="E1669" s="17">
        <v>84</v>
      </c>
      <c r="F1669" s="27">
        <v>22</v>
      </c>
      <c r="G1669" s="17" t="s">
        <v>1479</v>
      </c>
      <c r="H1669" s="17" t="s">
        <v>3481</v>
      </c>
    </row>
    <row r="1670" spans="1:8" x14ac:dyDescent="0.25">
      <c r="A1670" s="16" t="s">
        <v>3482</v>
      </c>
      <c r="B1670" s="17" t="s">
        <v>41</v>
      </c>
      <c r="C1670" s="17" t="s">
        <v>6006</v>
      </c>
      <c r="D1670" s="17" t="s">
        <v>6007</v>
      </c>
      <c r="E1670" s="17">
        <v>84</v>
      </c>
      <c r="F1670" s="27">
        <v>22</v>
      </c>
      <c r="G1670" s="17" t="s">
        <v>319</v>
      </c>
      <c r="H1670" s="17" t="s">
        <v>319</v>
      </c>
    </row>
    <row r="1671" spans="1:8" x14ac:dyDescent="0.25">
      <c r="A1671" s="16" t="s">
        <v>3483</v>
      </c>
      <c r="B1671" s="17" t="s">
        <v>166</v>
      </c>
      <c r="C1671" s="17" t="s">
        <v>6008</v>
      </c>
      <c r="D1671" s="17" t="s">
        <v>6009</v>
      </c>
      <c r="E1671" s="17">
        <v>84</v>
      </c>
      <c r="F1671" s="27">
        <v>22</v>
      </c>
      <c r="G1671" s="17" t="s">
        <v>319</v>
      </c>
      <c r="H1671" s="17" t="s">
        <v>319</v>
      </c>
    </row>
    <row r="1672" spans="1:8" x14ac:dyDescent="0.25">
      <c r="A1672" s="16" t="s">
        <v>3484</v>
      </c>
      <c r="B1672" s="17" t="s">
        <v>103</v>
      </c>
      <c r="C1672" s="17" t="s">
        <v>6010</v>
      </c>
      <c r="D1672" s="17" t="s">
        <v>6011</v>
      </c>
      <c r="E1672" s="17">
        <v>84</v>
      </c>
      <c r="F1672" s="27">
        <v>22</v>
      </c>
      <c r="G1672" s="17" t="s">
        <v>319</v>
      </c>
      <c r="H1672" s="17" t="s">
        <v>3485</v>
      </c>
    </row>
    <row r="1673" spans="1:8" x14ac:dyDescent="0.25">
      <c r="A1673" s="16" t="s">
        <v>3486</v>
      </c>
      <c r="B1673" s="17" t="s">
        <v>3487</v>
      </c>
      <c r="C1673" s="17" t="s">
        <v>4545</v>
      </c>
      <c r="D1673" s="17" t="s">
        <v>4944</v>
      </c>
      <c r="E1673" s="17">
        <v>85</v>
      </c>
      <c r="F1673" s="27">
        <v>11</v>
      </c>
      <c r="G1673" s="17" t="s">
        <v>3348</v>
      </c>
      <c r="H1673" s="17" t="s">
        <v>3488</v>
      </c>
    </row>
    <row r="1674" spans="1:8" x14ac:dyDescent="0.25">
      <c r="A1674" s="16" t="s">
        <v>3489</v>
      </c>
      <c r="B1674" s="17" t="s">
        <v>448</v>
      </c>
      <c r="C1674" s="17" t="s">
        <v>5577</v>
      </c>
      <c r="D1674" s="17" t="s">
        <v>6012</v>
      </c>
      <c r="E1674" s="17">
        <v>85</v>
      </c>
      <c r="F1674" s="27">
        <v>11</v>
      </c>
      <c r="G1674" s="17" t="s">
        <v>3348</v>
      </c>
      <c r="H1674" s="17" t="s">
        <v>3490</v>
      </c>
    </row>
    <row r="1675" spans="1:8" x14ac:dyDescent="0.25">
      <c r="A1675" s="16" t="s">
        <v>3491</v>
      </c>
      <c r="B1675" s="17" t="s">
        <v>49</v>
      </c>
      <c r="C1675" s="17" t="s">
        <v>3766</v>
      </c>
      <c r="D1675" s="17" t="s">
        <v>6013</v>
      </c>
      <c r="E1675" s="17">
        <v>85</v>
      </c>
      <c r="F1675" s="27">
        <v>11</v>
      </c>
      <c r="G1675" s="17" t="s">
        <v>3348</v>
      </c>
      <c r="H1675" s="17" t="s">
        <v>3492</v>
      </c>
    </row>
    <row r="1676" spans="1:8" x14ac:dyDescent="0.25">
      <c r="A1676" s="16" t="s">
        <v>3493</v>
      </c>
      <c r="B1676" s="17" t="s">
        <v>123</v>
      </c>
      <c r="C1676" s="17" t="s">
        <v>3766</v>
      </c>
      <c r="D1676" s="17" t="s">
        <v>6014</v>
      </c>
      <c r="E1676" s="17">
        <v>85</v>
      </c>
      <c r="F1676" s="27">
        <v>11</v>
      </c>
      <c r="G1676" s="17" t="s">
        <v>3348</v>
      </c>
      <c r="H1676" s="17" t="s">
        <v>3494</v>
      </c>
    </row>
    <row r="1677" spans="1:8" x14ac:dyDescent="0.25">
      <c r="A1677" s="16" t="s">
        <v>3495</v>
      </c>
      <c r="B1677" s="17" t="s">
        <v>172</v>
      </c>
      <c r="C1677" s="17" t="s">
        <v>3766</v>
      </c>
      <c r="D1677" s="17" t="s">
        <v>6015</v>
      </c>
      <c r="E1677" s="17">
        <v>85</v>
      </c>
      <c r="F1677" s="27">
        <v>11</v>
      </c>
      <c r="G1677" s="17" t="s">
        <v>3348</v>
      </c>
      <c r="H1677" s="17" t="s">
        <v>3496</v>
      </c>
    </row>
    <row r="1678" spans="1:8" x14ac:dyDescent="0.25">
      <c r="A1678" s="16" t="s">
        <v>3497</v>
      </c>
      <c r="B1678" s="17" t="s">
        <v>1797</v>
      </c>
      <c r="C1678" s="17" t="s">
        <v>3766</v>
      </c>
      <c r="D1678" s="17" t="s">
        <v>6016</v>
      </c>
      <c r="E1678" s="17">
        <v>85</v>
      </c>
      <c r="F1678" s="27">
        <v>11</v>
      </c>
      <c r="G1678" s="17" t="s">
        <v>3348</v>
      </c>
      <c r="H1678" s="17" t="s">
        <v>3498</v>
      </c>
    </row>
    <row r="1679" spans="1:8" x14ac:dyDescent="0.25">
      <c r="A1679" s="16" t="s">
        <v>3499</v>
      </c>
      <c r="B1679" s="17" t="s">
        <v>155</v>
      </c>
      <c r="C1679" s="17" t="s">
        <v>3766</v>
      </c>
      <c r="D1679" s="17" t="s">
        <v>6017</v>
      </c>
      <c r="E1679" s="17">
        <v>85</v>
      </c>
      <c r="F1679" s="27">
        <v>11</v>
      </c>
      <c r="G1679" s="17" t="s">
        <v>3348</v>
      </c>
      <c r="H1679" s="17" t="s">
        <v>515</v>
      </c>
    </row>
    <row r="1680" spans="1:8" x14ac:dyDescent="0.25">
      <c r="A1680" s="16" t="s">
        <v>3500</v>
      </c>
      <c r="B1680" s="17" t="s">
        <v>166</v>
      </c>
      <c r="C1680" s="17" t="s">
        <v>6018</v>
      </c>
      <c r="D1680" s="17" t="s">
        <v>6019</v>
      </c>
      <c r="E1680" s="17">
        <v>85</v>
      </c>
      <c r="F1680" s="27">
        <v>11</v>
      </c>
      <c r="G1680" s="17" t="s">
        <v>3348</v>
      </c>
      <c r="H1680" s="17" t="s">
        <v>359</v>
      </c>
    </row>
    <row r="1681" spans="1:8" x14ac:dyDescent="0.25">
      <c r="A1681" s="16" t="s">
        <v>3501</v>
      </c>
      <c r="B1681" s="17" t="s">
        <v>166</v>
      </c>
      <c r="C1681" s="17" t="s">
        <v>3758</v>
      </c>
      <c r="D1681" s="17" t="s">
        <v>6020</v>
      </c>
      <c r="E1681" s="17">
        <v>85</v>
      </c>
      <c r="F1681" s="27">
        <v>11</v>
      </c>
      <c r="G1681" s="17" t="s">
        <v>3348</v>
      </c>
      <c r="H1681" s="17" t="s">
        <v>3502</v>
      </c>
    </row>
    <row r="1682" spans="1:8" x14ac:dyDescent="0.25">
      <c r="A1682" s="16" t="s">
        <v>3503</v>
      </c>
      <c r="B1682" s="17" t="s">
        <v>166</v>
      </c>
      <c r="C1682" s="17" t="s">
        <v>6021</v>
      </c>
      <c r="D1682" s="17" t="s">
        <v>6022</v>
      </c>
      <c r="E1682" s="17">
        <v>85</v>
      </c>
      <c r="F1682" s="27">
        <v>11</v>
      </c>
      <c r="G1682" s="17" t="s">
        <v>3348</v>
      </c>
      <c r="H1682" s="17" t="s">
        <v>3504</v>
      </c>
    </row>
    <row r="1683" spans="1:8" x14ac:dyDescent="0.25">
      <c r="A1683" s="16" t="s">
        <v>3505</v>
      </c>
      <c r="B1683" s="17" t="s">
        <v>23</v>
      </c>
      <c r="C1683" s="17" t="s">
        <v>6023</v>
      </c>
      <c r="D1683" s="17" t="s">
        <v>6024</v>
      </c>
      <c r="E1683" s="17">
        <v>85</v>
      </c>
      <c r="F1683" s="27">
        <v>11</v>
      </c>
      <c r="G1683" s="17" t="s">
        <v>3348</v>
      </c>
      <c r="H1683" s="17" t="s">
        <v>3506</v>
      </c>
    </row>
    <row r="1684" spans="1:8" x14ac:dyDescent="0.25">
      <c r="A1684" s="16" t="s">
        <v>3507</v>
      </c>
      <c r="B1684" s="17" t="s">
        <v>547</v>
      </c>
      <c r="C1684" s="17" t="s">
        <v>6025</v>
      </c>
      <c r="D1684" s="17" t="s">
        <v>6026</v>
      </c>
      <c r="E1684" s="17">
        <v>85</v>
      </c>
      <c r="F1684" s="27">
        <v>11</v>
      </c>
      <c r="G1684" s="17" t="s">
        <v>3348</v>
      </c>
      <c r="H1684" s="17" t="s">
        <v>3508</v>
      </c>
    </row>
    <row r="1685" spans="1:8" x14ac:dyDescent="0.25">
      <c r="A1685" s="16" t="s">
        <v>3509</v>
      </c>
      <c r="B1685" s="17" t="s">
        <v>103</v>
      </c>
      <c r="C1685" s="17" t="s">
        <v>6027</v>
      </c>
      <c r="D1685" s="17" t="s">
        <v>6028</v>
      </c>
      <c r="E1685" s="17">
        <v>85</v>
      </c>
      <c r="F1685" s="27">
        <v>11</v>
      </c>
      <c r="G1685" s="17" t="s">
        <v>3348</v>
      </c>
      <c r="H1685" s="17" t="s">
        <v>3510</v>
      </c>
    </row>
    <row r="1686" spans="1:8" x14ac:dyDescent="0.25">
      <c r="A1686" s="16" t="s">
        <v>3511</v>
      </c>
      <c r="B1686" s="17" t="s">
        <v>332</v>
      </c>
      <c r="C1686" s="17" t="s">
        <v>3766</v>
      </c>
      <c r="D1686" s="17" t="s">
        <v>6029</v>
      </c>
      <c r="E1686" s="17">
        <v>85</v>
      </c>
      <c r="F1686" s="27">
        <v>11</v>
      </c>
      <c r="G1686" s="17" t="s">
        <v>3348</v>
      </c>
      <c r="H1686" s="17" t="s">
        <v>3512</v>
      </c>
    </row>
    <row r="1687" spans="1:8" x14ac:dyDescent="0.25">
      <c r="A1687" s="16" t="s">
        <v>3513</v>
      </c>
      <c r="B1687" s="17" t="s">
        <v>92</v>
      </c>
      <c r="C1687" s="17" t="s">
        <v>3871</v>
      </c>
      <c r="D1687" s="17" t="s">
        <v>6030</v>
      </c>
      <c r="E1687" s="17">
        <v>85</v>
      </c>
      <c r="F1687" s="27">
        <v>11</v>
      </c>
      <c r="G1687" s="17" t="s">
        <v>3514</v>
      </c>
      <c r="H1687" s="17" t="s">
        <v>3515</v>
      </c>
    </row>
    <row r="1688" spans="1:8" x14ac:dyDescent="0.25">
      <c r="A1688" s="16" t="s">
        <v>3516</v>
      </c>
      <c r="B1688" s="17" t="s">
        <v>3517</v>
      </c>
      <c r="C1688" s="17" t="s">
        <v>3766</v>
      </c>
      <c r="D1688" s="17" t="s">
        <v>6031</v>
      </c>
      <c r="E1688" s="17">
        <v>85</v>
      </c>
      <c r="F1688" s="27">
        <v>11</v>
      </c>
      <c r="G1688" s="17" t="s">
        <v>3514</v>
      </c>
      <c r="H1688" s="17" t="s">
        <v>3518</v>
      </c>
    </row>
    <row r="1689" spans="1:8" x14ac:dyDescent="0.25">
      <c r="A1689" s="16" t="s">
        <v>3519</v>
      </c>
      <c r="B1689" s="17" t="s">
        <v>406</v>
      </c>
      <c r="C1689" s="17" t="s">
        <v>3766</v>
      </c>
      <c r="D1689" s="17" t="s">
        <v>6032</v>
      </c>
      <c r="E1689" s="17">
        <v>85</v>
      </c>
      <c r="F1689" s="27">
        <v>11</v>
      </c>
      <c r="G1689" s="17" t="s">
        <v>3514</v>
      </c>
      <c r="H1689" s="17" t="s">
        <v>3520</v>
      </c>
    </row>
    <row r="1690" spans="1:8" x14ac:dyDescent="0.25">
      <c r="A1690" s="16" t="s">
        <v>3521</v>
      </c>
      <c r="B1690" s="17" t="s">
        <v>157</v>
      </c>
      <c r="C1690" s="17" t="s">
        <v>3766</v>
      </c>
      <c r="D1690" s="17" t="s">
        <v>6033</v>
      </c>
      <c r="E1690" s="17">
        <v>85</v>
      </c>
      <c r="F1690" s="27">
        <v>11</v>
      </c>
      <c r="G1690" s="17" t="s">
        <v>3514</v>
      </c>
      <c r="H1690" s="17" t="s">
        <v>3522</v>
      </c>
    </row>
    <row r="1691" spans="1:8" x14ac:dyDescent="0.25">
      <c r="A1691" s="16" t="s">
        <v>3523</v>
      </c>
      <c r="B1691" s="17" t="s">
        <v>2557</v>
      </c>
      <c r="C1691" s="17" t="s">
        <v>3766</v>
      </c>
      <c r="D1691" s="17" t="s">
        <v>6034</v>
      </c>
      <c r="E1691" s="17">
        <v>85</v>
      </c>
      <c r="F1691" s="27">
        <v>11</v>
      </c>
      <c r="G1691" s="17" t="s">
        <v>3514</v>
      </c>
      <c r="H1691" s="17" t="s">
        <v>3524</v>
      </c>
    </row>
    <row r="1692" spans="1:8" x14ac:dyDescent="0.25">
      <c r="A1692" s="16" t="s">
        <v>3525</v>
      </c>
      <c r="B1692" s="17" t="s">
        <v>510</v>
      </c>
      <c r="C1692" s="17" t="s">
        <v>3766</v>
      </c>
      <c r="D1692" s="17" t="s">
        <v>6035</v>
      </c>
      <c r="E1692" s="17">
        <v>85</v>
      </c>
      <c r="F1692" s="27">
        <v>11</v>
      </c>
      <c r="G1692" s="17" t="s">
        <v>3514</v>
      </c>
      <c r="H1692" s="17" t="s">
        <v>3526</v>
      </c>
    </row>
    <row r="1693" spans="1:8" x14ac:dyDescent="0.25">
      <c r="A1693" s="16" t="s">
        <v>3527</v>
      </c>
      <c r="B1693" s="17" t="s">
        <v>77</v>
      </c>
      <c r="C1693" s="17" t="s">
        <v>3766</v>
      </c>
      <c r="D1693" s="17" t="s">
        <v>6036</v>
      </c>
      <c r="E1693" s="17">
        <v>85</v>
      </c>
      <c r="F1693" s="27">
        <v>11</v>
      </c>
      <c r="G1693" s="17" t="s">
        <v>3514</v>
      </c>
      <c r="H1693" s="17" t="s">
        <v>3528</v>
      </c>
    </row>
    <row r="1694" spans="1:8" x14ac:dyDescent="0.25">
      <c r="A1694" s="16" t="s">
        <v>3529</v>
      </c>
      <c r="B1694" s="17" t="s">
        <v>95</v>
      </c>
      <c r="C1694" s="17" t="s">
        <v>6037</v>
      </c>
      <c r="D1694" s="17" t="s">
        <v>6038</v>
      </c>
      <c r="E1694" s="17">
        <v>86</v>
      </c>
      <c r="F1694" s="27">
        <v>24</v>
      </c>
      <c r="G1694" s="17" t="s">
        <v>3314</v>
      </c>
      <c r="H1694" s="17" t="s">
        <v>3530</v>
      </c>
    </row>
    <row r="1695" spans="1:8" x14ac:dyDescent="0.25">
      <c r="A1695" s="16" t="s">
        <v>3531</v>
      </c>
      <c r="B1695" s="17" t="s">
        <v>254</v>
      </c>
      <c r="C1695" s="17" t="s">
        <v>3766</v>
      </c>
      <c r="D1695" s="17" t="s">
        <v>6039</v>
      </c>
      <c r="E1695" s="17">
        <v>86</v>
      </c>
      <c r="F1695" s="27">
        <v>24</v>
      </c>
      <c r="G1695" s="17" t="s">
        <v>1762</v>
      </c>
      <c r="H1695" s="17" t="s">
        <v>3532</v>
      </c>
    </row>
    <row r="1696" spans="1:8" x14ac:dyDescent="0.25">
      <c r="A1696" s="16" t="s">
        <v>3533</v>
      </c>
      <c r="B1696" s="17" t="s">
        <v>80</v>
      </c>
      <c r="C1696" s="17" t="s">
        <v>3766</v>
      </c>
      <c r="D1696" s="17" t="s">
        <v>6040</v>
      </c>
      <c r="E1696" s="17">
        <v>86</v>
      </c>
      <c r="F1696" s="27">
        <v>24</v>
      </c>
      <c r="G1696" s="17" t="s">
        <v>1762</v>
      </c>
      <c r="H1696" s="17" t="s">
        <v>3534</v>
      </c>
    </row>
    <row r="1697" spans="1:8" x14ac:dyDescent="0.25">
      <c r="A1697" s="16" t="s">
        <v>3535</v>
      </c>
      <c r="B1697" s="17" t="s">
        <v>132</v>
      </c>
      <c r="C1697" s="17" t="s">
        <v>3766</v>
      </c>
      <c r="D1697" s="17" t="s">
        <v>6041</v>
      </c>
      <c r="E1697" s="17">
        <v>86</v>
      </c>
      <c r="F1697" s="27">
        <v>24</v>
      </c>
      <c r="G1697" s="17" t="s">
        <v>1762</v>
      </c>
      <c r="H1697" s="17" t="s">
        <v>3536</v>
      </c>
    </row>
    <row r="1698" spans="1:8" x14ac:dyDescent="0.25">
      <c r="A1698" s="16" t="s">
        <v>3537</v>
      </c>
      <c r="B1698" s="17" t="s">
        <v>80</v>
      </c>
      <c r="C1698" s="17" t="s">
        <v>3956</v>
      </c>
      <c r="D1698" s="17" t="s">
        <v>6042</v>
      </c>
      <c r="E1698" s="17">
        <v>86</v>
      </c>
      <c r="F1698" s="27">
        <v>24</v>
      </c>
      <c r="G1698" s="17" t="s">
        <v>1762</v>
      </c>
      <c r="H1698" s="17" t="s">
        <v>2882</v>
      </c>
    </row>
    <row r="1699" spans="1:8" x14ac:dyDescent="0.25">
      <c r="A1699" s="16" t="s">
        <v>3538</v>
      </c>
      <c r="B1699" s="17" t="s">
        <v>80</v>
      </c>
      <c r="C1699" s="17" t="s">
        <v>3766</v>
      </c>
      <c r="D1699" s="17" t="s">
        <v>6043</v>
      </c>
      <c r="E1699" s="17">
        <v>86</v>
      </c>
      <c r="F1699" s="27">
        <v>24</v>
      </c>
      <c r="G1699" s="17" t="s">
        <v>1151</v>
      </c>
      <c r="H1699" s="17" t="s">
        <v>3539</v>
      </c>
    </row>
    <row r="1700" spans="1:8" x14ac:dyDescent="0.25">
      <c r="A1700" s="16" t="s">
        <v>3540</v>
      </c>
      <c r="B1700" s="17" t="s">
        <v>92</v>
      </c>
      <c r="C1700" s="17" t="s">
        <v>4208</v>
      </c>
      <c r="D1700" s="17" t="s">
        <v>6044</v>
      </c>
      <c r="E1700" s="17">
        <v>86</v>
      </c>
      <c r="F1700" s="27">
        <v>24</v>
      </c>
      <c r="G1700" s="17" t="s">
        <v>3541</v>
      </c>
      <c r="H1700" s="17" t="s">
        <v>3541</v>
      </c>
    </row>
    <row r="1701" spans="1:8" x14ac:dyDescent="0.25">
      <c r="A1701" s="16" t="s">
        <v>3542</v>
      </c>
      <c r="B1701" s="17" t="s">
        <v>166</v>
      </c>
      <c r="C1701" s="17" t="s">
        <v>3766</v>
      </c>
      <c r="D1701" s="17" t="s">
        <v>6045</v>
      </c>
      <c r="E1701" s="17">
        <v>86</v>
      </c>
      <c r="F1701" s="27">
        <v>24</v>
      </c>
      <c r="G1701" s="17" t="s">
        <v>3541</v>
      </c>
      <c r="H1701" s="17" t="s">
        <v>3543</v>
      </c>
    </row>
    <row r="1702" spans="1:8" x14ac:dyDescent="0.25">
      <c r="A1702" s="16" t="s">
        <v>3544</v>
      </c>
      <c r="B1702" s="17" t="s">
        <v>480</v>
      </c>
      <c r="C1702" s="17" t="s">
        <v>3766</v>
      </c>
      <c r="D1702" s="17" t="s">
        <v>6046</v>
      </c>
      <c r="E1702" s="17">
        <v>86</v>
      </c>
      <c r="F1702" s="27">
        <v>24</v>
      </c>
      <c r="G1702" s="17" t="s">
        <v>3541</v>
      </c>
      <c r="H1702" s="17" t="s">
        <v>3545</v>
      </c>
    </row>
    <row r="1703" spans="1:8" x14ac:dyDescent="0.25">
      <c r="A1703" s="16" t="s">
        <v>3546</v>
      </c>
      <c r="B1703" s="17" t="s">
        <v>135</v>
      </c>
      <c r="C1703" s="17" t="s">
        <v>3766</v>
      </c>
      <c r="D1703" s="17" t="s">
        <v>6047</v>
      </c>
      <c r="E1703" s="17">
        <v>86</v>
      </c>
      <c r="F1703" s="27">
        <v>24</v>
      </c>
      <c r="G1703" s="17" t="s">
        <v>3541</v>
      </c>
      <c r="H1703" s="17" t="s">
        <v>497</v>
      </c>
    </row>
    <row r="1704" spans="1:8" x14ac:dyDescent="0.25">
      <c r="A1704" s="16" t="s">
        <v>3547</v>
      </c>
      <c r="B1704" s="17" t="s">
        <v>3548</v>
      </c>
      <c r="C1704" s="17" t="s">
        <v>3800</v>
      </c>
      <c r="D1704" s="17" t="s">
        <v>6048</v>
      </c>
      <c r="E1704" s="17">
        <v>86</v>
      </c>
      <c r="F1704" s="27">
        <v>24</v>
      </c>
      <c r="G1704" s="17" t="s">
        <v>3541</v>
      </c>
      <c r="H1704" s="17" t="s">
        <v>1188</v>
      </c>
    </row>
    <row r="1705" spans="1:8" x14ac:dyDescent="0.25">
      <c r="A1705" s="16" t="s">
        <v>3549</v>
      </c>
      <c r="B1705" s="17" t="s">
        <v>3550</v>
      </c>
      <c r="C1705" s="17" t="s">
        <v>3766</v>
      </c>
      <c r="D1705" s="17" t="s">
        <v>6049</v>
      </c>
      <c r="E1705" s="17">
        <v>86</v>
      </c>
      <c r="F1705" s="27">
        <v>24</v>
      </c>
      <c r="G1705" s="17" t="s">
        <v>456</v>
      </c>
      <c r="H1705" s="17" t="s">
        <v>3551</v>
      </c>
    </row>
    <row r="1706" spans="1:8" x14ac:dyDescent="0.25">
      <c r="A1706" s="16" t="s">
        <v>3552</v>
      </c>
      <c r="B1706" s="17" t="s">
        <v>166</v>
      </c>
      <c r="C1706" s="17" t="s">
        <v>3766</v>
      </c>
      <c r="D1706" s="17" t="s">
        <v>6050</v>
      </c>
      <c r="E1706" s="17">
        <v>86</v>
      </c>
      <c r="F1706" s="27">
        <v>24</v>
      </c>
      <c r="G1706" s="17" t="s">
        <v>456</v>
      </c>
      <c r="H1706" s="17" t="s">
        <v>3553</v>
      </c>
    </row>
    <row r="1707" spans="1:8" x14ac:dyDescent="0.25">
      <c r="A1707" s="16" t="s">
        <v>3554</v>
      </c>
      <c r="B1707" s="17" t="s">
        <v>57</v>
      </c>
      <c r="C1707" s="17" t="s">
        <v>3766</v>
      </c>
      <c r="D1707" s="17" t="s">
        <v>6051</v>
      </c>
      <c r="E1707" s="17">
        <v>86</v>
      </c>
      <c r="F1707" s="27">
        <v>24</v>
      </c>
      <c r="G1707" s="17" t="s">
        <v>456</v>
      </c>
      <c r="H1707" s="17" t="s">
        <v>359</v>
      </c>
    </row>
    <row r="1708" spans="1:8" x14ac:dyDescent="0.25">
      <c r="A1708" s="16" t="s">
        <v>3555</v>
      </c>
      <c r="B1708" s="17" t="s">
        <v>480</v>
      </c>
      <c r="C1708" s="17" t="s">
        <v>3766</v>
      </c>
      <c r="D1708" s="17" t="s">
        <v>6052</v>
      </c>
      <c r="E1708" s="17">
        <v>86</v>
      </c>
      <c r="F1708" s="27">
        <v>24</v>
      </c>
      <c r="G1708" s="17" t="s">
        <v>456</v>
      </c>
      <c r="H1708" s="17" t="s">
        <v>3556</v>
      </c>
    </row>
    <row r="1709" spans="1:8" x14ac:dyDescent="0.25">
      <c r="A1709" s="16" t="s">
        <v>3557</v>
      </c>
      <c r="B1709" s="17" t="s">
        <v>272</v>
      </c>
      <c r="C1709" s="17" t="s">
        <v>3978</v>
      </c>
      <c r="D1709" s="17" t="s">
        <v>6053</v>
      </c>
      <c r="E1709" s="17">
        <v>86</v>
      </c>
      <c r="F1709" s="27">
        <v>24</v>
      </c>
      <c r="G1709" s="17" t="s">
        <v>456</v>
      </c>
      <c r="H1709" s="17" t="s">
        <v>3558</v>
      </c>
    </row>
    <row r="1710" spans="1:8" x14ac:dyDescent="0.25">
      <c r="A1710" s="16" t="s">
        <v>3559</v>
      </c>
      <c r="B1710" s="17" t="s">
        <v>35</v>
      </c>
      <c r="C1710" s="17" t="s">
        <v>3766</v>
      </c>
      <c r="D1710" s="17" t="s">
        <v>6054</v>
      </c>
      <c r="E1710" s="17">
        <v>86</v>
      </c>
      <c r="F1710" s="27">
        <v>24</v>
      </c>
      <c r="G1710" s="17" t="s">
        <v>456</v>
      </c>
      <c r="H1710" s="17" t="s">
        <v>1330</v>
      </c>
    </row>
    <row r="1711" spans="1:8" x14ac:dyDescent="0.25">
      <c r="A1711" s="16" t="s">
        <v>3560</v>
      </c>
      <c r="B1711" s="17" t="s">
        <v>120</v>
      </c>
      <c r="C1711" s="17" t="s">
        <v>3766</v>
      </c>
      <c r="D1711" s="17" t="s">
        <v>6055</v>
      </c>
      <c r="E1711" s="17">
        <v>86</v>
      </c>
      <c r="F1711" s="27">
        <v>24</v>
      </c>
      <c r="G1711" s="17" t="s">
        <v>456</v>
      </c>
      <c r="H1711" s="17" t="s">
        <v>3561</v>
      </c>
    </row>
    <row r="1712" spans="1:8" x14ac:dyDescent="0.25">
      <c r="A1712" s="16" t="s">
        <v>3562</v>
      </c>
      <c r="B1712" s="17" t="s">
        <v>727</v>
      </c>
      <c r="C1712" s="17" t="s">
        <v>3766</v>
      </c>
      <c r="D1712" s="17" t="s">
        <v>6056</v>
      </c>
      <c r="E1712" s="17">
        <v>86</v>
      </c>
      <c r="F1712" s="27">
        <v>24</v>
      </c>
      <c r="G1712" s="17" t="s">
        <v>456</v>
      </c>
      <c r="H1712" s="17" t="s">
        <v>3563</v>
      </c>
    </row>
    <row r="1713" spans="1:8" x14ac:dyDescent="0.25">
      <c r="A1713" s="16" t="s">
        <v>3564</v>
      </c>
      <c r="B1713" s="17" t="s">
        <v>376</v>
      </c>
      <c r="C1713" s="17" t="s">
        <v>6057</v>
      </c>
      <c r="D1713" s="17" t="s">
        <v>6058</v>
      </c>
      <c r="E1713" s="17">
        <v>87</v>
      </c>
      <c r="F1713" s="27">
        <v>23</v>
      </c>
      <c r="G1713" s="17" t="s">
        <v>3565</v>
      </c>
      <c r="H1713" s="17" t="s">
        <v>3565</v>
      </c>
    </row>
    <row r="1714" spans="1:8" x14ac:dyDescent="0.25">
      <c r="A1714" s="16" t="s">
        <v>3566</v>
      </c>
      <c r="B1714" s="17" t="s">
        <v>678</v>
      </c>
      <c r="C1714" s="17" t="s">
        <v>6059</v>
      </c>
      <c r="D1714" s="17" t="s">
        <v>4650</v>
      </c>
      <c r="E1714" s="17">
        <v>87</v>
      </c>
      <c r="F1714" s="27">
        <v>23</v>
      </c>
      <c r="G1714" s="17" t="s">
        <v>3565</v>
      </c>
      <c r="H1714" s="17" t="s">
        <v>3567</v>
      </c>
    </row>
    <row r="1715" spans="1:8" x14ac:dyDescent="0.25">
      <c r="A1715" s="16" t="s">
        <v>3568</v>
      </c>
      <c r="B1715" s="17" t="s">
        <v>3569</v>
      </c>
      <c r="C1715" s="17" t="s">
        <v>6060</v>
      </c>
      <c r="D1715" s="17" t="s">
        <v>5427</v>
      </c>
      <c r="E1715" s="17">
        <v>87</v>
      </c>
      <c r="F1715" s="27">
        <v>23</v>
      </c>
      <c r="G1715" s="17" t="s">
        <v>2549</v>
      </c>
      <c r="H1715" s="17" t="s">
        <v>3570</v>
      </c>
    </row>
    <row r="1716" spans="1:8" x14ac:dyDescent="0.25">
      <c r="A1716" s="16" t="s">
        <v>3571</v>
      </c>
      <c r="B1716" s="17" t="s">
        <v>254</v>
      </c>
      <c r="C1716" s="17" t="s">
        <v>6061</v>
      </c>
      <c r="D1716" s="17" t="s">
        <v>6062</v>
      </c>
      <c r="E1716" s="17">
        <v>87</v>
      </c>
      <c r="F1716" s="27">
        <v>23</v>
      </c>
      <c r="G1716" s="17" t="s">
        <v>225</v>
      </c>
      <c r="H1716" s="17" t="s">
        <v>226</v>
      </c>
    </row>
    <row r="1717" spans="1:8" x14ac:dyDescent="0.25">
      <c r="A1717" s="16" t="s">
        <v>3572</v>
      </c>
      <c r="B1717" s="17" t="s">
        <v>83</v>
      </c>
      <c r="C1717" s="17" t="s">
        <v>6063</v>
      </c>
      <c r="D1717" s="17" t="s">
        <v>6064</v>
      </c>
      <c r="E1717" s="17">
        <v>87</v>
      </c>
      <c r="F1717" s="27">
        <v>23</v>
      </c>
      <c r="G1717" s="17" t="s">
        <v>225</v>
      </c>
      <c r="H1717" s="17" t="s">
        <v>226</v>
      </c>
    </row>
    <row r="1718" spans="1:8" x14ac:dyDescent="0.25">
      <c r="A1718" s="16" t="s">
        <v>3573</v>
      </c>
      <c r="B1718" s="17" t="s">
        <v>3574</v>
      </c>
      <c r="C1718" s="17" t="s">
        <v>6065</v>
      </c>
      <c r="D1718" s="17" t="s">
        <v>6066</v>
      </c>
      <c r="E1718" s="17">
        <v>87</v>
      </c>
      <c r="F1718" s="27">
        <v>23</v>
      </c>
      <c r="G1718" s="17" t="s">
        <v>3575</v>
      </c>
      <c r="H1718" s="17" t="s">
        <v>3576</v>
      </c>
    </row>
    <row r="1719" spans="1:8" x14ac:dyDescent="0.25">
      <c r="A1719" s="16" t="s">
        <v>3577</v>
      </c>
      <c r="B1719" s="17" t="s">
        <v>129</v>
      </c>
      <c r="C1719" s="17" t="s">
        <v>6067</v>
      </c>
      <c r="D1719" s="17" t="s">
        <v>6068</v>
      </c>
      <c r="E1719" s="17">
        <v>87</v>
      </c>
      <c r="F1719" s="27">
        <v>23</v>
      </c>
      <c r="G1719" s="17" t="s">
        <v>3575</v>
      </c>
      <c r="H1719" s="17" t="s">
        <v>3578</v>
      </c>
    </row>
    <row r="1720" spans="1:8" x14ac:dyDescent="0.25">
      <c r="A1720" s="16" t="s">
        <v>3579</v>
      </c>
      <c r="B1720" s="17" t="s">
        <v>23</v>
      </c>
      <c r="C1720" s="17" t="s">
        <v>3800</v>
      </c>
      <c r="D1720" s="17" t="s">
        <v>6069</v>
      </c>
      <c r="E1720" s="17">
        <v>87</v>
      </c>
      <c r="F1720" s="27">
        <v>23</v>
      </c>
      <c r="G1720" s="17" t="s">
        <v>3575</v>
      </c>
      <c r="H1720" s="17" t="s">
        <v>3580</v>
      </c>
    </row>
    <row r="1721" spans="1:8" x14ac:dyDescent="0.25">
      <c r="A1721" s="16" t="s">
        <v>3581</v>
      </c>
      <c r="B1721" s="17" t="s">
        <v>166</v>
      </c>
      <c r="C1721" s="17" t="s">
        <v>5821</v>
      </c>
      <c r="D1721" s="17" t="s">
        <v>6070</v>
      </c>
      <c r="E1721" s="17">
        <v>87</v>
      </c>
      <c r="F1721" s="27">
        <v>23</v>
      </c>
      <c r="G1721" s="17" t="s">
        <v>3575</v>
      </c>
      <c r="H1721" s="17" t="s">
        <v>3582</v>
      </c>
    </row>
    <row r="1722" spans="1:8" x14ac:dyDescent="0.25">
      <c r="A1722" s="16" t="s">
        <v>3583</v>
      </c>
      <c r="B1722" s="17" t="s">
        <v>3584</v>
      </c>
      <c r="C1722" s="17" t="s">
        <v>6071</v>
      </c>
      <c r="D1722" s="17" t="s">
        <v>6072</v>
      </c>
      <c r="E1722" s="17">
        <v>87</v>
      </c>
      <c r="F1722" s="27">
        <v>23</v>
      </c>
      <c r="G1722" s="17" t="s">
        <v>3575</v>
      </c>
      <c r="H1722" s="17" t="s">
        <v>3585</v>
      </c>
    </row>
    <row r="1723" spans="1:8" x14ac:dyDescent="0.25">
      <c r="A1723" s="16" t="s">
        <v>3586</v>
      </c>
      <c r="B1723" s="17" t="s">
        <v>3587</v>
      </c>
      <c r="C1723" s="17" t="s">
        <v>3758</v>
      </c>
      <c r="D1723" s="17" t="s">
        <v>6073</v>
      </c>
      <c r="E1723" s="17">
        <v>87</v>
      </c>
      <c r="F1723" s="27">
        <v>23</v>
      </c>
      <c r="G1723" s="17" t="s">
        <v>3575</v>
      </c>
      <c r="H1723" s="17" t="s">
        <v>3588</v>
      </c>
    </row>
    <row r="1724" spans="1:8" x14ac:dyDescent="0.25">
      <c r="A1724" s="16" t="s">
        <v>3589</v>
      </c>
      <c r="B1724" s="17" t="s">
        <v>1178</v>
      </c>
      <c r="C1724" s="17" t="s">
        <v>3764</v>
      </c>
      <c r="D1724" s="17" t="s">
        <v>6058</v>
      </c>
      <c r="E1724" s="17">
        <v>87</v>
      </c>
      <c r="F1724" s="27">
        <v>23</v>
      </c>
      <c r="G1724" s="17" t="s">
        <v>3590</v>
      </c>
      <c r="H1724" s="17" t="s">
        <v>3590</v>
      </c>
    </row>
    <row r="1725" spans="1:8" x14ac:dyDescent="0.25">
      <c r="A1725" s="16" t="s">
        <v>3591</v>
      </c>
      <c r="B1725" s="17" t="s">
        <v>306</v>
      </c>
      <c r="C1725" s="17" t="s">
        <v>6074</v>
      </c>
      <c r="D1725" s="17" t="s">
        <v>6075</v>
      </c>
      <c r="E1725" s="17">
        <v>87</v>
      </c>
      <c r="F1725" s="27">
        <v>23</v>
      </c>
      <c r="G1725" s="17" t="s">
        <v>3590</v>
      </c>
      <c r="H1725" s="17" t="s">
        <v>2652</v>
      </c>
    </row>
    <row r="1726" spans="1:8" x14ac:dyDescent="0.25">
      <c r="A1726" s="16" t="s">
        <v>3592</v>
      </c>
      <c r="B1726" s="17" t="s">
        <v>77</v>
      </c>
      <c r="C1726" s="17" t="s">
        <v>6076</v>
      </c>
      <c r="D1726" s="17" t="s">
        <v>6077</v>
      </c>
      <c r="E1726" s="17">
        <v>87</v>
      </c>
      <c r="F1726" s="27">
        <v>23</v>
      </c>
      <c r="G1726" s="17" t="s">
        <v>3593</v>
      </c>
      <c r="H1726" s="17" t="s">
        <v>3593</v>
      </c>
    </row>
    <row r="1727" spans="1:8" x14ac:dyDescent="0.25">
      <c r="A1727" s="16" t="s">
        <v>3594</v>
      </c>
      <c r="B1727" s="17" t="s">
        <v>123</v>
      </c>
      <c r="C1727" s="17" t="s">
        <v>6078</v>
      </c>
      <c r="D1727" s="17" t="s">
        <v>6079</v>
      </c>
      <c r="E1727" s="17">
        <v>87</v>
      </c>
      <c r="F1727" s="27">
        <v>23</v>
      </c>
      <c r="G1727" s="17" t="s">
        <v>3593</v>
      </c>
      <c r="H1727" s="17" t="s">
        <v>3595</v>
      </c>
    </row>
    <row r="1728" spans="1:8" x14ac:dyDescent="0.25">
      <c r="A1728" s="16" t="s">
        <v>3596</v>
      </c>
      <c r="B1728" s="17" t="s">
        <v>869</v>
      </c>
      <c r="C1728" s="17" t="s">
        <v>6080</v>
      </c>
      <c r="D1728" s="17" t="s">
        <v>6081</v>
      </c>
      <c r="E1728" s="17">
        <v>87</v>
      </c>
      <c r="F1728" s="27">
        <v>23</v>
      </c>
      <c r="G1728" s="17" t="s">
        <v>3593</v>
      </c>
      <c r="H1728" s="17" t="s">
        <v>3597</v>
      </c>
    </row>
    <row r="1729" spans="1:8" x14ac:dyDescent="0.25">
      <c r="A1729" s="16" t="s">
        <v>3598</v>
      </c>
      <c r="B1729" s="17" t="s">
        <v>41</v>
      </c>
      <c r="C1729" s="17" t="s">
        <v>6082</v>
      </c>
      <c r="D1729" s="17" t="s">
        <v>6083</v>
      </c>
      <c r="E1729" s="17">
        <v>87</v>
      </c>
      <c r="F1729" s="27">
        <v>23</v>
      </c>
      <c r="G1729" s="17" t="s">
        <v>3593</v>
      </c>
      <c r="H1729" s="17" t="s">
        <v>3599</v>
      </c>
    </row>
    <row r="1730" spans="1:8" x14ac:dyDescent="0.25">
      <c r="A1730" s="16" t="s">
        <v>3600</v>
      </c>
      <c r="B1730" s="17" t="s">
        <v>166</v>
      </c>
      <c r="C1730" s="17" t="s">
        <v>3871</v>
      </c>
      <c r="D1730" s="17" t="s">
        <v>6084</v>
      </c>
      <c r="E1730" s="17">
        <v>87</v>
      </c>
      <c r="F1730" s="27">
        <v>23</v>
      </c>
      <c r="G1730" s="17" t="s">
        <v>3593</v>
      </c>
      <c r="H1730" s="17" t="s">
        <v>3601</v>
      </c>
    </row>
    <row r="1731" spans="1:8" x14ac:dyDescent="0.25">
      <c r="A1731" s="16" t="s">
        <v>3602</v>
      </c>
      <c r="B1731" s="17" t="s">
        <v>97</v>
      </c>
      <c r="C1731" s="17" t="s">
        <v>6085</v>
      </c>
      <c r="D1731" s="17" t="s">
        <v>6086</v>
      </c>
      <c r="E1731" s="17">
        <v>88</v>
      </c>
      <c r="F1731" s="27">
        <v>23</v>
      </c>
      <c r="G1731" s="17" t="s">
        <v>3603</v>
      </c>
      <c r="H1731" s="17" t="s">
        <v>3603</v>
      </c>
    </row>
    <row r="1732" spans="1:8" x14ac:dyDescent="0.25">
      <c r="A1732" s="16" t="s">
        <v>3604</v>
      </c>
      <c r="B1732" s="17" t="s">
        <v>166</v>
      </c>
      <c r="C1732" s="17" t="s">
        <v>4037</v>
      </c>
      <c r="D1732" s="17" t="s">
        <v>6087</v>
      </c>
      <c r="E1732" s="17">
        <v>88</v>
      </c>
      <c r="F1732" s="27">
        <v>23</v>
      </c>
      <c r="G1732" s="17" t="s">
        <v>222</v>
      </c>
      <c r="H1732" s="17" t="s">
        <v>2067</v>
      </c>
    </row>
    <row r="1733" spans="1:8" x14ac:dyDescent="0.25">
      <c r="A1733" s="16" t="s">
        <v>3605</v>
      </c>
      <c r="B1733" s="17" t="s">
        <v>57</v>
      </c>
      <c r="C1733" s="17" t="s">
        <v>4800</v>
      </c>
      <c r="D1733" s="17" t="s">
        <v>6088</v>
      </c>
      <c r="E1733" s="17">
        <v>88</v>
      </c>
      <c r="F1733" s="27">
        <v>23</v>
      </c>
      <c r="G1733" s="17" t="s">
        <v>1355</v>
      </c>
      <c r="H1733" s="17" t="s">
        <v>1355</v>
      </c>
    </row>
    <row r="1734" spans="1:8" x14ac:dyDescent="0.25">
      <c r="A1734" s="16" t="s">
        <v>3606</v>
      </c>
      <c r="B1734" s="17" t="s">
        <v>32</v>
      </c>
      <c r="C1734" s="17" t="s">
        <v>6089</v>
      </c>
      <c r="D1734" s="17" t="s">
        <v>6090</v>
      </c>
      <c r="E1734" s="17">
        <v>88</v>
      </c>
      <c r="F1734" s="27">
        <v>23</v>
      </c>
      <c r="G1734" s="17" t="s">
        <v>1355</v>
      </c>
      <c r="H1734" s="17" t="s">
        <v>3607</v>
      </c>
    </row>
    <row r="1735" spans="1:8" x14ac:dyDescent="0.25">
      <c r="A1735" s="16" t="s">
        <v>3608</v>
      </c>
      <c r="B1735" s="17" t="s">
        <v>3609</v>
      </c>
      <c r="C1735" s="17" t="s">
        <v>6091</v>
      </c>
      <c r="D1735" s="17" t="s">
        <v>6092</v>
      </c>
      <c r="E1735" s="17">
        <v>88</v>
      </c>
      <c r="F1735" s="27">
        <v>23</v>
      </c>
      <c r="G1735" s="17" t="s">
        <v>225</v>
      </c>
      <c r="H1735" s="17" t="s">
        <v>226</v>
      </c>
    </row>
    <row r="1736" spans="1:8" x14ac:dyDescent="0.25">
      <c r="A1736" s="16" t="s">
        <v>3610</v>
      </c>
      <c r="B1736" s="17" t="s">
        <v>151</v>
      </c>
      <c r="C1736" s="17" t="s">
        <v>3758</v>
      </c>
      <c r="D1736" s="17" t="s">
        <v>6093</v>
      </c>
      <c r="E1736" s="17">
        <v>88</v>
      </c>
      <c r="F1736" s="27">
        <v>23</v>
      </c>
      <c r="G1736" s="17" t="s">
        <v>225</v>
      </c>
      <c r="H1736" s="17" t="s">
        <v>3611</v>
      </c>
    </row>
    <row r="1737" spans="1:8" x14ac:dyDescent="0.25">
      <c r="A1737" s="16" t="s">
        <v>3612</v>
      </c>
      <c r="B1737" s="17" t="s">
        <v>135</v>
      </c>
      <c r="C1737" s="17" t="s">
        <v>6094</v>
      </c>
      <c r="D1737" s="17" t="s">
        <v>6095</v>
      </c>
      <c r="E1737" s="17">
        <v>88</v>
      </c>
      <c r="F1737" s="27">
        <v>23</v>
      </c>
      <c r="G1737" s="17" t="s">
        <v>3613</v>
      </c>
      <c r="H1737" s="17" t="s">
        <v>3613</v>
      </c>
    </row>
    <row r="1738" spans="1:8" x14ac:dyDescent="0.25">
      <c r="A1738" s="16" t="s">
        <v>3614</v>
      </c>
      <c r="B1738" s="17" t="s">
        <v>2103</v>
      </c>
      <c r="C1738" s="17" t="s">
        <v>6096</v>
      </c>
      <c r="D1738" s="17" t="s">
        <v>6097</v>
      </c>
      <c r="E1738" s="17">
        <v>88</v>
      </c>
      <c r="F1738" s="27">
        <v>23</v>
      </c>
      <c r="G1738" s="17" t="s">
        <v>3615</v>
      </c>
      <c r="H1738" s="17" t="s">
        <v>3615</v>
      </c>
    </row>
    <row r="1739" spans="1:8" x14ac:dyDescent="0.25">
      <c r="A1739" s="16" t="s">
        <v>3616</v>
      </c>
      <c r="B1739" s="17" t="s">
        <v>77</v>
      </c>
      <c r="C1739" s="17" t="s">
        <v>6098</v>
      </c>
      <c r="D1739" s="17" t="s">
        <v>6099</v>
      </c>
      <c r="E1739" s="17">
        <v>88</v>
      </c>
      <c r="F1739" s="27">
        <v>23</v>
      </c>
      <c r="G1739" s="17" t="s">
        <v>1448</v>
      </c>
      <c r="H1739" s="17" t="s">
        <v>1448</v>
      </c>
    </row>
    <row r="1740" spans="1:8" x14ac:dyDescent="0.25">
      <c r="A1740" s="16" t="s">
        <v>3617</v>
      </c>
      <c r="B1740" s="17" t="s">
        <v>166</v>
      </c>
      <c r="C1740" s="17" t="s">
        <v>3814</v>
      </c>
      <c r="D1740" s="17" t="s">
        <v>6100</v>
      </c>
      <c r="E1740" s="17">
        <v>88</v>
      </c>
      <c r="F1740" s="27">
        <v>23</v>
      </c>
      <c r="G1740" s="17" t="s">
        <v>250</v>
      </c>
      <c r="H1740" s="17" t="s">
        <v>3618</v>
      </c>
    </row>
    <row r="1741" spans="1:8" x14ac:dyDescent="0.25">
      <c r="A1741" s="16" t="s">
        <v>3619</v>
      </c>
      <c r="B1741" s="17" t="s">
        <v>1029</v>
      </c>
      <c r="C1741" s="17" t="s">
        <v>6101</v>
      </c>
      <c r="D1741" s="17" t="s">
        <v>4188</v>
      </c>
      <c r="E1741" s="17">
        <v>88</v>
      </c>
      <c r="F1741" s="27">
        <v>23</v>
      </c>
      <c r="G1741" s="17" t="s">
        <v>250</v>
      </c>
      <c r="H1741" s="17" t="s">
        <v>2239</v>
      </c>
    </row>
    <row r="1742" spans="1:8" x14ac:dyDescent="0.25">
      <c r="A1742" s="16" t="s">
        <v>3620</v>
      </c>
      <c r="B1742" s="17" t="s">
        <v>3621</v>
      </c>
      <c r="C1742" s="17" t="s">
        <v>6102</v>
      </c>
      <c r="D1742" s="17" t="s">
        <v>6103</v>
      </c>
      <c r="E1742" s="17">
        <v>88</v>
      </c>
      <c r="F1742" s="27">
        <v>23</v>
      </c>
      <c r="G1742" s="17" t="s">
        <v>1451</v>
      </c>
      <c r="H1742" s="17" t="s">
        <v>3622</v>
      </c>
    </row>
    <row r="1743" spans="1:8" x14ac:dyDescent="0.25">
      <c r="A1743" s="16" t="s">
        <v>3623</v>
      </c>
      <c r="B1743" s="17" t="s">
        <v>3624</v>
      </c>
      <c r="C1743" s="17" t="s">
        <v>6104</v>
      </c>
      <c r="D1743" s="17" t="s">
        <v>6105</v>
      </c>
      <c r="E1743" s="17">
        <v>88</v>
      </c>
      <c r="F1743" s="27">
        <v>23</v>
      </c>
      <c r="G1743" s="17" t="s">
        <v>1451</v>
      </c>
      <c r="H1743" s="17" t="s">
        <v>1419</v>
      </c>
    </row>
    <row r="1744" spans="1:8" x14ac:dyDescent="0.25">
      <c r="A1744" s="16" t="s">
        <v>3625</v>
      </c>
      <c r="B1744" s="17" t="s">
        <v>2146</v>
      </c>
      <c r="C1744" s="17" t="s">
        <v>6106</v>
      </c>
      <c r="D1744" s="17" t="s">
        <v>6107</v>
      </c>
      <c r="E1744" s="17">
        <v>88</v>
      </c>
      <c r="F1744" s="27">
        <v>23</v>
      </c>
      <c r="G1744" s="17" t="s">
        <v>255</v>
      </c>
      <c r="H1744" s="17" t="s">
        <v>3626</v>
      </c>
    </row>
    <row r="1745" spans="1:8" x14ac:dyDescent="0.25">
      <c r="A1745" s="16" t="s">
        <v>3627</v>
      </c>
      <c r="B1745" s="17" t="s">
        <v>166</v>
      </c>
      <c r="C1745" s="17" t="s">
        <v>6108</v>
      </c>
      <c r="D1745" s="17" t="s">
        <v>6109</v>
      </c>
      <c r="E1745" s="17">
        <v>88</v>
      </c>
      <c r="F1745" s="27">
        <v>23</v>
      </c>
      <c r="G1745" s="17" t="s">
        <v>255</v>
      </c>
      <c r="H1745" s="17" t="s">
        <v>3628</v>
      </c>
    </row>
    <row r="1746" spans="1:8" x14ac:dyDescent="0.25">
      <c r="A1746" s="16" t="s">
        <v>6696</v>
      </c>
      <c r="B1746" s="17" t="s">
        <v>3587</v>
      </c>
      <c r="C1746" s="17" t="s">
        <v>3937</v>
      </c>
      <c r="D1746" s="17" t="s">
        <v>6697</v>
      </c>
      <c r="E1746" s="17">
        <v>30</v>
      </c>
      <c r="F1746" s="27">
        <v>20</v>
      </c>
      <c r="G1746" s="17" t="s">
        <v>1288</v>
      </c>
      <c r="H1746" s="17" t="s">
        <v>2488</v>
      </c>
    </row>
    <row r="1747" spans="1:8" x14ac:dyDescent="0.25">
      <c r="A1747" s="16" t="s">
        <v>6698</v>
      </c>
      <c r="B1747" s="17" t="s">
        <v>6699</v>
      </c>
      <c r="C1747" s="17" t="s">
        <v>6700</v>
      </c>
      <c r="D1747" s="17" t="s">
        <v>6701</v>
      </c>
      <c r="E1747" s="17">
        <v>30</v>
      </c>
      <c r="F1747" s="27">
        <v>20</v>
      </c>
      <c r="G1747" s="17" t="s">
        <v>1296</v>
      </c>
      <c r="H1747" s="17" t="s">
        <v>6392</v>
      </c>
    </row>
    <row r="1748" spans="1:8" x14ac:dyDescent="0.25">
      <c r="A1748" s="16" t="s">
        <v>6702</v>
      </c>
      <c r="B1748" s="17" t="s">
        <v>97</v>
      </c>
      <c r="C1748" s="17" t="s">
        <v>3937</v>
      </c>
      <c r="D1748" s="17" t="s">
        <v>6703</v>
      </c>
      <c r="E1748" s="17">
        <v>30</v>
      </c>
      <c r="F1748" s="27">
        <v>20</v>
      </c>
      <c r="G1748" s="17" t="s">
        <v>1288</v>
      </c>
      <c r="H1748" s="17" t="s">
        <v>1288</v>
      </c>
    </row>
    <row r="1749" spans="1:8" x14ac:dyDescent="0.25">
      <c r="A1749" s="16" t="s">
        <v>6704</v>
      </c>
      <c r="B1749" s="17" t="s">
        <v>6705</v>
      </c>
      <c r="C1749" s="17" t="s">
        <v>6706</v>
      </c>
      <c r="D1749" s="17" t="s">
        <v>6707</v>
      </c>
      <c r="E1749" s="17">
        <v>30</v>
      </c>
      <c r="F1749" s="27">
        <v>20</v>
      </c>
      <c r="G1749" s="17" t="s">
        <v>1296</v>
      </c>
      <c r="H1749" s="17" t="s">
        <v>6708</v>
      </c>
    </row>
    <row r="1750" spans="1:8" x14ac:dyDescent="0.25">
      <c r="A1750" s="16" t="s">
        <v>6709</v>
      </c>
      <c r="B1750" s="17" t="s">
        <v>6710</v>
      </c>
      <c r="C1750" s="17" t="s">
        <v>3766</v>
      </c>
      <c r="D1750" s="17" t="s">
        <v>6711</v>
      </c>
      <c r="E1750" s="17">
        <v>13</v>
      </c>
      <c r="F1750" s="27">
        <v>20</v>
      </c>
      <c r="G1750" s="17" t="s">
        <v>530</v>
      </c>
      <c r="H1750" s="17" t="s">
        <v>6712</v>
      </c>
    </row>
    <row r="1751" spans="1:8" x14ac:dyDescent="0.25">
      <c r="A1751" s="16" t="s">
        <v>3623</v>
      </c>
      <c r="B1751" s="17" t="s">
        <v>3624</v>
      </c>
      <c r="C1751" s="17" t="s">
        <v>6104</v>
      </c>
      <c r="D1751" s="17" t="s">
        <v>6105</v>
      </c>
      <c r="E1751" s="17">
        <v>88</v>
      </c>
      <c r="F1751" s="27">
        <v>23</v>
      </c>
      <c r="G1751" s="17" t="s">
        <v>1451</v>
      </c>
      <c r="H1751" s="17" t="s">
        <v>1419</v>
      </c>
    </row>
    <row r="1752" spans="1:8" x14ac:dyDescent="0.25">
      <c r="A1752" s="16" t="s">
        <v>3625</v>
      </c>
      <c r="B1752" s="17" t="s">
        <v>2146</v>
      </c>
      <c r="C1752" s="17" t="s">
        <v>6106</v>
      </c>
      <c r="D1752" s="17" t="s">
        <v>6107</v>
      </c>
      <c r="E1752" s="17">
        <v>88</v>
      </c>
      <c r="F1752" s="27">
        <v>23</v>
      </c>
      <c r="G1752" s="17" t="s">
        <v>255</v>
      </c>
      <c r="H1752" s="17" t="s">
        <v>3626</v>
      </c>
    </row>
    <row r="1753" spans="1:8" x14ac:dyDescent="0.25">
      <c r="A1753" s="16" t="s">
        <v>3627</v>
      </c>
      <c r="B1753" s="17" t="s">
        <v>166</v>
      </c>
      <c r="C1753" s="17" t="s">
        <v>6108</v>
      </c>
      <c r="D1753" s="17" t="s">
        <v>6109</v>
      </c>
      <c r="E1753" s="17">
        <v>88</v>
      </c>
      <c r="F1753" s="27">
        <v>23</v>
      </c>
      <c r="G1753" s="17" t="s">
        <v>255</v>
      </c>
      <c r="H1753" s="17" t="s">
        <v>3628</v>
      </c>
    </row>
  </sheetData>
  <sheetProtection password="FCC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workbookViewId="0">
      <selection activeCell="H10" sqref="H10"/>
    </sheetView>
  </sheetViews>
  <sheetFormatPr baseColWidth="10" defaultRowHeight="12.75" x14ac:dyDescent="0.2"/>
  <cols>
    <col min="1" max="1" width="17.140625" style="4" customWidth="1"/>
    <col min="2" max="2" width="25.5703125" style="4" customWidth="1"/>
    <col min="3" max="3" width="3.140625" style="4" customWidth="1"/>
    <col min="4" max="4" width="13.7109375" style="4" customWidth="1"/>
    <col min="5" max="5" width="27.7109375" style="4" customWidth="1"/>
    <col min="6" max="16384" width="11.42578125" style="4"/>
  </cols>
  <sheetData>
    <row r="1" spans="1:5" s="14" customFormat="1" x14ac:dyDescent="0.2">
      <c r="A1" s="14" t="s">
        <v>15</v>
      </c>
    </row>
    <row r="2" spans="1:5" ht="15" x14ac:dyDescent="0.2">
      <c r="A2" s="152" t="str">
        <f>IF(A19=1,"Primer Grado",IF(A19=2,"Segundo Grado",IF(A19=3,"Tercer Grado","Reporte")))</f>
        <v>Tercer Grado</v>
      </c>
      <c r="B2" s="152"/>
      <c r="C2" s="152"/>
      <c r="D2" s="152"/>
      <c r="E2" s="152"/>
    </row>
    <row r="3" spans="1:5" ht="15" x14ac:dyDescent="0.2">
      <c r="A3" s="152" t="s">
        <v>6120</v>
      </c>
      <c r="B3" s="152"/>
      <c r="C3" s="152"/>
      <c r="D3" s="152"/>
      <c r="E3" s="152"/>
    </row>
    <row r="4" spans="1:5" ht="15" x14ac:dyDescent="0.2">
      <c r="A4" s="154"/>
      <c r="B4" s="154"/>
      <c r="C4" s="154"/>
      <c r="D4" s="154"/>
      <c r="E4" s="154"/>
    </row>
    <row r="5" spans="1:5" ht="27.75" customHeight="1" x14ac:dyDescent="0.2"/>
    <row r="6" spans="1:5" x14ac:dyDescent="0.2">
      <c r="A6" s="5" t="s">
        <v>8</v>
      </c>
      <c r="D6" s="149" t="s">
        <v>7</v>
      </c>
      <c r="E6" s="149"/>
    </row>
    <row r="7" spans="1:5" ht="12.75" customHeight="1" x14ac:dyDescent="0.2">
      <c r="A7" s="13"/>
      <c r="D7" s="150" t="str">
        <f>IFERROR(VLOOKUP($A$7,teles_fed!$A$2:$F$1753,2,FALSE),"")</f>
        <v/>
      </c>
      <c r="E7" s="151"/>
    </row>
    <row r="8" spans="1:5" x14ac:dyDescent="0.2">
      <c r="D8" s="7"/>
    </row>
    <row r="9" spans="1:5" x14ac:dyDescent="0.2">
      <c r="A9" s="8" t="s">
        <v>1</v>
      </c>
      <c r="B9" s="9"/>
      <c r="D9" s="153" t="s">
        <v>2</v>
      </c>
      <c r="E9" s="153"/>
    </row>
    <row r="10" spans="1:5" x14ac:dyDescent="0.2">
      <c r="A10" s="245" t="str">
        <f>IFERROR(VLOOKUP($A$7,[1]teles_fed!A2:H1753,6,FALSE),"")</f>
        <v/>
      </c>
      <c r="B10" s="9"/>
      <c r="D10" s="147" t="str">
        <f>IFERROR(VLOOKUP(A10,Hoja1!A92:B115,2,FALSE),"")</f>
        <v/>
      </c>
      <c r="E10" s="148"/>
    </row>
    <row r="11" spans="1:5" x14ac:dyDescent="0.2">
      <c r="A11" s="9"/>
      <c r="B11" s="9"/>
      <c r="D11" s="7"/>
    </row>
    <row r="12" spans="1:5" x14ac:dyDescent="0.2">
      <c r="A12" s="8" t="s">
        <v>3</v>
      </c>
      <c r="B12" s="9"/>
      <c r="D12" s="153" t="s">
        <v>4</v>
      </c>
      <c r="E12" s="153"/>
    </row>
    <row r="13" spans="1:5" x14ac:dyDescent="0.2">
      <c r="A13" s="245" t="str">
        <f>IFERROR(VLOOKUP($A$7,[1]teles_fed!A2:H1753,5,FALSE),"")</f>
        <v/>
      </c>
      <c r="B13" s="9"/>
      <c r="D13" s="147" t="str">
        <f>IFERROR(VLOOKUP(A13,Hoja1!A2:B90,2,FALSE),"")</f>
        <v/>
      </c>
      <c r="E13" s="148"/>
    </row>
    <row r="14" spans="1:5" x14ac:dyDescent="0.2">
      <c r="A14" s="9"/>
      <c r="B14" s="9"/>
      <c r="D14" s="7"/>
    </row>
    <row r="15" spans="1:5" x14ac:dyDescent="0.2">
      <c r="A15" s="149" t="s">
        <v>5</v>
      </c>
      <c r="B15" s="149"/>
      <c r="D15" s="153" t="s">
        <v>6</v>
      </c>
      <c r="E15" s="153"/>
    </row>
    <row r="16" spans="1:5" x14ac:dyDescent="0.2">
      <c r="A16" s="147" t="str">
        <f>IFERROR(VLOOKUP($A$7,teles_fed!A2:H1753,8,FALSE),"")</f>
        <v/>
      </c>
      <c r="B16" s="148"/>
      <c r="D16" s="150" t="str">
        <f>IFERROR(VLOOKUP($A$7,teles_fed!A2:H1753,7,FALSE),"")</f>
        <v/>
      </c>
      <c r="E16" s="151"/>
    </row>
    <row r="17" spans="1:5" x14ac:dyDescent="0.2">
      <c r="A17" s="9"/>
      <c r="B17" s="9"/>
      <c r="D17" s="7"/>
    </row>
    <row r="18" spans="1:5" x14ac:dyDescent="0.2">
      <c r="A18" s="5" t="s">
        <v>14</v>
      </c>
      <c r="B18" s="9"/>
      <c r="D18" s="5" t="s">
        <v>10</v>
      </c>
    </row>
    <row r="19" spans="1:5" x14ac:dyDescent="0.2">
      <c r="A19" s="6">
        <v>3</v>
      </c>
      <c r="D19" s="6" t="s">
        <v>6116</v>
      </c>
    </row>
    <row r="20" spans="1:5" x14ac:dyDescent="0.2">
      <c r="A20" s="33"/>
      <c r="D20" s="33"/>
    </row>
    <row r="21" spans="1:5" x14ac:dyDescent="0.2">
      <c r="A21" s="32" t="s">
        <v>6121</v>
      </c>
      <c r="D21" s="33"/>
    </row>
    <row r="22" spans="1:5" x14ac:dyDescent="0.2">
      <c r="A22" s="6" t="s">
        <v>6384</v>
      </c>
      <c r="D22" s="33"/>
    </row>
    <row r="23" spans="1:5" x14ac:dyDescent="0.2">
      <c r="A23" s="9"/>
      <c r="B23" s="9"/>
    </row>
    <row r="24" spans="1:5" x14ac:dyDescent="0.2">
      <c r="A24" s="149" t="s">
        <v>9</v>
      </c>
      <c r="B24" s="149"/>
      <c r="D24" s="149" t="s">
        <v>11</v>
      </c>
      <c r="E24" s="149"/>
    </row>
    <row r="25" spans="1:5" x14ac:dyDescent="0.2">
      <c r="A25" s="150"/>
      <c r="B25" s="151"/>
      <c r="D25" s="150" t="str">
        <f>IFERROR(VLOOKUP($A$7,teles_fed!A2:H1753,4,FALSE),"")</f>
        <v/>
      </c>
      <c r="E25" s="151"/>
    </row>
    <row r="26" spans="1:5" x14ac:dyDescent="0.2">
      <c r="A26" s="9"/>
      <c r="B26" s="9"/>
    </row>
    <row r="27" spans="1:5" x14ac:dyDescent="0.2">
      <c r="A27" s="9"/>
      <c r="B27" s="9"/>
    </row>
  </sheetData>
  <sheetProtection password="9F17" sheet="1" objects="1" scenarios="1"/>
  <protectedRanges>
    <protectedRange sqref="A7 D7 D10 A10 A13 D13 D16 A16 A19 A22 D19 D25 A25" name="Datos"/>
  </protectedRanges>
  <mergeCells count="17">
    <mergeCell ref="A2:E2"/>
    <mergeCell ref="D15:E15"/>
    <mergeCell ref="A15:B15"/>
    <mergeCell ref="D16:E16"/>
    <mergeCell ref="A24:B24"/>
    <mergeCell ref="D6:E6"/>
    <mergeCell ref="D7:E7"/>
    <mergeCell ref="D9:E9"/>
    <mergeCell ref="D12:E12"/>
    <mergeCell ref="D13:E13"/>
    <mergeCell ref="A4:E4"/>
    <mergeCell ref="A3:E3"/>
    <mergeCell ref="A16:B16"/>
    <mergeCell ref="D24:E24"/>
    <mergeCell ref="D25:E25"/>
    <mergeCell ref="D10:E10"/>
    <mergeCell ref="A25:B25"/>
  </mergeCells>
  <pageMargins left="0.7" right="0.7" top="0.75" bottom="0.75" header="0.3" footer="0.3"/>
  <pageSetup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500"/>
  <sheetViews>
    <sheetView workbookViewId="0">
      <pane xSplit="2" ySplit="2" topLeftCell="C3" activePane="bottomRight" state="frozenSplit"/>
      <selection sqref="A1:A2"/>
      <selection pane="topRight" activeCell="E1" sqref="E1"/>
      <selection pane="bottomLeft" activeCell="A15" sqref="A15"/>
      <selection pane="bottomRight" activeCell="B7" sqref="B7"/>
    </sheetView>
  </sheetViews>
  <sheetFormatPr baseColWidth="10" defaultRowHeight="15" x14ac:dyDescent="0.25"/>
  <cols>
    <col min="1" max="1" width="29.7109375" style="127" customWidth="1"/>
    <col min="2" max="2" width="30.5703125" style="127" customWidth="1"/>
    <col min="3" max="3" width="10.7109375" style="21" bestFit="1" customWidth="1"/>
    <col min="4" max="4" width="19.7109375" style="126" hidden="1" customWidth="1"/>
    <col min="5" max="5" width="37.5703125" style="126" hidden="1" customWidth="1"/>
    <col min="6" max="6" width="10.7109375" style="126" customWidth="1"/>
    <col min="7" max="7" width="6.42578125" style="126" bestFit="1" customWidth="1"/>
    <col min="8" max="8" width="6.28515625" style="21" bestFit="1" customWidth="1"/>
    <col min="9" max="9" width="11.7109375" style="126" bestFit="1" customWidth="1"/>
    <col min="10" max="10" width="5.28515625" style="21" bestFit="1" customWidth="1"/>
    <col min="11" max="11" width="6.5703125" style="21" bestFit="1" customWidth="1"/>
    <col min="12" max="12" width="3.28515625" style="128" customWidth="1"/>
    <col min="13" max="13" width="3.28515625" style="126" customWidth="1"/>
    <col min="14" max="14" width="3.28515625" style="128" customWidth="1"/>
    <col min="15" max="15" width="3.28515625" style="126" customWidth="1"/>
    <col min="16" max="16" width="3.28515625" style="128" customWidth="1"/>
    <col min="17" max="17" width="3.28515625" style="126" customWidth="1"/>
    <col min="18" max="18" width="3.28515625" style="128" customWidth="1"/>
    <col min="19" max="19" width="3.28515625" style="126" customWidth="1"/>
    <col min="20" max="20" width="3.28515625" style="128" customWidth="1"/>
    <col min="21" max="21" width="3.28515625" style="126" customWidth="1"/>
    <col min="22" max="22" width="3.28515625" style="128" customWidth="1"/>
    <col min="23" max="23" width="3.28515625" style="126" customWidth="1"/>
    <col min="24" max="24" width="3.28515625" style="128" customWidth="1"/>
    <col min="25" max="25" width="3.28515625" style="126" customWidth="1"/>
    <col min="26" max="26" width="3.28515625" style="128" customWidth="1"/>
    <col min="27" max="27" width="3.28515625" style="126" customWidth="1"/>
    <col min="28" max="28" width="3.28515625" style="128" customWidth="1"/>
    <col min="29" max="29" width="3.28515625" style="126" customWidth="1"/>
    <col min="30" max="30" width="3.28515625" style="128" customWidth="1"/>
    <col min="31" max="31" width="3.28515625" style="126" customWidth="1"/>
    <col min="32" max="32" width="3.28515625" style="129" customWidth="1"/>
    <col min="33" max="33" width="3.28515625" style="126" customWidth="1"/>
    <col min="34" max="34" width="3.28515625" style="129" customWidth="1"/>
    <col min="35" max="35" width="3.28515625" style="126" customWidth="1"/>
    <col min="36" max="36" width="3.28515625" style="129" customWidth="1"/>
    <col min="37" max="37" width="3.28515625" style="126" customWidth="1"/>
    <col min="38" max="38" width="3.28515625" style="129" customWidth="1"/>
    <col min="39" max="39" width="3.28515625" style="126" customWidth="1"/>
    <col min="40" max="40" width="3.28515625" style="129" customWidth="1"/>
    <col min="41" max="41" width="3.28515625" style="126" customWidth="1"/>
    <col min="42" max="42" width="3.28515625" style="130" customWidth="1"/>
    <col min="43" max="43" width="3.28515625" style="126" customWidth="1"/>
    <col min="44" max="44" width="3.28515625" style="130" customWidth="1"/>
    <col min="45" max="45" width="3.28515625" style="126" customWidth="1"/>
    <col min="46" max="46" width="3.28515625" style="130" customWidth="1"/>
    <col min="47" max="47" width="3.28515625" style="126" customWidth="1"/>
    <col min="48" max="48" width="3.28515625" style="130" customWidth="1"/>
    <col min="49" max="49" width="3.28515625" style="126" customWidth="1"/>
    <col min="50" max="50" width="3.28515625" style="130" customWidth="1"/>
    <col min="51" max="51" width="3.28515625" style="126" customWidth="1"/>
    <col min="52" max="52" width="3.28515625" style="130" customWidth="1"/>
    <col min="53" max="53" width="3.28515625" style="126" customWidth="1"/>
    <col min="54" max="54" width="3.28515625" style="130" customWidth="1"/>
    <col min="55" max="55" width="3.28515625" style="126" customWidth="1"/>
    <col min="56" max="56" width="3.28515625" style="130" customWidth="1"/>
    <col min="57" max="57" width="3.28515625" style="126" customWidth="1"/>
    <col min="58" max="58" width="3.28515625" style="130" customWidth="1"/>
    <col min="59" max="59" width="3.28515625" style="126" customWidth="1"/>
    <col min="60" max="60" width="3.28515625" style="130" customWidth="1"/>
    <col min="61" max="61" width="3.28515625" style="126" customWidth="1"/>
    <col min="62" max="62" width="3.28515625" style="131" customWidth="1"/>
    <col min="63" max="63" width="3.28515625" style="126" customWidth="1"/>
    <col min="64" max="64" width="3.28515625" style="131" customWidth="1"/>
    <col min="65" max="65" width="3.28515625" style="126" customWidth="1"/>
    <col min="66" max="66" width="3.28515625" style="131" customWidth="1"/>
    <col min="67" max="67" width="3.28515625" style="126" customWidth="1"/>
    <col min="68" max="68" width="3.28515625" style="131" customWidth="1"/>
    <col min="69" max="69" width="3.28515625" style="126" customWidth="1"/>
    <col min="70" max="70" width="3.28515625" style="131" customWidth="1"/>
    <col min="71" max="71" width="3.28515625" style="126" customWidth="1"/>
    <col min="72" max="72" width="3.28515625" style="131" customWidth="1"/>
    <col min="73" max="73" width="3.28515625" style="126" customWidth="1"/>
    <col min="74" max="74" width="3.28515625" style="131" customWidth="1"/>
    <col min="75" max="75" width="3.28515625" style="126" customWidth="1"/>
    <col min="76" max="76" width="3.28515625" style="131" customWidth="1"/>
    <col min="77" max="77" width="3.28515625" style="126" customWidth="1"/>
    <col min="78" max="78" width="3.28515625" style="131" customWidth="1"/>
    <col min="79" max="79" width="3.7109375" style="126" customWidth="1"/>
    <col min="80" max="80" width="3.28515625" style="131" customWidth="1"/>
    <col min="81" max="81" width="3.28515625" style="126" customWidth="1"/>
    <col min="82" max="82" width="3.28515625" style="134" customWidth="1"/>
    <col min="83" max="83" width="3.28515625" style="126" customWidth="1"/>
    <col min="84" max="84" width="3.28515625" style="134" customWidth="1"/>
    <col min="85" max="85" width="3.28515625" style="126" customWidth="1"/>
    <col min="86" max="86" width="3.28515625" style="134" customWidth="1"/>
    <col min="87" max="87" width="3.28515625" style="126" customWidth="1"/>
    <col min="88" max="88" width="3.28515625" style="134" customWidth="1"/>
    <col min="89" max="89" width="3.28515625" style="126" customWidth="1"/>
    <col min="90" max="90" width="3.28515625" style="134" customWidth="1"/>
    <col min="91" max="91" width="3.28515625" style="126" customWidth="1"/>
    <col min="92" max="92" width="3.28515625" style="134" customWidth="1"/>
    <col min="93" max="93" width="3.28515625" style="126" customWidth="1"/>
    <col min="94" max="94" width="3.28515625" style="134" customWidth="1"/>
    <col min="95" max="95" width="3.28515625" style="126" customWidth="1"/>
    <col min="96" max="96" width="3.28515625" style="134" customWidth="1"/>
    <col min="97" max="97" width="7.85546875" style="142" hidden="1" customWidth="1"/>
    <col min="98" max="98" width="21.85546875" style="142" hidden="1" customWidth="1"/>
    <col min="99" max="99" width="12.28515625" style="142" hidden="1" customWidth="1"/>
    <col min="100" max="100" width="8.28515625" style="142" hidden="1" customWidth="1"/>
    <col min="101" max="101" width="11.42578125" style="142" hidden="1" customWidth="1"/>
    <col min="102" max="186" width="3.28515625" style="138" hidden="1" customWidth="1"/>
    <col min="187" max="187" width="8.7109375" style="135" hidden="1" customWidth="1"/>
    <col min="188" max="188" width="16" style="135" customWidth="1"/>
    <col min="189" max="214" width="3.28515625" style="135" customWidth="1"/>
    <col min="215" max="16384" width="11.42578125" style="135"/>
  </cols>
  <sheetData>
    <row r="1" spans="1:187" s="126" customFormat="1" ht="15" customHeight="1" x14ac:dyDescent="0.25">
      <c r="A1" s="160" t="s">
        <v>6119</v>
      </c>
      <c r="B1" s="160" t="s">
        <v>0</v>
      </c>
      <c r="C1" s="161" t="s">
        <v>6118</v>
      </c>
      <c r="D1" s="122" t="s">
        <v>6383</v>
      </c>
      <c r="E1" s="122" t="s">
        <v>6383</v>
      </c>
      <c r="F1" s="162" t="s">
        <v>6121</v>
      </c>
      <c r="G1" s="160" t="s">
        <v>10</v>
      </c>
      <c r="H1" s="161" t="s">
        <v>14</v>
      </c>
      <c r="I1" s="160" t="s">
        <v>8</v>
      </c>
      <c r="J1" s="161" t="s">
        <v>3</v>
      </c>
      <c r="K1" s="161" t="s">
        <v>1</v>
      </c>
      <c r="L1" s="156" t="s">
        <v>6114</v>
      </c>
      <c r="M1" s="156"/>
      <c r="N1" s="156"/>
      <c r="O1" s="156"/>
      <c r="P1" s="156"/>
      <c r="Q1" s="156"/>
      <c r="R1" s="156"/>
      <c r="S1" s="156"/>
      <c r="T1" s="156"/>
      <c r="U1" s="156"/>
      <c r="V1" s="156"/>
      <c r="W1" s="156"/>
      <c r="X1" s="156"/>
      <c r="Y1" s="156"/>
      <c r="Z1" s="156"/>
      <c r="AA1" s="156"/>
      <c r="AB1" s="156"/>
      <c r="AC1" s="156"/>
      <c r="AD1" s="156"/>
      <c r="AE1" s="156"/>
      <c r="AF1" s="159" t="s">
        <v>6126</v>
      </c>
      <c r="AG1" s="159"/>
      <c r="AH1" s="159"/>
      <c r="AI1" s="159"/>
      <c r="AJ1" s="159"/>
      <c r="AK1" s="159"/>
      <c r="AL1" s="159"/>
      <c r="AM1" s="159"/>
      <c r="AN1" s="159"/>
      <c r="AO1" s="159"/>
      <c r="AP1" s="155" t="s">
        <v>6115</v>
      </c>
      <c r="AQ1" s="155"/>
      <c r="AR1" s="155"/>
      <c r="AS1" s="155"/>
      <c r="AT1" s="155"/>
      <c r="AU1" s="155"/>
      <c r="AV1" s="155"/>
      <c r="AW1" s="155"/>
      <c r="AX1" s="155"/>
      <c r="AY1" s="155"/>
      <c r="AZ1" s="155"/>
      <c r="BA1" s="155"/>
      <c r="BB1" s="155"/>
      <c r="BC1" s="155"/>
      <c r="BD1" s="155"/>
      <c r="BE1" s="155"/>
      <c r="BF1" s="155"/>
      <c r="BG1" s="155"/>
      <c r="BH1" s="155"/>
      <c r="BI1" s="155"/>
      <c r="BJ1" s="157" t="s">
        <v>6117</v>
      </c>
      <c r="BK1" s="157"/>
      <c r="BL1" s="157"/>
      <c r="BM1" s="157"/>
      <c r="BN1" s="157"/>
      <c r="BO1" s="157"/>
      <c r="BP1" s="157"/>
      <c r="BQ1" s="157"/>
      <c r="BR1" s="157"/>
      <c r="BS1" s="157"/>
      <c r="BT1" s="157"/>
      <c r="BU1" s="157"/>
      <c r="BV1" s="157"/>
      <c r="BW1" s="157"/>
      <c r="BX1" s="157"/>
      <c r="BY1" s="157"/>
      <c r="BZ1" s="157"/>
      <c r="CA1" s="157"/>
      <c r="CB1" s="157"/>
      <c r="CC1" s="158"/>
      <c r="CD1" s="123"/>
      <c r="CE1" s="124"/>
      <c r="CF1" s="124"/>
      <c r="CG1" s="124" t="str">
        <f>IF('Datos Generales'!A19=1,"Geografía de México y del Mundo",IF('Datos Generales'!A19=2,"Historia I",IF('Datos Generales'!A19=3,"Historia II")))</f>
        <v>Historia II</v>
      </c>
      <c r="CH1" s="124"/>
      <c r="CI1" s="124"/>
      <c r="CJ1" s="124"/>
      <c r="CK1" s="124"/>
      <c r="CL1" s="124"/>
      <c r="CM1" s="124"/>
      <c r="CN1" s="124"/>
      <c r="CO1" s="124"/>
      <c r="CP1" s="124"/>
      <c r="CQ1" s="124"/>
      <c r="CR1" s="125"/>
      <c r="CS1" s="139" t="s">
        <v>6621</v>
      </c>
      <c r="CT1" s="140" t="s">
        <v>6622</v>
      </c>
      <c r="CU1" s="140" t="s">
        <v>6624</v>
      </c>
      <c r="CV1" s="140" t="s">
        <v>6623</v>
      </c>
      <c r="CW1" s="141" t="s">
        <v>6625</v>
      </c>
      <c r="CX1" s="137" t="s">
        <v>6114</v>
      </c>
      <c r="CY1" s="21"/>
      <c r="CZ1" s="21"/>
      <c r="DA1" s="21"/>
      <c r="DB1" s="21"/>
      <c r="DC1" s="21"/>
      <c r="DD1" s="21"/>
      <c r="DE1" s="21"/>
      <c r="DF1" s="21"/>
      <c r="DG1" s="21"/>
      <c r="DH1" s="21"/>
      <c r="DI1" s="21"/>
      <c r="DJ1" s="21"/>
      <c r="DK1" s="21"/>
      <c r="DL1" s="21"/>
      <c r="DM1" s="21"/>
      <c r="DN1" s="21"/>
      <c r="DO1" s="21"/>
      <c r="DP1" s="21"/>
      <c r="DQ1" s="21"/>
      <c r="DR1" s="137" t="s">
        <v>6390</v>
      </c>
      <c r="DS1" s="21"/>
      <c r="DT1" s="21"/>
      <c r="DU1" s="21"/>
      <c r="DV1" s="21"/>
      <c r="DW1" s="21"/>
      <c r="DX1" s="21"/>
      <c r="DY1" s="21"/>
      <c r="DZ1" s="21"/>
      <c r="EA1" s="21"/>
      <c r="EB1" s="137" t="s">
        <v>6115</v>
      </c>
      <c r="EC1" s="21"/>
      <c r="ED1" s="21"/>
      <c r="EE1" s="21"/>
      <c r="EF1" s="21"/>
      <c r="EG1" s="21"/>
      <c r="EH1" s="21"/>
      <c r="EI1" s="21"/>
      <c r="EJ1" s="21"/>
      <c r="EK1" s="21"/>
      <c r="EL1" s="21"/>
      <c r="EM1" s="21"/>
      <c r="EN1" s="21"/>
      <c r="EO1" s="21"/>
      <c r="EP1" s="21"/>
      <c r="EQ1" s="21"/>
      <c r="ER1" s="21"/>
      <c r="ES1" s="21"/>
      <c r="ET1" s="21"/>
      <c r="EU1" s="21"/>
      <c r="EV1" s="137" t="s">
        <v>6117</v>
      </c>
      <c r="EW1" s="21"/>
      <c r="EX1" s="21"/>
      <c r="EY1" s="21"/>
      <c r="EZ1" s="21"/>
      <c r="FA1" s="21"/>
      <c r="FB1" s="21"/>
      <c r="FC1" s="21"/>
      <c r="FD1" s="21"/>
      <c r="FE1" s="21"/>
      <c r="FF1" s="21"/>
      <c r="FG1" s="21"/>
      <c r="FH1" s="21"/>
      <c r="FI1" s="21"/>
      <c r="FJ1" s="21"/>
      <c r="FK1" s="21"/>
      <c r="FL1" s="21"/>
      <c r="FM1" s="21"/>
      <c r="FN1" s="21"/>
      <c r="FO1" s="21"/>
      <c r="FP1" s="137" t="s">
        <v>6391</v>
      </c>
      <c r="FQ1" s="21"/>
      <c r="FR1" s="21"/>
      <c r="FS1" s="21"/>
      <c r="FT1" s="21"/>
      <c r="FU1" s="21"/>
      <c r="FV1" s="21"/>
      <c r="FW1" s="21"/>
      <c r="FX1" s="21"/>
      <c r="FY1" s="21"/>
      <c r="FZ1" s="21"/>
      <c r="GA1" s="21"/>
      <c r="GB1" s="21"/>
      <c r="GC1" s="21"/>
      <c r="GD1" s="21"/>
    </row>
    <row r="2" spans="1:187" s="126" customFormat="1" x14ac:dyDescent="0.25">
      <c r="A2" s="160"/>
      <c r="B2" s="160"/>
      <c r="C2" s="161"/>
      <c r="D2" s="122"/>
      <c r="E2" s="122"/>
      <c r="F2" s="163"/>
      <c r="G2" s="160"/>
      <c r="H2" s="161"/>
      <c r="I2" s="160"/>
      <c r="J2" s="161"/>
      <c r="K2" s="161"/>
      <c r="L2" s="128">
        <v>1</v>
      </c>
      <c r="M2" s="126">
        <v>2</v>
      </c>
      <c r="N2" s="128">
        <v>3</v>
      </c>
      <c r="O2" s="126">
        <v>4</v>
      </c>
      <c r="P2" s="128">
        <v>5</v>
      </c>
      <c r="Q2" s="126">
        <v>6</v>
      </c>
      <c r="R2" s="128">
        <v>7</v>
      </c>
      <c r="S2" s="126">
        <v>8</v>
      </c>
      <c r="T2" s="128">
        <v>9</v>
      </c>
      <c r="U2" s="126">
        <v>10</v>
      </c>
      <c r="V2" s="128">
        <v>11</v>
      </c>
      <c r="W2" s="126">
        <v>12</v>
      </c>
      <c r="X2" s="128">
        <v>13</v>
      </c>
      <c r="Y2" s="126">
        <v>14</v>
      </c>
      <c r="Z2" s="128">
        <v>15</v>
      </c>
      <c r="AA2" s="126">
        <v>16</v>
      </c>
      <c r="AB2" s="128">
        <v>17</v>
      </c>
      <c r="AC2" s="126">
        <v>18</v>
      </c>
      <c r="AD2" s="128">
        <v>19</v>
      </c>
      <c r="AE2" s="126">
        <v>20</v>
      </c>
      <c r="AF2" s="129">
        <v>1</v>
      </c>
      <c r="AG2" s="126">
        <v>2</v>
      </c>
      <c r="AH2" s="129">
        <v>3</v>
      </c>
      <c r="AI2" s="126">
        <v>4</v>
      </c>
      <c r="AJ2" s="129">
        <v>5</v>
      </c>
      <c r="AK2" s="126">
        <v>6</v>
      </c>
      <c r="AL2" s="129">
        <v>7</v>
      </c>
      <c r="AM2" s="126">
        <v>8</v>
      </c>
      <c r="AN2" s="129">
        <v>9</v>
      </c>
      <c r="AO2" s="126">
        <v>10</v>
      </c>
      <c r="AP2" s="130">
        <v>1</v>
      </c>
      <c r="AQ2" s="126">
        <v>2</v>
      </c>
      <c r="AR2" s="130">
        <v>3</v>
      </c>
      <c r="AS2" s="126">
        <v>4</v>
      </c>
      <c r="AT2" s="130">
        <v>5</v>
      </c>
      <c r="AU2" s="126">
        <v>6</v>
      </c>
      <c r="AV2" s="130">
        <v>7</v>
      </c>
      <c r="AW2" s="126">
        <v>8</v>
      </c>
      <c r="AX2" s="130">
        <v>9</v>
      </c>
      <c r="AY2" s="126">
        <v>10</v>
      </c>
      <c r="AZ2" s="130">
        <v>11</v>
      </c>
      <c r="BA2" s="126">
        <v>12</v>
      </c>
      <c r="BB2" s="130">
        <v>13</v>
      </c>
      <c r="BC2" s="126">
        <v>14</v>
      </c>
      <c r="BD2" s="130">
        <v>15</v>
      </c>
      <c r="BE2" s="126">
        <v>16</v>
      </c>
      <c r="BF2" s="130">
        <v>17</v>
      </c>
      <c r="BG2" s="126">
        <v>18</v>
      </c>
      <c r="BH2" s="130">
        <v>19</v>
      </c>
      <c r="BI2" s="126">
        <v>20</v>
      </c>
      <c r="BJ2" s="131">
        <v>1</v>
      </c>
      <c r="BK2" s="126">
        <v>2</v>
      </c>
      <c r="BL2" s="131">
        <v>3</v>
      </c>
      <c r="BM2" s="126">
        <v>4</v>
      </c>
      <c r="BN2" s="131">
        <v>5</v>
      </c>
      <c r="BO2" s="126">
        <v>6</v>
      </c>
      <c r="BP2" s="131">
        <v>7</v>
      </c>
      <c r="BQ2" s="126">
        <v>8</v>
      </c>
      <c r="BR2" s="131">
        <v>9</v>
      </c>
      <c r="BS2" s="126">
        <v>10</v>
      </c>
      <c r="BT2" s="131">
        <v>11</v>
      </c>
      <c r="BU2" s="126">
        <v>12</v>
      </c>
      <c r="BV2" s="131">
        <v>13</v>
      </c>
      <c r="BW2" s="126">
        <v>14</v>
      </c>
      <c r="BX2" s="131">
        <v>15</v>
      </c>
      <c r="BY2" s="126">
        <v>16</v>
      </c>
      <c r="BZ2" s="131">
        <v>17</v>
      </c>
      <c r="CA2" s="126">
        <v>18</v>
      </c>
      <c r="CB2" s="131">
        <v>19</v>
      </c>
      <c r="CC2" s="126">
        <v>20</v>
      </c>
      <c r="CD2" s="132">
        <v>1</v>
      </c>
      <c r="CE2" s="133">
        <v>2</v>
      </c>
      <c r="CF2" s="132">
        <v>3</v>
      </c>
      <c r="CG2" s="133">
        <v>4</v>
      </c>
      <c r="CH2" s="132">
        <v>5</v>
      </c>
      <c r="CI2" s="133">
        <v>6</v>
      </c>
      <c r="CJ2" s="132">
        <v>7</v>
      </c>
      <c r="CK2" s="133">
        <v>8</v>
      </c>
      <c r="CL2" s="132">
        <v>9</v>
      </c>
      <c r="CM2" s="133">
        <v>10</v>
      </c>
      <c r="CN2" s="132" t="str">
        <f>IF('Datos Generales'!A19=1,"11","")</f>
        <v/>
      </c>
      <c r="CO2" s="133" t="str">
        <f>IF('Datos Generales'!A19=1,"12","")</f>
        <v/>
      </c>
      <c r="CP2" s="132" t="str">
        <f>IF('Datos Generales'!A19=1,"13","")</f>
        <v/>
      </c>
      <c r="CQ2" s="133" t="str">
        <f>IF('Datos Generales'!A19=1,"14","")</f>
        <v/>
      </c>
      <c r="CR2" s="132" t="str">
        <f>IF('Datos Generales'!A19=1,"15","")</f>
        <v/>
      </c>
      <c r="CS2" s="140"/>
      <c r="CT2" s="140"/>
      <c r="CU2" s="140"/>
      <c r="CV2" s="140"/>
      <c r="CW2" s="140"/>
      <c r="CX2" s="21">
        <v>1</v>
      </c>
      <c r="CY2" s="21">
        <v>2</v>
      </c>
      <c r="CZ2" s="21">
        <v>3</v>
      </c>
      <c r="DA2" s="21">
        <v>4</v>
      </c>
      <c r="DB2" s="21">
        <v>5</v>
      </c>
      <c r="DC2" s="21">
        <v>6</v>
      </c>
      <c r="DD2" s="21">
        <v>7</v>
      </c>
      <c r="DE2" s="21">
        <v>8</v>
      </c>
      <c r="DF2" s="21">
        <v>9</v>
      </c>
      <c r="DG2" s="21">
        <v>10</v>
      </c>
      <c r="DH2" s="21">
        <v>11</v>
      </c>
      <c r="DI2" s="21">
        <v>12</v>
      </c>
      <c r="DJ2" s="21">
        <v>13</v>
      </c>
      <c r="DK2" s="21">
        <v>14</v>
      </c>
      <c r="DL2" s="21">
        <v>15</v>
      </c>
      <c r="DM2" s="21">
        <v>16</v>
      </c>
      <c r="DN2" s="21">
        <v>17</v>
      </c>
      <c r="DO2" s="21">
        <v>18</v>
      </c>
      <c r="DP2" s="21">
        <v>19</v>
      </c>
      <c r="DQ2" s="21">
        <v>20</v>
      </c>
      <c r="DR2" s="21">
        <v>1</v>
      </c>
      <c r="DS2" s="21">
        <v>2</v>
      </c>
      <c r="DT2" s="21">
        <v>3</v>
      </c>
      <c r="DU2" s="21">
        <v>4</v>
      </c>
      <c r="DV2" s="21">
        <v>5</v>
      </c>
      <c r="DW2" s="21">
        <v>6</v>
      </c>
      <c r="DX2" s="21">
        <v>7</v>
      </c>
      <c r="DY2" s="21">
        <v>8</v>
      </c>
      <c r="DZ2" s="21">
        <v>9</v>
      </c>
      <c r="EA2" s="21">
        <v>10</v>
      </c>
      <c r="EB2" s="21">
        <v>1</v>
      </c>
      <c r="EC2" s="21">
        <v>2</v>
      </c>
      <c r="ED2" s="21">
        <v>3</v>
      </c>
      <c r="EE2" s="21">
        <v>4</v>
      </c>
      <c r="EF2" s="21">
        <v>5</v>
      </c>
      <c r="EG2" s="21">
        <v>6</v>
      </c>
      <c r="EH2" s="21">
        <v>7</v>
      </c>
      <c r="EI2" s="21">
        <v>8</v>
      </c>
      <c r="EJ2" s="21">
        <v>9</v>
      </c>
      <c r="EK2" s="21">
        <v>10</v>
      </c>
      <c r="EL2" s="21">
        <v>11</v>
      </c>
      <c r="EM2" s="21">
        <v>12</v>
      </c>
      <c r="EN2" s="21">
        <v>13</v>
      </c>
      <c r="EO2" s="21">
        <v>14</v>
      </c>
      <c r="EP2" s="21">
        <v>15</v>
      </c>
      <c r="EQ2" s="21">
        <v>16</v>
      </c>
      <c r="ER2" s="21">
        <v>17</v>
      </c>
      <c r="ES2" s="21">
        <v>18</v>
      </c>
      <c r="ET2" s="21">
        <v>19</v>
      </c>
      <c r="EU2" s="21">
        <v>20</v>
      </c>
      <c r="EV2" s="21">
        <v>1</v>
      </c>
      <c r="EW2" s="21">
        <v>2</v>
      </c>
      <c r="EX2" s="21">
        <v>3</v>
      </c>
      <c r="EY2" s="21">
        <v>4</v>
      </c>
      <c r="EZ2" s="21">
        <v>5</v>
      </c>
      <c r="FA2" s="21">
        <v>6</v>
      </c>
      <c r="FB2" s="21">
        <v>7</v>
      </c>
      <c r="FC2" s="21">
        <v>8</v>
      </c>
      <c r="FD2" s="21">
        <v>9</v>
      </c>
      <c r="FE2" s="21">
        <v>10</v>
      </c>
      <c r="FF2" s="21">
        <v>11</v>
      </c>
      <c r="FG2" s="21">
        <v>12</v>
      </c>
      <c r="FH2" s="21">
        <v>13</v>
      </c>
      <c r="FI2" s="21">
        <v>14</v>
      </c>
      <c r="FJ2" s="21">
        <v>15</v>
      </c>
      <c r="FK2" s="21">
        <v>16</v>
      </c>
      <c r="FL2" s="21">
        <v>17</v>
      </c>
      <c r="FM2" s="21">
        <v>18</v>
      </c>
      <c r="FN2" s="21">
        <v>19</v>
      </c>
      <c r="FO2" s="21">
        <v>20</v>
      </c>
      <c r="FP2" s="21">
        <v>1</v>
      </c>
      <c r="FQ2" s="21">
        <v>2</v>
      </c>
      <c r="FR2" s="21">
        <v>3</v>
      </c>
      <c r="FS2" s="21">
        <v>4</v>
      </c>
      <c r="FT2" s="21">
        <v>5</v>
      </c>
      <c r="FU2" s="21">
        <v>6</v>
      </c>
      <c r="FV2" s="21">
        <v>7</v>
      </c>
      <c r="FW2" s="21">
        <v>8</v>
      </c>
      <c r="FX2" s="21">
        <v>9</v>
      </c>
      <c r="FY2" s="21">
        <v>10</v>
      </c>
      <c r="FZ2" s="21">
        <v>11</v>
      </c>
      <c r="GA2" s="21">
        <v>12</v>
      </c>
      <c r="GB2" s="21">
        <v>13</v>
      </c>
      <c r="GC2" s="21">
        <v>14</v>
      </c>
      <c r="GD2" s="21">
        <v>15</v>
      </c>
      <c r="GE2" s="126" t="s">
        <v>6620</v>
      </c>
    </row>
    <row r="3" spans="1:187" x14ac:dyDescent="0.25">
      <c r="A3" s="127" t="str">
        <f>IF(C3="","",'Datos Generales'!$A$25)</f>
        <v/>
      </c>
      <c r="D3" s="126" t="str">
        <f>CONCATENATE(C3,F3,G3,H3,I3,J3,K3)</f>
        <v/>
      </c>
      <c r="E3" s="126">
        <f>B3</f>
        <v>0</v>
      </c>
      <c r="G3" s="126" t="str">
        <f>IF(C3="","",'Datos Generales'!$D$19)</f>
        <v/>
      </c>
      <c r="H3" s="21" t="str">
        <f>IF(C3="","",'Datos Generales'!$A$19)</f>
        <v/>
      </c>
      <c r="I3" s="126" t="str">
        <f>IF(C3="","",'Datos Generales'!$A$7)</f>
        <v/>
      </c>
      <c r="J3" s="21" t="str">
        <f>IF(C3="","",'Datos Generales'!$A$13)</f>
        <v/>
      </c>
      <c r="K3" s="21" t="str">
        <f>IF(C3="","",'Datos Generales'!$A$10)</f>
        <v/>
      </c>
      <c r="CA3" s="127"/>
      <c r="CS3" s="142" t="str">
        <f>IF(C3="","",AVERAGE(CX3:DQ3))</f>
        <v/>
      </c>
      <c r="CT3" s="142" t="str">
        <f>IF(C3="","",AVERAGE(DR3:EA3))</f>
        <v/>
      </c>
      <c r="CU3" s="142" t="str">
        <f>IF(C3="","",AVERAGE(EB3:EU3))</f>
        <v/>
      </c>
      <c r="CV3" s="142" t="str">
        <f>IF(C3="","",AVERAGE(EV3:FO3))</f>
        <v/>
      </c>
      <c r="CW3" s="142" t="str">
        <f>IF(C3="","",IF('Datos Generales'!$A$19=1,AVERAGE(FP3:GD3),AVERAGE(Captura!FP3:FY3)))</f>
        <v/>
      </c>
      <c r="CX3" s="138" t="e">
        <f>IF(VLOOKUP(CONCATENATE($H$3,$F$3,CX$2),Español!$A:$H,7,FALSE)=L3,1,0)</f>
        <v>#N/A</v>
      </c>
      <c r="CY3" s="138" t="e">
        <f>IF(VLOOKUP(CONCATENATE($H$3,$F$3,CY$2),Español!$A:$H,7,FALSE)=M3,1,0)</f>
        <v>#N/A</v>
      </c>
      <c r="CZ3" s="138" t="e">
        <f>IF(VLOOKUP(CONCATENATE($H$3,$F$3,CZ$2),Español!$A:$H,7,FALSE)=N3,1,0)</f>
        <v>#N/A</v>
      </c>
      <c r="DA3" s="138" t="e">
        <f>IF(VLOOKUP(CONCATENATE($H$3,$F$3,DA$2),Español!$A:$H,7,FALSE)=O3,1,0)</f>
        <v>#N/A</v>
      </c>
      <c r="DB3" s="138" t="e">
        <f>IF(VLOOKUP(CONCATENATE($H$3,$F$3,DB$2),Español!$A:$H,7,FALSE)=P3,1,0)</f>
        <v>#N/A</v>
      </c>
      <c r="DC3" s="138" t="e">
        <f>IF(VLOOKUP(CONCATENATE($H$3,$F$3,DC$2),Español!$A:$H,7,FALSE)=Q3,1,0)</f>
        <v>#N/A</v>
      </c>
      <c r="DD3" s="138" t="e">
        <f>IF(VLOOKUP(CONCATENATE($H$3,$F$3,DD$2),Español!$A:$H,7,FALSE)=R3,1,0)</f>
        <v>#N/A</v>
      </c>
      <c r="DE3" s="138" t="e">
        <f>IF(VLOOKUP(CONCATENATE($H$3,$F$3,DE$2),Español!$A:$H,7,FALSE)=S3,1,0)</f>
        <v>#N/A</v>
      </c>
      <c r="DF3" s="138" t="e">
        <f>IF(VLOOKUP(CONCATENATE($H$3,$F$3,DF$2),Español!$A:$H,7,FALSE)=T3,1,0)</f>
        <v>#N/A</v>
      </c>
      <c r="DG3" s="138" t="e">
        <f>IF(VLOOKUP(CONCATENATE($H$3,$F$3,DG$2),Español!$A:$H,7,FALSE)=U3,1,0)</f>
        <v>#N/A</v>
      </c>
      <c r="DH3" s="138" t="e">
        <f>IF(VLOOKUP(CONCATENATE($H$3,$F$3,DH$2),Español!$A:$H,7,FALSE)=V3,1,0)</f>
        <v>#N/A</v>
      </c>
      <c r="DI3" s="138" t="e">
        <f>IF(VLOOKUP(CONCATENATE($H$3,$F$3,DI$2),Español!$A:$H,7,FALSE)=W3,1,0)</f>
        <v>#N/A</v>
      </c>
      <c r="DJ3" s="138" t="e">
        <f>IF(VLOOKUP(CONCATENATE($H$3,$F$3,DJ$2),Español!$A:$H,7,FALSE)=X3,1,0)</f>
        <v>#N/A</v>
      </c>
      <c r="DK3" s="138" t="e">
        <f>IF(VLOOKUP(CONCATENATE($H$3,$F$3,DK$2),Español!$A:$H,7,FALSE)=Y3,1,0)</f>
        <v>#N/A</v>
      </c>
      <c r="DL3" s="138" t="e">
        <f>IF(VLOOKUP(CONCATENATE($H$3,$F$3,DL$2),Español!$A:$H,7,FALSE)=Z3,1,0)</f>
        <v>#N/A</v>
      </c>
      <c r="DM3" s="138" t="e">
        <f>IF(VLOOKUP(CONCATENATE($H$3,$F$3,DM$2),Español!$A:$H,7,FALSE)=AA3,1,0)</f>
        <v>#N/A</v>
      </c>
      <c r="DN3" s="138" t="e">
        <f>IF(VLOOKUP(CONCATENATE($H$3,$F$3,DN$2),Español!$A:$H,7,FALSE)=AB3,1,0)</f>
        <v>#N/A</v>
      </c>
      <c r="DO3" s="138" t="e">
        <f>IF(VLOOKUP(CONCATENATE($H$3,$F$3,DO$2),Español!$A:$H,7,FALSE)=AC3,1,0)</f>
        <v>#N/A</v>
      </c>
      <c r="DP3" s="138" t="e">
        <f>IF(VLOOKUP(CONCATENATE($H$3,$F$3,DP$2),Español!$A:$H,7,FALSE)=AD3,1,0)</f>
        <v>#N/A</v>
      </c>
      <c r="DQ3" s="138" t="e">
        <f>IF(VLOOKUP(CONCATENATE($H$3,$F$3,DQ$2),Español!$A:$H,7,FALSE)=AE3,1,0)</f>
        <v>#N/A</v>
      </c>
      <c r="DR3" s="138" t="e">
        <f>IF(VLOOKUP(CONCATENATE($H$3,$F$3,DR$2),Inglés!$A:$H,7,FALSE)=AF3,1,0)</f>
        <v>#N/A</v>
      </c>
      <c r="DS3" s="138" t="e">
        <f>IF(VLOOKUP(CONCATENATE($H$3,$F$3,DS$2),Inglés!$A:$H,7,FALSE)=AG3,1,0)</f>
        <v>#N/A</v>
      </c>
      <c r="DT3" s="138" t="e">
        <f>IF(VLOOKUP(CONCATENATE($H$3,$F$3,DT$2),Inglés!$A:$H,7,FALSE)=AH3,1,0)</f>
        <v>#N/A</v>
      </c>
      <c r="DU3" s="138" t="e">
        <f>IF(VLOOKUP(CONCATENATE($H$3,$F$3,DU$2),Inglés!$A:$H,7,FALSE)=AI3,1,0)</f>
        <v>#N/A</v>
      </c>
      <c r="DV3" s="138" t="e">
        <f>IF(VLOOKUP(CONCATENATE($H$3,$F$3,DV$2),Inglés!$A:$H,7,FALSE)=AJ3,1,0)</f>
        <v>#N/A</v>
      </c>
      <c r="DW3" s="138" t="e">
        <f>IF(VLOOKUP(CONCATENATE($H$3,$F$3,DW$2),Inglés!$A:$H,7,FALSE)=AK3,1,0)</f>
        <v>#N/A</v>
      </c>
      <c r="DX3" s="138" t="e">
        <f>IF(VLOOKUP(CONCATENATE($H$3,$F$3,DX$2),Inglés!$A:$H,7,FALSE)=AL3,1,0)</f>
        <v>#N/A</v>
      </c>
      <c r="DY3" s="138" t="e">
        <f>IF(VLOOKUP(CONCATENATE($H$3,$F$3,DY$2),Inglés!$A:$H,7,FALSE)=AM3,1,0)</f>
        <v>#N/A</v>
      </c>
      <c r="DZ3" s="138" t="e">
        <f>IF(VLOOKUP(CONCATENATE($H$3,$F$3,DZ$2),Inglés!$A:$H,7,FALSE)=AN3,1,0)</f>
        <v>#N/A</v>
      </c>
      <c r="EA3" s="138" t="e">
        <f>IF(VLOOKUP(CONCATENATE($H$3,$F$3,EA$2),Inglés!$A:$H,7,FALSE)=AO3,1,0)</f>
        <v>#N/A</v>
      </c>
      <c r="EB3" s="138" t="e">
        <f>IF(VLOOKUP(CONCATENATE($H$3,$F$3,EB$2),Matemáticas!$A:$H,7,FALSE)=AP3,1,0)</f>
        <v>#N/A</v>
      </c>
      <c r="EC3" s="138" t="e">
        <f>IF(VLOOKUP(CONCATENATE($H$3,$F$3,EC$2),Matemáticas!$A:$H,7,FALSE)=AQ3,1,0)</f>
        <v>#N/A</v>
      </c>
      <c r="ED3" s="138" t="e">
        <f>IF(VLOOKUP(CONCATENATE($H$3,$F$3,ED$2),Matemáticas!$A:$H,7,FALSE)=AR3,1,0)</f>
        <v>#N/A</v>
      </c>
      <c r="EE3" s="138" t="e">
        <f>IF(VLOOKUP(CONCATENATE($H$3,$F$3,EE$2),Matemáticas!$A:$H,7,FALSE)=AS3,1,0)</f>
        <v>#N/A</v>
      </c>
      <c r="EF3" s="138" t="e">
        <f>IF(VLOOKUP(CONCATENATE($H$3,$F$3,EF$2),Matemáticas!$A:$H,7,FALSE)=AT3,1,0)</f>
        <v>#N/A</v>
      </c>
      <c r="EG3" s="138" t="e">
        <f>IF(VLOOKUP(CONCATENATE($H$3,$F$3,EG$2),Matemáticas!$A:$H,7,FALSE)=AU3,1,0)</f>
        <v>#N/A</v>
      </c>
      <c r="EH3" s="138" t="e">
        <f>IF(VLOOKUP(CONCATENATE($H$3,$F$3,EH$2),Matemáticas!$A:$H,7,FALSE)=AV3,1,0)</f>
        <v>#N/A</v>
      </c>
      <c r="EI3" s="138" t="e">
        <f>IF(VLOOKUP(CONCATENATE($H$3,$F$3,EI$2),Matemáticas!$A:$H,7,FALSE)=AW3,1,0)</f>
        <v>#N/A</v>
      </c>
      <c r="EJ3" s="138" t="e">
        <f>IF(VLOOKUP(CONCATENATE($H$3,$F$3,EJ$2),Matemáticas!$A:$H,7,FALSE)=AX3,1,0)</f>
        <v>#N/A</v>
      </c>
      <c r="EK3" s="138" t="e">
        <f>IF(VLOOKUP(CONCATENATE($H$3,$F$3,EK$2),Matemáticas!$A:$H,7,FALSE)=AY3,1,0)</f>
        <v>#N/A</v>
      </c>
      <c r="EL3" s="138" t="e">
        <f>IF(VLOOKUP(CONCATENATE($H$3,$F$3,EL$2),Matemáticas!$A:$H,7,FALSE)=AZ3,1,0)</f>
        <v>#N/A</v>
      </c>
      <c r="EM3" s="138" t="e">
        <f>IF(VLOOKUP(CONCATENATE($H$3,$F$3,EM$2),Matemáticas!$A:$H,7,FALSE)=BA3,1,0)</f>
        <v>#N/A</v>
      </c>
      <c r="EN3" s="138" t="e">
        <f>IF(VLOOKUP(CONCATENATE($H$3,$F$3,EN$2),Matemáticas!$A:$H,7,FALSE)=BB3,1,0)</f>
        <v>#N/A</v>
      </c>
      <c r="EO3" s="138" t="e">
        <f>IF(VLOOKUP(CONCATENATE($H$3,$F$3,EO$2),Matemáticas!$A:$H,7,FALSE)=BC3,1,0)</f>
        <v>#N/A</v>
      </c>
      <c r="EP3" s="138" t="e">
        <f>IF(VLOOKUP(CONCATENATE($H$3,$F$3,EP$2),Matemáticas!$A:$H,7,FALSE)=BD3,1,0)</f>
        <v>#N/A</v>
      </c>
      <c r="EQ3" s="138" t="e">
        <f>IF(VLOOKUP(CONCATENATE($H$3,$F$3,EQ$2),Matemáticas!$A:$H,7,FALSE)=BE3,1,0)</f>
        <v>#N/A</v>
      </c>
      <c r="ER3" s="138" t="e">
        <f>IF(VLOOKUP(CONCATENATE($H$3,$F$3,ER$2),Matemáticas!$A:$H,7,FALSE)=BF3,1,0)</f>
        <v>#N/A</v>
      </c>
      <c r="ES3" s="138" t="e">
        <f>IF(VLOOKUP(CONCATENATE($H$3,$F$3,ES$2),Matemáticas!$A:$H,7,FALSE)=BG3,1,0)</f>
        <v>#N/A</v>
      </c>
      <c r="ET3" s="138" t="e">
        <f>IF(VLOOKUP(CONCATENATE($H$3,$F$3,ET$2),Matemáticas!$A:$H,7,FALSE)=BH3,1,0)</f>
        <v>#N/A</v>
      </c>
      <c r="EU3" s="138" t="e">
        <f>IF(VLOOKUP(CONCATENATE($H$3,$F$3,EU$2),Matemáticas!$A:$H,7,FALSE)=BI3,1,0)</f>
        <v>#N/A</v>
      </c>
      <c r="EV3" s="138" t="e">
        <f>IF(VLOOKUP(CONCATENATE($H$3,$F$3,EV$2),Ciencias!$A:$H,7,FALSE)=BJ3,1,0)</f>
        <v>#N/A</v>
      </c>
      <c r="EW3" s="138" t="e">
        <f>IF(VLOOKUP(CONCATENATE($H$3,$F$3,EW$2),Ciencias!$A:$H,7,FALSE)=BK3,1,0)</f>
        <v>#N/A</v>
      </c>
      <c r="EX3" s="138" t="e">
        <f>IF(VLOOKUP(CONCATENATE($H$3,$F$3,EX$2),Ciencias!$A:$H,7,FALSE)=BL3,1,0)</f>
        <v>#N/A</v>
      </c>
      <c r="EY3" s="138" t="e">
        <f>IF(VLOOKUP(CONCATENATE($H$3,$F$3,EY$2),Ciencias!$A:$H,7,FALSE)=BM3,1,0)</f>
        <v>#N/A</v>
      </c>
      <c r="EZ3" s="138" t="e">
        <f>IF(VLOOKUP(CONCATENATE($H$3,$F$3,EZ$2),Ciencias!$A:$H,7,FALSE)=BN3,1,0)</f>
        <v>#N/A</v>
      </c>
      <c r="FA3" s="138" t="e">
        <f>IF(VLOOKUP(CONCATENATE($H$3,$F$3,FA$2),Ciencias!$A:$H,7,FALSE)=BO3,1,0)</f>
        <v>#N/A</v>
      </c>
      <c r="FB3" s="138" t="e">
        <f>IF(VLOOKUP(CONCATENATE($H$3,$F$3,FB$2),Ciencias!$A:$H,7,FALSE)=BP3,1,0)</f>
        <v>#N/A</v>
      </c>
      <c r="FC3" s="138" t="e">
        <f>IF(VLOOKUP(CONCATENATE($H$3,$F$3,FC$2),Ciencias!$A:$H,7,FALSE)=BQ3,1,0)</f>
        <v>#N/A</v>
      </c>
      <c r="FD3" s="138" t="e">
        <f>IF(VLOOKUP(CONCATENATE($H$3,$F$3,FD$2),Ciencias!$A:$H,7,FALSE)=BR3,1,0)</f>
        <v>#N/A</v>
      </c>
      <c r="FE3" s="138" t="e">
        <f>IF(VLOOKUP(CONCATENATE($H$3,$F$3,FE$2),Ciencias!$A:$H,7,FALSE)=BS3,1,0)</f>
        <v>#N/A</v>
      </c>
      <c r="FF3" s="138" t="e">
        <f>IF(VLOOKUP(CONCATENATE($H$3,$F$3,FF$2),Ciencias!$A:$H,7,FALSE)=BT3,1,0)</f>
        <v>#N/A</v>
      </c>
      <c r="FG3" s="138" t="e">
        <f>IF(VLOOKUP(CONCATENATE($H$3,$F$3,FG$2),Ciencias!$A:$H,7,FALSE)=BU3,1,0)</f>
        <v>#N/A</v>
      </c>
      <c r="FH3" s="138" t="e">
        <f>IF(VLOOKUP(CONCATENATE($H$3,$F$3,FH$2),Ciencias!$A:$H,7,FALSE)=BV3,1,0)</f>
        <v>#N/A</v>
      </c>
      <c r="FI3" s="138" t="e">
        <f>IF(VLOOKUP(CONCATENATE($H$3,$F$3,FI$2),Ciencias!$A:$H,7,FALSE)=BW3,1,0)</f>
        <v>#N/A</v>
      </c>
      <c r="FJ3" s="138" t="e">
        <f>IF(VLOOKUP(CONCATENATE($H$3,$F$3,FJ$2),Ciencias!$A:$H,7,FALSE)=BX3,1,0)</f>
        <v>#N/A</v>
      </c>
      <c r="FK3" s="138" t="e">
        <f>IF(VLOOKUP(CONCATENATE($H$3,$F$3,FK$2),Ciencias!$A:$H,7,FALSE)=BY3,1,0)</f>
        <v>#N/A</v>
      </c>
      <c r="FL3" s="138" t="e">
        <f>IF(VLOOKUP(CONCATENATE($H$3,$F$3,FL$2),Ciencias!$A:$H,7,FALSE)=BZ3,1,0)</f>
        <v>#N/A</v>
      </c>
      <c r="FM3" s="138" t="e">
        <f>IF(VLOOKUP(CONCATENATE($H$3,$F$3,FM$2),Ciencias!$A:$H,7,FALSE)=CA3,1,0)</f>
        <v>#N/A</v>
      </c>
      <c r="FN3" s="138" t="e">
        <f>IF(VLOOKUP(CONCATENATE($H$3,$F$3,FN$2),Ciencias!$A:$H,7,FALSE)=CB3,1,0)</f>
        <v>#N/A</v>
      </c>
      <c r="FO3" s="138" t="e">
        <f>IF(VLOOKUP(CONCATENATE($H$3,$F$3,FO$2),Ciencias!$A:$H,7,FALSE)=CC3,1,0)</f>
        <v>#N/A</v>
      </c>
      <c r="FP3" s="138" t="e">
        <f>IF(VLOOKUP(CONCATENATE($H$3,$F$3,FP$2),GeoHis!$A:$H,7,FALSE)=CD3,1,0)</f>
        <v>#N/A</v>
      </c>
      <c r="FQ3" s="138" t="e">
        <f>IF(VLOOKUP(CONCATENATE($H$3,$F$3,FQ$2),GeoHis!$A:$H,7,FALSE)=CE3,1,0)</f>
        <v>#N/A</v>
      </c>
      <c r="FR3" s="138" t="e">
        <f>IF(VLOOKUP(CONCATENATE($H$3,$F$3,FR$2),GeoHis!$A:$H,7,FALSE)=CF3,1,0)</f>
        <v>#N/A</v>
      </c>
      <c r="FS3" s="138" t="e">
        <f>IF(VLOOKUP(CONCATENATE($H$3,$F$3,FS$2),GeoHis!$A:$H,7,FALSE)=CG3,1,0)</f>
        <v>#N/A</v>
      </c>
      <c r="FT3" s="138" t="e">
        <f>IF(VLOOKUP(CONCATENATE($H$3,$F$3,FT$2),GeoHis!$A:$H,7,FALSE)=CH3,1,0)</f>
        <v>#N/A</v>
      </c>
      <c r="FU3" s="138" t="e">
        <f>IF(VLOOKUP(CONCATENATE($H$3,$F$3,FU$2),GeoHis!$A:$H,7,FALSE)=CI3,1,0)</f>
        <v>#N/A</v>
      </c>
      <c r="FV3" s="138" t="e">
        <f>IF(VLOOKUP(CONCATENATE($H$3,$F$3,FV$2),GeoHis!$A:$H,7,FALSE)=CJ3,1,0)</f>
        <v>#N/A</v>
      </c>
      <c r="FW3" s="138" t="e">
        <f>IF(VLOOKUP(CONCATENATE($H$3,$F$3,FW$2),GeoHis!$A:$H,7,FALSE)=CK3,1,0)</f>
        <v>#N/A</v>
      </c>
      <c r="FX3" s="138" t="e">
        <f>IF(VLOOKUP(CONCATENATE($H$3,$F$3,FX$2),GeoHis!$A:$H,7,FALSE)=CL3,1,0)</f>
        <v>#N/A</v>
      </c>
      <c r="FY3" s="138" t="e">
        <f>IF(VLOOKUP(CONCATENATE($H$3,$F$3,FY$2),GeoHis!$A:$H,7,FALSE)=CM3,1,0)</f>
        <v>#N/A</v>
      </c>
      <c r="FZ3" s="138" t="e">
        <f>IF(VLOOKUP(CONCATENATE($H$3,$F$3,FZ$2),GeoHis!$A:$H,7,FALSE)=CN3,1,0)</f>
        <v>#N/A</v>
      </c>
      <c r="GA3" s="138" t="e">
        <f>IF(VLOOKUP(CONCATENATE($H$3,$F$3,GA$2),GeoHis!$A:$H,7,FALSE)=CO3,1,0)</f>
        <v>#N/A</v>
      </c>
      <c r="GB3" s="138" t="e">
        <f>IF(VLOOKUP(CONCATENATE($H$3,$F$3,GB$2),GeoHis!$A:$H,7,FALSE)=CP3,1,0)</f>
        <v>#N/A</v>
      </c>
      <c r="GC3" s="138" t="e">
        <f>IF(VLOOKUP(CONCATENATE($H$3,$F$3,GC$2),GeoHis!$A:$H,7,FALSE)=CQ3,1,0)</f>
        <v>#N/A</v>
      </c>
      <c r="GD3" s="138" t="e">
        <f>IF(VLOOKUP(CONCATENATE($H$3,$F$3,GD$2),GeoHis!$A:$H,7,FALSE)=CR3,1,0)</f>
        <v>#N/A</v>
      </c>
      <c r="GE3" s="135" t="str">
        <f>A3</f>
        <v/>
      </c>
    </row>
    <row r="4" spans="1:187" x14ac:dyDescent="0.25">
      <c r="A4" s="127" t="str">
        <f>IF(C4="","",'Datos Generales'!$A$25)</f>
        <v/>
      </c>
      <c r="D4" s="126" t="str">
        <f t="shared" ref="D4:D67" si="0">CONCATENATE(C4,F4,G4,H4,I4,J4,K4)</f>
        <v/>
      </c>
      <c r="E4" s="126">
        <f t="shared" ref="E4:E67" si="1">B4</f>
        <v>0</v>
      </c>
      <c r="F4" s="126" t="str">
        <f>IF(C4="","",IF(F3="","",F3))</f>
        <v/>
      </c>
      <c r="G4" s="126" t="str">
        <f>IF(C4="","",'Datos Generales'!$D$19)</f>
        <v/>
      </c>
      <c r="H4" s="21" t="str">
        <f>IF(C4="","",'Datos Generales'!$A$19)</f>
        <v/>
      </c>
      <c r="I4" s="126" t="str">
        <f>IF(C4="","",'Datos Generales'!$A$7)</f>
        <v/>
      </c>
      <c r="J4" s="21" t="str">
        <f>IF(C4="","",'Datos Generales'!$A$13)</f>
        <v/>
      </c>
      <c r="K4" s="21" t="str">
        <f>IF(C4="","",'Datos Generales'!$A$10)</f>
        <v/>
      </c>
      <c r="L4" s="144"/>
      <c r="N4" s="144"/>
      <c r="P4" s="144"/>
      <c r="R4" s="144"/>
      <c r="T4" s="144"/>
      <c r="V4" s="144"/>
      <c r="X4" s="144"/>
      <c r="Z4" s="144"/>
      <c r="AB4" s="144"/>
      <c r="AD4" s="144"/>
      <c r="AF4" s="146"/>
      <c r="AH4" s="146"/>
      <c r="AJ4" s="146"/>
      <c r="AL4" s="146"/>
      <c r="AN4" s="146"/>
      <c r="AP4" s="143"/>
      <c r="AR4" s="143"/>
      <c r="AT4" s="143"/>
      <c r="AV4" s="143"/>
      <c r="AX4" s="143"/>
      <c r="AZ4" s="143"/>
      <c r="BB4" s="143"/>
      <c r="BD4" s="143"/>
      <c r="BF4" s="143"/>
      <c r="BH4" s="143"/>
      <c r="BJ4" s="145"/>
      <c r="BL4" s="145"/>
      <c r="BN4" s="145"/>
      <c r="BP4" s="145"/>
      <c r="BR4" s="145"/>
      <c r="BT4" s="145"/>
      <c r="BV4" s="145"/>
      <c r="BX4" s="145"/>
      <c r="BZ4" s="145"/>
      <c r="CA4" s="127"/>
      <c r="CB4" s="145"/>
      <c r="CS4" s="142" t="str">
        <f t="shared" ref="CS4:CS67" si="2">IF(C4="","",AVERAGE(CX4:DQ4))</f>
        <v/>
      </c>
      <c r="CT4" s="142" t="str">
        <f t="shared" ref="CT4:CT67" si="3">IF(C4="","",AVERAGE(DR4:EA4))</f>
        <v/>
      </c>
      <c r="CU4" s="142" t="str">
        <f t="shared" ref="CU4:CU67" si="4">IF(C4="","",AVERAGE(EB4:EU4))</f>
        <v/>
      </c>
      <c r="CV4" s="142" t="str">
        <f t="shared" ref="CV4:CV67" si="5">IF(C4="","",AVERAGE(EV4:FO4))</f>
        <v/>
      </c>
      <c r="CW4" s="142" t="str">
        <f>IF(C4="","",IF('Datos Generales'!$A$19=1,AVERAGE(FP4:GD4),AVERAGE(Captura!FP4:FY4)))</f>
        <v/>
      </c>
      <c r="CX4" s="138" t="e">
        <f>IF(VLOOKUP(CONCATENATE($H$4,$F$4,CX$2),Español!$A:$H,7,FALSE)=L4,1,0)</f>
        <v>#N/A</v>
      </c>
      <c r="CY4" s="138" t="e">
        <f>IF(VLOOKUP(CONCATENATE(H4,F4,CY$2),Español!$A:$H,7,FALSE)=M4,1,0)</f>
        <v>#N/A</v>
      </c>
      <c r="CZ4" s="138" t="e">
        <f>IF(VLOOKUP(CONCATENATE(H4,F4,CZ$2),Español!$A:$H,7,FALSE)=N4,1,0)</f>
        <v>#N/A</v>
      </c>
      <c r="DA4" s="138" t="e">
        <f>IF(VLOOKUP(CONCATENATE(H4,F4,DA$2),Español!$A:$H,7,FALSE)=O4,1,0)</f>
        <v>#N/A</v>
      </c>
      <c r="DB4" s="138" t="e">
        <f>IF(VLOOKUP(CONCATENATE(H4,F4,DB$2),Español!$A:$H,7,FALSE)=P4,1,0)</f>
        <v>#N/A</v>
      </c>
      <c r="DC4" s="138" t="e">
        <f>IF(VLOOKUP(CONCATENATE(H4,F4,DC$2),Español!$A:$H,7,FALSE)=Q4,1,0)</f>
        <v>#N/A</v>
      </c>
      <c r="DD4" s="138" t="e">
        <f>IF(VLOOKUP(CONCATENATE(H4,F4,DD$2),Español!$A:$H,7,FALSE)=R4,1,0)</f>
        <v>#N/A</v>
      </c>
      <c r="DE4" s="138" t="e">
        <f>IF(VLOOKUP(CONCATENATE(H4,F4,DE$2),Español!$A:$H,7,FALSE)=S4,1,0)</f>
        <v>#N/A</v>
      </c>
      <c r="DF4" s="138" t="e">
        <f>IF(VLOOKUP(CONCATENATE(H4,F4,DF$2),Español!$A:$H,7,FALSE)=T4,1,0)</f>
        <v>#N/A</v>
      </c>
      <c r="DG4" s="138" t="e">
        <f>IF(VLOOKUP(CONCATENATE(H4,F4,DG$2),Español!$A:$H,7,FALSE)=U4,1,0)</f>
        <v>#N/A</v>
      </c>
      <c r="DH4" s="138" t="e">
        <f>IF(VLOOKUP(CONCATENATE(H4,F4,DH$2),Español!$A:$H,7,FALSE)=V4,1,0)</f>
        <v>#N/A</v>
      </c>
      <c r="DI4" s="138" t="e">
        <f>IF(VLOOKUP(CONCATENATE(H4,F4,DI$2),Español!$A:$H,7,FALSE)=W4,1,0)</f>
        <v>#N/A</v>
      </c>
      <c r="DJ4" s="138" t="e">
        <f>IF(VLOOKUP(CONCATENATE(H4,F4,DJ$2),Español!$A:$H,7,FALSE)=X4,1,0)</f>
        <v>#N/A</v>
      </c>
      <c r="DK4" s="138" t="e">
        <f>IF(VLOOKUP(CONCATENATE(H4,F4,DK$2),Español!$A:$H,7,FALSE)=Y4,1,0)</f>
        <v>#N/A</v>
      </c>
      <c r="DL4" s="138" t="e">
        <f>IF(VLOOKUP(CONCATENATE(H4,F4,DL$2),Español!$A:$H,7,FALSE)=Z4,1,0)</f>
        <v>#N/A</v>
      </c>
      <c r="DM4" s="138" t="e">
        <f>IF(VLOOKUP(CONCATENATE(H4,F4,DM$2),Español!$A:$H,7,FALSE)=AA4,1,0)</f>
        <v>#N/A</v>
      </c>
      <c r="DN4" s="138" t="e">
        <f>IF(VLOOKUP(CONCATENATE(H4,F4,DN$2),Español!$A:$H,7,FALSE)=AB4,1,0)</f>
        <v>#N/A</v>
      </c>
      <c r="DO4" s="138" t="e">
        <f>IF(VLOOKUP(CONCATENATE(H4,F4,DO$2),Español!$A:$H,7,FALSE)=AC4,1,0)</f>
        <v>#N/A</v>
      </c>
      <c r="DP4" s="138" t="e">
        <f>IF(VLOOKUP(CONCATENATE(H4,F4,DP$2),Español!$A:$H,7,FALSE)=AD4,1,0)</f>
        <v>#N/A</v>
      </c>
      <c r="DQ4" s="138" t="e">
        <f>IF(VLOOKUP(CONCATENATE(H4,F4,DQ$2),Español!$A:$H,7,FALSE)=AE4,1,0)</f>
        <v>#N/A</v>
      </c>
      <c r="DR4" s="138" t="e">
        <f>IF(VLOOKUP(CONCATENATE(H4,F4,DR$2),Inglés!$A:$H,7,FALSE)=AF4,1,0)</f>
        <v>#N/A</v>
      </c>
      <c r="DS4" s="138" t="e">
        <f>IF(VLOOKUP(CONCATENATE(H4,F4,DS$2),Inglés!$A:$H,7,FALSE)=AG4,1,0)</f>
        <v>#N/A</v>
      </c>
      <c r="DT4" s="138" t="e">
        <f>IF(VLOOKUP(CONCATENATE(H4,F4,DT$2),Inglés!$A:$H,7,FALSE)=AH4,1,0)</f>
        <v>#N/A</v>
      </c>
      <c r="DU4" s="138" t="e">
        <f>IF(VLOOKUP(CONCATENATE(H4,F4,DU$2),Inglés!$A:$H,7,FALSE)=AI4,1,0)</f>
        <v>#N/A</v>
      </c>
      <c r="DV4" s="138" t="e">
        <f>IF(VLOOKUP(CONCATENATE(H4,F4,DV$2),Inglés!$A:$H,7,FALSE)=AJ4,1,0)</f>
        <v>#N/A</v>
      </c>
      <c r="DW4" s="138" t="e">
        <f>IF(VLOOKUP(CONCATENATE(H4,F4,DW$2),Inglés!$A:$H,7,FALSE)=AK4,1,0)</f>
        <v>#N/A</v>
      </c>
      <c r="DX4" s="138" t="e">
        <f>IF(VLOOKUP(CONCATENATE(H4,F4,DX$2),Inglés!$A:$H,7,FALSE)=AL4,1,0)</f>
        <v>#N/A</v>
      </c>
      <c r="DY4" s="138" t="e">
        <f>IF(VLOOKUP(CONCATENATE(H4,F4,DY$2),Inglés!$A:$H,7,FALSE)=AM4,1,0)</f>
        <v>#N/A</v>
      </c>
      <c r="DZ4" s="138" t="e">
        <f>IF(VLOOKUP(CONCATENATE(H4,F4,DZ$2),Inglés!$A:$H,7,FALSE)=AN4,1,0)</f>
        <v>#N/A</v>
      </c>
      <c r="EA4" s="138" t="e">
        <f>IF(VLOOKUP(CONCATENATE(H4,F4,EA$2),Inglés!$A:$H,7,FALSE)=AO4,1,0)</f>
        <v>#N/A</v>
      </c>
      <c r="EB4" s="138" t="e">
        <f>IF(VLOOKUP(CONCATENATE(H4,F4,EB$2),Matemáticas!$A:$H,7,FALSE)=AP4,1,0)</f>
        <v>#N/A</v>
      </c>
      <c r="EC4" s="138" t="e">
        <f>IF(VLOOKUP(CONCATENATE(H4,F4,EC$2),Matemáticas!$A:$H,7,FALSE)=AQ4,1,0)</f>
        <v>#N/A</v>
      </c>
      <c r="ED4" s="138" t="e">
        <f>IF(VLOOKUP(CONCATENATE(H4,F4,ED$2),Matemáticas!$A:$H,7,FALSE)=AR4,1,0)</f>
        <v>#N/A</v>
      </c>
      <c r="EE4" s="138" t="e">
        <f>IF(VLOOKUP(CONCATENATE(H4,F4,EE$2),Matemáticas!$A:$H,7,FALSE)=AS4,1,0)</f>
        <v>#N/A</v>
      </c>
      <c r="EF4" s="138" t="e">
        <f>IF(VLOOKUP(CONCATENATE(H4,F4,EF$2),Matemáticas!$A:$H,7,FALSE)=AT4,1,0)</f>
        <v>#N/A</v>
      </c>
      <c r="EG4" s="138" t="e">
        <f>IF(VLOOKUP(CONCATENATE(H4,F4,EG$2),Matemáticas!$A:$H,7,FALSE)=AU4,1,0)</f>
        <v>#N/A</v>
      </c>
      <c r="EH4" s="138" t="e">
        <f>IF(VLOOKUP(CONCATENATE(H4,F4,EH$2),Matemáticas!$A:$H,7,FALSE)=AV4,1,0)</f>
        <v>#N/A</v>
      </c>
      <c r="EI4" s="138" t="e">
        <f>IF(VLOOKUP(CONCATENATE(H4,F4,EI$2),Matemáticas!$A:$H,7,FALSE)=AW4,1,0)</f>
        <v>#N/A</v>
      </c>
      <c r="EJ4" s="138" t="e">
        <f>IF(VLOOKUP(CONCATENATE(H4,F4,EJ$2),Matemáticas!$A:$H,7,FALSE)=AX4,1,0)</f>
        <v>#N/A</v>
      </c>
      <c r="EK4" s="138" t="e">
        <f>IF(VLOOKUP(CONCATENATE(H4,F4,EK$2),Matemáticas!$A:$H,7,FALSE)=AY4,1,0)</f>
        <v>#N/A</v>
      </c>
      <c r="EL4" s="138" t="e">
        <f>IF(VLOOKUP(CONCATENATE(H4,F4,EL$2),Matemáticas!$A:$H,7,FALSE)=AZ4,1,0)</f>
        <v>#N/A</v>
      </c>
      <c r="EM4" s="138" t="e">
        <f>IF(VLOOKUP(CONCATENATE(H4,F4,EM$2),Matemáticas!$A:$H,7,FALSE)=BA4,1,0)</f>
        <v>#N/A</v>
      </c>
      <c r="EN4" s="138" t="e">
        <f>IF(VLOOKUP(CONCATENATE(H4,F4,EN$2),Matemáticas!$A:$H,7,FALSE)=BB4,1,0)</f>
        <v>#N/A</v>
      </c>
      <c r="EO4" s="138" t="e">
        <f>IF(VLOOKUP(CONCATENATE(H4,F4,EO$2),Matemáticas!$A:$H,7,FALSE)=BC4,1,0)</f>
        <v>#N/A</v>
      </c>
      <c r="EP4" s="138" t="e">
        <f>IF(VLOOKUP(CONCATENATE(H4,F4,EP$2),Matemáticas!$A:$H,7,FALSE)=BD4,1,0)</f>
        <v>#N/A</v>
      </c>
      <c r="EQ4" s="138" t="e">
        <f>IF(VLOOKUP(CONCATENATE(H4,F4,EQ$2),Matemáticas!$A:$H,7,FALSE)=BE4,1,0)</f>
        <v>#N/A</v>
      </c>
      <c r="ER4" s="138" t="e">
        <f>IF(VLOOKUP(CONCATENATE(H4,F4,ER$2),Matemáticas!$A:$H,7,FALSE)=BF4,1,0)</f>
        <v>#N/A</v>
      </c>
      <c r="ES4" s="138" t="e">
        <f>IF(VLOOKUP(CONCATENATE(H4,F4,ES$2),Matemáticas!$A:$H,7,FALSE)=BG4,1,0)</f>
        <v>#N/A</v>
      </c>
      <c r="ET4" s="138" t="e">
        <f>IF(VLOOKUP(CONCATENATE(H4,F4,ET$2),Matemáticas!$A:$H,7,FALSE)=BH4,1,0)</f>
        <v>#N/A</v>
      </c>
      <c r="EU4" s="138" t="e">
        <f>IF(VLOOKUP(CONCATENATE(H4,F4,EU$2),Matemáticas!$A:$H,7,FALSE)=BI4,1,0)</f>
        <v>#N/A</v>
      </c>
      <c r="EV4" s="138" t="e">
        <f>IF(VLOOKUP(CONCATENATE(H4,F4,EV$2),Ciencias!$A:$H,7,FALSE)=BJ4,1,0)</f>
        <v>#N/A</v>
      </c>
      <c r="EW4" s="138" t="e">
        <f>IF(VLOOKUP(CONCATENATE(H4,F4,EW$2),Ciencias!$A:$H,7,FALSE)=BK4,1,0)</f>
        <v>#N/A</v>
      </c>
      <c r="EX4" s="138" t="e">
        <f>IF(VLOOKUP(CONCATENATE(H4,F4,EX$2),Ciencias!$A:$H,7,FALSE)=BL4,1,0)</f>
        <v>#N/A</v>
      </c>
      <c r="EY4" s="138" t="e">
        <f>IF(VLOOKUP(CONCATENATE(H4,F4,EY$2),Ciencias!$A:$H,7,FALSE)=BM4,1,0)</f>
        <v>#N/A</v>
      </c>
      <c r="EZ4" s="138" t="e">
        <f>IF(VLOOKUP(CONCATENATE(H4,F4,EZ$2),Ciencias!$A:$H,7,FALSE)=BN4,1,0)</f>
        <v>#N/A</v>
      </c>
      <c r="FA4" s="138" t="e">
        <f>IF(VLOOKUP(CONCATENATE(H4,F4,FA$2),Ciencias!$A:$H,7,FALSE)=BO4,1,0)</f>
        <v>#N/A</v>
      </c>
      <c r="FB4" s="138" t="e">
        <f>IF(VLOOKUP(CONCATENATE(H4,F4,FB$2),Ciencias!$A:$H,7,FALSE)=BP4,1,0)</f>
        <v>#N/A</v>
      </c>
      <c r="FC4" s="138" t="e">
        <f>IF(VLOOKUP(CONCATENATE(H4,F4,FC$2),Ciencias!$A:$H,7,FALSE)=BQ4,1,0)</f>
        <v>#N/A</v>
      </c>
      <c r="FD4" s="138" t="e">
        <f>IF(VLOOKUP(CONCATENATE(H4,F4,FD$2),Ciencias!$A:$H,7,FALSE)=BR4,1,0)</f>
        <v>#N/A</v>
      </c>
      <c r="FE4" s="138" t="e">
        <f>IF(VLOOKUP(CONCATENATE(H4,F4,FE$2),Ciencias!$A:$H,7,FALSE)=BS4,1,0)</f>
        <v>#N/A</v>
      </c>
      <c r="FF4" s="138" t="e">
        <f>IF(VLOOKUP(CONCATENATE(H4,F4,FF$2),Ciencias!$A:$H,7,FALSE)=BT4,1,0)</f>
        <v>#N/A</v>
      </c>
      <c r="FG4" s="138" t="e">
        <f>IF(VLOOKUP(CONCATENATE(H4,F4,FG$2),Ciencias!$A:$H,7,FALSE)=BU4,1,0)</f>
        <v>#N/A</v>
      </c>
      <c r="FH4" s="138" t="e">
        <f>IF(VLOOKUP(CONCATENATE(H4,F4,FH$2),Ciencias!$A:$H,7,FALSE)=BV4,1,0)</f>
        <v>#N/A</v>
      </c>
      <c r="FI4" s="138" t="e">
        <f>IF(VLOOKUP(CONCATENATE(H4,F4,FI$2),Ciencias!$A:$H,7,FALSE)=BW4,1,0)</f>
        <v>#N/A</v>
      </c>
      <c r="FJ4" s="138" t="e">
        <f>IF(VLOOKUP(CONCATENATE(H4,F4,FJ$2),Ciencias!$A:$H,7,FALSE)=BX4,1,0)</f>
        <v>#N/A</v>
      </c>
      <c r="FK4" s="138" t="e">
        <f>IF(VLOOKUP(CONCATENATE(H4,F4,FK$2),Ciencias!$A:$H,7,FALSE)=BY4,1,0)</f>
        <v>#N/A</v>
      </c>
      <c r="FL4" s="138" t="e">
        <f>IF(VLOOKUP(CONCATENATE(H4,F4,FL$2),Ciencias!$A:$H,7,FALSE)=BZ4,1,0)</f>
        <v>#N/A</v>
      </c>
      <c r="FM4" s="138" t="e">
        <f>IF(VLOOKUP(CONCATENATE(H4,F4,FM$2),Ciencias!$A:$H,7,FALSE)=CA4,1,0)</f>
        <v>#N/A</v>
      </c>
      <c r="FN4" s="138" t="e">
        <f>IF(VLOOKUP(CONCATENATE(H4,F4,FN$2),Ciencias!$A:$H,7,FALSE)=CB4,1,0)</f>
        <v>#N/A</v>
      </c>
      <c r="FO4" s="138" t="e">
        <f>IF(VLOOKUP(CONCATENATE(H4,F4,FO$2),Ciencias!$A:$H,7,FALSE)=CC4,1,0)</f>
        <v>#N/A</v>
      </c>
      <c r="FP4" s="138" t="e">
        <f>IF(VLOOKUP(CONCATENATE(H4,F4,FP$2),GeoHis!$A:$H,7,FALSE)=CD4,1,0)</f>
        <v>#N/A</v>
      </c>
      <c r="FQ4" s="138" t="e">
        <f>IF(VLOOKUP(CONCATENATE(H4,F4,FQ$2),GeoHis!$A:$H,7,FALSE)=CE4,1,0)</f>
        <v>#N/A</v>
      </c>
      <c r="FR4" s="138" t="e">
        <f>IF(VLOOKUP(CONCATENATE(H4,F4,FR$2),GeoHis!$A:$H,7,FALSE)=CF4,1,0)</f>
        <v>#N/A</v>
      </c>
      <c r="FS4" s="138" t="e">
        <f>IF(VLOOKUP(CONCATENATE(H4,F4,FS$2),GeoHis!$A:$H,7,FALSE)=CG4,1,0)</f>
        <v>#N/A</v>
      </c>
      <c r="FT4" s="138" t="e">
        <f>IF(VLOOKUP(CONCATENATE(H4,F4,FT$2),GeoHis!$A:$H,7,FALSE)=CH4,1,0)</f>
        <v>#N/A</v>
      </c>
      <c r="FU4" s="138" t="e">
        <f>IF(VLOOKUP(CONCATENATE(H4,F4,FU$2),GeoHis!$A:$H,7,FALSE)=CI4,1,0)</f>
        <v>#N/A</v>
      </c>
      <c r="FV4" s="138" t="e">
        <f>IF(VLOOKUP(CONCATENATE(H4,F4,FV$2),GeoHis!$A:$H,7,FALSE)=CJ4,1,0)</f>
        <v>#N/A</v>
      </c>
      <c r="FW4" s="138" t="e">
        <f>IF(VLOOKUP(CONCATENATE(H4,F4,FW$2),GeoHis!$A:$H,7,FALSE)=CK4,1,0)</f>
        <v>#N/A</v>
      </c>
      <c r="FX4" s="138" t="e">
        <f>IF(VLOOKUP(CONCATENATE(H4,F4,FX$2),GeoHis!$A:$H,7,FALSE)=CL4,1,0)</f>
        <v>#N/A</v>
      </c>
      <c r="FY4" s="138" t="e">
        <f>IF(VLOOKUP(CONCATENATE(H4,F4,FY$2),GeoHis!$A:$H,7,FALSE)=CM4,1,0)</f>
        <v>#N/A</v>
      </c>
      <c r="FZ4" s="138" t="e">
        <f>IF(VLOOKUP(CONCATENATE(H4,F4,FZ$2),GeoHis!$A:$H,7,FALSE)=CN4,1,0)</f>
        <v>#N/A</v>
      </c>
      <c r="GA4" s="138" t="e">
        <f>IF(VLOOKUP(CONCATENATE(H4,F4,GA$2),GeoHis!$A:$H,7,FALSE)=CO4,1,0)</f>
        <v>#N/A</v>
      </c>
      <c r="GB4" s="138" t="e">
        <f>IF(VLOOKUP(CONCATENATE(H4,F4,GB$2),GeoHis!$A:$H,7,FALSE)=CP4,1,0)</f>
        <v>#N/A</v>
      </c>
      <c r="GC4" s="138" t="e">
        <f>IF(VLOOKUP(CONCATENATE(H4,F4,GC$2),GeoHis!$A:$H,7,FALSE)=CQ4,1,0)</f>
        <v>#N/A</v>
      </c>
      <c r="GD4" s="138" t="e">
        <f>IF(VLOOKUP(CONCATENATE(H4,F4,GD$2),GeoHis!$A:$H,7,FALSE)=CR4,1,0)</f>
        <v>#N/A</v>
      </c>
      <c r="GE4" s="135" t="str">
        <f t="shared" ref="GE4:GE67" si="6">A4</f>
        <v/>
      </c>
    </row>
    <row r="5" spans="1:187" x14ac:dyDescent="0.25">
      <c r="A5" s="127" t="str">
        <f>IF(C5="","",'Datos Generales'!$A$25)</f>
        <v/>
      </c>
      <c r="D5" s="126" t="str">
        <f t="shared" si="0"/>
        <v/>
      </c>
      <c r="E5" s="126">
        <f t="shared" si="1"/>
        <v>0</v>
      </c>
      <c r="F5" s="126" t="str">
        <f>IF(C5="","",IF(F4="","",F4))</f>
        <v/>
      </c>
      <c r="G5" s="126" t="str">
        <f>IF(C5="","",'Datos Generales'!$D$19)</f>
        <v/>
      </c>
      <c r="H5" s="21" t="str">
        <f>IF(C5="","",'Datos Generales'!$A$19)</f>
        <v/>
      </c>
      <c r="I5" s="126" t="str">
        <f>IF(C5="","",'Datos Generales'!$A$7)</f>
        <v/>
      </c>
      <c r="J5" s="21" t="str">
        <f>IF(C5="","",'Datos Generales'!$A$13)</f>
        <v/>
      </c>
      <c r="K5" s="21" t="str">
        <f>IF(C5="","",'Datos Generales'!$A$10)</f>
        <v/>
      </c>
      <c r="L5" s="144"/>
      <c r="N5" s="144"/>
      <c r="P5" s="144"/>
      <c r="R5" s="144"/>
      <c r="T5" s="144"/>
      <c r="V5" s="144"/>
      <c r="X5" s="144"/>
      <c r="Z5" s="144"/>
      <c r="AB5" s="144"/>
      <c r="AD5" s="144"/>
      <c r="AF5" s="146"/>
      <c r="AH5" s="146"/>
      <c r="AJ5" s="146"/>
      <c r="AL5" s="146"/>
      <c r="AN5" s="146"/>
      <c r="AP5" s="143"/>
      <c r="AR5" s="143"/>
      <c r="AT5" s="143"/>
      <c r="AV5" s="143"/>
      <c r="AX5" s="143"/>
      <c r="AZ5" s="143"/>
      <c r="BB5" s="143"/>
      <c r="BD5" s="143"/>
      <c r="BF5" s="143"/>
      <c r="BH5" s="143"/>
      <c r="BJ5" s="145"/>
      <c r="BL5" s="145"/>
      <c r="BN5" s="145"/>
      <c r="BP5" s="145"/>
      <c r="BR5" s="145"/>
      <c r="BT5" s="145"/>
      <c r="BV5" s="145"/>
      <c r="BX5" s="145"/>
      <c r="BZ5" s="145"/>
      <c r="CA5" s="127"/>
      <c r="CB5" s="145"/>
      <c r="CS5" s="142" t="str">
        <f t="shared" si="2"/>
        <v/>
      </c>
      <c r="CT5" s="142" t="str">
        <f t="shared" si="3"/>
        <v/>
      </c>
      <c r="CU5" s="142" t="str">
        <f t="shared" si="4"/>
        <v/>
      </c>
      <c r="CV5" s="142" t="str">
        <f t="shared" si="5"/>
        <v/>
      </c>
      <c r="CW5" s="142" t="str">
        <f>IF(C5="","",IF('Datos Generales'!$A$19=1,AVERAGE(FP5:GD5),AVERAGE(Captura!FP5:FY5)))</f>
        <v/>
      </c>
      <c r="CX5" s="138" t="e">
        <f>IF(VLOOKUP(CONCATENATE($H$4,$F$4,CX$2),Español!$A:$H,7,FALSE)=L5,1,0)</f>
        <v>#N/A</v>
      </c>
      <c r="CY5" s="138" t="e">
        <f>IF(VLOOKUP(CONCATENATE(H5,F5,CY$2),Español!$A:$H,7,FALSE)=M5,1,0)</f>
        <v>#N/A</v>
      </c>
      <c r="CZ5" s="138" t="e">
        <f>IF(VLOOKUP(CONCATENATE(H5,F5,CZ$2),Español!$A:$H,7,FALSE)=N5,1,0)</f>
        <v>#N/A</v>
      </c>
      <c r="DA5" s="138" t="e">
        <f>IF(VLOOKUP(CONCATENATE(H5,F5,DA$2),Español!$A:$H,7,FALSE)=O5,1,0)</f>
        <v>#N/A</v>
      </c>
      <c r="DB5" s="138" t="e">
        <f>IF(VLOOKUP(CONCATENATE(H5,F5,DB$2),Español!$A:$H,7,FALSE)=P5,1,0)</f>
        <v>#N/A</v>
      </c>
      <c r="DC5" s="138" t="e">
        <f>IF(VLOOKUP(CONCATENATE(H5,F5,DC$2),Español!$A:$H,7,FALSE)=Q5,1,0)</f>
        <v>#N/A</v>
      </c>
      <c r="DD5" s="138" t="e">
        <f>IF(VLOOKUP(CONCATENATE(H5,F5,DD$2),Español!$A:$H,7,FALSE)=R5,1,0)</f>
        <v>#N/A</v>
      </c>
      <c r="DE5" s="138" t="e">
        <f>IF(VLOOKUP(CONCATENATE(H5,F5,DE$2),Español!$A:$H,7,FALSE)=S5,1,0)</f>
        <v>#N/A</v>
      </c>
      <c r="DF5" s="138" t="e">
        <f>IF(VLOOKUP(CONCATENATE(H5,F5,DF$2),Español!$A:$H,7,FALSE)=T5,1,0)</f>
        <v>#N/A</v>
      </c>
      <c r="DG5" s="138" t="e">
        <f>IF(VLOOKUP(CONCATENATE(H5,F5,DG$2),Español!$A:$H,7,FALSE)=U5,1,0)</f>
        <v>#N/A</v>
      </c>
      <c r="DH5" s="138" t="e">
        <f>IF(VLOOKUP(CONCATENATE(H5,F5,DH$2),Español!$A:$H,7,FALSE)=V5,1,0)</f>
        <v>#N/A</v>
      </c>
      <c r="DI5" s="138" t="e">
        <f>IF(VLOOKUP(CONCATENATE(H5,F5,DI$2),Español!$A:$H,7,FALSE)=W5,1,0)</f>
        <v>#N/A</v>
      </c>
      <c r="DJ5" s="138" t="e">
        <f>IF(VLOOKUP(CONCATENATE(H5,F5,DJ$2),Español!$A:$H,7,FALSE)=X5,1,0)</f>
        <v>#N/A</v>
      </c>
      <c r="DK5" s="138" t="e">
        <f>IF(VLOOKUP(CONCATENATE(H5,F5,DK$2),Español!$A:$H,7,FALSE)=Y5,1,0)</f>
        <v>#N/A</v>
      </c>
      <c r="DL5" s="138" t="e">
        <f>IF(VLOOKUP(CONCATENATE(H5,F5,DL$2),Español!$A:$H,7,FALSE)=Z5,1,0)</f>
        <v>#N/A</v>
      </c>
      <c r="DM5" s="138" t="e">
        <f>IF(VLOOKUP(CONCATENATE(H5,F5,DM$2),Español!$A:$H,7,FALSE)=AA5,1,0)</f>
        <v>#N/A</v>
      </c>
      <c r="DN5" s="138" t="e">
        <f>IF(VLOOKUP(CONCATENATE(H5,F5,DN$2),Español!$A:$H,7,FALSE)=AB5,1,0)</f>
        <v>#N/A</v>
      </c>
      <c r="DO5" s="138" t="e">
        <f>IF(VLOOKUP(CONCATENATE(H5,F5,DO$2),Español!$A:$H,7,FALSE)=AC5,1,0)</f>
        <v>#N/A</v>
      </c>
      <c r="DP5" s="138" t="e">
        <f>IF(VLOOKUP(CONCATENATE(H5,F5,DP$2),Español!$A:$H,7,FALSE)=AD5,1,0)</f>
        <v>#N/A</v>
      </c>
      <c r="DQ5" s="138" t="e">
        <f>IF(VLOOKUP(CONCATENATE(H5,F5,DQ$2),Español!$A:$H,7,FALSE)=AE5,1,0)</f>
        <v>#N/A</v>
      </c>
      <c r="DR5" s="138" t="e">
        <f>IF(VLOOKUP(CONCATENATE(H5,F5,DR$2),Inglés!$A:$H,7,FALSE)=AF5,1,0)</f>
        <v>#N/A</v>
      </c>
      <c r="DS5" s="138" t="e">
        <f>IF(VLOOKUP(CONCATENATE(H5,F5,DS$2),Inglés!$A:$H,7,FALSE)=AG5,1,0)</f>
        <v>#N/A</v>
      </c>
      <c r="DT5" s="138" t="e">
        <f>IF(VLOOKUP(CONCATENATE(H5,F5,DT$2),Inglés!$A:$H,7,FALSE)=AH5,1,0)</f>
        <v>#N/A</v>
      </c>
      <c r="DU5" s="138" t="e">
        <f>IF(VLOOKUP(CONCATENATE(H5,F5,DU$2),Inglés!$A:$H,7,FALSE)=AI5,1,0)</f>
        <v>#N/A</v>
      </c>
      <c r="DV5" s="138" t="e">
        <f>IF(VLOOKUP(CONCATENATE(H5,F5,DV$2),Inglés!$A:$H,7,FALSE)=AJ5,1,0)</f>
        <v>#N/A</v>
      </c>
      <c r="DW5" s="138" t="e">
        <f>IF(VLOOKUP(CONCATENATE(H5,F5,DW$2),Inglés!$A:$H,7,FALSE)=AK5,1,0)</f>
        <v>#N/A</v>
      </c>
      <c r="DX5" s="138" t="e">
        <f>IF(VLOOKUP(CONCATENATE(H5,F5,DX$2),Inglés!$A:$H,7,FALSE)=AL5,1,0)</f>
        <v>#N/A</v>
      </c>
      <c r="DY5" s="138" t="e">
        <f>IF(VLOOKUP(CONCATENATE(H5,F5,DY$2),Inglés!$A:$H,7,FALSE)=AM5,1,0)</f>
        <v>#N/A</v>
      </c>
      <c r="DZ5" s="138" t="e">
        <f>IF(VLOOKUP(CONCATENATE(H5,F5,DZ$2),Inglés!$A:$H,7,FALSE)=AN5,1,0)</f>
        <v>#N/A</v>
      </c>
      <c r="EA5" s="138" t="e">
        <f>IF(VLOOKUP(CONCATENATE(H5,F5,EA$2),Inglés!$A:$H,7,FALSE)=AO5,1,0)</f>
        <v>#N/A</v>
      </c>
      <c r="EB5" s="138" t="e">
        <f>IF(VLOOKUP(CONCATENATE(H5,F5,EB$2),Matemáticas!$A:$H,7,FALSE)=AP5,1,0)</f>
        <v>#N/A</v>
      </c>
      <c r="EC5" s="138" t="e">
        <f>IF(VLOOKUP(CONCATENATE(H5,F5,EC$2),Matemáticas!$A:$H,7,FALSE)=AQ5,1,0)</f>
        <v>#N/A</v>
      </c>
      <c r="ED5" s="138" t="e">
        <f>IF(VLOOKUP(CONCATENATE(H5,F5,ED$2),Matemáticas!$A:$H,7,FALSE)=AR5,1,0)</f>
        <v>#N/A</v>
      </c>
      <c r="EE5" s="138" t="e">
        <f>IF(VLOOKUP(CONCATENATE(H5,F5,EE$2),Matemáticas!$A:$H,7,FALSE)=AS5,1,0)</f>
        <v>#N/A</v>
      </c>
      <c r="EF5" s="138" t="e">
        <f>IF(VLOOKUP(CONCATENATE(H5,F5,EF$2),Matemáticas!$A:$H,7,FALSE)=AT5,1,0)</f>
        <v>#N/A</v>
      </c>
      <c r="EG5" s="138" t="e">
        <f>IF(VLOOKUP(CONCATENATE(H5,F5,EG$2),Matemáticas!$A:$H,7,FALSE)=AU5,1,0)</f>
        <v>#N/A</v>
      </c>
      <c r="EH5" s="138" t="e">
        <f>IF(VLOOKUP(CONCATENATE(H5,F5,EH$2),Matemáticas!$A:$H,7,FALSE)=AV5,1,0)</f>
        <v>#N/A</v>
      </c>
      <c r="EI5" s="138" t="e">
        <f>IF(VLOOKUP(CONCATENATE(H5,F5,EI$2),Matemáticas!$A:$H,7,FALSE)=AW5,1,0)</f>
        <v>#N/A</v>
      </c>
      <c r="EJ5" s="138" t="e">
        <f>IF(VLOOKUP(CONCATENATE(H5,F5,EJ$2),Matemáticas!$A:$H,7,FALSE)=AX5,1,0)</f>
        <v>#N/A</v>
      </c>
      <c r="EK5" s="138" t="e">
        <f>IF(VLOOKUP(CONCATENATE(H5,F5,EK$2),Matemáticas!$A:$H,7,FALSE)=AY5,1,0)</f>
        <v>#N/A</v>
      </c>
      <c r="EL5" s="138" t="e">
        <f>IF(VLOOKUP(CONCATENATE(H5,F5,EL$2),Matemáticas!$A:$H,7,FALSE)=AZ5,1,0)</f>
        <v>#N/A</v>
      </c>
      <c r="EM5" s="138" t="e">
        <f>IF(VLOOKUP(CONCATENATE(H5,F5,EM$2),Matemáticas!$A:$H,7,FALSE)=BA5,1,0)</f>
        <v>#N/A</v>
      </c>
      <c r="EN5" s="138" t="e">
        <f>IF(VLOOKUP(CONCATENATE(H5,F5,EN$2),Matemáticas!$A:$H,7,FALSE)=BB5,1,0)</f>
        <v>#N/A</v>
      </c>
      <c r="EO5" s="138" t="e">
        <f>IF(VLOOKUP(CONCATENATE(H5,F5,EO$2),Matemáticas!$A:$H,7,FALSE)=BC5,1,0)</f>
        <v>#N/A</v>
      </c>
      <c r="EP5" s="138" t="e">
        <f>IF(VLOOKUP(CONCATENATE(H5,F5,EP$2),Matemáticas!$A:$H,7,FALSE)=BD5,1,0)</f>
        <v>#N/A</v>
      </c>
      <c r="EQ5" s="138" t="e">
        <f>IF(VLOOKUP(CONCATENATE(H5,F5,EQ$2),Matemáticas!$A:$H,7,FALSE)=BE5,1,0)</f>
        <v>#N/A</v>
      </c>
      <c r="ER5" s="138" t="e">
        <f>IF(VLOOKUP(CONCATENATE(H5,F5,ER$2),Matemáticas!$A:$H,7,FALSE)=BF5,1,0)</f>
        <v>#N/A</v>
      </c>
      <c r="ES5" s="138" t="e">
        <f>IF(VLOOKUP(CONCATENATE(H5,F5,ES$2),Matemáticas!$A:$H,7,FALSE)=BG5,1,0)</f>
        <v>#N/A</v>
      </c>
      <c r="ET5" s="138" t="e">
        <f>IF(VLOOKUP(CONCATENATE(H5,F5,ET$2),Matemáticas!$A:$H,7,FALSE)=BH5,1,0)</f>
        <v>#N/A</v>
      </c>
      <c r="EU5" s="138" t="e">
        <f>IF(VLOOKUP(CONCATENATE(H5,F5,EU$2),Matemáticas!$A:$H,7,FALSE)=BI5,1,0)</f>
        <v>#N/A</v>
      </c>
      <c r="EV5" s="138" t="e">
        <f>IF(VLOOKUP(CONCATENATE(H5,F5,EV$2),Ciencias!$A:$H,7,FALSE)=BJ5,1,0)</f>
        <v>#N/A</v>
      </c>
      <c r="EW5" s="138" t="e">
        <f>IF(VLOOKUP(CONCATENATE(H5,F5,EW$2),Ciencias!$A:$H,7,FALSE)=BK5,1,0)</f>
        <v>#N/A</v>
      </c>
      <c r="EX5" s="138" t="e">
        <f>IF(VLOOKUP(CONCATENATE(H5,F5,EX$2),Ciencias!$A:$H,7,FALSE)=BL5,1,0)</f>
        <v>#N/A</v>
      </c>
      <c r="EY5" s="138" t="e">
        <f>IF(VLOOKUP(CONCATENATE(H5,F5,EY$2),Ciencias!$A:$H,7,FALSE)=BM5,1,0)</f>
        <v>#N/A</v>
      </c>
      <c r="EZ5" s="138" t="e">
        <f>IF(VLOOKUP(CONCATENATE(H5,F5,EZ$2),Ciencias!$A:$H,7,FALSE)=BN5,1,0)</f>
        <v>#N/A</v>
      </c>
      <c r="FA5" s="138" t="e">
        <f>IF(VLOOKUP(CONCATENATE(H5,F5,FA$2),Ciencias!$A:$H,7,FALSE)=BO5,1,0)</f>
        <v>#N/A</v>
      </c>
      <c r="FB5" s="138" t="e">
        <f>IF(VLOOKUP(CONCATENATE(H5,F5,FB$2),Ciencias!$A:$H,7,FALSE)=BP5,1,0)</f>
        <v>#N/A</v>
      </c>
      <c r="FC5" s="138" t="e">
        <f>IF(VLOOKUP(CONCATENATE(H5,F5,FC$2),Ciencias!$A:$H,7,FALSE)=BQ5,1,0)</f>
        <v>#N/A</v>
      </c>
      <c r="FD5" s="138" t="e">
        <f>IF(VLOOKUP(CONCATENATE(H5,F5,FD$2),Ciencias!$A:$H,7,FALSE)=BR5,1,0)</f>
        <v>#N/A</v>
      </c>
      <c r="FE5" s="138" t="e">
        <f>IF(VLOOKUP(CONCATENATE(H5,F5,FE$2),Ciencias!$A:$H,7,FALSE)=BS5,1,0)</f>
        <v>#N/A</v>
      </c>
      <c r="FF5" s="138" t="e">
        <f>IF(VLOOKUP(CONCATENATE(H5,F5,FF$2),Ciencias!$A:$H,7,FALSE)=BT5,1,0)</f>
        <v>#N/A</v>
      </c>
      <c r="FG5" s="138" t="e">
        <f>IF(VLOOKUP(CONCATENATE(H5,F5,FG$2),Ciencias!$A:$H,7,FALSE)=BU5,1,0)</f>
        <v>#N/A</v>
      </c>
      <c r="FH5" s="138" t="e">
        <f>IF(VLOOKUP(CONCATENATE(H5,F5,FH$2),Ciencias!$A:$H,7,FALSE)=BV5,1,0)</f>
        <v>#N/A</v>
      </c>
      <c r="FI5" s="138" t="e">
        <f>IF(VLOOKUP(CONCATENATE(H5,F5,FI$2),Ciencias!$A:$H,7,FALSE)=BW5,1,0)</f>
        <v>#N/A</v>
      </c>
      <c r="FJ5" s="138" t="e">
        <f>IF(VLOOKUP(CONCATENATE(H5,F5,FJ$2),Ciencias!$A:$H,7,FALSE)=BX5,1,0)</f>
        <v>#N/A</v>
      </c>
      <c r="FK5" s="138" t="e">
        <f>IF(VLOOKUP(CONCATENATE(H5,F5,FK$2),Ciencias!$A:$H,7,FALSE)=BY5,1,0)</f>
        <v>#N/A</v>
      </c>
      <c r="FL5" s="138" t="e">
        <f>IF(VLOOKUP(CONCATENATE(H5,F5,FL$2),Ciencias!$A:$H,7,FALSE)=BZ5,1,0)</f>
        <v>#N/A</v>
      </c>
      <c r="FM5" s="138" t="e">
        <f>IF(VLOOKUP(CONCATENATE(H5,F5,FM$2),Ciencias!$A:$H,7,FALSE)=CA5,1,0)</f>
        <v>#N/A</v>
      </c>
      <c r="FN5" s="138" t="e">
        <f>IF(VLOOKUP(CONCATENATE(H5,F5,FN$2),Ciencias!$A:$H,7,FALSE)=CB5,1,0)</f>
        <v>#N/A</v>
      </c>
      <c r="FO5" s="138" t="e">
        <f>IF(VLOOKUP(CONCATENATE(H5,F5,FO$2),Ciencias!$A:$H,7,FALSE)=CC5,1,0)</f>
        <v>#N/A</v>
      </c>
      <c r="FP5" s="138" t="e">
        <f>IF(VLOOKUP(CONCATENATE(H5,F5,FP$2),GeoHis!$A:$H,7,FALSE)=CD5,1,0)</f>
        <v>#N/A</v>
      </c>
      <c r="FQ5" s="138" t="e">
        <f>IF(VLOOKUP(CONCATENATE(H5,F5,FQ$2),GeoHis!$A:$H,7,FALSE)=CE5,1,0)</f>
        <v>#N/A</v>
      </c>
      <c r="FR5" s="138" t="e">
        <f>IF(VLOOKUP(CONCATENATE(H5,F5,FR$2),GeoHis!$A:$H,7,FALSE)=CF5,1,0)</f>
        <v>#N/A</v>
      </c>
      <c r="FS5" s="138" t="e">
        <f>IF(VLOOKUP(CONCATENATE(H5,F5,FS$2),GeoHis!$A:$H,7,FALSE)=CG5,1,0)</f>
        <v>#N/A</v>
      </c>
      <c r="FT5" s="138" t="e">
        <f>IF(VLOOKUP(CONCATENATE(H5,F5,FT$2),GeoHis!$A:$H,7,FALSE)=CH5,1,0)</f>
        <v>#N/A</v>
      </c>
      <c r="FU5" s="138" t="e">
        <f>IF(VLOOKUP(CONCATENATE(H5,F5,FU$2),GeoHis!$A:$H,7,FALSE)=CI5,1,0)</f>
        <v>#N/A</v>
      </c>
      <c r="FV5" s="138" t="e">
        <f>IF(VLOOKUP(CONCATENATE(H5,F5,FV$2),GeoHis!$A:$H,7,FALSE)=CJ5,1,0)</f>
        <v>#N/A</v>
      </c>
      <c r="FW5" s="138" t="e">
        <f>IF(VLOOKUP(CONCATENATE(H5,F5,FW$2),GeoHis!$A:$H,7,FALSE)=CK5,1,0)</f>
        <v>#N/A</v>
      </c>
      <c r="FX5" s="138" t="e">
        <f>IF(VLOOKUP(CONCATENATE(H5,F5,FX$2),GeoHis!$A:$H,7,FALSE)=CL5,1,0)</f>
        <v>#N/A</v>
      </c>
      <c r="FY5" s="138" t="e">
        <f>IF(VLOOKUP(CONCATENATE(H5,F5,FY$2),GeoHis!$A:$H,7,FALSE)=CM5,1,0)</f>
        <v>#N/A</v>
      </c>
      <c r="FZ5" s="138" t="e">
        <f>IF(VLOOKUP(CONCATENATE(H5,F5,FZ$2),GeoHis!$A:$H,7,FALSE)=CN5,1,0)</f>
        <v>#N/A</v>
      </c>
      <c r="GA5" s="138" t="e">
        <f>IF(VLOOKUP(CONCATENATE(H5,F5,GA$2),GeoHis!$A:$H,7,FALSE)=CO5,1,0)</f>
        <v>#N/A</v>
      </c>
      <c r="GB5" s="138" t="e">
        <f>IF(VLOOKUP(CONCATENATE(H5,F5,GB$2),GeoHis!$A:$H,7,FALSE)=CP5,1,0)</f>
        <v>#N/A</v>
      </c>
      <c r="GC5" s="138" t="e">
        <f>IF(VLOOKUP(CONCATENATE(H5,F5,GC$2),GeoHis!$A:$H,7,FALSE)=CQ5,1,0)</f>
        <v>#N/A</v>
      </c>
      <c r="GD5" s="138" t="e">
        <f>IF(VLOOKUP(CONCATENATE(H5,F5,GD$2),GeoHis!$A:$H,7,FALSE)=CR5,1,0)</f>
        <v>#N/A</v>
      </c>
      <c r="GE5" s="135" t="str">
        <f t="shared" si="6"/>
        <v/>
      </c>
    </row>
    <row r="6" spans="1:187" x14ac:dyDescent="0.25">
      <c r="A6" s="127" t="str">
        <f>IF(C6="","",'Datos Generales'!$A$25)</f>
        <v/>
      </c>
      <c r="D6" s="126" t="str">
        <f t="shared" si="0"/>
        <v/>
      </c>
      <c r="E6" s="126">
        <f t="shared" si="1"/>
        <v>0</v>
      </c>
      <c r="F6" s="126" t="str">
        <f>IF(C6="","",IF(F5="","",F5))</f>
        <v/>
      </c>
      <c r="G6" s="126" t="str">
        <f>IF(C6="","",'Datos Generales'!$D$19)</f>
        <v/>
      </c>
      <c r="H6" s="21" t="str">
        <f>IF(C6="","",'Datos Generales'!$A$19)</f>
        <v/>
      </c>
      <c r="I6" s="126" t="str">
        <f>IF(C6="","",'Datos Generales'!$A$7)</f>
        <v/>
      </c>
      <c r="J6" s="21" t="str">
        <f>IF(C6="","",'Datos Generales'!$A$13)</f>
        <v/>
      </c>
      <c r="K6" s="21" t="str">
        <f>IF(C6="","",'Datos Generales'!$A$10)</f>
        <v/>
      </c>
      <c r="L6" s="144"/>
      <c r="N6" s="144"/>
      <c r="P6" s="144"/>
      <c r="R6" s="144"/>
      <c r="T6" s="144"/>
      <c r="V6" s="144"/>
      <c r="X6" s="144"/>
      <c r="Z6" s="144"/>
      <c r="AB6" s="144"/>
      <c r="AD6" s="144"/>
      <c r="AF6" s="146"/>
      <c r="AH6" s="146"/>
      <c r="AJ6" s="146"/>
      <c r="AL6" s="146"/>
      <c r="AN6" s="146"/>
      <c r="AP6" s="143"/>
      <c r="AR6" s="143"/>
      <c r="AT6" s="143"/>
      <c r="AV6" s="143"/>
      <c r="AX6" s="143"/>
      <c r="AZ6" s="143"/>
      <c r="BB6" s="143"/>
      <c r="BD6" s="143"/>
      <c r="BF6" s="143"/>
      <c r="BH6" s="143"/>
      <c r="BJ6" s="145"/>
      <c r="BL6" s="145"/>
      <c r="BN6" s="145"/>
      <c r="BP6" s="145"/>
      <c r="BR6" s="145"/>
      <c r="BT6" s="145"/>
      <c r="BV6" s="145"/>
      <c r="BX6" s="145"/>
      <c r="BZ6" s="145"/>
      <c r="CA6" s="127"/>
      <c r="CB6" s="145"/>
      <c r="CS6" s="142" t="str">
        <f t="shared" si="2"/>
        <v/>
      </c>
      <c r="CT6" s="142" t="str">
        <f t="shared" si="3"/>
        <v/>
      </c>
      <c r="CU6" s="142" t="str">
        <f t="shared" si="4"/>
        <v/>
      </c>
      <c r="CV6" s="142" t="str">
        <f t="shared" si="5"/>
        <v/>
      </c>
      <c r="CW6" s="142" t="str">
        <f>IF(C6="","",IF('Datos Generales'!$A$19=1,AVERAGE(FP6:GD6),AVERAGE(Captura!FP6:FY6)))</f>
        <v/>
      </c>
      <c r="CX6" s="138" t="e">
        <f>IF(VLOOKUP(CONCATENATE($H$4,$F$4,CX$2),Español!$A:$H,7,FALSE)=L6,1,0)</f>
        <v>#N/A</v>
      </c>
      <c r="CY6" s="138" t="e">
        <f>IF(VLOOKUP(CONCATENATE(H6,F6,CY$2),Español!$A:$H,7,FALSE)=M6,1,0)</f>
        <v>#N/A</v>
      </c>
      <c r="CZ6" s="138" t="e">
        <f>IF(VLOOKUP(CONCATENATE(H6,F6,CZ$2),Español!$A:$H,7,FALSE)=N6,1,0)</f>
        <v>#N/A</v>
      </c>
      <c r="DA6" s="138" t="e">
        <f>IF(VLOOKUP(CONCATENATE(H6,F6,DA$2),Español!$A:$H,7,FALSE)=O6,1,0)</f>
        <v>#N/A</v>
      </c>
      <c r="DB6" s="138" t="e">
        <f>IF(VLOOKUP(CONCATENATE(H6,F6,DB$2),Español!$A:$H,7,FALSE)=P6,1,0)</f>
        <v>#N/A</v>
      </c>
      <c r="DC6" s="138" t="e">
        <f>IF(VLOOKUP(CONCATENATE(H6,F6,DC$2),Español!$A:$H,7,FALSE)=Q6,1,0)</f>
        <v>#N/A</v>
      </c>
      <c r="DD6" s="138" t="e">
        <f>IF(VLOOKUP(CONCATENATE(H6,F6,DD$2),Español!$A:$H,7,FALSE)=R6,1,0)</f>
        <v>#N/A</v>
      </c>
      <c r="DE6" s="138" t="e">
        <f>IF(VLOOKUP(CONCATENATE(H6,F6,DE$2),Español!$A:$H,7,FALSE)=S6,1,0)</f>
        <v>#N/A</v>
      </c>
      <c r="DF6" s="138" t="e">
        <f>IF(VLOOKUP(CONCATENATE(H6,F6,DF$2),Español!$A:$H,7,FALSE)=T6,1,0)</f>
        <v>#N/A</v>
      </c>
      <c r="DG6" s="138" t="e">
        <f>IF(VLOOKUP(CONCATENATE(H6,F6,DG$2),Español!$A:$H,7,FALSE)=U6,1,0)</f>
        <v>#N/A</v>
      </c>
      <c r="DH6" s="138" t="e">
        <f>IF(VLOOKUP(CONCATENATE(H6,F6,DH$2),Español!$A:$H,7,FALSE)=V6,1,0)</f>
        <v>#N/A</v>
      </c>
      <c r="DI6" s="138" t="e">
        <f>IF(VLOOKUP(CONCATENATE(H6,F6,DI$2),Español!$A:$H,7,FALSE)=W6,1,0)</f>
        <v>#N/A</v>
      </c>
      <c r="DJ6" s="138" t="e">
        <f>IF(VLOOKUP(CONCATENATE(H6,F6,DJ$2),Español!$A:$H,7,FALSE)=X6,1,0)</f>
        <v>#N/A</v>
      </c>
      <c r="DK6" s="138" t="e">
        <f>IF(VLOOKUP(CONCATENATE(H6,F6,DK$2),Español!$A:$H,7,FALSE)=Y6,1,0)</f>
        <v>#N/A</v>
      </c>
      <c r="DL6" s="138" t="e">
        <f>IF(VLOOKUP(CONCATENATE(H6,F6,DL$2),Español!$A:$H,7,FALSE)=Z6,1,0)</f>
        <v>#N/A</v>
      </c>
      <c r="DM6" s="138" t="e">
        <f>IF(VLOOKUP(CONCATENATE(H6,F6,DM$2),Español!$A:$H,7,FALSE)=AA6,1,0)</f>
        <v>#N/A</v>
      </c>
      <c r="DN6" s="138" t="e">
        <f>IF(VLOOKUP(CONCATENATE(H6,F6,DN$2),Español!$A:$H,7,FALSE)=AB6,1,0)</f>
        <v>#N/A</v>
      </c>
      <c r="DO6" s="138" t="e">
        <f>IF(VLOOKUP(CONCATENATE(H6,F6,DO$2),Español!$A:$H,7,FALSE)=AC6,1,0)</f>
        <v>#N/A</v>
      </c>
      <c r="DP6" s="138" t="e">
        <f>IF(VLOOKUP(CONCATENATE(H6,F6,DP$2),Español!$A:$H,7,FALSE)=AD6,1,0)</f>
        <v>#N/A</v>
      </c>
      <c r="DQ6" s="138" t="e">
        <f>IF(VLOOKUP(CONCATENATE(H6,F6,DQ$2),Español!$A:$H,7,FALSE)=AE6,1,0)</f>
        <v>#N/A</v>
      </c>
      <c r="DR6" s="138" t="e">
        <f>IF(VLOOKUP(CONCATENATE(H6,F6,DR$2),Inglés!$A:$H,7,FALSE)=AF6,1,0)</f>
        <v>#N/A</v>
      </c>
      <c r="DS6" s="138" t="e">
        <f>IF(VLOOKUP(CONCATENATE(H6,F6,DS$2),Inglés!$A:$H,7,FALSE)=AG6,1,0)</f>
        <v>#N/A</v>
      </c>
      <c r="DT6" s="138" t="e">
        <f>IF(VLOOKUP(CONCATENATE(H6,F6,DT$2),Inglés!$A:$H,7,FALSE)=AH6,1,0)</f>
        <v>#N/A</v>
      </c>
      <c r="DU6" s="138" t="e">
        <f>IF(VLOOKUP(CONCATENATE(H6,F6,DU$2),Inglés!$A:$H,7,FALSE)=AI6,1,0)</f>
        <v>#N/A</v>
      </c>
      <c r="DV6" s="138" t="e">
        <f>IF(VLOOKUP(CONCATENATE(H6,F6,DV$2),Inglés!$A:$H,7,FALSE)=AJ6,1,0)</f>
        <v>#N/A</v>
      </c>
      <c r="DW6" s="138" t="e">
        <f>IF(VLOOKUP(CONCATENATE(H6,F6,DW$2),Inglés!$A:$H,7,FALSE)=AK6,1,0)</f>
        <v>#N/A</v>
      </c>
      <c r="DX6" s="138" t="e">
        <f>IF(VLOOKUP(CONCATENATE(H6,F6,DX$2),Inglés!$A:$H,7,FALSE)=AL6,1,0)</f>
        <v>#N/A</v>
      </c>
      <c r="DY6" s="138" t="e">
        <f>IF(VLOOKUP(CONCATENATE(H6,F6,DY$2),Inglés!$A:$H,7,FALSE)=AM6,1,0)</f>
        <v>#N/A</v>
      </c>
      <c r="DZ6" s="138" t="e">
        <f>IF(VLOOKUP(CONCATENATE(H6,F6,DZ$2),Inglés!$A:$H,7,FALSE)=AN6,1,0)</f>
        <v>#N/A</v>
      </c>
      <c r="EA6" s="138" t="e">
        <f>IF(VLOOKUP(CONCATENATE(H6,F6,EA$2),Inglés!$A:$H,7,FALSE)=AO6,1,0)</f>
        <v>#N/A</v>
      </c>
      <c r="EB6" s="138" t="e">
        <f>IF(VLOOKUP(CONCATENATE(H6,F6,EB$2),Matemáticas!$A:$H,7,FALSE)=AP6,1,0)</f>
        <v>#N/A</v>
      </c>
      <c r="EC6" s="138" t="e">
        <f>IF(VLOOKUP(CONCATENATE(H6,F6,EC$2),Matemáticas!$A:$H,7,FALSE)=AQ6,1,0)</f>
        <v>#N/A</v>
      </c>
      <c r="ED6" s="138" t="e">
        <f>IF(VLOOKUP(CONCATENATE(H6,F6,ED$2),Matemáticas!$A:$H,7,FALSE)=AR6,1,0)</f>
        <v>#N/A</v>
      </c>
      <c r="EE6" s="138" t="e">
        <f>IF(VLOOKUP(CONCATENATE(H6,F6,EE$2),Matemáticas!$A:$H,7,FALSE)=AS6,1,0)</f>
        <v>#N/A</v>
      </c>
      <c r="EF6" s="138" t="e">
        <f>IF(VLOOKUP(CONCATENATE(H6,F6,EF$2),Matemáticas!$A:$H,7,FALSE)=AT6,1,0)</f>
        <v>#N/A</v>
      </c>
      <c r="EG6" s="138" t="e">
        <f>IF(VLOOKUP(CONCATENATE(H6,F6,EG$2),Matemáticas!$A:$H,7,FALSE)=AU6,1,0)</f>
        <v>#N/A</v>
      </c>
      <c r="EH6" s="138" t="e">
        <f>IF(VLOOKUP(CONCATENATE(H6,F6,EH$2),Matemáticas!$A:$H,7,FALSE)=AV6,1,0)</f>
        <v>#N/A</v>
      </c>
      <c r="EI6" s="138" t="e">
        <f>IF(VLOOKUP(CONCATENATE(H6,F6,EI$2),Matemáticas!$A:$H,7,FALSE)=AW6,1,0)</f>
        <v>#N/A</v>
      </c>
      <c r="EJ6" s="138" t="e">
        <f>IF(VLOOKUP(CONCATENATE(H6,F6,EJ$2),Matemáticas!$A:$H,7,FALSE)=AX6,1,0)</f>
        <v>#N/A</v>
      </c>
      <c r="EK6" s="138" t="e">
        <f>IF(VLOOKUP(CONCATENATE(H6,F6,EK$2),Matemáticas!$A:$H,7,FALSE)=AY6,1,0)</f>
        <v>#N/A</v>
      </c>
      <c r="EL6" s="138" t="e">
        <f>IF(VLOOKUP(CONCATENATE(H6,F6,EL$2),Matemáticas!$A:$H,7,FALSE)=AZ6,1,0)</f>
        <v>#N/A</v>
      </c>
      <c r="EM6" s="138" t="e">
        <f>IF(VLOOKUP(CONCATENATE(H6,F6,EM$2),Matemáticas!$A:$H,7,FALSE)=BA6,1,0)</f>
        <v>#N/A</v>
      </c>
      <c r="EN6" s="138" t="e">
        <f>IF(VLOOKUP(CONCATENATE(H6,F6,EN$2),Matemáticas!$A:$H,7,FALSE)=BB6,1,0)</f>
        <v>#N/A</v>
      </c>
      <c r="EO6" s="138" t="e">
        <f>IF(VLOOKUP(CONCATENATE(H6,F6,EO$2),Matemáticas!$A:$H,7,FALSE)=BC6,1,0)</f>
        <v>#N/A</v>
      </c>
      <c r="EP6" s="138" t="e">
        <f>IF(VLOOKUP(CONCATENATE(H6,F6,EP$2),Matemáticas!$A:$H,7,FALSE)=BD6,1,0)</f>
        <v>#N/A</v>
      </c>
      <c r="EQ6" s="138" t="e">
        <f>IF(VLOOKUP(CONCATENATE(H6,F6,EQ$2),Matemáticas!$A:$H,7,FALSE)=BE6,1,0)</f>
        <v>#N/A</v>
      </c>
      <c r="ER6" s="138" t="e">
        <f>IF(VLOOKUP(CONCATENATE(H6,F6,ER$2),Matemáticas!$A:$H,7,FALSE)=BF6,1,0)</f>
        <v>#N/A</v>
      </c>
      <c r="ES6" s="138" t="e">
        <f>IF(VLOOKUP(CONCATENATE(H6,F6,ES$2),Matemáticas!$A:$H,7,FALSE)=BG6,1,0)</f>
        <v>#N/A</v>
      </c>
      <c r="ET6" s="138" t="e">
        <f>IF(VLOOKUP(CONCATENATE(H6,F6,ET$2),Matemáticas!$A:$H,7,FALSE)=BH6,1,0)</f>
        <v>#N/A</v>
      </c>
      <c r="EU6" s="138" t="e">
        <f>IF(VLOOKUP(CONCATENATE(H6,F6,EU$2),Matemáticas!$A:$H,7,FALSE)=BI6,1,0)</f>
        <v>#N/A</v>
      </c>
      <c r="EV6" s="138" t="e">
        <f>IF(VLOOKUP(CONCATENATE(H6,F6,EV$2),Ciencias!$A:$H,7,FALSE)=BJ6,1,0)</f>
        <v>#N/A</v>
      </c>
      <c r="EW6" s="138" t="e">
        <f>IF(VLOOKUP(CONCATENATE(H6,F6,EW$2),Ciencias!$A:$H,7,FALSE)=BK6,1,0)</f>
        <v>#N/A</v>
      </c>
      <c r="EX6" s="138" t="e">
        <f>IF(VLOOKUP(CONCATENATE(H6,F6,EX$2),Ciencias!$A:$H,7,FALSE)=BL6,1,0)</f>
        <v>#N/A</v>
      </c>
      <c r="EY6" s="138" t="e">
        <f>IF(VLOOKUP(CONCATENATE(H6,F6,EY$2),Ciencias!$A:$H,7,FALSE)=BM6,1,0)</f>
        <v>#N/A</v>
      </c>
      <c r="EZ6" s="138" t="e">
        <f>IF(VLOOKUP(CONCATENATE(H6,F6,EZ$2),Ciencias!$A:$H,7,FALSE)=BN6,1,0)</f>
        <v>#N/A</v>
      </c>
      <c r="FA6" s="138" t="e">
        <f>IF(VLOOKUP(CONCATENATE(H6,F6,FA$2),Ciencias!$A:$H,7,FALSE)=BO6,1,0)</f>
        <v>#N/A</v>
      </c>
      <c r="FB6" s="138" t="e">
        <f>IF(VLOOKUP(CONCATENATE(H6,F6,FB$2),Ciencias!$A:$H,7,FALSE)=BP6,1,0)</f>
        <v>#N/A</v>
      </c>
      <c r="FC6" s="138" t="e">
        <f>IF(VLOOKUP(CONCATENATE(H6,F6,FC$2),Ciencias!$A:$H,7,FALSE)=BQ6,1,0)</f>
        <v>#N/A</v>
      </c>
      <c r="FD6" s="138" t="e">
        <f>IF(VLOOKUP(CONCATENATE(H6,F6,FD$2),Ciencias!$A:$H,7,FALSE)=BR6,1,0)</f>
        <v>#N/A</v>
      </c>
      <c r="FE6" s="138" t="e">
        <f>IF(VLOOKUP(CONCATENATE(H6,F6,FE$2),Ciencias!$A:$H,7,FALSE)=BS6,1,0)</f>
        <v>#N/A</v>
      </c>
      <c r="FF6" s="138" t="e">
        <f>IF(VLOOKUP(CONCATENATE(H6,F6,FF$2),Ciencias!$A:$H,7,FALSE)=BT6,1,0)</f>
        <v>#N/A</v>
      </c>
      <c r="FG6" s="138" t="e">
        <f>IF(VLOOKUP(CONCATENATE(H6,F6,FG$2),Ciencias!$A:$H,7,FALSE)=BU6,1,0)</f>
        <v>#N/A</v>
      </c>
      <c r="FH6" s="138" t="e">
        <f>IF(VLOOKUP(CONCATENATE(H6,F6,FH$2),Ciencias!$A:$H,7,FALSE)=BV6,1,0)</f>
        <v>#N/A</v>
      </c>
      <c r="FI6" s="138" t="e">
        <f>IF(VLOOKUP(CONCATENATE(H6,F6,FI$2),Ciencias!$A:$H,7,FALSE)=BW6,1,0)</f>
        <v>#N/A</v>
      </c>
      <c r="FJ6" s="138" t="e">
        <f>IF(VLOOKUP(CONCATENATE(H6,F6,FJ$2),Ciencias!$A:$H,7,FALSE)=BX6,1,0)</f>
        <v>#N/A</v>
      </c>
      <c r="FK6" s="138" t="e">
        <f>IF(VLOOKUP(CONCATENATE(H6,F6,FK$2),Ciencias!$A:$H,7,FALSE)=BY6,1,0)</f>
        <v>#N/A</v>
      </c>
      <c r="FL6" s="138" t="e">
        <f>IF(VLOOKUP(CONCATENATE(H6,F6,FL$2),Ciencias!$A:$H,7,FALSE)=BZ6,1,0)</f>
        <v>#N/A</v>
      </c>
      <c r="FM6" s="138" t="e">
        <f>IF(VLOOKUP(CONCATENATE(H6,F6,FM$2),Ciencias!$A:$H,7,FALSE)=CA6,1,0)</f>
        <v>#N/A</v>
      </c>
      <c r="FN6" s="138" t="e">
        <f>IF(VLOOKUP(CONCATENATE(H6,F6,FN$2),Ciencias!$A:$H,7,FALSE)=CB6,1,0)</f>
        <v>#N/A</v>
      </c>
      <c r="FO6" s="138" t="e">
        <f>IF(VLOOKUP(CONCATENATE(H6,F6,FO$2),Ciencias!$A:$H,7,FALSE)=CC6,1,0)</f>
        <v>#N/A</v>
      </c>
      <c r="FP6" s="138" t="e">
        <f>IF(VLOOKUP(CONCATENATE(H6,F6,FP$2),GeoHis!$A:$H,7,FALSE)=CD6,1,0)</f>
        <v>#N/A</v>
      </c>
      <c r="FQ6" s="138" t="e">
        <f>IF(VLOOKUP(CONCATENATE(H6,F6,FQ$2),GeoHis!$A:$H,7,FALSE)=CE6,1,0)</f>
        <v>#N/A</v>
      </c>
      <c r="FR6" s="138" t="e">
        <f>IF(VLOOKUP(CONCATENATE(H6,F6,FR$2),GeoHis!$A:$H,7,FALSE)=CF6,1,0)</f>
        <v>#N/A</v>
      </c>
      <c r="FS6" s="138" t="e">
        <f>IF(VLOOKUP(CONCATENATE(H6,F6,FS$2),GeoHis!$A:$H,7,FALSE)=CG6,1,0)</f>
        <v>#N/A</v>
      </c>
      <c r="FT6" s="138" t="e">
        <f>IF(VLOOKUP(CONCATENATE(H6,F6,FT$2),GeoHis!$A:$H,7,FALSE)=CH6,1,0)</f>
        <v>#N/A</v>
      </c>
      <c r="FU6" s="138" t="e">
        <f>IF(VLOOKUP(CONCATENATE(H6,F6,FU$2),GeoHis!$A:$H,7,FALSE)=CI6,1,0)</f>
        <v>#N/A</v>
      </c>
      <c r="FV6" s="138" t="e">
        <f>IF(VLOOKUP(CONCATENATE(H6,F6,FV$2),GeoHis!$A:$H,7,FALSE)=CJ6,1,0)</f>
        <v>#N/A</v>
      </c>
      <c r="FW6" s="138" t="e">
        <f>IF(VLOOKUP(CONCATENATE(H6,F6,FW$2),GeoHis!$A:$H,7,FALSE)=CK6,1,0)</f>
        <v>#N/A</v>
      </c>
      <c r="FX6" s="138" t="e">
        <f>IF(VLOOKUP(CONCATENATE(H6,F6,FX$2),GeoHis!$A:$H,7,FALSE)=CL6,1,0)</f>
        <v>#N/A</v>
      </c>
      <c r="FY6" s="138" t="e">
        <f>IF(VLOOKUP(CONCATENATE(H6,F6,FY$2),GeoHis!$A:$H,7,FALSE)=CM6,1,0)</f>
        <v>#N/A</v>
      </c>
      <c r="FZ6" s="138" t="e">
        <f>IF(VLOOKUP(CONCATENATE(H6,F6,FZ$2),GeoHis!$A:$H,7,FALSE)=CN6,1,0)</f>
        <v>#N/A</v>
      </c>
      <c r="GA6" s="138" t="e">
        <f>IF(VLOOKUP(CONCATENATE(H6,F6,GA$2),GeoHis!$A:$H,7,FALSE)=CO6,1,0)</f>
        <v>#N/A</v>
      </c>
      <c r="GB6" s="138" t="e">
        <f>IF(VLOOKUP(CONCATENATE(H6,F6,GB$2),GeoHis!$A:$H,7,FALSE)=CP6,1,0)</f>
        <v>#N/A</v>
      </c>
      <c r="GC6" s="138" t="e">
        <f>IF(VLOOKUP(CONCATENATE(H6,F6,GC$2),GeoHis!$A:$H,7,FALSE)=CQ6,1,0)</f>
        <v>#N/A</v>
      </c>
      <c r="GD6" s="138" t="e">
        <f>IF(VLOOKUP(CONCATENATE(H6,F6,GD$2),GeoHis!$A:$H,7,FALSE)=CR6,1,0)</f>
        <v>#N/A</v>
      </c>
      <c r="GE6" s="135" t="str">
        <f t="shared" si="6"/>
        <v/>
      </c>
    </row>
    <row r="7" spans="1:187" x14ac:dyDescent="0.25">
      <c r="A7" s="127" t="str">
        <f>IF(C7="","",'Datos Generales'!$A$25)</f>
        <v/>
      </c>
      <c r="D7" s="126" t="str">
        <f t="shared" si="0"/>
        <v/>
      </c>
      <c r="E7" s="126">
        <f t="shared" si="1"/>
        <v>0</v>
      </c>
      <c r="F7" s="126" t="str">
        <f>IF(C7="","",IF(F6="","",F6))</f>
        <v/>
      </c>
      <c r="G7" s="126" t="str">
        <f>IF(C7="","",'Datos Generales'!$D$19)</f>
        <v/>
      </c>
      <c r="H7" s="21" t="str">
        <f>IF(C7="","",'Datos Generales'!$A$19)</f>
        <v/>
      </c>
      <c r="I7" s="126" t="str">
        <f>IF(C7="","",'Datos Generales'!$A$7)</f>
        <v/>
      </c>
      <c r="J7" s="21" t="str">
        <f>IF(C7="","",'Datos Generales'!$A$13)</f>
        <v/>
      </c>
      <c r="K7" s="21" t="str">
        <f>IF(C7="","",'Datos Generales'!$A$10)</f>
        <v/>
      </c>
      <c r="CS7" s="142" t="str">
        <f t="shared" si="2"/>
        <v/>
      </c>
      <c r="CT7" s="142" t="str">
        <f t="shared" si="3"/>
        <v/>
      </c>
      <c r="CU7" s="142" t="str">
        <f t="shared" si="4"/>
        <v/>
      </c>
      <c r="CV7" s="142" t="str">
        <f t="shared" si="5"/>
        <v/>
      </c>
      <c r="CW7" s="142" t="str">
        <f>IF(C7="","",IF('Datos Generales'!$A$19=1,AVERAGE(FP7:GD7),AVERAGE(Captura!FP7:FY7)))</f>
        <v/>
      </c>
      <c r="CX7" s="138" t="e">
        <f>IF(VLOOKUP(CONCATENATE($H$4,$F$4,CX$2),Español!$A:$H,7,FALSE)=L7,1,0)</f>
        <v>#N/A</v>
      </c>
      <c r="CY7" s="138" t="e">
        <f>IF(VLOOKUP(CONCATENATE(H7,F7,CY$2),Español!$A:$H,7,FALSE)=M7,1,0)</f>
        <v>#N/A</v>
      </c>
      <c r="CZ7" s="138" t="e">
        <f>IF(VLOOKUP(CONCATENATE(H7,F7,CZ$2),Español!$A:$H,7,FALSE)=N7,1,0)</f>
        <v>#N/A</v>
      </c>
      <c r="DA7" s="138" t="e">
        <f>IF(VLOOKUP(CONCATENATE(H7,F7,DA$2),Español!$A:$H,7,FALSE)=O7,1,0)</f>
        <v>#N/A</v>
      </c>
      <c r="DB7" s="138" t="e">
        <f>IF(VLOOKUP(CONCATENATE(H7,F7,DB$2),Español!$A:$H,7,FALSE)=P7,1,0)</f>
        <v>#N/A</v>
      </c>
      <c r="DC7" s="138" t="e">
        <f>IF(VLOOKUP(CONCATENATE(H7,F7,DC$2),Español!$A:$H,7,FALSE)=Q7,1,0)</f>
        <v>#N/A</v>
      </c>
      <c r="DD7" s="138" t="e">
        <f>IF(VLOOKUP(CONCATENATE(H7,F7,DD$2),Español!$A:$H,7,FALSE)=R7,1,0)</f>
        <v>#N/A</v>
      </c>
      <c r="DE7" s="138" t="e">
        <f>IF(VLOOKUP(CONCATENATE(H7,F7,DE$2),Español!$A:$H,7,FALSE)=S7,1,0)</f>
        <v>#N/A</v>
      </c>
      <c r="DF7" s="138" t="e">
        <f>IF(VLOOKUP(CONCATENATE(H7,F7,DF$2),Español!$A:$H,7,FALSE)=T7,1,0)</f>
        <v>#N/A</v>
      </c>
      <c r="DG7" s="138" t="e">
        <f>IF(VLOOKUP(CONCATENATE(H7,F7,DG$2),Español!$A:$H,7,FALSE)=U7,1,0)</f>
        <v>#N/A</v>
      </c>
      <c r="DH7" s="138" t="e">
        <f>IF(VLOOKUP(CONCATENATE(H7,F7,DH$2),Español!$A:$H,7,FALSE)=V7,1,0)</f>
        <v>#N/A</v>
      </c>
      <c r="DI7" s="138" t="e">
        <f>IF(VLOOKUP(CONCATENATE(H7,F7,DI$2),Español!$A:$H,7,FALSE)=W7,1,0)</f>
        <v>#N/A</v>
      </c>
      <c r="DJ7" s="138" t="e">
        <f>IF(VLOOKUP(CONCATENATE(H7,F7,DJ$2),Español!$A:$H,7,FALSE)=X7,1,0)</f>
        <v>#N/A</v>
      </c>
      <c r="DK7" s="138" t="e">
        <f>IF(VLOOKUP(CONCATENATE(H7,F7,DK$2),Español!$A:$H,7,FALSE)=Y7,1,0)</f>
        <v>#N/A</v>
      </c>
      <c r="DL7" s="138" t="e">
        <f>IF(VLOOKUP(CONCATENATE(H7,F7,DL$2),Español!$A:$H,7,FALSE)=Z7,1,0)</f>
        <v>#N/A</v>
      </c>
      <c r="DM7" s="138" t="e">
        <f>IF(VLOOKUP(CONCATENATE(H7,F7,DM$2),Español!$A:$H,7,FALSE)=AA7,1,0)</f>
        <v>#N/A</v>
      </c>
      <c r="DN7" s="138" t="e">
        <f>IF(VLOOKUP(CONCATENATE(H7,F7,DN$2),Español!$A:$H,7,FALSE)=AB7,1,0)</f>
        <v>#N/A</v>
      </c>
      <c r="DO7" s="138" t="e">
        <f>IF(VLOOKUP(CONCATENATE(H7,F7,DO$2),Español!$A:$H,7,FALSE)=AC7,1,0)</f>
        <v>#N/A</v>
      </c>
      <c r="DP7" s="138" t="e">
        <f>IF(VLOOKUP(CONCATENATE(H7,F7,DP$2),Español!$A:$H,7,FALSE)=AD7,1,0)</f>
        <v>#N/A</v>
      </c>
      <c r="DQ7" s="138" t="e">
        <f>IF(VLOOKUP(CONCATENATE(H7,F7,DQ$2),Español!$A:$H,7,FALSE)=AE7,1,0)</f>
        <v>#N/A</v>
      </c>
      <c r="DR7" s="138" t="e">
        <f>IF(VLOOKUP(CONCATENATE(H7,F7,DR$2),Inglés!$A:$H,7,FALSE)=AF7,1,0)</f>
        <v>#N/A</v>
      </c>
      <c r="DS7" s="138" t="e">
        <f>IF(VLOOKUP(CONCATENATE(H7,F7,DS$2),Inglés!$A:$H,7,FALSE)=AG7,1,0)</f>
        <v>#N/A</v>
      </c>
      <c r="DT7" s="138" t="e">
        <f>IF(VLOOKUP(CONCATENATE(H7,F7,DT$2),Inglés!$A:$H,7,FALSE)=AH7,1,0)</f>
        <v>#N/A</v>
      </c>
      <c r="DU7" s="138" t="e">
        <f>IF(VLOOKUP(CONCATENATE(H7,F7,DU$2),Inglés!$A:$H,7,FALSE)=AI7,1,0)</f>
        <v>#N/A</v>
      </c>
      <c r="DV7" s="138" t="e">
        <f>IF(VLOOKUP(CONCATENATE(H7,F7,DV$2),Inglés!$A:$H,7,FALSE)=AJ7,1,0)</f>
        <v>#N/A</v>
      </c>
      <c r="DW7" s="138" t="e">
        <f>IF(VLOOKUP(CONCATENATE(H7,F7,DW$2),Inglés!$A:$H,7,FALSE)=AK7,1,0)</f>
        <v>#N/A</v>
      </c>
      <c r="DX7" s="138" t="e">
        <f>IF(VLOOKUP(CONCATENATE(H7,F7,DX$2),Inglés!$A:$H,7,FALSE)=AL7,1,0)</f>
        <v>#N/A</v>
      </c>
      <c r="DY7" s="138" t="e">
        <f>IF(VLOOKUP(CONCATENATE(H7,F7,DY$2),Inglés!$A:$H,7,FALSE)=AM7,1,0)</f>
        <v>#N/A</v>
      </c>
      <c r="DZ7" s="138" t="e">
        <f>IF(VLOOKUP(CONCATENATE(H7,F7,DZ$2),Inglés!$A:$H,7,FALSE)=AN7,1,0)</f>
        <v>#N/A</v>
      </c>
      <c r="EA7" s="138" t="e">
        <f>IF(VLOOKUP(CONCATENATE(H7,F7,EA$2),Inglés!$A:$H,7,FALSE)=AO7,1,0)</f>
        <v>#N/A</v>
      </c>
      <c r="EB7" s="138" t="e">
        <f>IF(VLOOKUP(CONCATENATE(H7,F7,EB$2),Matemáticas!$A:$H,7,FALSE)=AP7,1,0)</f>
        <v>#N/A</v>
      </c>
      <c r="EC7" s="138" t="e">
        <f>IF(VLOOKUP(CONCATENATE(H7,F7,EC$2),Matemáticas!$A:$H,7,FALSE)=AQ7,1,0)</f>
        <v>#N/A</v>
      </c>
      <c r="ED7" s="138" t="e">
        <f>IF(VLOOKUP(CONCATENATE(H7,F7,ED$2),Matemáticas!$A:$H,7,FALSE)=AR7,1,0)</f>
        <v>#N/A</v>
      </c>
      <c r="EE7" s="138" t="e">
        <f>IF(VLOOKUP(CONCATENATE(H7,F7,EE$2),Matemáticas!$A:$H,7,FALSE)=AS7,1,0)</f>
        <v>#N/A</v>
      </c>
      <c r="EF7" s="138" t="e">
        <f>IF(VLOOKUP(CONCATENATE(H7,F7,EF$2),Matemáticas!$A:$H,7,FALSE)=AT7,1,0)</f>
        <v>#N/A</v>
      </c>
      <c r="EG7" s="138" t="e">
        <f>IF(VLOOKUP(CONCATENATE(H7,F7,EG$2),Matemáticas!$A:$H,7,FALSE)=AU7,1,0)</f>
        <v>#N/A</v>
      </c>
      <c r="EH7" s="138" t="e">
        <f>IF(VLOOKUP(CONCATENATE(H7,F7,EH$2),Matemáticas!$A:$H,7,FALSE)=AV7,1,0)</f>
        <v>#N/A</v>
      </c>
      <c r="EI7" s="138" t="e">
        <f>IF(VLOOKUP(CONCATENATE(H7,F7,EI$2),Matemáticas!$A:$H,7,FALSE)=AW7,1,0)</f>
        <v>#N/A</v>
      </c>
      <c r="EJ7" s="138" t="e">
        <f>IF(VLOOKUP(CONCATENATE(H7,F7,EJ$2),Matemáticas!$A:$H,7,FALSE)=AX7,1,0)</f>
        <v>#N/A</v>
      </c>
      <c r="EK7" s="138" t="e">
        <f>IF(VLOOKUP(CONCATENATE(H7,F7,EK$2),Matemáticas!$A:$H,7,FALSE)=AY7,1,0)</f>
        <v>#N/A</v>
      </c>
      <c r="EL7" s="138" t="e">
        <f>IF(VLOOKUP(CONCATENATE(H7,F7,EL$2),Matemáticas!$A:$H,7,FALSE)=AZ7,1,0)</f>
        <v>#N/A</v>
      </c>
      <c r="EM7" s="138" t="e">
        <f>IF(VLOOKUP(CONCATENATE(H7,F7,EM$2),Matemáticas!$A:$H,7,FALSE)=BA7,1,0)</f>
        <v>#N/A</v>
      </c>
      <c r="EN7" s="138" t="e">
        <f>IF(VLOOKUP(CONCATENATE(H7,F7,EN$2),Matemáticas!$A:$H,7,FALSE)=BB7,1,0)</f>
        <v>#N/A</v>
      </c>
      <c r="EO7" s="138" t="e">
        <f>IF(VLOOKUP(CONCATENATE(H7,F7,EO$2),Matemáticas!$A:$H,7,FALSE)=BC7,1,0)</f>
        <v>#N/A</v>
      </c>
      <c r="EP7" s="138" t="e">
        <f>IF(VLOOKUP(CONCATENATE(H7,F7,EP$2),Matemáticas!$A:$H,7,FALSE)=BD7,1,0)</f>
        <v>#N/A</v>
      </c>
      <c r="EQ7" s="138" t="e">
        <f>IF(VLOOKUP(CONCATENATE(H7,F7,EQ$2),Matemáticas!$A:$H,7,FALSE)=BE7,1,0)</f>
        <v>#N/A</v>
      </c>
      <c r="ER7" s="138" t="e">
        <f>IF(VLOOKUP(CONCATENATE(H7,F7,ER$2),Matemáticas!$A:$H,7,FALSE)=BF7,1,0)</f>
        <v>#N/A</v>
      </c>
      <c r="ES7" s="138" t="e">
        <f>IF(VLOOKUP(CONCATENATE(H7,F7,ES$2),Matemáticas!$A:$H,7,FALSE)=BG7,1,0)</f>
        <v>#N/A</v>
      </c>
      <c r="ET7" s="138" t="e">
        <f>IF(VLOOKUP(CONCATENATE(H7,F7,ET$2),Matemáticas!$A:$H,7,FALSE)=BH7,1,0)</f>
        <v>#N/A</v>
      </c>
      <c r="EU7" s="138" t="e">
        <f>IF(VLOOKUP(CONCATENATE(H7,F7,EU$2),Matemáticas!$A:$H,7,FALSE)=BI7,1,0)</f>
        <v>#N/A</v>
      </c>
      <c r="EV7" s="138" t="e">
        <f>IF(VLOOKUP(CONCATENATE(H7,F7,EV$2),Ciencias!$A:$H,7,FALSE)=BJ7,1,0)</f>
        <v>#N/A</v>
      </c>
      <c r="EW7" s="138" t="e">
        <f>IF(VLOOKUP(CONCATENATE(H7,F7,EW$2),Ciencias!$A:$H,7,FALSE)=BK7,1,0)</f>
        <v>#N/A</v>
      </c>
      <c r="EX7" s="138" t="e">
        <f>IF(VLOOKUP(CONCATENATE(H7,F7,EX$2),Ciencias!$A:$H,7,FALSE)=BL7,1,0)</f>
        <v>#N/A</v>
      </c>
      <c r="EY7" s="138" t="e">
        <f>IF(VLOOKUP(CONCATENATE(H7,F7,EY$2),Ciencias!$A:$H,7,FALSE)=BM7,1,0)</f>
        <v>#N/A</v>
      </c>
      <c r="EZ7" s="138" t="e">
        <f>IF(VLOOKUP(CONCATENATE(H7,F7,EZ$2),Ciencias!$A:$H,7,FALSE)=BN7,1,0)</f>
        <v>#N/A</v>
      </c>
      <c r="FA7" s="138" t="e">
        <f>IF(VLOOKUP(CONCATENATE(H7,F7,FA$2),Ciencias!$A:$H,7,FALSE)=BO7,1,0)</f>
        <v>#N/A</v>
      </c>
      <c r="FB7" s="138" t="e">
        <f>IF(VLOOKUP(CONCATENATE(H7,F7,FB$2),Ciencias!$A:$H,7,FALSE)=BP7,1,0)</f>
        <v>#N/A</v>
      </c>
      <c r="FC7" s="138" t="e">
        <f>IF(VLOOKUP(CONCATENATE(H7,F7,FC$2),Ciencias!$A:$H,7,FALSE)=BQ7,1,0)</f>
        <v>#N/A</v>
      </c>
      <c r="FD7" s="138" t="e">
        <f>IF(VLOOKUP(CONCATENATE(H7,F7,FD$2),Ciencias!$A:$H,7,FALSE)=BR7,1,0)</f>
        <v>#N/A</v>
      </c>
      <c r="FE7" s="138" t="e">
        <f>IF(VLOOKUP(CONCATENATE(H7,F7,FE$2),Ciencias!$A:$H,7,FALSE)=BS7,1,0)</f>
        <v>#N/A</v>
      </c>
      <c r="FF7" s="138" t="e">
        <f>IF(VLOOKUP(CONCATENATE(H7,F7,FF$2),Ciencias!$A:$H,7,FALSE)=BT7,1,0)</f>
        <v>#N/A</v>
      </c>
      <c r="FG7" s="138" t="e">
        <f>IF(VLOOKUP(CONCATENATE(H7,F7,FG$2),Ciencias!$A:$H,7,FALSE)=BU7,1,0)</f>
        <v>#N/A</v>
      </c>
      <c r="FH7" s="138" t="e">
        <f>IF(VLOOKUP(CONCATENATE(H7,F7,FH$2),Ciencias!$A:$H,7,FALSE)=BV7,1,0)</f>
        <v>#N/A</v>
      </c>
      <c r="FI7" s="138" t="e">
        <f>IF(VLOOKUP(CONCATENATE(H7,F7,FI$2),Ciencias!$A:$H,7,FALSE)=BW7,1,0)</f>
        <v>#N/A</v>
      </c>
      <c r="FJ7" s="138" t="e">
        <f>IF(VLOOKUP(CONCATENATE(H7,F7,FJ$2),Ciencias!$A:$H,7,FALSE)=BX7,1,0)</f>
        <v>#N/A</v>
      </c>
      <c r="FK7" s="138" t="e">
        <f>IF(VLOOKUP(CONCATENATE(H7,F7,FK$2),Ciencias!$A:$H,7,FALSE)=BY7,1,0)</f>
        <v>#N/A</v>
      </c>
      <c r="FL7" s="138" t="e">
        <f>IF(VLOOKUP(CONCATENATE(H7,F7,FL$2),Ciencias!$A:$H,7,FALSE)=BZ7,1,0)</f>
        <v>#N/A</v>
      </c>
      <c r="FM7" s="138" t="e">
        <f>IF(VLOOKUP(CONCATENATE(H7,F7,FM$2),Ciencias!$A:$H,7,FALSE)=CA7,1,0)</f>
        <v>#N/A</v>
      </c>
      <c r="FN7" s="138" t="e">
        <f>IF(VLOOKUP(CONCATENATE(H7,F7,FN$2),Ciencias!$A:$H,7,FALSE)=CB7,1,0)</f>
        <v>#N/A</v>
      </c>
      <c r="FO7" s="138" t="e">
        <f>IF(VLOOKUP(CONCATENATE(H7,F7,FO$2),Ciencias!$A:$H,7,FALSE)=CC7,1,0)</f>
        <v>#N/A</v>
      </c>
      <c r="FP7" s="138" t="e">
        <f>IF(VLOOKUP(CONCATENATE(H7,F7,FP$2),GeoHis!$A:$H,7,FALSE)=CD7,1,0)</f>
        <v>#N/A</v>
      </c>
      <c r="FQ7" s="138" t="e">
        <f>IF(VLOOKUP(CONCATENATE(H7,F7,FQ$2),GeoHis!$A:$H,7,FALSE)=CE7,1,0)</f>
        <v>#N/A</v>
      </c>
      <c r="FR7" s="138" t="e">
        <f>IF(VLOOKUP(CONCATENATE(H7,F7,FR$2),GeoHis!$A:$H,7,FALSE)=CF7,1,0)</f>
        <v>#N/A</v>
      </c>
      <c r="FS7" s="138" t="e">
        <f>IF(VLOOKUP(CONCATENATE(H7,F7,FS$2),GeoHis!$A:$H,7,FALSE)=CG7,1,0)</f>
        <v>#N/A</v>
      </c>
      <c r="FT7" s="138" t="e">
        <f>IF(VLOOKUP(CONCATENATE(H7,F7,FT$2),GeoHis!$A:$H,7,FALSE)=CH7,1,0)</f>
        <v>#N/A</v>
      </c>
      <c r="FU7" s="138" t="e">
        <f>IF(VLOOKUP(CONCATENATE(H7,F7,FU$2),GeoHis!$A:$H,7,FALSE)=CI7,1,0)</f>
        <v>#N/A</v>
      </c>
      <c r="FV7" s="138" t="e">
        <f>IF(VLOOKUP(CONCATENATE(H7,F7,FV$2),GeoHis!$A:$H,7,FALSE)=CJ7,1,0)</f>
        <v>#N/A</v>
      </c>
      <c r="FW7" s="138" t="e">
        <f>IF(VLOOKUP(CONCATENATE(H7,F7,FW$2),GeoHis!$A:$H,7,FALSE)=CK7,1,0)</f>
        <v>#N/A</v>
      </c>
      <c r="FX7" s="138" t="e">
        <f>IF(VLOOKUP(CONCATENATE(H7,F7,FX$2),GeoHis!$A:$H,7,FALSE)=CL7,1,0)</f>
        <v>#N/A</v>
      </c>
      <c r="FY7" s="138" t="e">
        <f>IF(VLOOKUP(CONCATENATE(H7,F7,FY$2),GeoHis!$A:$H,7,FALSE)=CM7,1,0)</f>
        <v>#N/A</v>
      </c>
      <c r="FZ7" s="138" t="e">
        <f>IF(VLOOKUP(CONCATENATE(H7,F7,FZ$2),GeoHis!$A:$H,7,FALSE)=CN7,1,0)</f>
        <v>#N/A</v>
      </c>
      <c r="GA7" s="138" t="e">
        <f>IF(VLOOKUP(CONCATENATE(H7,F7,GA$2),GeoHis!$A:$H,7,FALSE)=CO7,1,0)</f>
        <v>#N/A</v>
      </c>
      <c r="GB7" s="138" t="e">
        <f>IF(VLOOKUP(CONCATENATE(H7,F7,GB$2),GeoHis!$A:$H,7,FALSE)=CP7,1,0)</f>
        <v>#N/A</v>
      </c>
      <c r="GC7" s="138" t="e">
        <f>IF(VLOOKUP(CONCATENATE(H7,F7,GC$2),GeoHis!$A:$H,7,FALSE)=CQ7,1,0)</f>
        <v>#N/A</v>
      </c>
      <c r="GD7" s="138" t="e">
        <f>IF(VLOOKUP(CONCATENATE(H7,F7,GD$2),GeoHis!$A:$H,7,FALSE)=CR7,1,0)</f>
        <v>#N/A</v>
      </c>
      <c r="GE7" s="135" t="str">
        <f t="shared" si="6"/>
        <v/>
      </c>
    </row>
    <row r="8" spans="1:187" x14ac:dyDescent="0.25">
      <c r="A8" s="127" t="str">
        <f>IF(C8="","",'Datos Generales'!$A$25)</f>
        <v/>
      </c>
      <c r="D8" s="126" t="str">
        <f t="shared" si="0"/>
        <v/>
      </c>
      <c r="E8" s="126">
        <f t="shared" si="1"/>
        <v>0</v>
      </c>
      <c r="F8" s="126" t="str">
        <f t="shared" ref="F8:F67" si="7">IF(C8="","",IF(F7="","",F7))</f>
        <v/>
      </c>
      <c r="G8" s="126" t="str">
        <f>IF(C8="","",'Datos Generales'!$D$19)</f>
        <v/>
      </c>
      <c r="H8" s="21" t="str">
        <f>IF(C8="","",'Datos Generales'!$A$19)</f>
        <v/>
      </c>
      <c r="I8" s="126" t="str">
        <f>IF(C8="","",'Datos Generales'!$A$7)</f>
        <v/>
      </c>
      <c r="J8" s="21" t="str">
        <f>IF(C8="","",'Datos Generales'!$A$13)</f>
        <v/>
      </c>
      <c r="K8" s="21" t="str">
        <f>IF(C8="","",'Datos Generales'!$A$10)</f>
        <v/>
      </c>
      <c r="BU8" s="136"/>
      <c r="CS8" s="142" t="str">
        <f t="shared" si="2"/>
        <v/>
      </c>
      <c r="CT8" s="142" t="str">
        <f t="shared" si="3"/>
        <v/>
      </c>
      <c r="CU8" s="142" t="str">
        <f t="shared" si="4"/>
        <v/>
      </c>
      <c r="CV8" s="142" t="str">
        <f t="shared" si="5"/>
        <v/>
      </c>
      <c r="CW8" s="142" t="str">
        <f>IF(C8="","",IF('Datos Generales'!$A$19=1,AVERAGE(FP8:GD8),AVERAGE(Captura!FP8:FY8)))</f>
        <v/>
      </c>
      <c r="CX8" s="138" t="e">
        <f>IF(VLOOKUP(CONCATENATE($H$4,$F$4,CX$2),Español!$A:$H,7,FALSE)=L8,1,0)</f>
        <v>#N/A</v>
      </c>
      <c r="CY8" s="138" t="e">
        <f>IF(VLOOKUP(CONCATENATE(H8,F8,CY$2),Español!$A:$H,7,FALSE)=M8,1,0)</f>
        <v>#N/A</v>
      </c>
      <c r="CZ8" s="138" t="e">
        <f>IF(VLOOKUP(CONCATENATE(H8,F8,CZ$2),Español!$A:$H,7,FALSE)=N8,1,0)</f>
        <v>#N/A</v>
      </c>
      <c r="DA8" s="138" t="e">
        <f>IF(VLOOKUP(CONCATENATE(H8,F8,DA$2),Español!$A:$H,7,FALSE)=O8,1,0)</f>
        <v>#N/A</v>
      </c>
      <c r="DB8" s="138" t="e">
        <f>IF(VLOOKUP(CONCATENATE(H8,F8,DB$2),Español!$A:$H,7,FALSE)=P8,1,0)</f>
        <v>#N/A</v>
      </c>
      <c r="DC8" s="138" t="e">
        <f>IF(VLOOKUP(CONCATENATE(H8,F8,DC$2),Español!$A:$H,7,FALSE)=Q8,1,0)</f>
        <v>#N/A</v>
      </c>
      <c r="DD8" s="138" t="e">
        <f>IF(VLOOKUP(CONCATENATE(H8,F8,DD$2),Español!$A:$H,7,FALSE)=R8,1,0)</f>
        <v>#N/A</v>
      </c>
      <c r="DE8" s="138" t="e">
        <f>IF(VLOOKUP(CONCATENATE(H8,F8,DE$2),Español!$A:$H,7,FALSE)=S8,1,0)</f>
        <v>#N/A</v>
      </c>
      <c r="DF8" s="138" t="e">
        <f>IF(VLOOKUP(CONCATENATE(H8,F8,DF$2),Español!$A:$H,7,FALSE)=T8,1,0)</f>
        <v>#N/A</v>
      </c>
      <c r="DG8" s="138" t="e">
        <f>IF(VLOOKUP(CONCATENATE(H8,F8,DG$2),Español!$A:$H,7,FALSE)=U8,1,0)</f>
        <v>#N/A</v>
      </c>
      <c r="DH8" s="138" t="e">
        <f>IF(VLOOKUP(CONCATENATE(H8,F8,DH$2),Español!$A:$H,7,FALSE)=V8,1,0)</f>
        <v>#N/A</v>
      </c>
      <c r="DI8" s="138" t="e">
        <f>IF(VLOOKUP(CONCATENATE(H8,F8,DI$2),Español!$A:$H,7,FALSE)=W8,1,0)</f>
        <v>#N/A</v>
      </c>
      <c r="DJ8" s="138" t="e">
        <f>IF(VLOOKUP(CONCATENATE(H8,F8,DJ$2),Español!$A:$H,7,FALSE)=X8,1,0)</f>
        <v>#N/A</v>
      </c>
      <c r="DK8" s="138" t="e">
        <f>IF(VLOOKUP(CONCATENATE(H8,F8,DK$2),Español!$A:$H,7,FALSE)=Y8,1,0)</f>
        <v>#N/A</v>
      </c>
      <c r="DL8" s="138" t="e">
        <f>IF(VLOOKUP(CONCATENATE(H8,F8,DL$2),Español!$A:$H,7,FALSE)=Z8,1,0)</f>
        <v>#N/A</v>
      </c>
      <c r="DM8" s="138" t="e">
        <f>IF(VLOOKUP(CONCATENATE(H8,F8,DM$2),Español!$A:$H,7,FALSE)=AA8,1,0)</f>
        <v>#N/A</v>
      </c>
      <c r="DN8" s="138" t="e">
        <f>IF(VLOOKUP(CONCATENATE(H8,F8,DN$2),Español!$A:$H,7,FALSE)=AB8,1,0)</f>
        <v>#N/A</v>
      </c>
      <c r="DO8" s="138" t="e">
        <f>IF(VLOOKUP(CONCATENATE(H8,F8,DO$2),Español!$A:$H,7,FALSE)=AC8,1,0)</f>
        <v>#N/A</v>
      </c>
      <c r="DP8" s="138" t="e">
        <f>IF(VLOOKUP(CONCATENATE(H8,F8,DP$2),Español!$A:$H,7,FALSE)=AD8,1,0)</f>
        <v>#N/A</v>
      </c>
      <c r="DQ8" s="138" t="e">
        <f>IF(VLOOKUP(CONCATENATE(H8,F8,DQ$2),Español!$A:$H,7,FALSE)=AE8,1,0)</f>
        <v>#N/A</v>
      </c>
      <c r="DR8" s="138" t="e">
        <f>IF(VLOOKUP(CONCATENATE(H8,F8,DR$2),Inglés!$A:$H,7,FALSE)=AF8,1,0)</f>
        <v>#N/A</v>
      </c>
      <c r="DS8" s="138" t="e">
        <f>IF(VLOOKUP(CONCATENATE(H8,F8,DS$2),Inglés!$A:$H,7,FALSE)=AG8,1,0)</f>
        <v>#N/A</v>
      </c>
      <c r="DT8" s="138" t="e">
        <f>IF(VLOOKUP(CONCATENATE(H8,F8,DT$2),Inglés!$A:$H,7,FALSE)=AH8,1,0)</f>
        <v>#N/A</v>
      </c>
      <c r="DU8" s="138" t="e">
        <f>IF(VLOOKUP(CONCATENATE(H8,F8,DU$2),Inglés!$A:$H,7,FALSE)=AI8,1,0)</f>
        <v>#N/A</v>
      </c>
      <c r="DV8" s="138" t="e">
        <f>IF(VLOOKUP(CONCATENATE(H8,F8,DV$2),Inglés!$A:$H,7,FALSE)=AJ8,1,0)</f>
        <v>#N/A</v>
      </c>
      <c r="DW8" s="138" t="e">
        <f>IF(VLOOKUP(CONCATENATE(H8,F8,DW$2),Inglés!$A:$H,7,FALSE)=AK8,1,0)</f>
        <v>#N/A</v>
      </c>
      <c r="DX8" s="138" t="e">
        <f>IF(VLOOKUP(CONCATENATE(H8,F8,DX$2),Inglés!$A:$H,7,FALSE)=AL8,1,0)</f>
        <v>#N/A</v>
      </c>
      <c r="DY8" s="138" t="e">
        <f>IF(VLOOKUP(CONCATENATE(H8,F8,DY$2),Inglés!$A:$H,7,FALSE)=AM8,1,0)</f>
        <v>#N/A</v>
      </c>
      <c r="DZ8" s="138" t="e">
        <f>IF(VLOOKUP(CONCATENATE(H8,F8,DZ$2),Inglés!$A:$H,7,FALSE)=AN8,1,0)</f>
        <v>#N/A</v>
      </c>
      <c r="EA8" s="138" t="e">
        <f>IF(VLOOKUP(CONCATENATE(H8,F8,EA$2),Inglés!$A:$H,7,FALSE)=AO8,1,0)</f>
        <v>#N/A</v>
      </c>
      <c r="EB8" s="138" t="e">
        <f>IF(VLOOKUP(CONCATENATE(H8,F8,EB$2),Matemáticas!$A:$H,7,FALSE)=AP8,1,0)</f>
        <v>#N/A</v>
      </c>
      <c r="EC8" s="138" t="e">
        <f>IF(VLOOKUP(CONCATENATE(H8,F8,EC$2),Matemáticas!$A:$H,7,FALSE)=AQ8,1,0)</f>
        <v>#N/A</v>
      </c>
      <c r="ED8" s="138" t="e">
        <f>IF(VLOOKUP(CONCATENATE(H8,F8,ED$2),Matemáticas!$A:$H,7,FALSE)=AR8,1,0)</f>
        <v>#N/A</v>
      </c>
      <c r="EE8" s="138" t="e">
        <f>IF(VLOOKUP(CONCATENATE(H8,F8,EE$2),Matemáticas!$A:$H,7,FALSE)=AS8,1,0)</f>
        <v>#N/A</v>
      </c>
      <c r="EF8" s="138" t="e">
        <f>IF(VLOOKUP(CONCATENATE(H8,F8,EF$2),Matemáticas!$A:$H,7,FALSE)=AT8,1,0)</f>
        <v>#N/A</v>
      </c>
      <c r="EG8" s="138" t="e">
        <f>IF(VLOOKUP(CONCATENATE(H8,F8,EG$2),Matemáticas!$A:$H,7,FALSE)=AU8,1,0)</f>
        <v>#N/A</v>
      </c>
      <c r="EH8" s="138" t="e">
        <f>IF(VLOOKUP(CONCATENATE(H8,F8,EH$2),Matemáticas!$A:$H,7,FALSE)=AV8,1,0)</f>
        <v>#N/A</v>
      </c>
      <c r="EI8" s="138" t="e">
        <f>IF(VLOOKUP(CONCATENATE(H8,F8,EI$2),Matemáticas!$A:$H,7,FALSE)=AW8,1,0)</f>
        <v>#N/A</v>
      </c>
      <c r="EJ8" s="138" t="e">
        <f>IF(VLOOKUP(CONCATENATE(H8,F8,EJ$2),Matemáticas!$A:$H,7,FALSE)=AX8,1,0)</f>
        <v>#N/A</v>
      </c>
      <c r="EK8" s="138" t="e">
        <f>IF(VLOOKUP(CONCATENATE(H8,F8,EK$2),Matemáticas!$A:$H,7,FALSE)=AY8,1,0)</f>
        <v>#N/A</v>
      </c>
      <c r="EL8" s="138" t="e">
        <f>IF(VLOOKUP(CONCATENATE(H8,F8,EL$2),Matemáticas!$A:$H,7,FALSE)=AZ8,1,0)</f>
        <v>#N/A</v>
      </c>
      <c r="EM8" s="138" t="e">
        <f>IF(VLOOKUP(CONCATENATE(H8,F8,EM$2),Matemáticas!$A:$H,7,FALSE)=BA8,1,0)</f>
        <v>#N/A</v>
      </c>
      <c r="EN8" s="138" t="e">
        <f>IF(VLOOKUP(CONCATENATE(H8,F8,EN$2),Matemáticas!$A:$H,7,FALSE)=BB8,1,0)</f>
        <v>#N/A</v>
      </c>
      <c r="EO8" s="138" t="e">
        <f>IF(VLOOKUP(CONCATENATE(H8,F8,EO$2),Matemáticas!$A:$H,7,FALSE)=BC8,1,0)</f>
        <v>#N/A</v>
      </c>
      <c r="EP8" s="138" t="e">
        <f>IF(VLOOKUP(CONCATENATE(H8,F8,EP$2),Matemáticas!$A:$H,7,FALSE)=BD8,1,0)</f>
        <v>#N/A</v>
      </c>
      <c r="EQ8" s="138" t="e">
        <f>IF(VLOOKUP(CONCATENATE(H8,F8,EQ$2),Matemáticas!$A:$H,7,FALSE)=BE8,1,0)</f>
        <v>#N/A</v>
      </c>
      <c r="ER8" s="138" t="e">
        <f>IF(VLOOKUP(CONCATENATE(H8,F8,ER$2),Matemáticas!$A:$H,7,FALSE)=BF8,1,0)</f>
        <v>#N/A</v>
      </c>
      <c r="ES8" s="138" t="e">
        <f>IF(VLOOKUP(CONCATENATE(H8,F8,ES$2),Matemáticas!$A:$H,7,FALSE)=BG8,1,0)</f>
        <v>#N/A</v>
      </c>
      <c r="ET8" s="138" t="e">
        <f>IF(VLOOKUP(CONCATENATE(H8,F8,ET$2),Matemáticas!$A:$H,7,FALSE)=BH8,1,0)</f>
        <v>#N/A</v>
      </c>
      <c r="EU8" s="138" t="e">
        <f>IF(VLOOKUP(CONCATENATE(H8,F8,EU$2),Matemáticas!$A:$H,7,FALSE)=BI8,1,0)</f>
        <v>#N/A</v>
      </c>
      <c r="EV8" s="138" t="e">
        <f>IF(VLOOKUP(CONCATENATE(H8,F8,EV$2),Ciencias!$A:$H,7,FALSE)=BJ8,1,0)</f>
        <v>#N/A</v>
      </c>
      <c r="EW8" s="138" t="e">
        <f>IF(VLOOKUP(CONCATENATE(H8,F8,EW$2),Ciencias!$A:$H,7,FALSE)=BK8,1,0)</f>
        <v>#N/A</v>
      </c>
      <c r="EX8" s="138" t="e">
        <f>IF(VLOOKUP(CONCATENATE(H8,F8,EX$2),Ciencias!$A:$H,7,FALSE)=BL8,1,0)</f>
        <v>#N/A</v>
      </c>
      <c r="EY8" s="138" t="e">
        <f>IF(VLOOKUP(CONCATENATE(H8,F8,EY$2),Ciencias!$A:$H,7,FALSE)=BM8,1,0)</f>
        <v>#N/A</v>
      </c>
      <c r="EZ8" s="138" t="e">
        <f>IF(VLOOKUP(CONCATENATE(H8,F8,EZ$2),Ciencias!$A:$H,7,FALSE)=BN8,1,0)</f>
        <v>#N/A</v>
      </c>
      <c r="FA8" s="138" t="e">
        <f>IF(VLOOKUP(CONCATENATE(H8,F8,FA$2),Ciencias!$A:$H,7,FALSE)=BO8,1,0)</f>
        <v>#N/A</v>
      </c>
      <c r="FB8" s="138" t="e">
        <f>IF(VLOOKUP(CONCATENATE(H8,F8,FB$2),Ciencias!$A:$H,7,FALSE)=BP8,1,0)</f>
        <v>#N/A</v>
      </c>
      <c r="FC8" s="138" t="e">
        <f>IF(VLOOKUP(CONCATENATE(H8,F8,FC$2),Ciencias!$A:$H,7,FALSE)=BQ8,1,0)</f>
        <v>#N/A</v>
      </c>
      <c r="FD8" s="138" t="e">
        <f>IF(VLOOKUP(CONCATENATE(H8,F8,FD$2),Ciencias!$A:$H,7,FALSE)=BR8,1,0)</f>
        <v>#N/A</v>
      </c>
      <c r="FE8" s="138" t="e">
        <f>IF(VLOOKUP(CONCATENATE(H8,F8,FE$2),Ciencias!$A:$H,7,FALSE)=BS8,1,0)</f>
        <v>#N/A</v>
      </c>
      <c r="FF8" s="138" t="e">
        <f>IF(VLOOKUP(CONCATENATE(H8,F8,FF$2),Ciencias!$A:$H,7,FALSE)=BT8,1,0)</f>
        <v>#N/A</v>
      </c>
      <c r="FG8" s="138" t="e">
        <f>IF(VLOOKUP(CONCATENATE(H8,F8,FG$2),Ciencias!$A:$H,7,FALSE)=BU8,1,0)</f>
        <v>#N/A</v>
      </c>
      <c r="FH8" s="138" t="e">
        <f>IF(VLOOKUP(CONCATENATE(H8,F8,FH$2),Ciencias!$A:$H,7,FALSE)=BV8,1,0)</f>
        <v>#N/A</v>
      </c>
      <c r="FI8" s="138" t="e">
        <f>IF(VLOOKUP(CONCATENATE(H8,F8,FI$2),Ciencias!$A:$H,7,FALSE)=BW8,1,0)</f>
        <v>#N/A</v>
      </c>
      <c r="FJ8" s="138" t="e">
        <f>IF(VLOOKUP(CONCATENATE(H8,F8,FJ$2),Ciencias!$A:$H,7,FALSE)=BX8,1,0)</f>
        <v>#N/A</v>
      </c>
      <c r="FK8" s="138" t="e">
        <f>IF(VLOOKUP(CONCATENATE(H8,F8,FK$2),Ciencias!$A:$H,7,FALSE)=BY8,1,0)</f>
        <v>#N/A</v>
      </c>
      <c r="FL8" s="138" t="e">
        <f>IF(VLOOKUP(CONCATENATE(H8,F8,FL$2),Ciencias!$A:$H,7,FALSE)=BZ8,1,0)</f>
        <v>#N/A</v>
      </c>
      <c r="FM8" s="138" t="e">
        <f>IF(VLOOKUP(CONCATENATE(H8,F8,FM$2),Ciencias!$A:$H,7,FALSE)=CA8,1,0)</f>
        <v>#N/A</v>
      </c>
      <c r="FN8" s="138" t="e">
        <f>IF(VLOOKUP(CONCATENATE(H8,F8,FN$2),Ciencias!$A:$H,7,FALSE)=CB8,1,0)</f>
        <v>#N/A</v>
      </c>
      <c r="FO8" s="138" t="e">
        <f>IF(VLOOKUP(CONCATENATE(H8,F8,FO$2),Ciencias!$A:$H,7,FALSE)=CC8,1,0)</f>
        <v>#N/A</v>
      </c>
      <c r="FP8" s="138" t="e">
        <f>IF(VLOOKUP(CONCATENATE(H8,F8,FP$2),GeoHis!$A:$H,7,FALSE)=CD8,1,0)</f>
        <v>#N/A</v>
      </c>
      <c r="FQ8" s="138" t="e">
        <f>IF(VLOOKUP(CONCATENATE(H8,F8,FQ$2),GeoHis!$A:$H,7,FALSE)=CE8,1,0)</f>
        <v>#N/A</v>
      </c>
      <c r="FR8" s="138" t="e">
        <f>IF(VLOOKUP(CONCATENATE(H8,F8,FR$2),GeoHis!$A:$H,7,FALSE)=CF8,1,0)</f>
        <v>#N/A</v>
      </c>
      <c r="FS8" s="138" t="e">
        <f>IF(VLOOKUP(CONCATENATE(H8,F8,FS$2),GeoHis!$A:$H,7,FALSE)=CG8,1,0)</f>
        <v>#N/A</v>
      </c>
      <c r="FT8" s="138" t="e">
        <f>IF(VLOOKUP(CONCATENATE(H8,F8,FT$2),GeoHis!$A:$H,7,FALSE)=CH8,1,0)</f>
        <v>#N/A</v>
      </c>
      <c r="FU8" s="138" t="e">
        <f>IF(VLOOKUP(CONCATENATE(H8,F8,FU$2),GeoHis!$A:$H,7,FALSE)=CI8,1,0)</f>
        <v>#N/A</v>
      </c>
      <c r="FV8" s="138" t="e">
        <f>IF(VLOOKUP(CONCATENATE(H8,F8,FV$2),GeoHis!$A:$H,7,FALSE)=CJ8,1,0)</f>
        <v>#N/A</v>
      </c>
      <c r="FW8" s="138" t="e">
        <f>IF(VLOOKUP(CONCATENATE(H8,F8,FW$2),GeoHis!$A:$H,7,FALSE)=CK8,1,0)</f>
        <v>#N/A</v>
      </c>
      <c r="FX8" s="138" t="e">
        <f>IF(VLOOKUP(CONCATENATE(H8,F8,FX$2),GeoHis!$A:$H,7,FALSE)=CL8,1,0)</f>
        <v>#N/A</v>
      </c>
      <c r="FY8" s="138" t="e">
        <f>IF(VLOOKUP(CONCATENATE(H8,F8,FY$2),GeoHis!$A:$H,7,FALSE)=CM8,1,0)</f>
        <v>#N/A</v>
      </c>
      <c r="FZ8" s="138" t="e">
        <f>IF(VLOOKUP(CONCATENATE(H8,F8,FZ$2),GeoHis!$A:$H,7,FALSE)=CN8,1,0)</f>
        <v>#N/A</v>
      </c>
      <c r="GA8" s="138" t="e">
        <f>IF(VLOOKUP(CONCATENATE(H8,F8,GA$2),GeoHis!$A:$H,7,FALSE)=CO8,1,0)</f>
        <v>#N/A</v>
      </c>
      <c r="GB8" s="138" t="e">
        <f>IF(VLOOKUP(CONCATENATE(H8,F8,GB$2),GeoHis!$A:$H,7,FALSE)=CP8,1,0)</f>
        <v>#N/A</v>
      </c>
      <c r="GC8" s="138" t="e">
        <f>IF(VLOOKUP(CONCATENATE(H8,F8,GC$2),GeoHis!$A:$H,7,FALSE)=CQ8,1,0)</f>
        <v>#N/A</v>
      </c>
      <c r="GD8" s="138" t="e">
        <f>IF(VLOOKUP(CONCATENATE(H8,F8,GD$2),GeoHis!$A:$H,7,FALSE)=CR8,1,0)</f>
        <v>#N/A</v>
      </c>
      <c r="GE8" s="135" t="str">
        <f t="shared" si="6"/>
        <v/>
      </c>
    </row>
    <row r="9" spans="1:187" x14ac:dyDescent="0.25">
      <c r="A9" s="127" t="str">
        <f>IF(C9="","",'Datos Generales'!$A$25)</f>
        <v/>
      </c>
      <c r="D9" s="126" t="str">
        <f t="shared" si="0"/>
        <v/>
      </c>
      <c r="E9" s="126">
        <f t="shared" si="1"/>
        <v>0</v>
      </c>
      <c r="F9" s="126" t="str">
        <f t="shared" si="7"/>
        <v/>
      </c>
      <c r="G9" s="126" t="str">
        <f>IF(C9="","",'Datos Generales'!$D$19)</f>
        <v/>
      </c>
      <c r="H9" s="21" t="str">
        <f>IF(C9="","",'Datos Generales'!$A$19)</f>
        <v/>
      </c>
      <c r="I9" s="126" t="str">
        <f>IF(C9="","",'Datos Generales'!$A$7)</f>
        <v/>
      </c>
      <c r="J9" s="21" t="str">
        <f>IF(C9="","",'Datos Generales'!$A$13)</f>
        <v/>
      </c>
      <c r="K9" s="21" t="str">
        <f>IF(C9="","",'Datos Generales'!$A$10)</f>
        <v/>
      </c>
      <c r="CS9" s="142" t="str">
        <f t="shared" si="2"/>
        <v/>
      </c>
      <c r="CT9" s="142" t="str">
        <f t="shared" si="3"/>
        <v/>
      </c>
      <c r="CU9" s="142" t="str">
        <f t="shared" si="4"/>
        <v/>
      </c>
      <c r="CV9" s="142" t="str">
        <f t="shared" si="5"/>
        <v/>
      </c>
      <c r="CW9" s="142" t="str">
        <f>IF(C9="","",IF('Datos Generales'!$A$19=1,AVERAGE(FP9:GD9),AVERAGE(Captura!FP9:FY9)))</f>
        <v/>
      </c>
      <c r="CX9" s="138" t="e">
        <f>IF(VLOOKUP(CONCATENATE($H$4,$F$4,CX$2),Español!$A:$H,7,FALSE)=L9,1,0)</f>
        <v>#N/A</v>
      </c>
      <c r="CY9" s="138" t="e">
        <f>IF(VLOOKUP(CONCATENATE(H9,F9,CY$2),Español!$A:$H,7,FALSE)=M9,1,0)</f>
        <v>#N/A</v>
      </c>
      <c r="CZ9" s="138" t="e">
        <f>IF(VLOOKUP(CONCATENATE(H9,F9,CZ$2),Español!$A:$H,7,FALSE)=N9,1,0)</f>
        <v>#N/A</v>
      </c>
      <c r="DA9" s="138" t="e">
        <f>IF(VLOOKUP(CONCATENATE(H9,F9,DA$2),Español!$A:$H,7,FALSE)=O9,1,0)</f>
        <v>#N/A</v>
      </c>
      <c r="DB9" s="138" t="e">
        <f>IF(VLOOKUP(CONCATENATE(H9,F9,DB$2),Español!$A:$H,7,FALSE)=P9,1,0)</f>
        <v>#N/A</v>
      </c>
      <c r="DC9" s="138" t="e">
        <f>IF(VLOOKUP(CONCATENATE(H9,F9,DC$2),Español!$A:$H,7,FALSE)=Q9,1,0)</f>
        <v>#N/A</v>
      </c>
      <c r="DD9" s="138" t="e">
        <f>IF(VLOOKUP(CONCATENATE(H9,F9,DD$2),Español!$A:$H,7,FALSE)=R9,1,0)</f>
        <v>#N/A</v>
      </c>
      <c r="DE9" s="138" t="e">
        <f>IF(VLOOKUP(CONCATENATE(H9,F9,DE$2),Español!$A:$H,7,FALSE)=S9,1,0)</f>
        <v>#N/A</v>
      </c>
      <c r="DF9" s="138" t="e">
        <f>IF(VLOOKUP(CONCATENATE(H9,F9,DF$2),Español!$A:$H,7,FALSE)=T9,1,0)</f>
        <v>#N/A</v>
      </c>
      <c r="DG9" s="138" t="e">
        <f>IF(VLOOKUP(CONCATENATE(H9,F9,DG$2),Español!$A:$H,7,FALSE)=U9,1,0)</f>
        <v>#N/A</v>
      </c>
      <c r="DH9" s="138" t="e">
        <f>IF(VLOOKUP(CONCATENATE(H9,F9,DH$2),Español!$A:$H,7,FALSE)=V9,1,0)</f>
        <v>#N/A</v>
      </c>
      <c r="DI9" s="138" t="e">
        <f>IF(VLOOKUP(CONCATENATE(H9,F9,DI$2),Español!$A:$H,7,FALSE)=W9,1,0)</f>
        <v>#N/A</v>
      </c>
      <c r="DJ9" s="138" t="e">
        <f>IF(VLOOKUP(CONCATENATE(H9,F9,DJ$2),Español!$A:$H,7,FALSE)=X9,1,0)</f>
        <v>#N/A</v>
      </c>
      <c r="DK9" s="138" t="e">
        <f>IF(VLOOKUP(CONCATENATE(H9,F9,DK$2),Español!$A:$H,7,FALSE)=Y9,1,0)</f>
        <v>#N/A</v>
      </c>
      <c r="DL9" s="138" t="e">
        <f>IF(VLOOKUP(CONCATENATE(H9,F9,DL$2),Español!$A:$H,7,FALSE)=Z9,1,0)</f>
        <v>#N/A</v>
      </c>
      <c r="DM9" s="138" t="e">
        <f>IF(VLOOKUP(CONCATENATE(H9,F9,DM$2),Español!$A:$H,7,FALSE)=AA9,1,0)</f>
        <v>#N/A</v>
      </c>
      <c r="DN9" s="138" t="e">
        <f>IF(VLOOKUP(CONCATENATE(H9,F9,DN$2),Español!$A:$H,7,FALSE)=AB9,1,0)</f>
        <v>#N/A</v>
      </c>
      <c r="DO9" s="138" t="e">
        <f>IF(VLOOKUP(CONCATENATE(H9,F9,DO$2),Español!$A:$H,7,FALSE)=AC9,1,0)</f>
        <v>#N/A</v>
      </c>
      <c r="DP9" s="138" t="e">
        <f>IF(VLOOKUP(CONCATENATE(H9,F9,DP$2),Español!$A:$H,7,FALSE)=AD9,1,0)</f>
        <v>#N/A</v>
      </c>
      <c r="DQ9" s="138" t="e">
        <f>IF(VLOOKUP(CONCATENATE(H9,F9,DQ$2),Español!$A:$H,7,FALSE)=AE9,1,0)</f>
        <v>#N/A</v>
      </c>
      <c r="DR9" s="138" t="e">
        <f>IF(VLOOKUP(CONCATENATE(H9,F9,DR$2),Inglés!$A:$H,7,FALSE)=AF9,1,0)</f>
        <v>#N/A</v>
      </c>
      <c r="DS9" s="138" t="e">
        <f>IF(VLOOKUP(CONCATENATE(H9,F9,DS$2),Inglés!$A:$H,7,FALSE)=AG9,1,0)</f>
        <v>#N/A</v>
      </c>
      <c r="DT9" s="138" t="e">
        <f>IF(VLOOKUP(CONCATENATE(H9,F9,DT$2),Inglés!$A:$H,7,FALSE)=AH9,1,0)</f>
        <v>#N/A</v>
      </c>
      <c r="DU9" s="138" t="e">
        <f>IF(VLOOKUP(CONCATENATE(H9,F9,DU$2),Inglés!$A:$H,7,FALSE)=AI9,1,0)</f>
        <v>#N/A</v>
      </c>
      <c r="DV9" s="138" t="e">
        <f>IF(VLOOKUP(CONCATENATE(H9,F9,DV$2),Inglés!$A:$H,7,FALSE)=AJ9,1,0)</f>
        <v>#N/A</v>
      </c>
      <c r="DW9" s="138" t="e">
        <f>IF(VLOOKUP(CONCATENATE(H9,F9,DW$2),Inglés!$A:$H,7,FALSE)=AK9,1,0)</f>
        <v>#N/A</v>
      </c>
      <c r="DX9" s="138" t="e">
        <f>IF(VLOOKUP(CONCATENATE(H9,F9,DX$2),Inglés!$A:$H,7,FALSE)=AL9,1,0)</f>
        <v>#N/A</v>
      </c>
      <c r="DY9" s="138" t="e">
        <f>IF(VLOOKUP(CONCATENATE(H9,F9,DY$2),Inglés!$A:$H,7,FALSE)=AM9,1,0)</f>
        <v>#N/A</v>
      </c>
      <c r="DZ9" s="138" t="e">
        <f>IF(VLOOKUP(CONCATENATE(H9,F9,DZ$2),Inglés!$A:$H,7,FALSE)=AN9,1,0)</f>
        <v>#N/A</v>
      </c>
      <c r="EA9" s="138" t="e">
        <f>IF(VLOOKUP(CONCATENATE(H9,F9,EA$2),Inglés!$A:$H,7,FALSE)=AO9,1,0)</f>
        <v>#N/A</v>
      </c>
      <c r="EB9" s="138" t="e">
        <f>IF(VLOOKUP(CONCATENATE(H9,F9,EB$2),Matemáticas!$A:$H,7,FALSE)=AP9,1,0)</f>
        <v>#N/A</v>
      </c>
      <c r="EC9" s="138" t="e">
        <f>IF(VLOOKUP(CONCATENATE(H9,F9,EC$2),Matemáticas!$A:$H,7,FALSE)=AQ9,1,0)</f>
        <v>#N/A</v>
      </c>
      <c r="ED9" s="138" t="e">
        <f>IF(VLOOKUP(CONCATENATE(H9,F9,ED$2),Matemáticas!$A:$H,7,FALSE)=AR9,1,0)</f>
        <v>#N/A</v>
      </c>
      <c r="EE9" s="138" t="e">
        <f>IF(VLOOKUP(CONCATENATE(H9,F9,EE$2),Matemáticas!$A:$H,7,FALSE)=AS9,1,0)</f>
        <v>#N/A</v>
      </c>
      <c r="EF9" s="138" t="e">
        <f>IF(VLOOKUP(CONCATENATE(H9,F9,EF$2),Matemáticas!$A:$H,7,FALSE)=AT9,1,0)</f>
        <v>#N/A</v>
      </c>
      <c r="EG9" s="138" t="e">
        <f>IF(VLOOKUP(CONCATENATE(H9,F9,EG$2),Matemáticas!$A:$H,7,FALSE)=AU9,1,0)</f>
        <v>#N/A</v>
      </c>
      <c r="EH9" s="138" t="e">
        <f>IF(VLOOKUP(CONCATENATE(H9,F9,EH$2),Matemáticas!$A:$H,7,FALSE)=AV9,1,0)</f>
        <v>#N/A</v>
      </c>
      <c r="EI9" s="138" t="e">
        <f>IF(VLOOKUP(CONCATENATE(H9,F9,EI$2),Matemáticas!$A:$H,7,FALSE)=AW9,1,0)</f>
        <v>#N/A</v>
      </c>
      <c r="EJ9" s="138" t="e">
        <f>IF(VLOOKUP(CONCATENATE(H9,F9,EJ$2),Matemáticas!$A:$H,7,FALSE)=AX9,1,0)</f>
        <v>#N/A</v>
      </c>
      <c r="EK9" s="138" t="e">
        <f>IF(VLOOKUP(CONCATENATE(H9,F9,EK$2),Matemáticas!$A:$H,7,FALSE)=AY9,1,0)</f>
        <v>#N/A</v>
      </c>
      <c r="EL9" s="138" t="e">
        <f>IF(VLOOKUP(CONCATENATE(H9,F9,EL$2),Matemáticas!$A:$H,7,FALSE)=AZ9,1,0)</f>
        <v>#N/A</v>
      </c>
      <c r="EM9" s="138" t="e">
        <f>IF(VLOOKUP(CONCATENATE(H9,F9,EM$2),Matemáticas!$A:$H,7,FALSE)=BA9,1,0)</f>
        <v>#N/A</v>
      </c>
      <c r="EN9" s="138" t="e">
        <f>IF(VLOOKUP(CONCATENATE(H9,F9,EN$2),Matemáticas!$A:$H,7,FALSE)=BB9,1,0)</f>
        <v>#N/A</v>
      </c>
      <c r="EO9" s="138" t="e">
        <f>IF(VLOOKUP(CONCATENATE(H9,F9,EO$2),Matemáticas!$A:$H,7,FALSE)=BC9,1,0)</f>
        <v>#N/A</v>
      </c>
      <c r="EP9" s="138" t="e">
        <f>IF(VLOOKUP(CONCATENATE(H9,F9,EP$2),Matemáticas!$A:$H,7,FALSE)=BD9,1,0)</f>
        <v>#N/A</v>
      </c>
      <c r="EQ9" s="138" t="e">
        <f>IF(VLOOKUP(CONCATENATE(H9,F9,EQ$2),Matemáticas!$A:$H,7,FALSE)=BE9,1,0)</f>
        <v>#N/A</v>
      </c>
      <c r="ER9" s="138" t="e">
        <f>IF(VLOOKUP(CONCATENATE(H9,F9,ER$2),Matemáticas!$A:$H,7,FALSE)=BF9,1,0)</f>
        <v>#N/A</v>
      </c>
      <c r="ES9" s="138" t="e">
        <f>IF(VLOOKUP(CONCATENATE(H9,F9,ES$2),Matemáticas!$A:$H,7,FALSE)=BG9,1,0)</f>
        <v>#N/A</v>
      </c>
      <c r="ET9" s="138" t="e">
        <f>IF(VLOOKUP(CONCATENATE(H9,F9,ET$2),Matemáticas!$A:$H,7,FALSE)=BH9,1,0)</f>
        <v>#N/A</v>
      </c>
      <c r="EU9" s="138" t="e">
        <f>IF(VLOOKUP(CONCATENATE(H9,F9,EU$2),Matemáticas!$A:$H,7,FALSE)=BI9,1,0)</f>
        <v>#N/A</v>
      </c>
      <c r="EV9" s="138" t="e">
        <f>IF(VLOOKUP(CONCATENATE(H9,F9,EV$2),Ciencias!$A:$H,7,FALSE)=BJ9,1,0)</f>
        <v>#N/A</v>
      </c>
      <c r="EW9" s="138" t="e">
        <f>IF(VLOOKUP(CONCATENATE(H9,F9,EW$2),Ciencias!$A:$H,7,FALSE)=BK9,1,0)</f>
        <v>#N/A</v>
      </c>
      <c r="EX9" s="138" t="e">
        <f>IF(VLOOKUP(CONCATENATE(H9,F9,EX$2),Ciencias!$A:$H,7,FALSE)=BL9,1,0)</f>
        <v>#N/A</v>
      </c>
      <c r="EY9" s="138" t="e">
        <f>IF(VLOOKUP(CONCATENATE(H9,F9,EY$2),Ciencias!$A:$H,7,FALSE)=BM9,1,0)</f>
        <v>#N/A</v>
      </c>
      <c r="EZ9" s="138" t="e">
        <f>IF(VLOOKUP(CONCATENATE(H9,F9,EZ$2),Ciencias!$A:$H,7,FALSE)=BN9,1,0)</f>
        <v>#N/A</v>
      </c>
      <c r="FA9" s="138" t="e">
        <f>IF(VLOOKUP(CONCATENATE(H9,F9,FA$2),Ciencias!$A:$H,7,FALSE)=BO9,1,0)</f>
        <v>#N/A</v>
      </c>
      <c r="FB9" s="138" t="e">
        <f>IF(VLOOKUP(CONCATENATE(H9,F9,FB$2),Ciencias!$A:$H,7,FALSE)=BP9,1,0)</f>
        <v>#N/A</v>
      </c>
      <c r="FC9" s="138" t="e">
        <f>IF(VLOOKUP(CONCATENATE(H9,F9,FC$2),Ciencias!$A:$H,7,FALSE)=BQ9,1,0)</f>
        <v>#N/A</v>
      </c>
      <c r="FD9" s="138" t="e">
        <f>IF(VLOOKUP(CONCATENATE(H9,F9,FD$2),Ciencias!$A:$H,7,FALSE)=BR9,1,0)</f>
        <v>#N/A</v>
      </c>
      <c r="FE9" s="138" t="e">
        <f>IF(VLOOKUP(CONCATENATE(H9,F9,FE$2),Ciencias!$A:$H,7,FALSE)=BS9,1,0)</f>
        <v>#N/A</v>
      </c>
      <c r="FF9" s="138" t="e">
        <f>IF(VLOOKUP(CONCATENATE(H9,F9,FF$2),Ciencias!$A:$H,7,FALSE)=BT9,1,0)</f>
        <v>#N/A</v>
      </c>
      <c r="FG9" s="138" t="e">
        <f>IF(VLOOKUP(CONCATENATE(H9,F9,FG$2),Ciencias!$A:$H,7,FALSE)=BU9,1,0)</f>
        <v>#N/A</v>
      </c>
      <c r="FH9" s="138" t="e">
        <f>IF(VLOOKUP(CONCATENATE(H9,F9,FH$2),Ciencias!$A:$H,7,FALSE)=BV9,1,0)</f>
        <v>#N/A</v>
      </c>
      <c r="FI9" s="138" t="e">
        <f>IF(VLOOKUP(CONCATENATE(H9,F9,FI$2),Ciencias!$A:$H,7,FALSE)=BW9,1,0)</f>
        <v>#N/A</v>
      </c>
      <c r="FJ9" s="138" t="e">
        <f>IF(VLOOKUP(CONCATENATE(H9,F9,FJ$2),Ciencias!$A:$H,7,FALSE)=BX9,1,0)</f>
        <v>#N/A</v>
      </c>
      <c r="FK9" s="138" t="e">
        <f>IF(VLOOKUP(CONCATENATE(H9,F9,FK$2),Ciencias!$A:$H,7,FALSE)=BY9,1,0)</f>
        <v>#N/A</v>
      </c>
      <c r="FL9" s="138" t="e">
        <f>IF(VLOOKUP(CONCATENATE(H9,F9,FL$2),Ciencias!$A:$H,7,FALSE)=BZ9,1,0)</f>
        <v>#N/A</v>
      </c>
      <c r="FM9" s="138" t="e">
        <f>IF(VLOOKUP(CONCATENATE(H9,F9,FM$2),Ciencias!$A:$H,7,FALSE)=CA9,1,0)</f>
        <v>#N/A</v>
      </c>
      <c r="FN9" s="138" t="e">
        <f>IF(VLOOKUP(CONCATENATE(H9,F9,FN$2),Ciencias!$A:$H,7,FALSE)=CB9,1,0)</f>
        <v>#N/A</v>
      </c>
      <c r="FO9" s="138" t="e">
        <f>IF(VLOOKUP(CONCATENATE(H9,F9,FO$2),Ciencias!$A:$H,7,FALSE)=CC9,1,0)</f>
        <v>#N/A</v>
      </c>
      <c r="FP9" s="138" t="e">
        <f>IF(VLOOKUP(CONCATENATE(H9,F9,FP$2),GeoHis!$A:$H,7,FALSE)=CD9,1,0)</f>
        <v>#N/A</v>
      </c>
      <c r="FQ9" s="138" t="e">
        <f>IF(VLOOKUP(CONCATENATE(H9,F9,FQ$2),GeoHis!$A:$H,7,FALSE)=CE9,1,0)</f>
        <v>#N/A</v>
      </c>
      <c r="FR9" s="138" t="e">
        <f>IF(VLOOKUP(CONCATENATE(H9,F9,FR$2),GeoHis!$A:$H,7,FALSE)=CF9,1,0)</f>
        <v>#N/A</v>
      </c>
      <c r="FS9" s="138" t="e">
        <f>IF(VLOOKUP(CONCATENATE(H9,F9,FS$2),GeoHis!$A:$H,7,FALSE)=CG9,1,0)</f>
        <v>#N/A</v>
      </c>
      <c r="FT9" s="138" t="e">
        <f>IF(VLOOKUP(CONCATENATE(H9,F9,FT$2),GeoHis!$A:$H,7,FALSE)=CH9,1,0)</f>
        <v>#N/A</v>
      </c>
      <c r="FU9" s="138" t="e">
        <f>IF(VLOOKUP(CONCATENATE(H9,F9,FU$2),GeoHis!$A:$H,7,FALSE)=CI9,1,0)</f>
        <v>#N/A</v>
      </c>
      <c r="FV9" s="138" t="e">
        <f>IF(VLOOKUP(CONCATENATE(H9,F9,FV$2),GeoHis!$A:$H,7,FALSE)=CJ9,1,0)</f>
        <v>#N/A</v>
      </c>
      <c r="FW9" s="138" t="e">
        <f>IF(VLOOKUP(CONCATENATE(H9,F9,FW$2),GeoHis!$A:$H,7,FALSE)=CK9,1,0)</f>
        <v>#N/A</v>
      </c>
      <c r="FX9" s="138" t="e">
        <f>IF(VLOOKUP(CONCATENATE(H9,F9,FX$2),GeoHis!$A:$H,7,FALSE)=CL9,1,0)</f>
        <v>#N/A</v>
      </c>
      <c r="FY9" s="138" t="e">
        <f>IF(VLOOKUP(CONCATENATE(H9,F9,FY$2),GeoHis!$A:$H,7,FALSE)=CM9,1,0)</f>
        <v>#N/A</v>
      </c>
      <c r="FZ9" s="138" t="e">
        <f>IF(VLOOKUP(CONCATENATE(H9,F9,FZ$2),GeoHis!$A:$H,7,FALSE)=CN9,1,0)</f>
        <v>#N/A</v>
      </c>
      <c r="GA9" s="138" t="e">
        <f>IF(VLOOKUP(CONCATENATE(H9,F9,GA$2),GeoHis!$A:$H,7,FALSE)=CO9,1,0)</f>
        <v>#N/A</v>
      </c>
      <c r="GB9" s="138" t="e">
        <f>IF(VLOOKUP(CONCATENATE(H9,F9,GB$2),GeoHis!$A:$H,7,FALSE)=CP9,1,0)</f>
        <v>#N/A</v>
      </c>
      <c r="GC9" s="138" t="e">
        <f>IF(VLOOKUP(CONCATENATE(H9,F9,GC$2),GeoHis!$A:$H,7,FALSE)=CQ9,1,0)</f>
        <v>#N/A</v>
      </c>
      <c r="GD9" s="138" t="e">
        <f>IF(VLOOKUP(CONCATENATE(H9,F9,GD$2),GeoHis!$A:$H,7,FALSE)=CR9,1,0)</f>
        <v>#N/A</v>
      </c>
      <c r="GE9" s="135" t="str">
        <f t="shared" si="6"/>
        <v/>
      </c>
    </row>
    <row r="10" spans="1:187" x14ac:dyDescent="0.25">
      <c r="A10" s="127" t="str">
        <f>IF(C10="","",'Datos Generales'!$A$25)</f>
        <v/>
      </c>
      <c r="D10" s="126" t="str">
        <f t="shared" si="0"/>
        <v/>
      </c>
      <c r="E10" s="126">
        <f t="shared" si="1"/>
        <v>0</v>
      </c>
      <c r="F10" s="126" t="str">
        <f t="shared" si="7"/>
        <v/>
      </c>
      <c r="G10" s="126" t="str">
        <f>IF(C10="","",'Datos Generales'!$D$19)</f>
        <v/>
      </c>
      <c r="H10" s="21" t="str">
        <f>IF(C10="","",'Datos Generales'!$A$19)</f>
        <v/>
      </c>
      <c r="I10" s="126" t="str">
        <f>IF(C10="","",'Datos Generales'!$A$7)</f>
        <v/>
      </c>
      <c r="J10" s="21" t="str">
        <f>IF(C10="","",'Datos Generales'!$A$13)</f>
        <v/>
      </c>
      <c r="K10" s="21" t="str">
        <f>IF(C10="","",'Datos Generales'!$A$10)</f>
        <v/>
      </c>
      <c r="CS10" s="142" t="str">
        <f t="shared" si="2"/>
        <v/>
      </c>
      <c r="CT10" s="142" t="str">
        <f t="shared" si="3"/>
        <v/>
      </c>
      <c r="CU10" s="142" t="str">
        <f t="shared" si="4"/>
        <v/>
      </c>
      <c r="CV10" s="142" t="str">
        <f t="shared" si="5"/>
        <v/>
      </c>
      <c r="CW10" s="142" t="str">
        <f>IF(C10="","",IF('Datos Generales'!$A$19=1,AVERAGE(FP10:GD10),AVERAGE(Captura!FP10:FY10)))</f>
        <v/>
      </c>
      <c r="CX10" s="138" t="e">
        <f>IF(VLOOKUP(CONCATENATE($H$4,$F$4,CX$2),Español!$A:$H,7,FALSE)=L10,1,0)</f>
        <v>#N/A</v>
      </c>
      <c r="CY10" s="138" t="e">
        <f>IF(VLOOKUP(CONCATENATE(H10,F10,CY$2),Español!$A:$H,7,FALSE)=M10,1,0)</f>
        <v>#N/A</v>
      </c>
      <c r="CZ10" s="138" t="e">
        <f>IF(VLOOKUP(CONCATENATE(H10,F10,CZ$2),Español!$A:$H,7,FALSE)=N10,1,0)</f>
        <v>#N/A</v>
      </c>
      <c r="DA10" s="138" t="e">
        <f>IF(VLOOKUP(CONCATENATE(H10,F10,DA$2),Español!$A:$H,7,FALSE)=O10,1,0)</f>
        <v>#N/A</v>
      </c>
      <c r="DB10" s="138" t="e">
        <f>IF(VLOOKUP(CONCATENATE(H10,F10,DB$2),Español!$A:$H,7,FALSE)=P10,1,0)</f>
        <v>#N/A</v>
      </c>
      <c r="DC10" s="138" t="e">
        <f>IF(VLOOKUP(CONCATENATE(H10,F10,DC$2),Español!$A:$H,7,FALSE)=Q10,1,0)</f>
        <v>#N/A</v>
      </c>
      <c r="DD10" s="138" t="e">
        <f>IF(VLOOKUP(CONCATENATE(H10,F10,DD$2),Español!$A:$H,7,FALSE)=R10,1,0)</f>
        <v>#N/A</v>
      </c>
      <c r="DE10" s="138" t="e">
        <f>IF(VLOOKUP(CONCATENATE(H10,F10,DE$2),Español!$A:$H,7,FALSE)=S10,1,0)</f>
        <v>#N/A</v>
      </c>
      <c r="DF10" s="138" t="e">
        <f>IF(VLOOKUP(CONCATENATE(H10,F10,DF$2),Español!$A:$H,7,FALSE)=T10,1,0)</f>
        <v>#N/A</v>
      </c>
      <c r="DG10" s="138" t="e">
        <f>IF(VLOOKUP(CONCATENATE(H10,F10,DG$2),Español!$A:$H,7,FALSE)=U10,1,0)</f>
        <v>#N/A</v>
      </c>
      <c r="DH10" s="138" t="e">
        <f>IF(VLOOKUP(CONCATENATE(H10,F10,DH$2),Español!$A:$H,7,FALSE)=V10,1,0)</f>
        <v>#N/A</v>
      </c>
      <c r="DI10" s="138" t="e">
        <f>IF(VLOOKUP(CONCATENATE(H10,F10,DI$2),Español!$A:$H,7,FALSE)=W10,1,0)</f>
        <v>#N/A</v>
      </c>
      <c r="DJ10" s="138" t="e">
        <f>IF(VLOOKUP(CONCATENATE(H10,F10,DJ$2),Español!$A:$H,7,FALSE)=X10,1,0)</f>
        <v>#N/A</v>
      </c>
      <c r="DK10" s="138" t="e">
        <f>IF(VLOOKUP(CONCATENATE(H10,F10,DK$2),Español!$A:$H,7,FALSE)=Y10,1,0)</f>
        <v>#N/A</v>
      </c>
      <c r="DL10" s="138" t="e">
        <f>IF(VLOOKUP(CONCATENATE(H10,F10,DL$2),Español!$A:$H,7,FALSE)=Z10,1,0)</f>
        <v>#N/A</v>
      </c>
      <c r="DM10" s="138" t="e">
        <f>IF(VLOOKUP(CONCATENATE(H10,F10,DM$2),Español!$A:$H,7,FALSE)=AA10,1,0)</f>
        <v>#N/A</v>
      </c>
      <c r="DN10" s="138" t="e">
        <f>IF(VLOOKUP(CONCATENATE(H10,F10,DN$2),Español!$A:$H,7,FALSE)=AB10,1,0)</f>
        <v>#N/A</v>
      </c>
      <c r="DO10" s="138" t="e">
        <f>IF(VLOOKUP(CONCATENATE(H10,F10,DO$2),Español!$A:$H,7,FALSE)=AC10,1,0)</f>
        <v>#N/A</v>
      </c>
      <c r="DP10" s="138" t="e">
        <f>IF(VLOOKUP(CONCATENATE(H10,F10,DP$2),Español!$A:$H,7,FALSE)=AD10,1,0)</f>
        <v>#N/A</v>
      </c>
      <c r="DQ10" s="138" t="e">
        <f>IF(VLOOKUP(CONCATENATE(H10,F10,DQ$2),Español!$A:$H,7,FALSE)=AE10,1,0)</f>
        <v>#N/A</v>
      </c>
      <c r="DR10" s="138" t="e">
        <f>IF(VLOOKUP(CONCATENATE(H10,F10,DR$2),Inglés!$A:$H,7,FALSE)=AF10,1,0)</f>
        <v>#N/A</v>
      </c>
      <c r="DS10" s="138" t="e">
        <f>IF(VLOOKUP(CONCATENATE(H10,F10,DS$2),Inglés!$A:$H,7,FALSE)=AG10,1,0)</f>
        <v>#N/A</v>
      </c>
      <c r="DT10" s="138" t="e">
        <f>IF(VLOOKUP(CONCATENATE(H10,F10,DT$2),Inglés!$A:$H,7,FALSE)=AH10,1,0)</f>
        <v>#N/A</v>
      </c>
      <c r="DU10" s="138" t="e">
        <f>IF(VLOOKUP(CONCATENATE(H10,F10,DU$2),Inglés!$A:$H,7,FALSE)=AI10,1,0)</f>
        <v>#N/A</v>
      </c>
      <c r="DV10" s="138" t="e">
        <f>IF(VLOOKUP(CONCATENATE(H10,F10,DV$2),Inglés!$A:$H,7,FALSE)=AJ10,1,0)</f>
        <v>#N/A</v>
      </c>
      <c r="DW10" s="138" t="e">
        <f>IF(VLOOKUP(CONCATENATE(H10,F10,DW$2),Inglés!$A:$H,7,FALSE)=AK10,1,0)</f>
        <v>#N/A</v>
      </c>
      <c r="DX10" s="138" t="e">
        <f>IF(VLOOKUP(CONCATENATE(H10,F10,DX$2),Inglés!$A:$H,7,FALSE)=AL10,1,0)</f>
        <v>#N/A</v>
      </c>
      <c r="DY10" s="138" t="e">
        <f>IF(VLOOKUP(CONCATENATE(H10,F10,DY$2),Inglés!$A:$H,7,FALSE)=AM10,1,0)</f>
        <v>#N/A</v>
      </c>
      <c r="DZ10" s="138" t="e">
        <f>IF(VLOOKUP(CONCATENATE(H10,F10,DZ$2),Inglés!$A:$H,7,FALSE)=AN10,1,0)</f>
        <v>#N/A</v>
      </c>
      <c r="EA10" s="138" t="e">
        <f>IF(VLOOKUP(CONCATENATE(H10,F10,EA$2),Inglés!$A:$H,7,FALSE)=AO10,1,0)</f>
        <v>#N/A</v>
      </c>
      <c r="EB10" s="138" t="e">
        <f>IF(VLOOKUP(CONCATENATE(H10,F10,EB$2),Matemáticas!$A:$H,7,FALSE)=AP10,1,0)</f>
        <v>#N/A</v>
      </c>
      <c r="EC10" s="138" t="e">
        <f>IF(VLOOKUP(CONCATENATE(H10,F10,EC$2),Matemáticas!$A:$H,7,FALSE)=AQ10,1,0)</f>
        <v>#N/A</v>
      </c>
      <c r="ED10" s="138" t="e">
        <f>IF(VLOOKUP(CONCATENATE(H10,F10,ED$2),Matemáticas!$A:$H,7,FALSE)=AR10,1,0)</f>
        <v>#N/A</v>
      </c>
      <c r="EE10" s="138" t="e">
        <f>IF(VLOOKUP(CONCATENATE(H10,F10,EE$2),Matemáticas!$A:$H,7,FALSE)=AS10,1,0)</f>
        <v>#N/A</v>
      </c>
      <c r="EF10" s="138" t="e">
        <f>IF(VLOOKUP(CONCATENATE(H10,F10,EF$2),Matemáticas!$A:$H,7,FALSE)=AT10,1,0)</f>
        <v>#N/A</v>
      </c>
      <c r="EG10" s="138" t="e">
        <f>IF(VLOOKUP(CONCATENATE(H10,F10,EG$2),Matemáticas!$A:$H,7,FALSE)=AU10,1,0)</f>
        <v>#N/A</v>
      </c>
      <c r="EH10" s="138" t="e">
        <f>IF(VLOOKUP(CONCATENATE(H10,F10,EH$2),Matemáticas!$A:$H,7,FALSE)=AV10,1,0)</f>
        <v>#N/A</v>
      </c>
      <c r="EI10" s="138" t="e">
        <f>IF(VLOOKUP(CONCATENATE(H10,F10,EI$2),Matemáticas!$A:$H,7,FALSE)=AW10,1,0)</f>
        <v>#N/A</v>
      </c>
      <c r="EJ10" s="138" t="e">
        <f>IF(VLOOKUP(CONCATENATE(H10,F10,EJ$2),Matemáticas!$A:$H,7,FALSE)=AX10,1,0)</f>
        <v>#N/A</v>
      </c>
      <c r="EK10" s="138" t="e">
        <f>IF(VLOOKUP(CONCATENATE(H10,F10,EK$2),Matemáticas!$A:$H,7,FALSE)=AY10,1,0)</f>
        <v>#N/A</v>
      </c>
      <c r="EL10" s="138" t="e">
        <f>IF(VLOOKUP(CONCATENATE(H10,F10,EL$2),Matemáticas!$A:$H,7,FALSE)=AZ10,1,0)</f>
        <v>#N/A</v>
      </c>
      <c r="EM10" s="138" t="e">
        <f>IF(VLOOKUP(CONCATENATE(H10,F10,EM$2),Matemáticas!$A:$H,7,FALSE)=BA10,1,0)</f>
        <v>#N/A</v>
      </c>
      <c r="EN10" s="138" t="e">
        <f>IF(VLOOKUP(CONCATENATE(H10,F10,EN$2),Matemáticas!$A:$H,7,FALSE)=BB10,1,0)</f>
        <v>#N/A</v>
      </c>
      <c r="EO10" s="138" t="e">
        <f>IF(VLOOKUP(CONCATENATE(H10,F10,EO$2),Matemáticas!$A:$H,7,FALSE)=BC10,1,0)</f>
        <v>#N/A</v>
      </c>
      <c r="EP10" s="138" t="e">
        <f>IF(VLOOKUP(CONCATENATE(H10,F10,EP$2),Matemáticas!$A:$H,7,FALSE)=BD10,1,0)</f>
        <v>#N/A</v>
      </c>
      <c r="EQ10" s="138" t="e">
        <f>IF(VLOOKUP(CONCATENATE(H10,F10,EQ$2),Matemáticas!$A:$H,7,FALSE)=BE10,1,0)</f>
        <v>#N/A</v>
      </c>
      <c r="ER10" s="138" t="e">
        <f>IF(VLOOKUP(CONCATENATE(H10,F10,ER$2),Matemáticas!$A:$H,7,FALSE)=BF10,1,0)</f>
        <v>#N/A</v>
      </c>
      <c r="ES10" s="138" t="e">
        <f>IF(VLOOKUP(CONCATENATE(H10,F10,ES$2),Matemáticas!$A:$H,7,FALSE)=BG10,1,0)</f>
        <v>#N/A</v>
      </c>
      <c r="ET10" s="138" t="e">
        <f>IF(VLOOKUP(CONCATENATE(H10,F10,ET$2),Matemáticas!$A:$H,7,FALSE)=BH10,1,0)</f>
        <v>#N/A</v>
      </c>
      <c r="EU10" s="138" t="e">
        <f>IF(VLOOKUP(CONCATENATE(H10,F10,EU$2),Matemáticas!$A:$H,7,FALSE)=BI10,1,0)</f>
        <v>#N/A</v>
      </c>
      <c r="EV10" s="138" t="e">
        <f>IF(VLOOKUP(CONCATENATE(H10,F10,EV$2),Ciencias!$A:$H,7,FALSE)=BJ10,1,0)</f>
        <v>#N/A</v>
      </c>
      <c r="EW10" s="138" t="e">
        <f>IF(VLOOKUP(CONCATENATE(H10,F10,EW$2),Ciencias!$A:$H,7,FALSE)=BK10,1,0)</f>
        <v>#N/A</v>
      </c>
      <c r="EX10" s="138" t="e">
        <f>IF(VLOOKUP(CONCATENATE(H10,F10,EX$2),Ciencias!$A:$H,7,FALSE)=BL10,1,0)</f>
        <v>#N/A</v>
      </c>
      <c r="EY10" s="138" t="e">
        <f>IF(VLOOKUP(CONCATENATE(H10,F10,EY$2),Ciencias!$A:$H,7,FALSE)=BM10,1,0)</f>
        <v>#N/A</v>
      </c>
      <c r="EZ10" s="138" t="e">
        <f>IF(VLOOKUP(CONCATENATE(H10,F10,EZ$2),Ciencias!$A:$H,7,FALSE)=BN10,1,0)</f>
        <v>#N/A</v>
      </c>
      <c r="FA10" s="138" t="e">
        <f>IF(VLOOKUP(CONCATENATE(H10,F10,FA$2),Ciencias!$A:$H,7,FALSE)=BO10,1,0)</f>
        <v>#N/A</v>
      </c>
      <c r="FB10" s="138" t="e">
        <f>IF(VLOOKUP(CONCATENATE(H10,F10,FB$2),Ciencias!$A:$H,7,FALSE)=BP10,1,0)</f>
        <v>#N/A</v>
      </c>
      <c r="FC10" s="138" t="e">
        <f>IF(VLOOKUP(CONCATENATE(H10,F10,FC$2),Ciencias!$A:$H,7,FALSE)=BQ10,1,0)</f>
        <v>#N/A</v>
      </c>
      <c r="FD10" s="138" t="e">
        <f>IF(VLOOKUP(CONCATENATE(H10,F10,FD$2),Ciencias!$A:$H,7,FALSE)=BR10,1,0)</f>
        <v>#N/A</v>
      </c>
      <c r="FE10" s="138" t="e">
        <f>IF(VLOOKUP(CONCATENATE(H10,F10,FE$2),Ciencias!$A:$H,7,FALSE)=BS10,1,0)</f>
        <v>#N/A</v>
      </c>
      <c r="FF10" s="138" t="e">
        <f>IF(VLOOKUP(CONCATENATE(H10,F10,FF$2),Ciencias!$A:$H,7,FALSE)=BT10,1,0)</f>
        <v>#N/A</v>
      </c>
      <c r="FG10" s="138" t="e">
        <f>IF(VLOOKUP(CONCATENATE(H10,F10,FG$2),Ciencias!$A:$H,7,FALSE)=BU10,1,0)</f>
        <v>#N/A</v>
      </c>
      <c r="FH10" s="138" t="e">
        <f>IF(VLOOKUP(CONCATENATE(H10,F10,FH$2),Ciencias!$A:$H,7,FALSE)=BV10,1,0)</f>
        <v>#N/A</v>
      </c>
      <c r="FI10" s="138" t="e">
        <f>IF(VLOOKUP(CONCATENATE(H10,F10,FI$2),Ciencias!$A:$H,7,FALSE)=BW10,1,0)</f>
        <v>#N/A</v>
      </c>
      <c r="FJ10" s="138" t="e">
        <f>IF(VLOOKUP(CONCATENATE(H10,F10,FJ$2),Ciencias!$A:$H,7,FALSE)=BX10,1,0)</f>
        <v>#N/A</v>
      </c>
      <c r="FK10" s="138" t="e">
        <f>IF(VLOOKUP(CONCATENATE(H10,F10,FK$2),Ciencias!$A:$H,7,FALSE)=BY10,1,0)</f>
        <v>#N/A</v>
      </c>
      <c r="FL10" s="138" t="e">
        <f>IF(VLOOKUP(CONCATENATE(H10,F10,FL$2),Ciencias!$A:$H,7,FALSE)=BZ10,1,0)</f>
        <v>#N/A</v>
      </c>
      <c r="FM10" s="138" t="e">
        <f>IF(VLOOKUP(CONCATENATE(H10,F10,FM$2),Ciencias!$A:$H,7,FALSE)=CA10,1,0)</f>
        <v>#N/A</v>
      </c>
      <c r="FN10" s="138" t="e">
        <f>IF(VLOOKUP(CONCATENATE(H10,F10,FN$2),Ciencias!$A:$H,7,FALSE)=CB10,1,0)</f>
        <v>#N/A</v>
      </c>
      <c r="FO10" s="138" t="e">
        <f>IF(VLOOKUP(CONCATENATE(H10,F10,FO$2),Ciencias!$A:$H,7,FALSE)=CC10,1,0)</f>
        <v>#N/A</v>
      </c>
      <c r="FP10" s="138" t="e">
        <f>IF(VLOOKUP(CONCATENATE(H10,F10,FP$2),GeoHis!$A:$H,7,FALSE)=CD10,1,0)</f>
        <v>#N/A</v>
      </c>
      <c r="FQ10" s="138" t="e">
        <f>IF(VLOOKUP(CONCATENATE(H10,F10,FQ$2),GeoHis!$A:$H,7,FALSE)=CE10,1,0)</f>
        <v>#N/A</v>
      </c>
      <c r="FR10" s="138" t="e">
        <f>IF(VLOOKUP(CONCATENATE(H10,F10,FR$2),GeoHis!$A:$H,7,FALSE)=CF10,1,0)</f>
        <v>#N/A</v>
      </c>
      <c r="FS10" s="138" t="e">
        <f>IF(VLOOKUP(CONCATENATE(H10,F10,FS$2),GeoHis!$A:$H,7,FALSE)=CG10,1,0)</f>
        <v>#N/A</v>
      </c>
      <c r="FT10" s="138" t="e">
        <f>IF(VLOOKUP(CONCATENATE(H10,F10,FT$2),GeoHis!$A:$H,7,FALSE)=CH10,1,0)</f>
        <v>#N/A</v>
      </c>
      <c r="FU10" s="138" t="e">
        <f>IF(VLOOKUP(CONCATENATE(H10,F10,FU$2),GeoHis!$A:$H,7,FALSE)=CI10,1,0)</f>
        <v>#N/A</v>
      </c>
      <c r="FV10" s="138" t="e">
        <f>IF(VLOOKUP(CONCATENATE(H10,F10,FV$2),GeoHis!$A:$H,7,FALSE)=CJ10,1,0)</f>
        <v>#N/A</v>
      </c>
      <c r="FW10" s="138" t="e">
        <f>IF(VLOOKUP(CONCATENATE(H10,F10,FW$2),GeoHis!$A:$H,7,FALSE)=CK10,1,0)</f>
        <v>#N/A</v>
      </c>
      <c r="FX10" s="138" t="e">
        <f>IF(VLOOKUP(CONCATENATE(H10,F10,FX$2),GeoHis!$A:$H,7,FALSE)=CL10,1,0)</f>
        <v>#N/A</v>
      </c>
      <c r="FY10" s="138" t="e">
        <f>IF(VLOOKUP(CONCATENATE(H10,F10,FY$2),GeoHis!$A:$H,7,FALSE)=CM10,1,0)</f>
        <v>#N/A</v>
      </c>
      <c r="FZ10" s="138" t="e">
        <f>IF(VLOOKUP(CONCATENATE(H10,F10,FZ$2),GeoHis!$A:$H,7,FALSE)=CN10,1,0)</f>
        <v>#N/A</v>
      </c>
      <c r="GA10" s="138" t="e">
        <f>IF(VLOOKUP(CONCATENATE(H10,F10,GA$2),GeoHis!$A:$H,7,FALSE)=CO10,1,0)</f>
        <v>#N/A</v>
      </c>
      <c r="GB10" s="138" t="e">
        <f>IF(VLOOKUP(CONCATENATE(H10,F10,GB$2),GeoHis!$A:$H,7,FALSE)=CP10,1,0)</f>
        <v>#N/A</v>
      </c>
      <c r="GC10" s="138" t="e">
        <f>IF(VLOOKUP(CONCATENATE(H10,F10,GC$2),GeoHis!$A:$H,7,FALSE)=CQ10,1,0)</f>
        <v>#N/A</v>
      </c>
      <c r="GD10" s="138" t="e">
        <f>IF(VLOOKUP(CONCATENATE(H10,F10,GD$2),GeoHis!$A:$H,7,FALSE)=CR10,1,0)</f>
        <v>#N/A</v>
      </c>
      <c r="GE10" s="135" t="str">
        <f t="shared" si="6"/>
        <v/>
      </c>
    </row>
    <row r="11" spans="1:187" x14ac:dyDescent="0.25">
      <c r="A11" s="127" t="str">
        <f>IF(C11="","",'Datos Generales'!$A$25)</f>
        <v/>
      </c>
      <c r="D11" s="126" t="str">
        <f t="shared" si="0"/>
        <v/>
      </c>
      <c r="E11" s="126">
        <f t="shared" si="1"/>
        <v>0</v>
      </c>
      <c r="F11" s="126" t="str">
        <f t="shared" si="7"/>
        <v/>
      </c>
      <c r="G11" s="126" t="str">
        <f>IF(C11="","",'Datos Generales'!$D$19)</f>
        <v/>
      </c>
      <c r="H11" s="21" t="str">
        <f>IF(C11="","",'Datos Generales'!$A$19)</f>
        <v/>
      </c>
      <c r="I11" s="126" t="str">
        <f>IF(C11="","",'Datos Generales'!$A$7)</f>
        <v/>
      </c>
      <c r="J11" s="21" t="str">
        <f>IF(C11="","",'Datos Generales'!$A$13)</f>
        <v/>
      </c>
      <c r="K11" s="21" t="str">
        <f>IF(C11="","",'Datos Generales'!$A$10)</f>
        <v/>
      </c>
      <c r="CS11" s="142" t="str">
        <f t="shared" si="2"/>
        <v/>
      </c>
      <c r="CT11" s="142" t="str">
        <f t="shared" si="3"/>
        <v/>
      </c>
      <c r="CU11" s="142" t="str">
        <f t="shared" si="4"/>
        <v/>
      </c>
      <c r="CV11" s="142" t="str">
        <f t="shared" si="5"/>
        <v/>
      </c>
      <c r="CW11" s="142" t="str">
        <f>IF(C11="","",IF('Datos Generales'!$A$19=1,AVERAGE(FP11:GD11),AVERAGE(Captura!FP11:FY11)))</f>
        <v/>
      </c>
      <c r="CX11" s="138" t="e">
        <f>IF(VLOOKUP(CONCATENATE($H$4,$F$4,CX$2),Español!$A:$H,7,FALSE)=L11,1,0)</f>
        <v>#N/A</v>
      </c>
      <c r="CY11" s="138" t="e">
        <f>IF(VLOOKUP(CONCATENATE(H11,F11,CY$2),Español!$A:$H,7,FALSE)=M11,1,0)</f>
        <v>#N/A</v>
      </c>
      <c r="CZ11" s="138" t="e">
        <f>IF(VLOOKUP(CONCATENATE(H11,F11,CZ$2),Español!$A:$H,7,FALSE)=N11,1,0)</f>
        <v>#N/A</v>
      </c>
      <c r="DA11" s="138" t="e">
        <f>IF(VLOOKUP(CONCATENATE(H11,F11,DA$2),Español!$A:$H,7,FALSE)=O11,1,0)</f>
        <v>#N/A</v>
      </c>
      <c r="DB11" s="138" t="e">
        <f>IF(VLOOKUP(CONCATENATE(H11,F11,DB$2),Español!$A:$H,7,FALSE)=P11,1,0)</f>
        <v>#N/A</v>
      </c>
      <c r="DC11" s="138" t="e">
        <f>IF(VLOOKUP(CONCATENATE(H11,F11,DC$2),Español!$A:$H,7,FALSE)=Q11,1,0)</f>
        <v>#N/A</v>
      </c>
      <c r="DD11" s="138" t="e">
        <f>IF(VLOOKUP(CONCATENATE(H11,F11,DD$2),Español!$A:$H,7,FALSE)=R11,1,0)</f>
        <v>#N/A</v>
      </c>
      <c r="DE11" s="138" t="e">
        <f>IF(VLOOKUP(CONCATENATE(H11,F11,DE$2),Español!$A:$H,7,FALSE)=S11,1,0)</f>
        <v>#N/A</v>
      </c>
      <c r="DF11" s="138" t="e">
        <f>IF(VLOOKUP(CONCATENATE(H11,F11,DF$2),Español!$A:$H,7,FALSE)=T11,1,0)</f>
        <v>#N/A</v>
      </c>
      <c r="DG11" s="138" t="e">
        <f>IF(VLOOKUP(CONCATENATE(H11,F11,DG$2),Español!$A:$H,7,FALSE)=U11,1,0)</f>
        <v>#N/A</v>
      </c>
      <c r="DH11" s="138" t="e">
        <f>IF(VLOOKUP(CONCATENATE(H11,F11,DH$2),Español!$A:$H,7,FALSE)=V11,1,0)</f>
        <v>#N/A</v>
      </c>
      <c r="DI11" s="138" t="e">
        <f>IF(VLOOKUP(CONCATENATE(H11,F11,DI$2),Español!$A:$H,7,FALSE)=W11,1,0)</f>
        <v>#N/A</v>
      </c>
      <c r="DJ11" s="138" t="e">
        <f>IF(VLOOKUP(CONCATENATE(H11,F11,DJ$2),Español!$A:$H,7,FALSE)=X11,1,0)</f>
        <v>#N/A</v>
      </c>
      <c r="DK11" s="138" t="e">
        <f>IF(VLOOKUP(CONCATENATE(H11,F11,DK$2),Español!$A:$H,7,FALSE)=Y11,1,0)</f>
        <v>#N/A</v>
      </c>
      <c r="DL11" s="138" t="e">
        <f>IF(VLOOKUP(CONCATENATE(H11,F11,DL$2),Español!$A:$H,7,FALSE)=Z11,1,0)</f>
        <v>#N/A</v>
      </c>
      <c r="DM11" s="138" t="e">
        <f>IF(VLOOKUP(CONCATENATE(H11,F11,DM$2),Español!$A:$H,7,FALSE)=AA11,1,0)</f>
        <v>#N/A</v>
      </c>
      <c r="DN11" s="138" t="e">
        <f>IF(VLOOKUP(CONCATENATE(H11,F11,DN$2),Español!$A:$H,7,FALSE)=AB11,1,0)</f>
        <v>#N/A</v>
      </c>
      <c r="DO11" s="138" t="e">
        <f>IF(VLOOKUP(CONCATENATE(H11,F11,DO$2),Español!$A:$H,7,FALSE)=AC11,1,0)</f>
        <v>#N/A</v>
      </c>
      <c r="DP11" s="138" t="e">
        <f>IF(VLOOKUP(CONCATENATE(H11,F11,DP$2),Español!$A:$H,7,FALSE)=AD11,1,0)</f>
        <v>#N/A</v>
      </c>
      <c r="DQ11" s="138" t="e">
        <f>IF(VLOOKUP(CONCATENATE(H11,F11,DQ$2),Español!$A:$H,7,FALSE)=AE11,1,0)</f>
        <v>#N/A</v>
      </c>
      <c r="DR11" s="138" t="e">
        <f>IF(VLOOKUP(CONCATENATE(H11,F11,DR$2),Inglés!$A:$H,7,FALSE)=AF11,1,0)</f>
        <v>#N/A</v>
      </c>
      <c r="DS11" s="138" t="e">
        <f>IF(VLOOKUP(CONCATENATE(H11,F11,DS$2),Inglés!$A:$H,7,FALSE)=AG11,1,0)</f>
        <v>#N/A</v>
      </c>
      <c r="DT11" s="138" t="e">
        <f>IF(VLOOKUP(CONCATENATE(H11,F11,DT$2),Inglés!$A:$H,7,FALSE)=AH11,1,0)</f>
        <v>#N/A</v>
      </c>
      <c r="DU11" s="138" t="e">
        <f>IF(VLOOKUP(CONCATENATE(H11,F11,DU$2),Inglés!$A:$H,7,FALSE)=AI11,1,0)</f>
        <v>#N/A</v>
      </c>
      <c r="DV11" s="138" t="e">
        <f>IF(VLOOKUP(CONCATENATE(H11,F11,DV$2),Inglés!$A:$H,7,FALSE)=AJ11,1,0)</f>
        <v>#N/A</v>
      </c>
      <c r="DW11" s="138" t="e">
        <f>IF(VLOOKUP(CONCATENATE(H11,F11,DW$2),Inglés!$A:$H,7,FALSE)=AK11,1,0)</f>
        <v>#N/A</v>
      </c>
      <c r="DX11" s="138" t="e">
        <f>IF(VLOOKUP(CONCATENATE(H11,F11,DX$2),Inglés!$A:$H,7,FALSE)=AL11,1,0)</f>
        <v>#N/A</v>
      </c>
      <c r="DY11" s="138" t="e">
        <f>IF(VLOOKUP(CONCATENATE(H11,F11,DY$2),Inglés!$A:$H,7,FALSE)=AM11,1,0)</f>
        <v>#N/A</v>
      </c>
      <c r="DZ11" s="138" t="e">
        <f>IF(VLOOKUP(CONCATENATE(H11,F11,DZ$2),Inglés!$A:$H,7,FALSE)=AN11,1,0)</f>
        <v>#N/A</v>
      </c>
      <c r="EA11" s="138" t="e">
        <f>IF(VLOOKUP(CONCATENATE(H11,F11,EA$2),Inglés!$A:$H,7,FALSE)=AO11,1,0)</f>
        <v>#N/A</v>
      </c>
      <c r="EB11" s="138" t="e">
        <f>IF(VLOOKUP(CONCATENATE(H11,F11,EB$2),Matemáticas!$A:$H,7,FALSE)=AP11,1,0)</f>
        <v>#N/A</v>
      </c>
      <c r="EC11" s="138" t="e">
        <f>IF(VLOOKUP(CONCATENATE(H11,F11,EC$2),Matemáticas!$A:$H,7,FALSE)=AQ11,1,0)</f>
        <v>#N/A</v>
      </c>
      <c r="ED11" s="138" t="e">
        <f>IF(VLOOKUP(CONCATENATE(H11,F11,ED$2),Matemáticas!$A:$H,7,FALSE)=AR11,1,0)</f>
        <v>#N/A</v>
      </c>
      <c r="EE11" s="138" t="e">
        <f>IF(VLOOKUP(CONCATENATE(H11,F11,EE$2),Matemáticas!$A:$H,7,FALSE)=AS11,1,0)</f>
        <v>#N/A</v>
      </c>
      <c r="EF11" s="138" t="e">
        <f>IF(VLOOKUP(CONCATENATE(H11,F11,EF$2),Matemáticas!$A:$H,7,FALSE)=AT11,1,0)</f>
        <v>#N/A</v>
      </c>
      <c r="EG11" s="138" t="e">
        <f>IF(VLOOKUP(CONCATENATE(H11,F11,EG$2),Matemáticas!$A:$H,7,FALSE)=AU11,1,0)</f>
        <v>#N/A</v>
      </c>
      <c r="EH11" s="138" t="e">
        <f>IF(VLOOKUP(CONCATENATE(H11,F11,EH$2),Matemáticas!$A:$H,7,FALSE)=AV11,1,0)</f>
        <v>#N/A</v>
      </c>
      <c r="EI11" s="138" t="e">
        <f>IF(VLOOKUP(CONCATENATE(H11,F11,EI$2),Matemáticas!$A:$H,7,FALSE)=AW11,1,0)</f>
        <v>#N/A</v>
      </c>
      <c r="EJ11" s="138" t="e">
        <f>IF(VLOOKUP(CONCATENATE(H11,F11,EJ$2),Matemáticas!$A:$H,7,FALSE)=AX11,1,0)</f>
        <v>#N/A</v>
      </c>
      <c r="EK11" s="138" t="e">
        <f>IF(VLOOKUP(CONCATENATE(H11,F11,EK$2),Matemáticas!$A:$H,7,FALSE)=AY11,1,0)</f>
        <v>#N/A</v>
      </c>
      <c r="EL11" s="138" t="e">
        <f>IF(VLOOKUP(CONCATENATE(H11,F11,EL$2),Matemáticas!$A:$H,7,FALSE)=AZ11,1,0)</f>
        <v>#N/A</v>
      </c>
      <c r="EM11" s="138" t="e">
        <f>IF(VLOOKUP(CONCATENATE(H11,F11,EM$2),Matemáticas!$A:$H,7,FALSE)=BA11,1,0)</f>
        <v>#N/A</v>
      </c>
      <c r="EN11" s="138" t="e">
        <f>IF(VLOOKUP(CONCATENATE(H11,F11,EN$2),Matemáticas!$A:$H,7,FALSE)=BB11,1,0)</f>
        <v>#N/A</v>
      </c>
      <c r="EO11" s="138" t="e">
        <f>IF(VLOOKUP(CONCATENATE(H11,F11,EO$2),Matemáticas!$A:$H,7,FALSE)=BC11,1,0)</f>
        <v>#N/A</v>
      </c>
      <c r="EP11" s="138" t="e">
        <f>IF(VLOOKUP(CONCATENATE(H11,F11,EP$2),Matemáticas!$A:$H,7,FALSE)=BD11,1,0)</f>
        <v>#N/A</v>
      </c>
      <c r="EQ11" s="138" t="e">
        <f>IF(VLOOKUP(CONCATENATE(H11,F11,EQ$2),Matemáticas!$A:$H,7,FALSE)=BE11,1,0)</f>
        <v>#N/A</v>
      </c>
      <c r="ER11" s="138" t="e">
        <f>IF(VLOOKUP(CONCATENATE(H11,F11,ER$2),Matemáticas!$A:$H,7,FALSE)=BF11,1,0)</f>
        <v>#N/A</v>
      </c>
      <c r="ES11" s="138" t="e">
        <f>IF(VLOOKUP(CONCATENATE(H11,F11,ES$2),Matemáticas!$A:$H,7,FALSE)=BG11,1,0)</f>
        <v>#N/A</v>
      </c>
      <c r="ET11" s="138" t="e">
        <f>IF(VLOOKUP(CONCATENATE(H11,F11,ET$2),Matemáticas!$A:$H,7,FALSE)=BH11,1,0)</f>
        <v>#N/A</v>
      </c>
      <c r="EU11" s="138" t="e">
        <f>IF(VLOOKUP(CONCATENATE(H11,F11,EU$2),Matemáticas!$A:$H,7,FALSE)=BI11,1,0)</f>
        <v>#N/A</v>
      </c>
      <c r="EV11" s="138" t="e">
        <f>IF(VLOOKUP(CONCATENATE(H11,F11,EV$2),Ciencias!$A:$H,7,FALSE)=BJ11,1,0)</f>
        <v>#N/A</v>
      </c>
      <c r="EW11" s="138" t="e">
        <f>IF(VLOOKUP(CONCATENATE(H11,F11,EW$2),Ciencias!$A:$H,7,FALSE)=BK11,1,0)</f>
        <v>#N/A</v>
      </c>
      <c r="EX11" s="138" t="e">
        <f>IF(VLOOKUP(CONCATENATE(H11,F11,EX$2),Ciencias!$A:$H,7,FALSE)=BL11,1,0)</f>
        <v>#N/A</v>
      </c>
      <c r="EY11" s="138" t="e">
        <f>IF(VLOOKUP(CONCATENATE(H11,F11,EY$2),Ciencias!$A:$H,7,FALSE)=BM11,1,0)</f>
        <v>#N/A</v>
      </c>
      <c r="EZ11" s="138" t="e">
        <f>IF(VLOOKUP(CONCATENATE(H11,F11,EZ$2),Ciencias!$A:$H,7,FALSE)=BN11,1,0)</f>
        <v>#N/A</v>
      </c>
      <c r="FA11" s="138" t="e">
        <f>IF(VLOOKUP(CONCATENATE(H11,F11,FA$2),Ciencias!$A:$H,7,FALSE)=BO11,1,0)</f>
        <v>#N/A</v>
      </c>
      <c r="FB11" s="138" t="e">
        <f>IF(VLOOKUP(CONCATENATE(H11,F11,FB$2),Ciencias!$A:$H,7,FALSE)=BP11,1,0)</f>
        <v>#N/A</v>
      </c>
      <c r="FC11" s="138" t="e">
        <f>IF(VLOOKUP(CONCATENATE(H11,F11,FC$2),Ciencias!$A:$H,7,FALSE)=BQ11,1,0)</f>
        <v>#N/A</v>
      </c>
      <c r="FD11" s="138" t="e">
        <f>IF(VLOOKUP(CONCATENATE(H11,F11,FD$2),Ciencias!$A:$H,7,FALSE)=BR11,1,0)</f>
        <v>#N/A</v>
      </c>
      <c r="FE11" s="138" t="e">
        <f>IF(VLOOKUP(CONCATENATE(H11,F11,FE$2),Ciencias!$A:$H,7,FALSE)=BS11,1,0)</f>
        <v>#N/A</v>
      </c>
      <c r="FF11" s="138" t="e">
        <f>IF(VLOOKUP(CONCATENATE(H11,F11,FF$2),Ciencias!$A:$H,7,FALSE)=BT11,1,0)</f>
        <v>#N/A</v>
      </c>
      <c r="FG11" s="138" t="e">
        <f>IF(VLOOKUP(CONCATENATE(H11,F11,FG$2),Ciencias!$A:$H,7,FALSE)=BU11,1,0)</f>
        <v>#N/A</v>
      </c>
      <c r="FH11" s="138" t="e">
        <f>IF(VLOOKUP(CONCATENATE(H11,F11,FH$2),Ciencias!$A:$H,7,FALSE)=BV11,1,0)</f>
        <v>#N/A</v>
      </c>
      <c r="FI11" s="138" t="e">
        <f>IF(VLOOKUP(CONCATENATE(H11,F11,FI$2),Ciencias!$A:$H,7,FALSE)=BW11,1,0)</f>
        <v>#N/A</v>
      </c>
      <c r="FJ11" s="138" t="e">
        <f>IF(VLOOKUP(CONCATENATE(H11,F11,FJ$2),Ciencias!$A:$H,7,FALSE)=BX11,1,0)</f>
        <v>#N/A</v>
      </c>
      <c r="FK11" s="138" t="e">
        <f>IF(VLOOKUP(CONCATENATE(H11,F11,FK$2),Ciencias!$A:$H,7,FALSE)=BY11,1,0)</f>
        <v>#N/A</v>
      </c>
      <c r="FL11" s="138" t="e">
        <f>IF(VLOOKUP(CONCATENATE(H11,F11,FL$2),Ciencias!$A:$H,7,FALSE)=BZ11,1,0)</f>
        <v>#N/A</v>
      </c>
      <c r="FM11" s="138" t="e">
        <f>IF(VLOOKUP(CONCATENATE(H11,F11,FM$2),Ciencias!$A:$H,7,FALSE)=CA11,1,0)</f>
        <v>#N/A</v>
      </c>
      <c r="FN11" s="138" t="e">
        <f>IF(VLOOKUP(CONCATENATE(H11,F11,FN$2),Ciencias!$A:$H,7,FALSE)=CB11,1,0)</f>
        <v>#N/A</v>
      </c>
      <c r="FO11" s="138" t="e">
        <f>IF(VLOOKUP(CONCATENATE(H11,F11,FO$2),Ciencias!$A:$H,7,FALSE)=CC11,1,0)</f>
        <v>#N/A</v>
      </c>
      <c r="FP11" s="138" t="e">
        <f>IF(VLOOKUP(CONCATENATE(H11,F11,FP$2),GeoHis!$A:$H,7,FALSE)=CD11,1,0)</f>
        <v>#N/A</v>
      </c>
      <c r="FQ11" s="138" t="e">
        <f>IF(VLOOKUP(CONCATENATE(H11,F11,FQ$2),GeoHis!$A:$H,7,FALSE)=CE11,1,0)</f>
        <v>#N/A</v>
      </c>
      <c r="FR11" s="138" t="e">
        <f>IF(VLOOKUP(CONCATENATE(H11,F11,FR$2),GeoHis!$A:$H,7,FALSE)=CF11,1,0)</f>
        <v>#N/A</v>
      </c>
      <c r="FS11" s="138" t="e">
        <f>IF(VLOOKUP(CONCATENATE(H11,F11,FS$2),GeoHis!$A:$H,7,FALSE)=CG11,1,0)</f>
        <v>#N/A</v>
      </c>
      <c r="FT11" s="138" t="e">
        <f>IF(VLOOKUP(CONCATENATE(H11,F11,FT$2),GeoHis!$A:$H,7,FALSE)=CH11,1,0)</f>
        <v>#N/A</v>
      </c>
      <c r="FU11" s="138" t="e">
        <f>IF(VLOOKUP(CONCATENATE(H11,F11,FU$2),GeoHis!$A:$H,7,FALSE)=CI11,1,0)</f>
        <v>#N/A</v>
      </c>
      <c r="FV11" s="138" t="e">
        <f>IF(VLOOKUP(CONCATENATE(H11,F11,FV$2),GeoHis!$A:$H,7,FALSE)=CJ11,1,0)</f>
        <v>#N/A</v>
      </c>
      <c r="FW11" s="138" t="e">
        <f>IF(VLOOKUP(CONCATENATE(H11,F11,FW$2),GeoHis!$A:$H,7,FALSE)=CK11,1,0)</f>
        <v>#N/A</v>
      </c>
      <c r="FX11" s="138" t="e">
        <f>IF(VLOOKUP(CONCATENATE(H11,F11,FX$2),GeoHis!$A:$H,7,FALSE)=CL11,1,0)</f>
        <v>#N/A</v>
      </c>
      <c r="FY11" s="138" t="e">
        <f>IF(VLOOKUP(CONCATENATE(H11,F11,FY$2),GeoHis!$A:$H,7,FALSE)=CM11,1,0)</f>
        <v>#N/A</v>
      </c>
      <c r="FZ11" s="138" t="e">
        <f>IF(VLOOKUP(CONCATENATE(H11,F11,FZ$2),GeoHis!$A:$H,7,FALSE)=CN11,1,0)</f>
        <v>#N/A</v>
      </c>
      <c r="GA11" s="138" t="e">
        <f>IF(VLOOKUP(CONCATENATE(H11,F11,GA$2),GeoHis!$A:$H,7,FALSE)=CO11,1,0)</f>
        <v>#N/A</v>
      </c>
      <c r="GB11" s="138" t="e">
        <f>IF(VLOOKUP(CONCATENATE(H11,F11,GB$2),GeoHis!$A:$H,7,FALSE)=CP11,1,0)</f>
        <v>#N/A</v>
      </c>
      <c r="GC11" s="138" t="e">
        <f>IF(VLOOKUP(CONCATENATE(H11,F11,GC$2),GeoHis!$A:$H,7,FALSE)=CQ11,1,0)</f>
        <v>#N/A</v>
      </c>
      <c r="GD11" s="138" t="e">
        <f>IF(VLOOKUP(CONCATENATE(H11,F11,GD$2),GeoHis!$A:$H,7,FALSE)=CR11,1,0)</f>
        <v>#N/A</v>
      </c>
      <c r="GE11" s="135" t="str">
        <f t="shared" si="6"/>
        <v/>
      </c>
    </row>
    <row r="12" spans="1:187" x14ac:dyDescent="0.25">
      <c r="A12" s="127" t="str">
        <f>IF(C12="","",'Datos Generales'!$A$25)</f>
        <v/>
      </c>
      <c r="D12" s="126" t="str">
        <f t="shared" si="0"/>
        <v/>
      </c>
      <c r="E12" s="126">
        <f t="shared" si="1"/>
        <v>0</v>
      </c>
      <c r="F12" s="126" t="str">
        <f t="shared" si="7"/>
        <v/>
      </c>
      <c r="G12" s="126" t="str">
        <f>IF(C12="","",'Datos Generales'!$D$19)</f>
        <v/>
      </c>
      <c r="H12" s="21" t="str">
        <f>IF(C12="","",'Datos Generales'!$A$19)</f>
        <v/>
      </c>
      <c r="I12" s="126" t="str">
        <f>IF(C12="","",'Datos Generales'!$A$7)</f>
        <v/>
      </c>
      <c r="J12" s="21" t="str">
        <f>IF(C12="","",'Datos Generales'!$A$13)</f>
        <v/>
      </c>
      <c r="K12" s="21" t="str">
        <f>IF(C12="","",'Datos Generales'!$A$10)</f>
        <v/>
      </c>
      <c r="CS12" s="142" t="str">
        <f t="shared" si="2"/>
        <v/>
      </c>
      <c r="CT12" s="142" t="str">
        <f t="shared" si="3"/>
        <v/>
      </c>
      <c r="CU12" s="142" t="str">
        <f t="shared" si="4"/>
        <v/>
      </c>
      <c r="CV12" s="142" t="str">
        <f t="shared" si="5"/>
        <v/>
      </c>
      <c r="CW12" s="142" t="str">
        <f>IF(C12="","",IF('Datos Generales'!$A$19=1,AVERAGE(FP12:GD12),AVERAGE(Captura!FP12:FY12)))</f>
        <v/>
      </c>
      <c r="CX12" s="138" t="e">
        <f>IF(VLOOKUP(CONCATENATE($H$4,$F$4,CX$2),Español!$A:$H,7,FALSE)=L12,1,0)</f>
        <v>#N/A</v>
      </c>
      <c r="CY12" s="138" t="e">
        <f>IF(VLOOKUP(CONCATENATE(H12,F12,CY$2),Español!$A:$H,7,FALSE)=M12,1,0)</f>
        <v>#N/A</v>
      </c>
      <c r="CZ12" s="138" t="e">
        <f>IF(VLOOKUP(CONCATENATE(H12,F12,CZ$2),Español!$A:$H,7,FALSE)=N12,1,0)</f>
        <v>#N/A</v>
      </c>
      <c r="DA12" s="138" t="e">
        <f>IF(VLOOKUP(CONCATENATE(H12,F12,DA$2),Español!$A:$H,7,FALSE)=O12,1,0)</f>
        <v>#N/A</v>
      </c>
      <c r="DB12" s="138" t="e">
        <f>IF(VLOOKUP(CONCATENATE(H12,F12,DB$2),Español!$A:$H,7,FALSE)=P12,1,0)</f>
        <v>#N/A</v>
      </c>
      <c r="DC12" s="138" t="e">
        <f>IF(VLOOKUP(CONCATENATE(H12,F12,DC$2),Español!$A:$H,7,FALSE)=Q12,1,0)</f>
        <v>#N/A</v>
      </c>
      <c r="DD12" s="138" t="e">
        <f>IF(VLOOKUP(CONCATENATE(H12,F12,DD$2),Español!$A:$H,7,FALSE)=R12,1,0)</f>
        <v>#N/A</v>
      </c>
      <c r="DE12" s="138" t="e">
        <f>IF(VLOOKUP(CONCATENATE(H12,F12,DE$2),Español!$A:$H,7,FALSE)=S12,1,0)</f>
        <v>#N/A</v>
      </c>
      <c r="DF12" s="138" t="e">
        <f>IF(VLOOKUP(CONCATENATE(H12,F12,DF$2),Español!$A:$H,7,FALSE)=T12,1,0)</f>
        <v>#N/A</v>
      </c>
      <c r="DG12" s="138" t="e">
        <f>IF(VLOOKUP(CONCATENATE(H12,F12,DG$2),Español!$A:$H,7,FALSE)=U12,1,0)</f>
        <v>#N/A</v>
      </c>
      <c r="DH12" s="138" t="e">
        <f>IF(VLOOKUP(CONCATENATE(H12,F12,DH$2),Español!$A:$H,7,FALSE)=V12,1,0)</f>
        <v>#N/A</v>
      </c>
      <c r="DI12" s="138" t="e">
        <f>IF(VLOOKUP(CONCATENATE(H12,F12,DI$2),Español!$A:$H,7,FALSE)=W12,1,0)</f>
        <v>#N/A</v>
      </c>
      <c r="DJ12" s="138" t="e">
        <f>IF(VLOOKUP(CONCATENATE(H12,F12,DJ$2),Español!$A:$H,7,FALSE)=X12,1,0)</f>
        <v>#N/A</v>
      </c>
      <c r="DK12" s="138" t="e">
        <f>IF(VLOOKUP(CONCATENATE(H12,F12,DK$2),Español!$A:$H,7,FALSE)=Y12,1,0)</f>
        <v>#N/A</v>
      </c>
      <c r="DL12" s="138" t="e">
        <f>IF(VLOOKUP(CONCATENATE(H12,F12,DL$2),Español!$A:$H,7,FALSE)=Z12,1,0)</f>
        <v>#N/A</v>
      </c>
      <c r="DM12" s="138" t="e">
        <f>IF(VLOOKUP(CONCATENATE(H12,F12,DM$2),Español!$A:$H,7,FALSE)=AA12,1,0)</f>
        <v>#N/A</v>
      </c>
      <c r="DN12" s="138" t="e">
        <f>IF(VLOOKUP(CONCATENATE(H12,F12,DN$2),Español!$A:$H,7,FALSE)=AB12,1,0)</f>
        <v>#N/A</v>
      </c>
      <c r="DO12" s="138" t="e">
        <f>IF(VLOOKUP(CONCATENATE(H12,F12,DO$2),Español!$A:$H,7,FALSE)=AC12,1,0)</f>
        <v>#N/A</v>
      </c>
      <c r="DP12" s="138" t="e">
        <f>IF(VLOOKUP(CONCATENATE(H12,F12,DP$2),Español!$A:$H,7,FALSE)=AD12,1,0)</f>
        <v>#N/A</v>
      </c>
      <c r="DQ12" s="138" t="e">
        <f>IF(VLOOKUP(CONCATENATE(H12,F12,DQ$2),Español!$A:$H,7,FALSE)=AE12,1,0)</f>
        <v>#N/A</v>
      </c>
      <c r="DR12" s="138" t="e">
        <f>IF(VLOOKUP(CONCATENATE(H12,F12,DR$2),Inglés!$A:$H,7,FALSE)=AF12,1,0)</f>
        <v>#N/A</v>
      </c>
      <c r="DS12" s="138" t="e">
        <f>IF(VLOOKUP(CONCATENATE(H12,F12,DS$2),Inglés!$A:$H,7,FALSE)=AG12,1,0)</f>
        <v>#N/A</v>
      </c>
      <c r="DT12" s="138" t="e">
        <f>IF(VLOOKUP(CONCATENATE(H12,F12,DT$2),Inglés!$A:$H,7,FALSE)=AH12,1,0)</f>
        <v>#N/A</v>
      </c>
      <c r="DU12" s="138" t="e">
        <f>IF(VLOOKUP(CONCATENATE(H12,F12,DU$2),Inglés!$A:$H,7,FALSE)=AI12,1,0)</f>
        <v>#N/A</v>
      </c>
      <c r="DV12" s="138" t="e">
        <f>IF(VLOOKUP(CONCATENATE(H12,F12,DV$2),Inglés!$A:$H,7,FALSE)=AJ12,1,0)</f>
        <v>#N/A</v>
      </c>
      <c r="DW12" s="138" t="e">
        <f>IF(VLOOKUP(CONCATENATE(H12,F12,DW$2),Inglés!$A:$H,7,FALSE)=AK12,1,0)</f>
        <v>#N/A</v>
      </c>
      <c r="DX12" s="138" t="e">
        <f>IF(VLOOKUP(CONCATENATE(H12,F12,DX$2),Inglés!$A:$H,7,FALSE)=AL12,1,0)</f>
        <v>#N/A</v>
      </c>
      <c r="DY12" s="138" t="e">
        <f>IF(VLOOKUP(CONCATENATE(H12,F12,DY$2),Inglés!$A:$H,7,FALSE)=AM12,1,0)</f>
        <v>#N/A</v>
      </c>
      <c r="DZ12" s="138" t="e">
        <f>IF(VLOOKUP(CONCATENATE(H12,F12,DZ$2),Inglés!$A:$H,7,FALSE)=AN12,1,0)</f>
        <v>#N/A</v>
      </c>
      <c r="EA12" s="138" t="e">
        <f>IF(VLOOKUP(CONCATENATE(H12,F12,EA$2),Inglés!$A:$H,7,FALSE)=AO12,1,0)</f>
        <v>#N/A</v>
      </c>
      <c r="EB12" s="138" t="e">
        <f>IF(VLOOKUP(CONCATENATE(H12,F12,EB$2),Matemáticas!$A:$H,7,FALSE)=AP12,1,0)</f>
        <v>#N/A</v>
      </c>
      <c r="EC12" s="138" t="e">
        <f>IF(VLOOKUP(CONCATENATE(H12,F12,EC$2),Matemáticas!$A:$H,7,FALSE)=AQ12,1,0)</f>
        <v>#N/A</v>
      </c>
      <c r="ED12" s="138" t="e">
        <f>IF(VLOOKUP(CONCATENATE(H12,F12,ED$2),Matemáticas!$A:$H,7,FALSE)=AR12,1,0)</f>
        <v>#N/A</v>
      </c>
      <c r="EE12" s="138" t="e">
        <f>IF(VLOOKUP(CONCATENATE(H12,F12,EE$2),Matemáticas!$A:$H,7,FALSE)=AS12,1,0)</f>
        <v>#N/A</v>
      </c>
      <c r="EF12" s="138" t="e">
        <f>IF(VLOOKUP(CONCATENATE(H12,F12,EF$2),Matemáticas!$A:$H,7,FALSE)=AT12,1,0)</f>
        <v>#N/A</v>
      </c>
      <c r="EG12" s="138" t="e">
        <f>IF(VLOOKUP(CONCATENATE(H12,F12,EG$2),Matemáticas!$A:$H,7,FALSE)=AU12,1,0)</f>
        <v>#N/A</v>
      </c>
      <c r="EH12" s="138" t="e">
        <f>IF(VLOOKUP(CONCATENATE(H12,F12,EH$2),Matemáticas!$A:$H,7,FALSE)=AV12,1,0)</f>
        <v>#N/A</v>
      </c>
      <c r="EI12" s="138" t="e">
        <f>IF(VLOOKUP(CONCATENATE(H12,F12,EI$2),Matemáticas!$A:$H,7,FALSE)=AW12,1,0)</f>
        <v>#N/A</v>
      </c>
      <c r="EJ12" s="138" t="e">
        <f>IF(VLOOKUP(CONCATENATE(H12,F12,EJ$2),Matemáticas!$A:$H,7,FALSE)=AX12,1,0)</f>
        <v>#N/A</v>
      </c>
      <c r="EK12" s="138" t="e">
        <f>IF(VLOOKUP(CONCATENATE(H12,F12,EK$2),Matemáticas!$A:$H,7,FALSE)=AY12,1,0)</f>
        <v>#N/A</v>
      </c>
      <c r="EL12" s="138" t="e">
        <f>IF(VLOOKUP(CONCATENATE(H12,F12,EL$2),Matemáticas!$A:$H,7,FALSE)=AZ12,1,0)</f>
        <v>#N/A</v>
      </c>
      <c r="EM12" s="138" t="e">
        <f>IF(VLOOKUP(CONCATENATE(H12,F12,EM$2),Matemáticas!$A:$H,7,FALSE)=BA12,1,0)</f>
        <v>#N/A</v>
      </c>
      <c r="EN12" s="138" t="e">
        <f>IF(VLOOKUP(CONCATENATE(H12,F12,EN$2),Matemáticas!$A:$H,7,FALSE)=BB12,1,0)</f>
        <v>#N/A</v>
      </c>
      <c r="EO12" s="138" t="e">
        <f>IF(VLOOKUP(CONCATENATE(H12,F12,EO$2),Matemáticas!$A:$H,7,FALSE)=BC12,1,0)</f>
        <v>#N/A</v>
      </c>
      <c r="EP12" s="138" t="e">
        <f>IF(VLOOKUP(CONCATENATE(H12,F12,EP$2),Matemáticas!$A:$H,7,FALSE)=BD12,1,0)</f>
        <v>#N/A</v>
      </c>
      <c r="EQ12" s="138" t="e">
        <f>IF(VLOOKUP(CONCATENATE(H12,F12,EQ$2),Matemáticas!$A:$H,7,FALSE)=BE12,1,0)</f>
        <v>#N/A</v>
      </c>
      <c r="ER12" s="138" t="e">
        <f>IF(VLOOKUP(CONCATENATE(H12,F12,ER$2),Matemáticas!$A:$H,7,FALSE)=BF12,1,0)</f>
        <v>#N/A</v>
      </c>
      <c r="ES12" s="138" t="e">
        <f>IF(VLOOKUP(CONCATENATE(H12,F12,ES$2),Matemáticas!$A:$H,7,FALSE)=BG12,1,0)</f>
        <v>#N/A</v>
      </c>
      <c r="ET12" s="138" t="e">
        <f>IF(VLOOKUP(CONCATENATE(H12,F12,ET$2),Matemáticas!$A:$H,7,FALSE)=BH12,1,0)</f>
        <v>#N/A</v>
      </c>
      <c r="EU12" s="138" t="e">
        <f>IF(VLOOKUP(CONCATENATE(H12,F12,EU$2),Matemáticas!$A:$H,7,FALSE)=BI12,1,0)</f>
        <v>#N/A</v>
      </c>
      <c r="EV12" s="138" t="e">
        <f>IF(VLOOKUP(CONCATENATE(H12,F12,EV$2),Ciencias!$A:$H,7,FALSE)=BJ12,1,0)</f>
        <v>#N/A</v>
      </c>
      <c r="EW12" s="138" t="e">
        <f>IF(VLOOKUP(CONCATENATE(H12,F12,EW$2),Ciencias!$A:$H,7,FALSE)=BK12,1,0)</f>
        <v>#N/A</v>
      </c>
      <c r="EX12" s="138" t="e">
        <f>IF(VLOOKUP(CONCATENATE(H12,F12,EX$2),Ciencias!$A:$H,7,FALSE)=BL12,1,0)</f>
        <v>#N/A</v>
      </c>
      <c r="EY12" s="138" t="e">
        <f>IF(VLOOKUP(CONCATENATE(H12,F12,EY$2),Ciencias!$A:$H,7,FALSE)=BM12,1,0)</f>
        <v>#N/A</v>
      </c>
      <c r="EZ12" s="138" t="e">
        <f>IF(VLOOKUP(CONCATENATE(H12,F12,EZ$2),Ciencias!$A:$H,7,FALSE)=BN12,1,0)</f>
        <v>#N/A</v>
      </c>
      <c r="FA12" s="138" t="e">
        <f>IF(VLOOKUP(CONCATENATE(H12,F12,FA$2),Ciencias!$A:$H,7,FALSE)=BO12,1,0)</f>
        <v>#N/A</v>
      </c>
      <c r="FB12" s="138" t="e">
        <f>IF(VLOOKUP(CONCATENATE(H12,F12,FB$2),Ciencias!$A:$H,7,FALSE)=BP12,1,0)</f>
        <v>#N/A</v>
      </c>
      <c r="FC12" s="138" t="e">
        <f>IF(VLOOKUP(CONCATENATE(H12,F12,FC$2),Ciencias!$A:$H,7,FALSE)=BQ12,1,0)</f>
        <v>#N/A</v>
      </c>
      <c r="FD12" s="138" t="e">
        <f>IF(VLOOKUP(CONCATENATE(H12,F12,FD$2),Ciencias!$A:$H,7,FALSE)=BR12,1,0)</f>
        <v>#N/A</v>
      </c>
      <c r="FE12" s="138" t="e">
        <f>IF(VLOOKUP(CONCATENATE(H12,F12,FE$2),Ciencias!$A:$H,7,FALSE)=BS12,1,0)</f>
        <v>#N/A</v>
      </c>
      <c r="FF12" s="138" t="e">
        <f>IF(VLOOKUP(CONCATENATE(H12,F12,FF$2),Ciencias!$A:$H,7,FALSE)=BT12,1,0)</f>
        <v>#N/A</v>
      </c>
      <c r="FG12" s="138" t="e">
        <f>IF(VLOOKUP(CONCATENATE(H12,F12,FG$2),Ciencias!$A:$H,7,FALSE)=BU12,1,0)</f>
        <v>#N/A</v>
      </c>
      <c r="FH12" s="138" t="e">
        <f>IF(VLOOKUP(CONCATENATE(H12,F12,FH$2),Ciencias!$A:$H,7,FALSE)=BV12,1,0)</f>
        <v>#N/A</v>
      </c>
      <c r="FI12" s="138" t="e">
        <f>IF(VLOOKUP(CONCATENATE(H12,F12,FI$2),Ciencias!$A:$H,7,FALSE)=BW12,1,0)</f>
        <v>#N/A</v>
      </c>
      <c r="FJ12" s="138" t="e">
        <f>IF(VLOOKUP(CONCATENATE(H12,F12,FJ$2),Ciencias!$A:$H,7,FALSE)=BX12,1,0)</f>
        <v>#N/A</v>
      </c>
      <c r="FK12" s="138" t="e">
        <f>IF(VLOOKUP(CONCATENATE(H12,F12,FK$2),Ciencias!$A:$H,7,FALSE)=BY12,1,0)</f>
        <v>#N/A</v>
      </c>
      <c r="FL12" s="138" t="e">
        <f>IF(VLOOKUP(CONCATENATE(H12,F12,FL$2),Ciencias!$A:$H,7,FALSE)=BZ12,1,0)</f>
        <v>#N/A</v>
      </c>
      <c r="FM12" s="138" t="e">
        <f>IF(VLOOKUP(CONCATENATE(H12,F12,FM$2),Ciencias!$A:$H,7,FALSE)=CA12,1,0)</f>
        <v>#N/A</v>
      </c>
      <c r="FN12" s="138" t="e">
        <f>IF(VLOOKUP(CONCATENATE(H12,F12,FN$2),Ciencias!$A:$H,7,FALSE)=CB12,1,0)</f>
        <v>#N/A</v>
      </c>
      <c r="FO12" s="138" t="e">
        <f>IF(VLOOKUP(CONCATENATE(H12,F12,FO$2),Ciencias!$A:$H,7,FALSE)=CC12,1,0)</f>
        <v>#N/A</v>
      </c>
      <c r="FP12" s="138" t="e">
        <f>IF(VLOOKUP(CONCATENATE(H12,F12,FP$2),GeoHis!$A:$H,7,FALSE)=CD12,1,0)</f>
        <v>#N/A</v>
      </c>
      <c r="FQ12" s="138" t="e">
        <f>IF(VLOOKUP(CONCATENATE(H12,F12,FQ$2),GeoHis!$A:$H,7,FALSE)=CE12,1,0)</f>
        <v>#N/A</v>
      </c>
      <c r="FR12" s="138" t="e">
        <f>IF(VLOOKUP(CONCATENATE(H12,F12,FR$2),GeoHis!$A:$H,7,FALSE)=CF12,1,0)</f>
        <v>#N/A</v>
      </c>
      <c r="FS12" s="138" t="e">
        <f>IF(VLOOKUP(CONCATENATE(H12,F12,FS$2),GeoHis!$A:$H,7,FALSE)=CG12,1,0)</f>
        <v>#N/A</v>
      </c>
      <c r="FT12" s="138" t="e">
        <f>IF(VLOOKUP(CONCATENATE(H12,F12,FT$2),GeoHis!$A:$H,7,FALSE)=CH12,1,0)</f>
        <v>#N/A</v>
      </c>
      <c r="FU12" s="138" t="e">
        <f>IF(VLOOKUP(CONCATENATE(H12,F12,FU$2),GeoHis!$A:$H,7,FALSE)=CI12,1,0)</f>
        <v>#N/A</v>
      </c>
      <c r="FV12" s="138" t="e">
        <f>IF(VLOOKUP(CONCATENATE(H12,F12,FV$2),GeoHis!$A:$H,7,FALSE)=CJ12,1,0)</f>
        <v>#N/A</v>
      </c>
      <c r="FW12" s="138" t="e">
        <f>IF(VLOOKUP(CONCATENATE(H12,F12,FW$2),GeoHis!$A:$H,7,FALSE)=CK12,1,0)</f>
        <v>#N/A</v>
      </c>
      <c r="FX12" s="138" t="e">
        <f>IF(VLOOKUP(CONCATENATE(H12,F12,FX$2),GeoHis!$A:$H,7,FALSE)=CL12,1,0)</f>
        <v>#N/A</v>
      </c>
      <c r="FY12" s="138" t="e">
        <f>IF(VLOOKUP(CONCATENATE(H12,F12,FY$2),GeoHis!$A:$H,7,FALSE)=CM12,1,0)</f>
        <v>#N/A</v>
      </c>
      <c r="FZ12" s="138" t="e">
        <f>IF(VLOOKUP(CONCATENATE(H12,F12,FZ$2),GeoHis!$A:$H,7,FALSE)=CN12,1,0)</f>
        <v>#N/A</v>
      </c>
      <c r="GA12" s="138" t="e">
        <f>IF(VLOOKUP(CONCATENATE(H12,F12,GA$2),GeoHis!$A:$H,7,FALSE)=CO12,1,0)</f>
        <v>#N/A</v>
      </c>
      <c r="GB12" s="138" t="e">
        <f>IF(VLOOKUP(CONCATENATE(H12,F12,GB$2),GeoHis!$A:$H,7,FALSE)=CP12,1,0)</f>
        <v>#N/A</v>
      </c>
      <c r="GC12" s="138" t="e">
        <f>IF(VLOOKUP(CONCATENATE(H12,F12,GC$2),GeoHis!$A:$H,7,FALSE)=CQ12,1,0)</f>
        <v>#N/A</v>
      </c>
      <c r="GD12" s="138" t="e">
        <f>IF(VLOOKUP(CONCATENATE(H12,F12,GD$2),GeoHis!$A:$H,7,FALSE)=CR12,1,0)</f>
        <v>#N/A</v>
      </c>
      <c r="GE12" s="135" t="str">
        <f t="shared" si="6"/>
        <v/>
      </c>
    </row>
    <row r="13" spans="1:187" x14ac:dyDescent="0.25">
      <c r="A13" s="127" t="str">
        <f>IF(C13="","",'Datos Generales'!$A$25)</f>
        <v/>
      </c>
      <c r="D13" s="126" t="str">
        <f t="shared" si="0"/>
        <v/>
      </c>
      <c r="E13" s="126">
        <f t="shared" si="1"/>
        <v>0</v>
      </c>
      <c r="F13" s="126" t="str">
        <f t="shared" si="7"/>
        <v/>
      </c>
      <c r="G13" s="126" t="str">
        <f>IF(C13="","",'Datos Generales'!$D$19)</f>
        <v/>
      </c>
      <c r="H13" s="21" t="str">
        <f>IF(C13="","",'Datos Generales'!$A$19)</f>
        <v/>
      </c>
      <c r="I13" s="126" t="str">
        <f>IF(C13="","",'Datos Generales'!$A$7)</f>
        <v/>
      </c>
      <c r="J13" s="21" t="str">
        <f>IF(C13="","",'Datos Generales'!$A$13)</f>
        <v/>
      </c>
      <c r="K13" s="21" t="str">
        <f>IF(C13="","",'Datos Generales'!$A$10)</f>
        <v/>
      </c>
      <c r="CS13" s="142" t="str">
        <f t="shared" si="2"/>
        <v/>
      </c>
      <c r="CT13" s="142" t="str">
        <f t="shared" si="3"/>
        <v/>
      </c>
      <c r="CU13" s="142" t="str">
        <f t="shared" si="4"/>
        <v/>
      </c>
      <c r="CV13" s="142" t="str">
        <f t="shared" si="5"/>
        <v/>
      </c>
      <c r="CW13" s="142" t="str">
        <f>IF(C13="","",IF('Datos Generales'!$A$19=1,AVERAGE(FP13:GD13),AVERAGE(Captura!FP13:FY13)))</f>
        <v/>
      </c>
      <c r="CX13" s="138" t="e">
        <f>IF(VLOOKUP(CONCATENATE($H$4,$F$4,CX$2),Español!$A:$H,7,FALSE)=L13,1,0)</f>
        <v>#N/A</v>
      </c>
      <c r="CY13" s="138" t="e">
        <f>IF(VLOOKUP(CONCATENATE(H13,F13,CY$2),Español!$A:$H,7,FALSE)=M13,1,0)</f>
        <v>#N/A</v>
      </c>
      <c r="CZ13" s="138" t="e">
        <f>IF(VLOOKUP(CONCATENATE(H13,F13,CZ$2),Español!$A:$H,7,FALSE)=N13,1,0)</f>
        <v>#N/A</v>
      </c>
      <c r="DA13" s="138" t="e">
        <f>IF(VLOOKUP(CONCATENATE(H13,F13,DA$2),Español!$A:$H,7,FALSE)=O13,1,0)</f>
        <v>#N/A</v>
      </c>
      <c r="DB13" s="138" t="e">
        <f>IF(VLOOKUP(CONCATENATE(H13,F13,DB$2),Español!$A:$H,7,FALSE)=P13,1,0)</f>
        <v>#N/A</v>
      </c>
      <c r="DC13" s="138" t="e">
        <f>IF(VLOOKUP(CONCATENATE(H13,F13,DC$2),Español!$A:$H,7,FALSE)=Q13,1,0)</f>
        <v>#N/A</v>
      </c>
      <c r="DD13" s="138" t="e">
        <f>IF(VLOOKUP(CONCATENATE(H13,F13,DD$2),Español!$A:$H,7,FALSE)=R13,1,0)</f>
        <v>#N/A</v>
      </c>
      <c r="DE13" s="138" t="e">
        <f>IF(VLOOKUP(CONCATENATE(H13,F13,DE$2),Español!$A:$H,7,FALSE)=S13,1,0)</f>
        <v>#N/A</v>
      </c>
      <c r="DF13" s="138" t="e">
        <f>IF(VLOOKUP(CONCATENATE(H13,F13,DF$2),Español!$A:$H,7,FALSE)=T13,1,0)</f>
        <v>#N/A</v>
      </c>
      <c r="DG13" s="138" t="e">
        <f>IF(VLOOKUP(CONCATENATE(H13,F13,DG$2),Español!$A:$H,7,FALSE)=U13,1,0)</f>
        <v>#N/A</v>
      </c>
      <c r="DH13" s="138" t="e">
        <f>IF(VLOOKUP(CONCATENATE(H13,F13,DH$2),Español!$A:$H,7,FALSE)=V13,1,0)</f>
        <v>#N/A</v>
      </c>
      <c r="DI13" s="138" t="e">
        <f>IF(VLOOKUP(CONCATENATE(H13,F13,DI$2),Español!$A:$H,7,FALSE)=W13,1,0)</f>
        <v>#N/A</v>
      </c>
      <c r="DJ13" s="138" t="e">
        <f>IF(VLOOKUP(CONCATENATE(H13,F13,DJ$2),Español!$A:$H,7,FALSE)=X13,1,0)</f>
        <v>#N/A</v>
      </c>
      <c r="DK13" s="138" t="e">
        <f>IF(VLOOKUP(CONCATENATE(H13,F13,DK$2),Español!$A:$H,7,FALSE)=Y13,1,0)</f>
        <v>#N/A</v>
      </c>
      <c r="DL13" s="138" t="e">
        <f>IF(VLOOKUP(CONCATENATE(H13,F13,DL$2),Español!$A:$H,7,FALSE)=Z13,1,0)</f>
        <v>#N/A</v>
      </c>
      <c r="DM13" s="138" t="e">
        <f>IF(VLOOKUP(CONCATENATE(H13,F13,DM$2),Español!$A:$H,7,FALSE)=AA13,1,0)</f>
        <v>#N/A</v>
      </c>
      <c r="DN13" s="138" t="e">
        <f>IF(VLOOKUP(CONCATENATE(H13,F13,DN$2),Español!$A:$H,7,FALSE)=AB13,1,0)</f>
        <v>#N/A</v>
      </c>
      <c r="DO13" s="138" t="e">
        <f>IF(VLOOKUP(CONCATENATE(H13,F13,DO$2),Español!$A:$H,7,FALSE)=AC13,1,0)</f>
        <v>#N/A</v>
      </c>
      <c r="DP13" s="138" t="e">
        <f>IF(VLOOKUP(CONCATENATE(H13,F13,DP$2),Español!$A:$H,7,FALSE)=AD13,1,0)</f>
        <v>#N/A</v>
      </c>
      <c r="DQ13" s="138" t="e">
        <f>IF(VLOOKUP(CONCATENATE(H13,F13,DQ$2),Español!$A:$H,7,FALSE)=AE13,1,0)</f>
        <v>#N/A</v>
      </c>
      <c r="DR13" s="138" t="e">
        <f>IF(VLOOKUP(CONCATENATE(H13,F13,DR$2),Inglés!$A:$H,7,FALSE)=AF13,1,0)</f>
        <v>#N/A</v>
      </c>
      <c r="DS13" s="138" t="e">
        <f>IF(VLOOKUP(CONCATENATE(H13,F13,DS$2),Inglés!$A:$H,7,FALSE)=AG13,1,0)</f>
        <v>#N/A</v>
      </c>
      <c r="DT13" s="138" t="e">
        <f>IF(VLOOKUP(CONCATENATE(H13,F13,DT$2),Inglés!$A:$H,7,FALSE)=AH13,1,0)</f>
        <v>#N/A</v>
      </c>
      <c r="DU13" s="138" t="e">
        <f>IF(VLOOKUP(CONCATENATE(H13,F13,DU$2),Inglés!$A:$H,7,FALSE)=AI13,1,0)</f>
        <v>#N/A</v>
      </c>
      <c r="DV13" s="138" t="e">
        <f>IF(VLOOKUP(CONCATENATE(H13,F13,DV$2),Inglés!$A:$H,7,FALSE)=AJ13,1,0)</f>
        <v>#N/A</v>
      </c>
      <c r="DW13" s="138" t="e">
        <f>IF(VLOOKUP(CONCATENATE(H13,F13,DW$2),Inglés!$A:$H,7,FALSE)=AK13,1,0)</f>
        <v>#N/A</v>
      </c>
      <c r="DX13" s="138" t="e">
        <f>IF(VLOOKUP(CONCATENATE(H13,F13,DX$2),Inglés!$A:$H,7,FALSE)=AL13,1,0)</f>
        <v>#N/A</v>
      </c>
      <c r="DY13" s="138" t="e">
        <f>IF(VLOOKUP(CONCATENATE(H13,F13,DY$2),Inglés!$A:$H,7,FALSE)=AM13,1,0)</f>
        <v>#N/A</v>
      </c>
      <c r="DZ13" s="138" t="e">
        <f>IF(VLOOKUP(CONCATENATE(H13,F13,DZ$2),Inglés!$A:$H,7,FALSE)=AN13,1,0)</f>
        <v>#N/A</v>
      </c>
      <c r="EA13" s="138" t="e">
        <f>IF(VLOOKUP(CONCATENATE(H13,F13,EA$2),Inglés!$A:$H,7,FALSE)=AO13,1,0)</f>
        <v>#N/A</v>
      </c>
      <c r="EB13" s="138" t="e">
        <f>IF(VLOOKUP(CONCATENATE(H13,F13,EB$2),Matemáticas!$A:$H,7,FALSE)=AP13,1,0)</f>
        <v>#N/A</v>
      </c>
      <c r="EC13" s="138" t="e">
        <f>IF(VLOOKUP(CONCATENATE(H13,F13,EC$2),Matemáticas!$A:$H,7,FALSE)=AQ13,1,0)</f>
        <v>#N/A</v>
      </c>
      <c r="ED13" s="138" t="e">
        <f>IF(VLOOKUP(CONCATENATE(H13,F13,ED$2),Matemáticas!$A:$H,7,FALSE)=AR13,1,0)</f>
        <v>#N/A</v>
      </c>
      <c r="EE13" s="138" t="e">
        <f>IF(VLOOKUP(CONCATENATE(H13,F13,EE$2),Matemáticas!$A:$H,7,FALSE)=AS13,1,0)</f>
        <v>#N/A</v>
      </c>
      <c r="EF13" s="138" t="e">
        <f>IF(VLOOKUP(CONCATENATE(H13,F13,EF$2),Matemáticas!$A:$H,7,FALSE)=AT13,1,0)</f>
        <v>#N/A</v>
      </c>
      <c r="EG13" s="138" t="e">
        <f>IF(VLOOKUP(CONCATENATE(H13,F13,EG$2),Matemáticas!$A:$H,7,FALSE)=AU13,1,0)</f>
        <v>#N/A</v>
      </c>
      <c r="EH13" s="138" t="e">
        <f>IF(VLOOKUP(CONCATENATE(H13,F13,EH$2),Matemáticas!$A:$H,7,FALSE)=AV13,1,0)</f>
        <v>#N/A</v>
      </c>
      <c r="EI13" s="138" t="e">
        <f>IF(VLOOKUP(CONCATENATE(H13,F13,EI$2),Matemáticas!$A:$H,7,FALSE)=AW13,1,0)</f>
        <v>#N/A</v>
      </c>
      <c r="EJ13" s="138" t="e">
        <f>IF(VLOOKUP(CONCATENATE(H13,F13,EJ$2),Matemáticas!$A:$H,7,FALSE)=AX13,1,0)</f>
        <v>#N/A</v>
      </c>
      <c r="EK13" s="138" t="e">
        <f>IF(VLOOKUP(CONCATENATE(H13,F13,EK$2),Matemáticas!$A:$H,7,FALSE)=AY13,1,0)</f>
        <v>#N/A</v>
      </c>
      <c r="EL13" s="138" t="e">
        <f>IF(VLOOKUP(CONCATENATE(H13,F13,EL$2),Matemáticas!$A:$H,7,FALSE)=AZ13,1,0)</f>
        <v>#N/A</v>
      </c>
      <c r="EM13" s="138" t="e">
        <f>IF(VLOOKUP(CONCATENATE(H13,F13,EM$2),Matemáticas!$A:$H,7,FALSE)=BA13,1,0)</f>
        <v>#N/A</v>
      </c>
      <c r="EN13" s="138" t="e">
        <f>IF(VLOOKUP(CONCATENATE(H13,F13,EN$2),Matemáticas!$A:$H,7,FALSE)=BB13,1,0)</f>
        <v>#N/A</v>
      </c>
      <c r="EO13" s="138" t="e">
        <f>IF(VLOOKUP(CONCATENATE(H13,F13,EO$2),Matemáticas!$A:$H,7,FALSE)=BC13,1,0)</f>
        <v>#N/A</v>
      </c>
      <c r="EP13" s="138" t="e">
        <f>IF(VLOOKUP(CONCATENATE(H13,F13,EP$2),Matemáticas!$A:$H,7,FALSE)=BD13,1,0)</f>
        <v>#N/A</v>
      </c>
      <c r="EQ13" s="138" t="e">
        <f>IF(VLOOKUP(CONCATENATE(H13,F13,EQ$2),Matemáticas!$A:$H,7,FALSE)=BE13,1,0)</f>
        <v>#N/A</v>
      </c>
      <c r="ER13" s="138" t="e">
        <f>IF(VLOOKUP(CONCATENATE(H13,F13,ER$2),Matemáticas!$A:$H,7,FALSE)=BF13,1,0)</f>
        <v>#N/A</v>
      </c>
      <c r="ES13" s="138" t="e">
        <f>IF(VLOOKUP(CONCATENATE(H13,F13,ES$2),Matemáticas!$A:$H,7,FALSE)=BG13,1,0)</f>
        <v>#N/A</v>
      </c>
      <c r="ET13" s="138" t="e">
        <f>IF(VLOOKUP(CONCATENATE(H13,F13,ET$2),Matemáticas!$A:$H,7,FALSE)=BH13,1,0)</f>
        <v>#N/A</v>
      </c>
      <c r="EU13" s="138" t="e">
        <f>IF(VLOOKUP(CONCATENATE(H13,F13,EU$2),Matemáticas!$A:$H,7,FALSE)=BI13,1,0)</f>
        <v>#N/A</v>
      </c>
      <c r="EV13" s="138" t="e">
        <f>IF(VLOOKUP(CONCATENATE(H13,F13,EV$2),Ciencias!$A:$H,7,FALSE)=BJ13,1,0)</f>
        <v>#N/A</v>
      </c>
      <c r="EW13" s="138" t="e">
        <f>IF(VLOOKUP(CONCATENATE(H13,F13,EW$2),Ciencias!$A:$H,7,FALSE)=BK13,1,0)</f>
        <v>#N/A</v>
      </c>
      <c r="EX13" s="138" t="e">
        <f>IF(VLOOKUP(CONCATENATE(H13,F13,EX$2),Ciencias!$A:$H,7,FALSE)=BL13,1,0)</f>
        <v>#N/A</v>
      </c>
      <c r="EY13" s="138" t="e">
        <f>IF(VLOOKUP(CONCATENATE(H13,F13,EY$2),Ciencias!$A:$H,7,FALSE)=BM13,1,0)</f>
        <v>#N/A</v>
      </c>
      <c r="EZ13" s="138" t="e">
        <f>IF(VLOOKUP(CONCATENATE(H13,F13,EZ$2),Ciencias!$A:$H,7,FALSE)=BN13,1,0)</f>
        <v>#N/A</v>
      </c>
      <c r="FA13" s="138" t="e">
        <f>IF(VLOOKUP(CONCATENATE(H13,F13,FA$2),Ciencias!$A:$H,7,FALSE)=BO13,1,0)</f>
        <v>#N/A</v>
      </c>
      <c r="FB13" s="138" t="e">
        <f>IF(VLOOKUP(CONCATENATE(H13,F13,FB$2),Ciencias!$A:$H,7,FALSE)=BP13,1,0)</f>
        <v>#N/A</v>
      </c>
      <c r="FC13" s="138" t="e">
        <f>IF(VLOOKUP(CONCATENATE(H13,F13,FC$2),Ciencias!$A:$H,7,FALSE)=BQ13,1,0)</f>
        <v>#N/A</v>
      </c>
      <c r="FD13" s="138" t="e">
        <f>IF(VLOOKUP(CONCATENATE(H13,F13,FD$2),Ciencias!$A:$H,7,FALSE)=BR13,1,0)</f>
        <v>#N/A</v>
      </c>
      <c r="FE13" s="138" t="e">
        <f>IF(VLOOKUP(CONCATENATE(H13,F13,FE$2),Ciencias!$A:$H,7,FALSE)=BS13,1,0)</f>
        <v>#N/A</v>
      </c>
      <c r="FF13" s="138" t="e">
        <f>IF(VLOOKUP(CONCATENATE(H13,F13,FF$2),Ciencias!$A:$H,7,FALSE)=BT13,1,0)</f>
        <v>#N/A</v>
      </c>
      <c r="FG13" s="138" t="e">
        <f>IF(VLOOKUP(CONCATENATE(H13,F13,FG$2),Ciencias!$A:$H,7,FALSE)=BU13,1,0)</f>
        <v>#N/A</v>
      </c>
      <c r="FH13" s="138" t="e">
        <f>IF(VLOOKUP(CONCATENATE(H13,F13,FH$2),Ciencias!$A:$H,7,FALSE)=BV13,1,0)</f>
        <v>#N/A</v>
      </c>
      <c r="FI13" s="138" t="e">
        <f>IF(VLOOKUP(CONCATENATE(H13,F13,FI$2),Ciencias!$A:$H,7,FALSE)=BW13,1,0)</f>
        <v>#N/A</v>
      </c>
      <c r="FJ13" s="138" t="e">
        <f>IF(VLOOKUP(CONCATENATE(H13,F13,FJ$2),Ciencias!$A:$H,7,FALSE)=BX13,1,0)</f>
        <v>#N/A</v>
      </c>
      <c r="FK13" s="138" t="e">
        <f>IF(VLOOKUP(CONCATENATE(H13,F13,FK$2),Ciencias!$A:$H,7,FALSE)=BY13,1,0)</f>
        <v>#N/A</v>
      </c>
      <c r="FL13" s="138" t="e">
        <f>IF(VLOOKUP(CONCATENATE(H13,F13,FL$2),Ciencias!$A:$H,7,FALSE)=BZ13,1,0)</f>
        <v>#N/A</v>
      </c>
      <c r="FM13" s="138" t="e">
        <f>IF(VLOOKUP(CONCATENATE(H13,F13,FM$2),Ciencias!$A:$H,7,FALSE)=CA13,1,0)</f>
        <v>#N/A</v>
      </c>
      <c r="FN13" s="138" t="e">
        <f>IF(VLOOKUP(CONCATENATE(H13,F13,FN$2),Ciencias!$A:$H,7,FALSE)=CB13,1,0)</f>
        <v>#N/A</v>
      </c>
      <c r="FO13" s="138" t="e">
        <f>IF(VLOOKUP(CONCATENATE(H13,F13,FO$2),Ciencias!$A:$H,7,FALSE)=CC13,1,0)</f>
        <v>#N/A</v>
      </c>
      <c r="FP13" s="138" t="e">
        <f>IF(VLOOKUP(CONCATENATE(H13,F13,FP$2),GeoHis!$A:$H,7,FALSE)=CD13,1,0)</f>
        <v>#N/A</v>
      </c>
      <c r="FQ13" s="138" t="e">
        <f>IF(VLOOKUP(CONCATENATE(H13,F13,FQ$2),GeoHis!$A:$H,7,FALSE)=CE13,1,0)</f>
        <v>#N/A</v>
      </c>
      <c r="FR13" s="138" t="e">
        <f>IF(VLOOKUP(CONCATENATE(H13,F13,FR$2),GeoHis!$A:$H,7,FALSE)=CF13,1,0)</f>
        <v>#N/A</v>
      </c>
      <c r="FS13" s="138" t="e">
        <f>IF(VLOOKUP(CONCATENATE(H13,F13,FS$2),GeoHis!$A:$H,7,FALSE)=CG13,1,0)</f>
        <v>#N/A</v>
      </c>
      <c r="FT13" s="138" t="e">
        <f>IF(VLOOKUP(CONCATENATE(H13,F13,FT$2),GeoHis!$A:$H,7,FALSE)=CH13,1,0)</f>
        <v>#N/A</v>
      </c>
      <c r="FU13" s="138" t="e">
        <f>IF(VLOOKUP(CONCATENATE(H13,F13,FU$2),GeoHis!$A:$H,7,FALSE)=CI13,1,0)</f>
        <v>#N/A</v>
      </c>
      <c r="FV13" s="138" t="e">
        <f>IF(VLOOKUP(CONCATENATE(H13,F13,FV$2),GeoHis!$A:$H,7,FALSE)=CJ13,1,0)</f>
        <v>#N/A</v>
      </c>
      <c r="FW13" s="138" t="e">
        <f>IF(VLOOKUP(CONCATENATE(H13,F13,FW$2),GeoHis!$A:$H,7,FALSE)=CK13,1,0)</f>
        <v>#N/A</v>
      </c>
      <c r="FX13" s="138" t="e">
        <f>IF(VLOOKUP(CONCATENATE(H13,F13,FX$2),GeoHis!$A:$H,7,FALSE)=CL13,1,0)</f>
        <v>#N/A</v>
      </c>
      <c r="FY13" s="138" t="e">
        <f>IF(VLOOKUP(CONCATENATE(H13,F13,FY$2),GeoHis!$A:$H,7,FALSE)=CM13,1,0)</f>
        <v>#N/A</v>
      </c>
      <c r="FZ13" s="138" t="e">
        <f>IF(VLOOKUP(CONCATENATE(H13,F13,FZ$2),GeoHis!$A:$H,7,FALSE)=CN13,1,0)</f>
        <v>#N/A</v>
      </c>
      <c r="GA13" s="138" t="e">
        <f>IF(VLOOKUP(CONCATENATE(H13,F13,GA$2),GeoHis!$A:$H,7,FALSE)=CO13,1,0)</f>
        <v>#N/A</v>
      </c>
      <c r="GB13" s="138" t="e">
        <f>IF(VLOOKUP(CONCATENATE(H13,F13,GB$2),GeoHis!$A:$H,7,FALSE)=CP13,1,0)</f>
        <v>#N/A</v>
      </c>
      <c r="GC13" s="138" t="e">
        <f>IF(VLOOKUP(CONCATENATE(H13,F13,GC$2),GeoHis!$A:$H,7,FALSE)=CQ13,1,0)</f>
        <v>#N/A</v>
      </c>
      <c r="GD13" s="138" t="e">
        <f>IF(VLOOKUP(CONCATENATE(H13,F13,GD$2),GeoHis!$A:$H,7,FALSE)=CR13,1,0)</f>
        <v>#N/A</v>
      </c>
      <c r="GE13" s="135" t="str">
        <f t="shared" si="6"/>
        <v/>
      </c>
    </row>
    <row r="14" spans="1:187" x14ac:dyDescent="0.25">
      <c r="A14" s="127" t="str">
        <f>IF(C14="","",'Datos Generales'!$A$25)</f>
        <v/>
      </c>
      <c r="D14" s="126" t="str">
        <f t="shared" si="0"/>
        <v/>
      </c>
      <c r="E14" s="126">
        <f t="shared" si="1"/>
        <v>0</v>
      </c>
      <c r="F14" s="126" t="str">
        <f t="shared" si="7"/>
        <v/>
      </c>
      <c r="G14" s="126" t="str">
        <f>IF(C14="","",'Datos Generales'!$D$19)</f>
        <v/>
      </c>
      <c r="H14" s="21" t="str">
        <f>IF(C14="","",'Datos Generales'!$A$19)</f>
        <v/>
      </c>
      <c r="I14" s="126" t="str">
        <f>IF(C14="","",'Datos Generales'!$A$7)</f>
        <v/>
      </c>
      <c r="J14" s="21" t="str">
        <f>IF(C14="","",'Datos Generales'!$A$13)</f>
        <v/>
      </c>
      <c r="K14" s="21" t="str">
        <f>IF(C14="","",'Datos Generales'!$A$10)</f>
        <v/>
      </c>
      <c r="CS14" s="142" t="str">
        <f t="shared" si="2"/>
        <v/>
      </c>
      <c r="CT14" s="142" t="str">
        <f t="shared" si="3"/>
        <v/>
      </c>
      <c r="CU14" s="142" t="str">
        <f t="shared" si="4"/>
        <v/>
      </c>
      <c r="CV14" s="142" t="str">
        <f t="shared" si="5"/>
        <v/>
      </c>
      <c r="CW14" s="142" t="str">
        <f>IF(C14="","",IF('Datos Generales'!$A$19=1,AVERAGE(FP14:GD14),AVERAGE(Captura!FP14:FY14)))</f>
        <v/>
      </c>
      <c r="CX14" s="138" t="e">
        <f>IF(VLOOKUP(CONCATENATE($H$4,$F$4,CX$2),Español!$A:$H,7,FALSE)=L14,1,0)</f>
        <v>#N/A</v>
      </c>
      <c r="CY14" s="138" t="e">
        <f>IF(VLOOKUP(CONCATENATE(H14,F14,CY$2),Español!$A:$H,7,FALSE)=M14,1,0)</f>
        <v>#N/A</v>
      </c>
      <c r="CZ14" s="138" t="e">
        <f>IF(VLOOKUP(CONCATENATE(H14,F14,CZ$2),Español!$A:$H,7,FALSE)=N14,1,0)</f>
        <v>#N/A</v>
      </c>
      <c r="DA14" s="138" t="e">
        <f>IF(VLOOKUP(CONCATENATE(H14,F14,DA$2),Español!$A:$H,7,FALSE)=O14,1,0)</f>
        <v>#N/A</v>
      </c>
      <c r="DB14" s="138" t="e">
        <f>IF(VLOOKUP(CONCATENATE(H14,F14,DB$2),Español!$A:$H,7,FALSE)=P14,1,0)</f>
        <v>#N/A</v>
      </c>
      <c r="DC14" s="138" t="e">
        <f>IF(VLOOKUP(CONCATENATE(H14,F14,DC$2),Español!$A:$H,7,FALSE)=Q14,1,0)</f>
        <v>#N/A</v>
      </c>
      <c r="DD14" s="138" t="e">
        <f>IF(VLOOKUP(CONCATENATE(H14,F14,DD$2),Español!$A:$H,7,FALSE)=R14,1,0)</f>
        <v>#N/A</v>
      </c>
      <c r="DE14" s="138" t="e">
        <f>IF(VLOOKUP(CONCATENATE(H14,F14,DE$2),Español!$A:$H,7,FALSE)=S14,1,0)</f>
        <v>#N/A</v>
      </c>
      <c r="DF14" s="138" t="e">
        <f>IF(VLOOKUP(CONCATENATE(H14,F14,DF$2),Español!$A:$H,7,FALSE)=T14,1,0)</f>
        <v>#N/A</v>
      </c>
      <c r="DG14" s="138" t="e">
        <f>IF(VLOOKUP(CONCATENATE(H14,F14,DG$2),Español!$A:$H,7,FALSE)=U14,1,0)</f>
        <v>#N/A</v>
      </c>
      <c r="DH14" s="138" t="e">
        <f>IF(VLOOKUP(CONCATENATE(H14,F14,DH$2),Español!$A:$H,7,FALSE)=V14,1,0)</f>
        <v>#N/A</v>
      </c>
      <c r="DI14" s="138" t="e">
        <f>IF(VLOOKUP(CONCATENATE(H14,F14,DI$2),Español!$A:$H,7,FALSE)=W14,1,0)</f>
        <v>#N/A</v>
      </c>
      <c r="DJ14" s="138" t="e">
        <f>IF(VLOOKUP(CONCATENATE(H14,F14,DJ$2),Español!$A:$H,7,FALSE)=X14,1,0)</f>
        <v>#N/A</v>
      </c>
      <c r="DK14" s="138" t="e">
        <f>IF(VLOOKUP(CONCATENATE(H14,F14,DK$2),Español!$A:$H,7,FALSE)=Y14,1,0)</f>
        <v>#N/A</v>
      </c>
      <c r="DL14" s="138" t="e">
        <f>IF(VLOOKUP(CONCATENATE(H14,F14,DL$2),Español!$A:$H,7,FALSE)=Z14,1,0)</f>
        <v>#N/A</v>
      </c>
      <c r="DM14" s="138" t="e">
        <f>IF(VLOOKUP(CONCATENATE(H14,F14,DM$2),Español!$A:$H,7,FALSE)=AA14,1,0)</f>
        <v>#N/A</v>
      </c>
      <c r="DN14" s="138" t="e">
        <f>IF(VLOOKUP(CONCATENATE(H14,F14,DN$2),Español!$A:$H,7,FALSE)=AB14,1,0)</f>
        <v>#N/A</v>
      </c>
      <c r="DO14" s="138" t="e">
        <f>IF(VLOOKUP(CONCATENATE(H14,F14,DO$2),Español!$A:$H,7,FALSE)=AC14,1,0)</f>
        <v>#N/A</v>
      </c>
      <c r="DP14" s="138" t="e">
        <f>IF(VLOOKUP(CONCATENATE(H14,F14,DP$2),Español!$A:$H,7,FALSE)=AD14,1,0)</f>
        <v>#N/A</v>
      </c>
      <c r="DQ14" s="138" t="e">
        <f>IF(VLOOKUP(CONCATENATE(H14,F14,DQ$2),Español!$A:$H,7,FALSE)=AE14,1,0)</f>
        <v>#N/A</v>
      </c>
      <c r="DR14" s="138" t="e">
        <f>IF(VLOOKUP(CONCATENATE(H14,F14,DR$2),Inglés!$A:$H,7,FALSE)=AF14,1,0)</f>
        <v>#N/A</v>
      </c>
      <c r="DS14" s="138" t="e">
        <f>IF(VLOOKUP(CONCATENATE(H14,F14,DS$2),Inglés!$A:$H,7,FALSE)=AG14,1,0)</f>
        <v>#N/A</v>
      </c>
      <c r="DT14" s="138" t="e">
        <f>IF(VLOOKUP(CONCATENATE(H14,F14,DT$2),Inglés!$A:$H,7,FALSE)=AH14,1,0)</f>
        <v>#N/A</v>
      </c>
      <c r="DU14" s="138" t="e">
        <f>IF(VLOOKUP(CONCATENATE(H14,F14,DU$2),Inglés!$A:$H,7,FALSE)=AI14,1,0)</f>
        <v>#N/A</v>
      </c>
      <c r="DV14" s="138" t="e">
        <f>IF(VLOOKUP(CONCATENATE(H14,F14,DV$2),Inglés!$A:$H,7,FALSE)=AJ14,1,0)</f>
        <v>#N/A</v>
      </c>
      <c r="DW14" s="138" t="e">
        <f>IF(VLOOKUP(CONCATENATE(H14,F14,DW$2),Inglés!$A:$H,7,FALSE)=AK14,1,0)</f>
        <v>#N/A</v>
      </c>
      <c r="DX14" s="138" t="e">
        <f>IF(VLOOKUP(CONCATENATE(H14,F14,DX$2),Inglés!$A:$H,7,FALSE)=AL14,1,0)</f>
        <v>#N/A</v>
      </c>
      <c r="DY14" s="138" t="e">
        <f>IF(VLOOKUP(CONCATENATE(H14,F14,DY$2),Inglés!$A:$H,7,FALSE)=AM14,1,0)</f>
        <v>#N/A</v>
      </c>
      <c r="DZ14" s="138" t="e">
        <f>IF(VLOOKUP(CONCATENATE(H14,F14,DZ$2),Inglés!$A:$H,7,FALSE)=AN14,1,0)</f>
        <v>#N/A</v>
      </c>
      <c r="EA14" s="138" t="e">
        <f>IF(VLOOKUP(CONCATENATE(H14,F14,EA$2),Inglés!$A:$H,7,FALSE)=AO14,1,0)</f>
        <v>#N/A</v>
      </c>
      <c r="EB14" s="138" t="e">
        <f>IF(VLOOKUP(CONCATENATE(H14,F14,EB$2),Matemáticas!$A:$H,7,FALSE)=AP14,1,0)</f>
        <v>#N/A</v>
      </c>
      <c r="EC14" s="138" t="e">
        <f>IF(VLOOKUP(CONCATENATE(H14,F14,EC$2),Matemáticas!$A:$H,7,FALSE)=AQ14,1,0)</f>
        <v>#N/A</v>
      </c>
      <c r="ED14" s="138" t="e">
        <f>IF(VLOOKUP(CONCATENATE(H14,F14,ED$2),Matemáticas!$A:$H,7,FALSE)=AR14,1,0)</f>
        <v>#N/A</v>
      </c>
      <c r="EE14" s="138" t="e">
        <f>IF(VLOOKUP(CONCATENATE(H14,F14,EE$2),Matemáticas!$A:$H,7,FALSE)=AS14,1,0)</f>
        <v>#N/A</v>
      </c>
      <c r="EF14" s="138" t="e">
        <f>IF(VLOOKUP(CONCATENATE(H14,F14,EF$2),Matemáticas!$A:$H,7,FALSE)=AT14,1,0)</f>
        <v>#N/A</v>
      </c>
      <c r="EG14" s="138" t="e">
        <f>IF(VLOOKUP(CONCATENATE(H14,F14,EG$2),Matemáticas!$A:$H,7,FALSE)=AU14,1,0)</f>
        <v>#N/A</v>
      </c>
      <c r="EH14" s="138" t="e">
        <f>IF(VLOOKUP(CONCATENATE(H14,F14,EH$2),Matemáticas!$A:$H,7,FALSE)=AV14,1,0)</f>
        <v>#N/A</v>
      </c>
      <c r="EI14" s="138" t="e">
        <f>IF(VLOOKUP(CONCATENATE(H14,F14,EI$2),Matemáticas!$A:$H,7,FALSE)=AW14,1,0)</f>
        <v>#N/A</v>
      </c>
      <c r="EJ14" s="138" t="e">
        <f>IF(VLOOKUP(CONCATENATE(H14,F14,EJ$2),Matemáticas!$A:$H,7,FALSE)=AX14,1,0)</f>
        <v>#N/A</v>
      </c>
      <c r="EK14" s="138" t="e">
        <f>IF(VLOOKUP(CONCATENATE(H14,F14,EK$2),Matemáticas!$A:$H,7,FALSE)=AY14,1,0)</f>
        <v>#N/A</v>
      </c>
      <c r="EL14" s="138" t="e">
        <f>IF(VLOOKUP(CONCATENATE(H14,F14,EL$2),Matemáticas!$A:$H,7,FALSE)=AZ14,1,0)</f>
        <v>#N/A</v>
      </c>
      <c r="EM14" s="138" t="e">
        <f>IF(VLOOKUP(CONCATENATE(H14,F14,EM$2),Matemáticas!$A:$H,7,FALSE)=BA14,1,0)</f>
        <v>#N/A</v>
      </c>
      <c r="EN14" s="138" t="e">
        <f>IF(VLOOKUP(CONCATENATE(H14,F14,EN$2),Matemáticas!$A:$H,7,FALSE)=BB14,1,0)</f>
        <v>#N/A</v>
      </c>
      <c r="EO14" s="138" t="e">
        <f>IF(VLOOKUP(CONCATENATE(H14,F14,EO$2),Matemáticas!$A:$H,7,FALSE)=BC14,1,0)</f>
        <v>#N/A</v>
      </c>
      <c r="EP14" s="138" t="e">
        <f>IF(VLOOKUP(CONCATENATE(H14,F14,EP$2),Matemáticas!$A:$H,7,FALSE)=BD14,1,0)</f>
        <v>#N/A</v>
      </c>
      <c r="EQ14" s="138" t="e">
        <f>IF(VLOOKUP(CONCATENATE(H14,F14,EQ$2),Matemáticas!$A:$H,7,FALSE)=BE14,1,0)</f>
        <v>#N/A</v>
      </c>
      <c r="ER14" s="138" t="e">
        <f>IF(VLOOKUP(CONCATENATE(H14,F14,ER$2),Matemáticas!$A:$H,7,FALSE)=BF14,1,0)</f>
        <v>#N/A</v>
      </c>
      <c r="ES14" s="138" t="e">
        <f>IF(VLOOKUP(CONCATENATE(H14,F14,ES$2),Matemáticas!$A:$H,7,FALSE)=BG14,1,0)</f>
        <v>#N/A</v>
      </c>
      <c r="ET14" s="138" t="e">
        <f>IF(VLOOKUP(CONCATENATE(H14,F14,ET$2),Matemáticas!$A:$H,7,FALSE)=BH14,1,0)</f>
        <v>#N/A</v>
      </c>
      <c r="EU14" s="138" t="e">
        <f>IF(VLOOKUP(CONCATENATE(H14,F14,EU$2),Matemáticas!$A:$H,7,FALSE)=BI14,1,0)</f>
        <v>#N/A</v>
      </c>
      <c r="EV14" s="138" t="e">
        <f>IF(VLOOKUP(CONCATENATE(H14,F14,EV$2),Ciencias!$A:$H,7,FALSE)=BJ14,1,0)</f>
        <v>#N/A</v>
      </c>
      <c r="EW14" s="138" t="e">
        <f>IF(VLOOKUP(CONCATENATE(H14,F14,EW$2),Ciencias!$A:$H,7,FALSE)=BK14,1,0)</f>
        <v>#N/A</v>
      </c>
      <c r="EX14" s="138" t="e">
        <f>IF(VLOOKUP(CONCATENATE(H14,F14,EX$2),Ciencias!$A:$H,7,FALSE)=BL14,1,0)</f>
        <v>#N/A</v>
      </c>
      <c r="EY14" s="138" t="e">
        <f>IF(VLOOKUP(CONCATENATE(H14,F14,EY$2),Ciencias!$A:$H,7,FALSE)=BM14,1,0)</f>
        <v>#N/A</v>
      </c>
      <c r="EZ14" s="138" t="e">
        <f>IF(VLOOKUP(CONCATENATE(H14,F14,EZ$2),Ciencias!$A:$H,7,FALSE)=BN14,1,0)</f>
        <v>#N/A</v>
      </c>
      <c r="FA14" s="138" t="e">
        <f>IF(VLOOKUP(CONCATENATE(H14,F14,FA$2),Ciencias!$A:$H,7,FALSE)=BO14,1,0)</f>
        <v>#N/A</v>
      </c>
      <c r="FB14" s="138" t="e">
        <f>IF(VLOOKUP(CONCATENATE(H14,F14,FB$2),Ciencias!$A:$H,7,FALSE)=BP14,1,0)</f>
        <v>#N/A</v>
      </c>
      <c r="FC14" s="138" t="e">
        <f>IF(VLOOKUP(CONCATENATE(H14,F14,FC$2),Ciencias!$A:$H,7,FALSE)=BQ14,1,0)</f>
        <v>#N/A</v>
      </c>
      <c r="FD14" s="138" t="e">
        <f>IF(VLOOKUP(CONCATENATE(H14,F14,FD$2),Ciencias!$A:$H,7,FALSE)=BR14,1,0)</f>
        <v>#N/A</v>
      </c>
      <c r="FE14" s="138" t="e">
        <f>IF(VLOOKUP(CONCATENATE(H14,F14,FE$2),Ciencias!$A:$H,7,FALSE)=BS14,1,0)</f>
        <v>#N/A</v>
      </c>
      <c r="FF14" s="138" t="e">
        <f>IF(VLOOKUP(CONCATENATE(H14,F14,FF$2),Ciencias!$A:$H,7,FALSE)=BT14,1,0)</f>
        <v>#N/A</v>
      </c>
      <c r="FG14" s="138" t="e">
        <f>IF(VLOOKUP(CONCATENATE(H14,F14,FG$2),Ciencias!$A:$H,7,FALSE)=BU14,1,0)</f>
        <v>#N/A</v>
      </c>
      <c r="FH14" s="138" t="e">
        <f>IF(VLOOKUP(CONCATENATE(H14,F14,FH$2),Ciencias!$A:$H,7,FALSE)=BV14,1,0)</f>
        <v>#N/A</v>
      </c>
      <c r="FI14" s="138" t="e">
        <f>IF(VLOOKUP(CONCATENATE(H14,F14,FI$2),Ciencias!$A:$H,7,FALSE)=BW14,1,0)</f>
        <v>#N/A</v>
      </c>
      <c r="FJ14" s="138" t="e">
        <f>IF(VLOOKUP(CONCATENATE(H14,F14,FJ$2),Ciencias!$A:$H,7,FALSE)=BX14,1,0)</f>
        <v>#N/A</v>
      </c>
      <c r="FK14" s="138" t="e">
        <f>IF(VLOOKUP(CONCATENATE(H14,F14,FK$2),Ciencias!$A:$H,7,FALSE)=BY14,1,0)</f>
        <v>#N/A</v>
      </c>
      <c r="FL14" s="138" t="e">
        <f>IF(VLOOKUP(CONCATENATE(H14,F14,FL$2),Ciencias!$A:$H,7,FALSE)=BZ14,1,0)</f>
        <v>#N/A</v>
      </c>
      <c r="FM14" s="138" t="e">
        <f>IF(VLOOKUP(CONCATENATE(H14,F14,FM$2),Ciencias!$A:$H,7,FALSE)=CA14,1,0)</f>
        <v>#N/A</v>
      </c>
      <c r="FN14" s="138" t="e">
        <f>IF(VLOOKUP(CONCATENATE(H14,F14,FN$2),Ciencias!$A:$H,7,FALSE)=CB14,1,0)</f>
        <v>#N/A</v>
      </c>
      <c r="FO14" s="138" t="e">
        <f>IF(VLOOKUP(CONCATENATE(H14,F14,FO$2),Ciencias!$A:$H,7,FALSE)=CC14,1,0)</f>
        <v>#N/A</v>
      </c>
      <c r="FP14" s="138" t="e">
        <f>IF(VLOOKUP(CONCATENATE(H14,F14,FP$2),GeoHis!$A:$H,7,FALSE)=CD14,1,0)</f>
        <v>#N/A</v>
      </c>
      <c r="FQ14" s="138" t="e">
        <f>IF(VLOOKUP(CONCATENATE(H14,F14,FQ$2),GeoHis!$A:$H,7,FALSE)=CE14,1,0)</f>
        <v>#N/A</v>
      </c>
      <c r="FR14" s="138" t="e">
        <f>IF(VLOOKUP(CONCATENATE(H14,F14,FR$2),GeoHis!$A:$H,7,FALSE)=CF14,1,0)</f>
        <v>#N/A</v>
      </c>
      <c r="FS14" s="138" t="e">
        <f>IF(VLOOKUP(CONCATENATE(H14,F14,FS$2),GeoHis!$A:$H,7,FALSE)=CG14,1,0)</f>
        <v>#N/A</v>
      </c>
      <c r="FT14" s="138" t="e">
        <f>IF(VLOOKUP(CONCATENATE(H14,F14,FT$2),GeoHis!$A:$H,7,FALSE)=CH14,1,0)</f>
        <v>#N/A</v>
      </c>
      <c r="FU14" s="138" t="e">
        <f>IF(VLOOKUP(CONCATENATE(H14,F14,FU$2),GeoHis!$A:$H,7,FALSE)=CI14,1,0)</f>
        <v>#N/A</v>
      </c>
      <c r="FV14" s="138" t="e">
        <f>IF(VLOOKUP(CONCATENATE(H14,F14,FV$2),GeoHis!$A:$H,7,FALSE)=CJ14,1,0)</f>
        <v>#N/A</v>
      </c>
      <c r="FW14" s="138" t="e">
        <f>IF(VLOOKUP(CONCATENATE(H14,F14,FW$2),GeoHis!$A:$H,7,FALSE)=CK14,1,0)</f>
        <v>#N/A</v>
      </c>
      <c r="FX14" s="138" t="e">
        <f>IF(VLOOKUP(CONCATENATE(H14,F14,FX$2),GeoHis!$A:$H,7,FALSE)=CL14,1,0)</f>
        <v>#N/A</v>
      </c>
      <c r="FY14" s="138" t="e">
        <f>IF(VLOOKUP(CONCATENATE(H14,F14,FY$2),GeoHis!$A:$H,7,FALSE)=CM14,1,0)</f>
        <v>#N/A</v>
      </c>
      <c r="FZ14" s="138" t="e">
        <f>IF(VLOOKUP(CONCATENATE(H14,F14,FZ$2),GeoHis!$A:$H,7,FALSE)=CN14,1,0)</f>
        <v>#N/A</v>
      </c>
      <c r="GA14" s="138" t="e">
        <f>IF(VLOOKUP(CONCATENATE(H14,F14,GA$2),GeoHis!$A:$H,7,FALSE)=CO14,1,0)</f>
        <v>#N/A</v>
      </c>
      <c r="GB14" s="138" t="e">
        <f>IF(VLOOKUP(CONCATENATE(H14,F14,GB$2),GeoHis!$A:$H,7,FALSE)=CP14,1,0)</f>
        <v>#N/A</v>
      </c>
      <c r="GC14" s="138" t="e">
        <f>IF(VLOOKUP(CONCATENATE(H14,F14,GC$2),GeoHis!$A:$H,7,FALSE)=CQ14,1,0)</f>
        <v>#N/A</v>
      </c>
      <c r="GD14" s="138" t="e">
        <f>IF(VLOOKUP(CONCATENATE(H14,F14,GD$2),GeoHis!$A:$H,7,FALSE)=CR14,1,0)</f>
        <v>#N/A</v>
      </c>
      <c r="GE14" s="135" t="str">
        <f t="shared" si="6"/>
        <v/>
      </c>
    </row>
    <row r="15" spans="1:187" x14ac:dyDescent="0.25">
      <c r="A15" s="127" t="str">
        <f>IF(C15="","",'Datos Generales'!$A$25)</f>
        <v/>
      </c>
      <c r="D15" s="126" t="str">
        <f t="shared" si="0"/>
        <v/>
      </c>
      <c r="E15" s="126">
        <f t="shared" si="1"/>
        <v>0</v>
      </c>
      <c r="F15" s="126" t="str">
        <f t="shared" si="7"/>
        <v/>
      </c>
      <c r="G15" s="126" t="str">
        <f>IF(C15="","",'Datos Generales'!$D$19)</f>
        <v/>
      </c>
      <c r="H15" s="21" t="str">
        <f>IF(C15="","",'Datos Generales'!$A$19)</f>
        <v/>
      </c>
      <c r="I15" s="126" t="str">
        <f>IF(C15="","",'Datos Generales'!$A$7)</f>
        <v/>
      </c>
      <c r="J15" s="21" t="str">
        <f>IF(C15="","",'Datos Generales'!$A$13)</f>
        <v/>
      </c>
      <c r="K15" s="21" t="str">
        <f>IF(C15="","",'Datos Generales'!$A$10)</f>
        <v/>
      </c>
      <c r="CS15" s="142" t="str">
        <f t="shared" si="2"/>
        <v/>
      </c>
      <c r="CT15" s="142" t="str">
        <f t="shared" si="3"/>
        <v/>
      </c>
      <c r="CU15" s="142" t="str">
        <f t="shared" si="4"/>
        <v/>
      </c>
      <c r="CV15" s="142" t="str">
        <f t="shared" si="5"/>
        <v/>
      </c>
      <c r="CW15" s="142" t="str">
        <f>IF(C15="","",IF('Datos Generales'!$A$19=1,AVERAGE(FP15:GD15),AVERAGE(Captura!FP15:FY15)))</f>
        <v/>
      </c>
      <c r="CX15" s="138" t="e">
        <f>IF(VLOOKUP(CONCATENATE($H$4,$F$4,CX$2),Español!$A:$H,7,FALSE)=L15,1,0)</f>
        <v>#N/A</v>
      </c>
      <c r="CY15" s="138" t="e">
        <f>IF(VLOOKUP(CONCATENATE(H15,F15,CY$2),Español!$A:$H,7,FALSE)=M15,1,0)</f>
        <v>#N/A</v>
      </c>
      <c r="CZ15" s="138" t="e">
        <f>IF(VLOOKUP(CONCATENATE(H15,F15,CZ$2),Español!$A:$H,7,FALSE)=N15,1,0)</f>
        <v>#N/A</v>
      </c>
      <c r="DA15" s="138" t="e">
        <f>IF(VLOOKUP(CONCATENATE(H15,F15,DA$2),Español!$A:$H,7,FALSE)=O15,1,0)</f>
        <v>#N/A</v>
      </c>
      <c r="DB15" s="138" t="e">
        <f>IF(VLOOKUP(CONCATENATE(H15,F15,DB$2),Español!$A:$H,7,FALSE)=P15,1,0)</f>
        <v>#N/A</v>
      </c>
      <c r="DC15" s="138" t="e">
        <f>IF(VLOOKUP(CONCATENATE(H15,F15,DC$2),Español!$A:$H,7,FALSE)=Q15,1,0)</f>
        <v>#N/A</v>
      </c>
      <c r="DD15" s="138" t="e">
        <f>IF(VLOOKUP(CONCATENATE(H15,F15,DD$2),Español!$A:$H,7,FALSE)=R15,1,0)</f>
        <v>#N/A</v>
      </c>
      <c r="DE15" s="138" t="e">
        <f>IF(VLOOKUP(CONCATENATE(H15,F15,DE$2),Español!$A:$H,7,FALSE)=S15,1,0)</f>
        <v>#N/A</v>
      </c>
      <c r="DF15" s="138" t="e">
        <f>IF(VLOOKUP(CONCATENATE(H15,F15,DF$2),Español!$A:$H,7,FALSE)=T15,1,0)</f>
        <v>#N/A</v>
      </c>
      <c r="DG15" s="138" t="e">
        <f>IF(VLOOKUP(CONCATENATE(H15,F15,DG$2),Español!$A:$H,7,FALSE)=U15,1,0)</f>
        <v>#N/A</v>
      </c>
      <c r="DH15" s="138" t="e">
        <f>IF(VLOOKUP(CONCATENATE(H15,F15,DH$2),Español!$A:$H,7,FALSE)=V15,1,0)</f>
        <v>#N/A</v>
      </c>
      <c r="DI15" s="138" t="e">
        <f>IF(VLOOKUP(CONCATENATE(H15,F15,DI$2),Español!$A:$H,7,FALSE)=W15,1,0)</f>
        <v>#N/A</v>
      </c>
      <c r="DJ15" s="138" t="e">
        <f>IF(VLOOKUP(CONCATENATE(H15,F15,DJ$2),Español!$A:$H,7,FALSE)=X15,1,0)</f>
        <v>#N/A</v>
      </c>
      <c r="DK15" s="138" t="e">
        <f>IF(VLOOKUP(CONCATENATE(H15,F15,DK$2),Español!$A:$H,7,FALSE)=Y15,1,0)</f>
        <v>#N/A</v>
      </c>
      <c r="DL15" s="138" t="e">
        <f>IF(VLOOKUP(CONCATENATE(H15,F15,DL$2),Español!$A:$H,7,FALSE)=Z15,1,0)</f>
        <v>#N/A</v>
      </c>
      <c r="DM15" s="138" t="e">
        <f>IF(VLOOKUP(CONCATENATE(H15,F15,DM$2),Español!$A:$H,7,FALSE)=AA15,1,0)</f>
        <v>#N/A</v>
      </c>
      <c r="DN15" s="138" t="e">
        <f>IF(VLOOKUP(CONCATENATE(H15,F15,DN$2),Español!$A:$H,7,FALSE)=AB15,1,0)</f>
        <v>#N/A</v>
      </c>
      <c r="DO15" s="138" t="e">
        <f>IF(VLOOKUP(CONCATENATE(H15,F15,DO$2),Español!$A:$H,7,FALSE)=AC15,1,0)</f>
        <v>#N/A</v>
      </c>
      <c r="DP15" s="138" t="e">
        <f>IF(VLOOKUP(CONCATENATE(H15,F15,DP$2),Español!$A:$H,7,FALSE)=AD15,1,0)</f>
        <v>#N/A</v>
      </c>
      <c r="DQ15" s="138" t="e">
        <f>IF(VLOOKUP(CONCATENATE(H15,F15,DQ$2),Español!$A:$H,7,FALSE)=AE15,1,0)</f>
        <v>#N/A</v>
      </c>
      <c r="DR15" s="138" t="e">
        <f>IF(VLOOKUP(CONCATENATE(H15,F15,DR$2),Inglés!$A:$H,7,FALSE)=AF15,1,0)</f>
        <v>#N/A</v>
      </c>
      <c r="DS15" s="138" t="e">
        <f>IF(VLOOKUP(CONCATENATE(H15,F15,DS$2),Inglés!$A:$H,7,FALSE)=AG15,1,0)</f>
        <v>#N/A</v>
      </c>
      <c r="DT15" s="138" t="e">
        <f>IF(VLOOKUP(CONCATENATE(H15,F15,DT$2),Inglés!$A:$H,7,FALSE)=AH15,1,0)</f>
        <v>#N/A</v>
      </c>
      <c r="DU15" s="138" t="e">
        <f>IF(VLOOKUP(CONCATENATE(H15,F15,DU$2),Inglés!$A:$H,7,FALSE)=AI15,1,0)</f>
        <v>#N/A</v>
      </c>
      <c r="DV15" s="138" t="e">
        <f>IF(VLOOKUP(CONCATENATE(H15,F15,DV$2),Inglés!$A:$H,7,FALSE)=AJ15,1,0)</f>
        <v>#N/A</v>
      </c>
      <c r="DW15" s="138" t="e">
        <f>IF(VLOOKUP(CONCATENATE(H15,F15,DW$2),Inglés!$A:$H,7,FALSE)=AK15,1,0)</f>
        <v>#N/A</v>
      </c>
      <c r="DX15" s="138" t="e">
        <f>IF(VLOOKUP(CONCATENATE(H15,F15,DX$2),Inglés!$A:$H,7,FALSE)=AL15,1,0)</f>
        <v>#N/A</v>
      </c>
      <c r="DY15" s="138" t="e">
        <f>IF(VLOOKUP(CONCATENATE(H15,F15,DY$2),Inglés!$A:$H,7,FALSE)=AM15,1,0)</f>
        <v>#N/A</v>
      </c>
      <c r="DZ15" s="138" t="e">
        <f>IF(VLOOKUP(CONCATENATE(H15,F15,DZ$2),Inglés!$A:$H,7,FALSE)=AN15,1,0)</f>
        <v>#N/A</v>
      </c>
      <c r="EA15" s="138" t="e">
        <f>IF(VLOOKUP(CONCATENATE(H15,F15,EA$2),Inglés!$A:$H,7,FALSE)=AO15,1,0)</f>
        <v>#N/A</v>
      </c>
      <c r="EB15" s="138" t="e">
        <f>IF(VLOOKUP(CONCATENATE(H15,F15,EB$2),Matemáticas!$A:$H,7,FALSE)=AP15,1,0)</f>
        <v>#N/A</v>
      </c>
      <c r="EC15" s="138" t="e">
        <f>IF(VLOOKUP(CONCATENATE(H15,F15,EC$2),Matemáticas!$A:$H,7,FALSE)=AQ15,1,0)</f>
        <v>#N/A</v>
      </c>
      <c r="ED15" s="138" t="e">
        <f>IF(VLOOKUP(CONCATENATE(H15,F15,ED$2),Matemáticas!$A:$H,7,FALSE)=AR15,1,0)</f>
        <v>#N/A</v>
      </c>
      <c r="EE15" s="138" t="e">
        <f>IF(VLOOKUP(CONCATENATE(H15,F15,EE$2),Matemáticas!$A:$H,7,FALSE)=AS15,1,0)</f>
        <v>#N/A</v>
      </c>
      <c r="EF15" s="138" t="e">
        <f>IF(VLOOKUP(CONCATENATE(H15,F15,EF$2),Matemáticas!$A:$H,7,FALSE)=AT15,1,0)</f>
        <v>#N/A</v>
      </c>
      <c r="EG15" s="138" t="e">
        <f>IF(VLOOKUP(CONCATENATE(H15,F15,EG$2),Matemáticas!$A:$H,7,FALSE)=AU15,1,0)</f>
        <v>#N/A</v>
      </c>
      <c r="EH15" s="138" t="e">
        <f>IF(VLOOKUP(CONCATENATE(H15,F15,EH$2),Matemáticas!$A:$H,7,FALSE)=AV15,1,0)</f>
        <v>#N/A</v>
      </c>
      <c r="EI15" s="138" t="e">
        <f>IF(VLOOKUP(CONCATENATE(H15,F15,EI$2),Matemáticas!$A:$H,7,FALSE)=AW15,1,0)</f>
        <v>#N/A</v>
      </c>
      <c r="EJ15" s="138" t="e">
        <f>IF(VLOOKUP(CONCATENATE(H15,F15,EJ$2),Matemáticas!$A:$H,7,FALSE)=AX15,1,0)</f>
        <v>#N/A</v>
      </c>
      <c r="EK15" s="138" t="e">
        <f>IF(VLOOKUP(CONCATENATE(H15,F15,EK$2),Matemáticas!$A:$H,7,FALSE)=AY15,1,0)</f>
        <v>#N/A</v>
      </c>
      <c r="EL15" s="138" t="e">
        <f>IF(VLOOKUP(CONCATENATE(H15,F15,EL$2),Matemáticas!$A:$H,7,FALSE)=AZ15,1,0)</f>
        <v>#N/A</v>
      </c>
      <c r="EM15" s="138" t="e">
        <f>IF(VLOOKUP(CONCATENATE(H15,F15,EM$2),Matemáticas!$A:$H,7,FALSE)=BA15,1,0)</f>
        <v>#N/A</v>
      </c>
      <c r="EN15" s="138" t="e">
        <f>IF(VLOOKUP(CONCATENATE(H15,F15,EN$2),Matemáticas!$A:$H,7,FALSE)=BB15,1,0)</f>
        <v>#N/A</v>
      </c>
      <c r="EO15" s="138" t="e">
        <f>IF(VLOOKUP(CONCATENATE(H15,F15,EO$2),Matemáticas!$A:$H,7,FALSE)=BC15,1,0)</f>
        <v>#N/A</v>
      </c>
      <c r="EP15" s="138" t="e">
        <f>IF(VLOOKUP(CONCATENATE(H15,F15,EP$2),Matemáticas!$A:$H,7,FALSE)=BD15,1,0)</f>
        <v>#N/A</v>
      </c>
      <c r="EQ15" s="138" t="e">
        <f>IF(VLOOKUP(CONCATENATE(H15,F15,EQ$2),Matemáticas!$A:$H,7,FALSE)=BE15,1,0)</f>
        <v>#N/A</v>
      </c>
      <c r="ER15" s="138" t="e">
        <f>IF(VLOOKUP(CONCATENATE(H15,F15,ER$2),Matemáticas!$A:$H,7,FALSE)=BF15,1,0)</f>
        <v>#N/A</v>
      </c>
      <c r="ES15" s="138" t="e">
        <f>IF(VLOOKUP(CONCATENATE(H15,F15,ES$2),Matemáticas!$A:$H,7,FALSE)=BG15,1,0)</f>
        <v>#N/A</v>
      </c>
      <c r="ET15" s="138" t="e">
        <f>IF(VLOOKUP(CONCATENATE(H15,F15,ET$2),Matemáticas!$A:$H,7,FALSE)=BH15,1,0)</f>
        <v>#N/A</v>
      </c>
      <c r="EU15" s="138" t="e">
        <f>IF(VLOOKUP(CONCATENATE(H15,F15,EU$2),Matemáticas!$A:$H,7,FALSE)=BI15,1,0)</f>
        <v>#N/A</v>
      </c>
      <c r="EV15" s="138" t="e">
        <f>IF(VLOOKUP(CONCATENATE(H15,F15,EV$2),Ciencias!$A:$H,7,FALSE)=BJ15,1,0)</f>
        <v>#N/A</v>
      </c>
      <c r="EW15" s="138" t="e">
        <f>IF(VLOOKUP(CONCATENATE(H15,F15,EW$2),Ciencias!$A:$H,7,FALSE)=BK15,1,0)</f>
        <v>#N/A</v>
      </c>
      <c r="EX15" s="138" t="e">
        <f>IF(VLOOKUP(CONCATENATE(H15,F15,EX$2),Ciencias!$A:$H,7,FALSE)=BL15,1,0)</f>
        <v>#N/A</v>
      </c>
      <c r="EY15" s="138" t="e">
        <f>IF(VLOOKUP(CONCATENATE(H15,F15,EY$2),Ciencias!$A:$H,7,FALSE)=BM15,1,0)</f>
        <v>#N/A</v>
      </c>
      <c r="EZ15" s="138" t="e">
        <f>IF(VLOOKUP(CONCATENATE(H15,F15,EZ$2),Ciencias!$A:$H,7,FALSE)=BN15,1,0)</f>
        <v>#N/A</v>
      </c>
      <c r="FA15" s="138" t="e">
        <f>IF(VLOOKUP(CONCATENATE(H15,F15,FA$2),Ciencias!$A:$H,7,FALSE)=BO15,1,0)</f>
        <v>#N/A</v>
      </c>
      <c r="FB15" s="138" t="e">
        <f>IF(VLOOKUP(CONCATENATE(H15,F15,FB$2),Ciencias!$A:$H,7,FALSE)=BP15,1,0)</f>
        <v>#N/A</v>
      </c>
      <c r="FC15" s="138" t="e">
        <f>IF(VLOOKUP(CONCATENATE(H15,F15,FC$2),Ciencias!$A:$H,7,FALSE)=BQ15,1,0)</f>
        <v>#N/A</v>
      </c>
      <c r="FD15" s="138" t="e">
        <f>IF(VLOOKUP(CONCATENATE(H15,F15,FD$2),Ciencias!$A:$H,7,FALSE)=BR15,1,0)</f>
        <v>#N/A</v>
      </c>
      <c r="FE15" s="138" t="e">
        <f>IF(VLOOKUP(CONCATENATE(H15,F15,FE$2),Ciencias!$A:$H,7,FALSE)=BS15,1,0)</f>
        <v>#N/A</v>
      </c>
      <c r="FF15" s="138" t="e">
        <f>IF(VLOOKUP(CONCATENATE(H15,F15,FF$2),Ciencias!$A:$H,7,FALSE)=BT15,1,0)</f>
        <v>#N/A</v>
      </c>
      <c r="FG15" s="138" t="e">
        <f>IF(VLOOKUP(CONCATENATE(H15,F15,FG$2),Ciencias!$A:$H,7,FALSE)=BU15,1,0)</f>
        <v>#N/A</v>
      </c>
      <c r="FH15" s="138" t="e">
        <f>IF(VLOOKUP(CONCATENATE(H15,F15,FH$2),Ciencias!$A:$H,7,FALSE)=BV15,1,0)</f>
        <v>#N/A</v>
      </c>
      <c r="FI15" s="138" t="e">
        <f>IF(VLOOKUP(CONCATENATE(H15,F15,FI$2),Ciencias!$A:$H,7,FALSE)=BW15,1,0)</f>
        <v>#N/A</v>
      </c>
      <c r="FJ15" s="138" t="e">
        <f>IF(VLOOKUP(CONCATENATE(H15,F15,FJ$2),Ciencias!$A:$H,7,FALSE)=BX15,1,0)</f>
        <v>#N/A</v>
      </c>
      <c r="FK15" s="138" t="e">
        <f>IF(VLOOKUP(CONCATENATE(H15,F15,FK$2),Ciencias!$A:$H,7,FALSE)=BY15,1,0)</f>
        <v>#N/A</v>
      </c>
      <c r="FL15" s="138" t="e">
        <f>IF(VLOOKUP(CONCATENATE(H15,F15,FL$2),Ciencias!$A:$H,7,FALSE)=BZ15,1,0)</f>
        <v>#N/A</v>
      </c>
      <c r="FM15" s="138" t="e">
        <f>IF(VLOOKUP(CONCATENATE(H15,F15,FM$2),Ciencias!$A:$H,7,FALSE)=CA15,1,0)</f>
        <v>#N/A</v>
      </c>
      <c r="FN15" s="138" t="e">
        <f>IF(VLOOKUP(CONCATENATE(H15,F15,FN$2),Ciencias!$A:$H,7,FALSE)=CB15,1,0)</f>
        <v>#N/A</v>
      </c>
      <c r="FO15" s="138" t="e">
        <f>IF(VLOOKUP(CONCATENATE(H15,F15,FO$2),Ciencias!$A:$H,7,FALSE)=CC15,1,0)</f>
        <v>#N/A</v>
      </c>
      <c r="FP15" s="138" t="e">
        <f>IF(VLOOKUP(CONCATENATE(H15,F15,FP$2),GeoHis!$A:$H,7,FALSE)=CD15,1,0)</f>
        <v>#N/A</v>
      </c>
      <c r="FQ15" s="138" t="e">
        <f>IF(VLOOKUP(CONCATENATE(H15,F15,FQ$2),GeoHis!$A:$H,7,FALSE)=CE15,1,0)</f>
        <v>#N/A</v>
      </c>
      <c r="FR15" s="138" t="e">
        <f>IF(VLOOKUP(CONCATENATE(H15,F15,FR$2),GeoHis!$A:$H,7,FALSE)=CF15,1,0)</f>
        <v>#N/A</v>
      </c>
      <c r="FS15" s="138" t="e">
        <f>IF(VLOOKUP(CONCATENATE(H15,F15,FS$2),GeoHis!$A:$H,7,FALSE)=CG15,1,0)</f>
        <v>#N/A</v>
      </c>
      <c r="FT15" s="138" t="e">
        <f>IF(VLOOKUP(CONCATENATE(H15,F15,FT$2),GeoHis!$A:$H,7,FALSE)=CH15,1,0)</f>
        <v>#N/A</v>
      </c>
      <c r="FU15" s="138" t="e">
        <f>IF(VLOOKUP(CONCATENATE(H15,F15,FU$2),GeoHis!$A:$H,7,FALSE)=CI15,1,0)</f>
        <v>#N/A</v>
      </c>
      <c r="FV15" s="138" t="e">
        <f>IF(VLOOKUP(CONCATENATE(H15,F15,FV$2),GeoHis!$A:$H,7,FALSE)=CJ15,1,0)</f>
        <v>#N/A</v>
      </c>
      <c r="FW15" s="138" t="e">
        <f>IF(VLOOKUP(CONCATENATE(H15,F15,FW$2),GeoHis!$A:$H,7,FALSE)=CK15,1,0)</f>
        <v>#N/A</v>
      </c>
      <c r="FX15" s="138" t="e">
        <f>IF(VLOOKUP(CONCATENATE(H15,F15,FX$2),GeoHis!$A:$H,7,FALSE)=CL15,1,0)</f>
        <v>#N/A</v>
      </c>
      <c r="FY15" s="138" t="e">
        <f>IF(VLOOKUP(CONCATENATE(H15,F15,FY$2),GeoHis!$A:$H,7,FALSE)=CM15,1,0)</f>
        <v>#N/A</v>
      </c>
      <c r="FZ15" s="138" t="e">
        <f>IF(VLOOKUP(CONCATENATE(H15,F15,FZ$2),GeoHis!$A:$H,7,FALSE)=CN15,1,0)</f>
        <v>#N/A</v>
      </c>
      <c r="GA15" s="138" t="e">
        <f>IF(VLOOKUP(CONCATENATE(H15,F15,GA$2),GeoHis!$A:$H,7,FALSE)=CO15,1,0)</f>
        <v>#N/A</v>
      </c>
      <c r="GB15" s="138" t="e">
        <f>IF(VLOOKUP(CONCATENATE(H15,F15,GB$2),GeoHis!$A:$H,7,FALSE)=CP15,1,0)</f>
        <v>#N/A</v>
      </c>
      <c r="GC15" s="138" t="e">
        <f>IF(VLOOKUP(CONCATENATE(H15,F15,GC$2),GeoHis!$A:$H,7,FALSE)=CQ15,1,0)</f>
        <v>#N/A</v>
      </c>
      <c r="GD15" s="138" t="e">
        <f>IF(VLOOKUP(CONCATENATE(H15,F15,GD$2),GeoHis!$A:$H,7,FALSE)=CR15,1,0)</f>
        <v>#N/A</v>
      </c>
      <c r="GE15" s="135" t="str">
        <f t="shared" si="6"/>
        <v/>
      </c>
    </row>
    <row r="16" spans="1:187" x14ac:dyDescent="0.25">
      <c r="A16" s="127" t="str">
        <f>IF(C16="","",'Datos Generales'!$A$25)</f>
        <v/>
      </c>
      <c r="D16" s="126" t="str">
        <f t="shared" si="0"/>
        <v/>
      </c>
      <c r="E16" s="126">
        <f t="shared" si="1"/>
        <v>0</v>
      </c>
      <c r="F16" s="126" t="str">
        <f t="shared" si="7"/>
        <v/>
      </c>
      <c r="G16" s="126" t="str">
        <f>IF(C16="","",'Datos Generales'!$D$19)</f>
        <v/>
      </c>
      <c r="H16" s="21" t="str">
        <f>IF(C16="","",'Datos Generales'!$A$19)</f>
        <v/>
      </c>
      <c r="I16" s="126" t="str">
        <f>IF(C16="","",'Datos Generales'!$A$7)</f>
        <v/>
      </c>
      <c r="J16" s="21" t="str">
        <f>IF(C16="","",'Datos Generales'!$A$13)</f>
        <v/>
      </c>
      <c r="K16" s="21" t="str">
        <f>IF(C16="","",'Datos Generales'!$A$10)</f>
        <v/>
      </c>
      <c r="CS16" s="142" t="str">
        <f t="shared" si="2"/>
        <v/>
      </c>
      <c r="CT16" s="142" t="str">
        <f t="shared" si="3"/>
        <v/>
      </c>
      <c r="CU16" s="142" t="str">
        <f t="shared" si="4"/>
        <v/>
      </c>
      <c r="CV16" s="142" t="str">
        <f t="shared" si="5"/>
        <v/>
      </c>
      <c r="CW16" s="142" t="str">
        <f>IF(C16="","",IF('Datos Generales'!$A$19=1,AVERAGE(FP16:GD16),AVERAGE(Captura!FP16:FY16)))</f>
        <v/>
      </c>
      <c r="CX16" s="138" t="e">
        <f>IF(VLOOKUP(CONCATENATE($H$4,$F$4,CX$2),Español!$A:$H,7,FALSE)=L16,1,0)</f>
        <v>#N/A</v>
      </c>
      <c r="CY16" s="138" t="e">
        <f>IF(VLOOKUP(CONCATENATE(H16,F16,CY$2),Español!$A:$H,7,FALSE)=M16,1,0)</f>
        <v>#N/A</v>
      </c>
      <c r="CZ16" s="138" t="e">
        <f>IF(VLOOKUP(CONCATENATE(H16,F16,CZ$2),Español!$A:$H,7,FALSE)=N16,1,0)</f>
        <v>#N/A</v>
      </c>
      <c r="DA16" s="138" t="e">
        <f>IF(VLOOKUP(CONCATENATE(H16,F16,DA$2),Español!$A:$H,7,FALSE)=O16,1,0)</f>
        <v>#N/A</v>
      </c>
      <c r="DB16" s="138" t="e">
        <f>IF(VLOOKUP(CONCATENATE(H16,F16,DB$2),Español!$A:$H,7,FALSE)=P16,1,0)</f>
        <v>#N/A</v>
      </c>
      <c r="DC16" s="138" t="e">
        <f>IF(VLOOKUP(CONCATENATE(H16,F16,DC$2),Español!$A:$H,7,FALSE)=Q16,1,0)</f>
        <v>#N/A</v>
      </c>
      <c r="DD16" s="138" t="e">
        <f>IF(VLOOKUP(CONCATENATE(H16,F16,DD$2),Español!$A:$H,7,FALSE)=R16,1,0)</f>
        <v>#N/A</v>
      </c>
      <c r="DE16" s="138" t="e">
        <f>IF(VLOOKUP(CONCATENATE(H16,F16,DE$2),Español!$A:$H,7,FALSE)=S16,1,0)</f>
        <v>#N/A</v>
      </c>
      <c r="DF16" s="138" t="e">
        <f>IF(VLOOKUP(CONCATENATE(H16,F16,DF$2),Español!$A:$H,7,FALSE)=T16,1,0)</f>
        <v>#N/A</v>
      </c>
      <c r="DG16" s="138" t="e">
        <f>IF(VLOOKUP(CONCATENATE(H16,F16,DG$2),Español!$A:$H,7,FALSE)=U16,1,0)</f>
        <v>#N/A</v>
      </c>
      <c r="DH16" s="138" t="e">
        <f>IF(VLOOKUP(CONCATENATE(H16,F16,DH$2),Español!$A:$H,7,FALSE)=V16,1,0)</f>
        <v>#N/A</v>
      </c>
      <c r="DI16" s="138" t="e">
        <f>IF(VLOOKUP(CONCATENATE(H16,F16,DI$2),Español!$A:$H,7,FALSE)=W16,1,0)</f>
        <v>#N/A</v>
      </c>
      <c r="DJ16" s="138" t="e">
        <f>IF(VLOOKUP(CONCATENATE(H16,F16,DJ$2),Español!$A:$H,7,FALSE)=X16,1,0)</f>
        <v>#N/A</v>
      </c>
      <c r="DK16" s="138" t="e">
        <f>IF(VLOOKUP(CONCATENATE(H16,F16,DK$2),Español!$A:$H,7,FALSE)=Y16,1,0)</f>
        <v>#N/A</v>
      </c>
      <c r="DL16" s="138" t="e">
        <f>IF(VLOOKUP(CONCATENATE(H16,F16,DL$2),Español!$A:$H,7,FALSE)=Z16,1,0)</f>
        <v>#N/A</v>
      </c>
      <c r="DM16" s="138" t="e">
        <f>IF(VLOOKUP(CONCATENATE(H16,F16,DM$2),Español!$A:$H,7,FALSE)=AA16,1,0)</f>
        <v>#N/A</v>
      </c>
      <c r="DN16" s="138" t="e">
        <f>IF(VLOOKUP(CONCATENATE(H16,F16,DN$2),Español!$A:$H,7,FALSE)=AB16,1,0)</f>
        <v>#N/A</v>
      </c>
      <c r="DO16" s="138" t="e">
        <f>IF(VLOOKUP(CONCATENATE(H16,F16,DO$2),Español!$A:$H,7,FALSE)=AC16,1,0)</f>
        <v>#N/A</v>
      </c>
      <c r="DP16" s="138" t="e">
        <f>IF(VLOOKUP(CONCATENATE(H16,F16,DP$2),Español!$A:$H,7,FALSE)=AD16,1,0)</f>
        <v>#N/A</v>
      </c>
      <c r="DQ16" s="138" t="e">
        <f>IF(VLOOKUP(CONCATENATE(H16,F16,DQ$2),Español!$A:$H,7,FALSE)=AE16,1,0)</f>
        <v>#N/A</v>
      </c>
      <c r="DR16" s="138" t="e">
        <f>IF(VLOOKUP(CONCATENATE(H16,F16,DR$2),Inglés!$A:$H,7,FALSE)=AF16,1,0)</f>
        <v>#N/A</v>
      </c>
      <c r="DS16" s="138" t="e">
        <f>IF(VLOOKUP(CONCATENATE(H16,F16,DS$2),Inglés!$A:$H,7,FALSE)=AG16,1,0)</f>
        <v>#N/A</v>
      </c>
      <c r="DT16" s="138" t="e">
        <f>IF(VLOOKUP(CONCATENATE(H16,F16,DT$2),Inglés!$A:$H,7,FALSE)=AH16,1,0)</f>
        <v>#N/A</v>
      </c>
      <c r="DU16" s="138" t="e">
        <f>IF(VLOOKUP(CONCATENATE(H16,F16,DU$2),Inglés!$A:$H,7,FALSE)=AI16,1,0)</f>
        <v>#N/A</v>
      </c>
      <c r="DV16" s="138" t="e">
        <f>IF(VLOOKUP(CONCATENATE(H16,F16,DV$2),Inglés!$A:$H,7,FALSE)=AJ16,1,0)</f>
        <v>#N/A</v>
      </c>
      <c r="DW16" s="138" t="e">
        <f>IF(VLOOKUP(CONCATENATE(H16,F16,DW$2),Inglés!$A:$H,7,FALSE)=AK16,1,0)</f>
        <v>#N/A</v>
      </c>
      <c r="DX16" s="138" t="e">
        <f>IF(VLOOKUP(CONCATENATE(H16,F16,DX$2),Inglés!$A:$H,7,FALSE)=AL16,1,0)</f>
        <v>#N/A</v>
      </c>
      <c r="DY16" s="138" t="e">
        <f>IF(VLOOKUP(CONCATENATE(H16,F16,DY$2),Inglés!$A:$H,7,FALSE)=AM16,1,0)</f>
        <v>#N/A</v>
      </c>
      <c r="DZ16" s="138" t="e">
        <f>IF(VLOOKUP(CONCATENATE(H16,F16,DZ$2),Inglés!$A:$H,7,FALSE)=AN16,1,0)</f>
        <v>#N/A</v>
      </c>
      <c r="EA16" s="138" t="e">
        <f>IF(VLOOKUP(CONCATENATE(H16,F16,EA$2),Inglés!$A:$H,7,FALSE)=AO16,1,0)</f>
        <v>#N/A</v>
      </c>
      <c r="EB16" s="138" t="e">
        <f>IF(VLOOKUP(CONCATENATE(H16,F16,EB$2),Matemáticas!$A:$H,7,FALSE)=AP16,1,0)</f>
        <v>#N/A</v>
      </c>
      <c r="EC16" s="138" t="e">
        <f>IF(VLOOKUP(CONCATENATE(H16,F16,EC$2),Matemáticas!$A:$H,7,FALSE)=AQ16,1,0)</f>
        <v>#N/A</v>
      </c>
      <c r="ED16" s="138" t="e">
        <f>IF(VLOOKUP(CONCATENATE(H16,F16,ED$2),Matemáticas!$A:$H,7,FALSE)=AR16,1,0)</f>
        <v>#N/A</v>
      </c>
      <c r="EE16" s="138" t="e">
        <f>IF(VLOOKUP(CONCATENATE(H16,F16,EE$2),Matemáticas!$A:$H,7,FALSE)=AS16,1,0)</f>
        <v>#N/A</v>
      </c>
      <c r="EF16" s="138" t="e">
        <f>IF(VLOOKUP(CONCATENATE(H16,F16,EF$2),Matemáticas!$A:$H,7,FALSE)=AT16,1,0)</f>
        <v>#N/A</v>
      </c>
      <c r="EG16" s="138" t="e">
        <f>IF(VLOOKUP(CONCATENATE(H16,F16,EG$2),Matemáticas!$A:$H,7,FALSE)=AU16,1,0)</f>
        <v>#N/A</v>
      </c>
      <c r="EH16" s="138" t="e">
        <f>IF(VLOOKUP(CONCATENATE(H16,F16,EH$2),Matemáticas!$A:$H,7,FALSE)=AV16,1,0)</f>
        <v>#N/A</v>
      </c>
      <c r="EI16" s="138" t="e">
        <f>IF(VLOOKUP(CONCATENATE(H16,F16,EI$2),Matemáticas!$A:$H,7,FALSE)=AW16,1,0)</f>
        <v>#N/A</v>
      </c>
      <c r="EJ16" s="138" t="e">
        <f>IF(VLOOKUP(CONCATENATE(H16,F16,EJ$2),Matemáticas!$A:$H,7,FALSE)=AX16,1,0)</f>
        <v>#N/A</v>
      </c>
      <c r="EK16" s="138" t="e">
        <f>IF(VLOOKUP(CONCATENATE(H16,F16,EK$2),Matemáticas!$A:$H,7,FALSE)=AY16,1,0)</f>
        <v>#N/A</v>
      </c>
      <c r="EL16" s="138" t="e">
        <f>IF(VLOOKUP(CONCATENATE(H16,F16,EL$2),Matemáticas!$A:$H,7,FALSE)=AZ16,1,0)</f>
        <v>#N/A</v>
      </c>
      <c r="EM16" s="138" t="e">
        <f>IF(VLOOKUP(CONCATENATE(H16,F16,EM$2),Matemáticas!$A:$H,7,FALSE)=BA16,1,0)</f>
        <v>#N/A</v>
      </c>
      <c r="EN16" s="138" t="e">
        <f>IF(VLOOKUP(CONCATENATE(H16,F16,EN$2),Matemáticas!$A:$H,7,FALSE)=BB16,1,0)</f>
        <v>#N/A</v>
      </c>
      <c r="EO16" s="138" t="e">
        <f>IF(VLOOKUP(CONCATENATE(H16,F16,EO$2),Matemáticas!$A:$H,7,FALSE)=BC16,1,0)</f>
        <v>#N/A</v>
      </c>
      <c r="EP16" s="138" t="e">
        <f>IF(VLOOKUP(CONCATENATE(H16,F16,EP$2),Matemáticas!$A:$H,7,FALSE)=BD16,1,0)</f>
        <v>#N/A</v>
      </c>
      <c r="EQ16" s="138" t="e">
        <f>IF(VLOOKUP(CONCATENATE(H16,F16,EQ$2),Matemáticas!$A:$H,7,FALSE)=BE16,1,0)</f>
        <v>#N/A</v>
      </c>
      <c r="ER16" s="138" t="e">
        <f>IF(VLOOKUP(CONCATENATE(H16,F16,ER$2),Matemáticas!$A:$H,7,FALSE)=BF16,1,0)</f>
        <v>#N/A</v>
      </c>
      <c r="ES16" s="138" t="e">
        <f>IF(VLOOKUP(CONCATENATE(H16,F16,ES$2),Matemáticas!$A:$H,7,FALSE)=BG16,1,0)</f>
        <v>#N/A</v>
      </c>
      <c r="ET16" s="138" t="e">
        <f>IF(VLOOKUP(CONCATENATE(H16,F16,ET$2),Matemáticas!$A:$H,7,FALSE)=BH16,1,0)</f>
        <v>#N/A</v>
      </c>
      <c r="EU16" s="138" t="e">
        <f>IF(VLOOKUP(CONCATENATE(H16,F16,EU$2),Matemáticas!$A:$H,7,FALSE)=BI16,1,0)</f>
        <v>#N/A</v>
      </c>
      <c r="EV16" s="138" t="e">
        <f>IF(VLOOKUP(CONCATENATE(H16,F16,EV$2),Ciencias!$A:$H,7,FALSE)=BJ16,1,0)</f>
        <v>#N/A</v>
      </c>
      <c r="EW16" s="138" t="e">
        <f>IF(VLOOKUP(CONCATENATE(H16,F16,EW$2),Ciencias!$A:$H,7,FALSE)=BK16,1,0)</f>
        <v>#N/A</v>
      </c>
      <c r="EX16" s="138" t="e">
        <f>IF(VLOOKUP(CONCATENATE(H16,F16,EX$2),Ciencias!$A:$H,7,FALSE)=BL16,1,0)</f>
        <v>#N/A</v>
      </c>
      <c r="EY16" s="138" t="e">
        <f>IF(VLOOKUP(CONCATENATE(H16,F16,EY$2),Ciencias!$A:$H,7,FALSE)=BM16,1,0)</f>
        <v>#N/A</v>
      </c>
      <c r="EZ16" s="138" t="e">
        <f>IF(VLOOKUP(CONCATENATE(H16,F16,EZ$2),Ciencias!$A:$H,7,FALSE)=BN16,1,0)</f>
        <v>#N/A</v>
      </c>
      <c r="FA16" s="138" t="e">
        <f>IF(VLOOKUP(CONCATENATE(H16,F16,FA$2),Ciencias!$A:$H,7,FALSE)=BO16,1,0)</f>
        <v>#N/A</v>
      </c>
      <c r="FB16" s="138" t="e">
        <f>IF(VLOOKUP(CONCATENATE(H16,F16,FB$2),Ciencias!$A:$H,7,FALSE)=BP16,1,0)</f>
        <v>#N/A</v>
      </c>
      <c r="FC16" s="138" t="e">
        <f>IF(VLOOKUP(CONCATENATE(H16,F16,FC$2),Ciencias!$A:$H,7,FALSE)=BQ16,1,0)</f>
        <v>#N/A</v>
      </c>
      <c r="FD16" s="138" t="e">
        <f>IF(VLOOKUP(CONCATENATE(H16,F16,FD$2),Ciencias!$A:$H,7,FALSE)=BR16,1,0)</f>
        <v>#N/A</v>
      </c>
      <c r="FE16" s="138" t="e">
        <f>IF(VLOOKUP(CONCATENATE(H16,F16,FE$2),Ciencias!$A:$H,7,FALSE)=BS16,1,0)</f>
        <v>#N/A</v>
      </c>
      <c r="FF16" s="138" t="e">
        <f>IF(VLOOKUP(CONCATENATE(H16,F16,FF$2),Ciencias!$A:$H,7,FALSE)=BT16,1,0)</f>
        <v>#N/A</v>
      </c>
      <c r="FG16" s="138" t="e">
        <f>IF(VLOOKUP(CONCATENATE(H16,F16,FG$2),Ciencias!$A:$H,7,FALSE)=BU16,1,0)</f>
        <v>#N/A</v>
      </c>
      <c r="FH16" s="138" t="e">
        <f>IF(VLOOKUP(CONCATENATE(H16,F16,FH$2),Ciencias!$A:$H,7,FALSE)=BV16,1,0)</f>
        <v>#N/A</v>
      </c>
      <c r="FI16" s="138" t="e">
        <f>IF(VLOOKUP(CONCATENATE(H16,F16,FI$2),Ciencias!$A:$H,7,FALSE)=BW16,1,0)</f>
        <v>#N/A</v>
      </c>
      <c r="FJ16" s="138" t="e">
        <f>IF(VLOOKUP(CONCATENATE(H16,F16,FJ$2),Ciencias!$A:$H,7,FALSE)=BX16,1,0)</f>
        <v>#N/A</v>
      </c>
      <c r="FK16" s="138" t="e">
        <f>IF(VLOOKUP(CONCATENATE(H16,F16,FK$2),Ciencias!$A:$H,7,FALSE)=BY16,1,0)</f>
        <v>#N/A</v>
      </c>
      <c r="FL16" s="138" t="e">
        <f>IF(VLOOKUP(CONCATENATE(H16,F16,FL$2),Ciencias!$A:$H,7,FALSE)=BZ16,1,0)</f>
        <v>#N/A</v>
      </c>
      <c r="FM16" s="138" t="e">
        <f>IF(VLOOKUP(CONCATENATE(H16,F16,FM$2),Ciencias!$A:$H,7,FALSE)=CA16,1,0)</f>
        <v>#N/A</v>
      </c>
      <c r="FN16" s="138" t="e">
        <f>IF(VLOOKUP(CONCATENATE(H16,F16,FN$2),Ciencias!$A:$H,7,FALSE)=CB16,1,0)</f>
        <v>#N/A</v>
      </c>
      <c r="FO16" s="138" t="e">
        <f>IF(VLOOKUP(CONCATENATE(H16,F16,FO$2),Ciencias!$A:$H,7,FALSE)=CC16,1,0)</f>
        <v>#N/A</v>
      </c>
      <c r="FP16" s="138" t="e">
        <f>IF(VLOOKUP(CONCATENATE(H16,F16,FP$2),GeoHis!$A:$H,7,FALSE)=CD16,1,0)</f>
        <v>#N/A</v>
      </c>
      <c r="FQ16" s="138" t="e">
        <f>IF(VLOOKUP(CONCATENATE(H16,F16,FQ$2),GeoHis!$A:$H,7,FALSE)=CE16,1,0)</f>
        <v>#N/A</v>
      </c>
      <c r="FR16" s="138" t="e">
        <f>IF(VLOOKUP(CONCATENATE(H16,F16,FR$2),GeoHis!$A:$H,7,FALSE)=CF16,1,0)</f>
        <v>#N/A</v>
      </c>
      <c r="FS16" s="138" t="e">
        <f>IF(VLOOKUP(CONCATENATE(H16,F16,FS$2),GeoHis!$A:$H,7,FALSE)=CG16,1,0)</f>
        <v>#N/A</v>
      </c>
      <c r="FT16" s="138" t="e">
        <f>IF(VLOOKUP(CONCATENATE(H16,F16,FT$2),GeoHis!$A:$H,7,FALSE)=CH16,1,0)</f>
        <v>#N/A</v>
      </c>
      <c r="FU16" s="138" t="e">
        <f>IF(VLOOKUP(CONCATENATE(H16,F16,FU$2),GeoHis!$A:$H,7,FALSE)=CI16,1,0)</f>
        <v>#N/A</v>
      </c>
      <c r="FV16" s="138" t="e">
        <f>IF(VLOOKUP(CONCATENATE(H16,F16,FV$2),GeoHis!$A:$H,7,FALSE)=CJ16,1,0)</f>
        <v>#N/A</v>
      </c>
      <c r="FW16" s="138" t="e">
        <f>IF(VLOOKUP(CONCATENATE(H16,F16,FW$2),GeoHis!$A:$H,7,FALSE)=CK16,1,0)</f>
        <v>#N/A</v>
      </c>
      <c r="FX16" s="138" t="e">
        <f>IF(VLOOKUP(CONCATENATE(H16,F16,FX$2),GeoHis!$A:$H,7,FALSE)=CL16,1,0)</f>
        <v>#N/A</v>
      </c>
      <c r="FY16" s="138" t="e">
        <f>IF(VLOOKUP(CONCATENATE(H16,F16,FY$2),GeoHis!$A:$H,7,FALSE)=CM16,1,0)</f>
        <v>#N/A</v>
      </c>
      <c r="FZ16" s="138" t="e">
        <f>IF(VLOOKUP(CONCATENATE(H16,F16,FZ$2),GeoHis!$A:$H,7,FALSE)=CN16,1,0)</f>
        <v>#N/A</v>
      </c>
      <c r="GA16" s="138" t="e">
        <f>IF(VLOOKUP(CONCATENATE(H16,F16,GA$2),GeoHis!$A:$H,7,FALSE)=CO16,1,0)</f>
        <v>#N/A</v>
      </c>
      <c r="GB16" s="138" t="e">
        <f>IF(VLOOKUP(CONCATENATE(H16,F16,GB$2),GeoHis!$A:$H,7,FALSE)=CP16,1,0)</f>
        <v>#N/A</v>
      </c>
      <c r="GC16" s="138" t="e">
        <f>IF(VLOOKUP(CONCATENATE(H16,F16,GC$2),GeoHis!$A:$H,7,FALSE)=CQ16,1,0)</f>
        <v>#N/A</v>
      </c>
      <c r="GD16" s="138" t="e">
        <f>IF(VLOOKUP(CONCATENATE(H16,F16,GD$2),GeoHis!$A:$H,7,FALSE)=CR16,1,0)</f>
        <v>#N/A</v>
      </c>
      <c r="GE16" s="135" t="str">
        <f t="shared" si="6"/>
        <v/>
      </c>
    </row>
    <row r="17" spans="1:187" x14ac:dyDescent="0.25">
      <c r="A17" s="127" t="str">
        <f>IF(C17="","",'Datos Generales'!$A$25)</f>
        <v/>
      </c>
      <c r="D17" s="126" t="str">
        <f t="shared" si="0"/>
        <v/>
      </c>
      <c r="E17" s="126">
        <f t="shared" si="1"/>
        <v>0</v>
      </c>
      <c r="F17" s="126" t="str">
        <f t="shared" si="7"/>
        <v/>
      </c>
      <c r="G17" s="126" t="str">
        <f>IF(C17="","",'Datos Generales'!$D$19)</f>
        <v/>
      </c>
      <c r="H17" s="21" t="str">
        <f>IF(C17="","",'Datos Generales'!$A$19)</f>
        <v/>
      </c>
      <c r="I17" s="126" t="str">
        <f>IF(C17="","",'Datos Generales'!$A$7)</f>
        <v/>
      </c>
      <c r="J17" s="21" t="str">
        <f>IF(C17="","",'Datos Generales'!$A$13)</f>
        <v/>
      </c>
      <c r="K17" s="21" t="str">
        <f>IF(C17="","",'Datos Generales'!$A$10)</f>
        <v/>
      </c>
      <c r="CS17" s="142" t="str">
        <f t="shared" si="2"/>
        <v/>
      </c>
      <c r="CT17" s="142" t="str">
        <f t="shared" si="3"/>
        <v/>
      </c>
      <c r="CU17" s="142" t="str">
        <f t="shared" si="4"/>
        <v/>
      </c>
      <c r="CV17" s="142" t="str">
        <f t="shared" si="5"/>
        <v/>
      </c>
      <c r="CW17" s="142" t="str">
        <f>IF(C17="","",IF('Datos Generales'!$A$19=1,AVERAGE(FP17:GD17),AVERAGE(Captura!FP17:FY17)))</f>
        <v/>
      </c>
      <c r="CX17" s="138" t="e">
        <f>IF(VLOOKUP(CONCATENATE($H$4,$F$4,CX$2),Español!$A:$H,7,FALSE)=L17,1,0)</f>
        <v>#N/A</v>
      </c>
      <c r="CY17" s="138" t="e">
        <f>IF(VLOOKUP(CONCATENATE(H17,F17,CY$2),Español!$A:$H,7,FALSE)=M17,1,0)</f>
        <v>#N/A</v>
      </c>
      <c r="CZ17" s="138" t="e">
        <f>IF(VLOOKUP(CONCATENATE(H17,F17,CZ$2),Español!$A:$H,7,FALSE)=N17,1,0)</f>
        <v>#N/A</v>
      </c>
      <c r="DA17" s="138" t="e">
        <f>IF(VLOOKUP(CONCATENATE(H17,F17,DA$2),Español!$A:$H,7,FALSE)=O17,1,0)</f>
        <v>#N/A</v>
      </c>
      <c r="DB17" s="138" t="e">
        <f>IF(VLOOKUP(CONCATENATE(H17,F17,DB$2),Español!$A:$H,7,FALSE)=P17,1,0)</f>
        <v>#N/A</v>
      </c>
      <c r="DC17" s="138" t="e">
        <f>IF(VLOOKUP(CONCATENATE(H17,F17,DC$2),Español!$A:$H,7,FALSE)=Q17,1,0)</f>
        <v>#N/A</v>
      </c>
      <c r="DD17" s="138" t="e">
        <f>IF(VLOOKUP(CONCATENATE(H17,F17,DD$2),Español!$A:$H,7,FALSE)=R17,1,0)</f>
        <v>#N/A</v>
      </c>
      <c r="DE17" s="138" t="e">
        <f>IF(VLOOKUP(CONCATENATE(H17,F17,DE$2),Español!$A:$H,7,FALSE)=S17,1,0)</f>
        <v>#N/A</v>
      </c>
      <c r="DF17" s="138" t="e">
        <f>IF(VLOOKUP(CONCATENATE(H17,F17,DF$2),Español!$A:$H,7,FALSE)=T17,1,0)</f>
        <v>#N/A</v>
      </c>
      <c r="DG17" s="138" t="e">
        <f>IF(VLOOKUP(CONCATENATE(H17,F17,DG$2),Español!$A:$H,7,FALSE)=U17,1,0)</f>
        <v>#N/A</v>
      </c>
      <c r="DH17" s="138" t="e">
        <f>IF(VLOOKUP(CONCATENATE(H17,F17,DH$2),Español!$A:$H,7,FALSE)=V17,1,0)</f>
        <v>#N/A</v>
      </c>
      <c r="DI17" s="138" t="e">
        <f>IF(VLOOKUP(CONCATENATE(H17,F17,DI$2),Español!$A:$H,7,FALSE)=W17,1,0)</f>
        <v>#N/A</v>
      </c>
      <c r="DJ17" s="138" t="e">
        <f>IF(VLOOKUP(CONCATENATE(H17,F17,DJ$2),Español!$A:$H,7,FALSE)=X17,1,0)</f>
        <v>#N/A</v>
      </c>
      <c r="DK17" s="138" t="e">
        <f>IF(VLOOKUP(CONCATENATE(H17,F17,DK$2),Español!$A:$H,7,FALSE)=Y17,1,0)</f>
        <v>#N/A</v>
      </c>
      <c r="DL17" s="138" t="e">
        <f>IF(VLOOKUP(CONCATENATE(H17,F17,DL$2),Español!$A:$H,7,FALSE)=Z17,1,0)</f>
        <v>#N/A</v>
      </c>
      <c r="DM17" s="138" t="e">
        <f>IF(VLOOKUP(CONCATENATE(H17,F17,DM$2),Español!$A:$H,7,FALSE)=AA17,1,0)</f>
        <v>#N/A</v>
      </c>
      <c r="DN17" s="138" t="e">
        <f>IF(VLOOKUP(CONCATENATE(H17,F17,DN$2),Español!$A:$H,7,FALSE)=AB17,1,0)</f>
        <v>#N/A</v>
      </c>
      <c r="DO17" s="138" t="e">
        <f>IF(VLOOKUP(CONCATENATE(H17,F17,DO$2),Español!$A:$H,7,FALSE)=AC17,1,0)</f>
        <v>#N/A</v>
      </c>
      <c r="DP17" s="138" t="e">
        <f>IF(VLOOKUP(CONCATENATE(H17,F17,DP$2),Español!$A:$H,7,FALSE)=AD17,1,0)</f>
        <v>#N/A</v>
      </c>
      <c r="DQ17" s="138" t="e">
        <f>IF(VLOOKUP(CONCATENATE(H17,F17,DQ$2),Español!$A:$H,7,FALSE)=AE17,1,0)</f>
        <v>#N/A</v>
      </c>
      <c r="DR17" s="138" t="e">
        <f>IF(VLOOKUP(CONCATENATE(H17,F17,DR$2),Inglés!$A:$H,7,FALSE)=AF17,1,0)</f>
        <v>#N/A</v>
      </c>
      <c r="DS17" s="138" t="e">
        <f>IF(VLOOKUP(CONCATENATE(H17,F17,DS$2),Inglés!$A:$H,7,FALSE)=AG17,1,0)</f>
        <v>#N/A</v>
      </c>
      <c r="DT17" s="138" t="e">
        <f>IF(VLOOKUP(CONCATENATE(H17,F17,DT$2),Inglés!$A:$H,7,FALSE)=AH17,1,0)</f>
        <v>#N/A</v>
      </c>
      <c r="DU17" s="138" t="e">
        <f>IF(VLOOKUP(CONCATENATE(H17,F17,DU$2),Inglés!$A:$H,7,FALSE)=AI17,1,0)</f>
        <v>#N/A</v>
      </c>
      <c r="DV17" s="138" t="e">
        <f>IF(VLOOKUP(CONCATENATE(H17,F17,DV$2),Inglés!$A:$H,7,FALSE)=AJ17,1,0)</f>
        <v>#N/A</v>
      </c>
      <c r="DW17" s="138" t="e">
        <f>IF(VLOOKUP(CONCATENATE(H17,F17,DW$2),Inglés!$A:$H,7,FALSE)=AK17,1,0)</f>
        <v>#N/A</v>
      </c>
      <c r="DX17" s="138" t="e">
        <f>IF(VLOOKUP(CONCATENATE(H17,F17,DX$2),Inglés!$A:$H,7,FALSE)=AL17,1,0)</f>
        <v>#N/A</v>
      </c>
      <c r="DY17" s="138" t="e">
        <f>IF(VLOOKUP(CONCATENATE(H17,F17,DY$2),Inglés!$A:$H,7,FALSE)=AM17,1,0)</f>
        <v>#N/A</v>
      </c>
      <c r="DZ17" s="138" t="e">
        <f>IF(VLOOKUP(CONCATENATE(H17,F17,DZ$2),Inglés!$A:$H,7,FALSE)=AN17,1,0)</f>
        <v>#N/A</v>
      </c>
      <c r="EA17" s="138" t="e">
        <f>IF(VLOOKUP(CONCATENATE(H17,F17,EA$2),Inglés!$A:$H,7,FALSE)=AO17,1,0)</f>
        <v>#N/A</v>
      </c>
      <c r="EB17" s="138" t="e">
        <f>IF(VLOOKUP(CONCATENATE(H17,F17,EB$2),Matemáticas!$A:$H,7,FALSE)=AP17,1,0)</f>
        <v>#N/A</v>
      </c>
      <c r="EC17" s="138" t="e">
        <f>IF(VLOOKUP(CONCATENATE(H17,F17,EC$2),Matemáticas!$A:$H,7,FALSE)=AQ17,1,0)</f>
        <v>#N/A</v>
      </c>
      <c r="ED17" s="138" t="e">
        <f>IF(VLOOKUP(CONCATENATE(H17,F17,ED$2),Matemáticas!$A:$H,7,FALSE)=AR17,1,0)</f>
        <v>#N/A</v>
      </c>
      <c r="EE17" s="138" t="e">
        <f>IF(VLOOKUP(CONCATENATE(H17,F17,EE$2),Matemáticas!$A:$H,7,FALSE)=AS17,1,0)</f>
        <v>#N/A</v>
      </c>
      <c r="EF17" s="138" t="e">
        <f>IF(VLOOKUP(CONCATENATE(H17,F17,EF$2),Matemáticas!$A:$H,7,FALSE)=AT17,1,0)</f>
        <v>#N/A</v>
      </c>
      <c r="EG17" s="138" t="e">
        <f>IF(VLOOKUP(CONCATENATE(H17,F17,EG$2),Matemáticas!$A:$H,7,FALSE)=AU17,1,0)</f>
        <v>#N/A</v>
      </c>
      <c r="EH17" s="138" t="e">
        <f>IF(VLOOKUP(CONCATENATE(H17,F17,EH$2),Matemáticas!$A:$H,7,FALSE)=AV17,1,0)</f>
        <v>#N/A</v>
      </c>
      <c r="EI17" s="138" t="e">
        <f>IF(VLOOKUP(CONCATENATE(H17,F17,EI$2),Matemáticas!$A:$H,7,FALSE)=AW17,1,0)</f>
        <v>#N/A</v>
      </c>
      <c r="EJ17" s="138" t="e">
        <f>IF(VLOOKUP(CONCATENATE(H17,F17,EJ$2),Matemáticas!$A:$H,7,FALSE)=AX17,1,0)</f>
        <v>#N/A</v>
      </c>
      <c r="EK17" s="138" t="e">
        <f>IF(VLOOKUP(CONCATENATE(H17,F17,EK$2),Matemáticas!$A:$H,7,FALSE)=AY17,1,0)</f>
        <v>#N/A</v>
      </c>
      <c r="EL17" s="138" t="e">
        <f>IF(VLOOKUP(CONCATENATE(H17,F17,EL$2),Matemáticas!$A:$H,7,FALSE)=AZ17,1,0)</f>
        <v>#N/A</v>
      </c>
      <c r="EM17" s="138" t="e">
        <f>IF(VLOOKUP(CONCATENATE(H17,F17,EM$2),Matemáticas!$A:$H,7,FALSE)=BA17,1,0)</f>
        <v>#N/A</v>
      </c>
      <c r="EN17" s="138" t="e">
        <f>IF(VLOOKUP(CONCATENATE(H17,F17,EN$2),Matemáticas!$A:$H,7,FALSE)=BB17,1,0)</f>
        <v>#N/A</v>
      </c>
      <c r="EO17" s="138" t="e">
        <f>IF(VLOOKUP(CONCATENATE(H17,F17,EO$2),Matemáticas!$A:$H,7,FALSE)=BC17,1,0)</f>
        <v>#N/A</v>
      </c>
      <c r="EP17" s="138" t="e">
        <f>IF(VLOOKUP(CONCATENATE(H17,F17,EP$2),Matemáticas!$A:$H,7,FALSE)=BD17,1,0)</f>
        <v>#N/A</v>
      </c>
      <c r="EQ17" s="138" t="e">
        <f>IF(VLOOKUP(CONCATENATE(H17,F17,EQ$2),Matemáticas!$A:$H,7,FALSE)=BE17,1,0)</f>
        <v>#N/A</v>
      </c>
      <c r="ER17" s="138" t="e">
        <f>IF(VLOOKUP(CONCATENATE(H17,F17,ER$2),Matemáticas!$A:$H,7,FALSE)=BF17,1,0)</f>
        <v>#N/A</v>
      </c>
      <c r="ES17" s="138" t="e">
        <f>IF(VLOOKUP(CONCATENATE(H17,F17,ES$2),Matemáticas!$A:$H,7,FALSE)=BG17,1,0)</f>
        <v>#N/A</v>
      </c>
      <c r="ET17" s="138" t="e">
        <f>IF(VLOOKUP(CONCATENATE(H17,F17,ET$2),Matemáticas!$A:$H,7,FALSE)=BH17,1,0)</f>
        <v>#N/A</v>
      </c>
      <c r="EU17" s="138" t="e">
        <f>IF(VLOOKUP(CONCATENATE(H17,F17,EU$2),Matemáticas!$A:$H,7,FALSE)=BI17,1,0)</f>
        <v>#N/A</v>
      </c>
      <c r="EV17" s="138" t="e">
        <f>IF(VLOOKUP(CONCATENATE(H17,F17,EV$2),Ciencias!$A:$H,7,FALSE)=BJ17,1,0)</f>
        <v>#N/A</v>
      </c>
      <c r="EW17" s="138" t="e">
        <f>IF(VLOOKUP(CONCATENATE(H17,F17,EW$2),Ciencias!$A:$H,7,FALSE)=BK17,1,0)</f>
        <v>#N/A</v>
      </c>
      <c r="EX17" s="138" t="e">
        <f>IF(VLOOKUP(CONCATENATE(H17,F17,EX$2),Ciencias!$A:$H,7,FALSE)=BL17,1,0)</f>
        <v>#N/A</v>
      </c>
      <c r="EY17" s="138" t="e">
        <f>IF(VLOOKUP(CONCATENATE(H17,F17,EY$2),Ciencias!$A:$H,7,FALSE)=BM17,1,0)</f>
        <v>#N/A</v>
      </c>
      <c r="EZ17" s="138" t="e">
        <f>IF(VLOOKUP(CONCATENATE(H17,F17,EZ$2),Ciencias!$A:$H,7,FALSE)=BN17,1,0)</f>
        <v>#N/A</v>
      </c>
      <c r="FA17" s="138" t="e">
        <f>IF(VLOOKUP(CONCATENATE(H17,F17,FA$2),Ciencias!$A:$H,7,FALSE)=BO17,1,0)</f>
        <v>#N/A</v>
      </c>
      <c r="FB17" s="138" t="e">
        <f>IF(VLOOKUP(CONCATENATE(H17,F17,FB$2),Ciencias!$A:$H,7,FALSE)=BP17,1,0)</f>
        <v>#N/A</v>
      </c>
      <c r="FC17" s="138" t="e">
        <f>IF(VLOOKUP(CONCATENATE(H17,F17,FC$2),Ciencias!$A:$H,7,FALSE)=BQ17,1,0)</f>
        <v>#N/A</v>
      </c>
      <c r="FD17" s="138" t="e">
        <f>IF(VLOOKUP(CONCATENATE(H17,F17,FD$2),Ciencias!$A:$H,7,FALSE)=BR17,1,0)</f>
        <v>#N/A</v>
      </c>
      <c r="FE17" s="138" t="e">
        <f>IF(VLOOKUP(CONCATENATE(H17,F17,FE$2),Ciencias!$A:$H,7,FALSE)=BS17,1,0)</f>
        <v>#N/A</v>
      </c>
      <c r="FF17" s="138" t="e">
        <f>IF(VLOOKUP(CONCATENATE(H17,F17,FF$2),Ciencias!$A:$H,7,FALSE)=BT17,1,0)</f>
        <v>#N/A</v>
      </c>
      <c r="FG17" s="138" t="e">
        <f>IF(VLOOKUP(CONCATENATE(H17,F17,FG$2),Ciencias!$A:$H,7,FALSE)=BU17,1,0)</f>
        <v>#N/A</v>
      </c>
      <c r="FH17" s="138" t="e">
        <f>IF(VLOOKUP(CONCATENATE(H17,F17,FH$2),Ciencias!$A:$H,7,FALSE)=BV17,1,0)</f>
        <v>#N/A</v>
      </c>
      <c r="FI17" s="138" t="e">
        <f>IF(VLOOKUP(CONCATENATE(H17,F17,FI$2),Ciencias!$A:$H,7,FALSE)=BW17,1,0)</f>
        <v>#N/A</v>
      </c>
      <c r="FJ17" s="138" t="e">
        <f>IF(VLOOKUP(CONCATENATE(H17,F17,FJ$2),Ciencias!$A:$H,7,FALSE)=BX17,1,0)</f>
        <v>#N/A</v>
      </c>
      <c r="FK17" s="138" t="e">
        <f>IF(VLOOKUP(CONCATENATE(H17,F17,FK$2),Ciencias!$A:$H,7,FALSE)=BY17,1,0)</f>
        <v>#N/A</v>
      </c>
      <c r="FL17" s="138" t="e">
        <f>IF(VLOOKUP(CONCATENATE(H17,F17,FL$2),Ciencias!$A:$H,7,FALSE)=BZ17,1,0)</f>
        <v>#N/A</v>
      </c>
      <c r="FM17" s="138" t="e">
        <f>IF(VLOOKUP(CONCATENATE(H17,F17,FM$2),Ciencias!$A:$H,7,FALSE)=CA17,1,0)</f>
        <v>#N/A</v>
      </c>
      <c r="FN17" s="138" t="e">
        <f>IF(VLOOKUP(CONCATENATE(H17,F17,FN$2),Ciencias!$A:$H,7,FALSE)=CB17,1,0)</f>
        <v>#N/A</v>
      </c>
      <c r="FO17" s="138" t="e">
        <f>IF(VLOOKUP(CONCATENATE(H17,F17,FO$2),Ciencias!$A:$H,7,FALSE)=CC17,1,0)</f>
        <v>#N/A</v>
      </c>
      <c r="FP17" s="138" t="e">
        <f>IF(VLOOKUP(CONCATENATE(H17,F17,FP$2),GeoHis!$A:$H,7,FALSE)=CD17,1,0)</f>
        <v>#N/A</v>
      </c>
      <c r="FQ17" s="138" t="e">
        <f>IF(VLOOKUP(CONCATENATE(H17,F17,FQ$2),GeoHis!$A:$H,7,FALSE)=CE17,1,0)</f>
        <v>#N/A</v>
      </c>
      <c r="FR17" s="138" t="e">
        <f>IF(VLOOKUP(CONCATENATE(H17,F17,FR$2),GeoHis!$A:$H,7,FALSE)=CF17,1,0)</f>
        <v>#N/A</v>
      </c>
      <c r="FS17" s="138" t="e">
        <f>IF(VLOOKUP(CONCATENATE(H17,F17,FS$2),GeoHis!$A:$H,7,FALSE)=CG17,1,0)</f>
        <v>#N/A</v>
      </c>
      <c r="FT17" s="138" t="e">
        <f>IF(VLOOKUP(CONCATENATE(H17,F17,FT$2),GeoHis!$A:$H,7,FALSE)=CH17,1,0)</f>
        <v>#N/A</v>
      </c>
      <c r="FU17" s="138" t="e">
        <f>IF(VLOOKUP(CONCATENATE(H17,F17,FU$2),GeoHis!$A:$H,7,FALSE)=CI17,1,0)</f>
        <v>#N/A</v>
      </c>
      <c r="FV17" s="138" t="e">
        <f>IF(VLOOKUP(CONCATENATE(H17,F17,FV$2),GeoHis!$A:$H,7,FALSE)=CJ17,1,0)</f>
        <v>#N/A</v>
      </c>
      <c r="FW17" s="138" t="e">
        <f>IF(VLOOKUP(CONCATENATE(H17,F17,FW$2),GeoHis!$A:$H,7,FALSE)=CK17,1,0)</f>
        <v>#N/A</v>
      </c>
      <c r="FX17" s="138" t="e">
        <f>IF(VLOOKUP(CONCATENATE(H17,F17,FX$2),GeoHis!$A:$H,7,FALSE)=CL17,1,0)</f>
        <v>#N/A</v>
      </c>
      <c r="FY17" s="138" t="e">
        <f>IF(VLOOKUP(CONCATENATE(H17,F17,FY$2),GeoHis!$A:$H,7,FALSE)=CM17,1,0)</f>
        <v>#N/A</v>
      </c>
      <c r="FZ17" s="138" t="e">
        <f>IF(VLOOKUP(CONCATENATE(H17,F17,FZ$2),GeoHis!$A:$H,7,FALSE)=CN17,1,0)</f>
        <v>#N/A</v>
      </c>
      <c r="GA17" s="138" t="e">
        <f>IF(VLOOKUP(CONCATENATE(H17,F17,GA$2),GeoHis!$A:$H,7,FALSE)=CO17,1,0)</f>
        <v>#N/A</v>
      </c>
      <c r="GB17" s="138" t="e">
        <f>IF(VLOOKUP(CONCATENATE(H17,F17,GB$2),GeoHis!$A:$H,7,FALSE)=CP17,1,0)</f>
        <v>#N/A</v>
      </c>
      <c r="GC17" s="138" t="e">
        <f>IF(VLOOKUP(CONCATENATE(H17,F17,GC$2),GeoHis!$A:$H,7,FALSE)=CQ17,1,0)</f>
        <v>#N/A</v>
      </c>
      <c r="GD17" s="138" t="e">
        <f>IF(VLOOKUP(CONCATENATE(H17,F17,GD$2),GeoHis!$A:$H,7,FALSE)=CR17,1,0)</f>
        <v>#N/A</v>
      </c>
      <c r="GE17" s="135" t="str">
        <f t="shared" si="6"/>
        <v/>
      </c>
    </row>
    <row r="18" spans="1:187" x14ac:dyDescent="0.25">
      <c r="A18" s="127" t="str">
        <f>IF(C18="","",'Datos Generales'!$A$25)</f>
        <v/>
      </c>
      <c r="D18" s="126" t="str">
        <f t="shared" si="0"/>
        <v/>
      </c>
      <c r="E18" s="126">
        <f t="shared" si="1"/>
        <v>0</v>
      </c>
      <c r="F18" s="126" t="str">
        <f t="shared" si="7"/>
        <v/>
      </c>
      <c r="G18" s="126" t="str">
        <f>IF(C18="","",'Datos Generales'!$D$19)</f>
        <v/>
      </c>
      <c r="H18" s="21" t="str">
        <f>IF(C18="","",'Datos Generales'!$A$19)</f>
        <v/>
      </c>
      <c r="I18" s="126" t="str">
        <f>IF(C18="","",'Datos Generales'!$A$7)</f>
        <v/>
      </c>
      <c r="J18" s="21" t="str">
        <f>IF(C18="","",'Datos Generales'!$A$13)</f>
        <v/>
      </c>
      <c r="K18" s="21" t="str">
        <f>IF(C18="","",'Datos Generales'!$A$10)</f>
        <v/>
      </c>
      <c r="CS18" s="142" t="str">
        <f t="shared" si="2"/>
        <v/>
      </c>
      <c r="CT18" s="142" t="str">
        <f t="shared" si="3"/>
        <v/>
      </c>
      <c r="CU18" s="142" t="str">
        <f t="shared" si="4"/>
        <v/>
      </c>
      <c r="CV18" s="142" t="str">
        <f t="shared" si="5"/>
        <v/>
      </c>
      <c r="CW18" s="142" t="str">
        <f>IF(C18="","",IF('Datos Generales'!$A$19=1,AVERAGE(FP18:GD18),AVERAGE(Captura!FP18:FY18)))</f>
        <v/>
      </c>
      <c r="CX18" s="138" t="e">
        <f>IF(VLOOKUP(CONCATENATE($H$4,$F$4,CX$2),Español!$A:$H,7,FALSE)=L18,1,0)</f>
        <v>#N/A</v>
      </c>
      <c r="CY18" s="138" t="e">
        <f>IF(VLOOKUP(CONCATENATE(H18,F18,CY$2),Español!$A:$H,7,FALSE)=M18,1,0)</f>
        <v>#N/A</v>
      </c>
      <c r="CZ18" s="138" t="e">
        <f>IF(VLOOKUP(CONCATENATE(H18,F18,CZ$2),Español!$A:$H,7,FALSE)=N18,1,0)</f>
        <v>#N/A</v>
      </c>
      <c r="DA18" s="138" t="e">
        <f>IF(VLOOKUP(CONCATENATE(H18,F18,DA$2),Español!$A:$H,7,FALSE)=O18,1,0)</f>
        <v>#N/A</v>
      </c>
      <c r="DB18" s="138" t="e">
        <f>IF(VLOOKUP(CONCATENATE(H18,F18,DB$2),Español!$A:$H,7,FALSE)=P18,1,0)</f>
        <v>#N/A</v>
      </c>
      <c r="DC18" s="138" t="e">
        <f>IF(VLOOKUP(CONCATENATE(H18,F18,DC$2),Español!$A:$H,7,FALSE)=Q18,1,0)</f>
        <v>#N/A</v>
      </c>
      <c r="DD18" s="138" t="e">
        <f>IF(VLOOKUP(CONCATENATE(H18,F18,DD$2),Español!$A:$H,7,FALSE)=R18,1,0)</f>
        <v>#N/A</v>
      </c>
      <c r="DE18" s="138" t="e">
        <f>IF(VLOOKUP(CONCATENATE(H18,F18,DE$2),Español!$A:$H,7,FALSE)=S18,1,0)</f>
        <v>#N/A</v>
      </c>
      <c r="DF18" s="138" t="e">
        <f>IF(VLOOKUP(CONCATENATE(H18,F18,DF$2),Español!$A:$H,7,FALSE)=T18,1,0)</f>
        <v>#N/A</v>
      </c>
      <c r="DG18" s="138" t="e">
        <f>IF(VLOOKUP(CONCATENATE(H18,F18,DG$2),Español!$A:$H,7,FALSE)=U18,1,0)</f>
        <v>#N/A</v>
      </c>
      <c r="DH18" s="138" t="e">
        <f>IF(VLOOKUP(CONCATENATE(H18,F18,DH$2),Español!$A:$H,7,FALSE)=V18,1,0)</f>
        <v>#N/A</v>
      </c>
      <c r="DI18" s="138" t="e">
        <f>IF(VLOOKUP(CONCATENATE(H18,F18,DI$2),Español!$A:$H,7,FALSE)=W18,1,0)</f>
        <v>#N/A</v>
      </c>
      <c r="DJ18" s="138" t="e">
        <f>IF(VLOOKUP(CONCATENATE(H18,F18,DJ$2),Español!$A:$H,7,FALSE)=X18,1,0)</f>
        <v>#N/A</v>
      </c>
      <c r="DK18" s="138" t="e">
        <f>IF(VLOOKUP(CONCATENATE(H18,F18,DK$2),Español!$A:$H,7,FALSE)=Y18,1,0)</f>
        <v>#N/A</v>
      </c>
      <c r="DL18" s="138" t="e">
        <f>IF(VLOOKUP(CONCATENATE(H18,F18,DL$2),Español!$A:$H,7,FALSE)=Z18,1,0)</f>
        <v>#N/A</v>
      </c>
      <c r="DM18" s="138" t="e">
        <f>IF(VLOOKUP(CONCATENATE(H18,F18,DM$2),Español!$A:$H,7,FALSE)=AA18,1,0)</f>
        <v>#N/A</v>
      </c>
      <c r="DN18" s="138" t="e">
        <f>IF(VLOOKUP(CONCATENATE(H18,F18,DN$2),Español!$A:$H,7,FALSE)=AB18,1,0)</f>
        <v>#N/A</v>
      </c>
      <c r="DO18" s="138" t="e">
        <f>IF(VLOOKUP(CONCATENATE(H18,F18,DO$2),Español!$A:$H,7,FALSE)=AC18,1,0)</f>
        <v>#N/A</v>
      </c>
      <c r="DP18" s="138" t="e">
        <f>IF(VLOOKUP(CONCATENATE(H18,F18,DP$2),Español!$A:$H,7,FALSE)=AD18,1,0)</f>
        <v>#N/A</v>
      </c>
      <c r="DQ18" s="138" t="e">
        <f>IF(VLOOKUP(CONCATENATE(H18,F18,DQ$2),Español!$A:$H,7,FALSE)=AE18,1,0)</f>
        <v>#N/A</v>
      </c>
      <c r="DR18" s="138" t="e">
        <f>IF(VLOOKUP(CONCATENATE(H18,F18,DR$2),Inglés!$A:$H,7,FALSE)=AF18,1,0)</f>
        <v>#N/A</v>
      </c>
      <c r="DS18" s="138" t="e">
        <f>IF(VLOOKUP(CONCATENATE(H18,F18,DS$2),Inglés!$A:$H,7,FALSE)=AG18,1,0)</f>
        <v>#N/A</v>
      </c>
      <c r="DT18" s="138" t="e">
        <f>IF(VLOOKUP(CONCATENATE(H18,F18,DT$2),Inglés!$A:$H,7,FALSE)=AH18,1,0)</f>
        <v>#N/A</v>
      </c>
      <c r="DU18" s="138" t="e">
        <f>IF(VLOOKUP(CONCATENATE(H18,F18,DU$2),Inglés!$A:$H,7,FALSE)=AI18,1,0)</f>
        <v>#N/A</v>
      </c>
      <c r="DV18" s="138" t="e">
        <f>IF(VLOOKUP(CONCATENATE(H18,F18,DV$2),Inglés!$A:$H,7,FALSE)=AJ18,1,0)</f>
        <v>#N/A</v>
      </c>
      <c r="DW18" s="138" t="e">
        <f>IF(VLOOKUP(CONCATENATE(H18,F18,DW$2),Inglés!$A:$H,7,FALSE)=AK18,1,0)</f>
        <v>#N/A</v>
      </c>
      <c r="DX18" s="138" t="e">
        <f>IF(VLOOKUP(CONCATENATE(H18,F18,DX$2),Inglés!$A:$H,7,FALSE)=AL18,1,0)</f>
        <v>#N/A</v>
      </c>
      <c r="DY18" s="138" t="e">
        <f>IF(VLOOKUP(CONCATENATE(H18,F18,DY$2),Inglés!$A:$H,7,FALSE)=AM18,1,0)</f>
        <v>#N/A</v>
      </c>
      <c r="DZ18" s="138" t="e">
        <f>IF(VLOOKUP(CONCATENATE(H18,F18,DZ$2),Inglés!$A:$H,7,FALSE)=AN18,1,0)</f>
        <v>#N/A</v>
      </c>
      <c r="EA18" s="138" t="e">
        <f>IF(VLOOKUP(CONCATENATE(H18,F18,EA$2),Inglés!$A:$H,7,FALSE)=AO18,1,0)</f>
        <v>#N/A</v>
      </c>
      <c r="EB18" s="138" t="e">
        <f>IF(VLOOKUP(CONCATENATE(H18,F18,EB$2),Matemáticas!$A:$H,7,FALSE)=AP18,1,0)</f>
        <v>#N/A</v>
      </c>
      <c r="EC18" s="138" t="e">
        <f>IF(VLOOKUP(CONCATENATE(H18,F18,EC$2),Matemáticas!$A:$H,7,FALSE)=AQ18,1,0)</f>
        <v>#N/A</v>
      </c>
      <c r="ED18" s="138" t="e">
        <f>IF(VLOOKUP(CONCATENATE(H18,F18,ED$2),Matemáticas!$A:$H,7,FALSE)=AR18,1,0)</f>
        <v>#N/A</v>
      </c>
      <c r="EE18" s="138" t="e">
        <f>IF(VLOOKUP(CONCATENATE(H18,F18,EE$2),Matemáticas!$A:$H,7,FALSE)=AS18,1,0)</f>
        <v>#N/A</v>
      </c>
      <c r="EF18" s="138" t="e">
        <f>IF(VLOOKUP(CONCATENATE(H18,F18,EF$2),Matemáticas!$A:$H,7,FALSE)=AT18,1,0)</f>
        <v>#N/A</v>
      </c>
      <c r="EG18" s="138" t="e">
        <f>IF(VLOOKUP(CONCATENATE(H18,F18,EG$2),Matemáticas!$A:$H,7,FALSE)=AU18,1,0)</f>
        <v>#N/A</v>
      </c>
      <c r="EH18" s="138" t="e">
        <f>IF(VLOOKUP(CONCATENATE(H18,F18,EH$2),Matemáticas!$A:$H,7,FALSE)=AV18,1,0)</f>
        <v>#N/A</v>
      </c>
      <c r="EI18" s="138" t="e">
        <f>IF(VLOOKUP(CONCATENATE(H18,F18,EI$2),Matemáticas!$A:$H,7,FALSE)=AW18,1,0)</f>
        <v>#N/A</v>
      </c>
      <c r="EJ18" s="138" t="e">
        <f>IF(VLOOKUP(CONCATENATE(H18,F18,EJ$2),Matemáticas!$A:$H,7,FALSE)=AX18,1,0)</f>
        <v>#N/A</v>
      </c>
      <c r="EK18" s="138" t="e">
        <f>IF(VLOOKUP(CONCATENATE(H18,F18,EK$2),Matemáticas!$A:$H,7,FALSE)=AY18,1,0)</f>
        <v>#N/A</v>
      </c>
      <c r="EL18" s="138" t="e">
        <f>IF(VLOOKUP(CONCATENATE(H18,F18,EL$2),Matemáticas!$A:$H,7,FALSE)=AZ18,1,0)</f>
        <v>#N/A</v>
      </c>
      <c r="EM18" s="138" t="e">
        <f>IF(VLOOKUP(CONCATENATE(H18,F18,EM$2),Matemáticas!$A:$H,7,FALSE)=BA18,1,0)</f>
        <v>#N/A</v>
      </c>
      <c r="EN18" s="138" t="e">
        <f>IF(VLOOKUP(CONCATENATE(H18,F18,EN$2),Matemáticas!$A:$H,7,FALSE)=BB18,1,0)</f>
        <v>#N/A</v>
      </c>
      <c r="EO18" s="138" t="e">
        <f>IF(VLOOKUP(CONCATENATE(H18,F18,EO$2),Matemáticas!$A:$H,7,FALSE)=BC18,1,0)</f>
        <v>#N/A</v>
      </c>
      <c r="EP18" s="138" t="e">
        <f>IF(VLOOKUP(CONCATENATE(H18,F18,EP$2),Matemáticas!$A:$H,7,FALSE)=BD18,1,0)</f>
        <v>#N/A</v>
      </c>
      <c r="EQ18" s="138" t="e">
        <f>IF(VLOOKUP(CONCATENATE(H18,F18,EQ$2),Matemáticas!$A:$H,7,FALSE)=BE18,1,0)</f>
        <v>#N/A</v>
      </c>
      <c r="ER18" s="138" t="e">
        <f>IF(VLOOKUP(CONCATENATE(H18,F18,ER$2),Matemáticas!$A:$H,7,FALSE)=BF18,1,0)</f>
        <v>#N/A</v>
      </c>
      <c r="ES18" s="138" t="e">
        <f>IF(VLOOKUP(CONCATENATE(H18,F18,ES$2),Matemáticas!$A:$H,7,FALSE)=BG18,1,0)</f>
        <v>#N/A</v>
      </c>
      <c r="ET18" s="138" t="e">
        <f>IF(VLOOKUP(CONCATENATE(H18,F18,ET$2),Matemáticas!$A:$H,7,FALSE)=BH18,1,0)</f>
        <v>#N/A</v>
      </c>
      <c r="EU18" s="138" t="e">
        <f>IF(VLOOKUP(CONCATENATE(H18,F18,EU$2),Matemáticas!$A:$H,7,FALSE)=BI18,1,0)</f>
        <v>#N/A</v>
      </c>
      <c r="EV18" s="138" t="e">
        <f>IF(VLOOKUP(CONCATENATE(H18,F18,EV$2),Ciencias!$A:$H,7,FALSE)=BJ18,1,0)</f>
        <v>#N/A</v>
      </c>
      <c r="EW18" s="138" t="e">
        <f>IF(VLOOKUP(CONCATENATE(H18,F18,EW$2),Ciencias!$A:$H,7,FALSE)=BK18,1,0)</f>
        <v>#N/A</v>
      </c>
      <c r="EX18" s="138" t="e">
        <f>IF(VLOOKUP(CONCATENATE(H18,F18,EX$2),Ciencias!$A:$H,7,FALSE)=BL18,1,0)</f>
        <v>#N/A</v>
      </c>
      <c r="EY18" s="138" t="e">
        <f>IF(VLOOKUP(CONCATENATE(H18,F18,EY$2),Ciencias!$A:$H,7,FALSE)=BM18,1,0)</f>
        <v>#N/A</v>
      </c>
      <c r="EZ18" s="138" t="e">
        <f>IF(VLOOKUP(CONCATENATE(H18,F18,EZ$2),Ciencias!$A:$H,7,FALSE)=BN18,1,0)</f>
        <v>#N/A</v>
      </c>
      <c r="FA18" s="138" t="e">
        <f>IF(VLOOKUP(CONCATENATE(H18,F18,FA$2),Ciencias!$A:$H,7,FALSE)=BO18,1,0)</f>
        <v>#N/A</v>
      </c>
      <c r="FB18" s="138" t="e">
        <f>IF(VLOOKUP(CONCATENATE(H18,F18,FB$2),Ciencias!$A:$H,7,FALSE)=BP18,1,0)</f>
        <v>#N/A</v>
      </c>
      <c r="FC18" s="138" t="e">
        <f>IF(VLOOKUP(CONCATENATE(H18,F18,FC$2),Ciencias!$A:$H,7,FALSE)=BQ18,1,0)</f>
        <v>#N/A</v>
      </c>
      <c r="FD18" s="138" t="e">
        <f>IF(VLOOKUP(CONCATENATE(H18,F18,FD$2),Ciencias!$A:$H,7,FALSE)=BR18,1,0)</f>
        <v>#N/A</v>
      </c>
      <c r="FE18" s="138" t="e">
        <f>IF(VLOOKUP(CONCATENATE(H18,F18,FE$2),Ciencias!$A:$H,7,FALSE)=BS18,1,0)</f>
        <v>#N/A</v>
      </c>
      <c r="FF18" s="138" t="e">
        <f>IF(VLOOKUP(CONCATENATE(H18,F18,FF$2),Ciencias!$A:$H,7,FALSE)=BT18,1,0)</f>
        <v>#N/A</v>
      </c>
      <c r="FG18" s="138" t="e">
        <f>IF(VLOOKUP(CONCATENATE(H18,F18,FG$2),Ciencias!$A:$H,7,FALSE)=BU18,1,0)</f>
        <v>#N/A</v>
      </c>
      <c r="FH18" s="138" t="e">
        <f>IF(VLOOKUP(CONCATENATE(H18,F18,FH$2),Ciencias!$A:$H,7,FALSE)=BV18,1,0)</f>
        <v>#N/A</v>
      </c>
      <c r="FI18" s="138" t="e">
        <f>IF(VLOOKUP(CONCATENATE(H18,F18,FI$2),Ciencias!$A:$H,7,FALSE)=BW18,1,0)</f>
        <v>#N/A</v>
      </c>
      <c r="FJ18" s="138" t="e">
        <f>IF(VLOOKUP(CONCATENATE(H18,F18,FJ$2),Ciencias!$A:$H,7,FALSE)=BX18,1,0)</f>
        <v>#N/A</v>
      </c>
      <c r="FK18" s="138" t="e">
        <f>IF(VLOOKUP(CONCATENATE(H18,F18,FK$2),Ciencias!$A:$H,7,FALSE)=BY18,1,0)</f>
        <v>#N/A</v>
      </c>
      <c r="FL18" s="138" t="e">
        <f>IF(VLOOKUP(CONCATENATE(H18,F18,FL$2),Ciencias!$A:$H,7,FALSE)=BZ18,1,0)</f>
        <v>#N/A</v>
      </c>
      <c r="FM18" s="138" t="e">
        <f>IF(VLOOKUP(CONCATENATE(H18,F18,FM$2),Ciencias!$A:$H,7,FALSE)=CA18,1,0)</f>
        <v>#N/A</v>
      </c>
      <c r="FN18" s="138" t="e">
        <f>IF(VLOOKUP(CONCATENATE(H18,F18,FN$2),Ciencias!$A:$H,7,FALSE)=CB18,1,0)</f>
        <v>#N/A</v>
      </c>
      <c r="FO18" s="138" t="e">
        <f>IF(VLOOKUP(CONCATENATE(H18,F18,FO$2),Ciencias!$A:$H,7,FALSE)=CC18,1,0)</f>
        <v>#N/A</v>
      </c>
      <c r="FP18" s="138" t="e">
        <f>IF(VLOOKUP(CONCATENATE(H18,F18,FP$2),GeoHis!$A:$H,7,FALSE)=CD18,1,0)</f>
        <v>#N/A</v>
      </c>
      <c r="FQ18" s="138" t="e">
        <f>IF(VLOOKUP(CONCATENATE(H18,F18,FQ$2),GeoHis!$A:$H,7,FALSE)=CE18,1,0)</f>
        <v>#N/A</v>
      </c>
      <c r="FR18" s="138" t="e">
        <f>IF(VLOOKUP(CONCATENATE(H18,F18,FR$2),GeoHis!$A:$H,7,FALSE)=CF18,1,0)</f>
        <v>#N/A</v>
      </c>
      <c r="FS18" s="138" t="e">
        <f>IF(VLOOKUP(CONCATENATE(H18,F18,FS$2),GeoHis!$A:$H,7,FALSE)=CG18,1,0)</f>
        <v>#N/A</v>
      </c>
      <c r="FT18" s="138" t="e">
        <f>IF(VLOOKUP(CONCATENATE(H18,F18,FT$2),GeoHis!$A:$H,7,FALSE)=CH18,1,0)</f>
        <v>#N/A</v>
      </c>
      <c r="FU18" s="138" t="e">
        <f>IF(VLOOKUP(CONCATENATE(H18,F18,FU$2),GeoHis!$A:$H,7,FALSE)=CI18,1,0)</f>
        <v>#N/A</v>
      </c>
      <c r="FV18" s="138" t="e">
        <f>IF(VLOOKUP(CONCATENATE(H18,F18,FV$2),GeoHis!$A:$H,7,FALSE)=CJ18,1,0)</f>
        <v>#N/A</v>
      </c>
      <c r="FW18" s="138" t="e">
        <f>IF(VLOOKUP(CONCATENATE(H18,F18,FW$2),GeoHis!$A:$H,7,FALSE)=CK18,1,0)</f>
        <v>#N/A</v>
      </c>
      <c r="FX18" s="138" t="e">
        <f>IF(VLOOKUP(CONCATENATE(H18,F18,FX$2),GeoHis!$A:$H,7,FALSE)=CL18,1,0)</f>
        <v>#N/A</v>
      </c>
      <c r="FY18" s="138" t="e">
        <f>IF(VLOOKUP(CONCATENATE(H18,F18,FY$2),GeoHis!$A:$H,7,FALSE)=CM18,1,0)</f>
        <v>#N/A</v>
      </c>
      <c r="FZ18" s="138" t="e">
        <f>IF(VLOOKUP(CONCATENATE(H18,F18,FZ$2),GeoHis!$A:$H,7,FALSE)=CN18,1,0)</f>
        <v>#N/A</v>
      </c>
      <c r="GA18" s="138" t="e">
        <f>IF(VLOOKUP(CONCATENATE(H18,F18,GA$2),GeoHis!$A:$H,7,FALSE)=CO18,1,0)</f>
        <v>#N/A</v>
      </c>
      <c r="GB18" s="138" t="e">
        <f>IF(VLOOKUP(CONCATENATE(H18,F18,GB$2),GeoHis!$A:$H,7,FALSE)=CP18,1,0)</f>
        <v>#N/A</v>
      </c>
      <c r="GC18" s="138" t="e">
        <f>IF(VLOOKUP(CONCATENATE(H18,F18,GC$2),GeoHis!$A:$H,7,FALSE)=CQ18,1,0)</f>
        <v>#N/A</v>
      </c>
      <c r="GD18" s="138" t="e">
        <f>IF(VLOOKUP(CONCATENATE(H18,F18,GD$2),GeoHis!$A:$H,7,FALSE)=CR18,1,0)</f>
        <v>#N/A</v>
      </c>
      <c r="GE18" s="135" t="str">
        <f t="shared" si="6"/>
        <v/>
      </c>
    </row>
    <row r="19" spans="1:187" x14ac:dyDescent="0.25">
      <c r="A19" s="127" t="str">
        <f>IF(C19="","",'Datos Generales'!$A$25)</f>
        <v/>
      </c>
      <c r="D19" s="126" t="str">
        <f t="shared" si="0"/>
        <v/>
      </c>
      <c r="E19" s="126">
        <f t="shared" si="1"/>
        <v>0</v>
      </c>
      <c r="F19" s="126" t="str">
        <f t="shared" si="7"/>
        <v/>
      </c>
      <c r="G19" s="126" t="str">
        <f>IF(C19="","",'Datos Generales'!$D$19)</f>
        <v/>
      </c>
      <c r="H19" s="21" t="str">
        <f>IF(C19="","",'Datos Generales'!$A$19)</f>
        <v/>
      </c>
      <c r="I19" s="126" t="str">
        <f>IF(C19="","",'Datos Generales'!$A$7)</f>
        <v/>
      </c>
      <c r="J19" s="21" t="str">
        <f>IF(C19="","",'Datos Generales'!$A$13)</f>
        <v/>
      </c>
      <c r="K19" s="21" t="str">
        <f>IF(C19="","",'Datos Generales'!$A$10)</f>
        <v/>
      </c>
      <c r="CS19" s="142" t="str">
        <f t="shared" si="2"/>
        <v/>
      </c>
      <c r="CT19" s="142" t="str">
        <f t="shared" si="3"/>
        <v/>
      </c>
      <c r="CU19" s="142" t="str">
        <f t="shared" si="4"/>
        <v/>
      </c>
      <c r="CV19" s="142" t="str">
        <f t="shared" si="5"/>
        <v/>
      </c>
      <c r="CW19" s="142" t="str">
        <f>IF(C19="","",IF('Datos Generales'!$A$19=1,AVERAGE(FP19:GD19),AVERAGE(Captura!FP19:FY19)))</f>
        <v/>
      </c>
      <c r="CX19" s="138" t="e">
        <f>IF(VLOOKUP(CONCATENATE($H$4,$F$4,CX$2),Español!$A:$H,7,FALSE)=L19,1,0)</f>
        <v>#N/A</v>
      </c>
      <c r="CY19" s="138" t="e">
        <f>IF(VLOOKUP(CONCATENATE(H19,F19,CY$2),Español!$A:$H,7,FALSE)=M19,1,0)</f>
        <v>#N/A</v>
      </c>
      <c r="CZ19" s="138" t="e">
        <f>IF(VLOOKUP(CONCATENATE(H19,F19,CZ$2),Español!$A:$H,7,FALSE)=N19,1,0)</f>
        <v>#N/A</v>
      </c>
      <c r="DA19" s="138" t="e">
        <f>IF(VLOOKUP(CONCATENATE(H19,F19,DA$2),Español!$A:$H,7,FALSE)=O19,1,0)</f>
        <v>#N/A</v>
      </c>
      <c r="DB19" s="138" t="e">
        <f>IF(VLOOKUP(CONCATENATE(H19,F19,DB$2),Español!$A:$H,7,FALSE)=P19,1,0)</f>
        <v>#N/A</v>
      </c>
      <c r="DC19" s="138" t="e">
        <f>IF(VLOOKUP(CONCATENATE(H19,F19,DC$2),Español!$A:$H,7,FALSE)=Q19,1,0)</f>
        <v>#N/A</v>
      </c>
      <c r="DD19" s="138" t="e">
        <f>IF(VLOOKUP(CONCATENATE(H19,F19,DD$2),Español!$A:$H,7,FALSE)=R19,1,0)</f>
        <v>#N/A</v>
      </c>
      <c r="DE19" s="138" t="e">
        <f>IF(VLOOKUP(CONCATENATE(H19,F19,DE$2),Español!$A:$H,7,FALSE)=S19,1,0)</f>
        <v>#N/A</v>
      </c>
      <c r="DF19" s="138" t="e">
        <f>IF(VLOOKUP(CONCATENATE(H19,F19,DF$2),Español!$A:$H,7,FALSE)=T19,1,0)</f>
        <v>#N/A</v>
      </c>
      <c r="DG19" s="138" t="e">
        <f>IF(VLOOKUP(CONCATENATE(H19,F19,DG$2),Español!$A:$H,7,FALSE)=U19,1,0)</f>
        <v>#N/A</v>
      </c>
      <c r="DH19" s="138" t="e">
        <f>IF(VLOOKUP(CONCATENATE(H19,F19,DH$2),Español!$A:$H,7,FALSE)=V19,1,0)</f>
        <v>#N/A</v>
      </c>
      <c r="DI19" s="138" t="e">
        <f>IF(VLOOKUP(CONCATENATE(H19,F19,DI$2),Español!$A:$H,7,FALSE)=W19,1,0)</f>
        <v>#N/A</v>
      </c>
      <c r="DJ19" s="138" t="e">
        <f>IF(VLOOKUP(CONCATENATE(H19,F19,DJ$2),Español!$A:$H,7,FALSE)=X19,1,0)</f>
        <v>#N/A</v>
      </c>
      <c r="DK19" s="138" t="e">
        <f>IF(VLOOKUP(CONCATENATE(H19,F19,DK$2),Español!$A:$H,7,FALSE)=Y19,1,0)</f>
        <v>#N/A</v>
      </c>
      <c r="DL19" s="138" t="e">
        <f>IF(VLOOKUP(CONCATENATE(H19,F19,DL$2),Español!$A:$H,7,FALSE)=Z19,1,0)</f>
        <v>#N/A</v>
      </c>
      <c r="DM19" s="138" t="e">
        <f>IF(VLOOKUP(CONCATENATE(H19,F19,DM$2),Español!$A:$H,7,FALSE)=AA19,1,0)</f>
        <v>#N/A</v>
      </c>
      <c r="DN19" s="138" t="e">
        <f>IF(VLOOKUP(CONCATENATE(H19,F19,DN$2),Español!$A:$H,7,FALSE)=AB19,1,0)</f>
        <v>#N/A</v>
      </c>
      <c r="DO19" s="138" t="e">
        <f>IF(VLOOKUP(CONCATENATE(H19,F19,DO$2),Español!$A:$H,7,FALSE)=AC19,1,0)</f>
        <v>#N/A</v>
      </c>
      <c r="DP19" s="138" t="e">
        <f>IF(VLOOKUP(CONCATENATE(H19,F19,DP$2),Español!$A:$H,7,FALSE)=AD19,1,0)</f>
        <v>#N/A</v>
      </c>
      <c r="DQ19" s="138" t="e">
        <f>IF(VLOOKUP(CONCATENATE(H19,F19,DQ$2),Español!$A:$H,7,FALSE)=AE19,1,0)</f>
        <v>#N/A</v>
      </c>
      <c r="DR19" s="138" t="e">
        <f>IF(VLOOKUP(CONCATENATE(H19,F19,DR$2),Inglés!$A:$H,7,FALSE)=AF19,1,0)</f>
        <v>#N/A</v>
      </c>
      <c r="DS19" s="138" t="e">
        <f>IF(VLOOKUP(CONCATENATE(H19,F19,DS$2),Inglés!$A:$H,7,FALSE)=AG19,1,0)</f>
        <v>#N/A</v>
      </c>
      <c r="DT19" s="138" t="e">
        <f>IF(VLOOKUP(CONCATENATE(H19,F19,DT$2),Inglés!$A:$H,7,FALSE)=AH19,1,0)</f>
        <v>#N/A</v>
      </c>
      <c r="DU19" s="138" t="e">
        <f>IF(VLOOKUP(CONCATENATE(H19,F19,DU$2),Inglés!$A:$H,7,FALSE)=AI19,1,0)</f>
        <v>#N/A</v>
      </c>
      <c r="DV19" s="138" t="e">
        <f>IF(VLOOKUP(CONCATENATE(H19,F19,DV$2),Inglés!$A:$H,7,FALSE)=AJ19,1,0)</f>
        <v>#N/A</v>
      </c>
      <c r="DW19" s="138" t="e">
        <f>IF(VLOOKUP(CONCATENATE(H19,F19,DW$2),Inglés!$A:$H,7,FALSE)=AK19,1,0)</f>
        <v>#N/A</v>
      </c>
      <c r="DX19" s="138" t="e">
        <f>IF(VLOOKUP(CONCATENATE(H19,F19,DX$2),Inglés!$A:$H,7,FALSE)=AL19,1,0)</f>
        <v>#N/A</v>
      </c>
      <c r="DY19" s="138" t="e">
        <f>IF(VLOOKUP(CONCATENATE(H19,F19,DY$2),Inglés!$A:$H,7,FALSE)=AM19,1,0)</f>
        <v>#N/A</v>
      </c>
      <c r="DZ19" s="138" t="e">
        <f>IF(VLOOKUP(CONCATENATE(H19,F19,DZ$2),Inglés!$A:$H,7,FALSE)=AN19,1,0)</f>
        <v>#N/A</v>
      </c>
      <c r="EA19" s="138" t="e">
        <f>IF(VLOOKUP(CONCATENATE(H19,F19,EA$2),Inglés!$A:$H,7,FALSE)=AO19,1,0)</f>
        <v>#N/A</v>
      </c>
      <c r="EB19" s="138" t="e">
        <f>IF(VLOOKUP(CONCATENATE(H19,F19,EB$2),Matemáticas!$A:$H,7,FALSE)=AP19,1,0)</f>
        <v>#N/A</v>
      </c>
      <c r="EC19" s="138" t="e">
        <f>IF(VLOOKUP(CONCATENATE(H19,F19,EC$2),Matemáticas!$A:$H,7,FALSE)=AQ19,1,0)</f>
        <v>#N/A</v>
      </c>
      <c r="ED19" s="138" t="e">
        <f>IF(VLOOKUP(CONCATENATE(H19,F19,ED$2),Matemáticas!$A:$H,7,FALSE)=AR19,1,0)</f>
        <v>#N/A</v>
      </c>
      <c r="EE19" s="138" t="e">
        <f>IF(VLOOKUP(CONCATENATE(H19,F19,EE$2),Matemáticas!$A:$H,7,FALSE)=AS19,1,0)</f>
        <v>#N/A</v>
      </c>
      <c r="EF19" s="138" t="e">
        <f>IF(VLOOKUP(CONCATENATE(H19,F19,EF$2),Matemáticas!$A:$H,7,FALSE)=AT19,1,0)</f>
        <v>#N/A</v>
      </c>
      <c r="EG19" s="138" t="e">
        <f>IF(VLOOKUP(CONCATENATE(H19,F19,EG$2),Matemáticas!$A:$H,7,FALSE)=AU19,1,0)</f>
        <v>#N/A</v>
      </c>
      <c r="EH19" s="138" t="e">
        <f>IF(VLOOKUP(CONCATENATE(H19,F19,EH$2),Matemáticas!$A:$H,7,FALSE)=AV19,1,0)</f>
        <v>#N/A</v>
      </c>
      <c r="EI19" s="138" t="e">
        <f>IF(VLOOKUP(CONCATENATE(H19,F19,EI$2),Matemáticas!$A:$H,7,FALSE)=AW19,1,0)</f>
        <v>#N/A</v>
      </c>
      <c r="EJ19" s="138" t="e">
        <f>IF(VLOOKUP(CONCATENATE(H19,F19,EJ$2),Matemáticas!$A:$H,7,FALSE)=AX19,1,0)</f>
        <v>#N/A</v>
      </c>
      <c r="EK19" s="138" t="e">
        <f>IF(VLOOKUP(CONCATENATE(H19,F19,EK$2),Matemáticas!$A:$H,7,FALSE)=AY19,1,0)</f>
        <v>#N/A</v>
      </c>
      <c r="EL19" s="138" t="e">
        <f>IF(VLOOKUP(CONCATENATE(H19,F19,EL$2),Matemáticas!$A:$H,7,FALSE)=AZ19,1,0)</f>
        <v>#N/A</v>
      </c>
      <c r="EM19" s="138" t="e">
        <f>IF(VLOOKUP(CONCATENATE(H19,F19,EM$2),Matemáticas!$A:$H,7,FALSE)=BA19,1,0)</f>
        <v>#N/A</v>
      </c>
      <c r="EN19" s="138" t="e">
        <f>IF(VLOOKUP(CONCATENATE(H19,F19,EN$2),Matemáticas!$A:$H,7,FALSE)=BB19,1,0)</f>
        <v>#N/A</v>
      </c>
      <c r="EO19" s="138" t="e">
        <f>IF(VLOOKUP(CONCATENATE(H19,F19,EO$2),Matemáticas!$A:$H,7,FALSE)=BC19,1,0)</f>
        <v>#N/A</v>
      </c>
      <c r="EP19" s="138" t="e">
        <f>IF(VLOOKUP(CONCATENATE(H19,F19,EP$2),Matemáticas!$A:$H,7,FALSE)=BD19,1,0)</f>
        <v>#N/A</v>
      </c>
      <c r="EQ19" s="138" t="e">
        <f>IF(VLOOKUP(CONCATENATE(H19,F19,EQ$2),Matemáticas!$A:$H,7,FALSE)=BE19,1,0)</f>
        <v>#N/A</v>
      </c>
      <c r="ER19" s="138" t="e">
        <f>IF(VLOOKUP(CONCATENATE(H19,F19,ER$2),Matemáticas!$A:$H,7,FALSE)=BF19,1,0)</f>
        <v>#N/A</v>
      </c>
      <c r="ES19" s="138" t="e">
        <f>IF(VLOOKUP(CONCATENATE(H19,F19,ES$2),Matemáticas!$A:$H,7,FALSE)=BG19,1,0)</f>
        <v>#N/A</v>
      </c>
      <c r="ET19" s="138" t="e">
        <f>IF(VLOOKUP(CONCATENATE(H19,F19,ET$2),Matemáticas!$A:$H,7,FALSE)=BH19,1,0)</f>
        <v>#N/A</v>
      </c>
      <c r="EU19" s="138" t="e">
        <f>IF(VLOOKUP(CONCATENATE(H19,F19,EU$2),Matemáticas!$A:$H,7,FALSE)=BI19,1,0)</f>
        <v>#N/A</v>
      </c>
      <c r="EV19" s="138" t="e">
        <f>IF(VLOOKUP(CONCATENATE(H19,F19,EV$2),Ciencias!$A:$H,7,FALSE)=BJ19,1,0)</f>
        <v>#N/A</v>
      </c>
      <c r="EW19" s="138" t="e">
        <f>IF(VLOOKUP(CONCATENATE(H19,F19,EW$2),Ciencias!$A:$H,7,FALSE)=BK19,1,0)</f>
        <v>#N/A</v>
      </c>
      <c r="EX19" s="138" t="e">
        <f>IF(VLOOKUP(CONCATENATE(H19,F19,EX$2),Ciencias!$A:$H,7,FALSE)=BL19,1,0)</f>
        <v>#N/A</v>
      </c>
      <c r="EY19" s="138" t="e">
        <f>IF(VLOOKUP(CONCATENATE(H19,F19,EY$2),Ciencias!$A:$H,7,FALSE)=BM19,1,0)</f>
        <v>#N/A</v>
      </c>
      <c r="EZ19" s="138" t="e">
        <f>IF(VLOOKUP(CONCATENATE(H19,F19,EZ$2),Ciencias!$A:$H,7,FALSE)=BN19,1,0)</f>
        <v>#N/A</v>
      </c>
      <c r="FA19" s="138" t="e">
        <f>IF(VLOOKUP(CONCATENATE(H19,F19,FA$2),Ciencias!$A:$H,7,FALSE)=BO19,1,0)</f>
        <v>#N/A</v>
      </c>
      <c r="FB19" s="138" t="e">
        <f>IF(VLOOKUP(CONCATENATE(H19,F19,FB$2),Ciencias!$A:$H,7,FALSE)=BP19,1,0)</f>
        <v>#N/A</v>
      </c>
      <c r="FC19" s="138" t="e">
        <f>IF(VLOOKUP(CONCATENATE(H19,F19,FC$2),Ciencias!$A:$H,7,FALSE)=BQ19,1,0)</f>
        <v>#N/A</v>
      </c>
      <c r="FD19" s="138" t="e">
        <f>IF(VLOOKUP(CONCATENATE(H19,F19,FD$2),Ciencias!$A:$H,7,FALSE)=BR19,1,0)</f>
        <v>#N/A</v>
      </c>
      <c r="FE19" s="138" t="e">
        <f>IF(VLOOKUP(CONCATENATE(H19,F19,FE$2),Ciencias!$A:$H,7,FALSE)=BS19,1,0)</f>
        <v>#N/A</v>
      </c>
      <c r="FF19" s="138" t="e">
        <f>IF(VLOOKUP(CONCATENATE(H19,F19,FF$2),Ciencias!$A:$H,7,FALSE)=BT19,1,0)</f>
        <v>#N/A</v>
      </c>
      <c r="FG19" s="138" t="e">
        <f>IF(VLOOKUP(CONCATENATE(H19,F19,FG$2),Ciencias!$A:$H,7,FALSE)=BU19,1,0)</f>
        <v>#N/A</v>
      </c>
      <c r="FH19" s="138" t="e">
        <f>IF(VLOOKUP(CONCATENATE(H19,F19,FH$2),Ciencias!$A:$H,7,FALSE)=BV19,1,0)</f>
        <v>#N/A</v>
      </c>
      <c r="FI19" s="138" t="e">
        <f>IF(VLOOKUP(CONCATENATE(H19,F19,FI$2),Ciencias!$A:$H,7,FALSE)=BW19,1,0)</f>
        <v>#N/A</v>
      </c>
      <c r="FJ19" s="138" t="e">
        <f>IF(VLOOKUP(CONCATENATE(H19,F19,FJ$2),Ciencias!$A:$H,7,FALSE)=BX19,1,0)</f>
        <v>#N/A</v>
      </c>
      <c r="FK19" s="138" t="e">
        <f>IF(VLOOKUP(CONCATENATE(H19,F19,FK$2),Ciencias!$A:$H,7,FALSE)=BY19,1,0)</f>
        <v>#N/A</v>
      </c>
      <c r="FL19" s="138" t="e">
        <f>IF(VLOOKUP(CONCATENATE(H19,F19,FL$2),Ciencias!$A:$H,7,FALSE)=BZ19,1,0)</f>
        <v>#N/A</v>
      </c>
      <c r="FM19" s="138" t="e">
        <f>IF(VLOOKUP(CONCATENATE(H19,F19,FM$2),Ciencias!$A:$H,7,FALSE)=CA19,1,0)</f>
        <v>#N/A</v>
      </c>
      <c r="FN19" s="138" t="e">
        <f>IF(VLOOKUP(CONCATENATE(H19,F19,FN$2),Ciencias!$A:$H,7,FALSE)=CB19,1,0)</f>
        <v>#N/A</v>
      </c>
      <c r="FO19" s="138" t="e">
        <f>IF(VLOOKUP(CONCATENATE(H19,F19,FO$2),Ciencias!$A:$H,7,FALSE)=CC19,1,0)</f>
        <v>#N/A</v>
      </c>
      <c r="FP19" s="138" t="e">
        <f>IF(VLOOKUP(CONCATENATE(H19,F19,FP$2),GeoHis!$A:$H,7,FALSE)=CD19,1,0)</f>
        <v>#N/A</v>
      </c>
      <c r="FQ19" s="138" t="e">
        <f>IF(VLOOKUP(CONCATENATE(H19,F19,FQ$2),GeoHis!$A:$H,7,FALSE)=CE19,1,0)</f>
        <v>#N/A</v>
      </c>
      <c r="FR19" s="138" t="e">
        <f>IF(VLOOKUP(CONCATENATE(H19,F19,FR$2),GeoHis!$A:$H,7,FALSE)=CF19,1,0)</f>
        <v>#N/A</v>
      </c>
      <c r="FS19" s="138" t="e">
        <f>IF(VLOOKUP(CONCATENATE(H19,F19,FS$2),GeoHis!$A:$H,7,FALSE)=CG19,1,0)</f>
        <v>#N/A</v>
      </c>
      <c r="FT19" s="138" t="e">
        <f>IF(VLOOKUP(CONCATENATE(H19,F19,FT$2),GeoHis!$A:$H,7,FALSE)=CH19,1,0)</f>
        <v>#N/A</v>
      </c>
      <c r="FU19" s="138" t="e">
        <f>IF(VLOOKUP(CONCATENATE(H19,F19,FU$2),GeoHis!$A:$H,7,FALSE)=CI19,1,0)</f>
        <v>#N/A</v>
      </c>
      <c r="FV19" s="138" t="e">
        <f>IF(VLOOKUP(CONCATENATE(H19,F19,FV$2),GeoHis!$A:$H,7,FALSE)=CJ19,1,0)</f>
        <v>#N/A</v>
      </c>
      <c r="FW19" s="138" t="e">
        <f>IF(VLOOKUP(CONCATENATE(H19,F19,FW$2),GeoHis!$A:$H,7,FALSE)=CK19,1,0)</f>
        <v>#N/A</v>
      </c>
      <c r="FX19" s="138" t="e">
        <f>IF(VLOOKUP(CONCATENATE(H19,F19,FX$2),GeoHis!$A:$H,7,FALSE)=CL19,1,0)</f>
        <v>#N/A</v>
      </c>
      <c r="FY19" s="138" t="e">
        <f>IF(VLOOKUP(CONCATENATE(H19,F19,FY$2),GeoHis!$A:$H,7,FALSE)=CM19,1,0)</f>
        <v>#N/A</v>
      </c>
      <c r="FZ19" s="138" t="e">
        <f>IF(VLOOKUP(CONCATENATE(H19,F19,FZ$2),GeoHis!$A:$H,7,FALSE)=CN19,1,0)</f>
        <v>#N/A</v>
      </c>
      <c r="GA19" s="138" t="e">
        <f>IF(VLOOKUP(CONCATENATE(H19,F19,GA$2),GeoHis!$A:$H,7,FALSE)=CO19,1,0)</f>
        <v>#N/A</v>
      </c>
      <c r="GB19" s="138" t="e">
        <f>IF(VLOOKUP(CONCATENATE(H19,F19,GB$2),GeoHis!$A:$H,7,FALSE)=CP19,1,0)</f>
        <v>#N/A</v>
      </c>
      <c r="GC19" s="138" t="e">
        <f>IF(VLOOKUP(CONCATENATE(H19,F19,GC$2),GeoHis!$A:$H,7,FALSE)=CQ19,1,0)</f>
        <v>#N/A</v>
      </c>
      <c r="GD19" s="138" t="e">
        <f>IF(VLOOKUP(CONCATENATE(H19,F19,GD$2),GeoHis!$A:$H,7,FALSE)=CR19,1,0)</f>
        <v>#N/A</v>
      </c>
      <c r="GE19" s="135" t="str">
        <f t="shared" si="6"/>
        <v/>
      </c>
    </row>
    <row r="20" spans="1:187" x14ac:dyDescent="0.25">
      <c r="A20" s="127" t="str">
        <f>IF(C20="","",'Datos Generales'!$A$25)</f>
        <v/>
      </c>
      <c r="D20" s="126" t="str">
        <f t="shared" si="0"/>
        <v/>
      </c>
      <c r="E20" s="126">
        <f t="shared" si="1"/>
        <v>0</v>
      </c>
      <c r="F20" s="126" t="str">
        <f t="shared" si="7"/>
        <v/>
      </c>
      <c r="G20" s="126" t="str">
        <f>IF(C20="","",'Datos Generales'!$D$19)</f>
        <v/>
      </c>
      <c r="H20" s="21" t="str">
        <f>IF(C20="","",'Datos Generales'!$A$19)</f>
        <v/>
      </c>
      <c r="I20" s="126" t="str">
        <f>IF(C20="","",'Datos Generales'!$A$7)</f>
        <v/>
      </c>
      <c r="J20" s="21" t="str">
        <f>IF(C20="","",'Datos Generales'!$A$13)</f>
        <v/>
      </c>
      <c r="K20" s="21" t="str">
        <f>IF(C20="","",'Datos Generales'!$A$10)</f>
        <v/>
      </c>
      <c r="CS20" s="142" t="str">
        <f t="shared" si="2"/>
        <v/>
      </c>
      <c r="CT20" s="142" t="str">
        <f t="shared" si="3"/>
        <v/>
      </c>
      <c r="CU20" s="142" t="str">
        <f t="shared" si="4"/>
        <v/>
      </c>
      <c r="CV20" s="142" t="str">
        <f t="shared" si="5"/>
        <v/>
      </c>
      <c r="CW20" s="142" t="str">
        <f>IF(C20="","",IF('Datos Generales'!$A$19=1,AVERAGE(FP20:GD20),AVERAGE(Captura!FP20:FY20)))</f>
        <v/>
      </c>
      <c r="CX20" s="138" t="e">
        <f>IF(VLOOKUP(CONCATENATE($H$4,$F$4,CX$2),Español!$A:$H,7,FALSE)=L20,1,0)</f>
        <v>#N/A</v>
      </c>
      <c r="CY20" s="138" t="e">
        <f>IF(VLOOKUP(CONCATENATE(H20,F20,CY$2),Español!$A:$H,7,FALSE)=M20,1,0)</f>
        <v>#N/A</v>
      </c>
      <c r="CZ20" s="138" t="e">
        <f>IF(VLOOKUP(CONCATENATE(H20,F20,CZ$2),Español!$A:$H,7,FALSE)=N20,1,0)</f>
        <v>#N/A</v>
      </c>
      <c r="DA20" s="138" t="e">
        <f>IF(VLOOKUP(CONCATENATE(H20,F20,DA$2),Español!$A:$H,7,FALSE)=O20,1,0)</f>
        <v>#N/A</v>
      </c>
      <c r="DB20" s="138" t="e">
        <f>IF(VLOOKUP(CONCATENATE(H20,F20,DB$2),Español!$A:$H,7,FALSE)=P20,1,0)</f>
        <v>#N/A</v>
      </c>
      <c r="DC20" s="138" t="e">
        <f>IF(VLOOKUP(CONCATENATE(H20,F20,DC$2),Español!$A:$H,7,FALSE)=Q20,1,0)</f>
        <v>#N/A</v>
      </c>
      <c r="DD20" s="138" t="e">
        <f>IF(VLOOKUP(CONCATENATE(H20,F20,DD$2),Español!$A:$H,7,FALSE)=R20,1,0)</f>
        <v>#N/A</v>
      </c>
      <c r="DE20" s="138" t="e">
        <f>IF(VLOOKUP(CONCATENATE(H20,F20,DE$2),Español!$A:$H,7,FALSE)=S20,1,0)</f>
        <v>#N/A</v>
      </c>
      <c r="DF20" s="138" t="e">
        <f>IF(VLOOKUP(CONCATENATE(H20,F20,DF$2),Español!$A:$H,7,FALSE)=T20,1,0)</f>
        <v>#N/A</v>
      </c>
      <c r="DG20" s="138" t="e">
        <f>IF(VLOOKUP(CONCATENATE(H20,F20,DG$2),Español!$A:$H,7,FALSE)=U20,1,0)</f>
        <v>#N/A</v>
      </c>
      <c r="DH20" s="138" t="e">
        <f>IF(VLOOKUP(CONCATENATE(H20,F20,DH$2),Español!$A:$H,7,FALSE)=V20,1,0)</f>
        <v>#N/A</v>
      </c>
      <c r="DI20" s="138" t="e">
        <f>IF(VLOOKUP(CONCATENATE(H20,F20,DI$2),Español!$A:$H,7,FALSE)=W20,1,0)</f>
        <v>#N/A</v>
      </c>
      <c r="DJ20" s="138" t="e">
        <f>IF(VLOOKUP(CONCATENATE(H20,F20,DJ$2),Español!$A:$H,7,FALSE)=X20,1,0)</f>
        <v>#N/A</v>
      </c>
      <c r="DK20" s="138" t="e">
        <f>IF(VLOOKUP(CONCATENATE(H20,F20,DK$2),Español!$A:$H,7,FALSE)=Y20,1,0)</f>
        <v>#N/A</v>
      </c>
      <c r="DL20" s="138" t="e">
        <f>IF(VLOOKUP(CONCATENATE(H20,F20,DL$2),Español!$A:$H,7,FALSE)=Z20,1,0)</f>
        <v>#N/A</v>
      </c>
      <c r="DM20" s="138" t="e">
        <f>IF(VLOOKUP(CONCATENATE(H20,F20,DM$2),Español!$A:$H,7,FALSE)=AA20,1,0)</f>
        <v>#N/A</v>
      </c>
      <c r="DN20" s="138" t="e">
        <f>IF(VLOOKUP(CONCATENATE(H20,F20,DN$2),Español!$A:$H,7,FALSE)=AB20,1,0)</f>
        <v>#N/A</v>
      </c>
      <c r="DO20" s="138" t="e">
        <f>IF(VLOOKUP(CONCATENATE(H20,F20,DO$2),Español!$A:$H,7,FALSE)=AC20,1,0)</f>
        <v>#N/A</v>
      </c>
      <c r="DP20" s="138" t="e">
        <f>IF(VLOOKUP(CONCATENATE(H20,F20,DP$2),Español!$A:$H,7,FALSE)=AD20,1,0)</f>
        <v>#N/A</v>
      </c>
      <c r="DQ20" s="138" t="e">
        <f>IF(VLOOKUP(CONCATENATE(H20,F20,DQ$2),Español!$A:$H,7,FALSE)=AE20,1,0)</f>
        <v>#N/A</v>
      </c>
      <c r="DR20" s="138" t="e">
        <f>IF(VLOOKUP(CONCATENATE(H20,F20,DR$2),Inglés!$A:$H,7,FALSE)=AF20,1,0)</f>
        <v>#N/A</v>
      </c>
      <c r="DS20" s="138" t="e">
        <f>IF(VLOOKUP(CONCATENATE(H20,F20,DS$2),Inglés!$A:$H,7,FALSE)=AG20,1,0)</f>
        <v>#N/A</v>
      </c>
      <c r="DT20" s="138" t="e">
        <f>IF(VLOOKUP(CONCATENATE(H20,F20,DT$2),Inglés!$A:$H,7,FALSE)=AH20,1,0)</f>
        <v>#N/A</v>
      </c>
      <c r="DU20" s="138" t="e">
        <f>IF(VLOOKUP(CONCATENATE(H20,F20,DU$2),Inglés!$A:$H,7,FALSE)=AI20,1,0)</f>
        <v>#N/A</v>
      </c>
      <c r="DV20" s="138" t="e">
        <f>IF(VLOOKUP(CONCATENATE(H20,F20,DV$2),Inglés!$A:$H,7,FALSE)=AJ20,1,0)</f>
        <v>#N/A</v>
      </c>
      <c r="DW20" s="138" t="e">
        <f>IF(VLOOKUP(CONCATENATE(H20,F20,DW$2),Inglés!$A:$H,7,FALSE)=AK20,1,0)</f>
        <v>#N/A</v>
      </c>
      <c r="DX20" s="138" t="e">
        <f>IF(VLOOKUP(CONCATENATE(H20,F20,DX$2),Inglés!$A:$H,7,FALSE)=AL20,1,0)</f>
        <v>#N/A</v>
      </c>
      <c r="DY20" s="138" t="e">
        <f>IF(VLOOKUP(CONCATENATE(H20,F20,DY$2),Inglés!$A:$H,7,FALSE)=AM20,1,0)</f>
        <v>#N/A</v>
      </c>
      <c r="DZ20" s="138" t="e">
        <f>IF(VLOOKUP(CONCATENATE(H20,F20,DZ$2),Inglés!$A:$H,7,FALSE)=AN20,1,0)</f>
        <v>#N/A</v>
      </c>
      <c r="EA20" s="138" t="e">
        <f>IF(VLOOKUP(CONCATENATE(H20,F20,EA$2),Inglés!$A:$H,7,FALSE)=AO20,1,0)</f>
        <v>#N/A</v>
      </c>
      <c r="EB20" s="138" t="e">
        <f>IF(VLOOKUP(CONCATENATE(H20,F20,EB$2),Matemáticas!$A:$H,7,FALSE)=AP20,1,0)</f>
        <v>#N/A</v>
      </c>
      <c r="EC20" s="138" t="e">
        <f>IF(VLOOKUP(CONCATENATE(H20,F20,EC$2),Matemáticas!$A:$H,7,FALSE)=AQ20,1,0)</f>
        <v>#N/A</v>
      </c>
      <c r="ED20" s="138" t="e">
        <f>IF(VLOOKUP(CONCATENATE(H20,F20,ED$2),Matemáticas!$A:$H,7,FALSE)=AR20,1,0)</f>
        <v>#N/A</v>
      </c>
      <c r="EE20" s="138" t="e">
        <f>IF(VLOOKUP(CONCATENATE(H20,F20,EE$2),Matemáticas!$A:$H,7,FALSE)=AS20,1,0)</f>
        <v>#N/A</v>
      </c>
      <c r="EF20" s="138" t="e">
        <f>IF(VLOOKUP(CONCATENATE(H20,F20,EF$2),Matemáticas!$A:$H,7,FALSE)=AT20,1,0)</f>
        <v>#N/A</v>
      </c>
      <c r="EG20" s="138" t="e">
        <f>IF(VLOOKUP(CONCATENATE(H20,F20,EG$2),Matemáticas!$A:$H,7,FALSE)=AU20,1,0)</f>
        <v>#N/A</v>
      </c>
      <c r="EH20" s="138" t="e">
        <f>IF(VLOOKUP(CONCATENATE(H20,F20,EH$2),Matemáticas!$A:$H,7,FALSE)=AV20,1,0)</f>
        <v>#N/A</v>
      </c>
      <c r="EI20" s="138" t="e">
        <f>IF(VLOOKUP(CONCATENATE(H20,F20,EI$2),Matemáticas!$A:$H,7,FALSE)=AW20,1,0)</f>
        <v>#N/A</v>
      </c>
      <c r="EJ20" s="138" t="e">
        <f>IF(VLOOKUP(CONCATENATE(H20,F20,EJ$2),Matemáticas!$A:$H,7,FALSE)=AX20,1,0)</f>
        <v>#N/A</v>
      </c>
      <c r="EK20" s="138" t="e">
        <f>IF(VLOOKUP(CONCATENATE(H20,F20,EK$2),Matemáticas!$A:$H,7,FALSE)=AY20,1,0)</f>
        <v>#N/A</v>
      </c>
      <c r="EL20" s="138" t="e">
        <f>IF(VLOOKUP(CONCATENATE(H20,F20,EL$2),Matemáticas!$A:$H,7,FALSE)=AZ20,1,0)</f>
        <v>#N/A</v>
      </c>
      <c r="EM20" s="138" t="e">
        <f>IF(VLOOKUP(CONCATENATE(H20,F20,EM$2),Matemáticas!$A:$H,7,FALSE)=BA20,1,0)</f>
        <v>#N/A</v>
      </c>
      <c r="EN20" s="138" t="e">
        <f>IF(VLOOKUP(CONCATENATE(H20,F20,EN$2),Matemáticas!$A:$H,7,FALSE)=BB20,1,0)</f>
        <v>#N/A</v>
      </c>
      <c r="EO20" s="138" t="e">
        <f>IF(VLOOKUP(CONCATENATE(H20,F20,EO$2),Matemáticas!$A:$H,7,FALSE)=BC20,1,0)</f>
        <v>#N/A</v>
      </c>
      <c r="EP20" s="138" t="e">
        <f>IF(VLOOKUP(CONCATENATE(H20,F20,EP$2),Matemáticas!$A:$H,7,FALSE)=BD20,1,0)</f>
        <v>#N/A</v>
      </c>
      <c r="EQ20" s="138" t="e">
        <f>IF(VLOOKUP(CONCATENATE(H20,F20,EQ$2),Matemáticas!$A:$H,7,FALSE)=BE20,1,0)</f>
        <v>#N/A</v>
      </c>
      <c r="ER20" s="138" t="e">
        <f>IF(VLOOKUP(CONCATENATE(H20,F20,ER$2),Matemáticas!$A:$H,7,FALSE)=BF20,1,0)</f>
        <v>#N/A</v>
      </c>
      <c r="ES20" s="138" t="e">
        <f>IF(VLOOKUP(CONCATENATE(H20,F20,ES$2),Matemáticas!$A:$H,7,FALSE)=BG20,1,0)</f>
        <v>#N/A</v>
      </c>
      <c r="ET20" s="138" t="e">
        <f>IF(VLOOKUP(CONCATENATE(H20,F20,ET$2),Matemáticas!$A:$H,7,FALSE)=BH20,1,0)</f>
        <v>#N/A</v>
      </c>
      <c r="EU20" s="138" t="e">
        <f>IF(VLOOKUP(CONCATENATE(H20,F20,EU$2),Matemáticas!$A:$H,7,FALSE)=BI20,1,0)</f>
        <v>#N/A</v>
      </c>
      <c r="EV20" s="138" t="e">
        <f>IF(VLOOKUP(CONCATENATE(H20,F20,EV$2),Ciencias!$A:$H,7,FALSE)=BJ20,1,0)</f>
        <v>#N/A</v>
      </c>
      <c r="EW20" s="138" t="e">
        <f>IF(VLOOKUP(CONCATENATE(H20,F20,EW$2),Ciencias!$A:$H,7,FALSE)=BK20,1,0)</f>
        <v>#N/A</v>
      </c>
      <c r="EX20" s="138" t="e">
        <f>IF(VLOOKUP(CONCATENATE(H20,F20,EX$2),Ciencias!$A:$H,7,FALSE)=BL20,1,0)</f>
        <v>#N/A</v>
      </c>
      <c r="EY20" s="138" t="e">
        <f>IF(VLOOKUP(CONCATENATE(H20,F20,EY$2),Ciencias!$A:$H,7,FALSE)=BM20,1,0)</f>
        <v>#N/A</v>
      </c>
      <c r="EZ20" s="138" t="e">
        <f>IF(VLOOKUP(CONCATENATE(H20,F20,EZ$2),Ciencias!$A:$H,7,FALSE)=BN20,1,0)</f>
        <v>#N/A</v>
      </c>
      <c r="FA20" s="138" t="e">
        <f>IF(VLOOKUP(CONCATENATE(H20,F20,FA$2),Ciencias!$A:$H,7,FALSE)=BO20,1,0)</f>
        <v>#N/A</v>
      </c>
      <c r="FB20" s="138" t="e">
        <f>IF(VLOOKUP(CONCATENATE(H20,F20,FB$2),Ciencias!$A:$H,7,FALSE)=BP20,1,0)</f>
        <v>#N/A</v>
      </c>
      <c r="FC20" s="138" t="e">
        <f>IF(VLOOKUP(CONCATENATE(H20,F20,FC$2),Ciencias!$A:$H,7,FALSE)=BQ20,1,0)</f>
        <v>#N/A</v>
      </c>
      <c r="FD20" s="138" t="e">
        <f>IF(VLOOKUP(CONCATENATE(H20,F20,FD$2),Ciencias!$A:$H,7,FALSE)=BR20,1,0)</f>
        <v>#N/A</v>
      </c>
      <c r="FE20" s="138" t="e">
        <f>IF(VLOOKUP(CONCATENATE(H20,F20,FE$2),Ciencias!$A:$H,7,FALSE)=BS20,1,0)</f>
        <v>#N/A</v>
      </c>
      <c r="FF20" s="138" t="e">
        <f>IF(VLOOKUP(CONCATENATE(H20,F20,FF$2),Ciencias!$A:$H,7,FALSE)=BT20,1,0)</f>
        <v>#N/A</v>
      </c>
      <c r="FG20" s="138" t="e">
        <f>IF(VLOOKUP(CONCATENATE(H20,F20,FG$2),Ciencias!$A:$H,7,FALSE)=BU20,1,0)</f>
        <v>#N/A</v>
      </c>
      <c r="FH20" s="138" t="e">
        <f>IF(VLOOKUP(CONCATENATE(H20,F20,FH$2),Ciencias!$A:$H,7,FALSE)=BV20,1,0)</f>
        <v>#N/A</v>
      </c>
      <c r="FI20" s="138" t="e">
        <f>IF(VLOOKUP(CONCATENATE(H20,F20,FI$2),Ciencias!$A:$H,7,FALSE)=BW20,1,0)</f>
        <v>#N/A</v>
      </c>
      <c r="FJ20" s="138" t="e">
        <f>IF(VLOOKUP(CONCATENATE(H20,F20,FJ$2),Ciencias!$A:$H,7,FALSE)=BX20,1,0)</f>
        <v>#N/A</v>
      </c>
      <c r="FK20" s="138" t="e">
        <f>IF(VLOOKUP(CONCATENATE(H20,F20,FK$2),Ciencias!$A:$H,7,FALSE)=BY20,1,0)</f>
        <v>#N/A</v>
      </c>
      <c r="FL20" s="138" t="e">
        <f>IF(VLOOKUP(CONCATENATE(H20,F20,FL$2),Ciencias!$A:$H,7,FALSE)=BZ20,1,0)</f>
        <v>#N/A</v>
      </c>
      <c r="FM20" s="138" t="e">
        <f>IF(VLOOKUP(CONCATENATE(H20,F20,FM$2),Ciencias!$A:$H,7,FALSE)=CA20,1,0)</f>
        <v>#N/A</v>
      </c>
      <c r="FN20" s="138" t="e">
        <f>IF(VLOOKUP(CONCATENATE(H20,F20,FN$2),Ciencias!$A:$H,7,FALSE)=CB20,1,0)</f>
        <v>#N/A</v>
      </c>
      <c r="FO20" s="138" t="e">
        <f>IF(VLOOKUP(CONCATENATE(H20,F20,FO$2),Ciencias!$A:$H,7,FALSE)=CC20,1,0)</f>
        <v>#N/A</v>
      </c>
      <c r="FP20" s="138" t="e">
        <f>IF(VLOOKUP(CONCATENATE(H20,F20,FP$2),GeoHis!$A:$H,7,FALSE)=CD20,1,0)</f>
        <v>#N/A</v>
      </c>
      <c r="FQ20" s="138" t="e">
        <f>IF(VLOOKUP(CONCATENATE(H20,F20,FQ$2),GeoHis!$A:$H,7,FALSE)=CE20,1,0)</f>
        <v>#N/A</v>
      </c>
      <c r="FR20" s="138" t="e">
        <f>IF(VLOOKUP(CONCATENATE(H20,F20,FR$2),GeoHis!$A:$H,7,FALSE)=CF20,1,0)</f>
        <v>#N/A</v>
      </c>
      <c r="FS20" s="138" t="e">
        <f>IF(VLOOKUP(CONCATENATE(H20,F20,FS$2),GeoHis!$A:$H,7,FALSE)=CG20,1,0)</f>
        <v>#N/A</v>
      </c>
      <c r="FT20" s="138" t="e">
        <f>IF(VLOOKUP(CONCATENATE(H20,F20,FT$2),GeoHis!$A:$H,7,FALSE)=CH20,1,0)</f>
        <v>#N/A</v>
      </c>
      <c r="FU20" s="138" t="e">
        <f>IF(VLOOKUP(CONCATENATE(H20,F20,FU$2),GeoHis!$A:$H,7,FALSE)=CI20,1,0)</f>
        <v>#N/A</v>
      </c>
      <c r="FV20" s="138" t="e">
        <f>IF(VLOOKUP(CONCATENATE(H20,F20,FV$2),GeoHis!$A:$H,7,FALSE)=CJ20,1,0)</f>
        <v>#N/A</v>
      </c>
      <c r="FW20" s="138" t="e">
        <f>IF(VLOOKUP(CONCATENATE(H20,F20,FW$2),GeoHis!$A:$H,7,FALSE)=CK20,1,0)</f>
        <v>#N/A</v>
      </c>
      <c r="FX20" s="138" t="e">
        <f>IF(VLOOKUP(CONCATENATE(H20,F20,FX$2),GeoHis!$A:$H,7,FALSE)=CL20,1,0)</f>
        <v>#N/A</v>
      </c>
      <c r="FY20" s="138" t="e">
        <f>IF(VLOOKUP(CONCATENATE(H20,F20,FY$2),GeoHis!$A:$H,7,FALSE)=CM20,1,0)</f>
        <v>#N/A</v>
      </c>
      <c r="FZ20" s="138" t="e">
        <f>IF(VLOOKUP(CONCATENATE(H20,F20,FZ$2),GeoHis!$A:$H,7,FALSE)=CN20,1,0)</f>
        <v>#N/A</v>
      </c>
      <c r="GA20" s="138" t="e">
        <f>IF(VLOOKUP(CONCATENATE(H20,F20,GA$2),GeoHis!$A:$H,7,FALSE)=CO20,1,0)</f>
        <v>#N/A</v>
      </c>
      <c r="GB20" s="138" t="e">
        <f>IF(VLOOKUP(CONCATENATE(H20,F20,GB$2),GeoHis!$A:$H,7,FALSE)=CP20,1,0)</f>
        <v>#N/A</v>
      </c>
      <c r="GC20" s="138" t="e">
        <f>IF(VLOOKUP(CONCATENATE(H20,F20,GC$2),GeoHis!$A:$H,7,FALSE)=CQ20,1,0)</f>
        <v>#N/A</v>
      </c>
      <c r="GD20" s="138" t="e">
        <f>IF(VLOOKUP(CONCATENATE(H20,F20,GD$2),GeoHis!$A:$H,7,FALSE)=CR20,1,0)</f>
        <v>#N/A</v>
      </c>
      <c r="GE20" s="135" t="str">
        <f t="shared" si="6"/>
        <v/>
      </c>
    </row>
    <row r="21" spans="1:187" x14ac:dyDescent="0.25">
      <c r="A21" s="127" t="str">
        <f>IF(C21="","",'Datos Generales'!$A$25)</f>
        <v/>
      </c>
      <c r="D21" s="126" t="str">
        <f t="shared" si="0"/>
        <v/>
      </c>
      <c r="E21" s="126">
        <f t="shared" si="1"/>
        <v>0</v>
      </c>
      <c r="F21" s="126" t="str">
        <f t="shared" si="7"/>
        <v/>
      </c>
      <c r="G21" s="126" t="str">
        <f>IF(C21="","",'Datos Generales'!$D$19)</f>
        <v/>
      </c>
      <c r="H21" s="21" t="str">
        <f>IF(C21="","",'Datos Generales'!$A$19)</f>
        <v/>
      </c>
      <c r="I21" s="126" t="str">
        <f>IF(C21="","",'Datos Generales'!$A$7)</f>
        <v/>
      </c>
      <c r="J21" s="21" t="str">
        <f>IF(C21="","",'Datos Generales'!$A$13)</f>
        <v/>
      </c>
      <c r="K21" s="21" t="str">
        <f>IF(C21="","",'Datos Generales'!$A$10)</f>
        <v/>
      </c>
      <c r="CS21" s="142" t="str">
        <f t="shared" si="2"/>
        <v/>
      </c>
      <c r="CT21" s="142" t="str">
        <f t="shared" si="3"/>
        <v/>
      </c>
      <c r="CU21" s="142" t="str">
        <f t="shared" si="4"/>
        <v/>
      </c>
      <c r="CV21" s="142" t="str">
        <f t="shared" si="5"/>
        <v/>
      </c>
      <c r="CW21" s="142" t="str">
        <f>IF(C21="","",IF('Datos Generales'!$A$19=1,AVERAGE(FP21:GD21),AVERAGE(Captura!FP21:FY21)))</f>
        <v/>
      </c>
      <c r="CX21" s="138" t="e">
        <f>IF(VLOOKUP(CONCATENATE($H$4,$F$4,CX$2),Español!$A:$H,7,FALSE)=L21,1,0)</f>
        <v>#N/A</v>
      </c>
      <c r="CY21" s="138" t="e">
        <f>IF(VLOOKUP(CONCATENATE(H21,F21,CY$2),Español!$A:$H,7,FALSE)=M21,1,0)</f>
        <v>#N/A</v>
      </c>
      <c r="CZ21" s="138" t="e">
        <f>IF(VLOOKUP(CONCATENATE(H21,F21,CZ$2),Español!$A:$H,7,FALSE)=N21,1,0)</f>
        <v>#N/A</v>
      </c>
      <c r="DA21" s="138" t="e">
        <f>IF(VLOOKUP(CONCATENATE(H21,F21,DA$2),Español!$A:$H,7,FALSE)=O21,1,0)</f>
        <v>#N/A</v>
      </c>
      <c r="DB21" s="138" t="e">
        <f>IF(VLOOKUP(CONCATENATE(H21,F21,DB$2),Español!$A:$H,7,FALSE)=P21,1,0)</f>
        <v>#N/A</v>
      </c>
      <c r="DC21" s="138" t="e">
        <f>IF(VLOOKUP(CONCATENATE(H21,F21,DC$2),Español!$A:$H,7,FALSE)=Q21,1,0)</f>
        <v>#N/A</v>
      </c>
      <c r="DD21" s="138" t="e">
        <f>IF(VLOOKUP(CONCATENATE(H21,F21,DD$2),Español!$A:$H,7,FALSE)=R21,1,0)</f>
        <v>#N/A</v>
      </c>
      <c r="DE21" s="138" t="e">
        <f>IF(VLOOKUP(CONCATENATE(H21,F21,DE$2),Español!$A:$H,7,FALSE)=S21,1,0)</f>
        <v>#N/A</v>
      </c>
      <c r="DF21" s="138" t="e">
        <f>IF(VLOOKUP(CONCATENATE(H21,F21,DF$2),Español!$A:$H,7,FALSE)=T21,1,0)</f>
        <v>#N/A</v>
      </c>
      <c r="DG21" s="138" t="e">
        <f>IF(VLOOKUP(CONCATENATE(H21,F21,DG$2),Español!$A:$H,7,FALSE)=U21,1,0)</f>
        <v>#N/A</v>
      </c>
      <c r="DH21" s="138" t="e">
        <f>IF(VLOOKUP(CONCATENATE(H21,F21,DH$2),Español!$A:$H,7,FALSE)=V21,1,0)</f>
        <v>#N/A</v>
      </c>
      <c r="DI21" s="138" t="e">
        <f>IF(VLOOKUP(CONCATENATE(H21,F21,DI$2),Español!$A:$H,7,FALSE)=W21,1,0)</f>
        <v>#N/A</v>
      </c>
      <c r="DJ21" s="138" t="e">
        <f>IF(VLOOKUP(CONCATENATE(H21,F21,DJ$2),Español!$A:$H,7,FALSE)=X21,1,0)</f>
        <v>#N/A</v>
      </c>
      <c r="DK21" s="138" t="e">
        <f>IF(VLOOKUP(CONCATENATE(H21,F21,DK$2),Español!$A:$H,7,FALSE)=Y21,1,0)</f>
        <v>#N/A</v>
      </c>
      <c r="DL21" s="138" t="e">
        <f>IF(VLOOKUP(CONCATENATE(H21,F21,DL$2),Español!$A:$H,7,FALSE)=Z21,1,0)</f>
        <v>#N/A</v>
      </c>
      <c r="DM21" s="138" t="e">
        <f>IF(VLOOKUP(CONCATENATE(H21,F21,DM$2),Español!$A:$H,7,FALSE)=AA21,1,0)</f>
        <v>#N/A</v>
      </c>
      <c r="DN21" s="138" t="e">
        <f>IF(VLOOKUP(CONCATENATE(H21,F21,DN$2),Español!$A:$H,7,FALSE)=AB21,1,0)</f>
        <v>#N/A</v>
      </c>
      <c r="DO21" s="138" t="e">
        <f>IF(VLOOKUP(CONCATENATE(H21,F21,DO$2),Español!$A:$H,7,FALSE)=AC21,1,0)</f>
        <v>#N/A</v>
      </c>
      <c r="DP21" s="138" t="e">
        <f>IF(VLOOKUP(CONCATENATE(H21,F21,DP$2),Español!$A:$H,7,FALSE)=AD21,1,0)</f>
        <v>#N/A</v>
      </c>
      <c r="DQ21" s="138" t="e">
        <f>IF(VLOOKUP(CONCATENATE(H21,F21,DQ$2),Español!$A:$H,7,FALSE)=AE21,1,0)</f>
        <v>#N/A</v>
      </c>
      <c r="DR21" s="138" t="e">
        <f>IF(VLOOKUP(CONCATENATE(H21,F21,DR$2),Inglés!$A:$H,7,FALSE)=AF21,1,0)</f>
        <v>#N/A</v>
      </c>
      <c r="DS21" s="138" t="e">
        <f>IF(VLOOKUP(CONCATENATE(H21,F21,DS$2),Inglés!$A:$H,7,FALSE)=AG21,1,0)</f>
        <v>#N/A</v>
      </c>
      <c r="DT21" s="138" t="e">
        <f>IF(VLOOKUP(CONCATENATE(H21,F21,DT$2),Inglés!$A:$H,7,FALSE)=AH21,1,0)</f>
        <v>#N/A</v>
      </c>
      <c r="DU21" s="138" t="e">
        <f>IF(VLOOKUP(CONCATENATE(H21,F21,DU$2),Inglés!$A:$H,7,FALSE)=AI21,1,0)</f>
        <v>#N/A</v>
      </c>
      <c r="DV21" s="138" t="e">
        <f>IF(VLOOKUP(CONCATENATE(H21,F21,DV$2),Inglés!$A:$H,7,FALSE)=AJ21,1,0)</f>
        <v>#N/A</v>
      </c>
      <c r="DW21" s="138" t="e">
        <f>IF(VLOOKUP(CONCATENATE(H21,F21,DW$2),Inglés!$A:$H,7,FALSE)=AK21,1,0)</f>
        <v>#N/A</v>
      </c>
      <c r="DX21" s="138" t="e">
        <f>IF(VLOOKUP(CONCATENATE(H21,F21,DX$2),Inglés!$A:$H,7,FALSE)=AL21,1,0)</f>
        <v>#N/A</v>
      </c>
      <c r="DY21" s="138" t="e">
        <f>IF(VLOOKUP(CONCATENATE(H21,F21,DY$2),Inglés!$A:$H,7,FALSE)=AM21,1,0)</f>
        <v>#N/A</v>
      </c>
      <c r="DZ21" s="138" t="e">
        <f>IF(VLOOKUP(CONCATENATE(H21,F21,DZ$2),Inglés!$A:$H,7,FALSE)=AN21,1,0)</f>
        <v>#N/A</v>
      </c>
      <c r="EA21" s="138" t="e">
        <f>IF(VLOOKUP(CONCATENATE(H21,F21,EA$2),Inglés!$A:$H,7,FALSE)=AO21,1,0)</f>
        <v>#N/A</v>
      </c>
      <c r="EB21" s="138" t="e">
        <f>IF(VLOOKUP(CONCATENATE(H21,F21,EB$2),Matemáticas!$A:$H,7,FALSE)=AP21,1,0)</f>
        <v>#N/A</v>
      </c>
      <c r="EC21" s="138" t="e">
        <f>IF(VLOOKUP(CONCATENATE(H21,F21,EC$2),Matemáticas!$A:$H,7,FALSE)=AQ21,1,0)</f>
        <v>#N/A</v>
      </c>
      <c r="ED21" s="138" t="e">
        <f>IF(VLOOKUP(CONCATENATE(H21,F21,ED$2),Matemáticas!$A:$H,7,FALSE)=AR21,1,0)</f>
        <v>#N/A</v>
      </c>
      <c r="EE21" s="138" t="e">
        <f>IF(VLOOKUP(CONCATENATE(H21,F21,EE$2),Matemáticas!$A:$H,7,FALSE)=AS21,1,0)</f>
        <v>#N/A</v>
      </c>
      <c r="EF21" s="138" t="e">
        <f>IF(VLOOKUP(CONCATENATE(H21,F21,EF$2),Matemáticas!$A:$H,7,FALSE)=AT21,1,0)</f>
        <v>#N/A</v>
      </c>
      <c r="EG21" s="138" t="e">
        <f>IF(VLOOKUP(CONCATENATE(H21,F21,EG$2),Matemáticas!$A:$H,7,FALSE)=AU21,1,0)</f>
        <v>#N/A</v>
      </c>
      <c r="EH21" s="138" t="e">
        <f>IF(VLOOKUP(CONCATENATE(H21,F21,EH$2),Matemáticas!$A:$H,7,FALSE)=AV21,1,0)</f>
        <v>#N/A</v>
      </c>
      <c r="EI21" s="138" t="e">
        <f>IF(VLOOKUP(CONCATENATE(H21,F21,EI$2),Matemáticas!$A:$H,7,FALSE)=AW21,1,0)</f>
        <v>#N/A</v>
      </c>
      <c r="EJ21" s="138" t="e">
        <f>IF(VLOOKUP(CONCATENATE(H21,F21,EJ$2),Matemáticas!$A:$H,7,FALSE)=AX21,1,0)</f>
        <v>#N/A</v>
      </c>
      <c r="EK21" s="138" t="e">
        <f>IF(VLOOKUP(CONCATENATE(H21,F21,EK$2),Matemáticas!$A:$H,7,FALSE)=AY21,1,0)</f>
        <v>#N/A</v>
      </c>
      <c r="EL21" s="138" t="e">
        <f>IF(VLOOKUP(CONCATENATE(H21,F21,EL$2),Matemáticas!$A:$H,7,FALSE)=AZ21,1,0)</f>
        <v>#N/A</v>
      </c>
      <c r="EM21" s="138" t="e">
        <f>IF(VLOOKUP(CONCATENATE(H21,F21,EM$2),Matemáticas!$A:$H,7,FALSE)=BA21,1,0)</f>
        <v>#N/A</v>
      </c>
      <c r="EN21" s="138" t="e">
        <f>IF(VLOOKUP(CONCATENATE(H21,F21,EN$2),Matemáticas!$A:$H,7,FALSE)=BB21,1,0)</f>
        <v>#N/A</v>
      </c>
      <c r="EO21" s="138" t="e">
        <f>IF(VLOOKUP(CONCATENATE(H21,F21,EO$2),Matemáticas!$A:$H,7,FALSE)=BC21,1,0)</f>
        <v>#N/A</v>
      </c>
      <c r="EP21" s="138" t="e">
        <f>IF(VLOOKUP(CONCATENATE(H21,F21,EP$2),Matemáticas!$A:$H,7,FALSE)=BD21,1,0)</f>
        <v>#N/A</v>
      </c>
      <c r="EQ21" s="138" t="e">
        <f>IF(VLOOKUP(CONCATENATE(H21,F21,EQ$2),Matemáticas!$A:$H,7,FALSE)=BE21,1,0)</f>
        <v>#N/A</v>
      </c>
      <c r="ER21" s="138" t="e">
        <f>IF(VLOOKUP(CONCATENATE(H21,F21,ER$2),Matemáticas!$A:$H,7,FALSE)=BF21,1,0)</f>
        <v>#N/A</v>
      </c>
      <c r="ES21" s="138" t="e">
        <f>IF(VLOOKUP(CONCATENATE(H21,F21,ES$2),Matemáticas!$A:$H,7,FALSE)=BG21,1,0)</f>
        <v>#N/A</v>
      </c>
      <c r="ET21" s="138" t="e">
        <f>IF(VLOOKUP(CONCATENATE(H21,F21,ET$2),Matemáticas!$A:$H,7,FALSE)=BH21,1,0)</f>
        <v>#N/A</v>
      </c>
      <c r="EU21" s="138" t="e">
        <f>IF(VLOOKUP(CONCATENATE(H21,F21,EU$2),Matemáticas!$A:$H,7,FALSE)=BI21,1,0)</f>
        <v>#N/A</v>
      </c>
      <c r="EV21" s="138" t="e">
        <f>IF(VLOOKUP(CONCATENATE(H21,F21,EV$2),Ciencias!$A:$H,7,FALSE)=BJ21,1,0)</f>
        <v>#N/A</v>
      </c>
      <c r="EW21" s="138" t="e">
        <f>IF(VLOOKUP(CONCATENATE(H21,F21,EW$2),Ciencias!$A:$H,7,FALSE)=BK21,1,0)</f>
        <v>#N/A</v>
      </c>
      <c r="EX21" s="138" t="e">
        <f>IF(VLOOKUP(CONCATENATE(H21,F21,EX$2),Ciencias!$A:$H,7,FALSE)=BL21,1,0)</f>
        <v>#N/A</v>
      </c>
      <c r="EY21" s="138" t="e">
        <f>IF(VLOOKUP(CONCATENATE(H21,F21,EY$2),Ciencias!$A:$H,7,FALSE)=BM21,1,0)</f>
        <v>#N/A</v>
      </c>
      <c r="EZ21" s="138" t="e">
        <f>IF(VLOOKUP(CONCATENATE(H21,F21,EZ$2),Ciencias!$A:$H,7,FALSE)=BN21,1,0)</f>
        <v>#N/A</v>
      </c>
      <c r="FA21" s="138" t="e">
        <f>IF(VLOOKUP(CONCATENATE(H21,F21,FA$2),Ciencias!$A:$H,7,FALSE)=BO21,1,0)</f>
        <v>#N/A</v>
      </c>
      <c r="FB21" s="138" t="e">
        <f>IF(VLOOKUP(CONCATENATE(H21,F21,FB$2),Ciencias!$A:$H,7,FALSE)=BP21,1,0)</f>
        <v>#N/A</v>
      </c>
      <c r="FC21" s="138" t="e">
        <f>IF(VLOOKUP(CONCATENATE(H21,F21,FC$2),Ciencias!$A:$H,7,FALSE)=BQ21,1,0)</f>
        <v>#N/A</v>
      </c>
      <c r="FD21" s="138" t="e">
        <f>IF(VLOOKUP(CONCATENATE(H21,F21,FD$2),Ciencias!$A:$H,7,FALSE)=BR21,1,0)</f>
        <v>#N/A</v>
      </c>
      <c r="FE21" s="138" t="e">
        <f>IF(VLOOKUP(CONCATENATE(H21,F21,FE$2),Ciencias!$A:$H,7,FALSE)=BS21,1,0)</f>
        <v>#N/A</v>
      </c>
      <c r="FF21" s="138" t="e">
        <f>IF(VLOOKUP(CONCATENATE(H21,F21,FF$2),Ciencias!$A:$H,7,FALSE)=BT21,1,0)</f>
        <v>#N/A</v>
      </c>
      <c r="FG21" s="138" t="e">
        <f>IF(VLOOKUP(CONCATENATE(H21,F21,FG$2),Ciencias!$A:$H,7,FALSE)=BU21,1,0)</f>
        <v>#N/A</v>
      </c>
      <c r="FH21" s="138" t="e">
        <f>IF(VLOOKUP(CONCATENATE(H21,F21,FH$2),Ciencias!$A:$H,7,FALSE)=BV21,1,0)</f>
        <v>#N/A</v>
      </c>
      <c r="FI21" s="138" t="e">
        <f>IF(VLOOKUP(CONCATENATE(H21,F21,FI$2),Ciencias!$A:$H,7,FALSE)=BW21,1,0)</f>
        <v>#N/A</v>
      </c>
      <c r="FJ21" s="138" t="e">
        <f>IF(VLOOKUP(CONCATENATE(H21,F21,FJ$2),Ciencias!$A:$H,7,FALSE)=BX21,1,0)</f>
        <v>#N/A</v>
      </c>
      <c r="FK21" s="138" t="e">
        <f>IF(VLOOKUP(CONCATENATE(H21,F21,FK$2),Ciencias!$A:$H,7,FALSE)=BY21,1,0)</f>
        <v>#N/A</v>
      </c>
      <c r="FL21" s="138" t="e">
        <f>IF(VLOOKUP(CONCATENATE(H21,F21,FL$2),Ciencias!$A:$H,7,FALSE)=BZ21,1,0)</f>
        <v>#N/A</v>
      </c>
      <c r="FM21" s="138" t="e">
        <f>IF(VLOOKUP(CONCATENATE(H21,F21,FM$2),Ciencias!$A:$H,7,FALSE)=CA21,1,0)</f>
        <v>#N/A</v>
      </c>
      <c r="FN21" s="138" t="e">
        <f>IF(VLOOKUP(CONCATENATE(H21,F21,FN$2),Ciencias!$A:$H,7,FALSE)=CB21,1,0)</f>
        <v>#N/A</v>
      </c>
      <c r="FO21" s="138" t="e">
        <f>IF(VLOOKUP(CONCATENATE(H21,F21,FO$2),Ciencias!$A:$H,7,FALSE)=CC21,1,0)</f>
        <v>#N/A</v>
      </c>
      <c r="FP21" s="138" t="e">
        <f>IF(VLOOKUP(CONCATENATE(H21,F21,FP$2),GeoHis!$A:$H,7,FALSE)=CD21,1,0)</f>
        <v>#N/A</v>
      </c>
      <c r="FQ21" s="138" t="e">
        <f>IF(VLOOKUP(CONCATENATE(H21,F21,FQ$2),GeoHis!$A:$H,7,FALSE)=CE21,1,0)</f>
        <v>#N/A</v>
      </c>
      <c r="FR21" s="138" t="e">
        <f>IF(VLOOKUP(CONCATENATE(H21,F21,FR$2),GeoHis!$A:$H,7,FALSE)=CF21,1,0)</f>
        <v>#N/A</v>
      </c>
      <c r="FS21" s="138" t="e">
        <f>IF(VLOOKUP(CONCATENATE(H21,F21,FS$2),GeoHis!$A:$H,7,FALSE)=CG21,1,0)</f>
        <v>#N/A</v>
      </c>
      <c r="FT21" s="138" t="e">
        <f>IF(VLOOKUP(CONCATENATE(H21,F21,FT$2),GeoHis!$A:$H,7,FALSE)=CH21,1,0)</f>
        <v>#N/A</v>
      </c>
      <c r="FU21" s="138" t="e">
        <f>IF(VLOOKUP(CONCATENATE(H21,F21,FU$2),GeoHis!$A:$H,7,FALSE)=CI21,1,0)</f>
        <v>#N/A</v>
      </c>
      <c r="FV21" s="138" t="e">
        <f>IF(VLOOKUP(CONCATENATE(H21,F21,FV$2),GeoHis!$A:$H,7,FALSE)=CJ21,1,0)</f>
        <v>#N/A</v>
      </c>
      <c r="FW21" s="138" t="e">
        <f>IF(VLOOKUP(CONCATENATE(H21,F21,FW$2),GeoHis!$A:$H,7,FALSE)=CK21,1,0)</f>
        <v>#N/A</v>
      </c>
      <c r="FX21" s="138" t="e">
        <f>IF(VLOOKUP(CONCATENATE(H21,F21,FX$2),GeoHis!$A:$H,7,FALSE)=CL21,1,0)</f>
        <v>#N/A</v>
      </c>
      <c r="FY21" s="138" t="e">
        <f>IF(VLOOKUP(CONCATENATE(H21,F21,FY$2),GeoHis!$A:$H,7,FALSE)=CM21,1,0)</f>
        <v>#N/A</v>
      </c>
      <c r="FZ21" s="138" t="e">
        <f>IF(VLOOKUP(CONCATENATE(H21,F21,FZ$2),GeoHis!$A:$H,7,FALSE)=CN21,1,0)</f>
        <v>#N/A</v>
      </c>
      <c r="GA21" s="138" t="e">
        <f>IF(VLOOKUP(CONCATENATE(H21,F21,GA$2),GeoHis!$A:$H,7,FALSE)=CO21,1,0)</f>
        <v>#N/A</v>
      </c>
      <c r="GB21" s="138" t="e">
        <f>IF(VLOOKUP(CONCATENATE(H21,F21,GB$2),GeoHis!$A:$H,7,FALSE)=CP21,1,0)</f>
        <v>#N/A</v>
      </c>
      <c r="GC21" s="138" t="e">
        <f>IF(VLOOKUP(CONCATENATE(H21,F21,GC$2),GeoHis!$A:$H,7,FALSE)=CQ21,1,0)</f>
        <v>#N/A</v>
      </c>
      <c r="GD21" s="138" t="e">
        <f>IF(VLOOKUP(CONCATENATE(H21,F21,GD$2),GeoHis!$A:$H,7,FALSE)=CR21,1,0)</f>
        <v>#N/A</v>
      </c>
      <c r="GE21" s="135" t="str">
        <f t="shared" si="6"/>
        <v/>
      </c>
    </row>
    <row r="22" spans="1:187" x14ac:dyDescent="0.25">
      <c r="A22" s="127" t="str">
        <f>IF(C22="","",'Datos Generales'!$A$25)</f>
        <v/>
      </c>
      <c r="D22" s="126" t="str">
        <f t="shared" si="0"/>
        <v/>
      </c>
      <c r="E22" s="126">
        <f t="shared" si="1"/>
        <v>0</v>
      </c>
      <c r="F22" s="126" t="str">
        <f t="shared" si="7"/>
        <v/>
      </c>
      <c r="G22" s="126" t="str">
        <f>IF(C22="","",'Datos Generales'!$D$19)</f>
        <v/>
      </c>
      <c r="H22" s="21" t="str">
        <f>IF(C22="","",'Datos Generales'!$A$19)</f>
        <v/>
      </c>
      <c r="I22" s="126" t="str">
        <f>IF(C22="","",'Datos Generales'!$A$7)</f>
        <v/>
      </c>
      <c r="J22" s="21" t="str">
        <f>IF(C22="","",'Datos Generales'!$A$13)</f>
        <v/>
      </c>
      <c r="K22" s="21" t="str">
        <f>IF(C22="","",'Datos Generales'!$A$10)</f>
        <v/>
      </c>
      <c r="CS22" s="142" t="str">
        <f t="shared" si="2"/>
        <v/>
      </c>
      <c r="CT22" s="142" t="str">
        <f t="shared" si="3"/>
        <v/>
      </c>
      <c r="CU22" s="142" t="str">
        <f t="shared" si="4"/>
        <v/>
      </c>
      <c r="CV22" s="142" t="str">
        <f t="shared" si="5"/>
        <v/>
      </c>
      <c r="CW22" s="142" t="str">
        <f>IF(C22="","",IF('Datos Generales'!$A$19=1,AVERAGE(FP22:GD22),AVERAGE(Captura!FP22:FY22)))</f>
        <v/>
      </c>
      <c r="CX22" s="138" t="e">
        <f>IF(VLOOKUP(CONCATENATE($H$4,$F$4,CX$2),Español!$A:$H,7,FALSE)=L22,1,0)</f>
        <v>#N/A</v>
      </c>
      <c r="CY22" s="138" t="e">
        <f>IF(VLOOKUP(CONCATENATE(H22,F22,CY$2),Español!$A:$H,7,FALSE)=M22,1,0)</f>
        <v>#N/A</v>
      </c>
      <c r="CZ22" s="138" t="e">
        <f>IF(VLOOKUP(CONCATENATE(H22,F22,CZ$2),Español!$A:$H,7,FALSE)=N22,1,0)</f>
        <v>#N/A</v>
      </c>
      <c r="DA22" s="138" t="e">
        <f>IF(VLOOKUP(CONCATENATE(H22,F22,DA$2),Español!$A:$H,7,FALSE)=O22,1,0)</f>
        <v>#N/A</v>
      </c>
      <c r="DB22" s="138" t="e">
        <f>IF(VLOOKUP(CONCATENATE(H22,F22,DB$2),Español!$A:$H,7,FALSE)=P22,1,0)</f>
        <v>#N/A</v>
      </c>
      <c r="DC22" s="138" t="e">
        <f>IF(VLOOKUP(CONCATENATE(H22,F22,DC$2),Español!$A:$H,7,FALSE)=Q22,1,0)</f>
        <v>#N/A</v>
      </c>
      <c r="DD22" s="138" t="e">
        <f>IF(VLOOKUP(CONCATENATE(H22,F22,DD$2),Español!$A:$H,7,FALSE)=R22,1,0)</f>
        <v>#N/A</v>
      </c>
      <c r="DE22" s="138" t="e">
        <f>IF(VLOOKUP(CONCATENATE(H22,F22,DE$2),Español!$A:$H,7,FALSE)=S22,1,0)</f>
        <v>#N/A</v>
      </c>
      <c r="DF22" s="138" t="e">
        <f>IF(VLOOKUP(CONCATENATE(H22,F22,DF$2),Español!$A:$H,7,FALSE)=T22,1,0)</f>
        <v>#N/A</v>
      </c>
      <c r="DG22" s="138" t="e">
        <f>IF(VLOOKUP(CONCATENATE(H22,F22,DG$2),Español!$A:$H,7,FALSE)=U22,1,0)</f>
        <v>#N/A</v>
      </c>
      <c r="DH22" s="138" t="e">
        <f>IF(VLOOKUP(CONCATENATE(H22,F22,DH$2),Español!$A:$H,7,FALSE)=V22,1,0)</f>
        <v>#N/A</v>
      </c>
      <c r="DI22" s="138" t="e">
        <f>IF(VLOOKUP(CONCATENATE(H22,F22,DI$2),Español!$A:$H,7,FALSE)=W22,1,0)</f>
        <v>#N/A</v>
      </c>
      <c r="DJ22" s="138" t="e">
        <f>IF(VLOOKUP(CONCATENATE(H22,F22,DJ$2),Español!$A:$H,7,FALSE)=X22,1,0)</f>
        <v>#N/A</v>
      </c>
      <c r="DK22" s="138" t="e">
        <f>IF(VLOOKUP(CONCATENATE(H22,F22,DK$2),Español!$A:$H,7,FALSE)=Y22,1,0)</f>
        <v>#N/A</v>
      </c>
      <c r="DL22" s="138" t="e">
        <f>IF(VLOOKUP(CONCATENATE(H22,F22,DL$2),Español!$A:$H,7,FALSE)=Z22,1,0)</f>
        <v>#N/A</v>
      </c>
      <c r="DM22" s="138" t="e">
        <f>IF(VLOOKUP(CONCATENATE(H22,F22,DM$2),Español!$A:$H,7,FALSE)=AA22,1,0)</f>
        <v>#N/A</v>
      </c>
      <c r="DN22" s="138" t="e">
        <f>IF(VLOOKUP(CONCATENATE(H22,F22,DN$2),Español!$A:$H,7,FALSE)=AB22,1,0)</f>
        <v>#N/A</v>
      </c>
      <c r="DO22" s="138" t="e">
        <f>IF(VLOOKUP(CONCATENATE(H22,F22,DO$2),Español!$A:$H,7,FALSE)=AC22,1,0)</f>
        <v>#N/A</v>
      </c>
      <c r="DP22" s="138" t="e">
        <f>IF(VLOOKUP(CONCATENATE(H22,F22,DP$2),Español!$A:$H,7,FALSE)=AD22,1,0)</f>
        <v>#N/A</v>
      </c>
      <c r="DQ22" s="138" t="e">
        <f>IF(VLOOKUP(CONCATENATE(H22,F22,DQ$2),Español!$A:$H,7,FALSE)=AE22,1,0)</f>
        <v>#N/A</v>
      </c>
      <c r="DR22" s="138" t="e">
        <f>IF(VLOOKUP(CONCATENATE(H22,F22,DR$2),Inglés!$A:$H,7,FALSE)=AF22,1,0)</f>
        <v>#N/A</v>
      </c>
      <c r="DS22" s="138" t="e">
        <f>IF(VLOOKUP(CONCATENATE(H22,F22,DS$2),Inglés!$A:$H,7,FALSE)=AG22,1,0)</f>
        <v>#N/A</v>
      </c>
      <c r="DT22" s="138" t="e">
        <f>IF(VLOOKUP(CONCATENATE(H22,F22,DT$2),Inglés!$A:$H,7,FALSE)=AH22,1,0)</f>
        <v>#N/A</v>
      </c>
      <c r="DU22" s="138" t="e">
        <f>IF(VLOOKUP(CONCATENATE(H22,F22,DU$2),Inglés!$A:$H,7,FALSE)=AI22,1,0)</f>
        <v>#N/A</v>
      </c>
      <c r="DV22" s="138" t="e">
        <f>IF(VLOOKUP(CONCATENATE(H22,F22,DV$2),Inglés!$A:$H,7,FALSE)=AJ22,1,0)</f>
        <v>#N/A</v>
      </c>
      <c r="DW22" s="138" t="e">
        <f>IF(VLOOKUP(CONCATENATE(H22,F22,DW$2),Inglés!$A:$H,7,FALSE)=AK22,1,0)</f>
        <v>#N/A</v>
      </c>
      <c r="DX22" s="138" t="e">
        <f>IF(VLOOKUP(CONCATENATE(H22,F22,DX$2),Inglés!$A:$H,7,FALSE)=AL22,1,0)</f>
        <v>#N/A</v>
      </c>
      <c r="DY22" s="138" t="e">
        <f>IF(VLOOKUP(CONCATENATE(H22,F22,DY$2),Inglés!$A:$H,7,FALSE)=AM22,1,0)</f>
        <v>#N/A</v>
      </c>
      <c r="DZ22" s="138" t="e">
        <f>IF(VLOOKUP(CONCATENATE(H22,F22,DZ$2),Inglés!$A:$H,7,FALSE)=AN22,1,0)</f>
        <v>#N/A</v>
      </c>
      <c r="EA22" s="138" t="e">
        <f>IF(VLOOKUP(CONCATENATE(H22,F22,EA$2),Inglés!$A:$H,7,FALSE)=AO22,1,0)</f>
        <v>#N/A</v>
      </c>
      <c r="EB22" s="138" t="e">
        <f>IF(VLOOKUP(CONCATENATE(H22,F22,EB$2),Matemáticas!$A:$H,7,FALSE)=AP22,1,0)</f>
        <v>#N/A</v>
      </c>
      <c r="EC22" s="138" t="e">
        <f>IF(VLOOKUP(CONCATENATE(H22,F22,EC$2),Matemáticas!$A:$H,7,FALSE)=AQ22,1,0)</f>
        <v>#N/A</v>
      </c>
      <c r="ED22" s="138" t="e">
        <f>IF(VLOOKUP(CONCATENATE(H22,F22,ED$2),Matemáticas!$A:$H,7,FALSE)=AR22,1,0)</f>
        <v>#N/A</v>
      </c>
      <c r="EE22" s="138" t="e">
        <f>IF(VLOOKUP(CONCATENATE(H22,F22,EE$2),Matemáticas!$A:$H,7,FALSE)=AS22,1,0)</f>
        <v>#N/A</v>
      </c>
      <c r="EF22" s="138" t="e">
        <f>IF(VLOOKUP(CONCATENATE(H22,F22,EF$2),Matemáticas!$A:$H,7,FALSE)=AT22,1,0)</f>
        <v>#N/A</v>
      </c>
      <c r="EG22" s="138" t="e">
        <f>IF(VLOOKUP(CONCATENATE(H22,F22,EG$2),Matemáticas!$A:$H,7,FALSE)=AU22,1,0)</f>
        <v>#N/A</v>
      </c>
      <c r="EH22" s="138" t="e">
        <f>IF(VLOOKUP(CONCATENATE(H22,F22,EH$2),Matemáticas!$A:$H,7,FALSE)=AV22,1,0)</f>
        <v>#N/A</v>
      </c>
      <c r="EI22" s="138" t="e">
        <f>IF(VLOOKUP(CONCATENATE(H22,F22,EI$2),Matemáticas!$A:$H,7,FALSE)=AW22,1,0)</f>
        <v>#N/A</v>
      </c>
      <c r="EJ22" s="138" t="e">
        <f>IF(VLOOKUP(CONCATENATE(H22,F22,EJ$2),Matemáticas!$A:$H,7,FALSE)=AX22,1,0)</f>
        <v>#N/A</v>
      </c>
      <c r="EK22" s="138" t="e">
        <f>IF(VLOOKUP(CONCATENATE(H22,F22,EK$2),Matemáticas!$A:$H,7,FALSE)=AY22,1,0)</f>
        <v>#N/A</v>
      </c>
      <c r="EL22" s="138" t="e">
        <f>IF(VLOOKUP(CONCATENATE(H22,F22,EL$2),Matemáticas!$A:$H,7,FALSE)=AZ22,1,0)</f>
        <v>#N/A</v>
      </c>
      <c r="EM22" s="138" t="e">
        <f>IF(VLOOKUP(CONCATENATE(H22,F22,EM$2),Matemáticas!$A:$H,7,FALSE)=BA22,1,0)</f>
        <v>#N/A</v>
      </c>
      <c r="EN22" s="138" t="e">
        <f>IF(VLOOKUP(CONCATENATE(H22,F22,EN$2),Matemáticas!$A:$H,7,FALSE)=BB22,1,0)</f>
        <v>#N/A</v>
      </c>
      <c r="EO22" s="138" t="e">
        <f>IF(VLOOKUP(CONCATENATE(H22,F22,EO$2),Matemáticas!$A:$H,7,FALSE)=BC22,1,0)</f>
        <v>#N/A</v>
      </c>
      <c r="EP22" s="138" t="e">
        <f>IF(VLOOKUP(CONCATENATE(H22,F22,EP$2),Matemáticas!$A:$H,7,FALSE)=BD22,1,0)</f>
        <v>#N/A</v>
      </c>
      <c r="EQ22" s="138" t="e">
        <f>IF(VLOOKUP(CONCATENATE(H22,F22,EQ$2),Matemáticas!$A:$H,7,FALSE)=BE22,1,0)</f>
        <v>#N/A</v>
      </c>
      <c r="ER22" s="138" t="e">
        <f>IF(VLOOKUP(CONCATENATE(H22,F22,ER$2),Matemáticas!$A:$H,7,FALSE)=BF22,1,0)</f>
        <v>#N/A</v>
      </c>
      <c r="ES22" s="138" t="e">
        <f>IF(VLOOKUP(CONCATENATE(H22,F22,ES$2),Matemáticas!$A:$H,7,FALSE)=BG22,1,0)</f>
        <v>#N/A</v>
      </c>
      <c r="ET22" s="138" t="e">
        <f>IF(VLOOKUP(CONCATENATE(H22,F22,ET$2),Matemáticas!$A:$H,7,FALSE)=BH22,1,0)</f>
        <v>#N/A</v>
      </c>
      <c r="EU22" s="138" t="e">
        <f>IF(VLOOKUP(CONCATENATE(H22,F22,EU$2),Matemáticas!$A:$H,7,FALSE)=BI22,1,0)</f>
        <v>#N/A</v>
      </c>
      <c r="EV22" s="138" t="e">
        <f>IF(VLOOKUP(CONCATENATE(H22,F22,EV$2),Ciencias!$A:$H,7,FALSE)=BJ22,1,0)</f>
        <v>#N/A</v>
      </c>
      <c r="EW22" s="138" t="e">
        <f>IF(VLOOKUP(CONCATENATE(H22,F22,EW$2),Ciencias!$A:$H,7,FALSE)=BK22,1,0)</f>
        <v>#N/A</v>
      </c>
      <c r="EX22" s="138" t="e">
        <f>IF(VLOOKUP(CONCATENATE(H22,F22,EX$2),Ciencias!$A:$H,7,FALSE)=BL22,1,0)</f>
        <v>#N/A</v>
      </c>
      <c r="EY22" s="138" t="e">
        <f>IF(VLOOKUP(CONCATENATE(H22,F22,EY$2),Ciencias!$A:$H,7,FALSE)=BM22,1,0)</f>
        <v>#N/A</v>
      </c>
      <c r="EZ22" s="138" t="e">
        <f>IF(VLOOKUP(CONCATENATE(H22,F22,EZ$2),Ciencias!$A:$H,7,FALSE)=BN22,1,0)</f>
        <v>#N/A</v>
      </c>
      <c r="FA22" s="138" t="e">
        <f>IF(VLOOKUP(CONCATENATE(H22,F22,FA$2),Ciencias!$A:$H,7,FALSE)=BO22,1,0)</f>
        <v>#N/A</v>
      </c>
      <c r="FB22" s="138" t="e">
        <f>IF(VLOOKUP(CONCATENATE(H22,F22,FB$2),Ciencias!$A:$H,7,FALSE)=BP22,1,0)</f>
        <v>#N/A</v>
      </c>
      <c r="FC22" s="138" t="e">
        <f>IF(VLOOKUP(CONCATENATE(H22,F22,FC$2),Ciencias!$A:$H,7,FALSE)=BQ22,1,0)</f>
        <v>#N/A</v>
      </c>
      <c r="FD22" s="138" t="e">
        <f>IF(VLOOKUP(CONCATENATE(H22,F22,FD$2),Ciencias!$A:$H,7,FALSE)=BR22,1,0)</f>
        <v>#N/A</v>
      </c>
      <c r="FE22" s="138" t="e">
        <f>IF(VLOOKUP(CONCATENATE(H22,F22,FE$2),Ciencias!$A:$H,7,FALSE)=BS22,1,0)</f>
        <v>#N/A</v>
      </c>
      <c r="FF22" s="138" t="e">
        <f>IF(VLOOKUP(CONCATENATE(H22,F22,FF$2),Ciencias!$A:$H,7,FALSE)=BT22,1,0)</f>
        <v>#N/A</v>
      </c>
      <c r="FG22" s="138" t="e">
        <f>IF(VLOOKUP(CONCATENATE(H22,F22,FG$2),Ciencias!$A:$H,7,FALSE)=BU22,1,0)</f>
        <v>#N/A</v>
      </c>
      <c r="FH22" s="138" t="e">
        <f>IF(VLOOKUP(CONCATENATE(H22,F22,FH$2),Ciencias!$A:$H,7,FALSE)=BV22,1,0)</f>
        <v>#N/A</v>
      </c>
      <c r="FI22" s="138" t="e">
        <f>IF(VLOOKUP(CONCATENATE(H22,F22,FI$2),Ciencias!$A:$H,7,FALSE)=BW22,1,0)</f>
        <v>#N/A</v>
      </c>
      <c r="FJ22" s="138" t="e">
        <f>IF(VLOOKUP(CONCATENATE(H22,F22,FJ$2),Ciencias!$A:$H,7,FALSE)=BX22,1,0)</f>
        <v>#N/A</v>
      </c>
      <c r="FK22" s="138" t="e">
        <f>IF(VLOOKUP(CONCATENATE(H22,F22,FK$2),Ciencias!$A:$H,7,FALSE)=BY22,1,0)</f>
        <v>#N/A</v>
      </c>
      <c r="FL22" s="138" t="e">
        <f>IF(VLOOKUP(CONCATENATE(H22,F22,FL$2),Ciencias!$A:$H,7,FALSE)=BZ22,1,0)</f>
        <v>#N/A</v>
      </c>
      <c r="FM22" s="138" t="e">
        <f>IF(VLOOKUP(CONCATENATE(H22,F22,FM$2),Ciencias!$A:$H,7,FALSE)=CA22,1,0)</f>
        <v>#N/A</v>
      </c>
      <c r="FN22" s="138" t="e">
        <f>IF(VLOOKUP(CONCATENATE(H22,F22,FN$2),Ciencias!$A:$H,7,FALSE)=CB22,1,0)</f>
        <v>#N/A</v>
      </c>
      <c r="FO22" s="138" t="e">
        <f>IF(VLOOKUP(CONCATENATE(H22,F22,FO$2),Ciencias!$A:$H,7,FALSE)=CC22,1,0)</f>
        <v>#N/A</v>
      </c>
      <c r="FP22" s="138" t="e">
        <f>IF(VLOOKUP(CONCATENATE(H22,F22,FP$2),GeoHis!$A:$H,7,FALSE)=CD22,1,0)</f>
        <v>#N/A</v>
      </c>
      <c r="FQ22" s="138" t="e">
        <f>IF(VLOOKUP(CONCATENATE(H22,F22,FQ$2),GeoHis!$A:$H,7,FALSE)=CE22,1,0)</f>
        <v>#N/A</v>
      </c>
      <c r="FR22" s="138" t="e">
        <f>IF(VLOOKUP(CONCATENATE(H22,F22,FR$2),GeoHis!$A:$H,7,FALSE)=CF22,1,0)</f>
        <v>#N/A</v>
      </c>
      <c r="FS22" s="138" t="e">
        <f>IF(VLOOKUP(CONCATENATE(H22,F22,FS$2),GeoHis!$A:$H,7,FALSE)=CG22,1,0)</f>
        <v>#N/A</v>
      </c>
      <c r="FT22" s="138" t="e">
        <f>IF(VLOOKUP(CONCATENATE(H22,F22,FT$2),GeoHis!$A:$H,7,FALSE)=CH22,1,0)</f>
        <v>#N/A</v>
      </c>
      <c r="FU22" s="138" t="e">
        <f>IF(VLOOKUP(CONCATENATE(H22,F22,FU$2),GeoHis!$A:$H,7,FALSE)=CI22,1,0)</f>
        <v>#N/A</v>
      </c>
      <c r="FV22" s="138" t="e">
        <f>IF(VLOOKUP(CONCATENATE(H22,F22,FV$2),GeoHis!$A:$H,7,FALSE)=CJ22,1,0)</f>
        <v>#N/A</v>
      </c>
      <c r="FW22" s="138" t="e">
        <f>IF(VLOOKUP(CONCATENATE(H22,F22,FW$2),GeoHis!$A:$H,7,FALSE)=CK22,1,0)</f>
        <v>#N/A</v>
      </c>
      <c r="FX22" s="138" t="e">
        <f>IF(VLOOKUP(CONCATENATE(H22,F22,FX$2),GeoHis!$A:$H,7,FALSE)=CL22,1,0)</f>
        <v>#N/A</v>
      </c>
      <c r="FY22" s="138" t="e">
        <f>IF(VLOOKUP(CONCATENATE(H22,F22,FY$2),GeoHis!$A:$H,7,FALSE)=CM22,1,0)</f>
        <v>#N/A</v>
      </c>
      <c r="FZ22" s="138" t="e">
        <f>IF(VLOOKUP(CONCATENATE(H22,F22,FZ$2),GeoHis!$A:$H,7,FALSE)=CN22,1,0)</f>
        <v>#N/A</v>
      </c>
      <c r="GA22" s="138" t="e">
        <f>IF(VLOOKUP(CONCATENATE(H22,F22,GA$2),GeoHis!$A:$H,7,FALSE)=CO22,1,0)</f>
        <v>#N/A</v>
      </c>
      <c r="GB22" s="138" t="e">
        <f>IF(VLOOKUP(CONCATENATE(H22,F22,GB$2),GeoHis!$A:$H,7,FALSE)=CP22,1,0)</f>
        <v>#N/A</v>
      </c>
      <c r="GC22" s="138" t="e">
        <f>IF(VLOOKUP(CONCATENATE(H22,F22,GC$2),GeoHis!$A:$H,7,FALSE)=CQ22,1,0)</f>
        <v>#N/A</v>
      </c>
      <c r="GD22" s="138" t="e">
        <f>IF(VLOOKUP(CONCATENATE(H22,F22,GD$2),GeoHis!$A:$H,7,FALSE)=CR22,1,0)</f>
        <v>#N/A</v>
      </c>
      <c r="GE22" s="135" t="str">
        <f t="shared" si="6"/>
        <v/>
      </c>
    </row>
    <row r="23" spans="1:187" x14ac:dyDescent="0.25">
      <c r="A23" s="127" t="str">
        <f>IF(C23="","",'Datos Generales'!$A$25)</f>
        <v/>
      </c>
      <c r="D23" s="126" t="str">
        <f t="shared" si="0"/>
        <v/>
      </c>
      <c r="E23" s="126">
        <f t="shared" si="1"/>
        <v>0</v>
      </c>
      <c r="F23" s="126" t="str">
        <f t="shared" si="7"/>
        <v/>
      </c>
      <c r="G23" s="126" t="str">
        <f>IF(C23="","",'Datos Generales'!$D$19)</f>
        <v/>
      </c>
      <c r="H23" s="21" t="str">
        <f>IF(C23="","",'Datos Generales'!$A$19)</f>
        <v/>
      </c>
      <c r="I23" s="126" t="str">
        <f>IF(C23="","",'Datos Generales'!$A$7)</f>
        <v/>
      </c>
      <c r="J23" s="21" t="str">
        <f>IF(C23="","",'Datos Generales'!$A$13)</f>
        <v/>
      </c>
      <c r="K23" s="21" t="str">
        <f>IF(C23="","",'Datos Generales'!$A$10)</f>
        <v/>
      </c>
      <c r="CS23" s="142" t="str">
        <f t="shared" si="2"/>
        <v/>
      </c>
      <c r="CT23" s="142" t="str">
        <f t="shared" si="3"/>
        <v/>
      </c>
      <c r="CU23" s="142" t="str">
        <f t="shared" si="4"/>
        <v/>
      </c>
      <c r="CV23" s="142" t="str">
        <f t="shared" si="5"/>
        <v/>
      </c>
      <c r="CW23" s="142" t="str">
        <f>IF(C23="","",IF('Datos Generales'!$A$19=1,AVERAGE(FP23:GD23),AVERAGE(Captura!FP23:FY23)))</f>
        <v/>
      </c>
      <c r="CX23" s="138" t="e">
        <f>IF(VLOOKUP(CONCATENATE($H$4,$F$4,CX$2),Español!$A:$H,7,FALSE)=L23,1,0)</f>
        <v>#N/A</v>
      </c>
      <c r="CY23" s="138" t="e">
        <f>IF(VLOOKUP(CONCATENATE(H23,F23,CY$2),Español!$A:$H,7,FALSE)=M23,1,0)</f>
        <v>#N/A</v>
      </c>
      <c r="CZ23" s="138" t="e">
        <f>IF(VLOOKUP(CONCATENATE(H23,F23,CZ$2),Español!$A:$H,7,FALSE)=N23,1,0)</f>
        <v>#N/A</v>
      </c>
      <c r="DA23" s="138" t="e">
        <f>IF(VLOOKUP(CONCATENATE(H23,F23,DA$2),Español!$A:$H,7,FALSE)=O23,1,0)</f>
        <v>#N/A</v>
      </c>
      <c r="DB23" s="138" t="e">
        <f>IF(VLOOKUP(CONCATENATE(H23,F23,DB$2),Español!$A:$H,7,FALSE)=P23,1,0)</f>
        <v>#N/A</v>
      </c>
      <c r="DC23" s="138" t="e">
        <f>IF(VLOOKUP(CONCATENATE(H23,F23,DC$2),Español!$A:$H,7,FALSE)=Q23,1,0)</f>
        <v>#N/A</v>
      </c>
      <c r="DD23" s="138" t="e">
        <f>IF(VLOOKUP(CONCATENATE(H23,F23,DD$2),Español!$A:$H,7,FALSE)=R23,1,0)</f>
        <v>#N/A</v>
      </c>
      <c r="DE23" s="138" t="e">
        <f>IF(VLOOKUP(CONCATENATE(H23,F23,DE$2),Español!$A:$H,7,FALSE)=S23,1,0)</f>
        <v>#N/A</v>
      </c>
      <c r="DF23" s="138" t="e">
        <f>IF(VLOOKUP(CONCATENATE(H23,F23,DF$2),Español!$A:$H,7,FALSE)=T23,1,0)</f>
        <v>#N/A</v>
      </c>
      <c r="DG23" s="138" t="e">
        <f>IF(VLOOKUP(CONCATENATE(H23,F23,DG$2),Español!$A:$H,7,FALSE)=U23,1,0)</f>
        <v>#N/A</v>
      </c>
      <c r="DH23" s="138" t="e">
        <f>IF(VLOOKUP(CONCATENATE(H23,F23,DH$2),Español!$A:$H,7,FALSE)=V23,1,0)</f>
        <v>#N/A</v>
      </c>
      <c r="DI23" s="138" t="e">
        <f>IF(VLOOKUP(CONCATENATE(H23,F23,DI$2),Español!$A:$H,7,FALSE)=W23,1,0)</f>
        <v>#N/A</v>
      </c>
      <c r="DJ23" s="138" t="e">
        <f>IF(VLOOKUP(CONCATENATE(H23,F23,DJ$2),Español!$A:$H,7,FALSE)=X23,1,0)</f>
        <v>#N/A</v>
      </c>
      <c r="DK23" s="138" t="e">
        <f>IF(VLOOKUP(CONCATENATE(H23,F23,DK$2),Español!$A:$H,7,FALSE)=Y23,1,0)</f>
        <v>#N/A</v>
      </c>
      <c r="DL23" s="138" t="e">
        <f>IF(VLOOKUP(CONCATENATE(H23,F23,DL$2),Español!$A:$H,7,FALSE)=Z23,1,0)</f>
        <v>#N/A</v>
      </c>
      <c r="DM23" s="138" t="e">
        <f>IF(VLOOKUP(CONCATENATE(H23,F23,DM$2),Español!$A:$H,7,FALSE)=AA23,1,0)</f>
        <v>#N/A</v>
      </c>
      <c r="DN23" s="138" t="e">
        <f>IF(VLOOKUP(CONCATENATE(H23,F23,DN$2),Español!$A:$H,7,FALSE)=AB23,1,0)</f>
        <v>#N/A</v>
      </c>
      <c r="DO23" s="138" t="e">
        <f>IF(VLOOKUP(CONCATENATE(H23,F23,DO$2),Español!$A:$H,7,FALSE)=AC23,1,0)</f>
        <v>#N/A</v>
      </c>
      <c r="DP23" s="138" t="e">
        <f>IF(VLOOKUP(CONCATENATE(H23,F23,DP$2),Español!$A:$H,7,FALSE)=AD23,1,0)</f>
        <v>#N/A</v>
      </c>
      <c r="DQ23" s="138" t="e">
        <f>IF(VLOOKUP(CONCATENATE(H23,F23,DQ$2),Español!$A:$H,7,FALSE)=AE23,1,0)</f>
        <v>#N/A</v>
      </c>
      <c r="DR23" s="138" t="e">
        <f>IF(VLOOKUP(CONCATENATE(H23,F23,DR$2),Inglés!$A:$H,7,FALSE)=AF23,1,0)</f>
        <v>#N/A</v>
      </c>
      <c r="DS23" s="138" t="e">
        <f>IF(VLOOKUP(CONCATENATE(H23,F23,DS$2),Inglés!$A:$H,7,FALSE)=AG23,1,0)</f>
        <v>#N/A</v>
      </c>
      <c r="DT23" s="138" t="e">
        <f>IF(VLOOKUP(CONCATENATE(H23,F23,DT$2),Inglés!$A:$H,7,FALSE)=AH23,1,0)</f>
        <v>#N/A</v>
      </c>
      <c r="DU23" s="138" t="e">
        <f>IF(VLOOKUP(CONCATENATE(H23,F23,DU$2),Inglés!$A:$H,7,FALSE)=AI23,1,0)</f>
        <v>#N/A</v>
      </c>
      <c r="DV23" s="138" t="e">
        <f>IF(VLOOKUP(CONCATENATE(H23,F23,DV$2),Inglés!$A:$H,7,FALSE)=AJ23,1,0)</f>
        <v>#N/A</v>
      </c>
      <c r="DW23" s="138" t="e">
        <f>IF(VLOOKUP(CONCATENATE(H23,F23,DW$2),Inglés!$A:$H,7,FALSE)=AK23,1,0)</f>
        <v>#N/A</v>
      </c>
      <c r="DX23" s="138" t="e">
        <f>IF(VLOOKUP(CONCATENATE(H23,F23,DX$2),Inglés!$A:$H,7,FALSE)=AL23,1,0)</f>
        <v>#N/A</v>
      </c>
      <c r="DY23" s="138" t="e">
        <f>IF(VLOOKUP(CONCATENATE(H23,F23,DY$2),Inglés!$A:$H,7,FALSE)=AM23,1,0)</f>
        <v>#N/A</v>
      </c>
      <c r="DZ23" s="138" t="e">
        <f>IF(VLOOKUP(CONCATENATE(H23,F23,DZ$2),Inglés!$A:$H,7,FALSE)=AN23,1,0)</f>
        <v>#N/A</v>
      </c>
      <c r="EA23" s="138" t="e">
        <f>IF(VLOOKUP(CONCATENATE(H23,F23,EA$2),Inglés!$A:$H,7,FALSE)=AO23,1,0)</f>
        <v>#N/A</v>
      </c>
      <c r="EB23" s="138" t="e">
        <f>IF(VLOOKUP(CONCATENATE(H23,F23,EB$2),Matemáticas!$A:$H,7,FALSE)=AP23,1,0)</f>
        <v>#N/A</v>
      </c>
      <c r="EC23" s="138" t="e">
        <f>IF(VLOOKUP(CONCATENATE(H23,F23,EC$2),Matemáticas!$A:$H,7,FALSE)=AQ23,1,0)</f>
        <v>#N/A</v>
      </c>
      <c r="ED23" s="138" t="e">
        <f>IF(VLOOKUP(CONCATENATE(H23,F23,ED$2),Matemáticas!$A:$H,7,FALSE)=AR23,1,0)</f>
        <v>#N/A</v>
      </c>
      <c r="EE23" s="138" t="e">
        <f>IF(VLOOKUP(CONCATENATE(H23,F23,EE$2),Matemáticas!$A:$H,7,FALSE)=AS23,1,0)</f>
        <v>#N/A</v>
      </c>
      <c r="EF23" s="138" t="e">
        <f>IF(VLOOKUP(CONCATENATE(H23,F23,EF$2),Matemáticas!$A:$H,7,FALSE)=AT23,1,0)</f>
        <v>#N/A</v>
      </c>
      <c r="EG23" s="138" t="e">
        <f>IF(VLOOKUP(CONCATENATE(H23,F23,EG$2),Matemáticas!$A:$H,7,FALSE)=AU23,1,0)</f>
        <v>#N/A</v>
      </c>
      <c r="EH23" s="138" t="e">
        <f>IF(VLOOKUP(CONCATENATE(H23,F23,EH$2),Matemáticas!$A:$H,7,FALSE)=AV23,1,0)</f>
        <v>#N/A</v>
      </c>
      <c r="EI23" s="138" t="e">
        <f>IF(VLOOKUP(CONCATENATE(H23,F23,EI$2),Matemáticas!$A:$H,7,FALSE)=AW23,1,0)</f>
        <v>#N/A</v>
      </c>
      <c r="EJ23" s="138" t="e">
        <f>IF(VLOOKUP(CONCATENATE(H23,F23,EJ$2),Matemáticas!$A:$H,7,FALSE)=AX23,1,0)</f>
        <v>#N/A</v>
      </c>
      <c r="EK23" s="138" t="e">
        <f>IF(VLOOKUP(CONCATENATE(H23,F23,EK$2),Matemáticas!$A:$H,7,FALSE)=AY23,1,0)</f>
        <v>#N/A</v>
      </c>
      <c r="EL23" s="138" t="e">
        <f>IF(VLOOKUP(CONCATENATE(H23,F23,EL$2),Matemáticas!$A:$H,7,FALSE)=AZ23,1,0)</f>
        <v>#N/A</v>
      </c>
      <c r="EM23" s="138" t="e">
        <f>IF(VLOOKUP(CONCATENATE(H23,F23,EM$2),Matemáticas!$A:$H,7,FALSE)=BA23,1,0)</f>
        <v>#N/A</v>
      </c>
      <c r="EN23" s="138" t="e">
        <f>IF(VLOOKUP(CONCATENATE(H23,F23,EN$2),Matemáticas!$A:$H,7,FALSE)=BB23,1,0)</f>
        <v>#N/A</v>
      </c>
      <c r="EO23" s="138" t="e">
        <f>IF(VLOOKUP(CONCATENATE(H23,F23,EO$2),Matemáticas!$A:$H,7,FALSE)=BC23,1,0)</f>
        <v>#N/A</v>
      </c>
      <c r="EP23" s="138" t="e">
        <f>IF(VLOOKUP(CONCATENATE(H23,F23,EP$2),Matemáticas!$A:$H,7,FALSE)=BD23,1,0)</f>
        <v>#N/A</v>
      </c>
      <c r="EQ23" s="138" t="e">
        <f>IF(VLOOKUP(CONCATENATE(H23,F23,EQ$2),Matemáticas!$A:$H,7,FALSE)=BE23,1,0)</f>
        <v>#N/A</v>
      </c>
      <c r="ER23" s="138" t="e">
        <f>IF(VLOOKUP(CONCATENATE(H23,F23,ER$2),Matemáticas!$A:$H,7,FALSE)=BF23,1,0)</f>
        <v>#N/A</v>
      </c>
      <c r="ES23" s="138" t="e">
        <f>IF(VLOOKUP(CONCATENATE(H23,F23,ES$2),Matemáticas!$A:$H,7,FALSE)=BG23,1,0)</f>
        <v>#N/A</v>
      </c>
      <c r="ET23" s="138" t="e">
        <f>IF(VLOOKUP(CONCATENATE(H23,F23,ET$2),Matemáticas!$A:$H,7,FALSE)=BH23,1,0)</f>
        <v>#N/A</v>
      </c>
      <c r="EU23" s="138" t="e">
        <f>IF(VLOOKUP(CONCATENATE(H23,F23,EU$2),Matemáticas!$A:$H,7,FALSE)=BI23,1,0)</f>
        <v>#N/A</v>
      </c>
      <c r="EV23" s="138" t="e">
        <f>IF(VLOOKUP(CONCATENATE(H23,F23,EV$2),Ciencias!$A:$H,7,FALSE)=BJ23,1,0)</f>
        <v>#N/A</v>
      </c>
      <c r="EW23" s="138" t="e">
        <f>IF(VLOOKUP(CONCATENATE(H23,F23,EW$2),Ciencias!$A:$H,7,FALSE)=BK23,1,0)</f>
        <v>#N/A</v>
      </c>
      <c r="EX23" s="138" t="e">
        <f>IF(VLOOKUP(CONCATENATE(H23,F23,EX$2),Ciencias!$A:$H,7,FALSE)=BL23,1,0)</f>
        <v>#N/A</v>
      </c>
      <c r="EY23" s="138" t="e">
        <f>IF(VLOOKUP(CONCATENATE(H23,F23,EY$2),Ciencias!$A:$H,7,FALSE)=BM23,1,0)</f>
        <v>#N/A</v>
      </c>
      <c r="EZ23" s="138" t="e">
        <f>IF(VLOOKUP(CONCATENATE(H23,F23,EZ$2),Ciencias!$A:$H,7,FALSE)=BN23,1,0)</f>
        <v>#N/A</v>
      </c>
      <c r="FA23" s="138" t="e">
        <f>IF(VLOOKUP(CONCATENATE(H23,F23,FA$2),Ciencias!$A:$H,7,FALSE)=BO23,1,0)</f>
        <v>#N/A</v>
      </c>
      <c r="FB23" s="138" t="e">
        <f>IF(VLOOKUP(CONCATENATE(H23,F23,FB$2),Ciencias!$A:$H,7,FALSE)=BP23,1,0)</f>
        <v>#N/A</v>
      </c>
      <c r="FC23" s="138" t="e">
        <f>IF(VLOOKUP(CONCATENATE(H23,F23,FC$2),Ciencias!$A:$H,7,FALSE)=BQ23,1,0)</f>
        <v>#N/A</v>
      </c>
      <c r="FD23" s="138" t="e">
        <f>IF(VLOOKUP(CONCATENATE(H23,F23,FD$2),Ciencias!$A:$H,7,FALSE)=BR23,1,0)</f>
        <v>#N/A</v>
      </c>
      <c r="FE23" s="138" t="e">
        <f>IF(VLOOKUP(CONCATENATE(H23,F23,FE$2),Ciencias!$A:$H,7,FALSE)=BS23,1,0)</f>
        <v>#N/A</v>
      </c>
      <c r="FF23" s="138" t="e">
        <f>IF(VLOOKUP(CONCATENATE(H23,F23,FF$2),Ciencias!$A:$H,7,FALSE)=BT23,1,0)</f>
        <v>#N/A</v>
      </c>
      <c r="FG23" s="138" t="e">
        <f>IF(VLOOKUP(CONCATENATE(H23,F23,FG$2),Ciencias!$A:$H,7,FALSE)=BU23,1,0)</f>
        <v>#N/A</v>
      </c>
      <c r="FH23" s="138" t="e">
        <f>IF(VLOOKUP(CONCATENATE(H23,F23,FH$2),Ciencias!$A:$H,7,FALSE)=BV23,1,0)</f>
        <v>#N/A</v>
      </c>
      <c r="FI23" s="138" t="e">
        <f>IF(VLOOKUP(CONCATENATE(H23,F23,FI$2),Ciencias!$A:$H,7,FALSE)=BW23,1,0)</f>
        <v>#N/A</v>
      </c>
      <c r="FJ23" s="138" t="e">
        <f>IF(VLOOKUP(CONCATENATE(H23,F23,FJ$2),Ciencias!$A:$H,7,FALSE)=BX23,1,0)</f>
        <v>#N/A</v>
      </c>
      <c r="FK23" s="138" t="e">
        <f>IF(VLOOKUP(CONCATENATE(H23,F23,FK$2),Ciencias!$A:$H,7,FALSE)=BY23,1,0)</f>
        <v>#N/A</v>
      </c>
      <c r="FL23" s="138" t="e">
        <f>IF(VLOOKUP(CONCATENATE(H23,F23,FL$2),Ciencias!$A:$H,7,FALSE)=BZ23,1,0)</f>
        <v>#N/A</v>
      </c>
      <c r="FM23" s="138" t="e">
        <f>IF(VLOOKUP(CONCATENATE(H23,F23,FM$2),Ciencias!$A:$H,7,FALSE)=CA23,1,0)</f>
        <v>#N/A</v>
      </c>
      <c r="FN23" s="138" t="e">
        <f>IF(VLOOKUP(CONCATENATE(H23,F23,FN$2),Ciencias!$A:$H,7,FALSE)=CB23,1,0)</f>
        <v>#N/A</v>
      </c>
      <c r="FO23" s="138" t="e">
        <f>IF(VLOOKUP(CONCATENATE(H23,F23,FO$2),Ciencias!$A:$H,7,FALSE)=CC23,1,0)</f>
        <v>#N/A</v>
      </c>
      <c r="FP23" s="138" t="e">
        <f>IF(VLOOKUP(CONCATENATE(H23,F23,FP$2),GeoHis!$A:$H,7,FALSE)=CD23,1,0)</f>
        <v>#N/A</v>
      </c>
      <c r="FQ23" s="138" t="e">
        <f>IF(VLOOKUP(CONCATENATE(H23,F23,FQ$2),GeoHis!$A:$H,7,FALSE)=CE23,1,0)</f>
        <v>#N/A</v>
      </c>
      <c r="FR23" s="138" t="e">
        <f>IF(VLOOKUP(CONCATENATE(H23,F23,FR$2),GeoHis!$A:$H,7,FALSE)=CF23,1,0)</f>
        <v>#N/A</v>
      </c>
      <c r="FS23" s="138" t="e">
        <f>IF(VLOOKUP(CONCATENATE(H23,F23,FS$2),GeoHis!$A:$H,7,FALSE)=CG23,1,0)</f>
        <v>#N/A</v>
      </c>
      <c r="FT23" s="138" t="e">
        <f>IF(VLOOKUP(CONCATENATE(H23,F23,FT$2),GeoHis!$A:$H,7,FALSE)=CH23,1,0)</f>
        <v>#N/A</v>
      </c>
      <c r="FU23" s="138" t="e">
        <f>IF(VLOOKUP(CONCATENATE(H23,F23,FU$2),GeoHis!$A:$H,7,FALSE)=CI23,1,0)</f>
        <v>#N/A</v>
      </c>
      <c r="FV23" s="138" t="e">
        <f>IF(VLOOKUP(CONCATENATE(H23,F23,FV$2),GeoHis!$A:$H,7,FALSE)=CJ23,1,0)</f>
        <v>#N/A</v>
      </c>
      <c r="FW23" s="138" t="e">
        <f>IF(VLOOKUP(CONCATENATE(H23,F23,FW$2),GeoHis!$A:$H,7,FALSE)=CK23,1,0)</f>
        <v>#N/A</v>
      </c>
      <c r="FX23" s="138" t="e">
        <f>IF(VLOOKUP(CONCATENATE(H23,F23,FX$2),GeoHis!$A:$H,7,FALSE)=CL23,1,0)</f>
        <v>#N/A</v>
      </c>
      <c r="FY23" s="138" t="e">
        <f>IF(VLOOKUP(CONCATENATE(H23,F23,FY$2),GeoHis!$A:$H,7,FALSE)=CM23,1,0)</f>
        <v>#N/A</v>
      </c>
      <c r="FZ23" s="138" t="e">
        <f>IF(VLOOKUP(CONCATENATE(H23,F23,FZ$2),GeoHis!$A:$H,7,FALSE)=CN23,1,0)</f>
        <v>#N/A</v>
      </c>
      <c r="GA23" s="138" t="e">
        <f>IF(VLOOKUP(CONCATENATE(H23,F23,GA$2),GeoHis!$A:$H,7,FALSE)=CO23,1,0)</f>
        <v>#N/A</v>
      </c>
      <c r="GB23" s="138" t="e">
        <f>IF(VLOOKUP(CONCATENATE(H23,F23,GB$2),GeoHis!$A:$H,7,FALSE)=CP23,1,0)</f>
        <v>#N/A</v>
      </c>
      <c r="GC23" s="138" t="e">
        <f>IF(VLOOKUP(CONCATENATE(H23,F23,GC$2),GeoHis!$A:$H,7,FALSE)=CQ23,1,0)</f>
        <v>#N/A</v>
      </c>
      <c r="GD23" s="138" t="e">
        <f>IF(VLOOKUP(CONCATENATE(H23,F23,GD$2),GeoHis!$A:$H,7,FALSE)=CR23,1,0)</f>
        <v>#N/A</v>
      </c>
      <c r="GE23" s="135" t="str">
        <f t="shared" si="6"/>
        <v/>
      </c>
    </row>
    <row r="24" spans="1:187" x14ac:dyDescent="0.25">
      <c r="A24" s="127" t="str">
        <f>IF(C24="","",'Datos Generales'!$A$25)</f>
        <v/>
      </c>
      <c r="D24" s="126" t="str">
        <f t="shared" si="0"/>
        <v/>
      </c>
      <c r="E24" s="126">
        <f t="shared" si="1"/>
        <v>0</v>
      </c>
      <c r="F24" s="126" t="str">
        <f t="shared" si="7"/>
        <v/>
      </c>
      <c r="G24" s="126" t="str">
        <f>IF(C24="","",'Datos Generales'!$D$19)</f>
        <v/>
      </c>
      <c r="H24" s="21" t="str">
        <f>IF(C24="","",'Datos Generales'!$A$19)</f>
        <v/>
      </c>
      <c r="I24" s="126" t="str">
        <f>IF(C24="","",'Datos Generales'!$A$7)</f>
        <v/>
      </c>
      <c r="J24" s="21" t="str">
        <f>IF(C24="","",'Datos Generales'!$A$13)</f>
        <v/>
      </c>
      <c r="K24" s="21" t="str">
        <f>IF(C24="","",'Datos Generales'!$A$10)</f>
        <v/>
      </c>
      <c r="CS24" s="142" t="str">
        <f t="shared" si="2"/>
        <v/>
      </c>
      <c r="CT24" s="142" t="str">
        <f t="shared" si="3"/>
        <v/>
      </c>
      <c r="CU24" s="142" t="str">
        <f t="shared" si="4"/>
        <v/>
      </c>
      <c r="CV24" s="142" t="str">
        <f t="shared" si="5"/>
        <v/>
      </c>
      <c r="CW24" s="142" t="str">
        <f>IF(C24="","",IF('Datos Generales'!$A$19=1,AVERAGE(FP24:GD24),AVERAGE(Captura!FP24:FY24)))</f>
        <v/>
      </c>
      <c r="CX24" s="138" t="e">
        <f>IF(VLOOKUP(CONCATENATE($H$4,$F$4,CX$2),Español!$A:$H,7,FALSE)=L24,1,0)</f>
        <v>#N/A</v>
      </c>
      <c r="CY24" s="138" t="e">
        <f>IF(VLOOKUP(CONCATENATE(H24,F24,CY$2),Español!$A:$H,7,FALSE)=M24,1,0)</f>
        <v>#N/A</v>
      </c>
      <c r="CZ24" s="138" t="e">
        <f>IF(VLOOKUP(CONCATENATE(H24,F24,CZ$2),Español!$A:$H,7,FALSE)=N24,1,0)</f>
        <v>#N/A</v>
      </c>
      <c r="DA24" s="138" t="e">
        <f>IF(VLOOKUP(CONCATENATE(H24,F24,DA$2),Español!$A:$H,7,FALSE)=O24,1,0)</f>
        <v>#N/A</v>
      </c>
      <c r="DB24" s="138" t="e">
        <f>IF(VLOOKUP(CONCATENATE(H24,F24,DB$2),Español!$A:$H,7,FALSE)=P24,1,0)</f>
        <v>#N/A</v>
      </c>
      <c r="DC24" s="138" t="e">
        <f>IF(VLOOKUP(CONCATENATE(H24,F24,DC$2),Español!$A:$H,7,FALSE)=Q24,1,0)</f>
        <v>#N/A</v>
      </c>
      <c r="DD24" s="138" t="e">
        <f>IF(VLOOKUP(CONCATENATE(H24,F24,DD$2),Español!$A:$H,7,FALSE)=R24,1,0)</f>
        <v>#N/A</v>
      </c>
      <c r="DE24" s="138" t="e">
        <f>IF(VLOOKUP(CONCATENATE(H24,F24,DE$2),Español!$A:$H,7,FALSE)=S24,1,0)</f>
        <v>#N/A</v>
      </c>
      <c r="DF24" s="138" t="e">
        <f>IF(VLOOKUP(CONCATENATE(H24,F24,DF$2),Español!$A:$H,7,FALSE)=T24,1,0)</f>
        <v>#N/A</v>
      </c>
      <c r="DG24" s="138" t="e">
        <f>IF(VLOOKUP(CONCATENATE(H24,F24,DG$2),Español!$A:$H,7,FALSE)=U24,1,0)</f>
        <v>#N/A</v>
      </c>
      <c r="DH24" s="138" t="e">
        <f>IF(VLOOKUP(CONCATENATE(H24,F24,DH$2),Español!$A:$H,7,FALSE)=V24,1,0)</f>
        <v>#N/A</v>
      </c>
      <c r="DI24" s="138" t="e">
        <f>IF(VLOOKUP(CONCATENATE(H24,F24,DI$2),Español!$A:$H,7,FALSE)=W24,1,0)</f>
        <v>#N/A</v>
      </c>
      <c r="DJ24" s="138" t="e">
        <f>IF(VLOOKUP(CONCATENATE(H24,F24,DJ$2),Español!$A:$H,7,FALSE)=X24,1,0)</f>
        <v>#N/A</v>
      </c>
      <c r="DK24" s="138" t="e">
        <f>IF(VLOOKUP(CONCATENATE(H24,F24,DK$2),Español!$A:$H,7,FALSE)=Y24,1,0)</f>
        <v>#N/A</v>
      </c>
      <c r="DL24" s="138" t="e">
        <f>IF(VLOOKUP(CONCATENATE(H24,F24,DL$2),Español!$A:$H,7,FALSE)=Z24,1,0)</f>
        <v>#N/A</v>
      </c>
      <c r="DM24" s="138" t="e">
        <f>IF(VLOOKUP(CONCATENATE(H24,F24,DM$2),Español!$A:$H,7,FALSE)=AA24,1,0)</f>
        <v>#N/A</v>
      </c>
      <c r="DN24" s="138" t="e">
        <f>IF(VLOOKUP(CONCATENATE(H24,F24,DN$2),Español!$A:$H,7,FALSE)=AB24,1,0)</f>
        <v>#N/A</v>
      </c>
      <c r="DO24" s="138" t="e">
        <f>IF(VLOOKUP(CONCATENATE(H24,F24,DO$2),Español!$A:$H,7,FALSE)=AC24,1,0)</f>
        <v>#N/A</v>
      </c>
      <c r="DP24" s="138" t="e">
        <f>IF(VLOOKUP(CONCATENATE(H24,F24,DP$2),Español!$A:$H,7,FALSE)=AD24,1,0)</f>
        <v>#N/A</v>
      </c>
      <c r="DQ24" s="138" t="e">
        <f>IF(VLOOKUP(CONCATENATE(H24,F24,DQ$2),Español!$A:$H,7,FALSE)=AE24,1,0)</f>
        <v>#N/A</v>
      </c>
      <c r="DR24" s="138" t="e">
        <f>IF(VLOOKUP(CONCATENATE(H24,F24,DR$2),Inglés!$A:$H,7,FALSE)=AF24,1,0)</f>
        <v>#N/A</v>
      </c>
      <c r="DS24" s="138" t="e">
        <f>IF(VLOOKUP(CONCATENATE(H24,F24,DS$2),Inglés!$A:$H,7,FALSE)=AG24,1,0)</f>
        <v>#N/A</v>
      </c>
      <c r="DT24" s="138" t="e">
        <f>IF(VLOOKUP(CONCATENATE(H24,F24,DT$2),Inglés!$A:$H,7,FALSE)=AH24,1,0)</f>
        <v>#N/A</v>
      </c>
      <c r="DU24" s="138" t="e">
        <f>IF(VLOOKUP(CONCATENATE(H24,F24,DU$2),Inglés!$A:$H,7,FALSE)=AI24,1,0)</f>
        <v>#N/A</v>
      </c>
      <c r="DV24" s="138" t="e">
        <f>IF(VLOOKUP(CONCATENATE(H24,F24,DV$2),Inglés!$A:$H,7,FALSE)=AJ24,1,0)</f>
        <v>#N/A</v>
      </c>
      <c r="DW24" s="138" t="e">
        <f>IF(VLOOKUP(CONCATENATE(H24,F24,DW$2),Inglés!$A:$H,7,FALSE)=AK24,1,0)</f>
        <v>#N/A</v>
      </c>
      <c r="DX24" s="138" t="e">
        <f>IF(VLOOKUP(CONCATENATE(H24,F24,DX$2),Inglés!$A:$H,7,FALSE)=AL24,1,0)</f>
        <v>#N/A</v>
      </c>
      <c r="DY24" s="138" t="e">
        <f>IF(VLOOKUP(CONCATENATE(H24,F24,DY$2),Inglés!$A:$H,7,FALSE)=AM24,1,0)</f>
        <v>#N/A</v>
      </c>
      <c r="DZ24" s="138" t="e">
        <f>IF(VLOOKUP(CONCATENATE(H24,F24,DZ$2),Inglés!$A:$H,7,FALSE)=AN24,1,0)</f>
        <v>#N/A</v>
      </c>
      <c r="EA24" s="138" t="e">
        <f>IF(VLOOKUP(CONCATENATE(H24,F24,EA$2),Inglés!$A:$H,7,FALSE)=AO24,1,0)</f>
        <v>#N/A</v>
      </c>
      <c r="EB24" s="138" t="e">
        <f>IF(VLOOKUP(CONCATENATE(H24,F24,EB$2),Matemáticas!$A:$H,7,FALSE)=AP24,1,0)</f>
        <v>#N/A</v>
      </c>
      <c r="EC24" s="138" t="e">
        <f>IF(VLOOKUP(CONCATENATE(H24,F24,EC$2),Matemáticas!$A:$H,7,FALSE)=AQ24,1,0)</f>
        <v>#N/A</v>
      </c>
      <c r="ED24" s="138" t="e">
        <f>IF(VLOOKUP(CONCATENATE(H24,F24,ED$2),Matemáticas!$A:$H,7,FALSE)=AR24,1,0)</f>
        <v>#N/A</v>
      </c>
      <c r="EE24" s="138" t="e">
        <f>IF(VLOOKUP(CONCATENATE(H24,F24,EE$2),Matemáticas!$A:$H,7,FALSE)=AS24,1,0)</f>
        <v>#N/A</v>
      </c>
      <c r="EF24" s="138" t="e">
        <f>IF(VLOOKUP(CONCATENATE(H24,F24,EF$2),Matemáticas!$A:$H,7,FALSE)=AT24,1,0)</f>
        <v>#N/A</v>
      </c>
      <c r="EG24" s="138" t="e">
        <f>IF(VLOOKUP(CONCATENATE(H24,F24,EG$2),Matemáticas!$A:$H,7,FALSE)=AU24,1,0)</f>
        <v>#N/A</v>
      </c>
      <c r="EH24" s="138" t="e">
        <f>IF(VLOOKUP(CONCATENATE(H24,F24,EH$2),Matemáticas!$A:$H,7,FALSE)=AV24,1,0)</f>
        <v>#N/A</v>
      </c>
      <c r="EI24" s="138" t="e">
        <f>IF(VLOOKUP(CONCATENATE(H24,F24,EI$2),Matemáticas!$A:$H,7,FALSE)=AW24,1,0)</f>
        <v>#N/A</v>
      </c>
      <c r="EJ24" s="138" t="e">
        <f>IF(VLOOKUP(CONCATENATE(H24,F24,EJ$2),Matemáticas!$A:$H,7,FALSE)=AX24,1,0)</f>
        <v>#N/A</v>
      </c>
      <c r="EK24" s="138" t="e">
        <f>IF(VLOOKUP(CONCATENATE(H24,F24,EK$2),Matemáticas!$A:$H,7,FALSE)=AY24,1,0)</f>
        <v>#N/A</v>
      </c>
      <c r="EL24" s="138" t="e">
        <f>IF(VLOOKUP(CONCATENATE(H24,F24,EL$2),Matemáticas!$A:$H,7,FALSE)=AZ24,1,0)</f>
        <v>#N/A</v>
      </c>
      <c r="EM24" s="138" t="e">
        <f>IF(VLOOKUP(CONCATENATE(H24,F24,EM$2),Matemáticas!$A:$H,7,FALSE)=BA24,1,0)</f>
        <v>#N/A</v>
      </c>
      <c r="EN24" s="138" t="e">
        <f>IF(VLOOKUP(CONCATENATE(H24,F24,EN$2),Matemáticas!$A:$H,7,FALSE)=BB24,1,0)</f>
        <v>#N/A</v>
      </c>
      <c r="EO24" s="138" t="e">
        <f>IF(VLOOKUP(CONCATENATE(H24,F24,EO$2),Matemáticas!$A:$H,7,FALSE)=BC24,1,0)</f>
        <v>#N/A</v>
      </c>
      <c r="EP24" s="138" t="e">
        <f>IF(VLOOKUP(CONCATENATE(H24,F24,EP$2),Matemáticas!$A:$H,7,FALSE)=BD24,1,0)</f>
        <v>#N/A</v>
      </c>
      <c r="EQ24" s="138" t="e">
        <f>IF(VLOOKUP(CONCATENATE(H24,F24,EQ$2),Matemáticas!$A:$H,7,FALSE)=BE24,1,0)</f>
        <v>#N/A</v>
      </c>
      <c r="ER24" s="138" t="e">
        <f>IF(VLOOKUP(CONCATENATE(H24,F24,ER$2),Matemáticas!$A:$H,7,FALSE)=BF24,1,0)</f>
        <v>#N/A</v>
      </c>
      <c r="ES24" s="138" t="e">
        <f>IF(VLOOKUP(CONCATENATE(H24,F24,ES$2),Matemáticas!$A:$H,7,FALSE)=BG24,1,0)</f>
        <v>#N/A</v>
      </c>
      <c r="ET24" s="138" t="e">
        <f>IF(VLOOKUP(CONCATENATE(H24,F24,ET$2),Matemáticas!$A:$H,7,FALSE)=BH24,1,0)</f>
        <v>#N/A</v>
      </c>
      <c r="EU24" s="138" t="e">
        <f>IF(VLOOKUP(CONCATENATE(H24,F24,EU$2),Matemáticas!$A:$H,7,FALSE)=BI24,1,0)</f>
        <v>#N/A</v>
      </c>
      <c r="EV24" s="138" t="e">
        <f>IF(VLOOKUP(CONCATENATE(H24,F24,EV$2),Ciencias!$A:$H,7,FALSE)=BJ24,1,0)</f>
        <v>#N/A</v>
      </c>
      <c r="EW24" s="138" t="e">
        <f>IF(VLOOKUP(CONCATENATE(H24,F24,EW$2),Ciencias!$A:$H,7,FALSE)=BK24,1,0)</f>
        <v>#N/A</v>
      </c>
      <c r="EX24" s="138" t="e">
        <f>IF(VLOOKUP(CONCATENATE(H24,F24,EX$2),Ciencias!$A:$H,7,FALSE)=BL24,1,0)</f>
        <v>#N/A</v>
      </c>
      <c r="EY24" s="138" t="e">
        <f>IF(VLOOKUP(CONCATENATE(H24,F24,EY$2),Ciencias!$A:$H,7,FALSE)=BM24,1,0)</f>
        <v>#N/A</v>
      </c>
      <c r="EZ24" s="138" t="e">
        <f>IF(VLOOKUP(CONCATENATE(H24,F24,EZ$2),Ciencias!$A:$H,7,FALSE)=BN24,1,0)</f>
        <v>#N/A</v>
      </c>
      <c r="FA24" s="138" t="e">
        <f>IF(VLOOKUP(CONCATENATE(H24,F24,FA$2),Ciencias!$A:$H,7,FALSE)=BO24,1,0)</f>
        <v>#N/A</v>
      </c>
      <c r="FB24" s="138" t="e">
        <f>IF(VLOOKUP(CONCATENATE(H24,F24,FB$2),Ciencias!$A:$H,7,FALSE)=BP24,1,0)</f>
        <v>#N/A</v>
      </c>
      <c r="FC24" s="138" t="e">
        <f>IF(VLOOKUP(CONCATENATE(H24,F24,FC$2),Ciencias!$A:$H,7,FALSE)=BQ24,1,0)</f>
        <v>#N/A</v>
      </c>
      <c r="FD24" s="138" t="e">
        <f>IF(VLOOKUP(CONCATENATE(H24,F24,FD$2),Ciencias!$A:$H,7,FALSE)=BR24,1,0)</f>
        <v>#N/A</v>
      </c>
      <c r="FE24" s="138" t="e">
        <f>IF(VLOOKUP(CONCATENATE(H24,F24,FE$2),Ciencias!$A:$H,7,FALSE)=BS24,1,0)</f>
        <v>#N/A</v>
      </c>
      <c r="FF24" s="138" t="e">
        <f>IF(VLOOKUP(CONCATENATE(H24,F24,FF$2),Ciencias!$A:$H,7,FALSE)=BT24,1,0)</f>
        <v>#N/A</v>
      </c>
      <c r="FG24" s="138" t="e">
        <f>IF(VLOOKUP(CONCATENATE(H24,F24,FG$2),Ciencias!$A:$H,7,FALSE)=BU24,1,0)</f>
        <v>#N/A</v>
      </c>
      <c r="FH24" s="138" t="e">
        <f>IF(VLOOKUP(CONCATENATE(H24,F24,FH$2),Ciencias!$A:$H,7,FALSE)=BV24,1,0)</f>
        <v>#N/A</v>
      </c>
      <c r="FI24" s="138" t="e">
        <f>IF(VLOOKUP(CONCATENATE(H24,F24,FI$2),Ciencias!$A:$H,7,FALSE)=BW24,1,0)</f>
        <v>#N/A</v>
      </c>
      <c r="FJ24" s="138" t="e">
        <f>IF(VLOOKUP(CONCATENATE(H24,F24,FJ$2),Ciencias!$A:$H,7,FALSE)=BX24,1,0)</f>
        <v>#N/A</v>
      </c>
      <c r="FK24" s="138" t="e">
        <f>IF(VLOOKUP(CONCATENATE(H24,F24,FK$2),Ciencias!$A:$H,7,FALSE)=BY24,1,0)</f>
        <v>#N/A</v>
      </c>
      <c r="FL24" s="138" t="e">
        <f>IF(VLOOKUP(CONCATENATE(H24,F24,FL$2),Ciencias!$A:$H,7,FALSE)=BZ24,1,0)</f>
        <v>#N/A</v>
      </c>
      <c r="FM24" s="138" t="e">
        <f>IF(VLOOKUP(CONCATENATE(H24,F24,FM$2),Ciencias!$A:$H,7,FALSE)=CA24,1,0)</f>
        <v>#N/A</v>
      </c>
      <c r="FN24" s="138" t="e">
        <f>IF(VLOOKUP(CONCATENATE(H24,F24,FN$2),Ciencias!$A:$H,7,FALSE)=CB24,1,0)</f>
        <v>#N/A</v>
      </c>
      <c r="FO24" s="138" t="e">
        <f>IF(VLOOKUP(CONCATENATE(H24,F24,FO$2),Ciencias!$A:$H,7,FALSE)=CC24,1,0)</f>
        <v>#N/A</v>
      </c>
      <c r="FP24" s="138" t="e">
        <f>IF(VLOOKUP(CONCATENATE(H24,F24,FP$2),GeoHis!$A:$H,7,FALSE)=CD24,1,0)</f>
        <v>#N/A</v>
      </c>
      <c r="FQ24" s="138" t="e">
        <f>IF(VLOOKUP(CONCATENATE(H24,F24,FQ$2),GeoHis!$A:$H,7,FALSE)=CE24,1,0)</f>
        <v>#N/A</v>
      </c>
      <c r="FR24" s="138" t="e">
        <f>IF(VLOOKUP(CONCATENATE(H24,F24,FR$2),GeoHis!$A:$H,7,FALSE)=CF24,1,0)</f>
        <v>#N/A</v>
      </c>
      <c r="FS24" s="138" t="e">
        <f>IF(VLOOKUP(CONCATENATE(H24,F24,FS$2),GeoHis!$A:$H,7,FALSE)=CG24,1,0)</f>
        <v>#N/A</v>
      </c>
      <c r="FT24" s="138" t="e">
        <f>IF(VLOOKUP(CONCATENATE(H24,F24,FT$2),GeoHis!$A:$H,7,FALSE)=CH24,1,0)</f>
        <v>#N/A</v>
      </c>
      <c r="FU24" s="138" t="e">
        <f>IF(VLOOKUP(CONCATENATE(H24,F24,FU$2),GeoHis!$A:$H,7,FALSE)=CI24,1,0)</f>
        <v>#N/A</v>
      </c>
      <c r="FV24" s="138" t="e">
        <f>IF(VLOOKUP(CONCATENATE(H24,F24,FV$2),GeoHis!$A:$H,7,FALSE)=CJ24,1,0)</f>
        <v>#N/A</v>
      </c>
      <c r="FW24" s="138" t="e">
        <f>IF(VLOOKUP(CONCATENATE(H24,F24,FW$2),GeoHis!$A:$H,7,FALSE)=CK24,1,0)</f>
        <v>#N/A</v>
      </c>
      <c r="FX24" s="138" t="e">
        <f>IF(VLOOKUP(CONCATENATE(H24,F24,FX$2),GeoHis!$A:$H,7,FALSE)=CL24,1,0)</f>
        <v>#N/A</v>
      </c>
      <c r="FY24" s="138" t="e">
        <f>IF(VLOOKUP(CONCATENATE(H24,F24,FY$2),GeoHis!$A:$H,7,FALSE)=CM24,1,0)</f>
        <v>#N/A</v>
      </c>
      <c r="FZ24" s="138" t="e">
        <f>IF(VLOOKUP(CONCATENATE(H24,F24,FZ$2),GeoHis!$A:$H,7,FALSE)=CN24,1,0)</f>
        <v>#N/A</v>
      </c>
      <c r="GA24" s="138" t="e">
        <f>IF(VLOOKUP(CONCATENATE(H24,F24,GA$2),GeoHis!$A:$H,7,FALSE)=CO24,1,0)</f>
        <v>#N/A</v>
      </c>
      <c r="GB24" s="138" t="e">
        <f>IF(VLOOKUP(CONCATENATE(H24,F24,GB$2),GeoHis!$A:$H,7,FALSE)=CP24,1,0)</f>
        <v>#N/A</v>
      </c>
      <c r="GC24" s="138" t="e">
        <f>IF(VLOOKUP(CONCATENATE(H24,F24,GC$2),GeoHis!$A:$H,7,FALSE)=CQ24,1,0)</f>
        <v>#N/A</v>
      </c>
      <c r="GD24" s="138" t="e">
        <f>IF(VLOOKUP(CONCATENATE(H24,F24,GD$2),GeoHis!$A:$H,7,FALSE)=CR24,1,0)</f>
        <v>#N/A</v>
      </c>
      <c r="GE24" s="135" t="str">
        <f t="shared" si="6"/>
        <v/>
      </c>
    </row>
    <row r="25" spans="1:187" x14ac:dyDescent="0.25">
      <c r="A25" s="127" t="str">
        <f>IF(C25="","",'Datos Generales'!$A$25)</f>
        <v/>
      </c>
      <c r="D25" s="126" t="str">
        <f t="shared" si="0"/>
        <v/>
      </c>
      <c r="E25" s="126">
        <f t="shared" si="1"/>
        <v>0</v>
      </c>
      <c r="F25" s="126" t="str">
        <f t="shared" si="7"/>
        <v/>
      </c>
      <c r="G25" s="126" t="str">
        <f>IF(C25="","",'Datos Generales'!$D$19)</f>
        <v/>
      </c>
      <c r="H25" s="21" t="str">
        <f>IF(C25="","",'Datos Generales'!$A$19)</f>
        <v/>
      </c>
      <c r="I25" s="126" t="str">
        <f>IF(C25="","",'Datos Generales'!$A$7)</f>
        <v/>
      </c>
      <c r="J25" s="21" t="str">
        <f>IF(C25="","",'Datos Generales'!$A$13)</f>
        <v/>
      </c>
      <c r="K25" s="21" t="str">
        <f>IF(C25="","",'Datos Generales'!$A$10)</f>
        <v/>
      </c>
      <c r="CS25" s="142" t="str">
        <f t="shared" si="2"/>
        <v/>
      </c>
      <c r="CT25" s="142" t="str">
        <f t="shared" si="3"/>
        <v/>
      </c>
      <c r="CU25" s="142" t="str">
        <f t="shared" si="4"/>
        <v/>
      </c>
      <c r="CV25" s="142" t="str">
        <f t="shared" si="5"/>
        <v/>
      </c>
      <c r="CW25" s="142" t="str">
        <f>IF(C25="","",IF('Datos Generales'!$A$19=1,AVERAGE(FP25:GD25),AVERAGE(Captura!FP25:FY25)))</f>
        <v/>
      </c>
      <c r="CX25" s="138" t="e">
        <f>IF(VLOOKUP(CONCATENATE($H$4,$F$4,CX$2),Español!$A:$H,7,FALSE)=L25,1,0)</f>
        <v>#N/A</v>
      </c>
      <c r="CY25" s="138" t="e">
        <f>IF(VLOOKUP(CONCATENATE(H25,F25,CY$2),Español!$A:$H,7,FALSE)=M25,1,0)</f>
        <v>#N/A</v>
      </c>
      <c r="CZ25" s="138" t="e">
        <f>IF(VLOOKUP(CONCATENATE(H25,F25,CZ$2),Español!$A:$H,7,FALSE)=N25,1,0)</f>
        <v>#N/A</v>
      </c>
      <c r="DA25" s="138" t="e">
        <f>IF(VLOOKUP(CONCATENATE(H25,F25,DA$2),Español!$A:$H,7,FALSE)=O25,1,0)</f>
        <v>#N/A</v>
      </c>
      <c r="DB25" s="138" t="e">
        <f>IF(VLOOKUP(CONCATENATE(H25,F25,DB$2),Español!$A:$H,7,FALSE)=P25,1,0)</f>
        <v>#N/A</v>
      </c>
      <c r="DC25" s="138" t="e">
        <f>IF(VLOOKUP(CONCATENATE(H25,F25,DC$2),Español!$A:$H,7,FALSE)=Q25,1,0)</f>
        <v>#N/A</v>
      </c>
      <c r="DD25" s="138" t="e">
        <f>IF(VLOOKUP(CONCATENATE(H25,F25,DD$2),Español!$A:$H,7,FALSE)=R25,1,0)</f>
        <v>#N/A</v>
      </c>
      <c r="DE25" s="138" t="e">
        <f>IF(VLOOKUP(CONCATENATE(H25,F25,DE$2),Español!$A:$H,7,FALSE)=S25,1,0)</f>
        <v>#N/A</v>
      </c>
      <c r="DF25" s="138" t="e">
        <f>IF(VLOOKUP(CONCATENATE(H25,F25,DF$2),Español!$A:$H,7,FALSE)=T25,1,0)</f>
        <v>#N/A</v>
      </c>
      <c r="DG25" s="138" t="e">
        <f>IF(VLOOKUP(CONCATENATE(H25,F25,DG$2),Español!$A:$H,7,FALSE)=U25,1,0)</f>
        <v>#N/A</v>
      </c>
      <c r="DH25" s="138" t="e">
        <f>IF(VLOOKUP(CONCATENATE(H25,F25,DH$2),Español!$A:$H,7,FALSE)=V25,1,0)</f>
        <v>#N/A</v>
      </c>
      <c r="DI25" s="138" t="e">
        <f>IF(VLOOKUP(CONCATENATE(H25,F25,DI$2),Español!$A:$H,7,FALSE)=W25,1,0)</f>
        <v>#N/A</v>
      </c>
      <c r="DJ25" s="138" t="e">
        <f>IF(VLOOKUP(CONCATENATE(H25,F25,DJ$2),Español!$A:$H,7,FALSE)=X25,1,0)</f>
        <v>#N/A</v>
      </c>
      <c r="DK25" s="138" t="e">
        <f>IF(VLOOKUP(CONCATENATE(H25,F25,DK$2),Español!$A:$H,7,FALSE)=Y25,1,0)</f>
        <v>#N/A</v>
      </c>
      <c r="DL25" s="138" t="e">
        <f>IF(VLOOKUP(CONCATENATE(H25,F25,DL$2),Español!$A:$H,7,FALSE)=Z25,1,0)</f>
        <v>#N/A</v>
      </c>
      <c r="DM25" s="138" t="e">
        <f>IF(VLOOKUP(CONCATENATE(H25,F25,DM$2),Español!$A:$H,7,FALSE)=AA25,1,0)</f>
        <v>#N/A</v>
      </c>
      <c r="DN25" s="138" t="e">
        <f>IF(VLOOKUP(CONCATENATE(H25,F25,DN$2),Español!$A:$H,7,FALSE)=AB25,1,0)</f>
        <v>#N/A</v>
      </c>
      <c r="DO25" s="138" t="e">
        <f>IF(VLOOKUP(CONCATENATE(H25,F25,DO$2),Español!$A:$H,7,FALSE)=AC25,1,0)</f>
        <v>#N/A</v>
      </c>
      <c r="DP25" s="138" t="e">
        <f>IF(VLOOKUP(CONCATENATE(H25,F25,DP$2),Español!$A:$H,7,FALSE)=AD25,1,0)</f>
        <v>#N/A</v>
      </c>
      <c r="DQ25" s="138" t="e">
        <f>IF(VLOOKUP(CONCATENATE(H25,F25,DQ$2),Español!$A:$H,7,FALSE)=AE25,1,0)</f>
        <v>#N/A</v>
      </c>
      <c r="DR25" s="138" t="e">
        <f>IF(VLOOKUP(CONCATENATE(H25,F25,DR$2),Inglés!$A:$H,7,FALSE)=AF25,1,0)</f>
        <v>#N/A</v>
      </c>
      <c r="DS25" s="138" t="e">
        <f>IF(VLOOKUP(CONCATENATE(H25,F25,DS$2),Inglés!$A:$H,7,FALSE)=AG25,1,0)</f>
        <v>#N/A</v>
      </c>
      <c r="DT25" s="138" t="e">
        <f>IF(VLOOKUP(CONCATENATE(H25,F25,DT$2),Inglés!$A:$H,7,FALSE)=AH25,1,0)</f>
        <v>#N/A</v>
      </c>
      <c r="DU25" s="138" t="e">
        <f>IF(VLOOKUP(CONCATENATE(H25,F25,DU$2),Inglés!$A:$H,7,FALSE)=AI25,1,0)</f>
        <v>#N/A</v>
      </c>
      <c r="DV25" s="138" t="e">
        <f>IF(VLOOKUP(CONCATENATE(H25,F25,DV$2),Inglés!$A:$H,7,FALSE)=AJ25,1,0)</f>
        <v>#N/A</v>
      </c>
      <c r="DW25" s="138" t="e">
        <f>IF(VLOOKUP(CONCATENATE(H25,F25,DW$2),Inglés!$A:$H,7,FALSE)=AK25,1,0)</f>
        <v>#N/A</v>
      </c>
      <c r="DX25" s="138" t="e">
        <f>IF(VLOOKUP(CONCATENATE(H25,F25,DX$2),Inglés!$A:$H,7,FALSE)=AL25,1,0)</f>
        <v>#N/A</v>
      </c>
      <c r="DY25" s="138" t="e">
        <f>IF(VLOOKUP(CONCATENATE(H25,F25,DY$2),Inglés!$A:$H,7,FALSE)=AM25,1,0)</f>
        <v>#N/A</v>
      </c>
      <c r="DZ25" s="138" t="e">
        <f>IF(VLOOKUP(CONCATENATE(H25,F25,DZ$2),Inglés!$A:$H,7,FALSE)=AN25,1,0)</f>
        <v>#N/A</v>
      </c>
      <c r="EA25" s="138" t="e">
        <f>IF(VLOOKUP(CONCATENATE(H25,F25,EA$2),Inglés!$A:$H,7,FALSE)=AO25,1,0)</f>
        <v>#N/A</v>
      </c>
      <c r="EB25" s="138" t="e">
        <f>IF(VLOOKUP(CONCATENATE(H25,F25,EB$2),Matemáticas!$A:$H,7,FALSE)=AP25,1,0)</f>
        <v>#N/A</v>
      </c>
      <c r="EC25" s="138" t="e">
        <f>IF(VLOOKUP(CONCATENATE(H25,F25,EC$2),Matemáticas!$A:$H,7,FALSE)=AQ25,1,0)</f>
        <v>#N/A</v>
      </c>
      <c r="ED25" s="138" t="e">
        <f>IF(VLOOKUP(CONCATENATE(H25,F25,ED$2),Matemáticas!$A:$H,7,FALSE)=AR25,1,0)</f>
        <v>#N/A</v>
      </c>
      <c r="EE25" s="138" t="e">
        <f>IF(VLOOKUP(CONCATENATE(H25,F25,EE$2),Matemáticas!$A:$H,7,FALSE)=AS25,1,0)</f>
        <v>#N/A</v>
      </c>
      <c r="EF25" s="138" t="e">
        <f>IF(VLOOKUP(CONCATENATE(H25,F25,EF$2),Matemáticas!$A:$H,7,FALSE)=AT25,1,0)</f>
        <v>#N/A</v>
      </c>
      <c r="EG25" s="138" t="e">
        <f>IF(VLOOKUP(CONCATENATE(H25,F25,EG$2),Matemáticas!$A:$H,7,FALSE)=AU25,1,0)</f>
        <v>#N/A</v>
      </c>
      <c r="EH25" s="138" t="e">
        <f>IF(VLOOKUP(CONCATENATE(H25,F25,EH$2),Matemáticas!$A:$H,7,FALSE)=AV25,1,0)</f>
        <v>#N/A</v>
      </c>
      <c r="EI25" s="138" t="e">
        <f>IF(VLOOKUP(CONCATENATE(H25,F25,EI$2),Matemáticas!$A:$H,7,FALSE)=AW25,1,0)</f>
        <v>#N/A</v>
      </c>
      <c r="EJ25" s="138" t="e">
        <f>IF(VLOOKUP(CONCATENATE(H25,F25,EJ$2),Matemáticas!$A:$H,7,FALSE)=AX25,1,0)</f>
        <v>#N/A</v>
      </c>
      <c r="EK25" s="138" t="e">
        <f>IF(VLOOKUP(CONCATENATE(H25,F25,EK$2),Matemáticas!$A:$H,7,FALSE)=AY25,1,0)</f>
        <v>#N/A</v>
      </c>
      <c r="EL25" s="138" t="e">
        <f>IF(VLOOKUP(CONCATENATE(H25,F25,EL$2),Matemáticas!$A:$H,7,FALSE)=AZ25,1,0)</f>
        <v>#N/A</v>
      </c>
      <c r="EM25" s="138" t="e">
        <f>IF(VLOOKUP(CONCATENATE(H25,F25,EM$2),Matemáticas!$A:$H,7,FALSE)=BA25,1,0)</f>
        <v>#N/A</v>
      </c>
      <c r="EN25" s="138" t="e">
        <f>IF(VLOOKUP(CONCATENATE(H25,F25,EN$2),Matemáticas!$A:$H,7,FALSE)=BB25,1,0)</f>
        <v>#N/A</v>
      </c>
      <c r="EO25" s="138" t="e">
        <f>IF(VLOOKUP(CONCATENATE(H25,F25,EO$2),Matemáticas!$A:$H,7,FALSE)=BC25,1,0)</f>
        <v>#N/A</v>
      </c>
      <c r="EP25" s="138" t="e">
        <f>IF(VLOOKUP(CONCATENATE(H25,F25,EP$2),Matemáticas!$A:$H,7,FALSE)=BD25,1,0)</f>
        <v>#N/A</v>
      </c>
      <c r="EQ25" s="138" t="e">
        <f>IF(VLOOKUP(CONCATENATE(H25,F25,EQ$2),Matemáticas!$A:$H,7,FALSE)=BE25,1,0)</f>
        <v>#N/A</v>
      </c>
      <c r="ER25" s="138" t="e">
        <f>IF(VLOOKUP(CONCATENATE(H25,F25,ER$2),Matemáticas!$A:$H,7,FALSE)=BF25,1,0)</f>
        <v>#N/A</v>
      </c>
      <c r="ES25" s="138" t="e">
        <f>IF(VLOOKUP(CONCATENATE(H25,F25,ES$2),Matemáticas!$A:$H,7,FALSE)=BG25,1,0)</f>
        <v>#N/A</v>
      </c>
      <c r="ET25" s="138" t="e">
        <f>IF(VLOOKUP(CONCATENATE(H25,F25,ET$2),Matemáticas!$A:$H,7,FALSE)=BH25,1,0)</f>
        <v>#N/A</v>
      </c>
      <c r="EU25" s="138" t="e">
        <f>IF(VLOOKUP(CONCATENATE(H25,F25,EU$2),Matemáticas!$A:$H,7,FALSE)=BI25,1,0)</f>
        <v>#N/A</v>
      </c>
      <c r="EV25" s="138" t="e">
        <f>IF(VLOOKUP(CONCATENATE(H25,F25,EV$2),Ciencias!$A:$H,7,FALSE)=BJ25,1,0)</f>
        <v>#N/A</v>
      </c>
      <c r="EW25" s="138" t="e">
        <f>IF(VLOOKUP(CONCATENATE(H25,F25,EW$2),Ciencias!$A:$H,7,FALSE)=BK25,1,0)</f>
        <v>#N/A</v>
      </c>
      <c r="EX25" s="138" t="e">
        <f>IF(VLOOKUP(CONCATENATE(H25,F25,EX$2),Ciencias!$A:$H,7,FALSE)=BL25,1,0)</f>
        <v>#N/A</v>
      </c>
      <c r="EY25" s="138" t="e">
        <f>IF(VLOOKUP(CONCATENATE(H25,F25,EY$2),Ciencias!$A:$H,7,FALSE)=BM25,1,0)</f>
        <v>#N/A</v>
      </c>
      <c r="EZ25" s="138" t="e">
        <f>IF(VLOOKUP(CONCATENATE(H25,F25,EZ$2),Ciencias!$A:$H,7,FALSE)=BN25,1,0)</f>
        <v>#N/A</v>
      </c>
      <c r="FA25" s="138" t="e">
        <f>IF(VLOOKUP(CONCATENATE(H25,F25,FA$2),Ciencias!$A:$H,7,FALSE)=BO25,1,0)</f>
        <v>#N/A</v>
      </c>
      <c r="FB25" s="138" t="e">
        <f>IF(VLOOKUP(CONCATENATE(H25,F25,FB$2),Ciencias!$A:$H,7,FALSE)=BP25,1,0)</f>
        <v>#N/A</v>
      </c>
      <c r="FC25" s="138" t="e">
        <f>IF(VLOOKUP(CONCATENATE(H25,F25,FC$2),Ciencias!$A:$H,7,FALSE)=BQ25,1,0)</f>
        <v>#N/A</v>
      </c>
      <c r="FD25" s="138" t="e">
        <f>IF(VLOOKUP(CONCATENATE(H25,F25,FD$2),Ciencias!$A:$H,7,FALSE)=BR25,1,0)</f>
        <v>#N/A</v>
      </c>
      <c r="FE25" s="138" t="e">
        <f>IF(VLOOKUP(CONCATENATE(H25,F25,FE$2),Ciencias!$A:$H,7,FALSE)=BS25,1,0)</f>
        <v>#N/A</v>
      </c>
      <c r="FF25" s="138" t="e">
        <f>IF(VLOOKUP(CONCATENATE(H25,F25,FF$2),Ciencias!$A:$H,7,FALSE)=BT25,1,0)</f>
        <v>#N/A</v>
      </c>
      <c r="FG25" s="138" t="e">
        <f>IF(VLOOKUP(CONCATENATE(H25,F25,FG$2),Ciencias!$A:$H,7,FALSE)=BU25,1,0)</f>
        <v>#N/A</v>
      </c>
      <c r="FH25" s="138" t="e">
        <f>IF(VLOOKUP(CONCATENATE(H25,F25,FH$2),Ciencias!$A:$H,7,FALSE)=BV25,1,0)</f>
        <v>#N/A</v>
      </c>
      <c r="FI25" s="138" t="e">
        <f>IF(VLOOKUP(CONCATENATE(H25,F25,FI$2),Ciencias!$A:$H,7,FALSE)=BW25,1,0)</f>
        <v>#N/A</v>
      </c>
      <c r="FJ25" s="138" t="e">
        <f>IF(VLOOKUP(CONCATENATE(H25,F25,FJ$2),Ciencias!$A:$H,7,FALSE)=BX25,1,0)</f>
        <v>#N/A</v>
      </c>
      <c r="FK25" s="138" t="e">
        <f>IF(VLOOKUP(CONCATENATE(H25,F25,FK$2),Ciencias!$A:$H,7,FALSE)=BY25,1,0)</f>
        <v>#N/A</v>
      </c>
      <c r="FL25" s="138" t="e">
        <f>IF(VLOOKUP(CONCATENATE(H25,F25,FL$2),Ciencias!$A:$H,7,FALSE)=BZ25,1,0)</f>
        <v>#N/A</v>
      </c>
      <c r="FM25" s="138" t="e">
        <f>IF(VLOOKUP(CONCATENATE(H25,F25,FM$2),Ciencias!$A:$H,7,FALSE)=CA25,1,0)</f>
        <v>#N/A</v>
      </c>
      <c r="FN25" s="138" t="e">
        <f>IF(VLOOKUP(CONCATENATE(H25,F25,FN$2),Ciencias!$A:$H,7,FALSE)=CB25,1,0)</f>
        <v>#N/A</v>
      </c>
      <c r="FO25" s="138" t="e">
        <f>IF(VLOOKUP(CONCATENATE(H25,F25,FO$2),Ciencias!$A:$H,7,FALSE)=CC25,1,0)</f>
        <v>#N/A</v>
      </c>
      <c r="FP25" s="138" t="e">
        <f>IF(VLOOKUP(CONCATENATE(H25,F25,FP$2),GeoHis!$A:$H,7,FALSE)=CD25,1,0)</f>
        <v>#N/A</v>
      </c>
      <c r="FQ25" s="138" t="e">
        <f>IF(VLOOKUP(CONCATENATE(H25,F25,FQ$2),GeoHis!$A:$H,7,FALSE)=CE25,1,0)</f>
        <v>#N/A</v>
      </c>
      <c r="FR25" s="138" t="e">
        <f>IF(VLOOKUP(CONCATENATE(H25,F25,FR$2),GeoHis!$A:$H,7,FALSE)=CF25,1,0)</f>
        <v>#N/A</v>
      </c>
      <c r="FS25" s="138" t="e">
        <f>IF(VLOOKUP(CONCATENATE(H25,F25,FS$2),GeoHis!$A:$H,7,FALSE)=CG25,1,0)</f>
        <v>#N/A</v>
      </c>
      <c r="FT25" s="138" t="e">
        <f>IF(VLOOKUP(CONCATENATE(H25,F25,FT$2),GeoHis!$A:$H,7,FALSE)=CH25,1,0)</f>
        <v>#N/A</v>
      </c>
      <c r="FU25" s="138" t="e">
        <f>IF(VLOOKUP(CONCATENATE(H25,F25,FU$2),GeoHis!$A:$H,7,FALSE)=CI25,1,0)</f>
        <v>#N/A</v>
      </c>
      <c r="FV25" s="138" t="e">
        <f>IF(VLOOKUP(CONCATENATE(H25,F25,FV$2),GeoHis!$A:$H,7,FALSE)=CJ25,1,0)</f>
        <v>#N/A</v>
      </c>
      <c r="FW25" s="138" t="e">
        <f>IF(VLOOKUP(CONCATENATE(H25,F25,FW$2),GeoHis!$A:$H,7,FALSE)=CK25,1,0)</f>
        <v>#N/A</v>
      </c>
      <c r="FX25" s="138" t="e">
        <f>IF(VLOOKUP(CONCATENATE(H25,F25,FX$2),GeoHis!$A:$H,7,FALSE)=CL25,1,0)</f>
        <v>#N/A</v>
      </c>
      <c r="FY25" s="138" t="e">
        <f>IF(VLOOKUP(CONCATENATE(H25,F25,FY$2),GeoHis!$A:$H,7,FALSE)=CM25,1,0)</f>
        <v>#N/A</v>
      </c>
      <c r="FZ25" s="138" t="e">
        <f>IF(VLOOKUP(CONCATENATE(H25,F25,FZ$2),GeoHis!$A:$H,7,FALSE)=CN25,1,0)</f>
        <v>#N/A</v>
      </c>
      <c r="GA25" s="138" t="e">
        <f>IF(VLOOKUP(CONCATENATE(H25,F25,GA$2),GeoHis!$A:$H,7,FALSE)=CO25,1,0)</f>
        <v>#N/A</v>
      </c>
      <c r="GB25" s="138" t="e">
        <f>IF(VLOOKUP(CONCATENATE(H25,F25,GB$2),GeoHis!$A:$H,7,FALSE)=CP25,1,0)</f>
        <v>#N/A</v>
      </c>
      <c r="GC25" s="138" t="e">
        <f>IF(VLOOKUP(CONCATENATE(H25,F25,GC$2),GeoHis!$A:$H,7,FALSE)=CQ25,1,0)</f>
        <v>#N/A</v>
      </c>
      <c r="GD25" s="138" t="e">
        <f>IF(VLOOKUP(CONCATENATE(H25,F25,GD$2),GeoHis!$A:$H,7,FALSE)=CR25,1,0)</f>
        <v>#N/A</v>
      </c>
      <c r="GE25" s="135" t="str">
        <f t="shared" si="6"/>
        <v/>
      </c>
    </row>
    <row r="26" spans="1:187" x14ac:dyDescent="0.25">
      <c r="A26" s="127" t="str">
        <f>IF(C26="","",'Datos Generales'!$A$25)</f>
        <v/>
      </c>
      <c r="D26" s="126" t="str">
        <f t="shared" si="0"/>
        <v/>
      </c>
      <c r="E26" s="126">
        <f t="shared" si="1"/>
        <v>0</v>
      </c>
      <c r="F26" s="126" t="str">
        <f t="shared" si="7"/>
        <v/>
      </c>
      <c r="G26" s="126" t="str">
        <f>IF(C26="","",'Datos Generales'!$D$19)</f>
        <v/>
      </c>
      <c r="H26" s="21" t="str">
        <f>IF(C26="","",'Datos Generales'!$A$19)</f>
        <v/>
      </c>
      <c r="I26" s="126" t="str">
        <f>IF(C26="","",'Datos Generales'!$A$7)</f>
        <v/>
      </c>
      <c r="J26" s="21" t="str">
        <f>IF(C26="","",'Datos Generales'!$A$13)</f>
        <v/>
      </c>
      <c r="K26" s="21" t="str">
        <f>IF(C26="","",'Datos Generales'!$A$10)</f>
        <v/>
      </c>
      <c r="CS26" s="142" t="str">
        <f t="shared" si="2"/>
        <v/>
      </c>
      <c r="CT26" s="142" t="str">
        <f t="shared" si="3"/>
        <v/>
      </c>
      <c r="CU26" s="142" t="str">
        <f t="shared" si="4"/>
        <v/>
      </c>
      <c r="CV26" s="142" t="str">
        <f t="shared" si="5"/>
        <v/>
      </c>
      <c r="CW26" s="142" t="str">
        <f>IF(C26="","",IF('Datos Generales'!$A$19=1,AVERAGE(FP26:GD26),AVERAGE(Captura!FP26:FY26)))</f>
        <v/>
      </c>
      <c r="CX26" s="138" t="e">
        <f>IF(VLOOKUP(CONCATENATE($H$4,$F$4,CX$2),Español!$A:$H,7,FALSE)=L26,1,0)</f>
        <v>#N/A</v>
      </c>
      <c r="CY26" s="138" t="e">
        <f>IF(VLOOKUP(CONCATENATE(H26,F26,CY$2),Español!$A:$H,7,FALSE)=M26,1,0)</f>
        <v>#N/A</v>
      </c>
      <c r="CZ26" s="138" t="e">
        <f>IF(VLOOKUP(CONCATENATE(H26,F26,CZ$2),Español!$A:$H,7,FALSE)=N26,1,0)</f>
        <v>#N/A</v>
      </c>
      <c r="DA26" s="138" t="e">
        <f>IF(VLOOKUP(CONCATENATE(H26,F26,DA$2),Español!$A:$H,7,FALSE)=O26,1,0)</f>
        <v>#N/A</v>
      </c>
      <c r="DB26" s="138" t="e">
        <f>IF(VLOOKUP(CONCATENATE(H26,F26,DB$2),Español!$A:$H,7,FALSE)=P26,1,0)</f>
        <v>#N/A</v>
      </c>
      <c r="DC26" s="138" t="e">
        <f>IF(VLOOKUP(CONCATENATE(H26,F26,DC$2),Español!$A:$H,7,FALSE)=Q26,1,0)</f>
        <v>#N/A</v>
      </c>
      <c r="DD26" s="138" t="e">
        <f>IF(VLOOKUP(CONCATENATE(H26,F26,DD$2),Español!$A:$H,7,FALSE)=R26,1,0)</f>
        <v>#N/A</v>
      </c>
      <c r="DE26" s="138" t="e">
        <f>IF(VLOOKUP(CONCATENATE(H26,F26,DE$2),Español!$A:$H,7,FALSE)=S26,1,0)</f>
        <v>#N/A</v>
      </c>
      <c r="DF26" s="138" t="e">
        <f>IF(VLOOKUP(CONCATENATE(H26,F26,DF$2),Español!$A:$H,7,FALSE)=T26,1,0)</f>
        <v>#N/A</v>
      </c>
      <c r="DG26" s="138" t="e">
        <f>IF(VLOOKUP(CONCATENATE(H26,F26,DG$2),Español!$A:$H,7,FALSE)=U26,1,0)</f>
        <v>#N/A</v>
      </c>
      <c r="DH26" s="138" t="e">
        <f>IF(VLOOKUP(CONCATENATE(H26,F26,DH$2),Español!$A:$H,7,FALSE)=V26,1,0)</f>
        <v>#N/A</v>
      </c>
      <c r="DI26" s="138" t="e">
        <f>IF(VLOOKUP(CONCATENATE(H26,F26,DI$2),Español!$A:$H,7,FALSE)=W26,1,0)</f>
        <v>#N/A</v>
      </c>
      <c r="DJ26" s="138" t="e">
        <f>IF(VLOOKUP(CONCATENATE(H26,F26,DJ$2),Español!$A:$H,7,FALSE)=X26,1,0)</f>
        <v>#N/A</v>
      </c>
      <c r="DK26" s="138" t="e">
        <f>IF(VLOOKUP(CONCATENATE(H26,F26,DK$2),Español!$A:$H,7,FALSE)=Y26,1,0)</f>
        <v>#N/A</v>
      </c>
      <c r="DL26" s="138" t="e">
        <f>IF(VLOOKUP(CONCATENATE(H26,F26,DL$2),Español!$A:$H,7,FALSE)=Z26,1,0)</f>
        <v>#N/A</v>
      </c>
      <c r="DM26" s="138" t="e">
        <f>IF(VLOOKUP(CONCATENATE(H26,F26,DM$2),Español!$A:$H,7,FALSE)=AA26,1,0)</f>
        <v>#N/A</v>
      </c>
      <c r="DN26" s="138" t="e">
        <f>IF(VLOOKUP(CONCATENATE(H26,F26,DN$2),Español!$A:$H,7,FALSE)=AB26,1,0)</f>
        <v>#N/A</v>
      </c>
      <c r="DO26" s="138" t="e">
        <f>IF(VLOOKUP(CONCATENATE(H26,F26,DO$2),Español!$A:$H,7,FALSE)=AC26,1,0)</f>
        <v>#N/A</v>
      </c>
      <c r="DP26" s="138" t="e">
        <f>IF(VLOOKUP(CONCATENATE(H26,F26,DP$2),Español!$A:$H,7,FALSE)=AD26,1,0)</f>
        <v>#N/A</v>
      </c>
      <c r="DQ26" s="138" t="e">
        <f>IF(VLOOKUP(CONCATENATE(H26,F26,DQ$2),Español!$A:$H,7,FALSE)=AE26,1,0)</f>
        <v>#N/A</v>
      </c>
      <c r="DR26" s="138" t="e">
        <f>IF(VLOOKUP(CONCATENATE(H26,F26,DR$2),Inglés!$A:$H,7,FALSE)=AF26,1,0)</f>
        <v>#N/A</v>
      </c>
      <c r="DS26" s="138" t="e">
        <f>IF(VLOOKUP(CONCATENATE(H26,F26,DS$2),Inglés!$A:$H,7,FALSE)=AG26,1,0)</f>
        <v>#N/A</v>
      </c>
      <c r="DT26" s="138" t="e">
        <f>IF(VLOOKUP(CONCATENATE(H26,F26,DT$2),Inglés!$A:$H,7,FALSE)=AH26,1,0)</f>
        <v>#N/A</v>
      </c>
      <c r="DU26" s="138" t="e">
        <f>IF(VLOOKUP(CONCATENATE(H26,F26,DU$2),Inglés!$A:$H,7,FALSE)=AI26,1,0)</f>
        <v>#N/A</v>
      </c>
      <c r="DV26" s="138" t="e">
        <f>IF(VLOOKUP(CONCATENATE(H26,F26,DV$2),Inglés!$A:$H,7,FALSE)=AJ26,1,0)</f>
        <v>#N/A</v>
      </c>
      <c r="DW26" s="138" t="e">
        <f>IF(VLOOKUP(CONCATENATE(H26,F26,DW$2),Inglés!$A:$H,7,FALSE)=AK26,1,0)</f>
        <v>#N/A</v>
      </c>
      <c r="DX26" s="138" t="e">
        <f>IF(VLOOKUP(CONCATENATE(H26,F26,DX$2),Inglés!$A:$H,7,FALSE)=AL26,1,0)</f>
        <v>#N/A</v>
      </c>
      <c r="DY26" s="138" t="e">
        <f>IF(VLOOKUP(CONCATENATE(H26,F26,DY$2),Inglés!$A:$H,7,FALSE)=AM26,1,0)</f>
        <v>#N/A</v>
      </c>
      <c r="DZ26" s="138" t="e">
        <f>IF(VLOOKUP(CONCATENATE(H26,F26,DZ$2),Inglés!$A:$H,7,FALSE)=AN26,1,0)</f>
        <v>#N/A</v>
      </c>
      <c r="EA26" s="138" t="e">
        <f>IF(VLOOKUP(CONCATENATE(H26,F26,EA$2),Inglés!$A:$H,7,FALSE)=AO26,1,0)</f>
        <v>#N/A</v>
      </c>
      <c r="EB26" s="138" t="e">
        <f>IF(VLOOKUP(CONCATENATE(H26,F26,EB$2),Matemáticas!$A:$H,7,FALSE)=AP26,1,0)</f>
        <v>#N/A</v>
      </c>
      <c r="EC26" s="138" t="e">
        <f>IF(VLOOKUP(CONCATENATE(H26,F26,EC$2),Matemáticas!$A:$H,7,FALSE)=AQ26,1,0)</f>
        <v>#N/A</v>
      </c>
      <c r="ED26" s="138" t="e">
        <f>IF(VLOOKUP(CONCATENATE(H26,F26,ED$2),Matemáticas!$A:$H,7,FALSE)=AR26,1,0)</f>
        <v>#N/A</v>
      </c>
      <c r="EE26" s="138" t="e">
        <f>IF(VLOOKUP(CONCATENATE(H26,F26,EE$2),Matemáticas!$A:$H,7,FALSE)=AS26,1,0)</f>
        <v>#N/A</v>
      </c>
      <c r="EF26" s="138" t="e">
        <f>IF(VLOOKUP(CONCATENATE(H26,F26,EF$2),Matemáticas!$A:$H,7,FALSE)=AT26,1,0)</f>
        <v>#N/A</v>
      </c>
      <c r="EG26" s="138" t="e">
        <f>IF(VLOOKUP(CONCATENATE(H26,F26,EG$2),Matemáticas!$A:$H,7,FALSE)=AU26,1,0)</f>
        <v>#N/A</v>
      </c>
      <c r="EH26" s="138" t="e">
        <f>IF(VLOOKUP(CONCATENATE(H26,F26,EH$2),Matemáticas!$A:$H,7,FALSE)=AV26,1,0)</f>
        <v>#N/A</v>
      </c>
      <c r="EI26" s="138" t="e">
        <f>IF(VLOOKUP(CONCATENATE(H26,F26,EI$2),Matemáticas!$A:$H,7,FALSE)=AW26,1,0)</f>
        <v>#N/A</v>
      </c>
      <c r="EJ26" s="138" t="e">
        <f>IF(VLOOKUP(CONCATENATE(H26,F26,EJ$2),Matemáticas!$A:$H,7,FALSE)=AX26,1,0)</f>
        <v>#N/A</v>
      </c>
      <c r="EK26" s="138" t="e">
        <f>IF(VLOOKUP(CONCATENATE(H26,F26,EK$2),Matemáticas!$A:$H,7,FALSE)=AY26,1,0)</f>
        <v>#N/A</v>
      </c>
      <c r="EL26" s="138" t="e">
        <f>IF(VLOOKUP(CONCATENATE(H26,F26,EL$2),Matemáticas!$A:$H,7,FALSE)=AZ26,1,0)</f>
        <v>#N/A</v>
      </c>
      <c r="EM26" s="138" t="e">
        <f>IF(VLOOKUP(CONCATENATE(H26,F26,EM$2),Matemáticas!$A:$H,7,FALSE)=BA26,1,0)</f>
        <v>#N/A</v>
      </c>
      <c r="EN26" s="138" t="e">
        <f>IF(VLOOKUP(CONCATENATE(H26,F26,EN$2),Matemáticas!$A:$H,7,FALSE)=BB26,1,0)</f>
        <v>#N/A</v>
      </c>
      <c r="EO26" s="138" t="e">
        <f>IF(VLOOKUP(CONCATENATE(H26,F26,EO$2),Matemáticas!$A:$H,7,FALSE)=BC26,1,0)</f>
        <v>#N/A</v>
      </c>
      <c r="EP26" s="138" t="e">
        <f>IF(VLOOKUP(CONCATENATE(H26,F26,EP$2),Matemáticas!$A:$H,7,FALSE)=BD26,1,0)</f>
        <v>#N/A</v>
      </c>
      <c r="EQ26" s="138" t="e">
        <f>IF(VLOOKUP(CONCATENATE(H26,F26,EQ$2),Matemáticas!$A:$H,7,FALSE)=BE26,1,0)</f>
        <v>#N/A</v>
      </c>
      <c r="ER26" s="138" t="e">
        <f>IF(VLOOKUP(CONCATENATE(H26,F26,ER$2),Matemáticas!$A:$H,7,FALSE)=BF26,1,0)</f>
        <v>#N/A</v>
      </c>
      <c r="ES26" s="138" t="e">
        <f>IF(VLOOKUP(CONCATENATE(H26,F26,ES$2),Matemáticas!$A:$H,7,FALSE)=BG26,1,0)</f>
        <v>#N/A</v>
      </c>
      <c r="ET26" s="138" t="e">
        <f>IF(VLOOKUP(CONCATENATE(H26,F26,ET$2),Matemáticas!$A:$H,7,FALSE)=BH26,1,0)</f>
        <v>#N/A</v>
      </c>
      <c r="EU26" s="138" t="e">
        <f>IF(VLOOKUP(CONCATENATE(H26,F26,EU$2),Matemáticas!$A:$H,7,FALSE)=BI26,1,0)</f>
        <v>#N/A</v>
      </c>
      <c r="EV26" s="138" t="e">
        <f>IF(VLOOKUP(CONCATENATE(H26,F26,EV$2),Ciencias!$A:$H,7,FALSE)=BJ26,1,0)</f>
        <v>#N/A</v>
      </c>
      <c r="EW26" s="138" t="e">
        <f>IF(VLOOKUP(CONCATENATE(H26,F26,EW$2),Ciencias!$A:$H,7,FALSE)=BK26,1,0)</f>
        <v>#N/A</v>
      </c>
      <c r="EX26" s="138" t="e">
        <f>IF(VLOOKUP(CONCATENATE(H26,F26,EX$2),Ciencias!$A:$H,7,FALSE)=BL26,1,0)</f>
        <v>#N/A</v>
      </c>
      <c r="EY26" s="138" t="e">
        <f>IF(VLOOKUP(CONCATENATE(H26,F26,EY$2),Ciencias!$A:$H,7,FALSE)=BM26,1,0)</f>
        <v>#N/A</v>
      </c>
      <c r="EZ26" s="138" t="e">
        <f>IF(VLOOKUP(CONCATENATE(H26,F26,EZ$2),Ciencias!$A:$H,7,FALSE)=BN26,1,0)</f>
        <v>#N/A</v>
      </c>
      <c r="FA26" s="138" t="e">
        <f>IF(VLOOKUP(CONCATENATE(H26,F26,FA$2),Ciencias!$A:$H,7,FALSE)=BO26,1,0)</f>
        <v>#N/A</v>
      </c>
      <c r="FB26" s="138" t="e">
        <f>IF(VLOOKUP(CONCATENATE(H26,F26,FB$2),Ciencias!$A:$H,7,FALSE)=BP26,1,0)</f>
        <v>#N/A</v>
      </c>
      <c r="FC26" s="138" t="e">
        <f>IF(VLOOKUP(CONCATENATE(H26,F26,FC$2),Ciencias!$A:$H,7,FALSE)=BQ26,1,0)</f>
        <v>#N/A</v>
      </c>
      <c r="FD26" s="138" t="e">
        <f>IF(VLOOKUP(CONCATENATE(H26,F26,FD$2),Ciencias!$A:$H,7,FALSE)=BR26,1,0)</f>
        <v>#N/A</v>
      </c>
      <c r="FE26" s="138" t="e">
        <f>IF(VLOOKUP(CONCATENATE(H26,F26,FE$2),Ciencias!$A:$H,7,FALSE)=BS26,1,0)</f>
        <v>#N/A</v>
      </c>
      <c r="FF26" s="138" t="e">
        <f>IF(VLOOKUP(CONCATENATE(H26,F26,FF$2),Ciencias!$A:$H,7,FALSE)=BT26,1,0)</f>
        <v>#N/A</v>
      </c>
      <c r="FG26" s="138" t="e">
        <f>IF(VLOOKUP(CONCATENATE(H26,F26,FG$2),Ciencias!$A:$H,7,FALSE)=BU26,1,0)</f>
        <v>#N/A</v>
      </c>
      <c r="FH26" s="138" t="e">
        <f>IF(VLOOKUP(CONCATENATE(H26,F26,FH$2),Ciencias!$A:$H,7,FALSE)=BV26,1,0)</f>
        <v>#N/A</v>
      </c>
      <c r="FI26" s="138" t="e">
        <f>IF(VLOOKUP(CONCATENATE(H26,F26,FI$2),Ciencias!$A:$H,7,FALSE)=BW26,1,0)</f>
        <v>#N/A</v>
      </c>
      <c r="FJ26" s="138" t="e">
        <f>IF(VLOOKUP(CONCATENATE(H26,F26,FJ$2),Ciencias!$A:$H,7,FALSE)=BX26,1,0)</f>
        <v>#N/A</v>
      </c>
      <c r="FK26" s="138" t="e">
        <f>IF(VLOOKUP(CONCATENATE(H26,F26,FK$2),Ciencias!$A:$H,7,FALSE)=BY26,1,0)</f>
        <v>#N/A</v>
      </c>
      <c r="FL26" s="138" t="e">
        <f>IF(VLOOKUP(CONCATENATE(H26,F26,FL$2),Ciencias!$A:$H,7,FALSE)=BZ26,1,0)</f>
        <v>#N/A</v>
      </c>
      <c r="FM26" s="138" t="e">
        <f>IF(VLOOKUP(CONCATENATE(H26,F26,FM$2),Ciencias!$A:$H,7,FALSE)=CA26,1,0)</f>
        <v>#N/A</v>
      </c>
      <c r="FN26" s="138" t="e">
        <f>IF(VLOOKUP(CONCATENATE(H26,F26,FN$2),Ciencias!$A:$H,7,FALSE)=CB26,1,0)</f>
        <v>#N/A</v>
      </c>
      <c r="FO26" s="138" t="e">
        <f>IF(VLOOKUP(CONCATENATE(H26,F26,FO$2),Ciencias!$A:$H,7,FALSE)=CC26,1,0)</f>
        <v>#N/A</v>
      </c>
      <c r="FP26" s="138" t="e">
        <f>IF(VLOOKUP(CONCATENATE(H26,F26,FP$2),GeoHis!$A:$H,7,FALSE)=CD26,1,0)</f>
        <v>#N/A</v>
      </c>
      <c r="FQ26" s="138" t="e">
        <f>IF(VLOOKUP(CONCATENATE(H26,F26,FQ$2),GeoHis!$A:$H,7,FALSE)=CE26,1,0)</f>
        <v>#N/A</v>
      </c>
      <c r="FR26" s="138" t="e">
        <f>IF(VLOOKUP(CONCATENATE(H26,F26,FR$2),GeoHis!$A:$H,7,FALSE)=CF26,1,0)</f>
        <v>#N/A</v>
      </c>
      <c r="FS26" s="138" t="e">
        <f>IF(VLOOKUP(CONCATENATE(H26,F26,FS$2),GeoHis!$A:$H,7,FALSE)=CG26,1,0)</f>
        <v>#N/A</v>
      </c>
      <c r="FT26" s="138" t="e">
        <f>IF(VLOOKUP(CONCATENATE(H26,F26,FT$2),GeoHis!$A:$H,7,FALSE)=CH26,1,0)</f>
        <v>#N/A</v>
      </c>
      <c r="FU26" s="138" t="e">
        <f>IF(VLOOKUP(CONCATENATE(H26,F26,FU$2),GeoHis!$A:$H,7,FALSE)=CI26,1,0)</f>
        <v>#N/A</v>
      </c>
      <c r="FV26" s="138" t="e">
        <f>IF(VLOOKUP(CONCATENATE(H26,F26,FV$2),GeoHis!$A:$H,7,FALSE)=CJ26,1,0)</f>
        <v>#N/A</v>
      </c>
      <c r="FW26" s="138" t="e">
        <f>IF(VLOOKUP(CONCATENATE(H26,F26,FW$2),GeoHis!$A:$H,7,FALSE)=CK26,1,0)</f>
        <v>#N/A</v>
      </c>
      <c r="FX26" s="138" t="e">
        <f>IF(VLOOKUP(CONCATENATE(H26,F26,FX$2),GeoHis!$A:$H,7,FALSE)=CL26,1,0)</f>
        <v>#N/A</v>
      </c>
      <c r="FY26" s="138" t="e">
        <f>IF(VLOOKUP(CONCATENATE(H26,F26,FY$2),GeoHis!$A:$H,7,FALSE)=CM26,1,0)</f>
        <v>#N/A</v>
      </c>
      <c r="FZ26" s="138" t="e">
        <f>IF(VLOOKUP(CONCATENATE(H26,F26,FZ$2),GeoHis!$A:$H,7,FALSE)=CN26,1,0)</f>
        <v>#N/A</v>
      </c>
      <c r="GA26" s="138" t="e">
        <f>IF(VLOOKUP(CONCATENATE(H26,F26,GA$2),GeoHis!$A:$H,7,FALSE)=CO26,1,0)</f>
        <v>#N/A</v>
      </c>
      <c r="GB26" s="138" t="e">
        <f>IF(VLOOKUP(CONCATENATE(H26,F26,GB$2),GeoHis!$A:$H,7,FALSE)=CP26,1,0)</f>
        <v>#N/A</v>
      </c>
      <c r="GC26" s="138" t="e">
        <f>IF(VLOOKUP(CONCATENATE(H26,F26,GC$2),GeoHis!$A:$H,7,FALSE)=CQ26,1,0)</f>
        <v>#N/A</v>
      </c>
      <c r="GD26" s="138" t="e">
        <f>IF(VLOOKUP(CONCATENATE(H26,F26,GD$2),GeoHis!$A:$H,7,FALSE)=CR26,1,0)</f>
        <v>#N/A</v>
      </c>
      <c r="GE26" s="135" t="str">
        <f t="shared" si="6"/>
        <v/>
      </c>
    </row>
    <row r="27" spans="1:187" x14ac:dyDescent="0.25">
      <c r="A27" s="127" t="str">
        <f>IF(C27="","",'Datos Generales'!$A$25)</f>
        <v/>
      </c>
      <c r="D27" s="126" t="str">
        <f t="shared" si="0"/>
        <v/>
      </c>
      <c r="E27" s="126">
        <f t="shared" si="1"/>
        <v>0</v>
      </c>
      <c r="F27" s="126" t="str">
        <f t="shared" si="7"/>
        <v/>
      </c>
      <c r="G27" s="126" t="str">
        <f>IF(C27="","",'Datos Generales'!$D$19)</f>
        <v/>
      </c>
      <c r="H27" s="21" t="str">
        <f>IF(C27="","",'Datos Generales'!$A$19)</f>
        <v/>
      </c>
      <c r="I27" s="126" t="str">
        <f>IF(C27="","",'Datos Generales'!$A$7)</f>
        <v/>
      </c>
      <c r="J27" s="21" t="str">
        <f>IF(C27="","",'Datos Generales'!$A$13)</f>
        <v/>
      </c>
      <c r="K27" s="21" t="str">
        <f>IF(C27="","",'Datos Generales'!$A$10)</f>
        <v/>
      </c>
      <c r="CS27" s="142" t="str">
        <f t="shared" si="2"/>
        <v/>
      </c>
      <c r="CT27" s="142" t="str">
        <f t="shared" si="3"/>
        <v/>
      </c>
      <c r="CU27" s="142" t="str">
        <f t="shared" si="4"/>
        <v/>
      </c>
      <c r="CV27" s="142" t="str">
        <f t="shared" si="5"/>
        <v/>
      </c>
      <c r="CW27" s="142" t="str">
        <f>IF(C27="","",IF('Datos Generales'!$A$19=1,AVERAGE(FP27:GD27),AVERAGE(Captura!FP27:FY27)))</f>
        <v/>
      </c>
      <c r="CX27" s="138" t="e">
        <f>IF(VLOOKUP(CONCATENATE($H$4,$F$4,CX$2),Español!$A:$H,7,FALSE)=L27,1,0)</f>
        <v>#N/A</v>
      </c>
      <c r="CY27" s="138" t="e">
        <f>IF(VLOOKUP(CONCATENATE(H27,F27,CY$2),Español!$A:$H,7,FALSE)=M27,1,0)</f>
        <v>#N/A</v>
      </c>
      <c r="CZ27" s="138" t="e">
        <f>IF(VLOOKUP(CONCATENATE(H27,F27,CZ$2),Español!$A:$H,7,FALSE)=N27,1,0)</f>
        <v>#N/A</v>
      </c>
      <c r="DA27" s="138" t="e">
        <f>IF(VLOOKUP(CONCATENATE(H27,F27,DA$2),Español!$A:$H,7,FALSE)=O27,1,0)</f>
        <v>#N/A</v>
      </c>
      <c r="DB27" s="138" t="e">
        <f>IF(VLOOKUP(CONCATENATE(H27,F27,DB$2),Español!$A:$H,7,FALSE)=P27,1,0)</f>
        <v>#N/A</v>
      </c>
      <c r="DC27" s="138" t="e">
        <f>IF(VLOOKUP(CONCATENATE(H27,F27,DC$2),Español!$A:$H,7,FALSE)=Q27,1,0)</f>
        <v>#N/A</v>
      </c>
      <c r="DD27" s="138" t="e">
        <f>IF(VLOOKUP(CONCATENATE(H27,F27,DD$2),Español!$A:$H,7,FALSE)=R27,1,0)</f>
        <v>#N/A</v>
      </c>
      <c r="DE27" s="138" t="e">
        <f>IF(VLOOKUP(CONCATENATE(H27,F27,DE$2),Español!$A:$H,7,FALSE)=S27,1,0)</f>
        <v>#N/A</v>
      </c>
      <c r="DF27" s="138" t="e">
        <f>IF(VLOOKUP(CONCATENATE(H27,F27,DF$2),Español!$A:$H,7,FALSE)=T27,1,0)</f>
        <v>#N/A</v>
      </c>
      <c r="DG27" s="138" t="e">
        <f>IF(VLOOKUP(CONCATENATE(H27,F27,DG$2),Español!$A:$H,7,FALSE)=U27,1,0)</f>
        <v>#N/A</v>
      </c>
      <c r="DH27" s="138" t="e">
        <f>IF(VLOOKUP(CONCATENATE(H27,F27,DH$2),Español!$A:$H,7,FALSE)=V27,1,0)</f>
        <v>#N/A</v>
      </c>
      <c r="DI27" s="138" t="e">
        <f>IF(VLOOKUP(CONCATENATE(H27,F27,DI$2),Español!$A:$H,7,FALSE)=W27,1,0)</f>
        <v>#N/A</v>
      </c>
      <c r="DJ27" s="138" t="e">
        <f>IF(VLOOKUP(CONCATENATE(H27,F27,DJ$2),Español!$A:$H,7,FALSE)=X27,1,0)</f>
        <v>#N/A</v>
      </c>
      <c r="DK27" s="138" t="e">
        <f>IF(VLOOKUP(CONCATENATE(H27,F27,DK$2),Español!$A:$H,7,FALSE)=Y27,1,0)</f>
        <v>#N/A</v>
      </c>
      <c r="DL27" s="138" t="e">
        <f>IF(VLOOKUP(CONCATENATE(H27,F27,DL$2),Español!$A:$H,7,FALSE)=Z27,1,0)</f>
        <v>#N/A</v>
      </c>
      <c r="DM27" s="138" t="e">
        <f>IF(VLOOKUP(CONCATENATE(H27,F27,DM$2),Español!$A:$H,7,FALSE)=AA27,1,0)</f>
        <v>#N/A</v>
      </c>
      <c r="DN27" s="138" t="e">
        <f>IF(VLOOKUP(CONCATENATE(H27,F27,DN$2),Español!$A:$H,7,FALSE)=AB27,1,0)</f>
        <v>#N/A</v>
      </c>
      <c r="DO27" s="138" t="e">
        <f>IF(VLOOKUP(CONCATENATE(H27,F27,DO$2),Español!$A:$H,7,FALSE)=AC27,1,0)</f>
        <v>#N/A</v>
      </c>
      <c r="DP27" s="138" t="e">
        <f>IF(VLOOKUP(CONCATENATE(H27,F27,DP$2),Español!$A:$H,7,FALSE)=AD27,1,0)</f>
        <v>#N/A</v>
      </c>
      <c r="DQ27" s="138" t="e">
        <f>IF(VLOOKUP(CONCATENATE(H27,F27,DQ$2),Español!$A:$H,7,FALSE)=AE27,1,0)</f>
        <v>#N/A</v>
      </c>
      <c r="DR27" s="138" t="e">
        <f>IF(VLOOKUP(CONCATENATE(H27,F27,DR$2),Inglés!$A:$H,7,FALSE)=AF27,1,0)</f>
        <v>#N/A</v>
      </c>
      <c r="DS27" s="138" t="e">
        <f>IF(VLOOKUP(CONCATENATE(H27,F27,DS$2),Inglés!$A:$H,7,FALSE)=AG27,1,0)</f>
        <v>#N/A</v>
      </c>
      <c r="DT27" s="138" t="e">
        <f>IF(VLOOKUP(CONCATENATE(H27,F27,DT$2),Inglés!$A:$H,7,FALSE)=AH27,1,0)</f>
        <v>#N/A</v>
      </c>
      <c r="DU27" s="138" t="e">
        <f>IF(VLOOKUP(CONCATENATE(H27,F27,DU$2),Inglés!$A:$H,7,FALSE)=AI27,1,0)</f>
        <v>#N/A</v>
      </c>
      <c r="DV27" s="138" t="e">
        <f>IF(VLOOKUP(CONCATENATE(H27,F27,DV$2),Inglés!$A:$H,7,FALSE)=AJ27,1,0)</f>
        <v>#N/A</v>
      </c>
      <c r="DW27" s="138" t="e">
        <f>IF(VLOOKUP(CONCATENATE(H27,F27,DW$2),Inglés!$A:$H,7,FALSE)=AK27,1,0)</f>
        <v>#N/A</v>
      </c>
      <c r="DX27" s="138" t="e">
        <f>IF(VLOOKUP(CONCATENATE(H27,F27,DX$2),Inglés!$A:$H,7,FALSE)=AL27,1,0)</f>
        <v>#N/A</v>
      </c>
      <c r="DY27" s="138" t="e">
        <f>IF(VLOOKUP(CONCATENATE(H27,F27,DY$2),Inglés!$A:$H,7,FALSE)=AM27,1,0)</f>
        <v>#N/A</v>
      </c>
      <c r="DZ27" s="138" t="e">
        <f>IF(VLOOKUP(CONCATENATE(H27,F27,DZ$2),Inglés!$A:$H,7,FALSE)=AN27,1,0)</f>
        <v>#N/A</v>
      </c>
      <c r="EA27" s="138" t="e">
        <f>IF(VLOOKUP(CONCATENATE(H27,F27,EA$2),Inglés!$A:$H,7,FALSE)=AO27,1,0)</f>
        <v>#N/A</v>
      </c>
      <c r="EB27" s="138" t="e">
        <f>IF(VLOOKUP(CONCATENATE(H27,F27,EB$2),Matemáticas!$A:$H,7,FALSE)=AP27,1,0)</f>
        <v>#N/A</v>
      </c>
      <c r="EC27" s="138" t="e">
        <f>IF(VLOOKUP(CONCATENATE(H27,F27,EC$2),Matemáticas!$A:$H,7,FALSE)=AQ27,1,0)</f>
        <v>#N/A</v>
      </c>
      <c r="ED27" s="138" t="e">
        <f>IF(VLOOKUP(CONCATENATE(H27,F27,ED$2),Matemáticas!$A:$H,7,FALSE)=AR27,1,0)</f>
        <v>#N/A</v>
      </c>
      <c r="EE27" s="138" t="e">
        <f>IF(VLOOKUP(CONCATENATE(H27,F27,EE$2),Matemáticas!$A:$H,7,FALSE)=AS27,1,0)</f>
        <v>#N/A</v>
      </c>
      <c r="EF27" s="138" t="e">
        <f>IF(VLOOKUP(CONCATENATE(H27,F27,EF$2),Matemáticas!$A:$H,7,FALSE)=AT27,1,0)</f>
        <v>#N/A</v>
      </c>
      <c r="EG27" s="138" t="e">
        <f>IF(VLOOKUP(CONCATENATE(H27,F27,EG$2),Matemáticas!$A:$H,7,FALSE)=AU27,1,0)</f>
        <v>#N/A</v>
      </c>
      <c r="EH27" s="138" t="e">
        <f>IF(VLOOKUP(CONCATENATE(H27,F27,EH$2),Matemáticas!$A:$H,7,FALSE)=AV27,1,0)</f>
        <v>#N/A</v>
      </c>
      <c r="EI27" s="138" t="e">
        <f>IF(VLOOKUP(CONCATENATE(H27,F27,EI$2),Matemáticas!$A:$H,7,FALSE)=AW27,1,0)</f>
        <v>#N/A</v>
      </c>
      <c r="EJ27" s="138" t="e">
        <f>IF(VLOOKUP(CONCATENATE(H27,F27,EJ$2),Matemáticas!$A:$H,7,FALSE)=AX27,1,0)</f>
        <v>#N/A</v>
      </c>
      <c r="EK27" s="138" t="e">
        <f>IF(VLOOKUP(CONCATENATE(H27,F27,EK$2),Matemáticas!$A:$H,7,FALSE)=AY27,1,0)</f>
        <v>#N/A</v>
      </c>
      <c r="EL27" s="138" t="e">
        <f>IF(VLOOKUP(CONCATENATE(H27,F27,EL$2),Matemáticas!$A:$H,7,FALSE)=AZ27,1,0)</f>
        <v>#N/A</v>
      </c>
      <c r="EM27" s="138" t="e">
        <f>IF(VLOOKUP(CONCATENATE(H27,F27,EM$2),Matemáticas!$A:$H,7,FALSE)=BA27,1,0)</f>
        <v>#N/A</v>
      </c>
      <c r="EN27" s="138" t="e">
        <f>IF(VLOOKUP(CONCATENATE(H27,F27,EN$2),Matemáticas!$A:$H,7,FALSE)=BB27,1,0)</f>
        <v>#N/A</v>
      </c>
      <c r="EO27" s="138" t="e">
        <f>IF(VLOOKUP(CONCATENATE(H27,F27,EO$2),Matemáticas!$A:$H,7,FALSE)=BC27,1,0)</f>
        <v>#N/A</v>
      </c>
      <c r="EP27" s="138" t="e">
        <f>IF(VLOOKUP(CONCATENATE(H27,F27,EP$2),Matemáticas!$A:$H,7,FALSE)=BD27,1,0)</f>
        <v>#N/A</v>
      </c>
      <c r="EQ27" s="138" t="e">
        <f>IF(VLOOKUP(CONCATENATE(H27,F27,EQ$2),Matemáticas!$A:$H,7,FALSE)=BE27,1,0)</f>
        <v>#N/A</v>
      </c>
      <c r="ER27" s="138" t="e">
        <f>IF(VLOOKUP(CONCATENATE(H27,F27,ER$2),Matemáticas!$A:$H,7,FALSE)=BF27,1,0)</f>
        <v>#N/A</v>
      </c>
      <c r="ES27" s="138" t="e">
        <f>IF(VLOOKUP(CONCATENATE(H27,F27,ES$2),Matemáticas!$A:$H,7,FALSE)=BG27,1,0)</f>
        <v>#N/A</v>
      </c>
      <c r="ET27" s="138" t="e">
        <f>IF(VLOOKUP(CONCATENATE(H27,F27,ET$2),Matemáticas!$A:$H,7,FALSE)=BH27,1,0)</f>
        <v>#N/A</v>
      </c>
      <c r="EU27" s="138" t="e">
        <f>IF(VLOOKUP(CONCATENATE(H27,F27,EU$2),Matemáticas!$A:$H,7,FALSE)=BI27,1,0)</f>
        <v>#N/A</v>
      </c>
      <c r="EV27" s="138" t="e">
        <f>IF(VLOOKUP(CONCATENATE(H27,F27,EV$2),Ciencias!$A:$H,7,FALSE)=BJ27,1,0)</f>
        <v>#N/A</v>
      </c>
      <c r="EW27" s="138" t="e">
        <f>IF(VLOOKUP(CONCATENATE(H27,F27,EW$2),Ciencias!$A:$H,7,FALSE)=BK27,1,0)</f>
        <v>#N/A</v>
      </c>
      <c r="EX27" s="138" t="e">
        <f>IF(VLOOKUP(CONCATENATE(H27,F27,EX$2),Ciencias!$A:$H,7,FALSE)=BL27,1,0)</f>
        <v>#N/A</v>
      </c>
      <c r="EY27" s="138" t="e">
        <f>IF(VLOOKUP(CONCATENATE(H27,F27,EY$2),Ciencias!$A:$H,7,FALSE)=BM27,1,0)</f>
        <v>#N/A</v>
      </c>
      <c r="EZ27" s="138" t="e">
        <f>IF(VLOOKUP(CONCATENATE(H27,F27,EZ$2),Ciencias!$A:$H,7,FALSE)=BN27,1,0)</f>
        <v>#N/A</v>
      </c>
      <c r="FA27" s="138" t="e">
        <f>IF(VLOOKUP(CONCATENATE(H27,F27,FA$2),Ciencias!$A:$H,7,FALSE)=BO27,1,0)</f>
        <v>#N/A</v>
      </c>
      <c r="FB27" s="138" t="e">
        <f>IF(VLOOKUP(CONCATENATE(H27,F27,FB$2),Ciencias!$A:$H,7,FALSE)=BP27,1,0)</f>
        <v>#N/A</v>
      </c>
      <c r="FC27" s="138" t="e">
        <f>IF(VLOOKUP(CONCATENATE(H27,F27,FC$2),Ciencias!$A:$H,7,FALSE)=BQ27,1,0)</f>
        <v>#N/A</v>
      </c>
      <c r="FD27" s="138" t="e">
        <f>IF(VLOOKUP(CONCATENATE(H27,F27,FD$2),Ciencias!$A:$H,7,FALSE)=BR27,1,0)</f>
        <v>#N/A</v>
      </c>
      <c r="FE27" s="138" t="e">
        <f>IF(VLOOKUP(CONCATENATE(H27,F27,FE$2),Ciencias!$A:$H,7,FALSE)=BS27,1,0)</f>
        <v>#N/A</v>
      </c>
      <c r="FF27" s="138" t="e">
        <f>IF(VLOOKUP(CONCATENATE(H27,F27,FF$2),Ciencias!$A:$H,7,FALSE)=BT27,1,0)</f>
        <v>#N/A</v>
      </c>
      <c r="FG27" s="138" t="e">
        <f>IF(VLOOKUP(CONCATENATE(H27,F27,FG$2),Ciencias!$A:$H,7,FALSE)=BU27,1,0)</f>
        <v>#N/A</v>
      </c>
      <c r="FH27" s="138" t="e">
        <f>IF(VLOOKUP(CONCATENATE(H27,F27,FH$2),Ciencias!$A:$H,7,FALSE)=BV27,1,0)</f>
        <v>#N/A</v>
      </c>
      <c r="FI27" s="138" t="e">
        <f>IF(VLOOKUP(CONCATENATE(H27,F27,FI$2),Ciencias!$A:$H,7,FALSE)=BW27,1,0)</f>
        <v>#N/A</v>
      </c>
      <c r="FJ27" s="138" t="e">
        <f>IF(VLOOKUP(CONCATENATE(H27,F27,FJ$2),Ciencias!$A:$H,7,FALSE)=BX27,1,0)</f>
        <v>#N/A</v>
      </c>
      <c r="FK27" s="138" t="e">
        <f>IF(VLOOKUP(CONCATENATE(H27,F27,FK$2),Ciencias!$A:$H,7,FALSE)=BY27,1,0)</f>
        <v>#N/A</v>
      </c>
      <c r="FL27" s="138" t="e">
        <f>IF(VLOOKUP(CONCATENATE(H27,F27,FL$2),Ciencias!$A:$H,7,FALSE)=BZ27,1,0)</f>
        <v>#N/A</v>
      </c>
      <c r="FM27" s="138" t="e">
        <f>IF(VLOOKUP(CONCATENATE(H27,F27,FM$2),Ciencias!$A:$H,7,FALSE)=CA27,1,0)</f>
        <v>#N/A</v>
      </c>
      <c r="FN27" s="138" t="e">
        <f>IF(VLOOKUP(CONCATENATE(H27,F27,FN$2),Ciencias!$A:$H,7,FALSE)=CB27,1,0)</f>
        <v>#N/A</v>
      </c>
      <c r="FO27" s="138" t="e">
        <f>IF(VLOOKUP(CONCATENATE(H27,F27,FO$2),Ciencias!$A:$H,7,FALSE)=CC27,1,0)</f>
        <v>#N/A</v>
      </c>
      <c r="FP27" s="138" t="e">
        <f>IF(VLOOKUP(CONCATENATE(H27,F27,FP$2),GeoHis!$A:$H,7,FALSE)=CD27,1,0)</f>
        <v>#N/A</v>
      </c>
      <c r="FQ27" s="138" t="e">
        <f>IF(VLOOKUP(CONCATENATE(H27,F27,FQ$2),GeoHis!$A:$H,7,FALSE)=CE27,1,0)</f>
        <v>#N/A</v>
      </c>
      <c r="FR27" s="138" t="e">
        <f>IF(VLOOKUP(CONCATENATE(H27,F27,FR$2),GeoHis!$A:$H,7,FALSE)=CF27,1,0)</f>
        <v>#N/A</v>
      </c>
      <c r="FS27" s="138" t="e">
        <f>IF(VLOOKUP(CONCATENATE(H27,F27,FS$2),GeoHis!$A:$H,7,FALSE)=CG27,1,0)</f>
        <v>#N/A</v>
      </c>
      <c r="FT27" s="138" t="e">
        <f>IF(VLOOKUP(CONCATENATE(H27,F27,FT$2),GeoHis!$A:$H,7,FALSE)=CH27,1,0)</f>
        <v>#N/A</v>
      </c>
      <c r="FU27" s="138" t="e">
        <f>IF(VLOOKUP(CONCATENATE(H27,F27,FU$2),GeoHis!$A:$H,7,FALSE)=CI27,1,0)</f>
        <v>#N/A</v>
      </c>
      <c r="FV27" s="138" t="e">
        <f>IF(VLOOKUP(CONCATENATE(H27,F27,FV$2),GeoHis!$A:$H,7,FALSE)=CJ27,1,0)</f>
        <v>#N/A</v>
      </c>
      <c r="FW27" s="138" t="e">
        <f>IF(VLOOKUP(CONCATENATE(H27,F27,FW$2),GeoHis!$A:$H,7,FALSE)=CK27,1,0)</f>
        <v>#N/A</v>
      </c>
      <c r="FX27" s="138" t="e">
        <f>IF(VLOOKUP(CONCATENATE(H27,F27,FX$2),GeoHis!$A:$H,7,FALSE)=CL27,1,0)</f>
        <v>#N/A</v>
      </c>
      <c r="FY27" s="138" t="e">
        <f>IF(VLOOKUP(CONCATENATE(H27,F27,FY$2),GeoHis!$A:$H,7,FALSE)=CM27,1,0)</f>
        <v>#N/A</v>
      </c>
      <c r="FZ27" s="138" t="e">
        <f>IF(VLOOKUP(CONCATENATE(H27,F27,FZ$2),GeoHis!$A:$H,7,FALSE)=CN27,1,0)</f>
        <v>#N/A</v>
      </c>
      <c r="GA27" s="138" t="e">
        <f>IF(VLOOKUP(CONCATENATE(H27,F27,GA$2),GeoHis!$A:$H,7,FALSE)=CO27,1,0)</f>
        <v>#N/A</v>
      </c>
      <c r="GB27" s="138" t="e">
        <f>IF(VLOOKUP(CONCATENATE(H27,F27,GB$2),GeoHis!$A:$H,7,FALSE)=CP27,1,0)</f>
        <v>#N/A</v>
      </c>
      <c r="GC27" s="138" t="e">
        <f>IF(VLOOKUP(CONCATENATE(H27,F27,GC$2),GeoHis!$A:$H,7,FALSE)=CQ27,1,0)</f>
        <v>#N/A</v>
      </c>
      <c r="GD27" s="138" t="e">
        <f>IF(VLOOKUP(CONCATENATE(H27,F27,GD$2),GeoHis!$A:$H,7,FALSE)=CR27,1,0)</f>
        <v>#N/A</v>
      </c>
      <c r="GE27" s="135" t="str">
        <f t="shared" si="6"/>
        <v/>
      </c>
    </row>
    <row r="28" spans="1:187" x14ac:dyDescent="0.25">
      <c r="A28" s="127" t="str">
        <f>IF(C28="","",'Datos Generales'!$A$25)</f>
        <v/>
      </c>
      <c r="D28" s="126" t="str">
        <f t="shared" si="0"/>
        <v/>
      </c>
      <c r="E28" s="126">
        <f t="shared" si="1"/>
        <v>0</v>
      </c>
      <c r="F28" s="126" t="str">
        <f t="shared" si="7"/>
        <v/>
      </c>
      <c r="G28" s="126" t="str">
        <f>IF(C28="","",'Datos Generales'!$D$19)</f>
        <v/>
      </c>
      <c r="H28" s="21" t="str">
        <f>IF(C28="","",'Datos Generales'!$A$19)</f>
        <v/>
      </c>
      <c r="I28" s="126" t="str">
        <f>IF(C28="","",'Datos Generales'!$A$7)</f>
        <v/>
      </c>
      <c r="J28" s="21" t="str">
        <f>IF(C28="","",'Datos Generales'!$A$13)</f>
        <v/>
      </c>
      <c r="K28" s="21" t="str">
        <f>IF(C28="","",'Datos Generales'!$A$10)</f>
        <v/>
      </c>
      <c r="CS28" s="142" t="str">
        <f t="shared" si="2"/>
        <v/>
      </c>
      <c r="CT28" s="142" t="str">
        <f t="shared" si="3"/>
        <v/>
      </c>
      <c r="CU28" s="142" t="str">
        <f t="shared" si="4"/>
        <v/>
      </c>
      <c r="CV28" s="142" t="str">
        <f t="shared" si="5"/>
        <v/>
      </c>
      <c r="CW28" s="142" t="str">
        <f>IF(C28="","",IF('Datos Generales'!$A$19=1,AVERAGE(FP28:GD28),AVERAGE(Captura!FP28:FY28)))</f>
        <v/>
      </c>
      <c r="CX28" s="138" t="e">
        <f>IF(VLOOKUP(CONCATENATE($H$4,$F$4,CX$2),Español!$A:$H,7,FALSE)=L28,1,0)</f>
        <v>#N/A</v>
      </c>
      <c r="CY28" s="138" t="e">
        <f>IF(VLOOKUP(CONCATENATE(H28,F28,CY$2),Español!$A:$H,7,FALSE)=M28,1,0)</f>
        <v>#N/A</v>
      </c>
      <c r="CZ28" s="138" t="e">
        <f>IF(VLOOKUP(CONCATENATE(H28,F28,CZ$2),Español!$A:$H,7,FALSE)=N28,1,0)</f>
        <v>#N/A</v>
      </c>
      <c r="DA28" s="138" t="e">
        <f>IF(VLOOKUP(CONCATENATE(H28,F28,DA$2),Español!$A:$H,7,FALSE)=O28,1,0)</f>
        <v>#N/A</v>
      </c>
      <c r="DB28" s="138" t="e">
        <f>IF(VLOOKUP(CONCATENATE(H28,F28,DB$2),Español!$A:$H,7,FALSE)=P28,1,0)</f>
        <v>#N/A</v>
      </c>
      <c r="DC28" s="138" t="e">
        <f>IF(VLOOKUP(CONCATENATE(H28,F28,DC$2),Español!$A:$H,7,FALSE)=Q28,1,0)</f>
        <v>#N/A</v>
      </c>
      <c r="DD28" s="138" t="e">
        <f>IF(VLOOKUP(CONCATENATE(H28,F28,DD$2),Español!$A:$H,7,FALSE)=R28,1,0)</f>
        <v>#N/A</v>
      </c>
      <c r="DE28" s="138" t="e">
        <f>IF(VLOOKUP(CONCATENATE(H28,F28,DE$2),Español!$A:$H,7,FALSE)=S28,1,0)</f>
        <v>#N/A</v>
      </c>
      <c r="DF28" s="138" t="e">
        <f>IF(VLOOKUP(CONCATENATE(H28,F28,DF$2),Español!$A:$H,7,FALSE)=T28,1,0)</f>
        <v>#N/A</v>
      </c>
      <c r="DG28" s="138" t="e">
        <f>IF(VLOOKUP(CONCATENATE(H28,F28,DG$2),Español!$A:$H,7,FALSE)=U28,1,0)</f>
        <v>#N/A</v>
      </c>
      <c r="DH28" s="138" t="e">
        <f>IF(VLOOKUP(CONCATENATE(H28,F28,DH$2),Español!$A:$H,7,FALSE)=V28,1,0)</f>
        <v>#N/A</v>
      </c>
      <c r="DI28" s="138" t="e">
        <f>IF(VLOOKUP(CONCATENATE(H28,F28,DI$2),Español!$A:$H,7,FALSE)=W28,1,0)</f>
        <v>#N/A</v>
      </c>
      <c r="DJ28" s="138" t="e">
        <f>IF(VLOOKUP(CONCATENATE(H28,F28,DJ$2),Español!$A:$H,7,FALSE)=X28,1,0)</f>
        <v>#N/A</v>
      </c>
      <c r="DK28" s="138" t="e">
        <f>IF(VLOOKUP(CONCATENATE(H28,F28,DK$2),Español!$A:$H,7,FALSE)=Y28,1,0)</f>
        <v>#N/A</v>
      </c>
      <c r="DL28" s="138" t="e">
        <f>IF(VLOOKUP(CONCATENATE(H28,F28,DL$2),Español!$A:$H,7,FALSE)=Z28,1,0)</f>
        <v>#N/A</v>
      </c>
      <c r="DM28" s="138" t="e">
        <f>IF(VLOOKUP(CONCATENATE(H28,F28,DM$2),Español!$A:$H,7,FALSE)=AA28,1,0)</f>
        <v>#N/A</v>
      </c>
      <c r="DN28" s="138" t="e">
        <f>IF(VLOOKUP(CONCATENATE(H28,F28,DN$2),Español!$A:$H,7,FALSE)=AB28,1,0)</f>
        <v>#N/A</v>
      </c>
      <c r="DO28" s="138" t="e">
        <f>IF(VLOOKUP(CONCATENATE(H28,F28,DO$2),Español!$A:$H,7,FALSE)=AC28,1,0)</f>
        <v>#N/A</v>
      </c>
      <c r="DP28" s="138" t="e">
        <f>IF(VLOOKUP(CONCATENATE(H28,F28,DP$2),Español!$A:$H,7,FALSE)=AD28,1,0)</f>
        <v>#N/A</v>
      </c>
      <c r="DQ28" s="138" t="e">
        <f>IF(VLOOKUP(CONCATENATE(H28,F28,DQ$2),Español!$A:$H,7,FALSE)=AE28,1,0)</f>
        <v>#N/A</v>
      </c>
      <c r="DR28" s="138" t="e">
        <f>IF(VLOOKUP(CONCATENATE(H28,F28,DR$2),Inglés!$A:$H,7,FALSE)=AF28,1,0)</f>
        <v>#N/A</v>
      </c>
      <c r="DS28" s="138" t="e">
        <f>IF(VLOOKUP(CONCATENATE(H28,F28,DS$2),Inglés!$A:$H,7,FALSE)=AG28,1,0)</f>
        <v>#N/A</v>
      </c>
      <c r="DT28" s="138" t="e">
        <f>IF(VLOOKUP(CONCATENATE(H28,F28,DT$2),Inglés!$A:$H,7,FALSE)=AH28,1,0)</f>
        <v>#N/A</v>
      </c>
      <c r="DU28" s="138" t="e">
        <f>IF(VLOOKUP(CONCATENATE(H28,F28,DU$2),Inglés!$A:$H,7,FALSE)=AI28,1,0)</f>
        <v>#N/A</v>
      </c>
      <c r="DV28" s="138" t="e">
        <f>IF(VLOOKUP(CONCATENATE(H28,F28,DV$2),Inglés!$A:$H,7,FALSE)=AJ28,1,0)</f>
        <v>#N/A</v>
      </c>
      <c r="DW28" s="138" t="e">
        <f>IF(VLOOKUP(CONCATENATE(H28,F28,DW$2),Inglés!$A:$H,7,FALSE)=AK28,1,0)</f>
        <v>#N/A</v>
      </c>
      <c r="DX28" s="138" t="e">
        <f>IF(VLOOKUP(CONCATENATE(H28,F28,DX$2),Inglés!$A:$H,7,FALSE)=AL28,1,0)</f>
        <v>#N/A</v>
      </c>
      <c r="DY28" s="138" t="e">
        <f>IF(VLOOKUP(CONCATENATE(H28,F28,DY$2),Inglés!$A:$H,7,FALSE)=AM28,1,0)</f>
        <v>#N/A</v>
      </c>
      <c r="DZ28" s="138" t="e">
        <f>IF(VLOOKUP(CONCATENATE(H28,F28,DZ$2),Inglés!$A:$H,7,FALSE)=AN28,1,0)</f>
        <v>#N/A</v>
      </c>
      <c r="EA28" s="138" t="e">
        <f>IF(VLOOKUP(CONCATENATE(H28,F28,EA$2),Inglés!$A:$H,7,FALSE)=AO28,1,0)</f>
        <v>#N/A</v>
      </c>
      <c r="EB28" s="138" t="e">
        <f>IF(VLOOKUP(CONCATENATE(H28,F28,EB$2),Matemáticas!$A:$H,7,FALSE)=AP28,1,0)</f>
        <v>#N/A</v>
      </c>
      <c r="EC28" s="138" t="e">
        <f>IF(VLOOKUP(CONCATENATE(H28,F28,EC$2),Matemáticas!$A:$H,7,FALSE)=AQ28,1,0)</f>
        <v>#N/A</v>
      </c>
      <c r="ED28" s="138" t="e">
        <f>IF(VLOOKUP(CONCATENATE(H28,F28,ED$2),Matemáticas!$A:$H,7,FALSE)=AR28,1,0)</f>
        <v>#N/A</v>
      </c>
      <c r="EE28" s="138" t="e">
        <f>IF(VLOOKUP(CONCATENATE(H28,F28,EE$2),Matemáticas!$A:$H,7,FALSE)=AS28,1,0)</f>
        <v>#N/A</v>
      </c>
      <c r="EF28" s="138" t="e">
        <f>IF(VLOOKUP(CONCATENATE(H28,F28,EF$2),Matemáticas!$A:$H,7,FALSE)=AT28,1,0)</f>
        <v>#N/A</v>
      </c>
      <c r="EG28" s="138" t="e">
        <f>IF(VLOOKUP(CONCATENATE(H28,F28,EG$2),Matemáticas!$A:$H,7,FALSE)=AU28,1,0)</f>
        <v>#N/A</v>
      </c>
      <c r="EH28" s="138" t="e">
        <f>IF(VLOOKUP(CONCATENATE(H28,F28,EH$2),Matemáticas!$A:$H,7,FALSE)=AV28,1,0)</f>
        <v>#N/A</v>
      </c>
      <c r="EI28" s="138" t="e">
        <f>IF(VLOOKUP(CONCATENATE(H28,F28,EI$2),Matemáticas!$A:$H,7,FALSE)=AW28,1,0)</f>
        <v>#N/A</v>
      </c>
      <c r="EJ28" s="138" t="e">
        <f>IF(VLOOKUP(CONCATENATE(H28,F28,EJ$2),Matemáticas!$A:$H,7,FALSE)=AX28,1,0)</f>
        <v>#N/A</v>
      </c>
      <c r="EK28" s="138" t="e">
        <f>IF(VLOOKUP(CONCATENATE(H28,F28,EK$2),Matemáticas!$A:$H,7,FALSE)=AY28,1,0)</f>
        <v>#N/A</v>
      </c>
      <c r="EL28" s="138" t="e">
        <f>IF(VLOOKUP(CONCATENATE(H28,F28,EL$2),Matemáticas!$A:$H,7,FALSE)=AZ28,1,0)</f>
        <v>#N/A</v>
      </c>
      <c r="EM28" s="138" t="e">
        <f>IF(VLOOKUP(CONCATENATE(H28,F28,EM$2),Matemáticas!$A:$H,7,FALSE)=BA28,1,0)</f>
        <v>#N/A</v>
      </c>
      <c r="EN28" s="138" t="e">
        <f>IF(VLOOKUP(CONCATENATE(H28,F28,EN$2),Matemáticas!$A:$H,7,FALSE)=BB28,1,0)</f>
        <v>#N/A</v>
      </c>
      <c r="EO28" s="138" t="e">
        <f>IF(VLOOKUP(CONCATENATE(H28,F28,EO$2),Matemáticas!$A:$H,7,FALSE)=BC28,1,0)</f>
        <v>#N/A</v>
      </c>
      <c r="EP28" s="138" t="e">
        <f>IF(VLOOKUP(CONCATENATE(H28,F28,EP$2),Matemáticas!$A:$H,7,FALSE)=BD28,1,0)</f>
        <v>#N/A</v>
      </c>
      <c r="EQ28" s="138" t="e">
        <f>IF(VLOOKUP(CONCATENATE(H28,F28,EQ$2),Matemáticas!$A:$H,7,FALSE)=BE28,1,0)</f>
        <v>#N/A</v>
      </c>
      <c r="ER28" s="138" t="e">
        <f>IF(VLOOKUP(CONCATENATE(H28,F28,ER$2),Matemáticas!$A:$H,7,FALSE)=BF28,1,0)</f>
        <v>#N/A</v>
      </c>
      <c r="ES28" s="138" t="e">
        <f>IF(VLOOKUP(CONCATENATE(H28,F28,ES$2),Matemáticas!$A:$H,7,FALSE)=BG28,1,0)</f>
        <v>#N/A</v>
      </c>
      <c r="ET28" s="138" t="e">
        <f>IF(VLOOKUP(CONCATENATE(H28,F28,ET$2),Matemáticas!$A:$H,7,FALSE)=BH28,1,0)</f>
        <v>#N/A</v>
      </c>
      <c r="EU28" s="138" t="e">
        <f>IF(VLOOKUP(CONCATENATE(H28,F28,EU$2),Matemáticas!$A:$H,7,FALSE)=BI28,1,0)</f>
        <v>#N/A</v>
      </c>
      <c r="EV28" s="138" t="e">
        <f>IF(VLOOKUP(CONCATENATE(H28,F28,EV$2),Ciencias!$A:$H,7,FALSE)=BJ28,1,0)</f>
        <v>#N/A</v>
      </c>
      <c r="EW28" s="138" t="e">
        <f>IF(VLOOKUP(CONCATENATE(H28,F28,EW$2),Ciencias!$A:$H,7,FALSE)=BK28,1,0)</f>
        <v>#N/A</v>
      </c>
      <c r="EX28" s="138" t="e">
        <f>IF(VLOOKUP(CONCATENATE(H28,F28,EX$2),Ciencias!$A:$H,7,FALSE)=BL28,1,0)</f>
        <v>#N/A</v>
      </c>
      <c r="EY28" s="138" t="e">
        <f>IF(VLOOKUP(CONCATENATE(H28,F28,EY$2),Ciencias!$A:$H,7,FALSE)=BM28,1,0)</f>
        <v>#N/A</v>
      </c>
      <c r="EZ28" s="138" t="e">
        <f>IF(VLOOKUP(CONCATENATE(H28,F28,EZ$2),Ciencias!$A:$H,7,FALSE)=BN28,1,0)</f>
        <v>#N/A</v>
      </c>
      <c r="FA28" s="138" t="e">
        <f>IF(VLOOKUP(CONCATENATE(H28,F28,FA$2),Ciencias!$A:$H,7,FALSE)=BO28,1,0)</f>
        <v>#N/A</v>
      </c>
      <c r="FB28" s="138" t="e">
        <f>IF(VLOOKUP(CONCATENATE(H28,F28,FB$2),Ciencias!$A:$H,7,FALSE)=BP28,1,0)</f>
        <v>#N/A</v>
      </c>
      <c r="FC28" s="138" t="e">
        <f>IF(VLOOKUP(CONCATENATE(H28,F28,FC$2),Ciencias!$A:$H,7,FALSE)=BQ28,1,0)</f>
        <v>#N/A</v>
      </c>
      <c r="FD28" s="138" t="e">
        <f>IF(VLOOKUP(CONCATENATE(H28,F28,FD$2),Ciencias!$A:$H,7,FALSE)=BR28,1,0)</f>
        <v>#N/A</v>
      </c>
      <c r="FE28" s="138" t="e">
        <f>IF(VLOOKUP(CONCATENATE(H28,F28,FE$2),Ciencias!$A:$H,7,FALSE)=BS28,1,0)</f>
        <v>#N/A</v>
      </c>
      <c r="FF28" s="138" t="e">
        <f>IF(VLOOKUP(CONCATENATE(H28,F28,FF$2),Ciencias!$A:$H,7,FALSE)=BT28,1,0)</f>
        <v>#N/A</v>
      </c>
      <c r="FG28" s="138" t="e">
        <f>IF(VLOOKUP(CONCATENATE(H28,F28,FG$2),Ciencias!$A:$H,7,FALSE)=BU28,1,0)</f>
        <v>#N/A</v>
      </c>
      <c r="FH28" s="138" t="e">
        <f>IF(VLOOKUP(CONCATENATE(H28,F28,FH$2),Ciencias!$A:$H,7,FALSE)=BV28,1,0)</f>
        <v>#N/A</v>
      </c>
      <c r="FI28" s="138" t="e">
        <f>IF(VLOOKUP(CONCATENATE(H28,F28,FI$2),Ciencias!$A:$H,7,FALSE)=BW28,1,0)</f>
        <v>#N/A</v>
      </c>
      <c r="FJ28" s="138" t="e">
        <f>IF(VLOOKUP(CONCATENATE(H28,F28,FJ$2),Ciencias!$A:$H,7,FALSE)=BX28,1,0)</f>
        <v>#N/A</v>
      </c>
      <c r="FK28" s="138" t="e">
        <f>IF(VLOOKUP(CONCATENATE(H28,F28,FK$2),Ciencias!$A:$H,7,FALSE)=BY28,1,0)</f>
        <v>#N/A</v>
      </c>
      <c r="FL28" s="138" t="e">
        <f>IF(VLOOKUP(CONCATENATE(H28,F28,FL$2),Ciencias!$A:$H,7,FALSE)=BZ28,1,0)</f>
        <v>#N/A</v>
      </c>
      <c r="FM28" s="138" t="e">
        <f>IF(VLOOKUP(CONCATENATE(H28,F28,FM$2),Ciencias!$A:$H,7,FALSE)=CA28,1,0)</f>
        <v>#N/A</v>
      </c>
      <c r="FN28" s="138" t="e">
        <f>IF(VLOOKUP(CONCATENATE(H28,F28,FN$2),Ciencias!$A:$H,7,FALSE)=CB28,1,0)</f>
        <v>#N/A</v>
      </c>
      <c r="FO28" s="138" t="e">
        <f>IF(VLOOKUP(CONCATENATE(H28,F28,FO$2),Ciencias!$A:$H,7,FALSE)=CC28,1,0)</f>
        <v>#N/A</v>
      </c>
      <c r="FP28" s="138" t="e">
        <f>IF(VLOOKUP(CONCATENATE(H28,F28,FP$2),GeoHis!$A:$H,7,FALSE)=CD28,1,0)</f>
        <v>#N/A</v>
      </c>
      <c r="FQ28" s="138" t="e">
        <f>IF(VLOOKUP(CONCATENATE(H28,F28,FQ$2),GeoHis!$A:$H,7,FALSE)=CE28,1,0)</f>
        <v>#N/A</v>
      </c>
      <c r="FR28" s="138" t="e">
        <f>IF(VLOOKUP(CONCATENATE(H28,F28,FR$2),GeoHis!$A:$H,7,FALSE)=CF28,1,0)</f>
        <v>#N/A</v>
      </c>
      <c r="FS28" s="138" t="e">
        <f>IF(VLOOKUP(CONCATENATE(H28,F28,FS$2),GeoHis!$A:$H,7,FALSE)=CG28,1,0)</f>
        <v>#N/A</v>
      </c>
      <c r="FT28" s="138" t="e">
        <f>IF(VLOOKUP(CONCATENATE(H28,F28,FT$2),GeoHis!$A:$H,7,FALSE)=CH28,1,0)</f>
        <v>#N/A</v>
      </c>
      <c r="FU28" s="138" t="e">
        <f>IF(VLOOKUP(CONCATENATE(H28,F28,FU$2),GeoHis!$A:$H,7,FALSE)=CI28,1,0)</f>
        <v>#N/A</v>
      </c>
      <c r="FV28" s="138" t="e">
        <f>IF(VLOOKUP(CONCATENATE(H28,F28,FV$2),GeoHis!$A:$H,7,FALSE)=CJ28,1,0)</f>
        <v>#N/A</v>
      </c>
      <c r="FW28" s="138" t="e">
        <f>IF(VLOOKUP(CONCATENATE(H28,F28,FW$2),GeoHis!$A:$H,7,FALSE)=CK28,1,0)</f>
        <v>#N/A</v>
      </c>
      <c r="FX28" s="138" t="e">
        <f>IF(VLOOKUP(CONCATENATE(H28,F28,FX$2),GeoHis!$A:$H,7,FALSE)=CL28,1,0)</f>
        <v>#N/A</v>
      </c>
      <c r="FY28" s="138" t="e">
        <f>IF(VLOOKUP(CONCATENATE(H28,F28,FY$2),GeoHis!$A:$H,7,FALSE)=CM28,1,0)</f>
        <v>#N/A</v>
      </c>
      <c r="FZ28" s="138" t="e">
        <f>IF(VLOOKUP(CONCATENATE(H28,F28,FZ$2),GeoHis!$A:$H,7,FALSE)=CN28,1,0)</f>
        <v>#N/A</v>
      </c>
      <c r="GA28" s="138" t="e">
        <f>IF(VLOOKUP(CONCATENATE(H28,F28,GA$2),GeoHis!$A:$H,7,FALSE)=CO28,1,0)</f>
        <v>#N/A</v>
      </c>
      <c r="GB28" s="138" t="e">
        <f>IF(VLOOKUP(CONCATENATE(H28,F28,GB$2),GeoHis!$A:$H,7,FALSE)=CP28,1,0)</f>
        <v>#N/A</v>
      </c>
      <c r="GC28" s="138" t="e">
        <f>IF(VLOOKUP(CONCATENATE(H28,F28,GC$2),GeoHis!$A:$H,7,FALSE)=CQ28,1,0)</f>
        <v>#N/A</v>
      </c>
      <c r="GD28" s="138" t="e">
        <f>IF(VLOOKUP(CONCATENATE(H28,F28,GD$2),GeoHis!$A:$H,7,FALSE)=CR28,1,0)</f>
        <v>#N/A</v>
      </c>
      <c r="GE28" s="135" t="str">
        <f t="shared" si="6"/>
        <v/>
      </c>
    </row>
    <row r="29" spans="1:187" x14ac:dyDescent="0.25">
      <c r="A29" s="127" t="str">
        <f>IF(C29="","",'Datos Generales'!$A$25)</f>
        <v/>
      </c>
      <c r="D29" s="126" t="str">
        <f t="shared" si="0"/>
        <v/>
      </c>
      <c r="E29" s="126">
        <f t="shared" si="1"/>
        <v>0</v>
      </c>
      <c r="F29" s="126" t="str">
        <f t="shared" si="7"/>
        <v/>
      </c>
      <c r="G29" s="126" t="str">
        <f>IF(C29="","",'Datos Generales'!$D$19)</f>
        <v/>
      </c>
      <c r="H29" s="21" t="str">
        <f>IF(C29="","",'Datos Generales'!$A$19)</f>
        <v/>
      </c>
      <c r="I29" s="126" t="str">
        <f>IF(C29="","",'Datos Generales'!$A$7)</f>
        <v/>
      </c>
      <c r="J29" s="21" t="str">
        <f>IF(C29="","",'Datos Generales'!$A$13)</f>
        <v/>
      </c>
      <c r="K29" s="21" t="str">
        <f>IF(C29="","",'Datos Generales'!$A$10)</f>
        <v/>
      </c>
      <c r="CS29" s="142" t="str">
        <f t="shared" si="2"/>
        <v/>
      </c>
      <c r="CT29" s="142" t="str">
        <f t="shared" si="3"/>
        <v/>
      </c>
      <c r="CU29" s="142" t="str">
        <f t="shared" si="4"/>
        <v/>
      </c>
      <c r="CV29" s="142" t="str">
        <f t="shared" si="5"/>
        <v/>
      </c>
      <c r="CW29" s="142" t="str">
        <f>IF(C29="","",IF('Datos Generales'!$A$19=1,AVERAGE(FP29:GD29),AVERAGE(Captura!FP29:FY29)))</f>
        <v/>
      </c>
      <c r="CX29" s="138" t="e">
        <f>IF(VLOOKUP(CONCATENATE($H$4,$F$4,CX$2),Español!$A:$H,7,FALSE)=L29,1,0)</f>
        <v>#N/A</v>
      </c>
      <c r="CY29" s="138" t="e">
        <f>IF(VLOOKUP(CONCATENATE(H29,F29,CY$2),Español!$A:$H,7,FALSE)=M29,1,0)</f>
        <v>#N/A</v>
      </c>
      <c r="CZ29" s="138" t="e">
        <f>IF(VLOOKUP(CONCATENATE(H29,F29,CZ$2),Español!$A:$H,7,FALSE)=N29,1,0)</f>
        <v>#N/A</v>
      </c>
      <c r="DA29" s="138" t="e">
        <f>IF(VLOOKUP(CONCATENATE(H29,F29,DA$2),Español!$A:$H,7,FALSE)=O29,1,0)</f>
        <v>#N/A</v>
      </c>
      <c r="DB29" s="138" t="e">
        <f>IF(VLOOKUP(CONCATENATE(H29,F29,DB$2),Español!$A:$H,7,FALSE)=P29,1,0)</f>
        <v>#N/A</v>
      </c>
      <c r="DC29" s="138" t="e">
        <f>IF(VLOOKUP(CONCATENATE(H29,F29,DC$2),Español!$A:$H,7,FALSE)=Q29,1,0)</f>
        <v>#N/A</v>
      </c>
      <c r="DD29" s="138" t="e">
        <f>IF(VLOOKUP(CONCATENATE(H29,F29,DD$2),Español!$A:$H,7,FALSE)=R29,1,0)</f>
        <v>#N/A</v>
      </c>
      <c r="DE29" s="138" t="e">
        <f>IF(VLOOKUP(CONCATENATE(H29,F29,DE$2),Español!$A:$H,7,FALSE)=S29,1,0)</f>
        <v>#N/A</v>
      </c>
      <c r="DF29" s="138" t="e">
        <f>IF(VLOOKUP(CONCATENATE(H29,F29,DF$2),Español!$A:$H,7,FALSE)=T29,1,0)</f>
        <v>#N/A</v>
      </c>
      <c r="DG29" s="138" t="e">
        <f>IF(VLOOKUP(CONCATENATE(H29,F29,DG$2),Español!$A:$H,7,FALSE)=U29,1,0)</f>
        <v>#N/A</v>
      </c>
      <c r="DH29" s="138" t="e">
        <f>IF(VLOOKUP(CONCATENATE(H29,F29,DH$2),Español!$A:$H,7,FALSE)=V29,1,0)</f>
        <v>#N/A</v>
      </c>
      <c r="DI29" s="138" t="e">
        <f>IF(VLOOKUP(CONCATENATE(H29,F29,DI$2),Español!$A:$H,7,FALSE)=W29,1,0)</f>
        <v>#N/A</v>
      </c>
      <c r="DJ29" s="138" t="e">
        <f>IF(VLOOKUP(CONCATENATE(H29,F29,DJ$2),Español!$A:$H,7,FALSE)=X29,1,0)</f>
        <v>#N/A</v>
      </c>
      <c r="DK29" s="138" t="e">
        <f>IF(VLOOKUP(CONCATENATE(H29,F29,DK$2),Español!$A:$H,7,FALSE)=Y29,1,0)</f>
        <v>#N/A</v>
      </c>
      <c r="DL29" s="138" t="e">
        <f>IF(VLOOKUP(CONCATENATE(H29,F29,DL$2),Español!$A:$H,7,FALSE)=Z29,1,0)</f>
        <v>#N/A</v>
      </c>
      <c r="DM29" s="138" t="e">
        <f>IF(VLOOKUP(CONCATENATE(H29,F29,DM$2),Español!$A:$H,7,FALSE)=AA29,1,0)</f>
        <v>#N/A</v>
      </c>
      <c r="DN29" s="138" t="e">
        <f>IF(VLOOKUP(CONCATENATE(H29,F29,DN$2),Español!$A:$H,7,FALSE)=AB29,1,0)</f>
        <v>#N/A</v>
      </c>
      <c r="DO29" s="138" t="e">
        <f>IF(VLOOKUP(CONCATENATE(H29,F29,DO$2),Español!$A:$H,7,FALSE)=AC29,1,0)</f>
        <v>#N/A</v>
      </c>
      <c r="DP29" s="138" t="e">
        <f>IF(VLOOKUP(CONCATENATE(H29,F29,DP$2),Español!$A:$H,7,FALSE)=AD29,1,0)</f>
        <v>#N/A</v>
      </c>
      <c r="DQ29" s="138" t="e">
        <f>IF(VLOOKUP(CONCATENATE(H29,F29,DQ$2),Español!$A:$H,7,FALSE)=AE29,1,0)</f>
        <v>#N/A</v>
      </c>
      <c r="DR29" s="138" t="e">
        <f>IF(VLOOKUP(CONCATENATE(H29,F29,DR$2),Inglés!$A:$H,7,FALSE)=AF29,1,0)</f>
        <v>#N/A</v>
      </c>
      <c r="DS29" s="138" t="e">
        <f>IF(VLOOKUP(CONCATENATE(H29,F29,DS$2),Inglés!$A:$H,7,FALSE)=AG29,1,0)</f>
        <v>#N/A</v>
      </c>
      <c r="DT29" s="138" t="e">
        <f>IF(VLOOKUP(CONCATENATE(H29,F29,DT$2),Inglés!$A:$H,7,FALSE)=AH29,1,0)</f>
        <v>#N/A</v>
      </c>
      <c r="DU29" s="138" t="e">
        <f>IF(VLOOKUP(CONCATENATE(H29,F29,DU$2),Inglés!$A:$H,7,FALSE)=AI29,1,0)</f>
        <v>#N/A</v>
      </c>
      <c r="DV29" s="138" t="e">
        <f>IF(VLOOKUP(CONCATENATE(H29,F29,DV$2),Inglés!$A:$H,7,FALSE)=AJ29,1,0)</f>
        <v>#N/A</v>
      </c>
      <c r="DW29" s="138" t="e">
        <f>IF(VLOOKUP(CONCATENATE(H29,F29,DW$2),Inglés!$A:$H,7,FALSE)=AK29,1,0)</f>
        <v>#N/A</v>
      </c>
      <c r="DX29" s="138" t="e">
        <f>IF(VLOOKUP(CONCATENATE(H29,F29,DX$2),Inglés!$A:$H,7,FALSE)=AL29,1,0)</f>
        <v>#N/A</v>
      </c>
      <c r="DY29" s="138" t="e">
        <f>IF(VLOOKUP(CONCATENATE(H29,F29,DY$2),Inglés!$A:$H,7,FALSE)=AM29,1,0)</f>
        <v>#N/A</v>
      </c>
      <c r="DZ29" s="138" t="e">
        <f>IF(VLOOKUP(CONCATENATE(H29,F29,DZ$2),Inglés!$A:$H,7,FALSE)=AN29,1,0)</f>
        <v>#N/A</v>
      </c>
      <c r="EA29" s="138" t="e">
        <f>IF(VLOOKUP(CONCATENATE(H29,F29,EA$2),Inglés!$A:$H,7,FALSE)=AO29,1,0)</f>
        <v>#N/A</v>
      </c>
      <c r="EB29" s="138" t="e">
        <f>IF(VLOOKUP(CONCATENATE(H29,F29,EB$2),Matemáticas!$A:$H,7,FALSE)=AP29,1,0)</f>
        <v>#N/A</v>
      </c>
      <c r="EC29" s="138" t="e">
        <f>IF(VLOOKUP(CONCATENATE(H29,F29,EC$2),Matemáticas!$A:$H,7,FALSE)=AQ29,1,0)</f>
        <v>#N/A</v>
      </c>
      <c r="ED29" s="138" t="e">
        <f>IF(VLOOKUP(CONCATENATE(H29,F29,ED$2),Matemáticas!$A:$H,7,FALSE)=AR29,1,0)</f>
        <v>#N/A</v>
      </c>
      <c r="EE29" s="138" t="e">
        <f>IF(VLOOKUP(CONCATENATE(H29,F29,EE$2),Matemáticas!$A:$H,7,FALSE)=AS29,1,0)</f>
        <v>#N/A</v>
      </c>
      <c r="EF29" s="138" t="e">
        <f>IF(VLOOKUP(CONCATENATE(H29,F29,EF$2),Matemáticas!$A:$H,7,FALSE)=AT29,1,0)</f>
        <v>#N/A</v>
      </c>
      <c r="EG29" s="138" t="e">
        <f>IF(VLOOKUP(CONCATENATE(H29,F29,EG$2),Matemáticas!$A:$H,7,FALSE)=AU29,1,0)</f>
        <v>#N/A</v>
      </c>
      <c r="EH29" s="138" t="e">
        <f>IF(VLOOKUP(CONCATENATE(H29,F29,EH$2),Matemáticas!$A:$H,7,FALSE)=AV29,1,0)</f>
        <v>#N/A</v>
      </c>
      <c r="EI29" s="138" t="e">
        <f>IF(VLOOKUP(CONCATENATE(H29,F29,EI$2),Matemáticas!$A:$H,7,FALSE)=AW29,1,0)</f>
        <v>#N/A</v>
      </c>
      <c r="EJ29" s="138" t="e">
        <f>IF(VLOOKUP(CONCATENATE(H29,F29,EJ$2),Matemáticas!$A:$H,7,FALSE)=AX29,1,0)</f>
        <v>#N/A</v>
      </c>
      <c r="EK29" s="138" t="e">
        <f>IF(VLOOKUP(CONCATENATE(H29,F29,EK$2),Matemáticas!$A:$H,7,FALSE)=AY29,1,0)</f>
        <v>#N/A</v>
      </c>
      <c r="EL29" s="138" t="e">
        <f>IF(VLOOKUP(CONCATENATE(H29,F29,EL$2),Matemáticas!$A:$H,7,FALSE)=AZ29,1,0)</f>
        <v>#N/A</v>
      </c>
      <c r="EM29" s="138" t="e">
        <f>IF(VLOOKUP(CONCATENATE(H29,F29,EM$2),Matemáticas!$A:$H,7,FALSE)=BA29,1,0)</f>
        <v>#N/A</v>
      </c>
      <c r="EN29" s="138" t="e">
        <f>IF(VLOOKUP(CONCATENATE(H29,F29,EN$2),Matemáticas!$A:$H,7,FALSE)=BB29,1,0)</f>
        <v>#N/A</v>
      </c>
      <c r="EO29" s="138" t="e">
        <f>IF(VLOOKUP(CONCATENATE(H29,F29,EO$2),Matemáticas!$A:$H,7,FALSE)=BC29,1,0)</f>
        <v>#N/A</v>
      </c>
      <c r="EP29" s="138" t="e">
        <f>IF(VLOOKUP(CONCATENATE(H29,F29,EP$2),Matemáticas!$A:$H,7,FALSE)=BD29,1,0)</f>
        <v>#N/A</v>
      </c>
      <c r="EQ29" s="138" t="e">
        <f>IF(VLOOKUP(CONCATENATE(H29,F29,EQ$2),Matemáticas!$A:$H,7,FALSE)=BE29,1,0)</f>
        <v>#N/A</v>
      </c>
      <c r="ER29" s="138" t="e">
        <f>IF(VLOOKUP(CONCATENATE(H29,F29,ER$2),Matemáticas!$A:$H,7,FALSE)=BF29,1,0)</f>
        <v>#N/A</v>
      </c>
      <c r="ES29" s="138" t="e">
        <f>IF(VLOOKUP(CONCATENATE(H29,F29,ES$2),Matemáticas!$A:$H,7,FALSE)=BG29,1,0)</f>
        <v>#N/A</v>
      </c>
      <c r="ET29" s="138" t="e">
        <f>IF(VLOOKUP(CONCATENATE(H29,F29,ET$2),Matemáticas!$A:$H,7,FALSE)=BH29,1,0)</f>
        <v>#N/A</v>
      </c>
      <c r="EU29" s="138" t="e">
        <f>IF(VLOOKUP(CONCATENATE(H29,F29,EU$2),Matemáticas!$A:$H,7,FALSE)=BI29,1,0)</f>
        <v>#N/A</v>
      </c>
      <c r="EV29" s="138" t="e">
        <f>IF(VLOOKUP(CONCATENATE(H29,F29,EV$2),Ciencias!$A:$H,7,FALSE)=BJ29,1,0)</f>
        <v>#N/A</v>
      </c>
      <c r="EW29" s="138" t="e">
        <f>IF(VLOOKUP(CONCATENATE(H29,F29,EW$2),Ciencias!$A:$H,7,FALSE)=BK29,1,0)</f>
        <v>#N/A</v>
      </c>
      <c r="EX29" s="138" t="e">
        <f>IF(VLOOKUP(CONCATENATE(H29,F29,EX$2),Ciencias!$A:$H,7,FALSE)=BL29,1,0)</f>
        <v>#N/A</v>
      </c>
      <c r="EY29" s="138" t="e">
        <f>IF(VLOOKUP(CONCATENATE(H29,F29,EY$2),Ciencias!$A:$H,7,FALSE)=BM29,1,0)</f>
        <v>#N/A</v>
      </c>
      <c r="EZ29" s="138" t="e">
        <f>IF(VLOOKUP(CONCATENATE(H29,F29,EZ$2),Ciencias!$A:$H,7,FALSE)=BN29,1,0)</f>
        <v>#N/A</v>
      </c>
      <c r="FA29" s="138" t="e">
        <f>IF(VLOOKUP(CONCATENATE(H29,F29,FA$2),Ciencias!$A:$H,7,FALSE)=BO29,1,0)</f>
        <v>#N/A</v>
      </c>
      <c r="FB29" s="138" t="e">
        <f>IF(VLOOKUP(CONCATENATE(H29,F29,FB$2),Ciencias!$A:$H,7,FALSE)=BP29,1,0)</f>
        <v>#N/A</v>
      </c>
      <c r="FC29" s="138" t="e">
        <f>IF(VLOOKUP(CONCATENATE(H29,F29,FC$2),Ciencias!$A:$H,7,FALSE)=BQ29,1,0)</f>
        <v>#N/A</v>
      </c>
      <c r="FD29" s="138" t="e">
        <f>IF(VLOOKUP(CONCATENATE(H29,F29,FD$2),Ciencias!$A:$H,7,FALSE)=BR29,1,0)</f>
        <v>#N/A</v>
      </c>
      <c r="FE29" s="138" t="e">
        <f>IF(VLOOKUP(CONCATENATE(H29,F29,FE$2),Ciencias!$A:$H,7,FALSE)=BS29,1,0)</f>
        <v>#N/A</v>
      </c>
      <c r="FF29" s="138" t="e">
        <f>IF(VLOOKUP(CONCATENATE(H29,F29,FF$2),Ciencias!$A:$H,7,FALSE)=BT29,1,0)</f>
        <v>#N/A</v>
      </c>
      <c r="FG29" s="138" t="e">
        <f>IF(VLOOKUP(CONCATENATE(H29,F29,FG$2),Ciencias!$A:$H,7,FALSE)=BU29,1,0)</f>
        <v>#N/A</v>
      </c>
      <c r="FH29" s="138" t="e">
        <f>IF(VLOOKUP(CONCATENATE(H29,F29,FH$2),Ciencias!$A:$H,7,FALSE)=BV29,1,0)</f>
        <v>#N/A</v>
      </c>
      <c r="FI29" s="138" t="e">
        <f>IF(VLOOKUP(CONCATENATE(H29,F29,FI$2),Ciencias!$A:$H,7,FALSE)=BW29,1,0)</f>
        <v>#N/A</v>
      </c>
      <c r="FJ29" s="138" t="e">
        <f>IF(VLOOKUP(CONCATENATE(H29,F29,FJ$2),Ciencias!$A:$H,7,FALSE)=BX29,1,0)</f>
        <v>#N/A</v>
      </c>
      <c r="FK29" s="138" t="e">
        <f>IF(VLOOKUP(CONCATENATE(H29,F29,FK$2),Ciencias!$A:$H,7,FALSE)=BY29,1,0)</f>
        <v>#N/A</v>
      </c>
      <c r="FL29" s="138" t="e">
        <f>IF(VLOOKUP(CONCATENATE(H29,F29,FL$2),Ciencias!$A:$H,7,FALSE)=BZ29,1,0)</f>
        <v>#N/A</v>
      </c>
      <c r="FM29" s="138" t="e">
        <f>IF(VLOOKUP(CONCATENATE(H29,F29,FM$2),Ciencias!$A:$H,7,FALSE)=CA29,1,0)</f>
        <v>#N/A</v>
      </c>
      <c r="FN29" s="138" t="e">
        <f>IF(VLOOKUP(CONCATENATE(H29,F29,FN$2),Ciencias!$A:$H,7,FALSE)=CB29,1,0)</f>
        <v>#N/A</v>
      </c>
      <c r="FO29" s="138" t="e">
        <f>IF(VLOOKUP(CONCATENATE(H29,F29,FO$2),Ciencias!$A:$H,7,FALSE)=CC29,1,0)</f>
        <v>#N/A</v>
      </c>
      <c r="FP29" s="138" t="e">
        <f>IF(VLOOKUP(CONCATENATE(H29,F29,FP$2),GeoHis!$A:$H,7,FALSE)=CD29,1,0)</f>
        <v>#N/A</v>
      </c>
      <c r="FQ29" s="138" t="e">
        <f>IF(VLOOKUP(CONCATENATE(H29,F29,FQ$2),GeoHis!$A:$H,7,FALSE)=CE29,1,0)</f>
        <v>#N/A</v>
      </c>
      <c r="FR29" s="138" t="e">
        <f>IF(VLOOKUP(CONCATENATE(H29,F29,FR$2),GeoHis!$A:$H,7,FALSE)=CF29,1,0)</f>
        <v>#N/A</v>
      </c>
      <c r="FS29" s="138" t="e">
        <f>IF(VLOOKUP(CONCATENATE(H29,F29,FS$2),GeoHis!$A:$H,7,FALSE)=CG29,1,0)</f>
        <v>#N/A</v>
      </c>
      <c r="FT29" s="138" t="e">
        <f>IF(VLOOKUP(CONCATENATE(H29,F29,FT$2),GeoHis!$A:$H,7,FALSE)=CH29,1,0)</f>
        <v>#N/A</v>
      </c>
      <c r="FU29" s="138" t="e">
        <f>IF(VLOOKUP(CONCATENATE(H29,F29,FU$2),GeoHis!$A:$H,7,FALSE)=CI29,1,0)</f>
        <v>#N/A</v>
      </c>
      <c r="FV29" s="138" t="e">
        <f>IF(VLOOKUP(CONCATENATE(H29,F29,FV$2),GeoHis!$A:$H,7,FALSE)=CJ29,1,0)</f>
        <v>#N/A</v>
      </c>
      <c r="FW29" s="138" t="e">
        <f>IF(VLOOKUP(CONCATENATE(H29,F29,FW$2),GeoHis!$A:$H,7,FALSE)=CK29,1,0)</f>
        <v>#N/A</v>
      </c>
      <c r="FX29" s="138" t="e">
        <f>IF(VLOOKUP(CONCATENATE(H29,F29,FX$2),GeoHis!$A:$H,7,FALSE)=CL29,1,0)</f>
        <v>#N/A</v>
      </c>
      <c r="FY29" s="138" t="e">
        <f>IF(VLOOKUP(CONCATENATE(H29,F29,FY$2),GeoHis!$A:$H,7,FALSE)=CM29,1,0)</f>
        <v>#N/A</v>
      </c>
      <c r="FZ29" s="138" t="e">
        <f>IF(VLOOKUP(CONCATENATE(H29,F29,FZ$2),GeoHis!$A:$H,7,FALSE)=CN29,1,0)</f>
        <v>#N/A</v>
      </c>
      <c r="GA29" s="138" t="e">
        <f>IF(VLOOKUP(CONCATENATE(H29,F29,GA$2),GeoHis!$A:$H,7,FALSE)=CO29,1,0)</f>
        <v>#N/A</v>
      </c>
      <c r="GB29" s="138" t="e">
        <f>IF(VLOOKUP(CONCATENATE(H29,F29,GB$2),GeoHis!$A:$H,7,FALSE)=CP29,1,0)</f>
        <v>#N/A</v>
      </c>
      <c r="GC29" s="138" t="e">
        <f>IF(VLOOKUP(CONCATENATE(H29,F29,GC$2),GeoHis!$A:$H,7,FALSE)=CQ29,1,0)</f>
        <v>#N/A</v>
      </c>
      <c r="GD29" s="138" t="e">
        <f>IF(VLOOKUP(CONCATENATE(H29,F29,GD$2),GeoHis!$A:$H,7,FALSE)=CR29,1,0)</f>
        <v>#N/A</v>
      </c>
      <c r="GE29" s="135" t="str">
        <f t="shared" si="6"/>
        <v/>
      </c>
    </row>
    <row r="30" spans="1:187" x14ac:dyDescent="0.25">
      <c r="A30" s="127" t="str">
        <f>IF(C30="","",'Datos Generales'!$A$25)</f>
        <v/>
      </c>
      <c r="D30" s="126" t="str">
        <f t="shared" si="0"/>
        <v/>
      </c>
      <c r="E30" s="126">
        <f t="shared" si="1"/>
        <v>0</v>
      </c>
      <c r="F30" s="126" t="str">
        <f t="shared" si="7"/>
        <v/>
      </c>
      <c r="G30" s="126" t="str">
        <f>IF(C30="","",'Datos Generales'!$D$19)</f>
        <v/>
      </c>
      <c r="H30" s="21" t="str">
        <f>IF(C30="","",'Datos Generales'!$A$19)</f>
        <v/>
      </c>
      <c r="I30" s="126" t="str">
        <f>IF(C30="","",'Datos Generales'!$A$7)</f>
        <v/>
      </c>
      <c r="J30" s="21" t="str">
        <f>IF(C30="","",'Datos Generales'!$A$13)</f>
        <v/>
      </c>
      <c r="K30" s="21" t="str">
        <f>IF(C30="","",'Datos Generales'!$A$10)</f>
        <v/>
      </c>
      <c r="CS30" s="142" t="str">
        <f t="shared" si="2"/>
        <v/>
      </c>
      <c r="CT30" s="142" t="str">
        <f t="shared" si="3"/>
        <v/>
      </c>
      <c r="CU30" s="142" t="str">
        <f t="shared" si="4"/>
        <v/>
      </c>
      <c r="CV30" s="142" t="str">
        <f t="shared" si="5"/>
        <v/>
      </c>
      <c r="CW30" s="142" t="str">
        <f>IF(C30="","",IF('Datos Generales'!$A$19=1,AVERAGE(FP30:GD30),AVERAGE(Captura!FP30:FY30)))</f>
        <v/>
      </c>
      <c r="CX30" s="138" t="e">
        <f>IF(VLOOKUP(CONCATENATE($H$4,$F$4,CX$2),Español!$A:$H,7,FALSE)=L30,1,0)</f>
        <v>#N/A</v>
      </c>
      <c r="CY30" s="138" t="e">
        <f>IF(VLOOKUP(CONCATENATE(H30,F30,CY$2),Español!$A:$H,7,FALSE)=M30,1,0)</f>
        <v>#N/A</v>
      </c>
      <c r="CZ30" s="138" t="e">
        <f>IF(VLOOKUP(CONCATENATE(H30,F30,CZ$2),Español!$A:$H,7,FALSE)=N30,1,0)</f>
        <v>#N/A</v>
      </c>
      <c r="DA30" s="138" t="e">
        <f>IF(VLOOKUP(CONCATENATE(H30,F30,DA$2),Español!$A:$H,7,FALSE)=O30,1,0)</f>
        <v>#N/A</v>
      </c>
      <c r="DB30" s="138" t="e">
        <f>IF(VLOOKUP(CONCATENATE(H30,F30,DB$2),Español!$A:$H,7,FALSE)=P30,1,0)</f>
        <v>#N/A</v>
      </c>
      <c r="DC30" s="138" t="e">
        <f>IF(VLOOKUP(CONCATENATE(H30,F30,DC$2),Español!$A:$H,7,FALSE)=Q30,1,0)</f>
        <v>#N/A</v>
      </c>
      <c r="DD30" s="138" t="e">
        <f>IF(VLOOKUP(CONCATENATE(H30,F30,DD$2),Español!$A:$H,7,FALSE)=R30,1,0)</f>
        <v>#N/A</v>
      </c>
      <c r="DE30" s="138" t="e">
        <f>IF(VLOOKUP(CONCATENATE(H30,F30,DE$2),Español!$A:$H,7,FALSE)=S30,1,0)</f>
        <v>#N/A</v>
      </c>
      <c r="DF30" s="138" t="e">
        <f>IF(VLOOKUP(CONCATENATE(H30,F30,DF$2),Español!$A:$H,7,FALSE)=T30,1,0)</f>
        <v>#N/A</v>
      </c>
      <c r="DG30" s="138" t="e">
        <f>IF(VLOOKUP(CONCATENATE(H30,F30,DG$2),Español!$A:$H,7,FALSE)=U30,1,0)</f>
        <v>#N/A</v>
      </c>
      <c r="DH30" s="138" t="e">
        <f>IF(VLOOKUP(CONCATENATE(H30,F30,DH$2),Español!$A:$H,7,FALSE)=V30,1,0)</f>
        <v>#N/A</v>
      </c>
      <c r="DI30" s="138" t="e">
        <f>IF(VLOOKUP(CONCATENATE(H30,F30,DI$2),Español!$A:$H,7,FALSE)=W30,1,0)</f>
        <v>#N/A</v>
      </c>
      <c r="DJ30" s="138" t="e">
        <f>IF(VLOOKUP(CONCATENATE(H30,F30,DJ$2),Español!$A:$H,7,FALSE)=X30,1,0)</f>
        <v>#N/A</v>
      </c>
      <c r="DK30" s="138" t="e">
        <f>IF(VLOOKUP(CONCATENATE(H30,F30,DK$2),Español!$A:$H,7,FALSE)=Y30,1,0)</f>
        <v>#N/A</v>
      </c>
      <c r="DL30" s="138" t="e">
        <f>IF(VLOOKUP(CONCATENATE(H30,F30,DL$2),Español!$A:$H,7,FALSE)=Z30,1,0)</f>
        <v>#N/A</v>
      </c>
      <c r="DM30" s="138" t="e">
        <f>IF(VLOOKUP(CONCATENATE(H30,F30,DM$2),Español!$A:$H,7,FALSE)=AA30,1,0)</f>
        <v>#N/A</v>
      </c>
      <c r="DN30" s="138" t="e">
        <f>IF(VLOOKUP(CONCATENATE(H30,F30,DN$2),Español!$A:$H,7,FALSE)=AB30,1,0)</f>
        <v>#N/A</v>
      </c>
      <c r="DO30" s="138" t="e">
        <f>IF(VLOOKUP(CONCATENATE(H30,F30,DO$2),Español!$A:$H,7,FALSE)=AC30,1,0)</f>
        <v>#N/A</v>
      </c>
      <c r="DP30" s="138" t="e">
        <f>IF(VLOOKUP(CONCATENATE(H30,F30,DP$2),Español!$A:$H,7,FALSE)=AD30,1,0)</f>
        <v>#N/A</v>
      </c>
      <c r="DQ30" s="138" t="e">
        <f>IF(VLOOKUP(CONCATENATE(H30,F30,DQ$2),Español!$A:$H,7,FALSE)=AE30,1,0)</f>
        <v>#N/A</v>
      </c>
      <c r="DR30" s="138" t="e">
        <f>IF(VLOOKUP(CONCATENATE(H30,F30,DR$2),Inglés!$A:$H,7,FALSE)=AF30,1,0)</f>
        <v>#N/A</v>
      </c>
      <c r="DS30" s="138" t="e">
        <f>IF(VLOOKUP(CONCATENATE(H30,F30,DS$2),Inglés!$A:$H,7,FALSE)=AG30,1,0)</f>
        <v>#N/A</v>
      </c>
      <c r="DT30" s="138" t="e">
        <f>IF(VLOOKUP(CONCATENATE(H30,F30,DT$2),Inglés!$A:$H,7,FALSE)=AH30,1,0)</f>
        <v>#N/A</v>
      </c>
      <c r="DU30" s="138" t="e">
        <f>IF(VLOOKUP(CONCATENATE(H30,F30,DU$2),Inglés!$A:$H,7,FALSE)=AI30,1,0)</f>
        <v>#N/A</v>
      </c>
      <c r="DV30" s="138" t="e">
        <f>IF(VLOOKUP(CONCATENATE(H30,F30,DV$2),Inglés!$A:$H,7,FALSE)=AJ30,1,0)</f>
        <v>#N/A</v>
      </c>
      <c r="DW30" s="138" t="e">
        <f>IF(VLOOKUP(CONCATENATE(H30,F30,DW$2),Inglés!$A:$H,7,FALSE)=AK30,1,0)</f>
        <v>#N/A</v>
      </c>
      <c r="DX30" s="138" t="e">
        <f>IF(VLOOKUP(CONCATENATE(H30,F30,DX$2),Inglés!$A:$H,7,FALSE)=AL30,1,0)</f>
        <v>#N/A</v>
      </c>
      <c r="DY30" s="138" t="e">
        <f>IF(VLOOKUP(CONCATENATE(H30,F30,DY$2),Inglés!$A:$H,7,FALSE)=AM30,1,0)</f>
        <v>#N/A</v>
      </c>
      <c r="DZ30" s="138" t="e">
        <f>IF(VLOOKUP(CONCATENATE(H30,F30,DZ$2),Inglés!$A:$H,7,FALSE)=AN30,1,0)</f>
        <v>#N/A</v>
      </c>
      <c r="EA30" s="138" t="e">
        <f>IF(VLOOKUP(CONCATENATE(H30,F30,EA$2),Inglés!$A:$H,7,FALSE)=AO30,1,0)</f>
        <v>#N/A</v>
      </c>
      <c r="EB30" s="138" t="e">
        <f>IF(VLOOKUP(CONCATENATE(H30,F30,EB$2),Matemáticas!$A:$H,7,FALSE)=AP30,1,0)</f>
        <v>#N/A</v>
      </c>
      <c r="EC30" s="138" t="e">
        <f>IF(VLOOKUP(CONCATENATE(H30,F30,EC$2),Matemáticas!$A:$H,7,FALSE)=AQ30,1,0)</f>
        <v>#N/A</v>
      </c>
      <c r="ED30" s="138" t="e">
        <f>IF(VLOOKUP(CONCATENATE(H30,F30,ED$2),Matemáticas!$A:$H,7,FALSE)=AR30,1,0)</f>
        <v>#N/A</v>
      </c>
      <c r="EE30" s="138" t="e">
        <f>IF(VLOOKUP(CONCATENATE(H30,F30,EE$2),Matemáticas!$A:$H,7,FALSE)=AS30,1,0)</f>
        <v>#N/A</v>
      </c>
      <c r="EF30" s="138" t="e">
        <f>IF(VLOOKUP(CONCATENATE(H30,F30,EF$2),Matemáticas!$A:$H,7,FALSE)=AT30,1,0)</f>
        <v>#N/A</v>
      </c>
      <c r="EG30" s="138" t="e">
        <f>IF(VLOOKUP(CONCATENATE(H30,F30,EG$2),Matemáticas!$A:$H,7,FALSE)=AU30,1,0)</f>
        <v>#N/A</v>
      </c>
      <c r="EH30" s="138" t="e">
        <f>IF(VLOOKUP(CONCATENATE(H30,F30,EH$2),Matemáticas!$A:$H,7,FALSE)=AV30,1,0)</f>
        <v>#N/A</v>
      </c>
      <c r="EI30" s="138" t="e">
        <f>IF(VLOOKUP(CONCATENATE(H30,F30,EI$2),Matemáticas!$A:$H,7,FALSE)=AW30,1,0)</f>
        <v>#N/A</v>
      </c>
      <c r="EJ30" s="138" t="e">
        <f>IF(VLOOKUP(CONCATENATE(H30,F30,EJ$2),Matemáticas!$A:$H,7,FALSE)=AX30,1,0)</f>
        <v>#N/A</v>
      </c>
      <c r="EK30" s="138" t="e">
        <f>IF(VLOOKUP(CONCATENATE(H30,F30,EK$2),Matemáticas!$A:$H,7,FALSE)=AY30,1,0)</f>
        <v>#N/A</v>
      </c>
      <c r="EL30" s="138" t="e">
        <f>IF(VLOOKUP(CONCATENATE(H30,F30,EL$2),Matemáticas!$A:$H,7,FALSE)=AZ30,1,0)</f>
        <v>#N/A</v>
      </c>
      <c r="EM30" s="138" t="e">
        <f>IF(VLOOKUP(CONCATENATE(H30,F30,EM$2),Matemáticas!$A:$H,7,FALSE)=BA30,1,0)</f>
        <v>#N/A</v>
      </c>
      <c r="EN30" s="138" t="e">
        <f>IF(VLOOKUP(CONCATENATE(H30,F30,EN$2),Matemáticas!$A:$H,7,FALSE)=BB30,1,0)</f>
        <v>#N/A</v>
      </c>
      <c r="EO30" s="138" t="e">
        <f>IF(VLOOKUP(CONCATENATE(H30,F30,EO$2),Matemáticas!$A:$H,7,FALSE)=BC30,1,0)</f>
        <v>#N/A</v>
      </c>
      <c r="EP30" s="138" t="e">
        <f>IF(VLOOKUP(CONCATENATE(H30,F30,EP$2),Matemáticas!$A:$H,7,FALSE)=BD30,1,0)</f>
        <v>#N/A</v>
      </c>
      <c r="EQ30" s="138" t="e">
        <f>IF(VLOOKUP(CONCATENATE(H30,F30,EQ$2),Matemáticas!$A:$H,7,FALSE)=BE30,1,0)</f>
        <v>#N/A</v>
      </c>
      <c r="ER30" s="138" t="e">
        <f>IF(VLOOKUP(CONCATENATE(H30,F30,ER$2),Matemáticas!$A:$H,7,FALSE)=BF30,1,0)</f>
        <v>#N/A</v>
      </c>
      <c r="ES30" s="138" t="e">
        <f>IF(VLOOKUP(CONCATENATE(H30,F30,ES$2),Matemáticas!$A:$H,7,FALSE)=BG30,1,0)</f>
        <v>#N/A</v>
      </c>
      <c r="ET30" s="138" t="e">
        <f>IF(VLOOKUP(CONCATENATE(H30,F30,ET$2),Matemáticas!$A:$H,7,FALSE)=BH30,1,0)</f>
        <v>#N/A</v>
      </c>
      <c r="EU30" s="138" t="e">
        <f>IF(VLOOKUP(CONCATENATE(H30,F30,EU$2),Matemáticas!$A:$H,7,FALSE)=BI30,1,0)</f>
        <v>#N/A</v>
      </c>
      <c r="EV30" s="138" t="e">
        <f>IF(VLOOKUP(CONCATENATE(H30,F30,EV$2),Ciencias!$A:$H,7,FALSE)=BJ30,1,0)</f>
        <v>#N/A</v>
      </c>
      <c r="EW30" s="138" t="e">
        <f>IF(VLOOKUP(CONCATENATE(H30,F30,EW$2),Ciencias!$A:$H,7,FALSE)=BK30,1,0)</f>
        <v>#N/A</v>
      </c>
      <c r="EX30" s="138" t="e">
        <f>IF(VLOOKUP(CONCATENATE(H30,F30,EX$2),Ciencias!$A:$H,7,FALSE)=BL30,1,0)</f>
        <v>#N/A</v>
      </c>
      <c r="EY30" s="138" t="e">
        <f>IF(VLOOKUP(CONCATENATE(H30,F30,EY$2),Ciencias!$A:$H,7,FALSE)=BM30,1,0)</f>
        <v>#N/A</v>
      </c>
      <c r="EZ30" s="138" t="e">
        <f>IF(VLOOKUP(CONCATENATE(H30,F30,EZ$2),Ciencias!$A:$H,7,FALSE)=BN30,1,0)</f>
        <v>#N/A</v>
      </c>
      <c r="FA30" s="138" t="e">
        <f>IF(VLOOKUP(CONCATENATE(H30,F30,FA$2),Ciencias!$A:$H,7,FALSE)=BO30,1,0)</f>
        <v>#N/A</v>
      </c>
      <c r="FB30" s="138" t="e">
        <f>IF(VLOOKUP(CONCATENATE(H30,F30,FB$2),Ciencias!$A:$H,7,FALSE)=BP30,1,0)</f>
        <v>#N/A</v>
      </c>
      <c r="FC30" s="138" t="e">
        <f>IF(VLOOKUP(CONCATENATE(H30,F30,FC$2),Ciencias!$A:$H,7,FALSE)=BQ30,1,0)</f>
        <v>#N/A</v>
      </c>
      <c r="FD30" s="138" t="e">
        <f>IF(VLOOKUP(CONCATENATE(H30,F30,FD$2),Ciencias!$A:$H,7,FALSE)=BR30,1,0)</f>
        <v>#N/A</v>
      </c>
      <c r="FE30" s="138" t="e">
        <f>IF(VLOOKUP(CONCATENATE(H30,F30,FE$2),Ciencias!$A:$H,7,FALSE)=BS30,1,0)</f>
        <v>#N/A</v>
      </c>
      <c r="FF30" s="138" t="e">
        <f>IF(VLOOKUP(CONCATENATE(H30,F30,FF$2),Ciencias!$A:$H,7,FALSE)=BT30,1,0)</f>
        <v>#N/A</v>
      </c>
      <c r="FG30" s="138" t="e">
        <f>IF(VLOOKUP(CONCATENATE(H30,F30,FG$2),Ciencias!$A:$H,7,FALSE)=BU30,1,0)</f>
        <v>#N/A</v>
      </c>
      <c r="FH30" s="138" t="e">
        <f>IF(VLOOKUP(CONCATENATE(H30,F30,FH$2),Ciencias!$A:$H,7,FALSE)=BV30,1,0)</f>
        <v>#N/A</v>
      </c>
      <c r="FI30" s="138" t="e">
        <f>IF(VLOOKUP(CONCATENATE(H30,F30,FI$2),Ciencias!$A:$H,7,FALSE)=BW30,1,0)</f>
        <v>#N/A</v>
      </c>
      <c r="FJ30" s="138" t="e">
        <f>IF(VLOOKUP(CONCATENATE(H30,F30,FJ$2),Ciencias!$A:$H,7,FALSE)=BX30,1,0)</f>
        <v>#N/A</v>
      </c>
      <c r="FK30" s="138" t="e">
        <f>IF(VLOOKUP(CONCATENATE(H30,F30,FK$2),Ciencias!$A:$H,7,FALSE)=BY30,1,0)</f>
        <v>#N/A</v>
      </c>
      <c r="FL30" s="138" t="e">
        <f>IF(VLOOKUP(CONCATENATE(H30,F30,FL$2),Ciencias!$A:$H,7,FALSE)=BZ30,1,0)</f>
        <v>#N/A</v>
      </c>
      <c r="FM30" s="138" t="e">
        <f>IF(VLOOKUP(CONCATENATE(H30,F30,FM$2),Ciencias!$A:$H,7,FALSE)=CA30,1,0)</f>
        <v>#N/A</v>
      </c>
      <c r="FN30" s="138" t="e">
        <f>IF(VLOOKUP(CONCATENATE(H30,F30,FN$2),Ciencias!$A:$H,7,FALSE)=CB30,1,0)</f>
        <v>#N/A</v>
      </c>
      <c r="FO30" s="138" t="e">
        <f>IF(VLOOKUP(CONCATENATE(H30,F30,FO$2),Ciencias!$A:$H,7,FALSE)=CC30,1,0)</f>
        <v>#N/A</v>
      </c>
      <c r="FP30" s="138" t="e">
        <f>IF(VLOOKUP(CONCATENATE(H30,F30,FP$2),GeoHis!$A:$H,7,FALSE)=CD30,1,0)</f>
        <v>#N/A</v>
      </c>
      <c r="FQ30" s="138" t="e">
        <f>IF(VLOOKUP(CONCATENATE(H30,F30,FQ$2),GeoHis!$A:$H,7,FALSE)=CE30,1,0)</f>
        <v>#N/A</v>
      </c>
      <c r="FR30" s="138" t="e">
        <f>IF(VLOOKUP(CONCATENATE(H30,F30,FR$2),GeoHis!$A:$H,7,FALSE)=CF30,1,0)</f>
        <v>#N/A</v>
      </c>
      <c r="FS30" s="138" t="e">
        <f>IF(VLOOKUP(CONCATENATE(H30,F30,FS$2),GeoHis!$A:$H,7,FALSE)=CG30,1,0)</f>
        <v>#N/A</v>
      </c>
      <c r="FT30" s="138" t="e">
        <f>IF(VLOOKUP(CONCATENATE(H30,F30,FT$2),GeoHis!$A:$H,7,FALSE)=CH30,1,0)</f>
        <v>#N/A</v>
      </c>
      <c r="FU30" s="138" t="e">
        <f>IF(VLOOKUP(CONCATENATE(H30,F30,FU$2),GeoHis!$A:$H,7,FALSE)=CI30,1,0)</f>
        <v>#N/A</v>
      </c>
      <c r="FV30" s="138" t="e">
        <f>IF(VLOOKUP(CONCATENATE(H30,F30,FV$2),GeoHis!$A:$H,7,FALSE)=CJ30,1,0)</f>
        <v>#N/A</v>
      </c>
      <c r="FW30" s="138" t="e">
        <f>IF(VLOOKUP(CONCATENATE(H30,F30,FW$2),GeoHis!$A:$H,7,FALSE)=CK30,1,0)</f>
        <v>#N/A</v>
      </c>
      <c r="FX30" s="138" t="e">
        <f>IF(VLOOKUP(CONCATENATE(H30,F30,FX$2),GeoHis!$A:$H,7,FALSE)=CL30,1,0)</f>
        <v>#N/A</v>
      </c>
      <c r="FY30" s="138" t="e">
        <f>IF(VLOOKUP(CONCATENATE(H30,F30,FY$2),GeoHis!$A:$H,7,FALSE)=CM30,1,0)</f>
        <v>#N/A</v>
      </c>
      <c r="FZ30" s="138" t="e">
        <f>IF(VLOOKUP(CONCATENATE(H30,F30,FZ$2),GeoHis!$A:$H,7,FALSE)=CN30,1,0)</f>
        <v>#N/A</v>
      </c>
      <c r="GA30" s="138" t="e">
        <f>IF(VLOOKUP(CONCATENATE(H30,F30,GA$2),GeoHis!$A:$H,7,FALSE)=CO30,1,0)</f>
        <v>#N/A</v>
      </c>
      <c r="GB30" s="138" t="e">
        <f>IF(VLOOKUP(CONCATENATE(H30,F30,GB$2),GeoHis!$A:$H,7,FALSE)=CP30,1,0)</f>
        <v>#N/A</v>
      </c>
      <c r="GC30" s="138" t="e">
        <f>IF(VLOOKUP(CONCATENATE(H30,F30,GC$2),GeoHis!$A:$H,7,FALSE)=CQ30,1,0)</f>
        <v>#N/A</v>
      </c>
      <c r="GD30" s="138" t="e">
        <f>IF(VLOOKUP(CONCATENATE(H30,F30,GD$2),GeoHis!$A:$H,7,FALSE)=CR30,1,0)</f>
        <v>#N/A</v>
      </c>
      <c r="GE30" s="135" t="str">
        <f t="shared" si="6"/>
        <v/>
      </c>
    </row>
    <row r="31" spans="1:187" x14ac:dyDescent="0.25">
      <c r="A31" s="127" t="str">
        <f>IF(C31="","",'Datos Generales'!$A$25)</f>
        <v/>
      </c>
      <c r="D31" s="126" t="str">
        <f t="shared" si="0"/>
        <v/>
      </c>
      <c r="E31" s="126">
        <f t="shared" si="1"/>
        <v>0</v>
      </c>
      <c r="F31" s="126" t="str">
        <f t="shared" si="7"/>
        <v/>
      </c>
      <c r="G31" s="126" t="str">
        <f>IF(C31="","",'Datos Generales'!$D$19)</f>
        <v/>
      </c>
      <c r="H31" s="21" t="str">
        <f>IF(C31="","",'Datos Generales'!$A$19)</f>
        <v/>
      </c>
      <c r="I31" s="126" t="str">
        <f>IF(C31="","",'Datos Generales'!$A$7)</f>
        <v/>
      </c>
      <c r="J31" s="21" t="str">
        <f>IF(C31="","",'Datos Generales'!$A$13)</f>
        <v/>
      </c>
      <c r="K31" s="21" t="str">
        <f>IF(C31="","",'Datos Generales'!$A$10)</f>
        <v/>
      </c>
      <c r="CS31" s="142" t="str">
        <f t="shared" si="2"/>
        <v/>
      </c>
      <c r="CT31" s="142" t="str">
        <f t="shared" si="3"/>
        <v/>
      </c>
      <c r="CU31" s="142" t="str">
        <f t="shared" si="4"/>
        <v/>
      </c>
      <c r="CV31" s="142" t="str">
        <f t="shared" si="5"/>
        <v/>
      </c>
      <c r="CW31" s="142" t="str">
        <f>IF(C31="","",IF('Datos Generales'!$A$19=1,AVERAGE(FP31:GD31),AVERAGE(Captura!FP31:FY31)))</f>
        <v/>
      </c>
      <c r="CX31" s="138" t="e">
        <f>IF(VLOOKUP(CONCATENATE($H$4,$F$4,CX$2),Español!$A:$H,7,FALSE)=L31,1,0)</f>
        <v>#N/A</v>
      </c>
      <c r="CY31" s="138" t="e">
        <f>IF(VLOOKUP(CONCATENATE(H31,F31,CY$2),Español!$A:$H,7,FALSE)=M31,1,0)</f>
        <v>#N/A</v>
      </c>
      <c r="CZ31" s="138" t="e">
        <f>IF(VLOOKUP(CONCATENATE(H31,F31,CZ$2),Español!$A:$H,7,FALSE)=N31,1,0)</f>
        <v>#N/A</v>
      </c>
      <c r="DA31" s="138" t="e">
        <f>IF(VLOOKUP(CONCATENATE(H31,F31,DA$2),Español!$A:$H,7,FALSE)=O31,1,0)</f>
        <v>#N/A</v>
      </c>
      <c r="DB31" s="138" t="e">
        <f>IF(VLOOKUP(CONCATENATE(H31,F31,DB$2),Español!$A:$H,7,FALSE)=P31,1,0)</f>
        <v>#N/A</v>
      </c>
      <c r="DC31" s="138" t="e">
        <f>IF(VLOOKUP(CONCATENATE(H31,F31,DC$2),Español!$A:$H,7,FALSE)=Q31,1,0)</f>
        <v>#N/A</v>
      </c>
      <c r="DD31" s="138" t="e">
        <f>IF(VLOOKUP(CONCATENATE(H31,F31,DD$2),Español!$A:$H,7,FALSE)=R31,1,0)</f>
        <v>#N/A</v>
      </c>
      <c r="DE31" s="138" t="e">
        <f>IF(VLOOKUP(CONCATENATE(H31,F31,DE$2),Español!$A:$H,7,FALSE)=S31,1,0)</f>
        <v>#N/A</v>
      </c>
      <c r="DF31" s="138" t="e">
        <f>IF(VLOOKUP(CONCATENATE(H31,F31,DF$2),Español!$A:$H,7,FALSE)=T31,1,0)</f>
        <v>#N/A</v>
      </c>
      <c r="DG31" s="138" t="e">
        <f>IF(VLOOKUP(CONCATENATE(H31,F31,DG$2),Español!$A:$H,7,FALSE)=U31,1,0)</f>
        <v>#N/A</v>
      </c>
      <c r="DH31" s="138" t="e">
        <f>IF(VLOOKUP(CONCATENATE(H31,F31,DH$2),Español!$A:$H,7,FALSE)=V31,1,0)</f>
        <v>#N/A</v>
      </c>
      <c r="DI31" s="138" t="e">
        <f>IF(VLOOKUP(CONCATENATE(H31,F31,DI$2),Español!$A:$H,7,FALSE)=W31,1,0)</f>
        <v>#N/A</v>
      </c>
      <c r="DJ31" s="138" t="e">
        <f>IF(VLOOKUP(CONCATENATE(H31,F31,DJ$2),Español!$A:$H,7,FALSE)=X31,1,0)</f>
        <v>#N/A</v>
      </c>
      <c r="DK31" s="138" t="e">
        <f>IF(VLOOKUP(CONCATENATE(H31,F31,DK$2),Español!$A:$H,7,FALSE)=Y31,1,0)</f>
        <v>#N/A</v>
      </c>
      <c r="DL31" s="138" t="e">
        <f>IF(VLOOKUP(CONCATENATE(H31,F31,DL$2),Español!$A:$H,7,FALSE)=Z31,1,0)</f>
        <v>#N/A</v>
      </c>
      <c r="DM31" s="138" t="e">
        <f>IF(VLOOKUP(CONCATENATE(H31,F31,DM$2),Español!$A:$H,7,FALSE)=AA31,1,0)</f>
        <v>#N/A</v>
      </c>
      <c r="DN31" s="138" t="e">
        <f>IF(VLOOKUP(CONCATENATE(H31,F31,DN$2),Español!$A:$H,7,FALSE)=AB31,1,0)</f>
        <v>#N/A</v>
      </c>
      <c r="DO31" s="138" t="e">
        <f>IF(VLOOKUP(CONCATENATE(H31,F31,DO$2),Español!$A:$H,7,FALSE)=AC31,1,0)</f>
        <v>#N/A</v>
      </c>
      <c r="DP31" s="138" t="e">
        <f>IF(VLOOKUP(CONCATENATE(H31,F31,DP$2),Español!$A:$H,7,FALSE)=AD31,1,0)</f>
        <v>#N/A</v>
      </c>
      <c r="DQ31" s="138" t="e">
        <f>IF(VLOOKUP(CONCATENATE(H31,F31,DQ$2),Español!$A:$H,7,FALSE)=AE31,1,0)</f>
        <v>#N/A</v>
      </c>
      <c r="DR31" s="138" t="e">
        <f>IF(VLOOKUP(CONCATENATE(H31,F31,DR$2),Inglés!$A:$H,7,FALSE)=AF31,1,0)</f>
        <v>#N/A</v>
      </c>
      <c r="DS31" s="138" t="e">
        <f>IF(VLOOKUP(CONCATENATE(H31,F31,DS$2),Inglés!$A:$H,7,FALSE)=AG31,1,0)</f>
        <v>#N/A</v>
      </c>
      <c r="DT31" s="138" t="e">
        <f>IF(VLOOKUP(CONCATENATE(H31,F31,DT$2),Inglés!$A:$H,7,FALSE)=AH31,1,0)</f>
        <v>#N/A</v>
      </c>
      <c r="DU31" s="138" t="e">
        <f>IF(VLOOKUP(CONCATENATE(H31,F31,DU$2),Inglés!$A:$H,7,FALSE)=AI31,1,0)</f>
        <v>#N/A</v>
      </c>
      <c r="DV31" s="138" t="e">
        <f>IF(VLOOKUP(CONCATENATE(H31,F31,DV$2),Inglés!$A:$H,7,FALSE)=AJ31,1,0)</f>
        <v>#N/A</v>
      </c>
      <c r="DW31" s="138" t="e">
        <f>IF(VLOOKUP(CONCATENATE(H31,F31,DW$2),Inglés!$A:$H,7,FALSE)=AK31,1,0)</f>
        <v>#N/A</v>
      </c>
      <c r="DX31" s="138" t="e">
        <f>IF(VLOOKUP(CONCATENATE(H31,F31,DX$2),Inglés!$A:$H,7,FALSE)=AL31,1,0)</f>
        <v>#N/A</v>
      </c>
      <c r="DY31" s="138" t="e">
        <f>IF(VLOOKUP(CONCATENATE(H31,F31,DY$2),Inglés!$A:$H,7,FALSE)=AM31,1,0)</f>
        <v>#N/A</v>
      </c>
      <c r="DZ31" s="138" t="e">
        <f>IF(VLOOKUP(CONCATENATE(H31,F31,DZ$2),Inglés!$A:$H,7,FALSE)=AN31,1,0)</f>
        <v>#N/A</v>
      </c>
      <c r="EA31" s="138" t="e">
        <f>IF(VLOOKUP(CONCATENATE(H31,F31,EA$2),Inglés!$A:$H,7,FALSE)=AO31,1,0)</f>
        <v>#N/A</v>
      </c>
      <c r="EB31" s="138" t="e">
        <f>IF(VLOOKUP(CONCATENATE(H31,F31,EB$2),Matemáticas!$A:$H,7,FALSE)=AP31,1,0)</f>
        <v>#N/A</v>
      </c>
      <c r="EC31" s="138" t="e">
        <f>IF(VLOOKUP(CONCATENATE(H31,F31,EC$2),Matemáticas!$A:$H,7,FALSE)=AQ31,1,0)</f>
        <v>#N/A</v>
      </c>
      <c r="ED31" s="138" t="e">
        <f>IF(VLOOKUP(CONCATENATE(H31,F31,ED$2),Matemáticas!$A:$H,7,FALSE)=AR31,1,0)</f>
        <v>#N/A</v>
      </c>
      <c r="EE31" s="138" t="e">
        <f>IF(VLOOKUP(CONCATENATE(H31,F31,EE$2),Matemáticas!$A:$H,7,FALSE)=AS31,1,0)</f>
        <v>#N/A</v>
      </c>
      <c r="EF31" s="138" t="e">
        <f>IF(VLOOKUP(CONCATENATE(H31,F31,EF$2),Matemáticas!$A:$H,7,FALSE)=AT31,1,0)</f>
        <v>#N/A</v>
      </c>
      <c r="EG31" s="138" t="e">
        <f>IF(VLOOKUP(CONCATENATE(H31,F31,EG$2),Matemáticas!$A:$H,7,FALSE)=AU31,1,0)</f>
        <v>#N/A</v>
      </c>
      <c r="EH31" s="138" t="e">
        <f>IF(VLOOKUP(CONCATENATE(H31,F31,EH$2),Matemáticas!$A:$H,7,FALSE)=AV31,1,0)</f>
        <v>#N/A</v>
      </c>
      <c r="EI31" s="138" t="e">
        <f>IF(VLOOKUP(CONCATENATE(H31,F31,EI$2),Matemáticas!$A:$H,7,FALSE)=AW31,1,0)</f>
        <v>#N/A</v>
      </c>
      <c r="EJ31" s="138" t="e">
        <f>IF(VLOOKUP(CONCATENATE(H31,F31,EJ$2),Matemáticas!$A:$H,7,FALSE)=AX31,1,0)</f>
        <v>#N/A</v>
      </c>
      <c r="EK31" s="138" t="e">
        <f>IF(VLOOKUP(CONCATENATE(H31,F31,EK$2),Matemáticas!$A:$H,7,FALSE)=AY31,1,0)</f>
        <v>#N/A</v>
      </c>
      <c r="EL31" s="138" t="e">
        <f>IF(VLOOKUP(CONCATENATE(H31,F31,EL$2),Matemáticas!$A:$H,7,FALSE)=AZ31,1,0)</f>
        <v>#N/A</v>
      </c>
      <c r="EM31" s="138" t="e">
        <f>IF(VLOOKUP(CONCATENATE(H31,F31,EM$2),Matemáticas!$A:$H,7,FALSE)=BA31,1,0)</f>
        <v>#N/A</v>
      </c>
      <c r="EN31" s="138" t="e">
        <f>IF(VLOOKUP(CONCATENATE(H31,F31,EN$2),Matemáticas!$A:$H,7,FALSE)=BB31,1,0)</f>
        <v>#N/A</v>
      </c>
      <c r="EO31" s="138" t="e">
        <f>IF(VLOOKUP(CONCATENATE(H31,F31,EO$2),Matemáticas!$A:$H,7,FALSE)=BC31,1,0)</f>
        <v>#N/A</v>
      </c>
      <c r="EP31" s="138" t="e">
        <f>IF(VLOOKUP(CONCATENATE(H31,F31,EP$2),Matemáticas!$A:$H,7,FALSE)=BD31,1,0)</f>
        <v>#N/A</v>
      </c>
      <c r="EQ31" s="138" t="e">
        <f>IF(VLOOKUP(CONCATENATE(H31,F31,EQ$2),Matemáticas!$A:$H,7,FALSE)=BE31,1,0)</f>
        <v>#N/A</v>
      </c>
      <c r="ER31" s="138" t="e">
        <f>IF(VLOOKUP(CONCATENATE(H31,F31,ER$2),Matemáticas!$A:$H,7,FALSE)=BF31,1,0)</f>
        <v>#N/A</v>
      </c>
      <c r="ES31" s="138" t="e">
        <f>IF(VLOOKUP(CONCATENATE(H31,F31,ES$2),Matemáticas!$A:$H,7,FALSE)=BG31,1,0)</f>
        <v>#N/A</v>
      </c>
      <c r="ET31" s="138" t="e">
        <f>IF(VLOOKUP(CONCATENATE(H31,F31,ET$2),Matemáticas!$A:$H,7,FALSE)=BH31,1,0)</f>
        <v>#N/A</v>
      </c>
      <c r="EU31" s="138" t="e">
        <f>IF(VLOOKUP(CONCATENATE(H31,F31,EU$2),Matemáticas!$A:$H,7,FALSE)=BI31,1,0)</f>
        <v>#N/A</v>
      </c>
      <c r="EV31" s="138" t="e">
        <f>IF(VLOOKUP(CONCATENATE(H31,F31,EV$2),Ciencias!$A:$H,7,FALSE)=BJ31,1,0)</f>
        <v>#N/A</v>
      </c>
      <c r="EW31" s="138" t="e">
        <f>IF(VLOOKUP(CONCATENATE(H31,F31,EW$2),Ciencias!$A:$H,7,FALSE)=BK31,1,0)</f>
        <v>#N/A</v>
      </c>
      <c r="EX31" s="138" t="e">
        <f>IF(VLOOKUP(CONCATENATE(H31,F31,EX$2),Ciencias!$A:$H,7,FALSE)=BL31,1,0)</f>
        <v>#N/A</v>
      </c>
      <c r="EY31" s="138" t="e">
        <f>IF(VLOOKUP(CONCATENATE(H31,F31,EY$2),Ciencias!$A:$H,7,FALSE)=BM31,1,0)</f>
        <v>#N/A</v>
      </c>
      <c r="EZ31" s="138" t="e">
        <f>IF(VLOOKUP(CONCATENATE(H31,F31,EZ$2),Ciencias!$A:$H,7,FALSE)=BN31,1,0)</f>
        <v>#N/A</v>
      </c>
      <c r="FA31" s="138" t="e">
        <f>IF(VLOOKUP(CONCATENATE(H31,F31,FA$2),Ciencias!$A:$H,7,FALSE)=BO31,1,0)</f>
        <v>#N/A</v>
      </c>
      <c r="FB31" s="138" t="e">
        <f>IF(VLOOKUP(CONCATENATE(H31,F31,FB$2),Ciencias!$A:$H,7,FALSE)=BP31,1,0)</f>
        <v>#N/A</v>
      </c>
      <c r="FC31" s="138" t="e">
        <f>IF(VLOOKUP(CONCATENATE(H31,F31,FC$2),Ciencias!$A:$H,7,FALSE)=BQ31,1,0)</f>
        <v>#N/A</v>
      </c>
      <c r="FD31" s="138" t="e">
        <f>IF(VLOOKUP(CONCATENATE(H31,F31,FD$2),Ciencias!$A:$H,7,FALSE)=BR31,1,0)</f>
        <v>#N/A</v>
      </c>
      <c r="FE31" s="138" t="e">
        <f>IF(VLOOKUP(CONCATENATE(H31,F31,FE$2),Ciencias!$A:$H,7,FALSE)=BS31,1,0)</f>
        <v>#N/A</v>
      </c>
      <c r="FF31" s="138" t="e">
        <f>IF(VLOOKUP(CONCATENATE(H31,F31,FF$2),Ciencias!$A:$H,7,FALSE)=BT31,1,0)</f>
        <v>#N/A</v>
      </c>
      <c r="FG31" s="138" t="e">
        <f>IF(VLOOKUP(CONCATENATE(H31,F31,FG$2),Ciencias!$A:$H,7,FALSE)=BU31,1,0)</f>
        <v>#N/A</v>
      </c>
      <c r="FH31" s="138" t="e">
        <f>IF(VLOOKUP(CONCATENATE(H31,F31,FH$2),Ciencias!$A:$H,7,FALSE)=BV31,1,0)</f>
        <v>#N/A</v>
      </c>
      <c r="FI31" s="138" t="e">
        <f>IF(VLOOKUP(CONCATENATE(H31,F31,FI$2),Ciencias!$A:$H,7,FALSE)=BW31,1,0)</f>
        <v>#N/A</v>
      </c>
      <c r="FJ31" s="138" t="e">
        <f>IF(VLOOKUP(CONCATENATE(H31,F31,FJ$2),Ciencias!$A:$H,7,FALSE)=BX31,1,0)</f>
        <v>#N/A</v>
      </c>
      <c r="FK31" s="138" t="e">
        <f>IF(VLOOKUP(CONCATENATE(H31,F31,FK$2),Ciencias!$A:$H,7,FALSE)=BY31,1,0)</f>
        <v>#N/A</v>
      </c>
      <c r="FL31" s="138" t="e">
        <f>IF(VLOOKUP(CONCATENATE(H31,F31,FL$2),Ciencias!$A:$H,7,FALSE)=BZ31,1,0)</f>
        <v>#N/A</v>
      </c>
      <c r="FM31" s="138" t="e">
        <f>IF(VLOOKUP(CONCATENATE(H31,F31,FM$2),Ciencias!$A:$H,7,FALSE)=CA31,1,0)</f>
        <v>#N/A</v>
      </c>
      <c r="FN31" s="138" t="e">
        <f>IF(VLOOKUP(CONCATENATE(H31,F31,FN$2),Ciencias!$A:$H,7,FALSE)=CB31,1,0)</f>
        <v>#N/A</v>
      </c>
      <c r="FO31" s="138" t="e">
        <f>IF(VLOOKUP(CONCATENATE(H31,F31,FO$2),Ciencias!$A:$H,7,FALSE)=CC31,1,0)</f>
        <v>#N/A</v>
      </c>
      <c r="FP31" s="138" t="e">
        <f>IF(VLOOKUP(CONCATENATE(H31,F31,FP$2),GeoHis!$A:$H,7,FALSE)=CD31,1,0)</f>
        <v>#N/A</v>
      </c>
      <c r="FQ31" s="138" t="e">
        <f>IF(VLOOKUP(CONCATENATE(H31,F31,FQ$2),GeoHis!$A:$H,7,FALSE)=CE31,1,0)</f>
        <v>#N/A</v>
      </c>
      <c r="FR31" s="138" t="e">
        <f>IF(VLOOKUP(CONCATENATE(H31,F31,FR$2),GeoHis!$A:$H,7,FALSE)=CF31,1,0)</f>
        <v>#N/A</v>
      </c>
      <c r="FS31" s="138" t="e">
        <f>IF(VLOOKUP(CONCATENATE(H31,F31,FS$2),GeoHis!$A:$H,7,FALSE)=CG31,1,0)</f>
        <v>#N/A</v>
      </c>
      <c r="FT31" s="138" t="e">
        <f>IF(VLOOKUP(CONCATENATE(H31,F31,FT$2),GeoHis!$A:$H,7,FALSE)=CH31,1,0)</f>
        <v>#N/A</v>
      </c>
      <c r="FU31" s="138" t="e">
        <f>IF(VLOOKUP(CONCATENATE(H31,F31,FU$2),GeoHis!$A:$H,7,FALSE)=CI31,1,0)</f>
        <v>#N/A</v>
      </c>
      <c r="FV31" s="138" t="e">
        <f>IF(VLOOKUP(CONCATENATE(H31,F31,FV$2),GeoHis!$A:$H,7,FALSE)=CJ31,1,0)</f>
        <v>#N/A</v>
      </c>
      <c r="FW31" s="138" t="e">
        <f>IF(VLOOKUP(CONCATENATE(H31,F31,FW$2),GeoHis!$A:$H,7,FALSE)=CK31,1,0)</f>
        <v>#N/A</v>
      </c>
      <c r="FX31" s="138" t="e">
        <f>IF(VLOOKUP(CONCATENATE(H31,F31,FX$2),GeoHis!$A:$H,7,FALSE)=CL31,1,0)</f>
        <v>#N/A</v>
      </c>
      <c r="FY31" s="138" t="e">
        <f>IF(VLOOKUP(CONCATENATE(H31,F31,FY$2),GeoHis!$A:$H,7,FALSE)=CM31,1,0)</f>
        <v>#N/A</v>
      </c>
      <c r="FZ31" s="138" t="e">
        <f>IF(VLOOKUP(CONCATENATE(H31,F31,FZ$2),GeoHis!$A:$H,7,FALSE)=CN31,1,0)</f>
        <v>#N/A</v>
      </c>
      <c r="GA31" s="138" t="e">
        <f>IF(VLOOKUP(CONCATENATE(H31,F31,GA$2),GeoHis!$A:$H,7,FALSE)=CO31,1,0)</f>
        <v>#N/A</v>
      </c>
      <c r="GB31" s="138" t="e">
        <f>IF(VLOOKUP(CONCATENATE(H31,F31,GB$2),GeoHis!$A:$H,7,FALSE)=CP31,1,0)</f>
        <v>#N/A</v>
      </c>
      <c r="GC31" s="138" t="e">
        <f>IF(VLOOKUP(CONCATENATE(H31,F31,GC$2),GeoHis!$A:$H,7,FALSE)=CQ31,1,0)</f>
        <v>#N/A</v>
      </c>
      <c r="GD31" s="138" t="e">
        <f>IF(VLOOKUP(CONCATENATE(H31,F31,GD$2),GeoHis!$A:$H,7,FALSE)=CR31,1,0)</f>
        <v>#N/A</v>
      </c>
      <c r="GE31" s="135" t="str">
        <f t="shared" si="6"/>
        <v/>
      </c>
    </row>
    <row r="32" spans="1:187" x14ac:dyDescent="0.25">
      <c r="A32" s="127" t="str">
        <f>IF(C32="","",'Datos Generales'!$A$25)</f>
        <v/>
      </c>
      <c r="D32" s="126" t="str">
        <f t="shared" si="0"/>
        <v/>
      </c>
      <c r="E32" s="126">
        <f t="shared" si="1"/>
        <v>0</v>
      </c>
      <c r="F32" s="126" t="str">
        <f t="shared" si="7"/>
        <v/>
      </c>
      <c r="G32" s="126" t="str">
        <f>IF(C32="","",'Datos Generales'!$D$19)</f>
        <v/>
      </c>
      <c r="H32" s="21" t="str">
        <f>IF(C32="","",'Datos Generales'!$A$19)</f>
        <v/>
      </c>
      <c r="I32" s="126" t="str">
        <f>IF(C32="","",'Datos Generales'!$A$7)</f>
        <v/>
      </c>
      <c r="J32" s="21" t="str">
        <f>IF(C32="","",'Datos Generales'!$A$13)</f>
        <v/>
      </c>
      <c r="K32" s="21" t="str">
        <f>IF(C32="","",'Datos Generales'!$A$10)</f>
        <v/>
      </c>
      <c r="CS32" s="142" t="str">
        <f t="shared" si="2"/>
        <v/>
      </c>
      <c r="CT32" s="142" t="str">
        <f t="shared" si="3"/>
        <v/>
      </c>
      <c r="CU32" s="142" t="str">
        <f t="shared" si="4"/>
        <v/>
      </c>
      <c r="CV32" s="142" t="str">
        <f t="shared" si="5"/>
        <v/>
      </c>
      <c r="CW32" s="142" t="str">
        <f>IF(C32="","",IF('Datos Generales'!$A$19=1,AVERAGE(FP32:GD32),AVERAGE(Captura!FP32:FY32)))</f>
        <v/>
      </c>
      <c r="CX32" s="138" t="e">
        <f>IF(VLOOKUP(CONCATENATE($H$4,$F$4,CX$2),Español!$A:$H,7,FALSE)=L32,1,0)</f>
        <v>#N/A</v>
      </c>
      <c r="CY32" s="138" t="e">
        <f>IF(VLOOKUP(CONCATENATE(H32,F32,CY$2),Español!$A:$H,7,FALSE)=M32,1,0)</f>
        <v>#N/A</v>
      </c>
      <c r="CZ32" s="138" t="e">
        <f>IF(VLOOKUP(CONCATENATE(H32,F32,CZ$2),Español!$A:$H,7,FALSE)=N32,1,0)</f>
        <v>#N/A</v>
      </c>
      <c r="DA32" s="138" t="e">
        <f>IF(VLOOKUP(CONCATENATE(H32,F32,DA$2),Español!$A:$H,7,FALSE)=O32,1,0)</f>
        <v>#N/A</v>
      </c>
      <c r="DB32" s="138" t="e">
        <f>IF(VLOOKUP(CONCATENATE(H32,F32,DB$2),Español!$A:$H,7,FALSE)=P32,1,0)</f>
        <v>#N/A</v>
      </c>
      <c r="DC32" s="138" t="e">
        <f>IF(VLOOKUP(CONCATENATE(H32,F32,DC$2),Español!$A:$H,7,FALSE)=Q32,1,0)</f>
        <v>#N/A</v>
      </c>
      <c r="DD32" s="138" t="e">
        <f>IF(VLOOKUP(CONCATENATE(H32,F32,DD$2),Español!$A:$H,7,FALSE)=R32,1,0)</f>
        <v>#N/A</v>
      </c>
      <c r="DE32" s="138" t="e">
        <f>IF(VLOOKUP(CONCATENATE(H32,F32,DE$2),Español!$A:$H,7,FALSE)=S32,1,0)</f>
        <v>#N/A</v>
      </c>
      <c r="DF32" s="138" t="e">
        <f>IF(VLOOKUP(CONCATENATE(H32,F32,DF$2),Español!$A:$H,7,FALSE)=T32,1,0)</f>
        <v>#N/A</v>
      </c>
      <c r="DG32" s="138" t="e">
        <f>IF(VLOOKUP(CONCATENATE(H32,F32,DG$2),Español!$A:$H,7,FALSE)=U32,1,0)</f>
        <v>#N/A</v>
      </c>
      <c r="DH32" s="138" t="e">
        <f>IF(VLOOKUP(CONCATENATE(H32,F32,DH$2),Español!$A:$H,7,FALSE)=V32,1,0)</f>
        <v>#N/A</v>
      </c>
      <c r="DI32" s="138" t="e">
        <f>IF(VLOOKUP(CONCATENATE(H32,F32,DI$2),Español!$A:$H,7,FALSE)=W32,1,0)</f>
        <v>#N/A</v>
      </c>
      <c r="DJ32" s="138" t="e">
        <f>IF(VLOOKUP(CONCATENATE(H32,F32,DJ$2),Español!$A:$H,7,FALSE)=X32,1,0)</f>
        <v>#N/A</v>
      </c>
      <c r="DK32" s="138" t="e">
        <f>IF(VLOOKUP(CONCATENATE(H32,F32,DK$2),Español!$A:$H,7,FALSE)=Y32,1,0)</f>
        <v>#N/A</v>
      </c>
      <c r="DL32" s="138" t="e">
        <f>IF(VLOOKUP(CONCATENATE(H32,F32,DL$2),Español!$A:$H,7,FALSE)=Z32,1,0)</f>
        <v>#N/A</v>
      </c>
      <c r="DM32" s="138" t="e">
        <f>IF(VLOOKUP(CONCATENATE(H32,F32,DM$2),Español!$A:$H,7,FALSE)=AA32,1,0)</f>
        <v>#N/A</v>
      </c>
      <c r="DN32" s="138" t="e">
        <f>IF(VLOOKUP(CONCATENATE(H32,F32,DN$2),Español!$A:$H,7,FALSE)=AB32,1,0)</f>
        <v>#N/A</v>
      </c>
      <c r="DO32" s="138" t="e">
        <f>IF(VLOOKUP(CONCATENATE(H32,F32,DO$2),Español!$A:$H,7,FALSE)=AC32,1,0)</f>
        <v>#N/A</v>
      </c>
      <c r="DP32" s="138" t="e">
        <f>IF(VLOOKUP(CONCATENATE(H32,F32,DP$2),Español!$A:$H,7,FALSE)=AD32,1,0)</f>
        <v>#N/A</v>
      </c>
      <c r="DQ32" s="138" t="e">
        <f>IF(VLOOKUP(CONCATENATE(H32,F32,DQ$2),Español!$A:$H,7,FALSE)=AE32,1,0)</f>
        <v>#N/A</v>
      </c>
      <c r="DR32" s="138" t="e">
        <f>IF(VLOOKUP(CONCATENATE(H32,F32,DR$2),Inglés!$A:$H,7,FALSE)=AF32,1,0)</f>
        <v>#N/A</v>
      </c>
      <c r="DS32" s="138" t="e">
        <f>IF(VLOOKUP(CONCATENATE(H32,F32,DS$2),Inglés!$A:$H,7,FALSE)=AG32,1,0)</f>
        <v>#N/A</v>
      </c>
      <c r="DT32" s="138" t="e">
        <f>IF(VLOOKUP(CONCATENATE(H32,F32,DT$2),Inglés!$A:$H,7,FALSE)=AH32,1,0)</f>
        <v>#N/A</v>
      </c>
      <c r="DU32" s="138" t="e">
        <f>IF(VLOOKUP(CONCATENATE(H32,F32,DU$2),Inglés!$A:$H,7,FALSE)=AI32,1,0)</f>
        <v>#N/A</v>
      </c>
      <c r="DV32" s="138" t="e">
        <f>IF(VLOOKUP(CONCATENATE(H32,F32,DV$2),Inglés!$A:$H,7,FALSE)=AJ32,1,0)</f>
        <v>#N/A</v>
      </c>
      <c r="DW32" s="138" t="e">
        <f>IF(VLOOKUP(CONCATENATE(H32,F32,DW$2),Inglés!$A:$H,7,FALSE)=AK32,1,0)</f>
        <v>#N/A</v>
      </c>
      <c r="DX32" s="138" t="e">
        <f>IF(VLOOKUP(CONCATENATE(H32,F32,DX$2),Inglés!$A:$H,7,FALSE)=AL32,1,0)</f>
        <v>#N/A</v>
      </c>
      <c r="DY32" s="138" t="e">
        <f>IF(VLOOKUP(CONCATENATE(H32,F32,DY$2),Inglés!$A:$H,7,FALSE)=AM32,1,0)</f>
        <v>#N/A</v>
      </c>
      <c r="DZ32" s="138" t="e">
        <f>IF(VLOOKUP(CONCATENATE(H32,F32,DZ$2),Inglés!$A:$H,7,FALSE)=AN32,1,0)</f>
        <v>#N/A</v>
      </c>
      <c r="EA32" s="138" t="e">
        <f>IF(VLOOKUP(CONCATENATE(H32,F32,EA$2),Inglés!$A:$H,7,FALSE)=AO32,1,0)</f>
        <v>#N/A</v>
      </c>
      <c r="EB32" s="138" t="e">
        <f>IF(VLOOKUP(CONCATENATE(H32,F32,EB$2),Matemáticas!$A:$H,7,FALSE)=AP32,1,0)</f>
        <v>#N/A</v>
      </c>
      <c r="EC32" s="138" t="e">
        <f>IF(VLOOKUP(CONCATENATE(H32,F32,EC$2),Matemáticas!$A:$H,7,FALSE)=AQ32,1,0)</f>
        <v>#N/A</v>
      </c>
      <c r="ED32" s="138" t="e">
        <f>IF(VLOOKUP(CONCATENATE(H32,F32,ED$2),Matemáticas!$A:$H,7,FALSE)=AR32,1,0)</f>
        <v>#N/A</v>
      </c>
      <c r="EE32" s="138" t="e">
        <f>IF(VLOOKUP(CONCATENATE(H32,F32,EE$2),Matemáticas!$A:$H,7,FALSE)=AS32,1,0)</f>
        <v>#N/A</v>
      </c>
      <c r="EF32" s="138" t="e">
        <f>IF(VLOOKUP(CONCATENATE(H32,F32,EF$2),Matemáticas!$A:$H,7,FALSE)=AT32,1,0)</f>
        <v>#N/A</v>
      </c>
      <c r="EG32" s="138" t="e">
        <f>IF(VLOOKUP(CONCATENATE(H32,F32,EG$2),Matemáticas!$A:$H,7,FALSE)=AU32,1,0)</f>
        <v>#N/A</v>
      </c>
      <c r="EH32" s="138" t="e">
        <f>IF(VLOOKUP(CONCATENATE(H32,F32,EH$2),Matemáticas!$A:$H,7,FALSE)=AV32,1,0)</f>
        <v>#N/A</v>
      </c>
      <c r="EI32" s="138" t="e">
        <f>IF(VLOOKUP(CONCATENATE(H32,F32,EI$2),Matemáticas!$A:$H,7,FALSE)=AW32,1,0)</f>
        <v>#N/A</v>
      </c>
      <c r="EJ32" s="138" t="e">
        <f>IF(VLOOKUP(CONCATENATE(H32,F32,EJ$2),Matemáticas!$A:$H,7,FALSE)=AX32,1,0)</f>
        <v>#N/A</v>
      </c>
      <c r="EK32" s="138" t="e">
        <f>IF(VLOOKUP(CONCATENATE(H32,F32,EK$2),Matemáticas!$A:$H,7,FALSE)=AY32,1,0)</f>
        <v>#N/A</v>
      </c>
      <c r="EL32" s="138" t="e">
        <f>IF(VLOOKUP(CONCATENATE(H32,F32,EL$2),Matemáticas!$A:$H,7,FALSE)=AZ32,1,0)</f>
        <v>#N/A</v>
      </c>
      <c r="EM32" s="138" t="e">
        <f>IF(VLOOKUP(CONCATENATE(H32,F32,EM$2),Matemáticas!$A:$H,7,FALSE)=BA32,1,0)</f>
        <v>#N/A</v>
      </c>
      <c r="EN32" s="138" t="e">
        <f>IF(VLOOKUP(CONCATENATE(H32,F32,EN$2),Matemáticas!$A:$H,7,FALSE)=BB32,1,0)</f>
        <v>#N/A</v>
      </c>
      <c r="EO32" s="138" t="e">
        <f>IF(VLOOKUP(CONCATENATE(H32,F32,EO$2),Matemáticas!$A:$H,7,FALSE)=BC32,1,0)</f>
        <v>#N/A</v>
      </c>
      <c r="EP32" s="138" t="e">
        <f>IF(VLOOKUP(CONCATENATE(H32,F32,EP$2),Matemáticas!$A:$H,7,FALSE)=BD32,1,0)</f>
        <v>#N/A</v>
      </c>
      <c r="EQ32" s="138" t="e">
        <f>IF(VLOOKUP(CONCATENATE(H32,F32,EQ$2),Matemáticas!$A:$H,7,FALSE)=BE32,1,0)</f>
        <v>#N/A</v>
      </c>
      <c r="ER32" s="138" t="e">
        <f>IF(VLOOKUP(CONCATENATE(H32,F32,ER$2),Matemáticas!$A:$H,7,FALSE)=BF32,1,0)</f>
        <v>#N/A</v>
      </c>
      <c r="ES32" s="138" t="e">
        <f>IF(VLOOKUP(CONCATENATE(H32,F32,ES$2),Matemáticas!$A:$H,7,FALSE)=BG32,1,0)</f>
        <v>#N/A</v>
      </c>
      <c r="ET32" s="138" t="e">
        <f>IF(VLOOKUP(CONCATENATE(H32,F32,ET$2),Matemáticas!$A:$H,7,FALSE)=BH32,1,0)</f>
        <v>#N/A</v>
      </c>
      <c r="EU32" s="138" t="e">
        <f>IF(VLOOKUP(CONCATENATE(H32,F32,EU$2),Matemáticas!$A:$H,7,FALSE)=BI32,1,0)</f>
        <v>#N/A</v>
      </c>
      <c r="EV32" s="138" t="e">
        <f>IF(VLOOKUP(CONCATENATE(H32,F32,EV$2),Ciencias!$A:$H,7,FALSE)=BJ32,1,0)</f>
        <v>#N/A</v>
      </c>
      <c r="EW32" s="138" t="e">
        <f>IF(VLOOKUP(CONCATENATE(H32,F32,EW$2),Ciencias!$A:$H,7,FALSE)=BK32,1,0)</f>
        <v>#N/A</v>
      </c>
      <c r="EX32" s="138" t="e">
        <f>IF(VLOOKUP(CONCATENATE(H32,F32,EX$2),Ciencias!$A:$H,7,FALSE)=BL32,1,0)</f>
        <v>#N/A</v>
      </c>
      <c r="EY32" s="138" t="e">
        <f>IF(VLOOKUP(CONCATENATE(H32,F32,EY$2),Ciencias!$A:$H,7,FALSE)=BM32,1,0)</f>
        <v>#N/A</v>
      </c>
      <c r="EZ32" s="138" t="e">
        <f>IF(VLOOKUP(CONCATENATE(H32,F32,EZ$2),Ciencias!$A:$H,7,FALSE)=BN32,1,0)</f>
        <v>#N/A</v>
      </c>
      <c r="FA32" s="138" t="e">
        <f>IF(VLOOKUP(CONCATENATE(H32,F32,FA$2),Ciencias!$A:$H,7,FALSE)=BO32,1,0)</f>
        <v>#N/A</v>
      </c>
      <c r="FB32" s="138" t="e">
        <f>IF(VLOOKUP(CONCATENATE(H32,F32,FB$2),Ciencias!$A:$H,7,FALSE)=BP32,1,0)</f>
        <v>#N/A</v>
      </c>
      <c r="FC32" s="138" t="e">
        <f>IF(VLOOKUP(CONCATENATE(H32,F32,FC$2),Ciencias!$A:$H,7,FALSE)=BQ32,1,0)</f>
        <v>#N/A</v>
      </c>
      <c r="FD32" s="138" t="e">
        <f>IF(VLOOKUP(CONCATENATE(H32,F32,FD$2),Ciencias!$A:$H,7,FALSE)=BR32,1,0)</f>
        <v>#N/A</v>
      </c>
      <c r="FE32" s="138" t="e">
        <f>IF(VLOOKUP(CONCATENATE(H32,F32,FE$2),Ciencias!$A:$H,7,FALSE)=BS32,1,0)</f>
        <v>#N/A</v>
      </c>
      <c r="FF32" s="138" t="e">
        <f>IF(VLOOKUP(CONCATENATE(H32,F32,FF$2),Ciencias!$A:$H,7,FALSE)=BT32,1,0)</f>
        <v>#N/A</v>
      </c>
      <c r="FG32" s="138" t="e">
        <f>IF(VLOOKUP(CONCATENATE(H32,F32,FG$2),Ciencias!$A:$H,7,FALSE)=BU32,1,0)</f>
        <v>#N/A</v>
      </c>
      <c r="FH32" s="138" t="e">
        <f>IF(VLOOKUP(CONCATENATE(H32,F32,FH$2),Ciencias!$A:$H,7,FALSE)=BV32,1,0)</f>
        <v>#N/A</v>
      </c>
      <c r="FI32" s="138" t="e">
        <f>IF(VLOOKUP(CONCATENATE(H32,F32,FI$2),Ciencias!$A:$H,7,FALSE)=BW32,1,0)</f>
        <v>#N/A</v>
      </c>
      <c r="FJ32" s="138" t="e">
        <f>IF(VLOOKUP(CONCATENATE(H32,F32,FJ$2),Ciencias!$A:$H,7,FALSE)=BX32,1,0)</f>
        <v>#N/A</v>
      </c>
      <c r="FK32" s="138" t="e">
        <f>IF(VLOOKUP(CONCATENATE(H32,F32,FK$2),Ciencias!$A:$H,7,FALSE)=BY32,1,0)</f>
        <v>#N/A</v>
      </c>
      <c r="FL32" s="138" t="e">
        <f>IF(VLOOKUP(CONCATENATE(H32,F32,FL$2),Ciencias!$A:$H,7,FALSE)=BZ32,1,0)</f>
        <v>#N/A</v>
      </c>
      <c r="FM32" s="138" t="e">
        <f>IF(VLOOKUP(CONCATENATE(H32,F32,FM$2),Ciencias!$A:$H,7,FALSE)=CA32,1,0)</f>
        <v>#N/A</v>
      </c>
      <c r="FN32" s="138" t="e">
        <f>IF(VLOOKUP(CONCATENATE(H32,F32,FN$2),Ciencias!$A:$H,7,FALSE)=CB32,1,0)</f>
        <v>#N/A</v>
      </c>
      <c r="FO32" s="138" t="e">
        <f>IF(VLOOKUP(CONCATENATE(H32,F32,FO$2),Ciencias!$A:$H,7,FALSE)=CC32,1,0)</f>
        <v>#N/A</v>
      </c>
      <c r="FP32" s="138" t="e">
        <f>IF(VLOOKUP(CONCATENATE(H32,F32,FP$2),GeoHis!$A:$H,7,FALSE)=CD32,1,0)</f>
        <v>#N/A</v>
      </c>
      <c r="FQ32" s="138" t="e">
        <f>IF(VLOOKUP(CONCATENATE(H32,F32,FQ$2),GeoHis!$A:$H,7,FALSE)=CE32,1,0)</f>
        <v>#N/A</v>
      </c>
      <c r="FR32" s="138" t="e">
        <f>IF(VLOOKUP(CONCATENATE(H32,F32,FR$2),GeoHis!$A:$H,7,FALSE)=CF32,1,0)</f>
        <v>#N/A</v>
      </c>
      <c r="FS32" s="138" t="e">
        <f>IF(VLOOKUP(CONCATENATE(H32,F32,FS$2),GeoHis!$A:$H,7,FALSE)=CG32,1,0)</f>
        <v>#N/A</v>
      </c>
      <c r="FT32" s="138" t="e">
        <f>IF(VLOOKUP(CONCATENATE(H32,F32,FT$2),GeoHis!$A:$H,7,FALSE)=CH32,1,0)</f>
        <v>#N/A</v>
      </c>
      <c r="FU32" s="138" t="e">
        <f>IF(VLOOKUP(CONCATENATE(H32,F32,FU$2),GeoHis!$A:$H,7,FALSE)=CI32,1,0)</f>
        <v>#N/A</v>
      </c>
      <c r="FV32" s="138" t="e">
        <f>IF(VLOOKUP(CONCATENATE(H32,F32,FV$2),GeoHis!$A:$H,7,FALSE)=CJ32,1,0)</f>
        <v>#N/A</v>
      </c>
      <c r="FW32" s="138" t="e">
        <f>IF(VLOOKUP(CONCATENATE(H32,F32,FW$2),GeoHis!$A:$H,7,FALSE)=CK32,1,0)</f>
        <v>#N/A</v>
      </c>
      <c r="FX32" s="138" t="e">
        <f>IF(VLOOKUP(CONCATENATE(H32,F32,FX$2),GeoHis!$A:$H,7,FALSE)=CL32,1,0)</f>
        <v>#N/A</v>
      </c>
      <c r="FY32" s="138" t="e">
        <f>IF(VLOOKUP(CONCATENATE(H32,F32,FY$2),GeoHis!$A:$H,7,FALSE)=CM32,1,0)</f>
        <v>#N/A</v>
      </c>
      <c r="FZ32" s="138" t="e">
        <f>IF(VLOOKUP(CONCATENATE(H32,F32,FZ$2),GeoHis!$A:$H,7,FALSE)=CN32,1,0)</f>
        <v>#N/A</v>
      </c>
      <c r="GA32" s="138" t="e">
        <f>IF(VLOOKUP(CONCATENATE(H32,F32,GA$2),GeoHis!$A:$H,7,FALSE)=CO32,1,0)</f>
        <v>#N/A</v>
      </c>
      <c r="GB32" s="138" t="e">
        <f>IF(VLOOKUP(CONCATENATE(H32,F32,GB$2),GeoHis!$A:$H,7,FALSE)=CP32,1,0)</f>
        <v>#N/A</v>
      </c>
      <c r="GC32" s="138" t="e">
        <f>IF(VLOOKUP(CONCATENATE(H32,F32,GC$2),GeoHis!$A:$H,7,FALSE)=CQ32,1,0)</f>
        <v>#N/A</v>
      </c>
      <c r="GD32" s="138" t="e">
        <f>IF(VLOOKUP(CONCATENATE(H32,F32,GD$2),GeoHis!$A:$H,7,FALSE)=CR32,1,0)</f>
        <v>#N/A</v>
      </c>
      <c r="GE32" s="135" t="str">
        <f t="shared" si="6"/>
        <v/>
      </c>
    </row>
    <row r="33" spans="1:187" x14ac:dyDescent="0.25">
      <c r="A33" s="127" t="str">
        <f>IF(C33="","",'Datos Generales'!$A$25)</f>
        <v/>
      </c>
      <c r="D33" s="126" t="str">
        <f t="shared" si="0"/>
        <v/>
      </c>
      <c r="E33" s="126">
        <f t="shared" si="1"/>
        <v>0</v>
      </c>
      <c r="F33" s="126" t="str">
        <f t="shared" si="7"/>
        <v/>
      </c>
      <c r="G33" s="126" t="str">
        <f>IF(C33="","",'Datos Generales'!$D$19)</f>
        <v/>
      </c>
      <c r="H33" s="21" t="str">
        <f>IF(C33="","",'Datos Generales'!$A$19)</f>
        <v/>
      </c>
      <c r="I33" s="126" t="str">
        <f>IF(C33="","",'Datos Generales'!$A$7)</f>
        <v/>
      </c>
      <c r="J33" s="21" t="str">
        <f>IF(C33="","",'Datos Generales'!$A$13)</f>
        <v/>
      </c>
      <c r="K33" s="21" t="str">
        <f>IF(C33="","",'Datos Generales'!$A$10)</f>
        <v/>
      </c>
      <c r="CS33" s="142" t="str">
        <f t="shared" si="2"/>
        <v/>
      </c>
      <c r="CT33" s="142" t="str">
        <f t="shared" si="3"/>
        <v/>
      </c>
      <c r="CU33" s="142" t="str">
        <f t="shared" si="4"/>
        <v/>
      </c>
      <c r="CV33" s="142" t="str">
        <f t="shared" si="5"/>
        <v/>
      </c>
      <c r="CW33" s="142" t="str">
        <f>IF(C33="","",IF('Datos Generales'!$A$19=1,AVERAGE(FP33:GD33),AVERAGE(Captura!FP33:FY33)))</f>
        <v/>
      </c>
      <c r="CX33" s="138" t="e">
        <f>IF(VLOOKUP(CONCATENATE($H$4,$F$4,CX$2),Español!$A:$H,7,FALSE)=L33,1,0)</f>
        <v>#N/A</v>
      </c>
      <c r="CY33" s="138" t="e">
        <f>IF(VLOOKUP(CONCATENATE(H33,F33,CY$2),Español!$A:$H,7,FALSE)=M33,1,0)</f>
        <v>#N/A</v>
      </c>
      <c r="CZ33" s="138" t="e">
        <f>IF(VLOOKUP(CONCATENATE(H33,F33,CZ$2),Español!$A:$H,7,FALSE)=N33,1,0)</f>
        <v>#N/A</v>
      </c>
      <c r="DA33" s="138" t="e">
        <f>IF(VLOOKUP(CONCATENATE(H33,F33,DA$2),Español!$A:$H,7,FALSE)=O33,1,0)</f>
        <v>#N/A</v>
      </c>
      <c r="DB33" s="138" t="e">
        <f>IF(VLOOKUP(CONCATENATE(H33,F33,DB$2),Español!$A:$H,7,FALSE)=P33,1,0)</f>
        <v>#N/A</v>
      </c>
      <c r="DC33" s="138" t="e">
        <f>IF(VLOOKUP(CONCATENATE(H33,F33,DC$2),Español!$A:$H,7,FALSE)=Q33,1,0)</f>
        <v>#N/A</v>
      </c>
      <c r="DD33" s="138" t="e">
        <f>IF(VLOOKUP(CONCATENATE(H33,F33,DD$2),Español!$A:$H,7,FALSE)=R33,1,0)</f>
        <v>#N/A</v>
      </c>
      <c r="DE33" s="138" t="e">
        <f>IF(VLOOKUP(CONCATENATE(H33,F33,DE$2),Español!$A:$H,7,FALSE)=S33,1,0)</f>
        <v>#N/A</v>
      </c>
      <c r="DF33" s="138" t="e">
        <f>IF(VLOOKUP(CONCATENATE(H33,F33,DF$2),Español!$A:$H,7,FALSE)=T33,1,0)</f>
        <v>#N/A</v>
      </c>
      <c r="DG33" s="138" t="e">
        <f>IF(VLOOKUP(CONCATENATE(H33,F33,DG$2),Español!$A:$H,7,FALSE)=U33,1,0)</f>
        <v>#N/A</v>
      </c>
      <c r="DH33" s="138" t="e">
        <f>IF(VLOOKUP(CONCATENATE(H33,F33,DH$2),Español!$A:$H,7,FALSE)=V33,1,0)</f>
        <v>#N/A</v>
      </c>
      <c r="DI33" s="138" t="e">
        <f>IF(VLOOKUP(CONCATENATE(H33,F33,DI$2),Español!$A:$H,7,FALSE)=W33,1,0)</f>
        <v>#N/A</v>
      </c>
      <c r="DJ33" s="138" t="e">
        <f>IF(VLOOKUP(CONCATENATE(H33,F33,DJ$2),Español!$A:$H,7,FALSE)=X33,1,0)</f>
        <v>#N/A</v>
      </c>
      <c r="DK33" s="138" t="e">
        <f>IF(VLOOKUP(CONCATENATE(H33,F33,DK$2),Español!$A:$H,7,FALSE)=Y33,1,0)</f>
        <v>#N/A</v>
      </c>
      <c r="DL33" s="138" t="e">
        <f>IF(VLOOKUP(CONCATENATE(H33,F33,DL$2),Español!$A:$H,7,FALSE)=Z33,1,0)</f>
        <v>#N/A</v>
      </c>
      <c r="DM33" s="138" t="e">
        <f>IF(VLOOKUP(CONCATENATE(H33,F33,DM$2),Español!$A:$H,7,FALSE)=AA33,1,0)</f>
        <v>#N/A</v>
      </c>
      <c r="DN33" s="138" t="e">
        <f>IF(VLOOKUP(CONCATENATE(H33,F33,DN$2),Español!$A:$H,7,FALSE)=AB33,1,0)</f>
        <v>#N/A</v>
      </c>
      <c r="DO33" s="138" t="e">
        <f>IF(VLOOKUP(CONCATENATE(H33,F33,DO$2),Español!$A:$H,7,FALSE)=AC33,1,0)</f>
        <v>#N/A</v>
      </c>
      <c r="DP33" s="138" t="e">
        <f>IF(VLOOKUP(CONCATENATE(H33,F33,DP$2),Español!$A:$H,7,FALSE)=AD33,1,0)</f>
        <v>#N/A</v>
      </c>
      <c r="DQ33" s="138" t="e">
        <f>IF(VLOOKUP(CONCATENATE(H33,F33,DQ$2),Español!$A:$H,7,FALSE)=AE33,1,0)</f>
        <v>#N/A</v>
      </c>
      <c r="DR33" s="138" t="e">
        <f>IF(VLOOKUP(CONCATENATE(H33,F33,DR$2),Inglés!$A:$H,7,FALSE)=AF33,1,0)</f>
        <v>#N/A</v>
      </c>
      <c r="DS33" s="138" t="e">
        <f>IF(VLOOKUP(CONCATENATE(H33,F33,DS$2),Inglés!$A:$H,7,FALSE)=AG33,1,0)</f>
        <v>#N/A</v>
      </c>
      <c r="DT33" s="138" t="e">
        <f>IF(VLOOKUP(CONCATENATE(H33,F33,DT$2),Inglés!$A:$H,7,FALSE)=AH33,1,0)</f>
        <v>#N/A</v>
      </c>
      <c r="DU33" s="138" t="e">
        <f>IF(VLOOKUP(CONCATENATE(H33,F33,DU$2),Inglés!$A:$H,7,FALSE)=AI33,1,0)</f>
        <v>#N/A</v>
      </c>
      <c r="DV33" s="138" t="e">
        <f>IF(VLOOKUP(CONCATENATE(H33,F33,DV$2),Inglés!$A:$H,7,FALSE)=AJ33,1,0)</f>
        <v>#N/A</v>
      </c>
      <c r="DW33" s="138" t="e">
        <f>IF(VLOOKUP(CONCATENATE(H33,F33,DW$2),Inglés!$A:$H,7,FALSE)=AK33,1,0)</f>
        <v>#N/A</v>
      </c>
      <c r="DX33" s="138" t="e">
        <f>IF(VLOOKUP(CONCATENATE(H33,F33,DX$2),Inglés!$A:$H,7,FALSE)=AL33,1,0)</f>
        <v>#N/A</v>
      </c>
      <c r="DY33" s="138" t="e">
        <f>IF(VLOOKUP(CONCATENATE(H33,F33,DY$2),Inglés!$A:$H,7,FALSE)=AM33,1,0)</f>
        <v>#N/A</v>
      </c>
      <c r="DZ33" s="138" t="e">
        <f>IF(VLOOKUP(CONCATENATE(H33,F33,DZ$2),Inglés!$A:$H,7,FALSE)=AN33,1,0)</f>
        <v>#N/A</v>
      </c>
      <c r="EA33" s="138" t="e">
        <f>IF(VLOOKUP(CONCATENATE(H33,F33,EA$2),Inglés!$A:$H,7,FALSE)=AO33,1,0)</f>
        <v>#N/A</v>
      </c>
      <c r="EB33" s="138" t="e">
        <f>IF(VLOOKUP(CONCATENATE(H33,F33,EB$2),Matemáticas!$A:$H,7,FALSE)=AP33,1,0)</f>
        <v>#N/A</v>
      </c>
      <c r="EC33" s="138" t="e">
        <f>IF(VLOOKUP(CONCATENATE(H33,F33,EC$2),Matemáticas!$A:$H,7,FALSE)=AQ33,1,0)</f>
        <v>#N/A</v>
      </c>
      <c r="ED33" s="138" t="e">
        <f>IF(VLOOKUP(CONCATENATE(H33,F33,ED$2),Matemáticas!$A:$H,7,FALSE)=AR33,1,0)</f>
        <v>#N/A</v>
      </c>
      <c r="EE33" s="138" t="e">
        <f>IF(VLOOKUP(CONCATENATE(H33,F33,EE$2),Matemáticas!$A:$H,7,FALSE)=AS33,1,0)</f>
        <v>#N/A</v>
      </c>
      <c r="EF33" s="138" t="e">
        <f>IF(VLOOKUP(CONCATENATE(H33,F33,EF$2),Matemáticas!$A:$H,7,FALSE)=AT33,1,0)</f>
        <v>#N/A</v>
      </c>
      <c r="EG33" s="138" t="e">
        <f>IF(VLOOKUP(CONCATENATE(H33,F33,EG$2),Matemáticas!$A:$H,7,FALSE)=AU33,1,0)</f>
        <v>#N/A</v>
      </c>
      <c r="EH33" s="138" t="e">
        <f>IF(VLOOKUP(CONCATENATE(H33,F33,EH$2),Matemáticas!$A:$H,7,FALSE)=AV33,1,0)</f>
        <v>#N/A</v>
      </c>
      <c r="EI33" s="138" t="e">
        <f>IF(VLOOKUP(CONCATENATE(H33,F33,EI$2),Matemáticas!$A:$H,7,FALSE)=AW33,1,0)</f>
        <v>#N/A</v>
      </c>
      <c r="EJ33" s="138" t="e">
        <f>IF(VLOOKUP(CONCATENATE(H33,F33,EJ$2),Matemáticas!$A:$H,7,FALSE)=AX33,1,0)</f>
        <v>#N/A</v>
      </c>
      <c r="EK33" s="138" t="e">
        <f>IF(VLOOKUP(CONCATENATE(H33,F33,EK$2),Matemáticas!$A:$H,7,FALSE)=AY33,1,0)</f>
        <v>#N/A</v>
      </c>
      <c r="EL33" s="138" t="e">
        <f>IF(VLOOKUP(CONCATENATE(H33,F33,EL$2),Matemáticas!$A:$H,7,FALSE)=AZ33,1,0)</f>
        <v>#N/A</v>
      </c>
      <c r="EM33" s="138" t="e">
        <f>IF(VLOOKUP(CONCATENATE(H33,F33,EM$2),Matemáticas!$A:$H,7,FALSE)=BA33,1,0)</f>
        <v>#N/A</v>
      </c>
      <c r="EN33" s="138" t="e">
        <f>IF(VLOOKUP(CONCATENATE(H33,F33,EN$2),Matemáticas!$A:$H,7,FALSE)=BB33,1,0)</f>
        <v>#N/A</v>
      </c>
      <c r="EO33" s="138" t="e">
        <f>IF(VLOOKUP(CONCATENATE(H33,F33,EO$2),Matemáticas!$A:$H,7,FALSE)=BC33,1,0)</f>
        <v>#N/A</v>
      </c>
      <c r="EP33" s="138" t="e">
        <f>IF(VLOOKUP(CONCATENATE(H33,F33,EP$2),Matemáticas!$A:$H,7,FALSE)=BD33,1,0)</f>
        <v>#N/A</v>
      </c>
      <c r="EQ33" s="138" t="e">
        <f>IF(VLOOKUP(CONCATENATE(H33,F33,EQ$2),Matemáticas!$A:$H,7,FALSE)=BE33,1,0)</f>
        <v>#N/A</v>
      </c>
      <c r="ER33" s="138" t="e">
        <f>IF(VLOOKUP(CONCATENATE(H33,F33,ER$2),Matemáticas!$A:$H,7,FALSE)=BF33,1,0)</f>
        <v>#N/A</v>
      </c>
      <c r="ES33" s="138" t="e">
        <f>IF(VLOOKUP(CONCATENATE(H33,F33,ES$2),Matemáticas!$A:$H,7,FALSE)=BG33,1,0)</f>
        <v>#N/A</v>
      </c>
      <c r="ET33" s="138" t="e">
        <f>IF(VLOOKUP(CONCATENATE(H33,F33,ET$2),Matemáticas!$A:$H,7,FALSE)=BH33,1,0)</f>
        <v>#N/A</v>
      </c>
      <c r="EU33" s="138" t="e">
        <f>IF(VLOOKUP(CONCATENATE(H33,F33,EU$2),Matemáticas!$A:$H,7,FALSE)=BI33,1,0)</f>
        <v>#N/A</v>
      </c>
      <c r="EV33" s="138" t="e">
        <f>IF(VLOOKUP(CONCATENATE(H33,F33,EV$2),Ciencias!$A:$H,7,FALSE)=BJ33,1,0)</f>
        <v>#N/A</v>
      </c>
      <c r="EW33" s="138" t="e">
        <f>IF(VLOOKUP(CONCATENATE(H33,F33,EW$2),Ciencias!$A:$H,7,FALSE)=BK33,1,0)</f>
        <v>#N/A</v>
      </c>
      <c r="EX33" s="138" t="e">
        <f>IF(VLOOKUP(CONCATENATE(H33,F33,EX$2),Ciencias!$A:$H,7,FALSE)=BL33,1,0)</f>
        <v>#N/A</v>
      </c>
      <c r="EY33" s="138" t="e">
        <f>IF(VLOOKUP(CONCATENATE(H33,F33,EY$2),Ciencias!$A:$H,7,FALSE)=BM33,1,0)</f>
        <v>#N/A</v>
      </c>
      <c r="EZ33" s="138" t="e">
        <f>IF(VLOOKUP(CONCATENATE(H33,F33,EZ$2),Ciencias!$A:$H,7,FALSE)=BN33,1,0)</f>
        <v>#N/A</v>
      </c>
      <c r="FA33" s="138" t="e">
        <f>IF(VLOOKUP(CONCATENATE(H33,F33,FA$2),Ciencias!$A:$H,7,FALSE)=BO33,1,0)</f>
        <v>#N/A</v>
      </c>
      <c r="FB33" s="138" t="e">
        <f>IF(VLOOKUP(CONCATENATE(H33,F33,FB$2),Ciencias!$A:$H,7,FALSE)=BP33,1,0)</f>
        <v>#N/A</v>
      </c>
      <c r="FC33" s="138" t="e">
        <f>IF(VLOOKUP(CONCATENATE(H33,F33,FC$2),Ciencias!$A:$H,7,FALSE)=BQ33,1,0)</f>
        <v>#N/A</v>
      </c>
      <c r="FD33" s="138" t="e">
        <f>IF(VLOOKUP(CONCATENATE(H33,F33,FD$2),Ciencias!$A:$H,7,FALSE)=BR33,1,0)</f>
        <v>#N/A</v>
      </c>
      <c r="FE33" s="138" t="e">
        <f>IF(VLOOKUP(CONCATENATE(H33,F33,FE$2),Ciencias!$A:$H,7,FALSE)=BS33,1,0)</f>
        <v>#N/A</v>
      </c>
      <c r="FF33" s="138" t="e">
        <f>IF(VLOOKUP(CONCATENATE(H33,F33,FF$2),Ciencias!$A:$H,7,FALSE)=BT33,1,0)</f>
        <v>#N/A</v>
      </c>
      <c r="FG33" s="138" t="e">
        <f>IF(VLOOKUP(CONCATENATE(H33,F33,FG$2),Ciencias!$A:$H,7,FALSE)=BU33,1,0)</f>
        <v>#N/A</v>
      </c>
      <c r="FH33" s="138" t="e">
        <f>IF(VLOOKUP(CONCATENATE(H33,F33,FH$2),Ciencias!$A:$H,7,FALSE)=BV33,1,0)</f>
        <v>#N/A</v>
      </c>
      <c r="FI33" s="138" t="e">
        <f>IF(VLOOKUP(CONCATENATE(H33,F33,FI$2),Ciencias!$A:$H,7,FALSE)=BW33,1,0)</f>
        <v>#N/A</v>
      </c>
      <c r="FJ33" s="138" t="e">
        <f>IF(VLOOKUP(CONCATENATE(H33,F33,FJ$2),Ciencias!$A:$H,7,FALSE)=BX33,1,0)</f>
        <v>#N/A</v>
      </c>
      <c r="FK33" s="138" t="e">
        <f>IF(VLOOKUP(CONCATENATE(H33,F33,FK$2),Ciencias!$A:$H,7,FALSE)=BY33,1,0)</f>
        <v>#N/A</v>
      </c>
      <c r="FL33" s="138" t="e">
        <f>IF(VLOOKUP(CONCATENATE(H33,F33,FL$2),Ciencias!$A:$H,7,FALSE)=BZ33,1,0)</f>
        <v>#N/A</v>
      </c>
      <c r="FM33" s="138" t="e">
        <f>IF(VLOOKUP(CONCATENATE(H33,F33,FM$2),Ciencias!$A:$H,7,FALSE)=CA33,1,0)</f>
        <v>#N/A</v>
      </c>
      <c r="FN33" s="138" t="e">
        <f>IF(VLOOKUP(CONCATENATE(H33,F33,FN$2),Ciencias!$A:$H,7,FALSE)=CB33,1,0)</f>
        <v>#N/A</v>
      </c>
      <c r="FO33" s="138" t="e">
        <f>IF(VLOOKUP(CONCATENATE(H33,F33,FO$2),Ciencias!$A:$H,7,FALSE)=CC33,1,0)</f>
        <v>#N/A</v>
      </c>
      <c r="FP33" s="138" t="e">
        <f>IF(VLOOKUP(CONCATENATE(H33,F33,FP$2),GeoHis!$A:$H,7,FALSE)=CD33,1,0)</f>
        <v>#N/A</v>
      </c>
      <c r="FQ33" s="138" t="e">
        <f>IF(VLOOKUP(CONCATENATE(H33,F33,FQ$2),GeoHis!$A:$H,7,FALSE)=CE33,1,0)</f>
        <v>#N/A</v>
      </c>
      <c r="FR33" s="138" t="e">
        <f>IF(VLOOKUP(CONCATENATE(H33,F33,FR$2),GeoHis!$A:$H,7,FALSE)=CF33,1,0)</f>
        <v>#N/A</v>
      </c>
      <c r="FS33" s="138" t="e">
        <f>IF(VLOOKUP(CONCATENATE(H33,F33,FS$2),GeoHis!$A:$H,7,FALSE)=CG33,1,0)</f>
        <v>#N/A</v>
      </c>
      <c r="FT33" s="138" t="e">
        <f>IF(VLOOKUP(CONCATENATE(H33,F33,FT$2),GeoHis!$A:$H,7,FALSE)=CH33,1,0)</f>
        <v>#N/A</v>
      </c>
      <c r="FU33" s="138" t="e">
        <f>IF(VLOOKUP(CONCATENATE(H33,F33,FU$2),GeoHis!$A:$H,7,FALSE)=CI33,1,0)</f>
        <v>#N/A</v>
      </c>
      <c r="FV33" s="138" t="e">
        <f>IF(VLOOKUP(CONCATENATE(H33,F33,FV$2),GeoHis!$A:$H,7,FALSE)=CJ33,1,0)</f>
        <v>#N/A</v>
      </c>
      <c r="FW33" s="138" t="e">
        <f>IF(VLOOKUP(CONCATENATE(H33,F33,FW$2),GeoHis!$A:$H,7,FALSE)=CK33,1,0)</f>
        <v>#N/A</v>
      </c>
      <c r="FX33" s="138" t="e">
        <f>IF(VLOOKUP(CONCATENATE(H33,F33,FX$2),GeoHis!$A:$H,7,FALSE)=CL33,1,0)</f>
        <v>#N/A</v>
      </c>
      <c r="FY33" s="138" t="e">
        <f>IF(VLOOKUP(CONCATENATE(H33,F33,FY$2),GeoHis!$A:$H,7,FALSE)=CM33,1,0)</f>
        <v>#N/A</v>
      </c>
      <c r="FZ33" s="138" t="e">
        <f>IF(VLOOKUP(CONCATENATE(H33,F33,FZ$2),GeoHis!$A:$H,7,FALSE)=CN33,1,0)</f>
        <v>#N/A</v>
      </c>
      <c r="GA33" s="138" t="e">
        <f>IF(VLOOKUP(CONCATENATE(H33,F33,GA$2),GeoHis!$A:$H,7,FALSE)=CO33,1,0)</f>
        <v>#N/A</v>
      </c>
      <c r="GB33" s="138" t="e">
        <f>IF(VLOOKUP(CONCATENATE(H33,F33,GB$2),GeoHis!$A:$H,7,FALSE)=CP33,1,0)</f>
        <v>#N/A</v>
      </c>
      <c r="GC33" s="138" t="e">
        <f>IF(VLOOKUP(CONCATENATE(H33,F33,GC$2),GeoHis!$A:$H,7,FALSE)=CQ33,1,0)</f>
        <v>#N/A</v>
      </c>
      <c r="GD33" s="138" t="e">
        <f>IF(VLOOKUP(CONCATENATE(H33,F33,GD$2),GeoHis!$A:$H,7,FALSE)=CR33,1,0)</f>
        <v>#N/A</v>
      </c>
      <c r="GE33" s="135" t="str">
        <f t="shared" si="6"/>
        <v/>
      </c>
    </row>
    <row r="34" spans="1:187" x14ac:dyDescent="0.25">
      <c r="A34" s="127" t="str">
        <f>IF(C34="","",'Datos Generales'!$A$25)</f>
        <v/>
      </c>
      <c r="D34" s="126" t="str">
        <f t="shared" si="0"/>
        <v/>
      </c>
      <c r="E34" s="126">
        <f t="shared" si="1"/>
        <v>0</v>
      </c>
      <c r="F34" s="126" t="str">
        <f t="shared" si="7"/>
        <v/>
      </c>
      <c r="G34" s="126" t="str">
        <f>IF(C34="","",'Datos Generales'!$D$19)</f>
        <v/>
      </c>
      <c r="H34" s="21" t="str">
        <f>IF(C34="","",'Datos Generales'!$A$19)</f>
        <v/>
      </c>
      <c r="I34" s="126" t="str">
        <f>IF(C34="","",'Datos Generales'!$A$7)</f>
        <v/>
      </c>
      <c r="J34" s="21" t="str">
        <f>IF(C34="","",'Datos Generales'!$A$13)</f>
        <v/>
      </c>
      <c r="K34" s="21" t="str">
        <f>IF(C34="","",'Datos Generales'!$A$10)</f>
        <v/>
      </c>
      <c r="CS34" s="142" t="str">
        <f t="shared" si="2"/>
        <v/>
      </c>
      <c r="CT34" s="142" t="str">
        <f t="shared" si="3"/>
        <v/>
      </c>
      <c r="CU34" s="142" t="str">
        <f t="shared" si="4"/>
        <v/>
      </c>
      <c r="CV34" s="142" t="str">
        <f t="shared" si="5"/>
        <v/>
      </c>
      <c r="CW34" s="142" t="str">
        <f>IF(C34="","",IF('Datos Generales'!$A$19=1,AVERAGE(FP34:GD34),AVERAGE(Captura!FP34:FY34)))</f>
        <v/>
      </c>
      <c r="CX34" s="138" t="e">
        <f>IF(VLOOKUP(CONCATENATE($H$4,$F$4,CX$2),Español!$A:$H,7,FALSE)=L34,1,0)</f>
        <v>#N/A</v>
      </c>
      <c r="CY34" s="138" t="e">
        <f>IF(VLOOKUP(CONCATENATE(H34,F34,CY$2),Español!$A:$H,7,FALSE)=M34,1,0)</f>
        <v>#N/A</v>
      </c>
      <c r="CZ34" s="138" t="e">
        <f>IF(VLOOKUP(CONCATENATE(H34,F34,CZ$2),Español!$A:$H,7,FALSE)=N34,1,0)</f>
        <v>#N/A</v>
      </c>
      <c r="DA34" s="138" t="e">
        <f>IF(VLOOKUP(CONCATENATE(H34,F34,DA$2),Español!$A:$H,7,FALSE)=O34,1,0)</f>
        <v>#N/A</v>
      </c>
      <c r="DB34" s="138" t="e">
        <f>IF(VLOOKUP(CONCATENATE(H34,F34,DB$2),Español!$A:$H,7,FALSE)=P34,1,0)</f>
        <v>#N/A</v>
      </c>
      <c r="DC34" s="138" t="e">
        <f>IF(VLOOKUP(CONCATENATE(H34,F34,DC$2),Español!$A:$H,7,FALSE)=Q34,1,0)</f>
        <v>#N/A</v>
      </c>
      <c r="DD34" s="138" t="e">
        <f>IF(VLOOKUP(CONCATENATE(H34,F34,DD$2),Español!$A:$H,7,FALSE)=R34,1,0)</f>
        <v>#N/A</v>
      </c>
      <c r="DE34" s="138" t="e">
        <f>IF(VLOOKUP(CONCATENATE(H34,F34,DE$2),Español!$A:$H,7,FALSE)=S34,1,0)</f>
        <v>#N/A</v>
      </c>
      <c r="DF34" s="138" t="e">
        <f>IF(VLOOKUP(CONCATENATE(H34,F34,DF$2),Español!$A:$H,7,FALSE)=T34,1,0)</f>
        <v>#N/A</v>
      </c>
      <c r="DG34" s="138" t="e">
        <f>IF(VLOOKUP(CONCATENATE(H34,F34,DG$2),Español!$A:$H,7,FALSE)=U34,1,0)</f>
        <v>#N/A</v>
      </c>
      <c r="DH34" s="138" t="e">
        <f>IF(VLOOKUP(CONCATENATE(H34,F34,DH$2),Español!$A:$H,7,FALSE)=V34,1,0)</f>
        <v>#N/A</v>
      </c>
      <c r="DI34" s="138" t="e">
        <f>IF(VLOOKUP(CONCATENATE(H34,F34,DI$2),Español!$A:$H,7,FALSE)=W34,1,0)</f>
        <v>#N/A</v>
      </c>
      <c r="DJ34" s="138" t="e">
        <f>IF(VLOOKUP(CONCATENATE(H34,F34,DJ$2),Español!$A:$H,7,FALSE)=X34,1,0)</f>
        <v>#N/A</v>
      </c>
      <c r="DK34" s="138" t="e">
        <f>IF(VLOOKUP(CONCATENATE(H34,F34,DK$2),Español!$A:$H,7,FALSE)=Y34,1,0)</f>
        <v>#N/A</v>
      </c>
      <c r="DL34" s="138" t="e">
        <f>IF(VLOOKUP(CONCATENATE(H34,F34,DL$2),Español!$A:$H,7,FALSE)=Z34,1,0)</f>
        <v>#N/A</v>
      </c>
      <c r="DM34" s="138" t="e">
        <f>IF(VLOOKUP(CONCATENATE(H34,F34,DM$2),Español!$A:$H,7,FALSE)=AA34,1,0)</f>
        <v>#N/A</v>
      </c>
      <c r="DN34" s="138" t="e">
        <f>IF(VLOOKUP(CONCATENATE(H34,F34,DN$2),Español!$A:$H,7,FALSE)=AB34,1,0)</f>
        <v>#N/A</v>
      </c>
      <c r="DO34" s="138" t="e">
        <f>IF(VLOOKUP(CONCATENATE(H34,F34,DO$2),Español!$A:$H,7,FALSE)=AC34,1,0)</f>
        <v>#N/A</v>
      </c>
      <c r="DP34" s="138" t="e">
        <f>IF(VLOOKUP(CONCATENATE(H34,F34,DP$2),Español!$A:$H,7,FALSE)=AD34,1,0)</f>
        <v>#N/A</v>
      </c>
      <c r="DQ34" s="138" t="e">
        <f>IF(VLOOKUP(CONCATENATE(H34,F34,DQ$2),Español!$A:$H,7,FALSE)=AE34,1,0)</f>
        <v>#N/A</v>
      </c>
      <c r="DR34" s="138" t="e">
        <f>IF(VLOOKUP(CONCATENATE(H34,F34,DR$2),Inglés!$A:$H,7,FALSE)=AF34,1,0)</f>
        <v>#N/A</v>
      </c>
      <c r="DS34" s="138" t="e">
        <f>IF(VLOOKUP(CONCATENATE(H34,F34,DS$2),Inglés!$A:$H,7,FALSE)=AG34,1,0)</f>
        <v>#N/A</v>
      </c>
      <c r="DT34" s="138" t="e">
        <f>IF(VLOOKUP(CONCATENATE(H34,F34,DT$2),Inglés!$A:$H,7,FALSE)=AH34,1,0)</f>
        <v>#N/A</v>
      </c>
      <c r="DU34" s="138" t="e">
        <f>IF(VLOOKUP(CONCATENATE(H34,F34,DU$2),Inglés!$A:$H,7,FALSE)=AI34,1,0)</f>
        <v>#N/A</v>
      </c>
      <c r="DV34" s="138" t="e">
        <f>IF(VLOOKUP(CONCATENATE(H34,F34,DV$2),Inglés!$A:$H,7,FALSE)=AJ34,1,0)</f>
        <v>#N/A</v>
      </c>
      <c r="DW34" s="138" t="e">
        <f>IF(VLOOKUP(CONCATENATE(H34,F34,DW$2),Inglés!$A:$H,7,FALSE)=AK34,1,0)</f>
        <v>#N/A</v>
      </c>
      <c r="DX34" s="138" t="e">
        <f>IF(VLOOKUP(CONCATENATE(H34,F34,DX$2),Inglés!$A:$H,7,FALSE)=AL34,1,0)</f>
        <v>#N/A</v>
      </c>
      <c r="DY34" s="138" t="e">
        <f>IF(VLOOKUP(CONCATENATE(H34,F34,DY$2),Inglés!$A:$H,7,FALSE)=AM34,1,0)</f>
        <v>#N/A</v>
      </c>
      <c r="DZ34" s="138" t="e">
        <f>IF(VLOOKUP(CONCATENATE(H34,F34,DZ$2),Inglés!$A:$H,7,FALSE)=AN34,1,0)</f>
        <v>#N/A</v>
      </c>
      <c r="EA34" s="138" t="e">
        <f>IF(VLOOKUP(CONCATENATE(H34,F34,EA$2),Inglés!$A:$H,7,FALSE)=AO34,1,0)</f>
        <v>#N/A</v>
      </c>
      <c r="EB34" s="138" t="e">
        <f>IF(VLOOKUP(CONCATENATE(H34,F34,EB$2),Matemáticas!$A:$H,7,FALSE)=AP34,1,0)</f>
        <v>#N/A</v>
      </c>
      <c r="EC34" s="138" t="e">
        <f>IF(VLOOKUP(CONCATENATE(H34,F34,EC$2),Matemáticas!$A:$H,7,FALSE)=AQ34,1,0)</f>
        <v>#N/A</v>
      </c>
      <c r="ED34" s="138" t="e">
        <f>IF(VLOOKUP(CONCATENATE(H34,F34,ED$2),Matemáticas!$A:$H,7,FALSE)=AR34,1,0)</f>
        <v>#N/A</v>
      </c>
      <c r="EE34" s="138" t="e">
        <f>IF(VLOOKUP(CONCATENATE(H34,F34,EE$2),Matemáticas!$A:$H,7,FALSE)=AS34,1,0)</f>
        <v>#N/A</v>
      </c>
      <c r="EF34" s="138" t="e">
        <f>IF(VLOOKUP(CONCATENATE(H34,F34,EF$2),Matemáticas!$A:$H,7,FALSE)=AT34,1,0)</f>
        <v>#N/A</v>
      </c>
      <c r="EG34" s="138" t="e">
        <f>IF(VLOOKUP(CONCATENATE(H34,F34,EG$2),Matemáticas!$A:$H,7,FALSE)=AU34,1,0)</f>
        <v>#N/A</v>
      </c>
      <c r="EH34" s="138" t="e">
        <f>IF(VLOOKUP(CONCATENATE(H34,F34,EH$2),Matemáticas!$A:$H,7,FALSE)=AV34,1,0)</f>
        <v>#N/A</v>
      </c>
      <c r="EI34" s="138" t="e">
        <f>IF(VLOOKUP(CONCATENATE(H34,F34,EI$2),Matemáticas!$A:$H,7,FALSE)=AW34,1,0)</f>
        <v>#N/A</v>
      </c>
      <c r="EJ34" s="138" t="e">
        <f>IF(VLOOKUP(CONCATENATE(H34,F34,EJ$2),Matemáticas!$A:$H,7,FALSE)=AX34,1,0)</f>
        <v>#N/A</v>
      </c>
      <c r="EK34" s="138" t="e">
        <f>IF(VLOOKUP(CONCATENATE(H34,F34,EK$2),Matemáticas!$A:$H,7,FALSE)=AY34,1,0)</f>
        <v>#N/A</v>
      </c>
      <c r="EL34" s="138" t="e">
        <f>IF(VLOOKUP(CONCATENATE(H34,F34,EL$2),Matemáticas!$A:$H,7,FALSE)=AZ34,1,0)</f>
        <v>#N/A</v>
      </c>
      <c r="EM34" s="138" t="e">
        <f>IF(VLOOKUP(CONCATENATE(H34,F34,EM$2),Matemáticas!$A:$H,7,FALSE)=BA34,1,0)</f>
        <v>#N/A</v>
      </c>
      <c r="EN34" s="138" t="e">
        <f>IF(VLOOKUP(CONCATENATE(H34,F34,EN$2),Matemáticas!$A:$H,7,FALSE)=BB34,1,0)</f>
        <v>#N/A</v>
      </c>
      <c r="EO34" s="138" t="e">
        <f>IF(VLOOKUP(CONCATENATE(H34,F34,EO$2),Matemáticas!$A:$H,7,FALSE)=BC34,1,0)</f>
        <v>#N/A</v>
      </c>
      <c r="EP34" s="138" t="e">
        <f>IF(VLOOKUP(CONCATENATE(H34,F34,EP$2),Matemáticas!$A:$H,7,FALSE)=BD34,1,0)</f>
        <v>#N/A</v>
      </c>
      <c r="EQ34" s="138" t="e">
        <f>IF(VLOOKUP(CONCATENATE(H34,F34,EQ$2),Matemáticas!$A:$H,7,FALSE)=BE34,1,0)</f>
        <v>#N/A</v>
      </c>
      <c r="ER34" s="138" t="e">
        <f>IF(VLOOKUP(CONCATENATE(H34,F34,ER$2),Matemáticas!$A:$H,7,FALSE)=BF34,1,0)</f>
        <v>#N/A</v>
      </c>
      <c r="ES34" s="138" t="e">
        <f>IF(VLOOKUP(CONCATENATE(H34,F34,ES$2),Matemáticas!$A:$H,7,FALSE)=BG34,1,0)</f>
        <v>#N/A</v>
      </c>
      <c r="ET34" s="138" t="e">
        <f>IF(VLOOKUP(CONCATENATE(H34,F34,ET$2),Matemáticas!$A:$H,7,FALSE)=BH34,1,0)</f>
        <v>#N/A</v>
      </c>
      <c r="EU34" s="138" t="e">
        <f>IF(VLOOKUP(CONCATENATE(H34,F34,EU$2),Matemáticas!$A:$H,7,FALSE)=BI34,1,0)</f>
        <v>#N/A</v>
      </c>
      <c r="EV34" s="138" t="e">
        <f>IF(VLOOKUP(CONCATENATE(H34,F34,EV$2),Ciencias!$A:$H,7,FALSE)=BJ34,1,0)</f>
        <v>#N/A</v>
      </c>
      <c r="EW34" s="138" t="e">
        <f>IF(VLOOKUP(CONCATENATE(H34,F34,EW$2),Ciencias!$A:$H,7,FALSE)=BK34,1,0)</f>
        <v>#N/A</v>
      </c>
      <c r="EX34" s="138" t="e">
        <f>IF(VLOOKUP(CONCATENATE(H34,F34,EX$2),Ciencias!$A:$H,7,FALSE)=BL34,1,0)</f>
        <v>#N/A</v>
      </c>
      <c r="EY34" s="138" t="e">
        <f>IF(VLOOKUP(CONCATENATE(H34,F34,EY$2),Ciencias!$A:$H,7,FALSE)=BM34,1,0)</f>
        <v>#N/A</v>
      </c>
      <c r="EZ34" s="138" t="e">
        <f>IF(VLOOKUP(CONCATENATE(H34,F34,EZ$2),Ciencias!$A:$H,7,FALSE)=BN34,1,0)</f>
        <v>#N/A</v>
      </c>
      <c r="FA34" s="138" t="e">
        <f>IF(VLOOKUP(CONCATENATE(H34,F34,FA$2),Ciencias!$A:$H,7,FALSE)=BO34,1,0)</f>
        <v>#N/A</v>
      </c>
      <c r="FB34" s="138" t="e">
        <f>IF(VLOOKUP(CONCATENATE(H34,F34,FB$2),Ciencias!$A:$H,7,FALSE)=BP34,1,0)</f>
        <v>#N/A</v>
      </c>
      <c r="FC34" s="138" t="e">
        <f>IF(VLOOKUP(CONCATENATE(H34,F34,FC$2),Ciencias!$A:$H,7,FALSE)=BQ34,1,0)</f>
        <v>#N/A</v>
      </c>
      <c r="FD34" s="138" t="e">
        <f>IF(VLOOKUP(CONCATENATE(H34,F34,FD$2),Ciencias!$A:$H,7,FALSE)=BR34,1,0)</f>
        <v>#N/A</v>
      </c>
      <c r="FE34" s="138" t="e">
        <f>IF(VLOOKUP(CONCATENATE(H34,F34,FE$2),Ciencias!$A:$H,7,FALSE)=BS34,1,0)</f>
        <v>#N/A</v>
      </c>
      <c r="FF34" s="138" t="e">
        <f>IF(VLOOKUP(CONCATENATE(H34,F34,FF$2),Ciencias!$A:$H,7,FALSE)=BT34,1,0)</f>
        <v>#N/A</v>
      </c>
      <c r="FG34" s="138" t="e">
        <f>IF(VLOOKUP(CONCATENATE(H34,F34,FG$2),Ciencias!$A:$H,7,FALSE)=BU34,1,0)</f>
        <v>#N/A</v>
      </c>
      <c r="FH34" s="138" t="e">
        <f>IF(VLOOKUP(CONCATENATE(H34,F34,FH$2),Ciencias!$A:$H,7,FALSE)=BV34,1,0)</f>
        <v>#N/A</v>
      </c>
      <c r="FI34" s="138" t="e">
        <f>IF(VLOOKUP(CONCATENATE(H34,F34,FI$2),Ciencias!$A:$H,7,FALSE)=BW34,1,0)</f>
        <v>#N/A</v>
      </c>
      <c r="FJ34" s="138" t="e">
        <f>IF(VLOOKUP(CONCATENATE(H34,F34,FJ$2),Ciencias!$A:$H,7,FALSE)=BX34,1,0)</f>
        <v>#N/A</v>
      </c>
      <c r="FK34" s="138" t="e">
        <f>IF(VLOOKUP(CONCATENATE(H34,F34,FK$2),Ciencias!$A:$H,7,FALSE)=BY34,1,0)</f>
        <v>#N/A</v>
      </c>
      <c r="FL34" s="138" t="e">
        <f>IF(VLOOKUP(CONCATENATE(H34,F34,FL$2),Ciencias!$A:$H,7,FALSE)=BZ34,1,0)</f>
        <v>#N/A</v>
      </c>
      <c r="FM34" s="138" t="e">
        <f>IF(VLOOKUP(CONCATENATE(H34,F34,FM$2),Ciencias!$A:$H,7,FALSE)=CA34,1,0)</f>
        <v>#N/A</v>
      </c>
      <c r="FN34" s="138" t="e">
        <f>IF(VLOOKUP(CONCATENATE(H34,F34,FN$2),Ciencias!$A:$H,7,FALSE)=CB34,1,0)</f>
        <v>#N/A</v>
      </c>
      <c r="FO34" s="138" t="e">
        <f>IF(VLOOKUP(CONCATENATE(H34,F34,FO$2),Ciencias!$A:$H,7,FALSE)=CC34,1,0)</f>
        <v>#N/A</v>
      </c>
      <c r="FP34" s="138" t="e">
        <f>IF(VLOOKUP(CONCATENATE(H34,F34,FP$2),GeoHis!$A:$H,7,FALSE)=CD34,1,0)</f>
        <v>#N/A</v>
      </c>
      <c r="FQ34" s="138" t="e">
        <f>IF(VLOOKUP(CONCATENATE(H34,F34,FQ$2),GeoHis!$A:$H,7,FALSE)=CE34,1,0)</f>
        <v>#N/A</v>
      </c>
      <c r="FR34" s="138" t="e">
        <f>IF(VLOOKUP(CONCATENATE(H34,F34,FR$2),GeoHis!$A:$H,7,FALSE)=CF34,1,0)</f>
        <v>#N/A</v>
      </c>
      <c r="FS34" s="138" t="e">
        <f>IF(VLOOKUP(CONCATENATE(H34,F34,FS$2),GeoHis!$A:$H,7,FALSE)=CG34,1,0)</f>
        <v>#N/A</v>
      </c>
      <c r="FT34" s="138" t="e">
        <f>IF(VLOOKUP(CONCATENATE(H34,F34,FT$2),GeoHis!$A:$H,7,FALSE)=CH34,1,0)</f>
        <v>#N/A</v>
      </c>
      <c r="FU34" s="138" t="e">
        <f>IF(VLOOKUP(CONCATENATE(H34,F34,FU$2),GeoHis!$A:$H,7,FALSE)=CI34,1,0)</f>
        <v>#N/A</v>
      </c>
      <c r="FV34" s="138" t="e">
        <f>IF(VLOOKUP(CONCATENATE(H34,F34,FV$2),GeoHis!$A:$H,7,FALSE)=CJ34,1,0)</f>
        <v>#N/A</v>
      </c>
      <c r="FW34" s="138" t="e">
        <f>IF(VLOOKUP(CONCATENATE(H34,F34,FW$2),GeoHis!$A:$H,7,FALSE)=CK34,1,0)</f>
        <v>#N/A</v>
      </c>
      <c r="FX34" s="138" t="e">
        <f>IF(VLOOKUP(CONCATENATE(H34,F34,FX$2),GeoHis!$A:$H,7,FALSE)=CL34,1,0)</f>
        <v>#N/A</v>
      </c>
      <c r="FY34" s="138" t="e">
        <f>IF(VLOOKUP(CONCATENATE(H34,F34,FY$2),GeoHis!$A:$H,7,FALSE)=CM34,1,0)</f>
        <v>#N/A</v>
      </c>
      <c r="FZ34" s="138" t="e">
        <f>IF(VLOOKUP(CONCATENATE(H34,F34,FZ$2),GeoHis!$A:$H,7,FALSE)=CN34,1,0)</f>
        <v>#N/A</v>
      </c>
      <c r="GA34" s="138" t="e">
        <f>IF(VLOOKUP(CONCATENATE(H34,F34,GA$2),GeoHis!$A:$H,7,FALSE)=CO34,1,0)</f>
        <v>#N/A</v>
      </c>
      <c r="GB34" s="138" t="e">
        <f>IF(VLOOKUP(CONCATENATE(H34,F34,GB$2),GeoHis!$A:$H,7,FALSE)=CP34,1,0)</f>
        <v>#N/A</v>
      </c>
      <c r="GC34" s="138" t="e">
        <f>IF(VLOOKUP(CONCATENATE(H34,F34,GC$2),GeoHis!$A:$H,7,FALSE)=CQ34,1,0)</f>
        <v>#N/A</v>
      </c>
      <c r="GD34" s="138" t="e">
        <f>IF(VLOOKUP(CONCATENATE(H34,F34,GD$2),GeoHis!$A:$H,7,FALSE)=CR34,1,0)</f>
        <v>#N/A</v>
      </c>
      <c r="GE34" s="135" t="str">
        <f t="shared" si="6"/>
        <v/>
      </c>
    </row>
    <row r="35" spans="1:187" x14ac:dyDescent="0.25">
      <c r="A35" s="127" t="str">
        <f>IF(C35="","",'Datos Generales'!$A$25)</f>
        <v/>
      </c>
      <c r="D35" s="126" t="str">
        <f t="shared" si="0"/>
        <v/>
      </c>
      <c r="E35" s="126">
        <f t="shared" si="1"/>
        <v>0</v>
      </c>
      <c r="F35" s="126" t="str">
        <f t="shared" si="7"/>
        <v/>
      </c>
      <c r="G35" s="126" t="str">
        <f>IF(C35="","",'Datos Generales'!$D$19)</f>
        <v/>
      </c>
      <c r="H35" s="21" t="str">
        <f>IF(C35="","",'Datos Generales'!$A$19)</f>
        <v/>
      </c>
      <c r="I35" s="126" t="str">
        <f>IF(C35="","",'Datos Generales'!$A$7)</f>
        <v/>
      </c>
      <c r="J35" s="21" t="str">
        <f>IF(C35="","",'Datos Generales'!$A$13)</f>
        <v/>
      </c>
      <c r="K35" s="21" t="str">
        <f>IF(C35="","",'Datos Generales'!$A$10)</f>
        <v/>
      </c>
      <c r="CS35" s="142" t="str">
        <f t="shared" si="2"/>
        <v/>
      </c>
      <c r="CT35" s="142" t="str">
        <f t="shared" si="3"/>
        <v/>
      </c>
      <c r="CU35" s="142" t="str">
        <f t="shared" si="4"/>
        <v/>
      </c>
      <c r="CV35" s="142" t="str">
        <f t="shared" si="5"/>
        <v/>
      </c>
      <c r="CW35" s="142" t="str">
        <f>IF(C35="","",IF('Datos Generales'!$A$19=1,AVERAGE(FP35:GD35),AVERAGE(Captura!FP35:FY35)))</f>
        <v/>
      </c>
      <c r="CX35" s="138" t="e">
        <f>IF(VLOOKUP(CONCATENATE($H$4,$F$4,CX$2),Español!$A:$H,7,FALSE)=L35,1,0)</f>
        <v>#N/A</v>
      </c>
      <c r="CY35" s="138" t="e">
        <f>IF(VLOOKUP(CONCATENATE(H35,F35,CY$2),Español!$A:$H,7,FALSE)=M35,1,0)</f>
        <v>#N/A</v>
      </c>
      <c r="CZ35" s="138" t="e">
        <f>IF(VLOOKUP(CONCATENATE(H35,F35,CZ$2),Español!$A:$H,7,FALSE)=N35,1,0)</f>
        <v>#N/A</v>
      </c>
      <c r="DA35" s="138" t="e">
        <f>IF(VLOOKUP(CONCATENATE(H35,F35,DA$2),Español!$A:$H,7,FALSE)=O35,1,0)</f>
        <v>#N/A</v>
      </c>
      <c r="DB35" s="138" t="e">
        <f>IF(VLOOKUP(CONCATENATE(H35,F35,DB$2),Español!$A:$H,7,FALSE)=P35,1,0)</f>
        <v>#N/A</v>
      </c>
      <c r="DC35" s="138" t="e">
        <f>IF(VLOOKUP(CONCATENATE(H35,F35,DC$2),Español!$A:$H,7,FALSE)=Q35,1,0)</f>
        <v>#N/A</v>
      </c>
      <c r="DD35" s="138" t="e">
        <f>IF(VLOOKUP(CONCATENATE(H35,F35,DD$2),Español!$A:$H,7,FALSE)=R35,1,0)</f>
        <v>#N/A</v>
      </c>
      <c r="DE35" s="138" t="e">
        <f>IF(VLOOKUP(CONCATENATE(H35,F35,DE$2),Español!$A:$H,7,FALSE)=S35,1,0)</f>
        <v>#N/A</v>
      </c>
      <c r="DF35" s="138" t="e">
        <f>IF(VLOOKUP(CONCATENATE(H35,F35,DF$2),Español!$A:$H,7,FALSE)=T35,1,0)</f>
        <v>#N/A</v>
      </c>
      <c r="DG35" s="138" t="e">
        <f>IF(VLOOKUP(CONCATENATE(H35,F35,DG$2),Español!$A:$H,7,FALSE)=U35,1,0)</f>
        <v>#N/A</v>
      </c>
      <c r="DH35" s="138" t="e">
        <f>IF(VLOOKUP(CONCATENATE(H35,F35,DH$2),Español!$A:$H,7,FALSE)=V35,1,0)</f>
        <v>#N/A</v>
      </c>
      <c r="DI35" s="138" t="e">
        <f>IF(VLOOKUP(CONCATENATE(H35,F35,DI$2),Español!$A:$H,7,FALSE)=W35,1,0)</f>
        <v>#N/A</v>
      </c>
      <c r="DJ35" s="138" t="e">
        <f>IF(VLOOKUP(CONCATENATE(H35,F35,DJ$2),Español!$A:$H,7,FALSE)=X35,1,0)</f>
        <v>#N/A</v>
      </c>
      <c r="DK35" s="138" t="e">
        <f>IF(VLOOKUP(CONCATENATE(H35,F35,DK$2),Español!$A:$H,7,FALSE)=Y35,1,0)</f>
        <v>#N/A</v>
      </c>
      <c r="DL35" s="138" t="e">
        <f>IF(VLOOKUP(CONCATENATE(H35,F35,DL$2),Español!$A:$H,7,FALSE)=Z35,1,0)</f>
        <v>#N/A</v>
      </c>
      <c r="DM35" s="138" t="e">
        <f>IF(VLOOKUP(CONCATENATE(H35,F35,DM$2),Español!$A:$H,7,FALSE)=AA35,1,0)</f>
        <v>#N/A</v>
      </c>
      <c r="DN35" s="138" t="e">
        <f>IF(VLOOKUP(CONCATENATE(H35,F35,DN$2),Español!$A:$H,7,FALSE)=AB35,1,0)</f>
        <v>#N/A</v>
      </c>
      <c r="DO35" s="138" t="e">
        <f>IF(VLOOKUP(CONCATENATE(H35,F35,DO$2),Español!$A:$H,7,FALSE)=AC35,1,0)</f>
        <v>#N/A</v>
      </c>
      <c r="DP35" s="138" t="e">
        <f>IF(VLOOKUP(CONCATENATE(H35,F35,DP$2),Español!$A:$H,7,FALSE)=AD35,1,0)</f>
        <v>#N/A</v>
      </c>
      <c r="DQ35" s="138" t="e">
        <f>IF(VLOOKUP(CONCATENATE(H35,F35,DQ$2),Español!$A:$H,7,FALSE)=AE35,1,0)</f>
        <v>#N/A</v>
      </c>
      <c r="DR35" s="138" t="e">
        <f>IF(VLOOKUP(CONCATENATE(H35,F35,DR$2),Inglés!$A:$H,7,FALSE)=AF35,1,0)</f>
        <v>#N/A</v>
      </c>
      <c r="DS35" s="138" t="e">
        <f>IF(VLOOKUP(CONCATENATE(H35,F35,DS$2),Inglés!$A:$H,7,FALSE)=AG35,1,0)</f>
        <v>#N/A</v>
      </c>
      <c r="DT35" s="138" t="e">
        <f>IF(VLOOKUP(CONCATENATE(H35,F35,DT$2),Inglés!$A:$H,7,FALSE)=AH35,1,0)</f>
        <v>#N/A</v>
      </c>
      <c r="DU35" s="138" t="e">
        <f>IF(VLOOKUP(CONCATENATE(H35,F35,DU$2),Inglés!$A:$H,7,FALSE)=AI35,1,0)</f>
        <v>#N/A</v>
      </c>
      <c r="DV35" s="138" t="e">
        <f>IF(VLOOKUP(CONCATENATE(H35,F35,DV$2),Inglés!$A:$H,7,FALSE)=AJ35,1,0)</f>
        <v>#N/A</v>
      </c>
      <c r="DW35" s="138" t="e">
        <f>IF(VLOOKUP(CONCATENATE(H35,F35,DW$2),Inglés!$A:$H,7,FALSE)=AK35,1,0)</f>
        <v>#N/A</v>
      </c>
      <c r="DX35" s="138" t="e">
        <f>IF(VLOOKUP(CONCATENATE(H35,F35,DX$2),Inglés!$A:$H,7,FALSE)=AL35,1,0)</f>
        <v>#N/A</v>
      </c>
      <c r="DY35" s="138" t="e">
        <f>IF(VLOOKUP(CONCATENATE(H35,F35,DY$2),Inglés!$A:$H,7,FALSE)=AM35,1,0)</f>
        <v>#N/A</v>
      </c>
      <c r="DZ35" s="138" t="e">
        <f>IF(VLOOKUP(CONCATENATE(H35,F35,DZ$2),Inglés!$A:$H,7,FALSE)=AN35,1,0)</f>
        <v>#N/A</v>
      </c>
      <c r="EA35" s="138" t="e">
        <f>IF(VLOOKUP(CONCATENATE(H35,F35,EA$2),Inglés!$A:$H,7,FALSE)=AO35,1,0)</f>
        <v>#N/A</v>
      </c>
      <c r="EB35" s="138" t="e">
        <f>IF(VLOOKUP(CONCATENATE(H35,F35,EB$2),Matemáticas!$A:$H,7,FALSE)=AP35,1,0)</f>
        <v>#N/A</v>
      </c>
      <c r="EC35" s="138" t="e">
        <f>IF(VLOOKUP(CONCATENATE(H35,F35,EC$2),Matemáticas!$A:$H,7,FALSE)=AQ35,1,0)</f>
        <v>#N/A</v>
      </c>
      <c r="ED35" s="138" t="e">
        <f>IF(VLOOKUP(CONCATENATE(H35,F35,ED$2),Matemáticas!$A:$H,7,FALSE)=AR35,1,0)</f>
        <v>#N/A</v>
      </c>
      <c r="EE35" s="138" t="e">
        <f>IF(VLOOKUP(CONCATENATE(H35,F35,EE$2),Matemáticas!$A:$H,7,FALSE)=AS35,1,0)</f>
        <v>#N/A</v>
      </c>
      <c r="EF35" s="138" t="e">
        <f>IF(VLOOKUP(CONCATENATE(H35,F35,EF$2),Matemáticas!$A:$H,7,FALSE)=AT35,1,0)</f>
        <v>#N/A</v>
      </c>
      <c r="EG35" s="138" t="e">
        <f>IF(VLOOKUP(CONCATENATE(H35,F35,EG$2),Matemáticas!$A:$H,7,FALSE)=AU35,1,0)</f>
        <v>#N/A</v>
      </c>
      <c r="EH35" s="138" t="e">
        <f>IF(VLOOKUP(CONCATENATE(H35,F35,EH$2),Matemáticas!$A:$H,7,FALSE)=AV35,1,0)</f>
        <v>#N/A</v>
      </c>
      <c r="EI35" s="138" t="e">
        <f>IF(VLOOKUP(CONCATENATE(H35,F35,EI$2),Matemáticas!$A:$H,7,FALSE)=AW35,1,0)</f>
        <v>#N/A</v>
      </c>
      <c r="EJ35" s="138" t="e">
        <f>IF(VLOOKUP(CONCATENATE(H35,F35,EJ$2),Matemáticas!$A:$H,7,FALSE)=AX35,1,0)</f>
        <v>#N/A</v>
      </c>
      <c r="EK35" s="138" t="e">
        <f>IF(VLOOKUP(CONCATENATE(H35,F35,EK$2),Matemáticas!$A:$H,7,FALSE)=AY35,1,0)</f>
        <v>#N/A</v>
      </c>
      <c r="EL35" s="138" t="e">
        <f>IF(VLOOKUP(CONCATENATE(H35,F35,EL$2),Matemáticas!$A:$H,7,FALSE)=AZ35,1,0)</f>
        <v>#N/A</v>
      </c>
      <c r="EM35" s="138" t="e">
        <f>IF(VLOOKUP(CONCATENATE(H35,F35,EM$2),Matemáticas!$A:$H,7,FALSE)=BA35,1,0)</f>
        <v>#N/A</v>
      </c>
      <c r="EN35" s="138" t="e">
        <f>IF(VLOOKUP(CONCATENATE(H35,F35,EN$2),Matemáticas!$A:$H,7,FALSE)=BB35,1,0)</f>
        <v>#N/A</v>
      </c>
      <c r="EO35" s="138" t="e">
        <f>IF(VLOOKUP(CONCATENATE(H35,F35,EO$2),Matemáticas!$A:$H,7,FALSE)=BC35,1,0)</f>
        <v>#N/A</v>
      </c>
      <c r="EP35" s="138" t="e">
        <f>IF(VLOOKUP(CONCATENATE(H35,F35,EP$2),Matemáticas!$A:$H,7,FALSE)=BD35,1,0)</f>
        <v>#N/A</v>
      </c>
      <c r="EQ35" s="138" t="e">
        <f>IF(VLOOKUP(CONCATENATE(H35,F35,EQ$2),Matemáticas!$A:$H,7,FALSE)=BE35,1,0)</f>
        <v>#N/A</v>
      </c>
      <c r="ER35" s="138" t="e">
        <f>IF(VLOOKUP(CONCATENATE(H35,F35,ER$2),Matemáticas!$A:$H,7,FALSE)=BF35,1,0)</f>
        <v>#N/A</v>
      </c>
      <c r="ES35" s="138" t="e">
        <f>IF(VLOOKUP(CONCATENATE(H35,F35,ES$2),Matemáticas!$A:$H,7,FALSE)=BG35,1,0)</f>
        <v>#N/A</v>
      </c>
      <c r="ET35" s="138" t="e">
        <f>IF(VLOOKUP(CONCATENATE(H35,F35,ET$2),Matemáticas!$A:$H,7,FALSE)=BH35,1,0)</f>
        <v>#N/A</v>
      </c>
      <c r="EU35" s="138" t="e">
        <f>IF(VLOOKUP(CONCATENATE(H35,F35,EU$2),Matemáticas!$A:$H,7,FALSE)=BI35,1,0)</f>
        <v>#N/A</v>
      </c>
      <c r="EV35" s="138" t="e">
        <f>IF(VLOOKUP(CONCATENATE(H35,F35,EV$2),Ciencias!$A:$H,7,FALSE)=BJ35,1,0)</f>
        <v>#N/A</v>
      </c>
      <c r="EW35" s="138" t="e">
        <f>IF(VLOOKUP(CONCATENATE(H35,F35,EW$2),Ciencias!$A:$H,7,FALSE)=BK35,1,0)</f>
        <v>#N/A</v>
      </c>
      <c r="EX35" s="138" t="e">
        <f>IF(VLOOKUP(CONCATENATE(H35,F35,EX$2),Ciencias!$A:$H,7,FALSE)=BL35,1,0)</f>
        <v>#N/A</v>
      </c>
      <c r="EY35" s="138" t="e">
        <f>IF(VLOOKUP(CONCATENATE(H35,F35,EY$2),Ciencias!$A:$H,7,FALSE)=BM35,1,0)</f>
        <v>#N/A</v>
      </c>
      <c r="EZ35" s="138" t="e">
        <f>IF(VLOOKUP(CONCATENATE(H35,F35,EZ$2),Ciencias!$A:$H,7,FALSE)=BN35,1,0)</f>
        <v>#N/A</v>
      </c>
      <c r="FA35" s="138" t="e">
        <f>IF(VLOOKUP(CONCATENATE(H35,F35,FA$2),Ciencias!$A:$H,7,FALSE)=BO35,1,0)</f>
        <v>#N/A</v>
      </c>
      <c r="FB35" s="138" t="e">
        <f>IF(VLOOKUP(CONCATENATE(H35,F35,FB$2),Ciencias!$A:$H,7,FALSE)=BP35,1,0)</f>
        <v>#N/A</v>
      </c>
      <c r="FC35" s="138" t="e">
        <f>IF(VLOOKUP(CONCATENATE(H35,F35,FC$2),Ciencias!$A:$H,7,FALSE)=BQ35,1,0)</f>
        <v>#N/A</v>
      </c>
      <c r="FD35" s="138" t="e">
        <f>IF(VLOOKUP(CONCATENATE(H35,F35,FD$2),Ciencias!$A:$H,7,FALSE)=BR35,1,0)</f>
        <v>#N/A</v>
      </c>
      <c r="FE35" s="138" t="e">
        <f>IF(VLOOKUP(CONCATENATE(H35,F35,FE$2),Ciencias!$A:$H,7,FALSE)=BS35,1,0)</f>
        <v>#N/A</v>
      </c>
      <c r="FF35" s="138" t="e">
        <f>IF(VLOOKUP(CONCATENATE(H35,F35,FF$2),Ciencias!$A:$H,7,FALSE)=BT35,1,0)</f>
        <v>#N/A</v>
      </c>
      <c r="FG35" s="138" t="e">
        <f>IF(VLOOKUP(CONCATENATE(H35,F35,FG$2),Ciencias!$A:$H,7,FALSE)=BU35,1,0)</f>
        <v>#N/A</v>
      </c>
      <c r="FH35" s="138" t="e">
        <f>IF(VLOOKUP(CONCATENATE(H35,F35,FH$2),Ciencias!$A:$H,7,FALSE)=BV35,1,0)</f>
        <v>#N/A</v>
      </c>
      <c r="FI35" s="138" t="e">
        <f>IF(VLOOKUP(CONCATENATE(H35,F35,FI$2),Ciencias!$A:$H,7,FALSE)=BW35,1,0)</f>
        <v>#N/A</v>
      </c>
      <c r="FJ35" s="138" t="e">
        <f>IF(VLOOKUP(CONCATENATE(H35,F35,FJ$2),Ciencias!$A:$H,7,FALSE)=BX35,1,0)</f>
        <v>#N/A</v>
      </c>
      <c r="FK35" s="138" t="e">
        <f>IF(VLOOKUP(CONCATENATE(H35,F35,FK$2),Ciencias!$A:$H,7,FALSE)=BY35,1,0)</f>
        <v>#N/A</v>
      </c>
      <c r="FL35" s="138" t="e">
        <f>IF(VLOOKUP(CONCATENATE(H35,F35,FL$2),Ciencias!$A:$H,7,FALSE)=BZ35,1,0)</f>
        <v>#N/A</v>
      </c>
      <c r="FM35" s="138" t="e">
        <f>IF(VLOOKUP(CONCATENATE(H35,F35,FM$2),Ciencias!$A:$H,7,FALSE)=CA35,1,0)</f>
        <v>#N/A</v>
      </c>
      <c r="FN35" s="138" t="e">
        <f>IF(VLOOKUP(CONCATENATE(H35,F35,FN$2),Ciencias!$A:$H,7,FALSE)=CB35,1,0)</f>
        <v>#N/A</v>
      </c>
      <c r="FO35" s="138" t="e">
        <f>IF(VLOOKUP(CONCATENATE(H35,F35,FO$2),Ciencias!$A:$H,7,FALSE)=CC35,1,0)</f>
        <v>#N/A</v>
      </c>
      <c r="FP35" s="138" t="e">
        <f>IF(VLOOKUP(CONCATENATE(H35,F35,FP$2),GeoHis!$A:$H,7,FALSE)=CD35,1,0)</f>
        <v>#N/A</v>
      </c>
      <c r="FQ35" s="138" t="e">
        <f>IF(VLOOKUP(CONCATENATE(H35,F35,FQ$2),GeoHis!$A:$H,7,FALSE)=CE35,1,0)</f>
        <v>#N/A</v>
      </c>
      <c r="FR35" s="138" t="e">
        <f>IF(VLOOKUP(CONCATENATE(H35,F35,FR$2),GeoHis!$A:$H,7,FALSE)=CF35,1,0)</f>
        <v>#N/A</v>
      </c>
      <c r="FS35" s="138" t="e">
        <f>IF(VLOOKUP(CONCATENATE(H35,F35,FS$2),GeoHis!$A:$H,7,FALSE)=CG35,1,0)</f>
        <v>#N/A</v>
      </c>
      <c r="FT35" s="138" t="e">
        <f>IF(VLOOKUP(CONCATENATE(H35,F35,FT$2),GeoHis!$A:$H,7,FALSE)=CH35,1,0)</f>
        <v>#N/A</v>
      </c>
      <c r="FU35" s="138" t="e">
        <f>IF(VLOOKUP(CONCATENATE(H35,F35,FU$2),GeoHis!$A:$H,7,FALSE)=CI35,1,0)</f>
        <v>#N/A</v>
      </c>
      <c r="FV35" s="138" t="e">
        <f>IF(VLOOKUP(CONCATENATE(H35,F35,FV$2),GeoHis!$A:$H,7,FALSE)=CJ35,1,0)</f>
        <v>#N/A</v>
      </c>
      <c r="FW35" s="138" t="e">
        <f>IF(VLOOKUP(CONCATENATE(H35,F35,FW$2),GeoHis!$A:$H,7,FALSE)=CK35,1,0)</f>
        <v>#N/A</v>
      </c>
      <c r="FX35" s="138" t="e">
        <f>IF(VLOOKUP(CONCATENATE(H35,F35,FX$2),GeoHis!$A:$H,7,FALSE)=CL35,1,0)</f>
        <v>#N/A</v>
      </c>
      <c r="FY35" s="138" t="e">
        <f>IF(VLOOKUP(CONCATENATE(H35,F35,FY$2),GeoHis!$A:$H,7,FALSE)=CM35,1,0)</f>
        <v>#N/A</v>
      </c>
      <c r="FZ35" s="138" t="e">
        <f>IF(VLOOKUP(CONCATENATE(H35,F35,FZ$2),GeoHis!$A:$H,7,FALSE)=CN35,1,0)</f>
        <v>#N/A</v>
      </c>
      <c r="GA35" s="138" t="e">
        <f>IF(VLOOKUP(CONCATENATE(H35,F35,GA$2),GeoHis!$A:$H,7,FALSE)=CO35,1,0)</f>
        <v>#N/A</v>
      </c>
      <c r="GB35" s="138" t="e">
        <f>IF(VLOOKUP(CONCATENATE(H35,F35,GB$2),GeoHis!$A:$H,7,FALSE)=CP35,1,0)</f>
        <v>#N/A</v>
      </c>
      <c r="GC35" s="138" t="e">
        <f>IF(VLOOKUP(CONCATENATE(H35,F35,GC$2),GeoHis!$A:$H,7,FALSE)=CQ35,1,0)</f>
        <v>#N/A</v>
      </c>
      <c r="GD35" s="138" t="e">
        <f>IF(VLOOKUP(CONCATENATE(H35,F35,GD$2),GeoHis!$A:$H,7,FALSE)=CR35,1,0)</f>
        <v>#N/A</v>
      </c>
      <c r="GE35" s="135" t="str">
        <f t="shared" si="6"/>
        <v/>
      </c>
    </row>
    <row r="36" spans="1:187" x14ac:dyDescent="0.25">
      <c r="A36" s="127" t="str">
        <f>IF(C36="","",'Datos Generales'!$A$25)</f>
        <v/>
      </c>
      <c r="D36" s="126" t="str">
        <f t="shared" si="0"/>
        <v/>
      </c>
      <c r="E36" s="126">
        <f t="shared" si="1"/>
        <v>0</v>
      </c>
      <c r="F36" s="126" t="str">
        <f t="shared" si="7"/>
        <v/>
      </c>
      <c r="G36" s="126" t="str">
        <f>IF(C36="","",'Datos Generales'!$D$19)</f>
        <v/>
      </c>
      <c r="H36" s="21" t="str">
        <f>IF(C36="","",'Datos Generales'!$A$19)</f>
        <v/>
      </c>
      <c r="I36" s="126" t="str">
        <f>IF(C36="","",'Datos Generales'!$A$7)</f>
        <v/>
      </c>
      <c r="J36" s="21" t="str">
        <f>IF(C36="","",'Datos Generales'!$A$13)</f>
        <v/>
      </c>
      <c r="K36" s="21" t="str">
        <f>IF(C36="","",'Datos Generales'!$A$10)</f>
        <v/>
      </c>
      <c r="CS36" s="142" t="str">
        <f t="shared" si="2"/>
        <v/>
      </c>
      <c r="CT36" s="142" t="str">
        <f t="shared" si="3"/>
        <v/>
      </c>
      <c r="CU36" s="142" t="str">
        <f t="shared" si="4"/>
        <v/>
      </c>
      <c r="CV36" s="142" t="str">
        <f t="shared" si="5"/>
        <v/>
      </c>
      <c r="CW36" s="142" t="str">
        <f>IF(C36="","",IF('Datos Generales'!$A$19=1,AVERAGE(FP36:GD36),AVERAGE(Captura!FP36:FY36)))</f>
        <v/>
      </c>
      <c r="CX36" s="138" t="e">
        <f>IF(VLOOKUP(CONCATENATE($H$4,$F$4,CX$2),Español!$A:$H,7,FALSE)=L36,1,0)</f>
        <v>#N/A</v>
      </c>
      <c r="CY36" s="138" t="e">
        <f>IF(VLOOKUP(CONCATENATE(H36,F36,CY$2),Español!$A:$H,7,FALSE)=M36,1,0)</f>
        <v>#N/A</v>
      </c>
      <c r="CZ36" s="138" t="e">
        <f>IF(VLOOKUP(CONCATENATE(H36,F36,CZ$2),Español!$A:$H,7,FALSE)=N36,1,0)</f>
        <v>#N/A</v>
      </c>
      <c r="DA36" s="138" t="e">
        <f>IF(VLOOKUP(CONCATENATE(H36,F36,DA$2),Español!$A:$H,7,FALSE)=O36,1,0)</f>
        <v>#N/A</v>
      </c>
      <c r="DB36" s="138" t="e">
        <f>IF(VLOOKUP(CONCATENATE(H36,F36,DB$2),Español!$A:$H,7,FALSE)=P36,1,0)</f>
        <v>#N/A</v>
      </c>
      <c r="DC36" s="138" t="e">
        <f>IF(VLOOKUP(CONCATENATE(H36,F36,DC$2),Español!$A:$H,7,FALSE)=Q36,1,0)</f>
        <v>#N/A</v>
      </c>
      <c r="DD36" s="138" t="e">
        <f>IF(VLOOKUP(CONCATENATE(H36,F36,DD$2),Español!$A:$H,7,FALSE)=R36,1,0)</f>
        <v>#N/A</v>
      </c>
      <c r="DE36" s="138" t="e">
        <f>IF(VLOOKUP(CONCATENATE(H36,F36,DE$2),Español!$A:$H,7,FALSE)=S36,1,0)</f>
        <v>#N/A</v>
      </c>
      <c r="DF36" s="138" t="e">
        <f>IF(VLOOKUP(CONCATENATE(H36,F36,DF$2),Español!$A:$H,7,FALSE)=T36,1,0)</f>
        <v>#N/A</v>
      </c>
      <c r="DG36" s="138" t="e">
        <f>IF(VLOOKUP(CONCATENATE(H36,F36,DG$2),Español!$A:$H,7,FALSE)=U36,1,0)</f>
        <v>#N/A</v>
      </c>
      <c r="DH36" s="138" t="e">
        <f>IF(VLOOKUP(CONCATENATE(H36,F36,DH$2),Español!$A:$H,7,FALSE)=V36,1,0)</f>
        <v>#N/A</v>
      </c>
      <c r="DI36" s="138" t="e">
        <f>IF(VLOOKUP(CONCATENATE(H36,F36,DI$2),Español!$A:$H,7,FALSE)=W36,1,0)</f>
        <v>#N/A</v>
      </c>
      <c r="DJ36" s="138" t="e">
        <f>IF(VLOOKUP(CONCATENATE(H36,F36,DJ$2),Español!$A:$H,7,FALSE)=X36,1,0)</f>
        <v>#N/A</v>
      </c>
      <c r="DK36" s="138" t="e">
        <f>IF(VLOOKUP(CONCATENATE(H36,F36,DK$2),Español!$A:$H,7,FALSE)=Y36,1,0)</f>
        <v>#N/A</v>
      </c>
      <c r="DL36" s="138" t="e">
        <f>IF(VLOOKUP(CONCATENATE(H36,F36,DL$2),Español!$A:$H,7,FALSE)=Z36,1,0)</f>
        <v>#N/A</v>
      </c>
      <c r="DM36" s="138" t="e">
        <f>IF(VLOOKUP(CONCATENATE(H36,F36,DM$2),Español!$A:$H,7,FALSE)=AA36,1,0)</f>
        <v>#N/A</v>
      </c>
      <c r="DN36" s="138" t="e">
        <f>IF(VLOOKUP(CONCATENATE(H36,F36,DN$2),Español!$A:$H,7,FALSE)=AB36,1,0)</f>
        <v>#N/A</v>
      </c>
      <c r="DO36" s="138" t="e">
        <f>IF(VLOOKUP(CONCATENATE(H36,F36,DO$2),Español!$A:$H,7,FALSE)=AC36,1,0)</f>
        <v>#N/A</v>
      </c>
      <c r="DP36" s="138" t="e">
        <f>IF(VLOOKUP(CONCATENATE(H36,F36,DP$2),Español!$A:$H,7,FALSE)=AD36,1,0)</f>
        <v>#N/A</v>
      </c>
      <c r="DQ36" s="138" t="e">
        <f>IF(VLOOKUP(CONCATENATE(H36,F36,DQ$2),Español!$A:$H,7,FALSE)=AE36,1,0)</f>
        <v>#N/A</v>
      </c>
      <c r="DR36" s="138" t="e">
        <f>IF(VLOOKUP(CONCATENATE(H36,F36,DR$2),Inglés!$A:$H,7,FALSE)=AF36,1,0)</f>
        <v>#N/A</v>
      </c>
      <c r="DS36" s="138" t="e">
        <f>IF(VLOOKUP(CONCATENATE(H36,F36,DS$2),Inglés!$A:$H,7,FALSE)=AG36,1,0)</f>
        <v>#N/A</v>
      </c>
      <c r="DT36" s="138" t="e">
        <f>IF(VLOOKUP(CONCATENATE(H36,F36,DT$2),Inglés!$A:$H,7,FALSE)=AH36,1,0)</f>
        <v>#N/A</v>
      </c>
      <c r="DU36" s="138" t="e">
        <f>IF(VLOOKUP(CONCATENATE(H36,F36,DU$2),Inglés!$A:$H,7,FALSE)=AI36,1,0)</f>
        <v>#N/A</v>
      </c>
      <c r="DV36" s="138" t="e">
        <f>IF(VLOOKUP(CONCATENATE(H36,F36,DV$2),Inglés!$A:$H,7,FALSE)=AJ36,1,0)</f>
        <v>#N/A</v>
      </c>
      <c r="DW36" s="138" t="e">
        <f>IF(VLOOKUP(CONCATENATE(H36,F36,DW$2),Inglés!$A:$H,7,FALSE)=AK36,1,0)</f>
        <v>#N/A</v>
      </c>
      <c r="DX36" s="138" t="e">
        <f>IF(VLOOKUP(CONCATENATE(H36,F36,DX$2),Inglés!$A:$H,7,FALSE)=AL36,1,0)</f>
        <v>#N/A</v>
      </c>
      <c r="DY36" s="138" t="e">
        <f>IF(VLOOKUP(CONCATENATE(H36,F36,DY$2),Inglés!$A:$H,7,FALSE)=AM36,1,0)</f>
        <v>#N/A</v>
      </c>
      <c r="DZ36" s="138" t="e">
        <f>IF(VLOOKUP(CONCATENATE(H36,F36,DZ$2),Inglés!$A:$H,7,FALSE)=AN36,1,0)</f>
        <v>#N/A</v>
      </c>
      <c r="EA36" s="138" t="e">
        <f>IF(VLOOKUP(CONCATENATE(H36,F36,EA$2),Inglés!$A:$H,7,FALSE)=AO36,1,0)</f>
        <v>#N/A</v>
      </c>
      <c r="EB36" s="138" t="e">
        <f>IF(VLOOKUP(CONCATENATE(H36,F36,EB$2),Matemáticas!$A:$H,7,FALSE)=AP36,1,0)</f>
        <v>#N/A</v>
      </c>
      <c r="EC36" s="138" t="e">
        <f>IF(VLOOKUP(CONCATENATE(H36,F36,EC$2),Matemáticas!$A:$H,7,FALSE)=AQ36,1,0)</f>
        <v>#N/A</v>
      </c>
      <c r="ED36" s="138" t="e">
        <f>IF(VLOOKUP(CONCATENATE(H36,F36,ED$2),Matemáticas!$A:$H,7,FALSE)=AR36,1,0)</f>
        <v>#N/A</v>
      </c>
      <c r="EE36" s="138" t="e">
        <f>IF(VLOOKUP(CONCATENATE(H36,F36,EE$2),Matemáticas!$A:$H,7,FALSE)=AS36,1,0)</f>
        <v>#N/A</v>
      </c>
      <c r="EF36" s="138" t="e">
        <f>IF(VLOOKUP(CONCATENATE(H36,F36,EF$2),Matemáticas!$A:$H,7,FALSE)=AT36,1,0)</f>
        <v>#N/A</v>
      </c>
      <c r="EG36" s="138" t="e">
        <f>IF(VLOOKUP(CONCATENATE(H36,F36,EG$2),Matemáticas!$A:$H,7,FALSE)=AU36,1,0)</f>
        <v>#N/A</v>
      </c>
      <c r="EH36" s="138" t="e">
        <f>IF(VLOOKUP(CONCATENATE(H36,F36,EH$2),Matemáticas!$A:$H,7,FALSE)=AV36,1,0)</f>
        <v>#N/A</v>
      </c>
      <c r="EI36" s="138" t="e">
        <f>IF(VLOOKUP(CONCATENATE(H36,F36,EI$2),Matemáticas!$A:$H,7,FALSE)=AW36,1,0)</f>
        <v>#N/A</v>
      </c>
      <c r="EJ36" s="138" t="e">
        <f>IF(VLOOKUP(CONCATENATE(H36,F36,EJ$2),Matemáticas!$A:$H,7,FALSE)=AX36,1,0)</f>
        <v>#N/A</v>
      </c>
      <c r="EK36" s="138" t="e">
        <f>IF(VLOOKUP(CONCATENATE(H36,F36,EK$2),Matemáticas!$A:$H,7,FALSE)=AY36,1,0)</f>
        <v>#N/A</v>
      </c>
      <c r="EL36" s="138" t="e">
        <f>IF(VLOOKUP(CONCATENATE(H36,F36,EL$2),Matemáticas!$A:$H,7,FALSE)=AZ36,1,0)</f>
        <v>#N/A</v>
      </c>
      <c r="EM36" s="138" t="e">
        <f>IF(VLOOKUP(CONCATENATE(H36,F36,EM$2),Matemáticas!$A:$H,7,FALSE)=BA36,1,0)</f>
        <v>#N/A</v>
      </c>
      <c r="EN36" s="138" t="e">
        <f>IF(VLOOKUP(CONCATENATE(H36,F36,EN$2),Matemáticas!$A:$H,7,FALSE)=BB36,1,0)</f>
        <v>#N/A</v>
      </c>
      <c r="EO36" s="138" t="e">
        <f>IF(VLOOKUP(CONCATENATE(H36,F36,EO$2),Matemáticas!$A:$H,7,FALSE)=BC36,1,0)</f>
        <v>#N/A</v>
      </c>
      <c r="EP36" s="138" t="e">
        <f>IF(VLOOKUP(CONCATENATE(H36,F36,EP$2),Matemáticas!$A:$H,7,FALSE)=BD36,1,0)</f>
        <v>#N/A</v>
      </c>
      <c r="EQ36" s="138" t="e">
        <f>IF(VLOOKUP(CONCATENATE(H36,F36,EQ$2),Matemáticas!$A:$H,7,FALSE)=BE36,1,0)</f>
        <v>#N/A</v>
      </c>
      <c r="ER36" s="138" t="e">
        <f>IF(VLOOKUP(CONCATENATE(H36,F36,ER$2),Matemáticas!$A:$H,7,FALSE)=BF36,1,0)</f>
        <v>#N/A</v>
      </c>
      <c r="ES36" s="138" t="e">
        <f>IF(VLOOKUP(CONCATENATE(H36,F36,ES$2),Matemáticas!$A:$H,7,FALSE)=BG36,1,0)</f>
        <v>#N/A</v>
      </c>
      <c r="ET36" s="138" t="e">
        <f>IF(VLOOKUP(CONCATENATE(H36,F36,ET$2),Matemáticas!$A:$H,7,FALSE)=BH36,1,0)</f>
        <v>#N/A</v>
      </c>
      <c r="EU36" s="138" t="e">
        <f>IF(VLOOKUP(CONCATENATE(H36,F36,EU$2),Matemáticas!$A:$H,7,FALSE)=BI36,1,0)</f>
        <v>#N/A</v>
      </c>
      <c r="EV36" s="138" t="e">
        <f>IF(VLOOKUP(CONCATENATE(H36,F36,EV$2),Ciencias!$A:$H,7,FALSE)=BJ36,1,0)</f>
        <v>#N/A</v>
      </c>
      <c r="EW36" s="138" t="e">
        <f>IF(VLOOKUP(CONCATENATE(H36,F36,EW$2),Ciencias!$A:$H,7,FALSE)=BK36,1,0)</f>
        <v>#N/A</v>
      </c>
      <c r="EX36" s="138" t="e">
        <f>IF(VLOOKUP(CONCATENATE(H36,F36,EX$2),Ciencias!$A:$H,7,FALSE)=BL36,1,0)</f>
        <v>#N/A</v>
      </c>
      <c r="EY36" s="138" t="e">
        <f>IF(VLOOKUP(CONCATENATE(H36,F36,EY$2),Ciencias!$A:$H,7,FALSE)=BM36,1,0)</f>
        <v>#N/A</v>
      </c>
      <c r="EZ36" s="138" t="e">
        <f>IF(VLOOKUP(CONCATENATE(H36,F36,EZ$2),Ciencias!$A:$H,7,FALSE)=BN36,1,0)</f>
        <v>#N/A</v>
      </c>
      <c r="FA36" s="138" t="e">
        <f>IF(VLOOKUP(CONCATENATE(H36,F36,FA$2),Ciencias!$A:$H,7,FALSE)=BO36,1,0)</f>
        <v>#N/A</v>
      </c>
      <c r="FB36" s="138" t="e">
        <f>IF(VLOOKUP(CONCATENATE(H36,F36,FB$2),Ciencias!$A:$H,7,FALSE)=BP36,1,0)</f>
        <v>#N/A</v>
      </c>
      <c r="FC36" s="138" t="e">
        <f>IF(VLOOKUP(CONCATENATE(H36,F36,FC$2),Ciencias!$A:$H,7,FALSE)=BQ36,1,0)</f>
        <v>#N/A</v>
      </c>
      <c r="FD36" s="138" t="e">
        <f>IF(VLOOKUP(CONCATENATE(H36,F36,FD$2),Ciencias!$A:$H,7,FALSE)=BR36,1,0)</f>
        <v>#N/A</v>
      </c>
      <c r="FE36" s="138" t="e">
        <f>IF(VLOOKUP(CONCATENATE(H36,F36,FE$2),Ciencias!$A:$H,7,FALSE)=BS36,1,0)</f>
        <v>#N/A</v>
      </c>
      <c r="FF36" s="138" t="e">
        <f>IF(VLOOKUP(CONCATENATE(H36,F36,FF$2),Ciencias!$A:$H,7,FALSE)=BT36,1,0)</f>
        <v>#N/A</v>
      </c>
      <c r="FG36" s="138" t="e">
        <f>IF(VLOOKUP(CONCATENATE(H36,F36,FG$2),Ciencias!$A:$H,7,FALSE)=BU36,1,0)</f>
        <v>#N/A</v>
      </c>
      <c r="FH36" s="138" t="e">
        <f>IF(VLOOKUP(CONCATENATE(H36,F36,FH$2),Ciencias!$A:$H,7,FALSE)=BV36,1,0)</f>
        <v>#N/A</v>
      </c>
      <c r="FI36" s="138" t="e">
        <f>IF(VLOOKUP(CONCATENATE(H36,F36,FI$2),Ciencias!$A:$H,7,FALSE)=BW36,1,0)</f>
        <v>#N/A</v>
      </c>
      <c r="FJ36" s="138" t="e">
        <f>IF(VLOOKUP(CONCATENATE(H36,F36,FJ$2),Ciencias!$A:$H,7,FALSE)=BX36,1,0)</f>
        <v>#N/A</v>
      </c>
      <c r="FK36" s="138" t="e">
        <f>IF(VLOOKUP(CONCATENATE(H36,F36,FK$2),Ciencias!$A:$H,7,FALSE)=BY36,1,0)</f>
        <v>#N/A</v>
      </c>
      <c r="FL36" s="138" t="e">
        <f>IF(VLOOKUP(CONCATENATE(H36,F36,FL$2),Ciencias!$A:$H,7,FALSE)=BZ36,1,0)</f>
        <v>#N/A</v>
      </c>
      <c r="FM36" s="138" t="e">
        <f>IF(VLOOKUP(CONCATENATE(H36,F36,FM$2),Ciencias!$A:$H,7,FALSE)=CA36,1,0)</f>
        <v>#N/A</v>
      </c>
      <c r="FN36" s="138" t="e">
        <f>IF(VLOOKUP(CONCATENATE(H36,F36,FN$2),Ciencias!$A:$H,7,FALSE)=CB36,1,0)</f>
        <v>#N/A</v>
      </c>
      <c r="FO36" s="138" t="e">
        <f>IF(VLOOKUP(CONCATENATE(H36,F36,FO$2),Ciencias!$A:$H,7,FALSE)=CC36,1,0)</f>
        <v>#N/A</v>
      </c>
      <c r="FP36" s="138" t="e">
        <f>IF(VLOOKUP(CONCATENATE(H36,F36,FP$2),GeoHis!$A:$H,7,FALSE)=CD36,1,0)</f>
        <v>#N/A</v>
      </c>
      <c r="FQ36" s="138" t="e">
        <f>IF(VLOOKUP(CONCATENATE(H36,F36,FQ$2),GeoHis!$A:$H,7,FALSE)=CE36,1,0)</f>
        <v>#N/A</v>
      </c>
      <c r="FR36" s="138" t="e">
        <f>IF(VLOOKUP(CONCATENATE(H36,F36,FR$2),GeoHis!$A:$H,7,FALSE)=CF36,1,0)</f>
        <v>#N/A</v>
      </c>
      <c r="FS36" s="138" t="e">
        <f>IF(VLOOKUP(CONCATENATE(H36,F36,FS$2),GeoHis!$A:$H,7,FALSE)=CG36,1,0)</f>
        <v>#N/A</v>
      </c>
      <c r="FT36" s="138" t="e">
        <f>IF(VLOOKUP(CONCATENATE(H36,F36,FT$2),GeoHis!$A:$H,7,FALSE)=CH36,1,0)</f>
        <v>#N/A</v>
      </c>
      <c r="FU36" s="138" t="e">
        <f>IF(VLOOKUP(CONCATENATE(H36,F36,FU$2),GeoHis!$A:$H,7,FALSE)=CI36,1,0)</f>
        <v>#N/A</v>
      </c>
      <c r="FV36" s="138" t="e">
        <f>IF(VLOOKUP(CONCATENATE(H36,F36,FV$2),GeoHis!$A:$H,7,FALSE)=CJ36,1,0)</f>
        <v>#N/A</v>
      </c>
      <c r="FW36" s="138" t="e">
        <f>IF(VLOOKUP(CONCATENATE(H36,F36,FW$2),GeoHis!$A:$H,7,FALSE)=CK36,1,0)</f>
        <v>#N/A</v>
      </c>
      <c r="FX36" s="138" t="e">
        <f>IF(VLOOKUP(CONCATENATE(H36,F36,FX$2),GeoHis!$A:$H,7,FALSE)=CL36,1,0)</f>
        <v>#N/A</v>
      </c>
      <c r="FY36" s="138" t="e">
        <f>IF(VLOOKUP(CONCATENATE(H36,F36,FY$2),GeoHis!$A:$H,7,FALSE)=CM36,1,0)</f>
        <v>#N/A</v>
      </c>
      <c r="FZ36" s="138" t="e">
        <f>IF(VLOOKUP(CONCATENATE(H36,F36,FZ$2),GeoHis!$A:$H,7,FALSE)=CN36,1,0)</f>
        <v>#N/A</v>
      </c>
      <c r="GA36" s="138" t="e">
        <f>IF(VLOOKUP(CONCATENATE(H36,F36,GA$2),GeoHis!$A:$H,7,FALSE)=CO36,1,0)</f>
        <v>#N/A</v>
      </c>
      <c r="GB36" s="138" t="e">
        <f>IF(VLOOKUP(CONCATENATE(H36,F36,GB$2),GeoHis!$A:$H,7,FALSE)=CP36,1,0)</f>
        <v>#N/A</v>
      </c>
      <c r="GC36" s="138" t="e">
        <f>IF(VLOOKUP(CONCATENATE(H36,F36,GC$2),GeoHis!$A:$H,7,FALSE)=CQ36,1,0)</f>
        <v>#N/A</v>
      </c>
      <c r="GD36" s="138" t="e">
        <f>IF(VLOOKUP(CONCATENATE(H36,F36,GD$2),GeoHis!$A:$H,7,FALSE)=CR36,1,0)</f>
        <v>#N/A</v>
      </c>
      <c r="GE36" s="135" t="str">
        <f t="shared" si="6"/>
        <v/>
      </c>
    </row>
    <row r="37" spans="1:187" x14ac:dyDescent="0.25">
      <c r="A37" s="127" t="str">
        <f>IF(C37="","",'Datos Generales'!$A$25)</f>
        <v/>
      </c>
      <c r="D37" s="126" t="str">
        <f t="shared" si="0"/>
        <v/>
      </c>
      <c r="E37" s="126">
        <f t="shared" si="1"/>
        <v>0</v>
      </c>
      <c r="F37" s="126" t="str">
        <f t="shared" si="7"/>
        <v/>
      </c>
      <c r="G37" s="126" t="str">
        <f>IF(C37="","",'Datos Generales'!$D$19)</f>
        <v/>
      </c>
      <c r="H37" s="21" t="str">
        <f>IF(C37="","",'Datos Generales'!$A$19)</f>
        <v/>
      </c>
      <c r="I37" s="126" t="str">
        <f>IF(C37="","",'Datos Generales'!$A$7)</f>
        <v/>
      </c>
      <c r="J37" s="21" t="str">
        <f>IF(C37="","",'Datos Generales'!$A$13)</f>
        <v/>
      </c>
      <c r="K37" s="21" t="str">
        <f>IF(C37="","",'Datos Generales'!$A$10)</f>
        <v/>
      </c>
      <c r="CS37" s="142" t="str">
        <f t="shared" si="2"/>
        <v/>
      </c>
      <c r="CT37" s="142" t="str">
        <f t="shared" si="3"/>
        <v/>
      </c>
      <c r="CU37" s="142" t="str">
        <f t="shared" si="4"/>
        <v/>
      </c>
      <c r="CV37" s="142" t="str">
        <f t="shared" si="5"/>
        <v/>
      </c>
      <c r="CW37" s="142" t="str">
        <f>IF(C37="","",IF('Datos Generales'!$A$19=1,AVERAGE(FP37:GD37),AVERAGE(Captura!FP37:FY37)))</f>
        <v/>
      </c>
      <c r="CX37" s="138" t="e">
        <f>IF(VLOOKUP(CONCATENATE($H$4,$F$4,CX$2),Español!$A:$H,7,FALSE)=L37,1,0)</f>
        <v>#N/A</v>
      </c>
      <c r="CY37" s="138" t="e">
        <f>IF(VLOOKUP(CONCATENATE(H37,F37,CY$2),Español!$A:$H,7,FALSE)=M37,1,0)</f>
        <v>#N/A</v>
      </c>
      <c r="CZ37" s="138" t="e">
        <f>IF(VLOOKUP(CONCATENATE(H37,F37,CZ$2),Español!$A:$H,7,FALSE)=N37,1,0)</f>
        <v>#N/A</v>
      </c>
      <c r="DA37" s="138" t="e">
        <f>IF(VLOOKUP(CONCATENATE(H37,F37,DA$2),Español!$A:$H,7,FALSE)=O37,1,0)</f>
        <v>#N/A</v>
      </c>
      <c r="DB37" s="138" t="e">
        <f>IF(VLOOKUP(CONCATENATE(H37,F37,DB$2),Español!$A:$H,7,FALSE)=P37,1,0)</f>
        <v>#N/A</v>
      </c>
      <c r="DC37" s="138" t="e">
        <f>IF(VLOOKUP(CONCATENATE(H37,F37,DC$2),Español!$A:$H,7,FALSE)=Q37,1,0)</f>
        <v>#N/A</v>
      </c>
      <c r="DD37" s="138" t="e">
        <f>IF(VLOOKUP(CONCATENATE(H37,F37,DD$2),Español!$A:$H,7,FALSE)=R37,1,0)</f>
        <v>#N/A</v>
      </c>
      <c r="DE37" s="138" t="e">
        <f>IF(VLOOKUP(CONCATENATE(H37,F37,DE$2),Español!$A:$H,7,FALSE)=S37,1,0)</f>
        <v>#N/A</v>
      </c>
      <c r="DF37" s="138" t="e">
        <f>IF(VLOOKUP(CONCATENATE(H37,F37,DF$2),Español!$A:$H,7,FALSE)=T37,1,0)</f>
        <v>#N/A</v>
      </c>
      <c r="DG37" s="138" t="e">
        <f>IF(VLOOKUP(CONCATENATE(H37,F37,DG$2),Español!$A:$H,7,FALSE)=U37,1,0)</f>
        <v>#N/A</v>
      </c>
      <c r="DH37" s="138" t="e">
        <f>IF(VLOOKUP(CONCATENATE(H37,F37,DH$2),Español!$A:$H,7,FALSE)=V37,1,0)</f>
        <v>#N/A</v>
      </c>
      <c r="DI37" s="138" t="e">
        <f>IF(VLOOKUP(CONCATENATE(H37,F37,DI$2),Español!$A:$H,7,FALSE)=W37,1,0)</f>
        <v>#N/A</v>
      </c>
      <c r="DJ37" s="138" t="e">
        <f>IF(VLOOKUP(CONCATENATE(H37,F37,DJ$2),Español!$A:$H,7,FALSE)=X37,1,0)</f>
        <v>#N/A</v>
      </c>
      <c r="DK37" s="138" t="e">
        <f>IF(VLOOKUP(CONCATENATE(H37,F37,DK$2),Español!$A:$H,7,FALSE)=Y37,1,0)</f>
        <v>#N/A</v>
      </c>
      <c r="DL37" s="138" t="e">
        <f>IF(VLOOKUP(CONCATENATE(H37,F37,DL$2),Español!$A:$H,7,FALSE)=Z37,1,0)</f>
        <v>#N/A</v>
      </c>
      <c r="DM37" s="138" t="e">
        <f>IF(VLOOKUP(CONCATENATE(H37,F37,DM$2),Español!$A:$H,7,FALSE)=AA37,1,0)</f>
        <v>#N/A</v>
      </c>
      <c r="DN37" s="138" t="e">
        <f>IF(VLOOKUP(CONCATENATE(H37,F37,DN$2),Español!$A:$H,7,FALSE)=AB37,1,0)</f>
        <v>#N/A</v>
      </c>
      <c r="DO37" s="138" t="e">
        <f>IF(VLOOKUP(CONCATENATE(H37,F37,DO$2),Español!$A:$H,7,FALSE)=AC37,1,0)</f>
        <v>#N/A</v>
      </c>
      <c r="DP37" s="138" t="e">
        <f>IF(VLOOKUP(CONCATENATE(H37,F37,DP$2),Español!$A:$H,7,FALSE)=AD37,1,0)</f>
        <v>#N/A</v>
      </c>
      <c r="DQ37" s="138" t="e">
        <f>IF(VLOOKUP(CONCATENATE(H37,F37,DQ$2),Español!$A:$H,7,FALSE)=AE37,1,0)</f>
        <v>#N/A</v>
      </c>
      <c r="DR37" s="138" t="e">
        <f>IF(VLOOKUP(CONCATENATE(H37,F37,DR$2),Inglés!$A:$H,7,FALSE)=AF37,1,0)</f>
        <v>#N/A</v>
      </c>
      <c r="DS37" s="138" t="e">
        <f>IF(VLOOKUP(CONCATENATE(H37,F37,DS$2),Inglés!$A:$H,7,FALSE)=AG37,1,0)</f>
        <v>#N/A</v>
      </c>
      <c r="DT37" s="138" t="e">
        <f>IF(VLOOKUP(CONCATENATE(H37,F37,DT$2),Inglés!$A:$H,7,FALSE)=AH37,1,0)</f>
        <v>#N/A</v>
      </c>
      <c r="DU37" s="138" t="e">
        <f>IF(VLOOKUP(CONCATENATE(H37,F37,DU$2),Inglés!$A:$H,7,FALSE)=AI37,1,0)</f>
        <v>#N/A</v>
      </c>
      <c r="DV37" s="138" t="e">
        <f>IF(VLOOKUP(CONCATENATE(H37,F37,DV$2),Inglés!$A:$H,7,FALSE)=AJ37,1,0)</f>
        <v>#N/A</v>
      </c>
      <c r="DW37" s="138" t="e">
        <f>IF(VLOOKUP(CONCATENATE(H37,F37,DW$2),Inglés!$A:$H,7,FALSE)=AK37,1,0)</f>
        <v>#N/A</v>
      </c>
      <c r="DX37" s="138" t="e">
        <f>IF(VLOOKUP(CONCATENATE(H37,F37,DX$2),Inglés!$A:$H,7,FALSE)=AL37,1,0)</f>
        <v>#N/A</v>
      </c>
      <c r="DY37" s="138" t="e">
        <f>IF(VLOOKUP(CONCATENATE(H37,F37,DY$2),Inglés!$A:$H,7,FALSE)=AM37,1,0)</f>
        <v>#N/A</v>
      </c>
      <c r="DZ37" s="138" t="e">
        <f>IF(VLOOKUP(CONCATENATE(H37,F37,DZ$2),Inglés!$A:$H,7,FALSE)=AN37,1,0)</f>
        <v>#N/A</v>
      </c>
      <c r="EA37" s="138" t="e">
        <f>IF(VLOOKUP(CONCATENATE(H37,F37,EA$2),Inglés!$A:$H,7,FALSE)=AO37,1,0)</f>
        <v>#N/A</v>
      </c>
      <c r="EB37" s="138" t="e">
        <f>IF(VLOOKUP(CONCATENATE(H37,F37,EB$2),Matemáticas!$A:$H,7,FALSE)=AP37,1,0)</f>
        <v>#N/A</v>
      </c>
      <c r="EC37" s="138" t="e">
        <f>IF(VLOOKUP(CONCATENATE(H37,F37,EC$2),Matemáticas!$A:$H,7,FALSE)=AQ37,1,0)</f>
        <v>#N/A</v>
      </c>
      <c r="ED37" s="138" t="e">
        <f>IF(VLOOKUP(CONCATENATE(H37,F37,ED$2),Matemáticas!$A:$H,7,FALSE)=AR37,1,0)</f>
        <v>#N/A</v>
      </c>
      <c r="EE37" s="138" t="e">
        <f>IF(VLOOKUP(CONCATENATE(H37,F37,EE$2),Matemáticas!$A:$H,7,FALSE)=AS37,1,0)</f>
        <v>#N/A</v>
      </c>
      <c r="EF37" s="138" t="e">
        <f>IF(VLOOKUP(CONCATENATE(H37,F37,EF$2),Matemáticas!$A:$H,7,FALSE)=AT37,1,0)</f>
        <v>#N/A</v>
      </c>
      <c r="EG37" s="138" t="e">
        <f>IF(VLOOKUP(CONCATENATE(H37,F37,EG$2),Matemáticas!$A:$H,7,FALSE)=AU37,1,0)</f>
        <v>#N/A</v>
      </c>
      <c r="EH37" s="138" t="e">
        <f>IF(VLOOKUP(CONCATENATE(H37,F37,EH$2),Matemáticas!$A:$H,7,FALSE)=AV37,1,0)</f>
        <v>#N/A</v>
      </c>
      <c r="EI37" s="138" t="e">
        <f>IF(VLOOKUP(CONCATENATE(H37,F37,EI$2),Matemáticas!$A:$H,7,FALSE)=AW37,1,0)</f>
        <v>#N/A</v>
      </c>
      <c r="EJ37" s="138" t="e">
        <f>IF(VLOOKUP(CONCATENATE(H37,F37,EJ$2),Matemáticas!$A:$H,7,FALSE)=AX37,1,0)</f>
        <v>#N/A</v>
      </c>
      <c r="EK37" s="138" t="e">
        <f>IF(VLOOKUP(CONCATENATE(H37,F37,EK$2),Matemáticas!$A:$H,7,FALSE)=AY37,1,0)</f>
        <v>#N/A</v>
      </c>
      <c r="EL37" s="138" t="e">
        <f>IF(VLOOKUP(CONCATENATE(H37,F37,EL$2),Matemáticas!$A:$H,7,FALSE)=AZ37,1,0)</f>
        <v>#N/A</v>
      </c>
      <c r="EM37" s="138" t="e">
        <f>IF(VLOOKUP(CONCATENATE(H37,F37,EM$2),Matemáticas!$A:$H,7,FALSE)=BA37,1,0)</f>
        <v>#N/A</v>
      </c>
      <c r="EN37" s="138" t="e">
        <f>IF(VLOOKUP(CONCATENATE(H37,F37,EN$2),Matemáticas!$A:$H,7,FALSE)=BB37,1,0)</f>
        <v>#N/A</v>
      </c>
      <c r="EO37" s="138" t="e">
        <f>IF(VLOOKUP(CONCATENATE(H37,F37,EO$2),Matemáticas!$A:$H,7,FALSE)=BC37,1,0)</f>
        <v>#N/A</v>
      </c>
      <c r="EP37" s="138" t="e">
        <f>IF(VLOOKUP(CONCATENATE(H37,F37,EP$2),Matemáticas!$A:$H,7,FALSE)=BD37,1,0)</f>
        <v>#N/A</v>
      </c>
      <c r="EQ37" s="138" t="e">
        <f>IF(VLOOKUP(CONCATENATE(H37,F37,EQ$2),Matemáticas!$A:$H,7,FALSE)=BE37,1,0)</f>
        <v>#N/A</v>
      </c>
      <c r="ER37" s="138" t="e">
        <f>IF(VLOOKUP(CONCATENATE(H37,F37,ER$2),Matemáticas!$A:$H,7,FALSE)=BF37,1,0)</f>
        <v>#N/A</v>
      </c>
      <c r="ES37" s="138" t="e">
        <f>IF(VLOOKUP(CONCATENATE(H37,F37,ES$2),Matemáticas!$A:$H,7,FALSE)=BG37,1,0)</f>
        <v>#N/A</v>
      </c>
      <c r="ET37" s="138" t="e">
        <f>IF(VLOOKUP(CONCATENATE(H37,F37,ET$2),Matemáticas!$A:$H,7,FALSE)=BH37,1,0)</f>
        <v>#N/A</v>
      </c>
      <c r="EU37" s="138" t="e">
        <f>IF(VLOOKUP(CONCATENATE(H37,F37,EU$2),Matemáticas!$A:$H,7,FALSE)=BI37,1,0)</f>
        <v>#N/A</v>
      </c>
      <c r="EV37" s="138" t="e">
        <f>IF(VLOOKUP(CONCATENATE(H37,F37,EV$2),Ciencias!$A:$H,7,FALSE)=BJ37,1,0)</f>
        <v>#N/A</v>
      </c>
      <c r="EW37" s="138" t="e">
        <f>IF(VLOOKUP(CONCATENATE(H37,F37,EW$2),Ciencias!$A:$H,7,FALSE)=BK37,1,0)</f>
        <v>#N/A</v>
      </c>
      <c r="EX37" s="138" t="e">
        <f>IF(VLOOKUP(CONCATENATE(H37,F37,EX$2),Ciencias!$A:$H,7,FALSE)=BL37,1,0)</f>
        <v>#N/A</v>
      </c>
      <c r="EY37" s="138" t="e">
        <f>IF(VLOOKUP(CONCATENATE(H37,F37,EY$2),Ciencias!$A:$H,7,FALSE)=BM37,1,0)</f>
        <v>#N/A</v>
      </c>
      <c r="EZ37" s="138" t="e">
        <f>IF(VLOOKUP(CONCATENATE(H37,F37,EZ$2),Ciencias!$A:$H,7,FALSE)=BN37,1,0)</f>
        <v>#N/A</v>
      </c>
      <c r="FA37" s="138" t="e">
        <f>IF(VLOOKUP(CONCATENATE(H37,F37,FA$2),Ciencias!$A:$H,7,FALSE)=BO37,1,0)</f>
        <v>#N/A</v>
      </c>
      <c r="FB37" s="138" t="e">
        <f>IF(VLOOKUP(CONCATENATE(H37,F37,FB$2),Ciencias!$A:$H,7,FALSE)=BP37,1,0)</f>
        <v>#N/A</v>
      </c>
      <c r="FC37" s="138" t="e">
        <f>IF(VLOOKUP(CONCATENATE(H37,F37,FC$2),Ciencias!$A:$H,7,FALSE)=BQ37,1,0)</f>
        <v>#N/A</v>
      </c>
      <c r="FD37" s="138" t="e">
        <f>IF(VLOOKUP(CONCATENATE(H37,F37,FD$2),Ciencias!$A:$H,7,FALSE)=BR37,1,0)</f>
        <v>#N/A</v>
      </c>
      <c r="FE37" s="138" t="e">
        <f>IF(VLOOKUP(CONCATENATE(H37,F37,FE$2),Ciencias!$A:$H,7,FALSE)=BS37,1,0)</f>
        <v>#N/A</v>
      </c>
      <c r="FF37" s="138" t="e">
        <f>IF(VLOOKUP(CONCATENATE(H37,F37,FF$2),Ciencias!$A:$H,7,FALSE)=BT37,1,0)</f>
        <v>#N/A</v>
      </c>
      <c r="FG37" s="138" t="e">
        <f>IF(VLOOKUP(CONCATENATE(H37,F37,FG$2),Ciencias!$A:$H,7,FALSE)=BU37,1,0)</f>
        <v>#N/A</v>
      </c>
      <c r="FH37" s="138" t="e">
        <f>IF(VLOOKUP(CONCATENATE(H37,F37,FH$2),Ciencias!$A:$H,7,FALSE)=BV37,1,0)</f>
        <v>#N/A</v>
      </c>
      <c r="FI37" s="138" t="e">
        <f>IF(VLOOKUP(CONCATENATE(H37,F37,FI$2),Ciencias!$A:$H,7,FALSE)=BW37,1,0)</f>
        <v>#N/A</v>
      </c>
      <c r="FJ37" s="138" t="e">
        <f>IF(VLOOKUP(CONCATENATE(H37,F37,FJ$2),Ciencias!$A:$H,7,FALSE)=BX37,1,0)</f>
        <v>#N/A</v>
      </c>
      <c r="FK37" s="138" t="e">
        <f>IF(VLOOKUP(CONCATENATE(H37,F37,FK$2),Ciencias!$A:$H,7,FALSE)=BY37,1,0)</f>
        <v>#N/A</v>
      </c>
      <c r="FL37" s="138" t="e">
        <f>IF(VLOOKUP(CONCATENATE(H37,F37,FL$2),Ciencias!$A:$H,7,FALSE)=BZ37,1,0)</f>
        <v>#N/A</v>
      </c>
      <c r="FM37" s="138" t="e">
        <f>IF(VLOOKUP(CONCATENATE(H37,F37,FM$2),Ciencias!$A:$H,7,FALSE)=CA37,1,0)</f>
        <v>#N/A</v>
      </c>
      <c r="FN37" s="138" t="e">
        <f>IF(VLOOKUP(CONCATENATE(H37,F37,FN$2),Ciencias!$A:$H,7,FALSE)=CB37,1,0)</f>
        <v>#N/A</v>
      </c>
      <c r="FO37" s="138" t="e">
        <f>IF(VLOOKUP(CONCATENATE(H37,F37,FO$2),Ciencias!$A:$H,7,FALSE)=CC37,1,0)</f>
        <v>#N/A</v>
      </c>
      <c r="FP37" s="138" t="e">
        <f>IF(VLOOKUP(CONCATENATE(H37,F37,FP$2),GeoHis!$A:$H,7,FALSE)=CD37,1,0)</f>
        <v>#N/A</v>
      </c>
      <c r="FQ37" s="138" t="e">
        <f>IF(VLOOKUP(CONCATENATE(H37,F37,FQ$2),GeoHis!$A:$H,7,FALSE)=CE37,1,0)</f>
        <v>#N/A</v>
      </c>
      <c r="FR37" s="138" t="e">
        <f>IF(VLOOKUP(CONCATENATE(H37,F37,FR$2),GeoHis!$A:$H,7,FALSE)=CF37,1,0)</f>
        <v>#N/A</v>
      </c>
      <c r="FS37" s="138" t="e">
        <f>IF(VLOOKUP(CONCATENATE(H37,F37,FS$2),GeoHis!$A:$H,7,FALSE)=CG37,1,0)</f>
        <v>#N/A</v>
      </c>
      <c r="FT37" s="138" t="e">
        <f>IF(VLOOKUP(CONCATENATE(H37,F37,FT$2),GeoHis!$A:$H,7,FALSE)=CH37,1,0)</f>
        <v>#N/A</v>
      </c>
      <c r="FU37" s="138" t="e">
        <f>IF(VLOOKUP(CONCATENATE(H37,F37,FU$2),GeoHis!$A:$H,7,FALSE)=CI37,1,0)</f>
        <v>#N/A</v>
      </c>
      <c r="FV37" s="138" t="e">
        <f>IF(VLOOKUP(CONCATENATE(H37,F37,FV$2),GeoHis!$A:$H,7,FALSE)=CJ37,1,0)</f>
        <v>#N/A</v>
      </c>
      <c r="FW37" s="138" t="e">
        <f>IF(VLOOKUP(CONCATENATE(H37,F37,FW$2),GeoHis!$A:$H,7,FALSE)=CK37,1,0)</f>
        <v>#N/A</v>
      </c>
      <c r="FX37" s="138" t="e">
        <f>IF(VLOOKUP(CONCATENATE(H37,F37,FX$2),GeoHis!$A:$H,7,FALSE)=CL37,1,0)</f>
        <v>#N/A</v>
      </c>
      <c r="FY37" s="138" t="e">
        <f>IF(VLOOKUP(CONCATENATE(H37,F37,FY$2),GeoHis!$A:$H,7,FALSE)=CM37,1,0)</f>
        <v>#N/A</v>
      </c>
      <c r="FZ37" s="138" t="e">
        <f>IF(VLOOKUP(CONCATENATE(H37,F37,FZ$2),GeoHis!$A:$H,7,FALSE)=CN37,1,0)</f>
        <v>#N/A</v>
      </c>
      <c r="GA37" s="138" t="e">
        <f>IF(VLOOKUP(CONCATENATE(H37,F37,GA$2),GeoHis!$A:$H,7,FALSE)=CO37,1,0)</f>
        <v>#N/A</v>
      </c>
      <c r="GB37" s="138" t="e">
        <f>IF(VLOOKUP(CONCATENATE(H37,F37,GB$2),GeoHis!$A:$H,7,FALSE)=CP37,1,0)</f>
        <v>#N/A</v>
      </c>
      <c r="GC37" s="138" t="e">
        <f>IF(VLOOKUP(CONCATENATE(H37,F37,GC$2),GeoHis!$A:$H,7,FALSE)=CQ37,1,0)</f>
        <v>#N/A</v>
      </c>
      <c r="GD37" s="138" t="e">
        <f>IF(VLOOKUP(CONCATENATE(H37,F37,GD$2),GeoHis!$A:$H,7,FALSE)=CR37,1,0)</f>
        <v>#N/A</v>
      </c>
      <c r="GE37" s="135" t="str">
        <f t="shared" si="6"/>
        <v/>
      </c>
    </row>
    <row r="38" spans="1:187" x14ac:dyDescent="0.25">
      <c r="A38" s="127" t="str">
        <f>IF(C38="","",'Datos Generales'!$A$25)</f>
        <v/>
      </c>
      <c r="D38" s="126" t="str">
        <f t="shared" si="0"/>
        <v/>
      </c>
      <c r="E38" s="126">
        <f t="shared" si="1"/>
        <v>0</v>
      </c>
      <c r="F38" s="126" t="str">
        <f t="shared" si="7"/>
        <v/>
      </c>
      <c r="G38" s="126" t="str">
        <f>IF(C38="","",'Datos Generales'!$D$19)</f>
        <v/>
      </c>
      <c r="H38" s="21" t="str">
        <f>IF(C38="","",'Datos Generales'!$A$19)</f>
        <v/>
      </c>
      <c r="I38" s="126" t="str">
        <f>IF(C38="","",'Datos Generales'!$A$7)</f>
        <v/>
      </c>
      <c r="J38" s="21" t="str">
        <f>IF(C38="","",'Datos Generales'!$A$13)</f>
        <v/>
      </c>
      <c r="K38" s="21" t="str">
        <f>IF(C38="","",'Datos Generales'!$A$10)</f>
        <v/>
      </c>
      <c r="CS38" s="142" t="str">
        <f t="shared" si="2"/>
        <v/>
      </c>
      <c r="CT38" s="142" t="str">
        <f t="shared" si="3"/>
        <v/>
      </c>
      <c r="CU38" s="142" t="str">
        <f t="shared" si="4"/>
        <v/>
      </c>
      <c r="CV38" s="142" t="str">
        <f t="shared" si="5"/>
        <v/>
      </c>
      <c r="CW38" s="142" t="str">
        <f>IF(C38="","",IF('Datos Generales'!$A$19=1,AVERAGE(FP38:GD38),AVERAGE(Captura!FP38:FY38)))</f>
        <v/>
      </c>
      <c r="CX38" s="138" t="e">
        <f>IF(VLOOKUP(CONCATENATE($H$4,$F$4,CX$2),Español!$A:$H,7,FALSE)=L38,1,0)</f>
        <v>#N/A</v>
      </c>
      <c r="CY38" s="138" t="e">
        <f>IF(VLOOKUP(CONCATENATE(H38,F38,CY$2),Español!$A:$H,7,FALSE)=M38,1,0)</f>
        <v>#N/A</v>
      </c>
      <c r="CZ38" s="138" t="e">
        <f>IF(VLOOKUP(CONCATENATE(H38,F38,CZ$2),Español!$A:$H,7,FALSE)=N38,1,0)</f>
        <v>#N/A</v>
      </c>
      <c r="DA38" s="138" t="e">
        <f>IF(VLOOKUP(CONCATENATE(H38,F38,DA$2),Español!$A:$H,7,FALSE)=O38,1,0)</f>
        <v>#N/A</v>
      </c>
      <c r="DB38" s="138" t="e">
        <f>IF(VLOOKUP(CONCATENATE(H38,F38,DB$2),Español!$A:$H,7,FALSE)=P38,1,0)</f>
        <v>#N/A</v>
      </c>
      <c r="DC38" s="138" t="e">
        <f>IF(VLOOKUP(CONCATENATE(H38,F38,DC$2),Español!$A:$H,7,FALSE)=Q38,1,0)</f>
        <v>#N/A</v>
      </c>
      <c r="DD38" s="138" t="e">
        <f>IF(VLOOKUP(CONCATENATE(H38,F38,DD$2),Español!$A:$H,7,FALSE)=R38,1,0)</f>
        <v>#N/A</v>
      </c>
      <c r="DE38" s="138" t="e">
        <f>IF(VLOOKUP(CONCATENATE(H38,F38,DE$2),Español!$A:$H,7,FALSE)=S38,1,0)</f>
        <v>#N/A</v>
      </c>
      <c r="DF38" s="138" t="e">
        <f>IF(VLOOKUP(CONCATENATE(H38,F38,DF$2),Español!$A:$H,7,FALSE)=T38,1,0)</f>
        <v>#N/A</v>
      </c>
      <c r="DG38" s="138" t="e">
        <f>IF(VLOOKUP(CONCATENATE(H38,F38,DG$2),Español!$A:$H,7,FALSE)=U38,1,0)</f>
        <v>#N/A</v>
      </c>
      <c r="DH38" s="138" t="e">
        <f>IF(VLOOKUP(CONCATENATE(H38,F38,DH$2),Español!$A:$H,7,FALSE)=V38,1,0)</f>
        <v>#N/A</v>
      </c>
      <c r="DI38" s="138" t="e">
        <f>IF(VLOOKUP(CONCATENATE(H38,F38,DI$2),Español!$A:$H,7,FALSE)=W38,1,0)</f>
        <v>#N/A</v>
      </c>
      <c r="DJ38" s="138" t="e">
        <f>IF(VLOOKUP(CONCATENATE(H38,F38,DJ$2),Español!$A:$H,7,FALSE)=X38,1,0)</f>
        <v>#N/A</v>
      </c>
      <c r="DK38" s="138" t="e">
        <f>IF(VLOOKUP(CONCATENATE(H38,F38,DK$2),Español!$A:$H,7,FALSE)=Y38,1,0)</f>
        <v>#N/A</v>
      </c>
      <c r="DL38" s="138" t="e">
        <f>IF(VLOOKUP(CONCATENATE(H38,F38,DL$2),Español!$A:$H,7,FALSE)=Z38,1,0)</f>
        <v>#N/A</v>
      </c>
      <c r="DM38" s="138" t="e">
        <f>IF(VLOOKUP(CONCATENATE(H38,F38,DM$2),Español!$A:$H,7,FALSE)=AA38,1,0)</f>
        <v>#N/A</v>
      </c>
      <c r="DN38" s="138" t="e">
        <f>IF(VLOOKUP(CONCATENATE(H38,F38,DN$2),Español!$A:$H,7,FALSE)=AB38,1,0)</f>
        <v>#N/A</v>
      </c>
      <c r="DO38" s="138" t="e">
        <f>IF(VLOOKUP(CONCATENATE(H38,F38,DO$2),Español!$A:$H,7,FALSE)=AC38,1,0)</f>
        <v>#N/A</v>
      </c>
      <c r="DP38" s="138" t="e">
        <f>IF(VLOOKUP(CONCATENATE(H38,F38,DP$2),Español!$A:$H,7,FALSE)=AD38,1,0)</f>
        <v>#N/A</v>
      </c>
      <c r="DQ38" s="138" t="e">
        <f>IF(VLOOKUP(CONCATENATE(H38,F38,DQ$2),Español!$A:$H,7,FALSE)=AE38,1,0)</f>
        <v>#N/A</v>
      </c>
      <c r="DR38" s="138" t="e">
        <f>IF(VLOOKUP(CONCATENATE(H38,F38,DR$2),Inglés!$A:$H,7,FALSE)=AF38,1,0)</f>
        <v>#N/A</v>
      </c>
      <c r="DS38" s="138" t="e">
        <f>IF(VLOOKUP(CONCATENATE(H38,F38,DS$2),Inglés!$A:$H,7,FALSE)=AG38,1,0)</f>
        <v>#N/A</v>
      </c>
      <c r="DT38" s="138" t="e">
        <f>IF(VLOOKUP(CONCATENATE(H38,F38,DT$2),Inglés!$A:$H,7,FALSE)=AH38,1,0)</f>
        <v>#N/A</v>
      </c>
      <c r="DU38" s="138" t="e">
        <f>IF(VLOOKUP(CONCATENATE(H38,F38,DU$2),Inglés!$A:$H,7,FALSE)=AI38,1,0)</f>
        <v>#N/A</v>
      </c>
      <c r="DV38" s="138" t="e">
        <f>IF(VLOOKUP(CONCATENATE(H38,F38,DV$2),Inglés!$A:$H,7,FALSE)=AJ38,1,0)</f>
        <v>#N/A</v>
      </c>
      <c r="DW38" s="138" t="e">
        <f>IF(VLOOKUP(CONCATENATE(H38,F38,DW$2),Inglés!$A:$H,7,FALSE)=AK38,1,0)</f>
        <v>#N/A</v>
      </c>
      <c r="DX38" s="138" t="e">
        <f>IF(VLOOKUP(CONCATENATE(H38,F38,DX$2),Inglés!$A:$H,7,FALSE)=AL38,1,0)</f>
        <v>#N/A</v>
      </c>
      <c r="DY38" s="138" t="e">
        <f>IF(VLOOKUP(CONCATENATE(H38,F38,DY$2),Inglés!$A:$H,7,FALSE)=AM38,1,0)</f>
        <v>#N/A</v>
      </c>
      <c r="DZ38" s="138" t="e">
        <f>IF(VLOOKUP(CONCATENATE(H38,F38,DZ$2),Inglés!$A:$H,7,FALSE)=AN38,1,0)</f>
        <v>#N/A</v>
      </c>
      <c r="EA38" s="138" t="e">
        <f>IF(VLOOKUP(CONCATENATE(H38,F38,EA$2),Inglés!$A:$H,7,FALSE)=AO38,1,0)</f>
        <v>#N/A</v>
      </c>
      <c r="EB38" s="138" t="e">
        <f>IF(VLOOKUP(CONCATENATE(H38,F38,EB$2),Matemáticas!$A:$H,7,FALSE)=AP38,1,0)</f>
        <v>#N/A</v>
      </c>
      <c r="EC38" s="138" t="e">
        <f>IF(VLOOKUP(CONCATENATE(H38,F38,EC$2),Matemáticas!$A:$H,7,FALSE)=AQ38,1,0)</f>
        <v>#N/A</v>
      </c>
      <c r="ED38" s="138" t="e">
        <f>IF(VLOOKUP(CONCATENATE(H38,F38,ED$2),Matemáticas!$A:$H,7,FALSE)=AR38,1,0)</f>
        <v>#N/A</v>
      </c>
      <c r="EE38" s="138" t="e">
        <f>IF(VLOOKUP(CONCATENATE(H38,F38,EE$2),Matemáticas!$A:$H,7,FALSE)=AS38,1,0)</f>
        <v>#N/A</v>
      </c>
      <c r="EF38" s="138" t="e">
        <f>IF(VLOOKUP(CONCATENATE(H38,F38,EF$2),Matemáticas!$A:$H,7,FALSE)=AT38,1,0)</f>
        <v>#N/A</v>
      </c>
      <c r="EG38" s="138" t="e">
        <f>IF(VLOOKUP(CONCATENATE(H38,F38,EG$2),Matemáticas!$A:$H,7,FALSE)=AU38,1,0)</f>
        <v>#N/A</v>
      </c>
      <c r="EH38" s="138" t="e">
        <f>IF(VLOOKUP(CONCATENATE(H38,F38,EH$2),Matemáticas!$A:$H,7,FALSE)=AV38,1,0)</f>
        <v>#N/A</v>
      </c>
      <c r="EI38" s="138" t="e">
        <f>IF(VLOOKUP(CONCATENATE(H38,F38,EI$2),Matemáticas!$A:$H,7,FALSE)=AW38,1,0)</f>
        <v>#N/A</v>
      </c>
      <c r="EJ38" s="138" t="e">
        <f>IF(VLOOKUP(CONCATENATE(H38,F38,EJ$2),Matemáticas!$A:$H,7,FALSE)=AX38,1,0)</f>
        <v>#N/A</v>
      </c>
      <c r="EK38" s="138" t="e">
        <f>IF(VLOOKUP(CONCATENATE(H38,F38,EK$2),Matemáticas!$A:$H,7,FALSE)=AY38,1,0)</f>
        <v>#N/A</v>
      </c>
      <c r="EL38" s="138" t="e">
        <f>IF(VLOOKUP(CONCATENATE(H38,F38,EL$2),Matemáticas!$A:$H,7,FALSE)=AZ38,1,0)</f>
        <v>#N/A</v>
      </c>
      <c r="EM38" s="138" t="e">
        <f>IF(VLOOKUP(CONCATENATE(H38,F38,EM$2),Matemáticas!$A:$H,7,FALSE)=BA38,1,0)</f>
        <v>#N/A</v>
      </c>
      <c r="EN38" s="138" t="e">
        <f>IF(VLOOKUP(CONCATENATE(H38,F38,EN$2),Matemáticas!$A:$H,7,FALSE)=BB38,1,0)</f>
        <v>#N/A</v>
      </c>
      <c r="EO38" s="138" t="e">
        <f>IF(VLOOKUP(CONCATENATE(H38,F38,EO$2),Matemáticas!$A:$H,7,FALSE)=BC38,1,0)</f>
        <v>#N/A</v>
      </c>
      <c r="EP38" s="138" t="e">
        <f>IF(VLOOKUP(CONCATENATE(H38,F38,EP$2),Matemáticas!$A:$H,7,FALSE)=BD38,1,0)</f>
        <v>#N/A</v>
      </c>
      <c r="EQ38" s="138" t="e">
        <f>IF(VLOOKUP(CONCATENATE(H38,F38,EQ$2),Matemáticas!$A:$H,7,FALSE)=BE38,1,0)</f>
        <v>#N/A</v>
      </c>
      <c r="ER38" s="138" t="e">
        <f>IF(VLOOKUP(CONCATENATE(H38,F38,ER$2),Matemáticas!$A:$H,7,FALSE)=BF38,1,0)</f>
        <v>#N/A</v>
      </c>
      <c r="ES38" s="138" t="e">
        <f>IF(VLOOKUP(CONCATENATE(H38,F38,ES$2),Matemáticas!$A:$H,7,FALSE)=BG38,1,0)</f>
        <v>#N/A</v>
      </c>
      <c r="ET38" s="138" t="e">
        <f>IF(VLOOKUP(CONCATENATE(H38,F38,ET$2),Matemáticas!$A:$H,7,FALSE)=BH38,1,0)</f>
        <v>#N/A</v>
      </c>
      <c r="EU38" s="138" t="e">
        <f>IF(VLOOKUP(CONCATENATE(H38,F38,EU$2),Matemáticas!$A:$H,7,FALSE)=BI38,1,0)</f>
        <v>#N/A</v>
      </c>
      <c r="EV38" s="138" t="e">
        <f>IF(VLOOKUP(CONCATENATE(H38,F38,EV$2),Ciencias!$A:$H,7,FALSE)=BJ38,1,0)</f>
        <v>#N/A</v>
      </c>
      <c r="EW38" s="138" t="e">
        <f>IF(VLOOKUP(CONCATENATE(H38,F38,EW$2),Ciencias!$A:$H,7,FALSE)=BK38,1,0)</f>
        <v>#N/A</v>
      </c>
      <c r="EX38" s="138" t="e">
        <f>IF(VLOOKUP(CONCATENATE(H38,F38,EX$2),Ciencias!$A:$H,7,FALSE)=BL38,1,0)</f>
        <v>#N/A</v>
      </c>
      <c r="EY38" s="138" t="e">
        <f>IF(VLOOKUP(CONCATENATE(H38,F38,EY$2),Ciencias!$A:$H,7,FALSE)=BM38,1,0)</f>
        <v>#N/A</v>
      </c>
      <c r="EZ38" s="138" t="e">
        <f>IF(VLOOKUP(CONCATENATE(H38,F38,EZ$2),Ciencias!$A:$H,7,FALSE)=BN38,1,0)</f>
        <v>#N/A</v>
      </c>
      <c r="FA38" s="138" t="e">
        <f>IF(VLOOKUP(CONCATENATE(H38,F38,FA$2),Ciencias!$A:$H,7,FALSE)=BO38,1,0)</f>
        <v>#N/A</v>
      </c>
      <c r="FB38" s="138" t="e">
        <f>IF(VLOOKUP(CONCATENATE(H38,F38,FB$2),Ciencias!$A:$H,7,FALSE)=BP38,1,0)</f>
        <v>#N/A</v>
      </c>
      <c r="FC38" s="138" t="e">
        <f>IF(VLOOKUP(CONCATENATE(H38,F38,FC$2),Ciencias!$A:$H,7,FALSE)=BQ38,1,0)</f>
        <v>#N/A</v>
      </c>
      <c r="FD38" s="138" t="e">
        <f>IF(VLOOKUP(CONCATENATE(H38,F38,FD$2),Ciencias!$A:$H,7,FALSE)=BR38,1,0)</f>
        <v>#N/A</v>
      </c>
      <c r="FE38" s="138" t="e">
        <f>IF(VLOOKUP(CONCATENATE(H38,F38,FE$2),Ciencias!$A:$H,7,FALSE)=BS38,1,0)</f>
        <v>#N/A</v>
      </c>
      <c r="FF38" s="138" t="e">
        <f>IF(VLOOKUP(CONCATENATE(H38,F38,FF$2),Ciencias!$A:$H,7,FALSE)=BT38,1,0)</f>
        <v>#N/A</v>
      </c>
      <c r="FG38" s="138" t="e">
        <f>IF(VLOOKUP(CONCATENATE(H38,F38,FG$2),Ciencias!$A:$H,7,FALSE)=BU38,1,0)</f>
        <v>#N/A</v>
      </c>
      <c r="FH38" s="138" t="e">
        <f>IF(VLOOKUP(CONCATENATE(H38,F38,FH$2),Ciencias!$A:$H,7,FALSE)=BV38,1,0)</f>
        <v>#N/A</v>
      </c>
      <c r="FI38" s="138" t="e">
        <f>IF(VLOOKUP(CONCATENATE(H38,F38,FI$2),Ciencias!$A:$H,7,FALSE)=BW38,1,0)</f>
        <v>#N/A</v>
      </c>
      <c r="FJ38" s="138" t="e">
        <f>IF(VLOOKUP(CONCATENATE(H38,F38,FJ$2),Ciencias!$A:$H,7,FALSE)=BX38,1,0)</f>
        <v>#N/A</v>
      </c>
      <c r="FK38" s="138" t="e">
        <f>IF(VLOOKUP(CONCATENATE(H38,F38,FK$2),Ciencias!$A:$H,7,FALSE)=BY38,1,0)</f>
        <v>#N/A</v>
      </c>
      <c r="FL38" s="138" t="e">
        <f>IF(VLOOKUP(CONCATENATE(H38,F38,FL$2),Ciencias!$A:$H,7,FALSE)=BZ38,1,0)</f>
        <v>#N/A</v>
      </c>
      <c r="FM38" s="138" t="e">
        <f>IF(VLOOKUP(CONCATENATE(H38,F38,FM$2),Ciencias!$A:$H,7,FALSE)=CA38,1,0)</f>
        <v>#N/A</v>
      </c>
      <c r="FN38" s="138" t="e">
        <f>IF(VLOOKUP(CONCATENATE(H38,F38,FN$2),Ciencias!$A:$H,7,FALSE)=CB38,1,0)</f>
        <v>#N/A</v>
      </c>
      <c r="FO38" s="138" t="e">
        <f>IF(VLOOKUP(CONCATENATE(H38,F38,FO$2),Ciencias!$A:$H,7,FALSE)=CC38,1,0)</f>
        <v>#N/A</v>
      </c>
      <c r="FP38" s="138" t="e">
        <f>IF(VLOOKUP(CONCATENATE(H38,F38,FP$2),GeoHis!$A:$H,7,FALSE)=CD38,1,0)</f>
        <v>#N/A</v>
      </c>
      <c r="FQ38" s="138" t="e">
        <f>IF(VLOOKUP(CONCATENATE(H38,F38,FQ$2),GeoHis!$A:$H,7,FALSE)=CE38,1,0)</f>
        <v>#N/A</v>
      </c>
      <c r="FR38" s="138" t="e">
        <f>IF(VLOOKUP(CONCATENATE(H38,F38,FR$2),GeoHis!$A:$H,7,FALSE)=CF38,1,0)</f>
        <v>#N/A</v>
      </c>
      <c r="FS38" s="138" t="e">
        <f>IF(VLOOKUP(CONCATENATE(H38,F38,FS$2),GeoHis!$A:$H,7,FALSE)=CG38,1,0)</f>
        <v>#N/A</v>
      </c>
      <c r="FT38" s="138" t="e">
        <f>IF(VLOOKUP(CONCATENATE(H38,F38,FT$2),GeoHis!$A:$H,7,FALSE)=CH38,1,0)</f>
        <v>#N/A</v>
      </c>
      <c r="FU38" s="138" t="e">
        <f>IF(VLOOKUP(CONCATENATE(H38,F38,FU$2),GeoHis!$A:$H,7,FALSE)=CI38,1,0)</f>
        <v>#N/A</v>
      </c>
      <c r="FV38" s="138" t="e">
        <f>IF(VLOOKUP(CONCATENATE(H38,F38,FV$2),GeoHis!$A:$H,7,FALSE)=CJ38,1,0)</f>
        <v>#N/A</v>
      </c>
      <c r="FW38" s="138" t="e">
        <f>IF(VLOOKUP(CONCATENATE(H38,F38,FW$2),GeoHis!$A:$H,7,FALSE)=CK38,1,0)</f>
        <v>#N/A</v>
      </c>
      <c r="FX38" s="138" t="e">
        <f>IF(VLOOKUP(CONCATENATE(H38,F38,FX$2),GeoHis!$A:$H,7,FALSE)=CL38,1,0)</f>
        <v>#N/A</v>
      </c>
      <c r="FY38" s="138" t="e">
        <f>IF(VLOOKUP(CONCATENATE(H38,F38,FY$2),GeoHis!$A:$H,7,FALSE)=CM38,1,0)</f>
        <v>#N/A</v>
      </c>
      <c r="FZ38" s="138" t="e">
        <f>IF(VLOOKUP(CONCATENATE(H38,F38,FZ$2),GeoHis!$A:$H,7,FALSE)=CN38,1,0)</f>
        <v>#N/A</v>
      </c>
      <c r="GA38" s="138" t="e">
        <f>IF(VLOOKUP(CONCATENATE(H38,F38,GA$2),GeoHis!$A:$H,7,FALSE)=CO38,1,0)</f>
        <v>#N/A</v>
      </c>
      <c r="GB38" s="138" t="e">
        <f>IF(VLOOKUP(CONCATENATE(H38,F38,GB$2),GeoHis!$A:$H,7,FALSE)=CP38,1,0)</f>
        <v>#N/A</v>
      </c>
      <c r="GC38" s="138" t="e">
        <f>IF(VLOOKUP(CONCATENATE(H38,F38,GC$2),GeoHis!$A:$H,7,FALSE)=CQ38,1,0)</f>
        <v>#N/A</v>
      </c>
      <c r="GD38" s="138" t="e">
        <f>IF(VLOOKUP(CONCATENATE(H38,F38,GD$2),GeoHis!$A:$H,7,FALSE)=CR38,1,0)</f>
        <v>#N/A</v>
      </c>
      <c r="GE38" s="135" t="str">
        <f t="shared" si="6"/>
        <v/>
      </c>
    </row>
    <row r="39" spans="1:187" x14ac:dyDescent="0.25">
      <c r="A39" s="127" t="str">
        <f>IF(C39="","",'Datos Generales'!$A$25)</f>
        <v/>
      </c>
      <c r="D39" s="126" t="str">
        <f t="shared" si="0"/>
        <v/>
      </c>
      <c r="E39" s="126">
        <f t="shared" si="1"/>
        <v>0</v>
      </c>
      <c r="F39" s="126" t="str">
        <f t="shared" si="7"/>
        <v/>
      </c>
      <c r="G39" s="126" t="str">
        <f>IF(C39="","",'Datos Generales'!$D$19)</f>
        <v/>
      </c>
      <c r="H39" s="21" t="str">
        <f>IF(C39="","",'Datos Generales'!$A$19)</f>
        <v/>
      </c>
      <c r="I39" s="126" t="str">
        <f>IF(C39="","",'Datos Generales'!$A$7)</f>
        <v/>
      </c>
      <c r="J39" s="21" t="str">
        <f>IF(C39="","",'Datos Generales'!$A$13)</f>
        <v/>
      </c>
      <c r="K39" s="21" t="str">
        <f>IF(C39="","",'Datos Generales'!$A$10)</f>
        <v/>
      </c>
      <c r="CS39" s="142" t="str">
        <f t="shared" si="2"/>
        <v/>
      </c>
      <c r="CT39" s="142" t="str">
        <f t="shared" si="3"/>
        <v/>
      </c>
      <c r="CU39" s="142" t="str">
        <f t="shared" si="4"/>
        <v/>
      </c>
      <c r="CV39" s="142" t="str">
        <f t="shared" si="5"/>
        <v/>
      </c>
      <c r="CW39" s="142" t="str">
        <f>IF(C39="","",IF('Datos Generales'!$A$19=1,AVERAGE(FP39:GD39),AVERAGE(Captura!FP39:FY39)))</f>
        <v/>
      </c>
      <c r="CX39" s="138" t="e">
        <f>IF(VLOOKUP(CONCATENATE($H$4,$F$4,CX$2),Español!$A:$H,7,FALSE)=L39,1,0)</f>
        <v>#N/A</v>
      </c>
      <c r="CY39" s="138" t="e">
        <f>IF(VLOOKUP(CONCATENATE(H39,F39,CY$2),Español!$A:$H,7,FALSE)=M39,1,0)</f>
        <v>#N/A</v>
      </c>
      <c r="CZ39" s="138" t="e">
        <f>IF(VLOOKUP(CONCATENATE(H39,F39,CZ$2),Español!$A:$H,7,FALSE)=N39,1,0)</f>
        <v>#N/A</v>
      </c>
      <c r="DA39" s="138" t="e">
        <f>IF(VLOOKUP(CONCATENATE(H39,F39,DA$2),Español!$A:$H,7,FALSE)=O39,1,0)</f>
        <v>#N/A</v>
      </c>
      <c r="DB39" s="138" t="e">
        <f>IF(VLOOKUP(CONCATENATE(H39,F39,DB$2),Español!$A:$H,7,FALSE)=P39,1,0)</f>
        <v>#N/A</v>
      </c>
      <c r="DC39" s="138" t="e">
        <f>IF(VLOOKUP(CONCATENATE(H39,F39,DC$2),Español!$A:$H,7,FALSE)=Q39,1,0)</f>
        <v>#N/A</v>
      </c>
      <c r="DD39" s="138" t="e">
        <f>IF(VLOOKUP(CONCATENATE(H39,F39,DD$2),Español!$A:$H,7,FALSE)=R39,1,0)</f>
        <v>#N/A</v>
      </c>
      <c r="DE39" s="138" t="e">
        <f>IF(VLOOKUP(CONCATENATE(H39,F39,DE$2),Español!$A:$H,7,FALSE)=S39,1,0)</f>
        <v>#N/A</v>
      </c>
      <c r="DF39" s="138" t="e">
        <f>IF(VLOOKUP(CONCATENATE(H39,F39,DF$2),Español!$A:$H,7,FALSE)=T39,1,0)</f>
        <v>#N/A</v>
      </c>
      <c r="DG39" s="138" t="e">
        <f>IF(VLOOKUP(CONCATENATE(H39,F39,DG$2),Español!$A:$H,7,FALSE)=U39,1,0)</f>
        <v>#N/A</v>
      </c>
      <c r="DH39" s="138" t="e">
        <f>IF(VLOOKUP(CONCATENATE(H39,F39,DH$2),Español!$A:$H,7,FALSE)=V39,1,0)</f>
        <v>#N/A</v>
      </c>
      <c r="DI39" s="138" t="e">
        <f>IF(VLOOKUP(CONCATENATE(H39,F39,DI$2),Español!$A:$H,7,FALSE)=W39,1,0)</f>
        <v>#N/A</v>
      </c>
      <c r="DJ39" s="138" t="e">
        <f>IF(VLOOKUP(CONCATENATE(H39,F39,DJ$2),Español!$A:$H,7,FALSE)=X39,1,0)</f>
        <v>#N/A</v>
      </c>
      <c r="DK39" s="138" t="e">
        <f>IF(VLOOKUP(CONCATENATE(H39,F39,DK$2),Español!$A:$H,7,FALSE)=Y39,1,0)</f>
        <v>#N/A</v>
      </c>
      <c r="DL39" s="138" t="e">
        <f>IF(VLOOKUP(CONCATENATE(H39,F39,DL$2),Español!$A:$H,7,FALSE)=Z39,1,0)</f>
        <v>#N/A</v>
      </c>
      <c r="DM39" s="138" t="e">
        <f>IF(VLOOKUP(CONCATENATE(H39,F39,DM$2),Español!$A:$H,7,FALSE)=AA39,1,0)</f>
        <v>#N/A</v>
      </c>
      <c r="DN39" s="138" t="e">
        <f>IF(VLOOKUP(CONCATENATE(H39,F39,DN$2),Español!$A:$H,7,FALSE)=AB39,1,0)</f>
        <v>#N/A</v>
      </c>
      <c r="DO39" s="138" t="e">
        <f>IF(VLOOKUP(CONCATENATE(H39,F39,DO$2),Español!$A:$H,7,FALSE)=AC39,1,0)</f>
        <v>#N/A</v>
      </c>
      <c r="DP39" s="138" t="e">
        <f>IF(VLOOKUP(CONCATENATE(H39,F39,DP$2),Español!$A:$H,7,FALSE)=AD39,1,0)</f>
        <v>#N/A</v>
      </c>
      <c r="DQ39" s="138" t="e">
        <f>IF(VLOOKUP(CONCATENATE(H39,F39,DQ$2),Español!$A:$H,7,FALSE)=AE39,1,0)</f>
        <v>#N/A</v>
      </c>
      <c r="DR39" s="138" t="e">
        <f>IF(VLOOKUP(CONCATENATE(H39,F39,DR$2),Inglés!$A:$H,7,FALSE)=AF39,1,0)</f>
        <v>#N/A</v>
      </c>
      <c r="DS39" s="138" t="e">
        <f>IF(VLOOKUP(CONCATENATE(H39,F39,DS$2),Inglés!$A:$H,7,FALSE)=AG39,1,0)</f>
        <v>#N/A</v>
      </c>
      <c r="DT39" s="138" t="e">
        <f>IF(VLOOKUP(CONCATENATE(H39,F39,DT$2),Inglés!$A:$H,7,FALSE)=AH39,1,0)</f>
        <v>#N/A</v>
      </c>
      <c r="DU39" s="138" t="e">
        <f>IF(VLOOKUP(CONCATENATE(H39,F39,DU$2),Inglés!$A:$H,7,FALSE)=AI39,1,0)</f>
        <v>#N/A</v>
      </c>
      <c r="DV39" s="138" t="e">
        <f>IF(VLOOKUP(CONCATENATE(H39,F39,DV$2),Inglés!$A:$H,7,FALSE)=AJ39,1,0)</f>
        <v>#N/A</v>
      </c>
      <c r="DW39" s="138" t="e">
        <f>IF(VLOOKUP(CONCATENATE(H39,F39,DW$2),Inglés!$A:$H,7,FALSE)=AK39,1,0)</f>
        <v>#N/A</v>
      </c>
      <c r="DX39" s="138" t="e">
        <f>IF(VLOOKUP(CONCATENATE(H39,F39,DX$2),Inglés!$A:$H,7,FALSE)=AL39,1,0)</f>
        <v>#N/A</v>
      </c>
      <c r="DY39" s="138" t="e">
        <f>IF(VLOOKUP(CONCATENATE(H39,F39,DY$2),Inglés!$A:$H,7,FALSE)=AM39,1,0)</f>
        <v>#N/A</v>
      </c>
      <c r="DZ39" s="138" t="e">
        <f>IF(VLOOKUP(CONCATENATE(H39,F39,DZ$2),Inglés!$A:$H,7,FALSE)=AN39,1,0)</f>
        <v>#N/A</v>
      </c>
      <c r="EA39" s="138" t="e">
        <f>IF(VLOOKUP(CONCATENATE(H39,F39,EA$2),Inglés!$A:$H,7,FALSE)=AO39,1,0)</f>
        <v>#N/A</v>
      </c>
      <c r="EB39" s="138" t="e">
        <f>IF(VLOOKUP(CONCATENATE(H39,F39,EB$2),Matemáticas!$A:$H,7,FALSE)=AP39,1,0)</f>
        <v>#N/A</v>
      </c>
      <c r="EC39" s="138" t="e">
        <f>IF(VLOOKUP(CONCATENATE(H39,F39,EC$2),Matemáticas!$A:$H,7,FALSE)=AQ39,1,0)</f>
        <v>#N/A</v>
      </c>
      <c r="ED39" s="138" t="e">
        <f>IF(VLOOKUP(CONCATENATE(H39,F39,ED$2),Matemáticas!$A:$H,7,FALSE)=AR39,1,0)</f>
        <v>#N/A</v>
      </c>
      <c r="EE39" s="138" t="e">
        <f>IF(VLOOKUP(CONCATENATE(H39,F39,EE$2),Matemáticas!$A:$H,7,FALSE)=AS39,1,0)</f>
        <v>#N/A</v>
      </c>
      <c r="EF39" s="138" t="e">
        <f>IF(VLOOKUP(CONCATENATE(H39,F39,EF$2),Matemáticas!$A:$H,7,FALSE)=AT39,1,0)</f>
        <v>#N/A</v>
      </c>
      <c r="EG39" s="138" t="e">
        <f>IF(VLOOKUP(CONCATENATE(H39,F39,EG$2),Matemáticas!$A:$H,7,FALSE)=AU39,1,0)</f>
        <v>#N/A</v>
      </c>
      <c r="EH39" s="138" t="e">
        <f>IF(VLOOKUP(CONCATENATE(H39,F39,EH$2),Matemáticas!$A:$H,7,FALSE)=AV39,1,0)</f>
        <v>#N/A</v>
      </c>
      <c r="EI39" s="138" t="e">
        <f>IF(VLOOKUP(CONCATENATE(H39,F39,EI$2),Matemáticas!$A:$H,7,FALSE)=AW39,1,0)</f>
        <v>#N/A</v>
      </c>
      <c r="EJ39" s="138" t="e">
        <f>IF(VLOOKUP(CONCATENATE(H39,F39,EJ$2),Matemáticas!$A:$H,7,FALSE)=AX39,1,0)</f>
        <v>#N/A</v>
      </c>
      <c r="EK39" s="138" t="e">
        <f>IF(VLOOKUP(CONCATENATE(H39,F39,EK$2),Matemáticas!$A:$H,7,FALSE)=AY39,1,0)</f>
        <v>#N/A</v>
      </c>
      <c r="EL39" s="138" t="e">
        <f>IF(VLOOKUP(CONCATENATE(H39,F39,EL$2),Matemáticas!$A:$H,7,FALSE)=AZ39,1,0)</f>
        <v>#N/A</v>
      </c>
      <c r="EM39" s="138" t="e">
        <f>IF(VLOOKUP(CONCATENATE(H39,F39,EM$2),Matemáticas!$A:$H,7,FALSE)=BA39,1,0)</f>
        <v>#N/A</v>
      </c>
      <c r="EN39" s="138" t="e">
        <f>IF(VLOOKUP(CONCATENATE(H39,F39,EN$2),Matemáticas!$A:$H,7,FALSE)=BB39,1,0)</f>
        <v>#N/A</v>
      </c>
      <c r="EO39" s="138" t="e">
        <f>IF(VLOOKUP(CONCATENATE(H39,F39,EO$2),Matemáticas!$A:$H,7,FALSE)=BC39,1,0)</f>
        <v>#N/A</v>
      </c>
      <c r="EP39" s="138" t="e">
        <f>IF(VLOOKUP(CONCATENATE(H39,F39,EP$2),Matemáticas!$A:$H,7,FALSE)=BD39,1,0)</f>
        <v>#N/A</v>
      </c>
      <c r="EQ39" s="138" t="e">
        <f>IF(VLOOKUP(CONCATENATE(H39,F39,EQ$2),Matemáticas!$A:$H,7,FALSE)=BE39,1,0)</f>
        <v>#N/A</v>
      </c>
      <c r="ER39" s="138" t="e">
        <f>IF(VLOOKUP(CONCATENATE(H39,F39,ER$2),Matemáticas!$A:$H,7,FALSE)=BF39,1,0)</f>
        <v>#N/A</v>
      </c>
      <c r="ES39" s="138" t="e">
        <f>IF(VLOOKUP(CONCATENATE(H39,F39,ES$2),Matemáticas!$A:$H,7,FALSE)=BG39,1,0)</f>
        <v>#N/A</v>
      </c>
      <c r="ET39" s="138" t="e">
        <f>IF(VLOOKUP(CONCATENATE(H39,F39,ET$2),Matemáticas!$A:$H,7,FALSE)=BH39,1,0)</f>
        <v>#N/A</v>
      </c>
      <c r="EU39" s="138" t="e">
        <f>IF(VLOOKUP(CONCATENATE(H39,F39,EU$2),Matemáticas!$A:$H,7,FALSE)=BI39,1,0)</f>
        <v>#N/A</v>
      </c>
      <c r="EV39" s="138" t="e">
        <f>IF(VLOOKUP(CONCATENATE(H39,F39,EV$2),Ciencias!$A:$H,7,FALSE)=BJ39,1,0)</f>
        <v>#N/A</v>
      </c>
      <c r="EW39" s="138" t="e">
        <f>IF(VLOOKUP(CONCATENATE(H39,F39,EW$2),Ciencias!$A:$H,7,FALSE)=BK39,1,0)</f>
        <v>#N/A</v>
      </c>
      <c r="EX39" s="138" t="e">
        <f>IF(VLOOKUP(CONCATENATE(H39,F39,EX$2),Ciencias!$A:$H,7,FALSE)=BL39,1,0)</f>
        <v>#N/A</v>
      </c>
      <c r="EY39" s="138" t="e">
        <f>IF(VLOOKUP(CONCATENATE(H39,F39,EY$2),Ciencias!$A:$H,7,FALSE)=BM39,1,0)</f>
        <v>#N/A</v>
      </c>
      <c r="EZ39" s="138" t="e">
        <f>IF(VLOOKUP(CONCATENATE(H39,F39,EZ$2),Ciencias!$A:$H,7,FALSE)=BN39,1,0)</f>
        <v>#N/A</v>
      </c>
      <c r="FA39" s="138" t="e">
        <f>IF(VLOOKUP(CONCATENATE(H39,F39,FA$2),Ciencias!$A:$H,7,FALSE)=BO39,1,0)</f>
        <v>#N/A</v>
      </c>
      <c r="FB39" s="138" t="e">
        <f>IF(VLOOKUP(CONCATENATE(H39,F39,FB$2),Ciencias!$A:$H,7,FALSE)=BP39,1,0)</f>
        <v>#N/A</v>
      </c>
      <c r="FC39" s="138" t="e">
        <f>IF(VLOOKUP(CONCATENATE(H39,F39,FC$2),Ciencias!$A:$H,7,FALSE)=BQ39,1,0)</f>
        <v>#N/A</v>
      </c>
      <c r="FD39" s="138" t="e">
        <f>IF(VLOOKUP(CONCATENATE(H39,F39,FD$2),Ciencias!$A:$H,7,FALSE)=BR39,1,0)</f>
        <v>#N/A</v>
      </c>
      <c r="FE39" s="138" t="e">
        <f>IF(VLOOKUP(CONCATENATE(H39,F39,FE$2),Ciencias!$A:$H,7,FALSE)=BS39,1,0)</f>
        <v>#N/A</v>
      </c>
      <c r="FF39" s="138" t="e">
        <f>IF(VLOOKUP(CONCATENATE(H39,F39,FF$2),Ciencias!$A:$H,7,FALSE)=BT39,1,0)</f>
        <v>#N/A</v>
      </c>
      <c r="FG39" s="138" t="e">
        <f>IF(VLOOKUP(CONCATENATE(H39,F39,FG$2),Ciencias!$A:$H,7,FALSE)=BU39,1,0)</f>
        <v>#N/A</v>
      </c>
      <c r="FH39" s="138" t="e">
        <f>IF(VLOOKUP(CONCATENATE(H39,F39,FH$2),Ciencias!$A:$H,7,FALSE)=BV39,1,0)</f>
        <v>#N/A</v>
      </c>
      <c r="FI39" s="138" t="e">
        <f>IF(VLOOKUP(CONCATENATE(H39,F39,FI$2),Ciencias!$A:$H,7,FALSE)=BW39,1,0)</f>
        <v>#N/A</v>
      </c>
      <c r="FJ39" s="138" t="e">
        <f>IF(VLOOKUP(CONCATENATE(H39,F39,FJ$2),Ciencias!$A:$H,7,FALSE)=BX39,1,0)</f>
        <v>#N/A</v>
      </c>
      <c r="FK39" s="138" t="e">
        <f>IF(VLOOKUP(CONCATENATE(H39,F39,FK$2),Ciencias!$A:$H,7,FALSE)=BY39,1,0)</f>
        <v>#N/A</v>
      </c>
      <c r="FL39" s="138" t="e">
        <f>IF(VLOOKUP(CONCATENATE(H39,F39,FL$2),Ciencias!$A:$H,7,FALSE)=BZ39,1,0)</f>
        <v>#N/A</v>
      </c>
      <c r="FM39" s="138" t="e">
        <f>IF(VLOOKUP(CONCATENATE(H39,F39,FM$2),Ciencias!$A:$H,7,FALSE)=CA39,1,0)</f>
        <v>#N/A</v>
      </c>
      <c r="FN39" s="138" t="e">
        <f>IF(VLOOKUP(CONCATENATE(H39,F39,FN$2),Ciencias!$A:$H,7,FALSE)=CB39,1,0)</f>
        <v>#N/A</v>
      </c>
      <c r="FO39" s="138" t="e">
        <f>IF(VLOOKUP(CONCATENATE(H39,F39,FO$2),Ciencias!$A:$H,7,FALSE)=CC39,1,0)</f>
        <v>#N/A</v>
      </c>
      <c r="FP39" s="138" t="e">
        <f>IF(VLOOKUP(CONCATENATE(H39,F39,FP$2),GeoHis!$A:$H,7,FALSE)=CD39,1,0)</f>
        <v>#N/A</v>
      </c>
      <c r="FQ39" s="138" t="e">
        <f>IF(VLOOKUP(CONCATENATE(H39,F39,FQ$2),GeoHis!$A:$H,7,FALSE)=CE39,1,0)</f>
        <v>#N/A</v>
      </c>
      <c r="FR39" s="138" t="e">
        <f>IF(VLOOKUP(CONCATENATE(H39,F39,FR$2),GeoHis!$A:$H,7,FALSE)=CF39,1,0)</f>
        <v>#N/A</v>
      </c>
      <c r="FS39" s="138" t="e">
        <f>IF(VLOOKUP(CONCATENATE(H39,F39,FS$2),GeoHis!$A:$H,7,FALSE)=CG39,1,0)</f>
        <v>#N/A</v>
      </c>
      <c r="FT39" s="138" t="e">
        <f>IF(VLOOKUP(CONCATENATE(H39,F39,FT$2),GeoHis!$A:$H,7,FALSE)=CH39,1,0)</f>
        <v>#N/A</v>
      </c>
      <c r="FU39" s="138" t="e">
        <f>IF(VLOOKUP(CONCATENATE(H39,F39,FU$2),GeoHis!$A:$H,7,FALSE)=CI39,1,0)</f>
        <v>#N/A</v>
      </c>
      <c r="FV39" s="138" t="e">
        <f>IF(VLOOKUP(CONCATENATE(H39,F39,FV$2),GeoHis!$A:$H,7,FALSE)=CJ39,1,0)</f>
        <v>#N/A</v>
      </c>
      <c r="FW39" s="138" t="e">
        <f>IF(VLOOKUP(CONCATENATE(H39,F39,FW$2),GeoHis!$A:$H,7,FALSE)=CK39,1,0)</f>
        <v>#N/A</v>
      </c>
      <c r="FX39" s="138" t="e">
        <f>IF(VLOOKUP(CONCATENATE(H39,F39,FX$2),GeoHis!$A:$H,7,FALSE)=CL39,1,0)</f>
        <v>#N/A</v>
      </c>
      <c r="FY39" s="138" t="e">
        <f>IF(VLOOKUP(CONCATENATE(H39,F39,FY$2),GeoHis!$A:$H,7,FALSE)=CM39,1,0)</f>
        <v>#N/A</v>
      </c>
      <c r="FZ39" s="138" t="e">
        <f>IF(VLOOKUP(CONCATENATE(H39,F39,FZ$2),GeoHis!$A:$H,7,FALSE)=CN39,1,0)</f>
        <v>#N/A</v>
      </c>
      <c r="GA39" s="138" t="e">
        <f>IF(VLOOKUP(CONCATENATE(H39,F39,GA$2),GeoHis!$A:$H,7,FALSE)=CO39,1,0)</f>
        <v>#N/A</v>
      </c>
      <c r="GB39" s="138" t="e">
        <f>IF(VLOOKUP(CONCATENATE(H39,F39,GB$2),GeoHis!$A:$H,7,FALSE)=CP39,1,0)</f>
        <v>#N/A</v>
      </c>
      <c r="GC39" s="138" t="e">
        <f>IF(VLOOKUP(CONCATENATE(H39,F39,GC$2),GeoHis!$A:$H,7,FALSE)=CQ39,1,0)</f>
        <v>#N/A</v>
      </c>
      <c r="GD39" s="138" t="e">
        <f>IF(VLOOKUP(CONCATENATE(H39,F39,GD$2),GeoHis!$A:$H,7,FALSE)=CR39,1,0)</f>
        <v>#N/A</v>
      </c>
      <c r="GE39" s="135" t="str">
        <f t="shared" si="6"/>
        <v/>
      </c>
    </row>
    <row r="40" spans="1:187" x14ac:dyDescent="0.25">
      <c r="A40" s="127" t="str">
        <f>IF(C40="","",'Datos Generales'!$A$25)</f>
        <v/>
      </c>
      <c r="D40" s="126" t="str">
        <f t="shared" si="0"/>
        <v/>
      </c>
      <c r="E40" s="126">
        <f t="shared" si="1"/>
        <v>0</v>
      </c>
      <c r="F40" s="126" t="str">
        <f t="shared" si="7"/>
        <v/>
      </c>
      <c r="G40" s="126" t="str">
        <f>IF(C40="","",'Datos Generales'!$D$19)</f>
        <v/>
      </c>
      <c r="H40" s="21" t="str">
        <f>IF(C40="","",'Datos Generales'!$A$19)</f>
        <v/>
      </c>
      <c r="I40" s="126" t="str">
        <f>IF(C40="","",'Datos Generales'!$A$7)</f>
        <v/>
      </c>
      <c r="J40" s="21" t="str">
        <f>IF(C40="","",'Datos Generales'!$A$13)</f>
        <v/>
      </c>
      <c r="K40" s="21" t="str">
        <f>IF(C40="","",'Datos Generales'!$A$10)</f>
        <v/>
      </c>
      <c r="CS40" s="142" t="str">
        <f t="shared" si="2"/>
        <v/>
      </c>
      <c r="CT40" s="142" t="str">
        <f t="shared" si="3"/>
        <v/>
      </c>
      <c r="CU40" s="142" t="str">
        <f t="shared" si="4"/>
        <v/>
      </c>
      <c r="CV40" s="142" t="str">
        <f t="shared" si="5"/>
        <v/>
      </c>
      <c r="CW40" s="142" t="str">
        <f>IF(C40="","",IF('Datos Generales'!$A$19=1,AVERAGE(FP40:GD40),AVERAGE(Captura!FP40:FY40)))</f>
        <v/>
      </c>
      <c r="CX40" s="138" t="e">
        <f>IF(VLOOKUP(CONCATENATE($H$4,$F$4,CX$2),Español!$A:$H,7,FALSE)=L40,1,0)</f>
        <v>#N/A</v>
      </c>
      <c r="CY40" s="138" t="e">
        <f>IF(VLOOKUP(CONCATENATE(H40,F40,CY$2),Español!$A:$H,7,FALSE)=M40,1,0)</f>
        <v>#N/A</v>
      </c>
      <c r="CZ40" s="138" t="e">
        <f>IF(VLOOKUP(CONCATENATE(H40,F40,CZ$2),Español!$A:$H,7,FALSE)=N40,1,0)</f>
        <v>#N/A</v>
      </c>
      <c r="DA40" s="138" t="e">
        <f>IF(VLOOKUP(CONCATENATE(H40,F40,DA$2),Español!$A:$H,7,FALSE)=O40,1,0)</f>
        <v>#N/A</v>
      </c>
      <c r="DB40" s="138" t="e">
        <f>IF(VLOOKUP(CONCATENATE(H40,F40,DB$2),Español!$A:$H,7,FALSE)=P40,1,0)</f>
        <v>#N/A</v>
      </c>
      <c r="DC40" s="138" t="e">
        <f>IF(VLOOKUP(CONCATENATE(H40,F40,DC$2),Español!$A:$H,7,FALSE)=Q40,1,0)</f>
        <v>#N/A</v>
      </c>
      <c r="DD40" s="138" t="e">
        <f>IF(VLOOKUP(CONCATENATE(H40,F40,DD$2),Español!$A:$H,7,FALSE)=R40,1,0)</f>
        <v>#N/A</v>
      </c>
      <c r="DE40" s="138" t="e">
        <f>IF(VLOOKUP(CONCATENATE(H40,F40,DE$2),Español!$A:$H,7,FALSE)=S40,1,0)</f>
        <v>#N/A</v>
      </c>
      <c r="DF40" s="138" t="e">
        <f>IF(VLOOKUP(CONCATENATE(H40,F40,DF$2),Español!$A:$H,7,FALSE)=T40,1,0)</f>
        <v>#N/A</v>
      </c>
      <c r="DG40" s="138" t="e">
        <f>IF(VLOOKUP(CONCATENATE(H40,F40,DG$2),Español!$A:$H,7,FALSE)=U40,1,0)</f>
        <v>#N/A</v>
      </c>
      <c r="DH40" s="138" t="e">
        <f>IF(VLOOKUP(CONCATENATE(H40,F40,DH$2),Español!$A:$H,7,FALSE)=V40,1,0)</f>
        <v>#N/A</v>
      </c>
      <c r="DI40" s="138" t="e">
        <f>IF(VLOOKUP(CONCATENATE(H40,F40,DI$2),Español!$A:$H,7,FALSE)=W40,1,0)</f>
        <v>#N/A</v>
      </c>
      <c r="DJ40" s="138" t="e">
        <f>IF(VLOOKUP(CONCATENATE(H40,F40,DJ$2),Español!$A:$H,7,FALSE)=X40,1,0)</f>
        <v>#N/A</v>
      </c>
      <c r="DK40" s="138" t="e">
        <f>IF(VLOOKUP(CONCATENATE(H40,F40,DK$2),Español!$A:$H,7,FALSE)=Y40,1,0)</f>
        <v>#N/A</v>
      </c>
      <c r="DL40" s="138" t="e">
        <f>IF(VLOOKUP(CONCATENATE(H40,F40,DL$2),Español!$A:$H,7,FALSE)=Z40,1,0)</f>
        <v>#N/A</v>
      </c>
      <c r="DM40" s="138" t="e">
        <f>IF(VLOOKUP(CONCATENATE(H40,F40,DM$2),Español!$A:$H,7,FALSE)=AA40,1,0)</f>
        <v>#N/A</v>
      </c>
      <c r="DN40" s="138" t="e">
        <f>IF(VLOOKUP(CONCATENATE(H40,F40,DN$2),Español!$A:$H,7,FALSE)=AB40,1,0)</f>
        <v>#N/A</v>
      </c>
      <c r="DO40" s="138" t="e">
        <f>IF(VLOOKUP(CONCATENATE(H40,F40,DO$2),Español!$A:$H,7,FALSE)=AC40,1,0)</f>
        <v>#N/A</v>
      </c>
      <c r="DP40" s="138" t="e">
        <f>IF(VLOOKUP(CONCATENATE(H40,F40,DP$2),Español!$A:$H,7,FALSE)=AD40,1,0)</f>
        <v>#N/A</v>
      </c>
      <c r="DQ40" s="138" t="e">
        <f>IF(VLOOKUP(CONCATENATE(H40,F40,DQ$2),Español!$A:$H,7,FALSE)=AE40,1,0)</f>
        <v>#N/A</v>
      </c>
      <c r="DR40" s="138" t="e">
        <f>IF(VLOOKUP(CONCATENATE(H40,F40,DR$2),Inglés!$A:$H,7,FALSE)=AF40,1,0)</f>
        <v>#N/A</v>
      </c>
      <c r="DS40" s="138" t="e">
        <f>IF(VLOOKUP(CONCATENATE(H40,F40,DS$2),Inglés!$A:$H,7,FALSE)=AG40,1,0)</f>
        <v>#N/A</v>
      </c>
      <c r="DT40" s="138" t="e">
        <f>IF(VLOOKUP(CONCATENATE(H40,F40,DT$2),Inglés!$A:$H,7,FALSE)=AH40,1,0)</f>
        <v>#N/A</v>
      </c>
      <c r="DU40" s="138" t="e">
        <f>IF(VLOOKUP(CONCATENATE(H40,F40,DU$2),Inglés!$A:$H,7,FALSE)=AI40,1,0)</f>
        <v>#N/A</v>
      </c>
      <c r="DV40" s="138" t="e">
        <f>IF(VLOOKUP(CONCATENATE(H40,F40,DV$2),Inglés!$A:$H,7,FALSE)=AJ40,1,0)</f>
        <v>#N/A</v>
      </c>
      <c r="DW40" s="138" t="e">
        <f>IF(VLOOKUP(CONCATENATE(H40,F40,DW$2),Inglés!$A:$H,7,FALSE)=AK40,1,0)</f>
        <v>#N/A</v>
      </c>
      <c r="DX40" s="138" t="e">
        <f>IF(VLOOKUP(CONCATENATE(H40,F40,DX$2),Inglés!$A:$H,7,FALSE)=AL40,1,0)</f>
        <v>#N/A</v>
      </c>
      <c r="DY40" s="138" t="e">
        <f>IF(VLOOKUP(CONCATENATE(H40,F40,DY$2),Inglés!$A:$H,7,FALSE)=AM40,1,0)</f>
        <v>#N/A</v>
      </c>
      <c r="DZ40" s="138" t="e">
        <f>IF(VLOOKUP(CONCATENATE(H40,F40,DZ$2),Inglés!$A:$H,7,FALSE)=AN40,1,0)</f>
        <v>#N/A</v>
      </c>
      <c r="EA40" s="138" t="e">
        <f>IF(VLOOKUP(CONCATENATE(H40,F40,EA$2),Inglés!$A:$H,7,FALSE)=AO40,1,0)</f>
        <v>#N/A</v>
      </c>
      <c r="EB40" s="138" t="e">
        <f>IF(VLOOKUP(CONCATENATE(H40,F40,EB$2),Matemáticas!$A:$H,7,FALSE)=AP40,1,0)</f>
        <v>#N/A</v>
      </c>
      <c r="EC40" s="138" t="e">
        <f>IF(VLOOKUP(CONCATENATE(H40,F40,EC$2),Matemáticas!$A:$H,7,FALSE)=AQ40,1,0)</f>
        <v>#N/A</v>
      </c>
      <c r="ED40" s="138" t="e">
        <f>IF(VLOOKUP(CONCATENATE(H40,F40,ED$2),Matemáticas!$A:$H,7,FALSE)=AR40,1,0)</f>
        <v>#N/A</v>
      </c>
      <c r="EE40" s="138" t="e">
        <f>IF(VLOOKUP(CONCATENATE(H40,F40,EE$2),Matemáticas!$A:$H,7,FALSE)=AS40,1,0)</f>
        <v>#N/A</v>
      </c>
      <c r="EF40" s="138" t="e">
        <f>IF(VLOOKUP(CONCATENATE(H40,F40,EF$2),Matemáticas!$A:$H,7,FALSE)=AT40,1,0)</f>
        <v>#N/A</v>
      </c>
      <c r="EG40" s="138" t="e">
        <f>IF(VLOOKUP(CONCATENATE(H40,F40,EG$2),Matemáticas!$A:$H,7,FALSE)=AU40,1,0)</f>
        <v>#N/A</v>
      </c>
      <c r="EH40" s="138" t="e">
        <f>IF(VLOOKUP(CONCATENATE(H40,F40,EH$2),Matemáticas!$A:$H,7,FALSE)=AV40,1,0)</f>
        <v>#N/A</v>
      </c>
      <c r="EI40" s="138" t="e">
        <f>IF(VLOOKUP(CONCATENATE(H40,F40,EI$2),Matemáticas!$A:$H,7,FALSE)=AW40,1,0)</f>
        <v>#N/A</v>
      </c>
      <c r="EJ40" s="138" t="e">
        <f>IF(VLOOKUP(CONCATENATE(H40,F40,EJ$2),Matemáticas!$A:$H,7,FALSE)=AX40,1,0)</f>
        <v>#N/A</v>
      </c>
      <c r="EK40" s="138" t="e">
        <f>IF(VLOOKUP(CONCATENATE(H40,F40,EK$2),Matemáticas!$A:$H,7,FALSE)=AY40,1,0)</f>
        <v>#N/A</v>
      </c>
      <c r="EL40" s="138" t="e">
        <f>IF(VLOOKUP(CONCATENATE(H40,F40,EL$2),Matemáticas!$A:$H,7,FALSE)=AZ40,1,0)</f>
        <v>#N/A</v>
      </c>
      <c r="EM40" s="138" t="e">
        <f>IF(VLOOKUP(CONCATENATE(H40,F40,EM$2),Matemáticas!$A:$H,7,FALSE)=BA40,1,0)</f>
        <v>#N/A</v>
      </c>
      <c r="EN40" s="138" t="e">
        <f>IF(VLOOKUP(CONCATENATE(H40,F40,EN$2),Matemáticas!$A:$H,7,FALSE)=BB40,1,0)</f>
        <v>#N/A</v>
      </c>
      <c r="EO40" s="138" t="e">
        <f>IF(VLOOKUP(CONCATENATE(H40,F40,EO$2),Matemáticas!$A:$H,7,FALSE)=BC40,1,0)</f>
        <v>#N/A</v>
      </c>
      <c r="EP40" s="138" t="e">
        <f>IF(VLOOKUP(CONCATENATE(H40,F40,EP$2),Matemáticas!$A:$H,7,FALSE)=BD40,1,0)</f>
        <v>#N/A</v>
      </c>
      <c r="EQ40" s="138" t="e">
        <f>IF(VLOOKUP(CONCATENATE(H40,F40,EQ$2),Matemáticas!$A:$H,7,FALSE)=BE40,1,0)</f>
        <v>#N/A</v>
      </c>
      <c r="ER40" s="138" t="e">
        <f>IF(VLOOKUP(CONCATENATE(H40,F40,ER$2),Matemáticas!$A:$H,7,FALSE)=BF40,1,0)</f>
        <v>#N/A</v>
      </c>
      <c r="ES40" s="138" t="e">
        <f>IF(VLOOKUP(CONCATENATE(H40,F40,ES$2),Matemáticas!$A:$H,7,FALSE)=BG40,1,0)</f>
        <v>#N/A</v>
      </c>
      <c r="ET40" s="138" t="e">
        <f>IF(VLOOKUP(CONCATENATE(H40,F40,ET$2),Matemáticas!$A:$H,7,FALSE)=BH40,1,0)</f>
        <v>#N/A</v>
      </c>
      <c r="EU40" s="138" t="e">
        <f>IF(VLOOKUP(CONCATENATE(H40,F40,EU$2),Matemáticas!$A:$H,7,FALSE)=BI40,1,0)</f>
        <v>#N/A</v>
      </c>
      <c r="EV40" s="138" t="e">
        <f>IF(VLOOKUP(CONCATENATE(H40,F40,EV$2),Ciencias!$A:$H,7,FALSE)=BJ40,1,0)</f>
        <v>#N/A</v>
      </c>
      <c r="EW40" s="138" t="e">
        <f>IF(VLOOKUP(CONCATENATE(H40,F40,EW$2),Ciencias!$A:$H,7,FALSE)=BK40,1,0)</f>
        <v>#N/A</v>
      </c>
      <c r="EX40" s="138" t="e">
        <f>IF(VLOOKUP(CONCATENATE(H40,F40,EX$2),Ciencias!$A:$H,7,FALSE)=BL40,1,0)</f>
        <v>#N/A</v>
      </c>
      <c r="EY40" s="138" t="e">
        <f>IF(VLOOKUP(CONCATENATE(H40,F40,EY$2),Ciencias!$A:$H,7,FALSE)=BM40,1,0)</f>
        <v>#N/A</v>
      </c>
      <c r="EZ40" s="138" t="e">
        <f>IF(VLOOKUP(CONCATENATE(H40,F40,EZ$2),Ciencias!$A:$H,7,FALSE)=BN40,1,0)</f>
        <v>#N/A</v>
      </c>
      <c r="FA40" s="138" t="e">
        <f>IF(VLOOKUP(CONCATENATE(H40,F40,FA$2),Ciencias!$A:$H,7,FALSE)=BO40,1,0)</f>
        <v>#N/A</v>
      </c>
      <c r="FB40" s="138" t="e">
        <f>IF(VLOOKUP(CONCATENATE(H40,F40,FB$2),Ciencias!$A:$H,7,FALSE)=BP40,1,0)</f>
        <v>#N/A</v>
      </c>
      <c r="FC40" s="138" t="e">
        <f>IF(VLOOKUP(CONCATENATE(H40,F40,FC$2),Ciencias!$A:$H,7,FALSE)=BQ40,1,0)</f>
        <v>#N/A</v>
      </c>
      <c r="FD40" s="138" t="e">
        <f>IF(VLOOKUP(CONCATENATE(H40,F40,FD$2),Ciencias!$A:$H,7,FALSE)=BR40,1,0)</f>
        <v>#N/A</v>
      </c>
      <c r="FE40" s="138" t="e">
        <f>IF(VLOOKUP(CONCATENATE(H40,F40,FE$2),Ciencias!$A:$H,7,FALSE)=BS40,1,0)</f>
        <v>#N/A</v>
      </c>
      <c r="FF40" s="138" t="e">
        <f>IF(VLOOKUP(CONCATENATE(H40,F40,FF$2),Ciencias!$A:$H,7,FALSE)=BT40,1,0)</f>
        <v>#N/A</v>
      </c>
      <c r="FG40" s="138" t="e">
        <f>IF(VLOOKUP(CONCATENATE(H40,F40,FG$2),Ciencias!$A:$H,7,FALSE)=BU40,1,0)</f>
        <v>#N/A</v>
      </c>
      <c r="FH40" s="138" t="e">
        <f>IF(VLOOKUP(CONCATENATE(H40,F40,FH$2),Ciencias!$A:$H,7,FALSE)=BV40,1,0)</f>
        <v>#N/A</v>
      </c>
      <c r="FI40" s="138" t="e">
        <f>IF(VLOOKUP(CONCATENATE(H40,F40,FI$2),Ciencias!$A:$H,7,FALSE)=BW40,1,0)</f>
        <v>#N/A</v>
      </c>
      <c r="FJ40" s="138" t="e">
        <f>IF(VLOOKUP(CONCATENATE(H40,F40,FJ$2),Ciencias!$A:$H,7,FALSE)=BX40,1,0)</f>
        <v>#N/A</v>
      </c>
      <c r="FK40" s="138" t="e">
        <f>IF(VLOOKUP(CONCATENATE(H40,F40,FK$2),Ciencias!$A:$H,7,FALSE)=BY40,1,0)</f>
        <v>#N/A</v>
      </c>
      <c r="FL40" s="138" t="e">
        <f>IF(VLOOKUP(CONCATENATE(H40,F40,FL$2),Ciencias!$A:$H,7,FALSE)=BZ40,1,0)</f>
        <v>#N/A</v>
      </c>
      <c r="FM40" s="138" t="e">
        <f>IF(VLOOKUP(CONCATENATE(H40,F40,FM$2),Ciencias!$A:$H,7,FALSE)=CA40,1,0)</f>
        <v>#N/A</v>
      </c>
      <c r="FN40" s="138" t="e">
        <f>IF(VLOOKUP(CONCATENATE(H40,F40,FN$2),Ciencias!$A:$H,7,FALSE)=CB40,1,0)</f>
        <v>#N/A</v>
      </c>
      <c r="FO40" s="138" t="e">
        <f>IF(VLOOKUP(CONCATENATE(H40,F40,FO$2),Ciencias!$A:$H,7,FALSE)=CC40,1,0)</f>
        <v>#N/A</v>
      </c>
      <c r="FP40" s="138" t="e">
        <f>IF(VLOOKUP(CONCATENATE(H40,F40,FP$2),GeoHis!$A:$H,7,FALSE)=CD40,1,0)</f>
        <v>#N/A</v>
      </c>
      <c r="FQ40" s="138" t="e">
        <f>IF(VLOOKUP(CONCATENATE(H40,F40,FQ$2),GeoHis!$A:$H,7,FALSE)=CE40,1,0)</f>
        <v>#N/A</v>
      </c>
      <c r="FR40" s="138" t="e">
        <f>IF(VLOOKUP(CONCATENATE(H40,F40,FR$2),GeoHis!$A:$H,7,FALSE)=CF40,1,0)</f>
        <v>#N/A</v>
      </c>
      <c r="FS40" s="138" t="e">
        <f>IF(VLOOKUP(CONCATENATE(H40,F40,FS$2),GeoHis!$A:$H,7,FALSE)=CG40,1,0)</f>
        <v>#N/A</v>
      </c>
      <c r="FT40" s="138" t="e">
        <f>IF(VLOOKUP(CONCATENATE(H40,F40,FT$2),GeoHis!$A:$H,7,FALSE)=CH40,1,0)</f>
        <v>#N/A</v>
      </c>
      <c r="FU40" s="138" t="e">
        <f>IF(VLOOKUP(CONCATENATE(H40,F40,FU$2),GeoHis!$A:$H,7,FALSE)=CI40,1,0)</f>
        <v>#N/A</v>
      </c>
      <c r="FV40" s="138" t="e">
        <f>IF(VLOOKUP(CONCATENATE(H40,F40,FV$2),GeoHis!$A:$H,7,FALSE)=CJ40,1,0)</f>
        <v>#N/A</v>
      </c>
      <c r="FW40" s="138" t="e">
        <f>IF(VLOOKUP(CONCATENATE(H40,F40,FW$2),GeoHis!$A:$H,7,FALSE)=CK40,1,0)</f>
        <v>#N/A</v>
      </c>
      <c r="FX40" s="138" t="e">
        <f>IF(VLOOKUP(CONCATENATE(H40,F40,FX$2),GeoHis!$A:$H,7,FALSE)=CL40,1,0)</f>
        <v>#N/A</v>
      </c>
      <c r="FY40" s="138" t="e">
        <f>IF(VLOOKUP(CONCATENATE(H40,F40,FY$2),GeoHis!$A:$H,7,FALSE)=CM40,1,0)</f>
        <v>#N/A</v>
      </c>
      <c r="FZ40" s="138" t="e">
        <f>IF(VLOOKUP(CONCATENATE(H40,F40,FZ$2),GeoHis!$A:$H,7,FALSE)=CN40,1,0)</f>
        <v>#N/A</v>
      </c>
      <c r="GA40" s="138" t="e">
        <f>IF(VLOOKUP(CONCATENATE(H40,F40,GA$2),GeoHis!$A:$H,7,FALSE)=CO40,1,0)</f>
        <v>#N/A</v>
      </c>
      <c r="GB40" s="138" t="e">
        <f>IF(VLOOKUP(CONCATENATE(H40,F40,GB$2),GeoHis!$A:$H,7,FALSE)=CP40,1,0)</f>
        <v>#N/A</v>
      </c>
      <c r="GC40" s="138" t="e">
        <f>IF(VLOOKUP(CONCATENATE(H40,F40,GC$2),GeoHis!$A:$H,7,FALSE)=CQ40,1,0)</f>
        <v>#N/A</v>
      </c>
      <c r="GD40" s="138" t="e">
        <f>IF(VLOOKUP(CONCATENATE(H40,F40,GD$2),GeoHis!$A:$H,7,FALSE)=CR40,1,0)</f>
        <v>#N/A</v>
      </c>
      <c r="GE40" s="135" t="str">
        <f t="shared" si="6"/>
        <v/>
      </c>
    </row>
    <row r="41" spans="1:187" x14ac:dyDescent="0.25">
      <c r="A41" s="127" t="str">
        <f>IF(C41="","",'Datos Generales'!$A$25)</f>
        <v/>
      </c>
      <c r="D41" s="126" t="str">
        <f t="shared" si="0"/>
        <v/>
      </c>
      <c r="E41" s="126">
        <f t="shared" si="1"/>
        <v>0</v>
      </c>
      <c r="F41" s="126" t="str">
        <f t="shared" si="7"/>
        <v/>
      </c>
      <c r="G41" s="126" t="str">
        <f>IF(C41="","",'Datos Generales'!$D$19)</f>
        <v/>
      </c>
      <c r="H41" s="21" t="str">
        <f>IF(C41="","",'Datos Generales'!$A$19)</f>
        <v/>
      </c>
      <c r="I41" s="126" t="str">
        <f>IF(C41="","",'Datos Generales'!$A$7)</f>
        <v/>
      </c>
      <c r="J41" s="21" t="str">
        <f>IF(C41="","",'Datos Generales'!$A$13)</f>
        <v/>
      </c>
      <c r="K41" s="21" t="str">
        <f>IF(C41="","",'Datos Generales'!$A$10)</f>
        <v/>
      </c>
      <c r="CS41" s="142" t="str">
        <f t="shared" si="2"/>
        <v/>
      </c>
      <c r="CT41" s="142" t="str">
        <f t="shared" si="3"/>
        <v/>
      </c>
      <c r="CU41" s="142" t="str">
        <f t="shared" si="4"/>
        <v/>
      </c>
      <c r="CV41" s="142" t="str">
        <f t="shared" si="5"/>
        <v/>
      </c>
      <c r="CW41" s="142" t="str">
        <f>IF(C41="","",IF('Datos Generales'!$A$19=1,AVERAGE(FP41:GD41),AVERAGE(Captura!FP41:FY41)))</f>
        <v/>
      </c>
      <c r="CX41" s="138" t="e">
        <f>IF(VLOOKUP(CONCATENATE($H$4,$F$4,CX$2),Español!$A:$H,7,FALSE)=L41,1,0)</f>
        <v>#N/A</v>
      </c>
      <c r="CY41" s="138" t="e">
        <f>IF(VLOOKUP(CONCATENATE(H41,F41,CY$2),Español!$A:$H,7,FALSE)=M41,1,0)</f>
        <v>#N/A</v>
      </c>
      <c r="CZ41" s="138" t="e">
        <f>IF(VLOOKUP(CONCATENATE(H41,F41,CZ$2),Español!$A:$H,7,FALSE)=N41,1,0)</f>
        <v>#N/A</v>
      </c>
      <c r="DA41" s="138" t="e">
        <f>IF(VLOOKUP(CONCATENATE(H41,F41,DA$2),Español!$A:$H,7,FALSE)=O41,1,0)</f>
        <v>#N/A</v>
      </c>
      <c r="DB41" s="138" t="e">
        <f>IF(VLOOKUP(CONCATENATE(H41,F41,DB$2),Español!$A:$H,7,FALSE)=P41,1,0)</f>
        <v>#N/A</v>
      </c>
      <c r="DC41" s="138" t="e">
        <f>IF(VLOOKUP(CONCATENATE(H41,F41,DC$2),Español!$A:$H,7,FALSE)=Q41,1,0)</f>
        <v>#N/A</v>
      </c>
      <c r="DD41" s="138" t="e">
        <f>IF(VLOOKUP(CONCATENATE(H41,F41,DD$2),Español!$A:$H,7,FALSE)=R41,1,0)</f>
        <v>#N/A</v>
      </c>
      <c r="DE41" s="138" t="e">
        <f>IF(VLOOKUP(CONCATENATE(H41,F41,DE$2),Español!$A:$H,7,FALSE)=S41,1,0)</f>
        <v>#N/A</v>
      </c>
      <c r="DF41" s="138" t="e">
        <f>IF(VLOOKUP(CONCATENATE(H41,F41,DF$2),Español!$A:$H,7,FALSE)=T41,1,0)</f>
        <v>#N/A</v>
      </c>
      <c r="DG41" s="138" t="e">
        <f>IF(VLOOKUP(CONCATENATE(H41,F41,DG$2),Español!$A:$H,7,FALSE)=U41,1,0)</f>
        <v>#N/A</v>
      </c>
      <c r="DH41" s="138" t="e">
        <f>IF(VLOOKUP(CONCATENATE(H41,F41,DH$2),Español!$A:$H,7,FALSE)=V41,1,0)</f>
        <v>#N/A</v>
      </c>
      <c r="DI41" s="138" t="e">
        <f>IF(VLOOKUP(CONCATENATE(H41,F41,DI$2),Español!$A:$H,7,FALSE)=W41,1,0)</f>
        <v>#N/A</v>
      </c>
      <c r="DJ41" s="138" t="e">
        <f>IF(VLOOKUP(CONCATENATE(H41,F41,DJ$2),Español!$A:$H,7,FALSE)=X41,1,0)</f>
        <v>#N/A</v>
      </c>
      <c r="DK41" s="138" t="e">
        <f>IF(VLOOKUP(CONCATENATE(H41,F41,DK$2),Español!$A:$H,7,FALSE)=Y41,1,0)</f>
        <v>#N/A</v>
      </c>
      <c r="DL41" s="138" t="e">
        <f>IF(VLOOKUP(CONCATENATE(H41,F41,DL$2),Español!$A:$H,7,FALSE)=Z41,1,0)</f>
        <v>#N/A</v>
      </c>
      <c r="DM41" s="138" t="e">
        <f>IF(VLOOKUP(CONCATENATE(H41,F41,DM$2),Español!$A:$H,7,FALSE)=AA41,1,0)</f>
        <v>#N/A</v>
      </c>
      <c r="DN41" s="138" t="e">
        <f>IF(VLOOKUP(CONCATENATE(H41,F41,DN$2),Español!$A:$H,7,FALSE)=AB41,1,0)</f>
        <v>#N/A</v>
      </c>
      <c r="DO41" s="138" t="e">
        <f>IF(VLOOKUP(CONCATENATE(H41,F41,DO$2),Español!$A:$H,7,FALSE)=AC41,1,0)</f>
        <v>#N/A</v>
      </c>
      <c r="DP41" s="138" t="e">
        <f>IF(VLOOKUP(CONCATENATE(H41,F41,DP$2),Español!$A:$H,7,FALSE)=AD41,1,0)</f>
        <v>#N/A</v>
      </c>
      <c r="DQ41" s="138" t="e">
        <f>IF(VLOOKUP(CONCATENATE(H41,F41,DQ$2),Español!$A:$H,7,FALSE)=AE41,1,0)</f>
        <v>#N/A</v>
      </c>
      <c r="DR41" s="138" t="e">
        <f>IF(VLOOKUP(CONCATENATE(H41,F41,DR$2),Inglés!$A:$H,7,FALSE)=AF41,1,0)</f>
        <v>#N/A</v>
      </c>
      <c r="DS41" s="138" t="e">
        <f>IF(VLOOKUP(CONCATENATE(H41,F41,DS$2),Inglés!$A:$H,7,FALSE)=AG41,1,0)</f>
        <v>#N/A</v>
      </c>
      <c r="DT41" s="138" t="e">
        <f>IF(VLOOKUP(CONCATENATE(H41,F41,DT$2),Inglés!$A:$H,7,FALSE)=AH41,1,0)</f>
        <v>#N/A</v>
      </c>
      <c r="DU41" s="138" t="e">
        <f>IF(VLOOKUP(CONCATENATE(H41,F41,DU$2),Inglés!$A:$H,7,FALSE)=AI41,1,0)</f>
        <v>#N/A</v>
      </c>
      <c r="DV41" s="138" t="e">
        <f>IF(VLOOKUP(CONCATENATE(H41,F41,DV$2),Inglés!$A:$H,7,FALSE)=AJ41,1,0)</f>
        <v>#N/A</v>
      </c>
      <c r="DW41" s="138" t="e">
        <f>IF(VLOOKUP(CONCATENATE(H41,F41,DW$2),Inglés!$A:$H,7,FALSE)=AK41,1,0)</f>
        <v>#N/A</v>
      </c>
      <c r="DX41" s="138" t="e">
        <f>IF(VLOOKUP(CONCATENATE(H41,F41,DX$2),Inglés!$A:$H,7,FALSE)=AL41,1,0)</f>
        <v>#N/A</v>
      </c>
      <c r="DY41" s="138" t="e">
        <f>IF(VLOOKUP(CONCATENATE(H41,F41,DY$2),Inglés!$A:$H,7,FALSE)=AM41,1,0)</f>
        <v>#N/A</v>
      </c>
      <c r="DZ41" s="138" t="e">
        <f>IF(VLOOKUP(CONCATENATE(H41,F41,DZ$2),Inglés!$A:$H,7,FALSE)=AN41,1,0)</f>
        <v>#N/A</v>
      </c>
      <c r="EA41" s="138" t="e">
        <f>IF(VLOOKUP(CONCATENATE(H41,F41,EA$2),Inglés!$A:$H,7,FALSE)=AO41,1,0)</f>
        <v>#N/A</v>
      </c>
      <c r="EB41" s="138" t="e">
        <f>IF(VLOOKUP(CONCATENATE(H41,F41,EB$2),Matemáticas!$A:$H,7,FALSE)=AP41,1,0)</f>
        <v>#N/A</v>
      </c>
      <c r="EC41" s="138" t="e">
        <f>IF(VLOOKUP(CONCATENATE(H41,F41,EC$2),Matemáticas!$A:$H,7,FALSE)=AQ41,1,0)</f>
        <v>#N/A</v>
      </c>
      <c r="ED41" s="138" t="e">
        <f>IF(VLOOKUP(CONCATENATE(H41,F41,ED$2),Matemáticas!$A:$H,7,FALSE)=AR41,1,0)</f>
        <v>#N/A</v>
      </c>
      <c r="EE41" s="138" t="e">
        <f>IF(VLOOKUP(CONCATENATE(H41,F41,EE$2),Matemáticas!$A:$H,7,FALSE)=AS41,1,0)</f>
        <v>#N/A</v>
      </c>
      <c r="EF41" s="138" t="e">
        <f>IF(VLOOKUP(CONCATENATE(H41,F41,EF$2),Matemáticas!$A:$H,7,FALSE)=AT41,1,0)</f>
        <v>#N/A</v>
      </c>
      <c r="EG41" s="138" t="e">
        <f>IF(VLOOKUP(CONCATENATE(H41,F41,EG$2),Matemáticas!$A:$H,7,FALSE)=AU41,1,0)</f>
        <v>#N/A</v>
      </c>
      <c r="EH41" s="138" t="e">
        <f>IF(VLOOKUP(CONCATENATE(H41,F41,EH$2),Matemáticas!$A:$H,7,FALSE)=AV41,1,0)</f>
        <v>#N/A</v>
      </c>
      <c r="EI41" s="138" t="e">
        <f>IF(VLOOKUP(CONCATENATE(H41,F41,EI$2),Matemáticas!$A:$H,7,FALSE)=AW41,1,0)</f>
        <v>#N/A</v>
      </c>
      <c r="EJ41" s="138" t="e">
        <f>IF(VLOOKUP(CONCATENATE(H41,F41,EJ$2),Matemáticas!$A:$H,7,FALSE)=AX41,1,0)</f>
        <v>#N/A</v>
      </c>
      <c r="EK41" s="138" t="e">
        <f>IF(VLOOKUP(CONCATENATE(H41,F41,EK$2),Matemáticas!$A:$H,7,FALSE)=AY41,1,0)</f>
        <v>#N/A</v>
      </c>
      <c r="EL41" s="138" t="e">
        <f>IF(VLOOKUP(CONCATENATE(H41,F41,EL$2),Matemáticas!$A:$H,7,FALSE)=AZ41,1,0)</f>
        <v>#N/A</v>
      </c>
      <c r="EM41" s="138" t="e">
        <f>IF(VLOOKUP(CONCATENATE(H41,F41,EM$2),Matemáticas!$A:$H,7,FALSE)=BA41,1,0)</f>
        <v>#N/A</v>
      </c>
      <c r="EN41" s="138" t="e">
        <f>IF(VLOOKUP(CONCATENATE(H41,F41,EN$2),Matemáticas!$A:$H,7,FALSE)=BB41,1,0)</f>
        <v>#N/A</v>
      </c>
      <c r="EO41" s="138" t="e">
        <f>IF(VLOOKUP(CONCATENATE(H41,F41,EO$2),Matemáticas!$A:$H,7,FALSE)=BC41,1,0)</f>
        <v>#N/A</v>
      </c>
      <c r="EP41" s="138" t="e">
        <f>IF(VLOOKUP(CONCATENATE(H41,F41,EP$2),Matemáticas!$A:$H,7,FALSE)=BD41,1,0)</f>
        <v>#N/A</v>
      </c>
      <c r="EQ41" s="138" t="e">
        <f>IF(VLOOKUP(CONCATENATE(H41,F41,EQ$2),Matemáticas!$A:$H,7,FALSE)=BE41,1,0)</f>
        <v>#N/A</v>
      </c>
      <c r="ER41" s="138" t="e">
        <f>IF(VLOOKUP(CONCATENATE(H41,F41,ER$2),Matemáticas!$A:$H,7,FALSE)=BF41,1,0)</f>
        <v>#N/A</v>
      </c>
      <c r="ES41" s="138" t="e">
        <f>IF(VLOOKUP(CONCATENATE(H41,F41,ES$2),Matemáticas!$A:$H,7,FALSE)=BG41,1,0)</f>
        <v>#N/A</v>
      </c>
      <c r="ET41" s="138" t="e">
        <f>IF(VLOOKUP(CONCATENATE(H41,F41,ET$2),Matemáticas!$A:$H,7,FALSE)=BH41,1,0)</f>
        <v>#N/A</v>
      </c>
      <c r="EU41" s="138" t="e">
        <f>IF(VLOOKUP(CONCATENATE(H41,F41,EU$2),Matemáticas!$A:$H,7,FALSE)=BI41,1,0)</f>
        <v>#N/A</v>
      </c>
      <c r="EV41" s="138" t="e">
        <f>IF(VLOOKUP(CONCATENATE(H41,F41,EV$2),Ciencias!$A:$H,7,FALSE)=BJ41,1,0)</f>
        <v>#N/A</v>
      </c>
      <c r="EW41" s="138" t="e">
        <f>IF(VLOOKUP(CONCATENATE(H41,F41,EW$2),Ciencias!$A:$H,7,FALSE)=BK41,1,0)</f>
        <v>#N/A</v>
      </c>
      <c r="EX41" s="138" t="e">
        <f>IF(VLOOKUP(CONCATENATE(H41,F41,EX$2),Ciencias!$A:$H,7,FALSE)=BL41,1,0)</f>
        <v>#N/A</v>
      </c>
      <c r="EY41" s="138" t="e">
        <f>IF(VLOOKUP(CONCATENATE(H41,F41,EY$2),Ciencias!$A:$H,7,FALSE)=BM41,1,0)</f>
        <v>#N/A</v>
      </c>
      <c r="EZ41" s="138" t="e">
        <f>IF(VLOOKUP(CONCATENATE(H41,F41,EZ$2),Ciencias!$A:$H,7,FALSE)=BN41,1,0)</f>
        <v>#N/A</v>
      </c>
      <c r="FA41" s="138" t="e">
        <f>IF(VLOOKUP(CONCATENATE(H41,F41,FA$2),Ciencias!$A:$H,7,FALSE)=BO41,1,0)</f>
        <v>#N/A</v>
      </c>
      <c r="FB41" s="138" t="e">
        <f>IF(VLOOKUP(CONCATENATE(H41,F41,FB$2),Ciencias!$A:$H,7,FALSE)=BP41,1,0)</f>
        <v>#N/A</v>
      </c>
      <c r="FC41" s="138" t="e">
        <f>IF(VLOOKUP(CONCATENATE(H41,F41,FC$2),Ciencias!$A:$H,7,FALSE)=BQ41,1,0)</f>
        <v>#N/A</v>
      </c>
      <c r="FD41" s="138" t="e">
        <f>IF(VLOOKUP(CONCATENATE(H41,F41,FD$2),Ciencias!$A:$H,7,FALSE)=BR41,1,0)</f>
        <v>#N/A</v>
      </c>
      <c r="FE41" s="138" t="e">
        <f>IF(VLOOKUP(CONCATENATE(H41,F41,FE$2),Ciencias!$A:$H,7,FALSE)=BS41,1,0)</f>
        <v>#N/A</v>
      </c>
      <c r="FF41" s="138" t="e">
        <f>IF(VLOOKUP(CONCATENATE(H41,F41,FF$2),Ciencias!$A:$H,7,FALSE)=BT41,1,0)</f>
        <v>#N/A</v>
      </c>
      <c r="FG41" s="138" t="e">
        <f>IF(VLOOKUP(CONCATENATE(H41,F41,FG$2),Ciencias!$A:$H,7,FALSE)=BU41,1,0)</f>
        <v>#N/A</v>
      </c>
      <c r="FH41" s="138" t="e">
        <f>IF(VLOOKUP(CONCATENATE(H41,F41,FH$2),Ciencias!$A:$H,7,FALSE)=BV41,1,0)</f>
        <v>#N/A</v>
      </c>
      <c r="FI41" s="138" t="e">
        <f>IF(VLOOKUP(CONCATENATE(H41,F41,FI$2),Ciencias!$A:$H,7,FALSE)=BW41,1,0)</f>
        <v>#N/A</v>
      </c>
      <c r="FJ41" s="138" t="e">
        <f>IF(VLOOKUP(CONCATENATE(H41,F41,FJ$2),Ciencias!$A:$H,7,FALSE)=BX41,1,0)</f>
        <v>#N/A</v>
      </c>
      <c r="FK41" s="138" t="e">
        <f>IF(VLOOKUP(CONCATENATE(H41,F41,FK$2),Ciencias!$A:$H,7,FALSE)=BY41,1,0)</f>
        <v>#N/A</v>
      </c>
      <c r="FL41" s="138" t="e">
        <f>IF(VLOOKUP(CONCATENATE(H41,F41,FL$2),Ciencias!$A:$H,7,FALSE)=BZ41,1,0)</f>
        <v>#N/A</v>
      </c>
      <c r="FM41" s="138" t="e">
        <f>IF(VLOOKUP(CONCATENATE(H41,F41,FM$2),Ciencias!$A:$H,7,FALSE)=CA41,1,0)</f>
        <v>#N/A</v>
      </c>
      <c r="FN41" s="138" t="e">
        <f>IF(VLOOKUP(CONCATENATE(H41,F41,FN$2),Ciencias!$A:$H,7,FALSE)=CB41,1,0)</f>
        <v>#N/A</v>
      </c>
      <c r="FO41" s="138" t="e">
        <f>IF(VLOOKUP(CONCATENATE(H41,F41,FO$2),Ciencias!$A:$H,7,FALSE)=CC41,1,0)</f>
        <v>#N/A</v>
      </c>
      <c r="FP41" s="138" t="e">
        <f>IF(VLOOKUP(CONCATENATE(H41,F41,FP$2),GeoHis!$A:$H,7,FALSE)=CD41,1,0)</f>
        <v>#N/A</v>
      </c>
      <c r="FQ41" s="138" t="e">
        <f>IF(VLOOKUP(CONCATENATE(H41,F41,FQ$2),GeoHis!$A:$H,7,FALSE)=CE41,1,0)</f>
        <v>#N/A</v>
      </c>
      <c r="FR41" s="138" t="e">
        <f>IF(VLOOKUP(CONCATENATE(H41,F41,FR$2),GeoHis!$A:$H,7,FALSE)=CF41,1,0)</f>
        <v>#N/A</v>
      </c>
      <c r="FS41" s="138" t="e">
        <f>IF(VLOOKUP(CONCATENATE(H41,F41,FS$2),GeoHis!$A:$H,7,FALSE)=CG41,1,0)</f>
        <v>#N/A</v>
      </c>
      <c r="FT41" s="138" t="e">
        <f>IF(VLOOKUP(CONCATENATE(H41,F41,FT$2),GeoHis!$A:$H,7,FALSE)=CH41,1,0)</f>
        <v>#N/A</v>
      </c>
      <c r="FU41" s="138" t="e">
        <f>IF(VLOOKUP(CONCATENATE(H41,F41,FU$2),GeoHis!$A:$H,7,FALSE)=CI41,1,0)</f>
        <v>#N/A</v>
      </c>
      <c r="FV41" s="138" t="e">
        <f>IF(VLOOKUP(CONCATENATE(H41,F41,FV$2),GeoHis!$A:$H,7,FALSE)=CJ41,1,0)</f>
        <v>#N/A</v>
      </c>
      <c r="FW41" s="138" t="e">
        <f>IF(VLOOKUP(CONCATENATE(H41,F41,FW$2),GeoHis!$A:$H,7,FALSE)=CK41,1,0)</f>
        <v>#N/A</v>
      </c>
      <c r="FX41" s="138" t="e">
        <f>IF(VLOOKUP(CONCATENATE(H41,F41,FX$2),GeoHis!$A:$H,7,FALSE)=CL41,1,0)</f>
        <v>#N/A</v>
      </c>
      <c r="FY41" s="138" t="e">
        <f>IF(VLOOKUP(CONCATENATE(H41,F41,FY$2),GeoHis!$A:$H,7,FALSE)=CM41,1,0)</f>
        <v>#N/A</v>
      </c>
      <c r="FZ41" s="138" t="e">
        <f>IF(VLOOKUP(CONCATENATE(H41,F41,FZ$2),GeoHis!$A:$H,7,FALSE)=CN41,1,0)</f>
        <v>#N/A</v>
      </c>
      <c r="GA41" s="138" t="e">
        <f>IF(VLOOKUP(CONCATENATE(H41,F41,GA$2),GeoHis!$A:$H,7,FALSE)=CO41,1,0)</f>
        <v>#N/A</v>
      </c>
      <c r="GB41" s="138" t="e">
        <f>IF(VLOOKUP(CONCATENATE(H41,F41,GB$2),GeoHis!$A:$H,7,FALSE)=CP41,1,0)</f>
        <v>#N/A</v>
      </c>
      <c r="GC41" s="138" t="e">
        <f>IF(VLOOKUP(CONCATENATE(H41,F41,GC$2),GeoHis!$A:$H,7,FALSE)=CQ41,1,0)</f>
        <v>#N/A</v>
      </c>
      <c r="GD41" s="138" t="e">
        <f>IF(VLOOKUP(CONCATENATE(H41,F41,GD$2),GeoHis!$A:$H,7,FALSE)=CR41,1,0)</f>
        <v>#N/A</v>
      </c>
      <c r="GE41" s="135" t="str">
        <f t="shared" si="6"/>
        <v/>
      </c>
    </row>
    <row r="42" spans="1:187" x14ac:dyDescent="0.25">
      <c r="A42" s="127" t="str">
        <f>IF(C42="","",'Datos Generales'!$A$25)</f>
        <v/>
      </c>
      <c r="D42" s="126" t="str">
        <f t="shared" si="0"/>
        <v/>
      </c>
      <c r="E42" s="126">
        <f t="shared" si="1"/>
        <v>0</v>
      </c>
      <c r="F42" s="126" t="str">
        <f t="shared" si="7"/>
        <v/>
      </c>
      <c r="G42" s="126" t="str">
        <f>IF(C42="","",'Datos Generales'!$D$19)</f>
        <v/>
      </c>
      <c r="H42" s="21" t="str">
        <f>IF(C42="","",'Datos Generales'!$A$19)</f>
        <v/>
      </c>
      <c r="I42" s="126" t="str">
        <f>IF(C42="","",'Datos Generales'!$A$7)</f>
        <v/>
      </c>
      <c r="J42" s="21" t="str">
        <f>IF(C42="","",'Datos Generales'!$A$13)</f>
        <v/>
      </c>
      <c r="K42" s="21" t="str">
        <f>IF(C42="","",'Datos Generales'!$A$10)</f>
        <v/>
      </c>
      <c r="CS42" s="142" t="str">
        <f t="shared" si="2"/>
        <v/>
      </c>
      <c r="CT42" s="142" t="str">
        <f t="shared" si="3"/>
        <v/>
      </c>
      <c r="CU42" s="142" t="str">
        <f t="shared" si="4"/>
        <v/>
      </c>
      <c r="CV42" s="142" t="str">
        <f t="shared" si="5"/>
        <v/>
      </c>
      <c r="CW42" s="142" t="str">
        <f>IF(C42="","",IF('Datos Generales'!$A$19=1,AVERAGE(FP42:GD42),AVERAGE(Captura!FP42:FY42)))</f>
        <v/>
      </c>
      <c r="CX42" s="138" t="e">
        <f>IF(VLOOKUP(CONCATENATE($H$4,$F$4,CX$2),Español!$A:$H,7,FALSE)=L42,1,0)</f>
        <v>#N/A</v>
      </c>
      <c r="CY42" s="138" t="e">
        <f>IF(VLOOKUP(CONCATENATE(H42,F42,CY$2),Español!$A:$H,7,FALSE)=M42,1,0)</f>
        <v>#N/A</v>
      </c>
      <c r="CZ42" s="138" t="e">
        <f>IF(VLOOKUP(CONCATENATE(H42,F42,CZ$2),Español!$A:$H,7,FALSE)=N42,1,0)</f>
        <v>#N/A</v>
      </c>
      <c r="DA42" s="138" t="e">
        <f>IF(VLOOKUP(CONCATENATE(H42,F42,DA$2),Español!$A:$H,7,FALSE)=O42,1,0)</f>
        <v>#N/A</v>
      </c>
      <c r="DB42" s="138" t="e">
        <f>IF(VLOOKUP(CONCATENATE(H42,F42,DB$2),Español!$A:$H,7,FALSE)=P42,1,0)</f>
        <v>#N/A</v>
      </c>
      <c r="DC42" s="138" t="e">
        <f>IF(VLOOKUP(CONCATENATE(H42,F42,DC$2),Español!$A:$H,7,FALSE)=Q42,1,0)</f>
        <v>#N/A</v>
      </c>
      <c r="DD42" s="138" t="e">
        <f>IF(VLOOKUP(CONCATENATE(H42,F42,DD$2),Español!$A:$H,7,FALSE)=R42,1,0)</f>
        <v>#N/A</v>
      </c>
      <c r="DE42" s="138" t="e">
        <f>IF(VLOOKUP(CONCATENATE(H42,F42,DE$2),Español!$A:$H,7,FALSE)=S42,1,0)</f>
        <v>#N/A</v>
      </c>
      <c r="DF42" s="138" t="e">
        <f>IF(VLOOKUP(CONCATENATE(H42,F42,DF$2),Español!$A:$H,7,FALSE)=T42,1,0)</f>
        <v>#N/A</v>
      </c>
      <c r="DG42" s="138" t="e">
        <f>IF(VLOOKUP(CONCATENATE(H42,F42,DG$2),Español!$A:$H,7,FALSE)=U42,1,0)</f>
        <v>#N/A</v>
      </c>
      <c r="DH42" s="138" t="e">
        <f>IF(VLOOKUP(CONCATENATE(H42,F42,DH$2),Español!$A:$H,7,FALSE)=V42,1,0)</f>
        <v>#N/A</v>
      </c>
      <c r="DI42" s="138" t="e">
        <f>IF(VLOOKUP(CONCATENATE(H42,F42,DI$2),Español!$A:$H,7,FALSE)=W42,1,0)</f>
        <v>#N/A</v>
      </c>
      <c r="DJ42" s="138" t="e">
        <f>IF(VLOOKUP(CONCATENATE(H42,F42,DJ$2),Español!$A:$H,7,FALSE)=X42,1,0)</f>
        <v>#N/A</v>
      </c>
      <c r="DK42" s="138" t="e">
        <f>IF(VLOOKUP(CONCATENATE(H42,F42,DK$2),Español!$A:$H,7,FALSE)=Y42,1,0)</f>
        <v>#N/A</v>
      </c>
      <c r="DL42" s="138" t="e">
        <f>IF(VLOOKUP(CONCATENATE(H42,F42,DL$2),Español!$A:$H,7,FALSE)=Z42,1,0)</f>
        <v>#N/A</v>
      </c>
      <c r="DM42" s="138" t="e">
        <f>IF(VLOOKUP(CONCATENATE(H42,F42,DM$2),Español!$A:$H,7,FALSE)=AA42,1,0)</f>
        <v>#N/A</v>
      </c>
      <c r="DN42" s="138" t="e">
        <f>IF(VLOOKUP(CONCATENATE(H42,F42,DN$2),Español!$A:$H,7,FALSE)=AB42,1,0)</f>
        <v>#N/A</v>
      </c>
      <c r="DO42" s="138" t="e">
        <f>IF(VLOOKUP(CONCATENATE(H42,F42,DO$2),Español!$A:$H,7,FALSE)=AC42,1,0)</f>
        <v>#N/A</v>
      </c>
      <c r="DP42" s="138" t="e">
        <f>IF(VLOOKUP(CONCATENATE(H42,F42,DP$2),Español!$A:$H,7,FALSE)=AD42,1,0)</f>
        <v>#N/A</v>
      </c>
      <c r="DQ42" s="138" t="e">
        <f>IF(VLOOKUP(CONCATENATE(H42,F42,DQ$2),Español!$A:$H,7,FALSE)=AE42,1,0)</f>
        <v>#N/A</v>
      </c>
      <c r="DR42" s="138" t="e">
        <f>IF(VLOOKUP(CONCATENATE(H42,F42,DR$2),Inglés!$A:$H,7,FALSE)=AF42,1,0)</f>
        <v>#N/A</v>
      </c>
      <c r="DS42" s="138" t="e">
        <f>IF(VLOOKUP(CONCATENATE(H42,F42,DS$2),Inglés!$A:$H,7,FALSE)=AG42,1,0)</f>
        <v>#N/A</v>
      </c>
      <c r="DT42" s="138" t="e">
        <f>IF(VLOOKUP(CONCATENATE(H42,F42,DT$2),Inglés!$A:$H,7,FALSE)=AH42,1,0)</f>
        <v>#N/A</v>
      </c>
      <c r="DU42" s="138" t="e">
        <f>IF(VLOOKUP(CONCATENATE(H42,F42,DU$2),Inglés!$A:$H,7,FALSE)=AI42,1,0)</f>
        <v>#N/A</v>
      </c>
      <c r="DV42" s="138" t="e">
        <f>IF(VLOOKUP(CONCATENATE(H42,F42,DV$2),Inglés!$A:$H,7,FALSE)=AJ42,1,0)</f>
        <v>#N/A</v>
      </c>
      <c r="DW42" s="138" t="e">
        <f>IF(VLOOKUP(CONCATENATE(H42,F42,DW$2),Inglés!$A:$H,7,FALSE)=AK42,1,0)</f>
        <v>#N/A</v>
      </c>
      <c r="DX42" s="138" t="e">
        <f>IF(VLOOKUP(CONCATENATE(H42,F42,DX$2),Inglés!$A:$H,7,FALSE)=AL42,1,0)</f>
        <v>#N/A</v>
      </c>
      <c r="DY42" s="138" t="e">
        <f>IF(VLOOKUP(CONCATENATE(H42,F42,DY$2),Inglés!$A:$H,7,FALSE)=AM42,1,0)</f>
        <v>#N/A</v>
      </c>
      <c r="DZ42" s="138" t="e">
        <f>IF(VLOOKUP(CONCATENATE(H42,F42,DZ$2),Inglés!$A:$H,7,FALSE)=AN42,1,0)</f>
        <v>#N/A</v>
      </c>
      <c r="EA42" s="138" t="e">
        <f>IF(VLOOKUP(CONCATENATE(H42,F42,EA$2),Inglés!$A:$H,7,FALSE)=AO42,1,0)</f>
        <v>#N/A</v>
      </c>
      <c r="EB42" s="138" t="e">
        <f>IF(VLOOKUP(CONCATENATE(H42,F42,EB$2),Matemáticas!$A:$H,7,FALSE)=AP42,1,0)</f>
        <v>#N/A</v>
      </c>
      <c r="EC42" s="138" t="e">
        <f>IF(VLOOKUP(CONCATENATE(H42,F42,EC$2),Matemáticas!$A:$H,7,FALSE)=AQ42,1,0)</f>
        <v>#N/A</v>
      </c>
      <c r="ED42" s="138" t="e">
        <f>IF(VLOOKUP(CONCATENATE(H42,F42,ED$2),Matemáticas!$A:$H,7,FALSE)=AR42,1,0)</f>
        <v>#N/A</v>
      </c>
      <c r="EE42" s="138" t="e">
        <f>IF(VLOOKUP(CONCATENATE(H42,F42,EE$2),Matemáticas!$A:$H,7,FALSE)=AS42,1,0)</f>
        <v>#N/A</v>
      </c>
      <c r="EF42" s="138" t="e">
        <f>IF(VLOOKUP(CONCATENATE(H42,F42,EF$2),Matemáticas!$A:$H,7,FALSE)=AT42,1,0)</f>
        <v>#N/A</v>
      </c>
      <c r="EG42" s="138" t="e">
        <f>IF(VLOOKUP(CONCATENATE(H42,F42,EG$2),Matemáticas!$A:$H,7,FALSE)=AU42,1,0)</f>
        <v>#N/A</v>
      </c>
      <c r="EH42" s="138" t="e">
        <f>IF(VLOOKUP(CONCATENATE(H42,F42,EH$2),Matemáticas!$A:$H,7,FALSE)=AV42,1,0)</f>
        <v>#N/A</v>
      </c>
      <c r="EI42" s="138" t="e">
        <f>IF(VLOOKUP(CONCATENATE(H42,F42,EI$2),Matemáticas!$A:$H,7,FALSE)=AW42,1,0)</f>
        <v>#N/A</v>
      </c>
      <c r="EJ42" s="138" t="e">
        <f>IF(VLOOKUP(CONCATENATE(H42,F42,EJ$2),Matemáticas!$A:$H,7,FALSE)=AX42,1,0)</f>
        <v>#N/A</v>
      </c>
      <c r="EK42" s="138" t="e">
        <f>IF(VLOOKUP(CONCATENATE(H42,F42,EK$2),Matemáticas!$A:$H,7,FALSE)=AY42,1,0)</f>
        <v>#N/A</v>
      </c>
      <c r="EL42" s="138" t="e">
        <f>IF(VLOOKUP(CONCATENATE(H42,F42,EL$2),Matemáticas!$A:$H,7,FALSE)=AZ42,1,0)</f>
        <v>#N/A</v>
      </c>
      <c r="EM42" s="138" t="e">
        <f>IF(VLOOKUP(CONCATENATE(H42,F42,EM$2),Matemáticas!$A:$H,7,FALSE)=BA42,1,0)</f>
        <v>#N/A</v>
      </c>
      <c r="EN42" s="138" t="e">
        <f>IF(VLOOKUP(CONCATENATE(H42,F42,EN$2),Matemáticas!$A:$H,7,FALSE)=BB42,1,0)</f>
        <v>#N/A</v>
      </c>
      <c r="EO42" s="138" t="e">
        <f>IF(VLOOKUP(CONCATENATE(H42,F42,EO$2),Matemáticas!$A:$H,7,FALSE)=BC42,1,0)</f>
        <v>#N/A</v>
      </c>
      <c r="EP42" s="138" t="e">
        <f>IF(VLOOKUP(CONCATENATE(H42,F42,EP$2),Matemáticas!$A:$H,7,FALSE)=BD42,1,0)</f>
        <v>#N/A</v>
      </c>
      <c r="EQ42" s="138" t="e">
        <f>IF(VLOOKUP(CONCATENATE(H42,F42,EQ$2),Matemáticas!$A:$H,7,FALSE)=BE42,1,0)</f>
        <v>#N/A</v>
      </c>
      <c r="ER42" s="138" t="e">
        <f>IF(VLOOKUP(CONCATENATE(H42,F42,ER$2),Matemáticas!$A:$H,7,FALSE)=BF42,1,0)</f>
        <v>#N/A</v>
      </c>
      <c r="ES42" s="138" t="e">
        <f>IF(VLOOKUP(CONCATENATE(H42,F42,ES$2),Matemáticas!$A:$H,7,FALSE)=BG42,1,0)</f>
        <v>#N/A</v>
      </c>
      <c r="ET42" s="138" t="e">
        <f>IF(VLOOKUP(CONCATENATE(H42,F42,ET$2),Matemáticas!$A:$H,7,FALSE)=BH42,1,0)</f>
        <v>#N/A</v>
      </c>
      <c r="EU42" s="138" t="e">
        <f>IF(VLOOKUP(CONCATENATE(H42,F42,EU$2),Matemáticas!$A:$H,7,FALSE)=BI42,1,0)</f>
        <v>#N/A</v>
      </c>
      <c r="EV42" s="138" t="e">
        <f>IF(VLOOKUP(CONCATENATE(H42,F42,EV$2),Ciencias!$A:$H,7,FALSE)=BJ42,1,0)</f>
        <v>#N/A</v>
      </c>
      <c r="EW42" s="138" t="e">
        <f>IF(VLOOKUP(CONCATENATE(H42,F42,EW$2),Ciencias!$A:$H,7,FALSE)=BK42,1,0)</f>
        <v>#N/A</v>
      </c>
      <c r="EX42" s="138" t="e">
        <f>IF(VLOOKUP(CONCATENATE(H42,F42,EX$2),Ciencias!$A:$H,7,FALSE)=BL42,1,0)</f>
        <v>#N/A</v>
      </c>
      <c r="EY42" s="138" t="e">
        <f>IF(VLOOKUP(CONCATENATE(H42,F42,EY$2),Ciencias!$A:$H,7,FALSE)=BM42,1,0)</f>
        <v>#N/A</v>
      </c>
      <c r="EZ42" s="138" t="e">
        <f>IF(VLOOKUP(CONCATENATE(H42,F42,EZ$2),Ciencias!$A:$H,7,FALSE)=BN42,1,0)</f>
        <v>#N/A</v>
      </c>
      <c r="FA42" s="138" t="e">
        <f>IF(VLOOKUP(CONCATENATE(H42,F42,FA$2),Ciencias!$A:$H,7,FALSE)=BO42,1,0)</f>
        <v>#N/A</v>
      </c>
      <c r="FB42" s="138" t="e">
        <f>IF(VLOOKUP(CONCATENATE(H42,F42,FB$2),Ciencias!$A:$H,7,FALSE)=BP42,1,0)</f>
        <v>#N/A</v>
      </c>
      <c r="FC42" s="138" t="e">
        <f>IF(VLOOKUP(CONCATENATE(H42,F42,FC$2),Ciencias!$A:$H,7,FALSE)=BQ42,1,0)</f>
        <v>#N/A</v>
      </c>
      <c r="FD42" s="138" t="e">
        <f>IF(VLOOKUP(CONCATENATE(H42,F42,FD$2),Ciencias!$A:$H,7,FALSE)=BR42,1,0)</f>
        <v>#N/A</v>
      </c>
      <c r="FE42" s="138" t="e">
        <f>IF(VLOOKUP(CONCATENATE(H42,F42,FE$2),Ciencias!$A:$H,7,FALSE)=BS42,1,0)</f>
        <v>#N/A</v>
      </c>
      <c r="FF42" s="138" t="e">
        <f>IF(VLOOKUP(CONCATENATE(H42,F42,FF$2),Ciencias!$A:$H,7,FALSE)=BT42,1,0)</f>
        <v>#N/A</v>
      </c>
      <c r="FG42" s="138" t="e">
        <f>IF(VLOOKUP(CONCATENATE(H42,F42,FG$2),Ciencias!$A:$H,7,FALSE)=BU42,1,0)</f>
        <v>#N/A</v>
      </c>
      <c r="FH42" s="138" t="e">
        <f>IF(VLOOKUP(CONCATENATE(H42,F42,FH$2),Ciencias!$A:$H,7,FALSE)=BV42,1,0)</f>
        <v>#N/A</v>
      </c>
      <c r="FI42" s="138" t="e">
        <f>IF(VLOOKUP(CONCATENATE(H42,F42,FI$2),Ciencias!$A:$H,7,FALSE)=BW42,1,0)</f>
        <v>#N/A</v>
      </c>
      <c r="FJ42" s="138" t="e">
        <f>IF(VLOOKUP(CONCATENATE(H42,F42,FJ$2),Ciencias!$A:$H,7,FALSE)=BX42,1,0)</f>
        <v>#N/A</v>
      </c>
      <c r="FK42" s="138" t="e">
        <f>IF(VLOOKUP(CONCATENATE(H42,F42,FK$2),Ciencias!$A:$H,7,FALSE)=BY42,1,0)</f>
        <v>#N/A</v>
      </c>
      <c r="FL42" s="138" t="e">
        <f>IF(VLOOKUP(CONCATENATE(H42,F42,FL$2),Ciencias!$A:$H,7,FALSE)=BZ42,1,0)</f>
        <v>#N/A</v>
      </c>
      <c r="FM42" s="138" t="e">
        <f>IF(VLOOKUP(CONCATENATE(H42,F42,FM$2),Ciencias!$A:$H,7,FALSE)=CA42,1,0)</f>
        <v>#N/A</v>
      </c>
      <c r="FN42" s="138" t="e">
        <f>IF(VLOOKUP(CONCATENATE(H42,F42,FN$2),Ciencias!$A:$H,7,FALSE)=CB42,1,0)</f>
        <v>#N/A</v>
      </c>
      <c r="FO42" s="138" t="e">
        <f>IF(VLOOKUP(CONCATENATE(H42,F42,FO$2),Ciencias!$A:$H,7,FALSE)=CC42,1,0)</f>
        <v>#N/A</v>
      </c>
      <c r="FP42" s="138" t="e">
        <f>IF(VLOOKUP(CONCATENATE(H42,F42,FP$2),GeoHis!$A:$H,7,FALSE)=CD42,1,0)</f>
        <v>#N/A</v>
      </c>
      <c r="FQ42" s="138" t="e">
        <f>IF(VLOOKUP(CONCATENATE(H42,F42,FQ$2),GeoHis!$A:$H,7,FALSE)=CE42,1,0)</f>
        <v>#N/A</v>
      </c>
      <c r="FR42" s="138" t="e">
        <f>IF(VLOOKUP(CONCATENATE(H42,F42,FR$2),GeoHis!$A:$H,7,FALSE)=CF42,1,0)</f>
        <v>#N/A</v>
      </c>
      <c r="FS42" s="138" t="e">
        <f>IF(VLOOKUP(CONCATENATE(H42,F42,FS$2),GeoHis!$A:$H,7,FALSE)=CG42,1,0)</f>
        <v>#N/A</v>
      </c>
      <c r="FT42" s="138" t="e">
        <f>IF(VLOOKUP(CONCATENATE(H42,F42,FT$2),GeoHis!$A:$H,7,FALSE)=CH42,1,0)</f>
        <v>#N/A</v>
      </c>
      <c r="FU42" s="138" t="e">
        <f>IF(VLOOKUP(CONCATENATE(H42,F42,FU$2),GeoHis!$A:$H,7,FALSE)=CI42,1,0)</f>
        <v>#N/A</v>
      </c>
      <c r="FV42" s="138" t="e">
        <f>IF(VLOOKUP(CONCATENATE(H42,F42,FV$2),GeoHis!$A:$H,7,FALSE)=CJ42,1,0)</f>
        <v>#N/A</v>
      </c>
      <c r="FW42" s="138" t="e">
        <f>IF(VLOOKUP(CONCATENATE(H42,F42,FW$2),GeoHis!$A:$H,7,FALSE)=CK42,1,0)</f>
        <v>#N/A</v>
      </c>
      <c r="FX42" s="138" t="e">
        <f>IF(VLOOKUP(CONCATENATE(H42,F42,FX$2),GeoHis!$A:$H,7,FALSE)=CL42,1,0)</f>
        <v>#N/A</v>
      </c>
      <c r="FY42" s="138" t="e">
        <f>IF(VLOOKUP(CONCATENATE(H42,F42,FY$2),GeoHis!$A:$H,7,FALSE)=CM42,1,0)</f>
        <v>#N/A</v>
      </c>
      <c r="FZ42" s="138" t="e">
        <f>IF(VLOOKUP(CONCATENATE(H42,F42,FZ$2),GeoHis!$A:$H,7,FALSE)=CN42,1,0)</f>
        <v>#N/A</v>
      </c>
      <c r="GA42" s="138" t="e">
        <f>IF(VLOOKUP(CONCATENATE(H42,F42,GA$2),GeoHis!$A:$H,7,FALSE)=CO42,1,0)</f>
        <v>#N/A</v>
      </c>
      <c r="GB42" s="138" t="e">
        <f>IF(VLOOKUP(CONCATENATE(H42,F42,GB$2),GeoHis!$A:$H,7,FALSE)=CP42,1,0)</f>
        <v>#N/A</v>
      </c>
      <c r="GC42" s="138" t="e">
        <f>IF(VLOOKUP(CONCATENATE(H42,F42,GC$2),GeoHis!$A:$H,7,FALSE)=CQ42,1,0)</f>
        <v>#N/A</v>
      </c>
      <c r="GD42" s="138" t="e">
        <f>IF(VLOOKUP(CONCATENATE(H42,F42,GD$2),GeoHis!$A:$H,7,FALSE)=CR42,1,0)</f>
        <v>#N/A</v>
      </c>
      <c r="GE42" s="135" t="str">
        <f t="shared" si="6"/>
        <v/>
      </c>
    </row>
    <row r="43" spans="1:187" x14ac:dyDescent="0.25">
      <c r="A43" s="127" t="str">
        <f>IF(C43="","",'Datos Generales'!$A$25)</f>
        <v/>
      </c>
      <c r="D43" s="126" t="str">
        <f t="shared" si="0"/>
        <v/>
      </c>
      <c r="E43" s="126">
        <f t="shared" si="1"/>
        <v>0</v>
      </c>
      <c r="F43" s="126" t="str">
        <f t="shared" si="7"/>
        <v/>
      </c>
      <c r="G43" s="126" t="str">
        <f>IF(C43="","",'Datos Generales'!$D$19)</f>
        <v/>
      </c>
      <c r="H43" s="21" t="str">
        <f>IF(C43="","",'Datos Generales'!$A$19)</f>
        <v/>
      </c>
      <c r="I43" s="126" t="str">
        <f>IF(C43="","",'Datos Generales'!$A$7)</f>
        <v/>
      </c>
      <c r="J43" s="21" t="str">
        <f>IF(C43="","",'Datos Generales'!$A$13)</f>
        <v/>
      </c>
      <c r="K43" s="21" t="str">
        <f>IF(C43="","",'Datos Generales'!$A$10)</f>
        <v/>
      </c>
      <c r="CS43" s="142" t="str">
        <f t="shared" si="2"/>
        <v/>
      </c>
      <c r="CT43" s="142" t="str">
        <f t="shared" si="3"/>
        <v/>
      </c>
      <c r="CU43" s="142" t="str">
        <f t="shared" si="4"/>
        <v/>
      </c>
      <c r="CV43" s="142" t="str">
        <f t="shared" si="5"/>
        <v/>
      </c>
      <c r="CW43" s="142" t="str">
        <f>IF(C43="","",IF('Datos Generales'!$A$19=1,AVERAGE(FP43:GD43),AVERAGE(Captura!FP43:FY43)))</f>
        <v/>
      </c>
      <c r="CX43" s="138" t="e">
        <f>IF(VLOOKUP(CONCATENATE($H$4,$F$4,CX$2),Español!$A:$H,7,FALSE)=L43,1,0)</f>
        <v>#N/A</v>
      </c>
      <c r="CY43" s="138" t="e">
        <f>IF(VLOOKUP(CONCATENATE(H43,F43,CY$2),Español!$A:$H,7,FALSE)=M43,1,0)</f>
        <v>#N/A</v>
      </c>
      <c r="CZ43" s="138" t="e">
        <f>IF(VLOOKUP(CONCATENATE(H43,F43,CZ$2),Español!$A:$H,7,FALSE)=N43,1,0)</f>
        <v>#N/A</v>
      </c>
      <c r="DA43" s="138" t="e">
        <f>IF(VLOOKUP(CONCATENATE(H43,F43,DA$2),Español!$A:$H,7,FALSE)=O43,1,0)</f>
        <v>#N/A</v>
      </c>
      <c r="DB43" s="138" t="e">
        <f>IF(VLOOKUP(CONCATENATE(H43,F43,DB$2),Español!$A:$H,7,FALSE)=P43,1,0)</f>
        <v>#N/A</v>
      </c>
      <c r="DC43" s="138" t="e">
        <f>IF(VLOOKUP(CONCATENATE(H43,F43,DC$2),Español!$A:$H,7,FALSE)=Q43,1,0)</f>
        <v>#N/A</v>
      </c>
      <c r="DD43" s="138" t="e">
        <f>IF(VLOOKUP(CONCATENATE(H43,F43,DD$2),Español!$A:$H,7,FALSE)=R43,1,0)</f>
        <v>#N/A</v>
      </c>
      <c r="DE43" s="138" t="e">
        <f>IF(VLOOKUP(CONCATENATE(H43,F43,DE$2),Español!$A:$H,7,FALSE)=S43,1,0)</f>
        <v>#N/A</v>
      </c>
      <c r="DF43" s="138" t="e">
        <f>IF(VLOOKUP(CONCATENATE(H43,F43,DF$2),Español!$A:$H,7,FALSE)=T43,1,0)</f>
        <v>#N/A</v>
      </c>
      <c r="DG43" s="138" t="e">
        <f>IF(VLOOKUP(CONCATENATE(H43,F43,DG$2),Español!$A:$H,7,FALSE)=U43,1,0)</f>
        <v>#N/A</v>
      </c>
      <c r="DH43" s="138" t="e">
        <f>IF(VLOOKUP(CONCATENATE(H43,F43,DH$2),Español!$A:$H,7,FALSE)=V43,1,0)</f>
        <v>#N/A</v>
      </c>
      <c r="DI43" s="138" t="e">
        <f>IF(VLOOKUP(CONCATENATE(H43,F43,DI$2),Español!$A:$H,7,FALSE)=W43,1,0)</f>
        <v>#N/A</v>
      </c>
      <c r="DJ43" s="138" t="e">
        <f>IF(VLOOKUP(CONCATENATE(H43,F43,DJ$2),Español!$A:$H,7,FALSE)=X43,1,0)</f>
        <v>#N/A</v>
      </c>
      <c r="DK43" s="138" t="e">
        <f>IF(VLOOKUP(CONCATENATE(H43,F43,DK$2),Español!$A:$H,7,FALSE)=Y43,1,0)</f>
        <v>#N/A</v>
      </c>
      <c r="DL43" s="138" t="e">
        <f>IF(VLOOKUP(CONCATENATE(H43,F43,DL$2),Español!$A:$H,7,FALSE)=Z43,1,0)</f>
        <v>#N/A</v>
      </c>
      <c r="DM43" s="138" t="e">
        <f>IF(VLOOKUP(CONCATENATE(H43,F43,DM$2),Español!$A:$H,7,FALSE)=AA43,1,0)</f>
        <v>#N/A</v>
      </c>
      <c r="DN43" s="138" t="e">
        <f>IF(VLOOKUP(CONCATENATE(H43,F43,DN$2),Español!$A:$H,7,FALSE)=AB43,1,0)</f>
        <v>#N/A</v>
      </c>
      <c r="DO43" s="138" t="e">
        <f>IF(VLOOKUP(CONCATENATE(H43,F43,DO$2),Español!$A:$H,7,FALSE)=AC43,1,0)</f>
        <v>#N/A</v>
      </c>
      <c r="DP43" s="138" t="e">
        <f>IF(VLOOKUP(CONCATENATE(H43,F43,DP$2),Español!$A:$H,7,FALSE)=AD43,1,0)</f>
        <v>#N/A</v>
      </c>
      <c r="DQ43" s="138" t="e">
        <f>IF(VLOOKUP(CONCATENATE(H43,F43,DQ$2),Español!$A:$H,7,FALSE)=AE43,1,0)</f>
        <v>#N/A</v>
      </c>
      <c r="DR43" s="138" t="e">
        <f>IF(VLOOKUP(CONCATENATE(H43,F43,DR$2),Inglés!$A:$H,7,FALSE)=AF43,1,0)</f>
        <v>#N/A</v>
      </c>
      <c r="DS43" s="138" t="e">
        <f>IF(VLOOKUP(CONCATENATE(H43,F43,DS$2),Inglés!$A:$H,7,FALSE)=AG43,1,0)</f>
        <v>#N/A</v>
      </c>
      <c r="DT43" s="138" t="e">
        <f>IF(VLOOKUP(CONCATENATE(H43,F43,DT$2),Inglés!$A:$H,7,FALSE)=AH43,1,0)</f>
        <v>#N/A</v>
      </c>
      <c r="DU43" s="138" t="e">
        <f>IF(VLOOKUP(CONCATENATE(H43,F43,DU$2),Inglés!$A:$H,7,FALSE)=AI43,1,0)</f>
        <v>#N/A</v>
      </c>
      <c r="DV43" s="138" t="e">
        <f>IF(VLOOKUP(CONCATENATE(H43,F43,DV$2),Inglés!$A:$H,7,FALSE)=AJ43,1,0)</f>
        <v>#N/A</v>
      </c>
      <c r="DW43" s="138" t="e">
        <f>IF(VLOOKUP(CONCATENATE(H43,F43,DW$2),Inglés!$A:$H,7,FALSE)=AK43,1,0)</f>
        <v>#N/A</v>
      </c>
      <c r="DX43" s="138" t="e">
        <f>IF(VLOOKUP(CONCATENATE(H43,F43,DX$2),Inglés!$A:$H,7,FALSE)=AL43,1,0)</f>
        <v>#N/A</v>
      </c>
      <c r="DY43" s="138" t="e">
        <f>IF(VLOOKUP(CONCATENATE(H43,F43,DY$2),Inglés!$A:$H,7,FALSE)=AM43,1,0)</f>
        <v>#N/A</v>
      </c>
      <c r="DZ43" s="138" t="e">
        <f>IF(VLOOKUP(CONCATENATE(H43,F43,DZ$2),Inglés!$A:$H,7,FALSE)=AN43,1,0)</f>
        <v>#N/A</v>
      </c>
      <c r="EA43" s="138" t="e">
        <f>IF(VLOOKUP(CONCATENATE(H43,F43,EA$2),Inglés!$A:$H,7,FALSE)=AO43,1,0)</f>
        <v>#N/A</v>
      </c>
      <c r="EB43" s="138" t="e">
        <f>IF(VLOOKUP(CONCATENATE(H43,F43,EB$2),Matemáticas!$A:$H,7,FALSE)=AP43,1,0)</f>
        <v>#N/A</v>
      </c>
      <c r="EC43" s="138" t="e">
        <f>IF(VLOOKUP(CONCATENATE(H43,F43,EC$2),Matemáticas!$A:$H,7,FALSE)=AQ43,1,0)</f>
        <v>#N/A</v>
      </c>
      <c r="ED43" s="138" t="e">
        <f>IF(VLOOKUP(CONCATENATE(H43,F43,ED$2),Matemáticas!$A:$H,7,FALSE)=AR43,1,0)</f>
        <v>#N/A</v>
      </c>
      <c r="EE43" s="138" t="e">
        <f>IF(VLOOKUP(CONCATENATE(H43,F43,EE$2),Matemáticas!$A:$H,7,FALSE)=AS43,1,0)</f>
        <v>#N/A</v>
      </c>
      <c r="EF43" s="138" t="e">
        <f>IF(VLOOKUP(CONCATENATE(H43,F43,EF$2),Matemáticas!$A:$H,7,FALSE)=AT43,1,0)</f>
        <v>#N/A</v>
      </c>
      <c r="EG43" s="138" t="e">
        <f>IF(VLOOKUP(CONCATENATE(H43,F43,EG$2),Matemáticas!$A:$H,7,FALSE)=AU43,1,0)</f>
        <v>#N/A</v>
      </c>
      <c r="EH43" s="138" t="e">
        <f>IF(VLOOKUP(CONCATENATE(H43,F43,EH$2),Matemáticas!$A:$H,7,FALSE)=AV43,1,0)</f>
        <v>#N/A</v>
      </c>
      <c r="EI43" s="138" t="e">
        <f>IF(VLOOKUP(CONCATENATE(H43,F43,EI$2),Matemáticas!$A:$H,7,FALSE)=AW43,1,0)</f>
        <v>#N/A</v>
      </c>
      <c r="EJ43" s="138" t="e">
        <f>IF(VLOOKUP(CONCATENATE(H43,F43,EJ$2),Matemáticas!$A:$H,7,FALSE)=AX43,1,0)</f>
        <v>#N/A</v>
      </c>
      <c r="EK43" s="138" t="e">
        <f>IF(VLOOKUP(CONCATENATE(H43,F43,EK$2),Matemáticas!$A:$H,7,FALSE)=AY43,1,0)</f>
        <v>#N/A</v>
      </c>
      <c r="EL43" s="138" t="e">
        <f>IF(VLOOKUP(CONCATENATE(H43,F43,EL$2),Matemáticas!$A:$H,7,FALSE)=AZ43,1,0)</f>
        <v>#N/A</v>
      </c>
      <c r="EM43" s="138" t="e">
        <f>IF(VLOOKUP(CONCATENATE(H43,F43,EM$2),Matemáticas!$A:$H,7,FALSE)=BA43,1,0)</f>
        <v>#N/A</v>
      </c>
      <c r="EN43" s="138" t="e">
        <f>IF(VLOOKUP(CONCATENATE(H43,F43,EN$2),Matemáticas!$A:$H,7,FALSE)=BB43,1,0)</f>
        <v>#N/A</v>
      </c>
      <c r="EO43" s="138" t="e">
        <f>IF(VLOOKUP(CONCATENATE(H43,F43,EO$2),Matemáticas!$A:$H,7,FALSE)=BC43,1,0)</f>
        <v>#N/A</v>
      </c>
      <c r="EP43" s="138" t="e">
        <f>IF(VLOOKUP(CONCATENATE(H43,F43,EP$2),Matemáticas!$A:$H,7,FALSE)=BD43,1,0)</f>
        <v>#N/A</v>
      </c>
      <c r="EQ43" s="138" t="e">
        <f>IF(VLOOKUP(CONCATENATE(H43,F43,EQ$2),Matemáticas!$A:$H,7,FALSE)=BE43,1,0)</f>
        <v>#N/A</v>
      </c>
      <c r="ER43" s="138" t="e">
        <f>IF(VLOOKUP(CONCATENATE(H43,F43,ER$2),Matemáticas!$A:$H,7,FALSE)=BF43,1,0)</f>
        <v>#N/A</v>
      </c>
      <c r="ES43" s="138" t="e">
        <f>IF(VLOOKUP(CONCATENATE(H43,F43,ES$2),Matemáticas!$A:$H,7,FALSE)=BG43,1,0)</f>
        <v>#N/A</v>
      </c>
      <c r="ET43" s="138" t="e">
        <f>IF(VLOOKUP(CONCATENATE(H43,F43,ET$2),Matemáticas!$A:$H,7,FALSE)=BH43,1,0)</f>
        <v>#N/A</v>
      </c>
      <c r="EU43" s="138" t="e">
        <f>IF(VLOOKUP(CONCATENATE(H43,F43,EU$2),Matemáticas!$A:$H,7,FALSE)=BI43,1,0)</f>
        <v>#N/A</v>
      </c>
      <c r="EV43" s="138" t="e">
        <f>IF(VLOOKUP(CONCATENATE(H43,F43,EV$2),Ciencias!$A:$H,7,FALSE)=BJ43,1,0)</f>
        <v>#N/A</v>
      </c>
      <c r="EW43" s="138" t="e">
        <f>IF(VLOOKUP(CONCATENATE(H43,F43,EW$2),Ciencias!$A:$H,7,FALSE)=BK43,1,0)</f>
        <v>#N/A</v>
      </c>
      <c r="EX43" s="138" t="e">
        <f>IF(VLOOKUP(CONCATENATE(H43,F43,EX$2),Ciencias!$A:$H,7,FALSE)=BL43,1,0)</f>
        <v>#N/A</v>
      </c>
      <c r="EY43" s="138" t="e">
        <f>IF(VLOOKUP(CONCATENATE(H43,F43,EY$2),Ciencias!$A:$H,7,FALSE)=BM43,1,0)</f>
        <v>#N/A</v>
      </c>
      <c r="EZ43" s="138" t="e">
        <f>IF(VLOOKUP(CONCATENATE(H43,F43,EZ$2),Ciencias!$A:$H,7,FALSE)=BN43,1,0)</f>
        <v>#N/A</v>
      </c>
      <c r="FA43" s="138" t="e">
        <f>IF(VLOOKUP(CONCATENATE(H43,F43,FA$2),Ciencias!$A:$H,7,FALSE)=BO43,1,0)</f>
        <v>#N/A</v>
      </c>
      <c r="FB43" s="138" t="e">
        <f>IF(VLOOKUP(CONCATENATE(H43,F43,FB$2),Ciencias!$A:$H,7,FALSE)=BP43,1,0)</f>
        <v>#N/A</v>
      </c>
      <c r="FC43" s="138" t="e">
        <f>IF(VLOOKUP(CONCATENATE(H43,F43,FC$2),Ciencias!$A:$H,7,FALSE)=BQ43,1,0)</f>
        <v>#N/A</v>
      </c>
      <c r="FD43" s="138" t="e">
        <f>IF(VLOOKUP(CONCATENATE(H43,F43,FD$2),Ciencias!$A:$H,7,FALSE)=BR43,1,0)</f>
        <v>#N/A</v>
      </c>
      <c r="FE43" s="138" t="e">
        <f>IF(VLOOKUP(CONCATENATE(H43,F43,FE$2),Ciencias!$A:$H,7,FALSE)=BS43,1,0)</f>
        <v>#N/A</v>
      </c>
      <c r="FF43" s="138" t="e">
        <f>IF(VLOOKUP(CONCATENATE(H43,F43,FF$2),Ciencias!$A:$H,7,FALSE)=BT43,1,0)</f>
        <v>#N/A</v>
      </c>
      <c r="FG43" s="138" t="e">
        <f>IF(VLOOKUP(CONCATENATE(H43,F43,FG$2),Ciencias!$A:$H,7,FALSE)=BU43,1,0)</f>
        <v>#N/A</v>
      </c>
      <c r="FH43" s="138" t="e">
        <f>IF(VLOOKUP(CONCATENATE(H43,F43,FH$2),Ciencias!$A:$H,7,FALSE)=BV43,1,0)</f>
        <v>#N/A</v>
      </c>
      <c r="FI43" s="138" t="e">
        <f>IF(VLOOKUP(CONCATENATE(H43,F43,FI$2),Ciencias!$A:$H,7,FALSE)=BW43,1,0)</f>
        <v>#N/A</v>
      </c>
      <c r="FJ43" s="138" t="e">
        <f>IF(VLOOKUP(CONCATENATE(H43,F43,FJ$2),Ciencias!$A:$H,7,FALSE)=BX43,1,0)</f>
        <v>#N/A</v>
      </c>
      <c r="FK43" s="138" t="e">
        <f>IF(VLOOKUP(CONCATENATE(H43,F43,FK$2),Ciencias!$A:$H,7,FALSE)=BY43,1,0)</f>
        <v>#N/A</v>
      </c>
      <c r="FL43" s="138" t="e">
        <f>IF(VLOOKUP(CONCATENATE(H43,F43,FL$2),Ciencias!$A:$H,7,FALSE)=BZ43,1,0)</f>
        <v>#N/A</v>
      </c>
      <c r="FM43" s="138" t="e">
        <f>IF(VLOOKUP(CONCATENATE(H43,F43,FM$2),Ciencias!$A:$H,7,FALSE)=CA43,1,0)</f>
        <v>#N/A</v>
      </c>
      <c r="FN43" s="138" t="e">
        <f>IF(VLOOKUP(CONCATENATE(H43,F43,FN$2),Ciencias!$A:$H,7,FALSE)=CB43,1,0)</f>
        <v>#N/A</v>
      </c>
      <c r="FO43" s="138" t="e">
        <f>IF(VLOOKUP(CONCATENATE(H43,F43,FO$2),Ciencias!$A:$H,7,FALSE)=CC43,1,0)</f>
        <v>#N/A</v>
      </c>
      <c r="FP43" s="138" t="e">
        <f>IF(VLOOKUP(CONCATENATE(H43,F43,FP$2),GeoHis!$A:$H,7,FALSE)=CD43,1,0)</f>
        <v>#N/A</v>
      </c>
      <c r="FQ43" s="138" t="e">
        <f>IF(VLOOKUP(CONCATENATE(H43,F43,FQ$2),GeoHis!$A:$H,7,FALSE)=CE43,1,0)</f>
        <v>#N/A</v>
      </c>
      <c r="FR43" s="138" t="e">
        <f>IF(VLOOKUP(CONCATENATE(H43,F43,FR$2),GeoHis!$A:$H,7,FALSE)=CF43,1,0)</f>
        <v>#N/A</v>
      </c>
      <c r="FS43" s="138" t="e">
        <f>IF(VLOOKUP(CONCATENATE(H43,F43,FS$2),GeoHis!$A:$H,7,FALSE)=CG43,1,0)</f>
        <v>#N/A</v>
      </c>
      <c r="FT43" s="138" t="e">
        <f>IF(VLOOKUP(CONCATENATE(H43,F43,FT$2),GeoHis!$A:$H,7,FALSE)=CH43,1,0)</f>
        <v>#N/A</v>
      </c>
      <c r="FU43" s="138" t="e">
        <f>IF(VLOOKUP(CONCATENATE(H43,F43,FU$2),GeoHis!$A:$H,7,FALSE)=CI43,1,0)</f>
        <v>#N/A</v>
      </c>
      <c r="FV43" s="138" t="e">
        <f>IF(VLOOKUP(CONCATENATE(H43,F43,FV$2),GeoHis!$A:$H,7,FALSE)=CJ43,1,0)</f>
        <v>#N/A</v>
      </c>
      <c r="FW43" s="138" t="e">
        <f>IF(VLOOKUP(CONCATENATE(H43,F43,FW$2),GeoHis!$A:$H,7,FALSE)=CK43,1,0)</f>
        <v>#N/A</v>
      </c>
      <c r="FX43" s="138" t="e">
        <f>IF(VLOOKUP(CONCATENATE(H43,F43,FX$2),GeoHis!$A:$H,7,FALSE)=CL43,1,0)</f>
        <v>#N/A</v>
      </c>
      <c r="FY43" s="138" t="e">
        <f>IF(VLOOKUP(CONCATENATE(H43,F43,FY$2),GeoHis!$A:$H,7,FALSE)=CM43,1,0)</f>
        <v>#N/A</v>
      </c>
      <c r="FZ43" s="138" t="e">
        <f>IF(VLOOKUP(CONCATENATE(H43,F43,FZ$2),GeoHis!$A:$H,7,FALSE)=CN43,1,0)</f>
        <v>#N/A</v>
      </c>
      <c r="GA43" s="138" t="e">
        <f>IF(VLOOKUP(CONCATENATE(H43,F43,GA$2),GeoHis!$A:$H,7,FALSE)=CO43,1,0)</f>
        <v>#N/A</v>
      </c>
      <c r="GB43" s="138" t="e">
        <f>IF(VLOOKUP(CONCATENATE(H43,F43,GB$2),GeoHis!$A:$H,7,FALSE)=CP43,1,0)</f>
        <v>#N/A</v>
      </c>
      <c r="GC43" s="138" t="e">
        <f>IF(VLOOKUP(CONCATENATE(H43,F43,GC$2),GeoHis!$A:$H,7,FALSE)=CQ43,1,0)</f>
        <v>#N/A</v>
      </c>
      <c r="GD43" s="138" t="e">
        <f>IF(VLOOKUP(CONCATENATE(H43,F43,GD$2),GeoHis!$A:$H,7,FALSE)=CR43,1,0)</f>
        <v>#N/A</v>
      </c>
      <c r="GE43" s="135" t="str">
        <f t="shared" si="6"/>
        <v/>
      </c>
    </row>
    <row r="44" spans="1:187" x14ac:dyDescent="0.25">
      <c r="A44" s="127" t="str">
        <f>IF(C44="","",'Datos Generales'!$A$25)</f>
        <v/>
      </c>
      <c r="D44" s="126" t="str">
        <f t="shared" si="0"/>
        <v/>
      </c>
      <c r="E44" s="126">
        <f t="shared" si="1"/>
        <v>0</v>
      </c>
      <c r="F44" s="126" t="str">
        <f t="shared" si="7"/>
        <v/>
      </c>
      <c r="G44" s="126" t="str">
        <f>IF(C44="","",'Datos Generales'!$D$19)</f>
        <v/>
      </c>
      <c r="H44" s="21" t="str">
        <f>IF(C44="","",'Datos Generales'!$A$19)</f>
        <v/>
      </c>
      <c r="I44" s="126" t="str">
        <f>IF(C44="","",'Datos Generales'!$A$7)</f>
        <v/>
      </c>
      <c r="J44" s="21" t="str">
        <f>IF(C44="","",'Datos Generales'!$A$13)</f>
        <v/>
      </c>
      <c r="K44" s="21" t="str">
        <f>IF(C44="","",'Datos Generales'!$A$10)</f>
        <v/>
      </c>
      <c r="CS44" s="142" t="str">
        <f t="shared" si="2"/>
        <v/>
      </c>
      <c r="CT44" s="142" t="str">
        <f t="shared" si="3"/>
        <v/>
      </c>
      <c r="CU44" s="142" t="str">
        <f t="shared" si="4"/>
        <v/>
      </c>
      <c r="CV44" s="142" t="str">
        <f t="shared" si="5"/>
        <v/>
      </c>
      <c r="CW44" s="142" t="str">
        <f>IF(C44="","",IF('Datos Generales'!$A$19=1,AVERAGE(FP44:GD44),AVERAGE(Captura!FP44:FY44)))</f>
        <v/>
      </c>
      <c r="CX44" s="138" t="e">
        <f>IF(VLOOKUP(CONCATENATE($H$4,$F$4,CX$2),Español!$A:$H,7,FALSE)=L44,1,0)</f>
        <v>#N/A</v>
      </c>
      <c r="CY44" s="138" t="e">
        <f>IF(VLOOKUP(CONCATENATE(H44,F44,CY$2),Español!$A:$H,7,FALSE)=M44,1,0)</f>
        <v>#N/A</v>
      </c>
      <c r="CZ44" s="138" t="e">
        <f>IF(VLOOKUP(CONCATENATE(H44,F44,CZ$2),Español!$A:$H,7,FALSE)=N44,1,0)</f>
        <v>#N/A</v>
      </c>
      <c r="DA44" s="138" t="e">
        <f>IF(VLOOKUP(CONCATENATE(H44,F44,DA$2),Español!$A:$H,7,FALSE)=O44,1,0)</f>
        <v>#N/A</v>
      </c>
      <c r="DB44" s="138" t="e">
        <f>IF(VLOOKUP(CONCATENATE(H44,F44,DB$2),Español!$A:$H,7,FALSE)=P44,1,0)</f>
        <v>#N/A</v>
      </c>
      <c r="DC44" s="138" t="e">
        <f>IF(VLOOKUP(CONCATENATE(H44,F44,DC$2),Español!$A:$H,7,FALSE)=Q44,1,0)</f>
        <v>#N/A</v>
      </c>
      <c r="DD44" s="138" t="e">
        <f>IF(VLOOKUP(CONCATENATE(H44,F44,DD$2),Español!$A:$H,7,FALSE)=R44,1,0)</f>
        <v>#N/A</v>
      </c>
      <c r="DE44" s="138" t="e">
        <f>IF(VLOOKUP(CONCATENATE(H44,F44,DE$2),Español!$A:$H,7,FALSE)=S44,1,0)</f>
        <v>#N/A</v>
      </c>
      <c r="DF44" s="138" t="e">
        <f>IF(VLOOKUP(CONCATENATE(H44,F44,DF$2),Español!$A:$H,7,FALSE)=T44,1,0)</f>
        <v>#N/A</v>
      </c>
      <c r="DG44" s="138" t="e">
        <f>IF(VLOOKUP(CONCATENATE(H44,F44,DG$2),Español!$A:$H,7,FALSE)=U44,1,0)</f>
        <v>#N/A</v>
      </c>
      <c r="DH44" s="138" t="e">
        <f>IF(VLOOKUP(CONCATENATE(H44,F44,DH$2),Español!$A:$H,7,FALSE)=V44,1,0)</f>
        <v>#N/A</v>
      </c>
      <c r="DI44" s="138" t="e">
        <f>IF(VLOOKUP(CONCATENATE(H44,F44,DI$2),Español!$A:$H,7,FALSE)=W44,1,0)</f>
        <v>#N/A</v>
      </c>
      <c r="DJ44" s="138" t="e">
        <f>IF(VLOOKUP(CONCATENATE(H44,F44,DJ$2),Español!$A:$H,7,FALSE)=X44,1,0)</f>
        <v>#N/A</v>
      </c>
      <c r="DK44" s="138" t="e">
        <f>IF(VLOOKUP(CONCATENATE(H44,F44,DK$2),Español!$A:$H,7,FALSE)=Y44,1,0)</f>
        <v>#N/A</v>
      </c>
      <c r="DL44" s="138" t="e">
        <f>IF(VLOOKUP(CONCATENATE(H44,F44,DL$2),Español!$A:$H,7,FALSE)=Z44,1,0)</f>
        <v>#N/A</v>
      </c>
      <c r="DM44" s="138" t="e">
        <f>IF(VLOOKUP(CONCATENATE(H44,F44,DM$2),Español!$A:$H,7,FALSE)=AA44,1,0)</f>
        <v>#N/A</v>
      </c>
      <c r="DN44" s="138" t="e">
        <f>IF(VLOOKUP(CONCATENATE(H44,F44,DN$2),Español!$A:$H,7,FALSE)=AB44,1,0)</f>
        <v>#N/A</v>
      </c>
      <c r="DO44" s="138" t="e">
        <f>IF(VLOOKUP(CONCATENATE(H44,F44,DO$2),Español!$A:$H,7,FALSE)=AC44,1,0)</f>
        <v>#N/A</v>
      </c>
      <c r="DP44" s="138" t="e">
        <f>IF(VLOOKUP(CONCATENATE(H44,F44,DP$2),Español!$A:$H,7,FALSE)=AD44,1,0)</f>
        <v>#N/A</v>
      </c>
      <c r="DQ44" s="138" t="e">
        <f>IF(VLOOKUP(CONCATENATE(H44,F44,DQ$2),Español!$A:$H,7,FALSE)=AE44,1,0)</f>
        <v>#N/A</v>
      </c>
      <c r="DR44" s="138" t="e">
        <f>IF(VLOOKUP(CONCATENATE(H44,F44,DR$2),Inglés!$A:$H,7,FALSE)=AF44,1,0)</f>
        <v>#N/A</v>
      </c>
      <c r="DS44" s="138" t="e">
        <f>IF(VLOOKUP(CONCATENATE(H44,F44,DS$2),Inglés!$A:$H,7,FALSE)=AG44,1,0)</f>
        <v>#N/A</v>
      </c>
      <c r="DT44" s="138" t="e">
        <f>IF(VLOOKUP(CONCATENATE(H44,F44,DT$2),Inglés!$A:$H,7,FALSE)=AH44,1,0)</f>
        <v>#N/A</v>
      </c>
      <c r="DU44" s="138" t="e">
        <f>IF(VLOOKUP(CONCATENATE(H44,F44,DU$2),Inglés!$A:$H,7,FALSE)=AI44,1,0)</f>
        <v>#N/A</v>
      </c>
      <c r="DV44" s="138" t="e">
        <f>IF(VLOOKUP(CONCATENATE(H44,F44,DV$2),Inglés!$A:$H,7,FALSE)=AJ44,1,0)</f>
        <v>#N/A</v>
      </c>
      <c r="DW44" s="138" t="e">
        <f>IF(VLOOKUP(CONCATENATE(H44,F44,DW$2),Inglés!$A:$H,7,FALSE)=AK44,1,0)</f>
        <v>#N/A</v>
      </c>
      <c r="DX44" s="138" t="e">
        <f>IF(VLOOKUP(CONCATENATE(H44,F44,DX$2),Inglés!$A:$H,7,FALSE)=AL44,1,0)</f>
        <v>#N/A</v>
      </c>
      <c r="DY44" s="138" t="e">
        <f>IF(VLOOKUP(CONCATENATE(H44,F44,DY$2),Inglés!$A:$H,7,FALSE)=AM44,1,0)</f>
        <v>#N/A</v>
      </c>
      <c r="DZ44" s="138" t="e">
        <f>IF(VLOOKUP(CONCATENATE(H44,F44,DZ$2),Inglés!$A:$H,7,FALSE)=AN44,1,0)</f>
        <v>#N/A</v>
      </c>
      <c r="EA44" s="138" t="e">
        <f>IF(VLOOKUP(CONCATENATE(H44,F44,EA$2),Inglés!$A:$H,7,FALSE)=AO44,1,0)</f>
        <v>#N/A</v>
      </c>
      <c r="EB44" s="138" t="e">
        <f>IF(VLOOKUP(CONCATENATE(H44,F44,EB$2),Matemáticas!$A:$H,7,FALSE)=AP44,1,0)</f>
        <v>#N/A</v>
      </c>
      <c r="EC44" s="138" t="e">
        <f>IF(VLOOKUP(CONCATENATE(H44,F44,EC$2),Matemáticas!$A:$H,7,FALSE)=AQ44,1,0)</f>
        <v>#N/A</v>
      </c>
      <c r="ED44" s="138" t="e">
        <f>IF(VLOOKUP(CONCATENATE(H44,F44,ED$2),Matemáticas!$A:$H,7,FALSE)=AR44,1,0)</f>
        <v>#N/A</v>
      </c>
      <c r="EE44" s="138" t="e">
        <f>IF(VLOOKUP(CONCATENATE(H44,F44,EE$2),Matemáticas!$A:$H,7,FALSE)=AS44,1,0)</f>
        <v>#N/A</v>
      </c>
      <c r="EF44" s="138" t="e">
        <f>IF(VLOOKUP(CONCATENATE(H44,F44,EF$2),Matemáticas!$A:$H,7,FALSE)=AT44,1,0)</f>
        <v>#N/A</v>
      </c>
      <c r="EG44" s="138" t="e">
        <f>IF(VLOOKUP(CONCATENATE(H44,F44,EG$2),Matemáticas!$A:$H,7,FALSE)=AU44,1,0)</f>
        <v>#N/A</v>
      </c>
      <c r="EH44" s="138" t="e">
        <f>IF(VLOOKUP(CONCATENATE(H44,F44,EH$2),Matemáticas!$A:$H,7,FALSE)=AV44,1,0)</f>
        <v>#N/A</v>
      </c>
      <c r="EI44" s="138" t="e">
        <f>IF(VLOOKUP(CONCATENATE(H44,F44,EI$2),Matemáticas!$A:$H,7,FALSE)=AW44,1,0)</f>
        <v>#N/A</v>
      </c>
      <c r="EJ44" s="138" t="e">
        <f>IF(VLOOKUP(CONCATENATE(H44,F44,EJ$2),Matemáticas!$A:$H,7,FALSE)=AX44,1,0)</f>
        <v>#N/A</v>
      </c>
      <c r="EK44" s="138" t="e">
        <f>IF(VLOOKUP(CONCATENATE(H44,F44,EK$2),Matemáticas!$A:$H,7,FALSE)=AY44,1,0)</f>
        <v>#N/A</v>
      </c>
      <c r="EL44" s="138" t="e">
        <f>IF(VLOOKUP(CONCATENATE(H44,F44,EL$2),Matemáticas!$A:$H,7,FALSE)=AZ44,1,0)</f>
        <v>#N/A</v>
      </c>
      <c r="EM44" s="138" t="e">
        <f>IF(VLOOKUP(CONCATENATE(H44,F44,EM$2),Matemáticas!$A:$H,7,FALSE)=BA44,1,0)</f>
        <v>#N/A</v>
      </c>
      <c r="EN44" s="138" t="e">
        <f>IF(VLOOKUP(CONCATENATE(H44,F44,EN$2),Matemáticas!$A:$H,7,FALSE)=BB44,1,0)</f>
        <v>#N/A</v>
      </c>
      <c r="EO44" s="138" t="e">
        <f>IF(VLOOKUP(CONCATENATE(H44,F44,EO$2),Matemáticas!$A:$H,7,FALSE)=BC44,1,0)</f>
        <v>#N/A</v>
      </c>
      <c r="EP44" s="138" t="e">
        <f>IF(VLOOKUP(CONCATENATE(H44,F44,EP$2),Matemáticas!$A:$H,7,FALSE)=BD44,1,0)</f>
        <v>#N/A</v>
      </c>
      <c r="EQ44" s="138" t="e">
        <f>IF(VLOOKUP(CONCATENATE(H44,F44,EQ$2),Matemáticas!$A:$H,7,FALSE)=BE44,1,0)</f>
        <v>#N/A</v>
      </c>
      <c r="ER44" s="138" t="e">
        <f>IF(VLOOKUP(CONCATENATE(H44,F44,ER$2),Matemáticas!$A:$H,7,FALSE)=BF44,1,0)</f>
        <v>#N/A</v>
      </c>
      <c r="ES44" s="138" t="e">
        <f>IF(VLOOKUP(CONCATENATE(H44,F44,ES$2),Matemáticas!$A:$H,7,FALSE)=BG44,1,0)</f>
        <v>#N/A</v>
      </c>
      <c r="ET44" s="138" t="e">
        <f>IF(VLOOKUP(CONCATENATE(H44,F44,ET$2),Matemáticas!$A:$H,7,FALSE)=BH44,1,0)</f>
        <v>#N/A</v>
      </c>
      <c r="EU44" s="138" t="e">
        <f>IF(VLOOKUP(CONCATENATE(H44,F44,EU$2),Matemáticas!$A:$H,7,FALSE)=BI44,1,0)</f>
        <v>#N/A</v>
      </c>
      <c r="EV44" s="138" t="e">
        <f>IF(VLOOKUP(CONCATENATE(H44,F44,EV$2),Ciencias!$A:$H,7,FALSE)=BJ44,1,0)</f>
        <v>#N/A</v>
      </c>
      <c r="EW44" s="138" t="e">
        <f>IF(VLOOKUP(CONCATENATE(H44,F44,EW$2),Ciencias!$A:$H,7,FALSE)=BK44,1,0)</f>
        <v>#N/A</v>
      </c>
      <c r="EX44" s="138" t="e">
        <f>IF(VLOOKUP(CONCATENATE(H44,F44,EX$2),Ciencias!$A:$H,7,FALSE)=BL44,1,0)</f>
        <v>#N/A</v>
      </c>
      <c r="EY44" s="138" t="e">
        <f>IF(VLOOKUP(CONCATENATE(H44,F44,EY$2),Ciencias!$A:$H,7,FALSE)=BM44,1,0)</f>
        <v>#N/A</v>
      </c>
      <c r="EZ44" s="138" t="e">
        <f>IF(VLOOKUP(CONCATENATE(H44,F44,EZ$2),Ciencias!$A:$H,7,FALSE)=BN44,1,0)</f>
        <v>#N/A</v>
      </c>
      <c r="FA44" s="138" t="e">
        <f>IF(VLOOKUP(CONCATENATE(H44,F44,FA$2),Ciencias!$A:$H,7,FALSE)=BO44,1,0)</f>
        <v>#N/A</v>
      </c>
      <c r="FB44" s="138" t="e">
        <f>IF(VLOOKUP(CONCATENATE(H44,F44,FB$2),Ciencias!$A:$H,7,FALSE)=BP44,1,0)</f>
        <v>#N/A</v>
      </c>
      <c r="FC44" s="138" t="e">
        <f>IF(VLOOKUP(CONCATENATE(H44,F44,FC$2),Ciencias!$A:$H,7,FALSE)=BQ44,1,0)</f>
        <v>#N/A</v>
      </c>
      <c r="FD44" s="138" t="e">
        <f>IF(VLOOKUP(CONCATENATE(H44,F44,FD$2),Ciencias!$A:$H,7,FALSE)=BR44,1,0)</f>
        <v>#N/A</v>
      </c>
      <c r="FE44" s="138" t="e">
        <f>IF(VLOOKUP(CONCATENATE(H44,F44,FE$2),Ciencias!$A:$H,7,FALSE)=BS44,1,0)</f>
        <v>#N/A</v>
      </c>
      <c r="FF44" s="138" t="e">
        <f>IF(VLOOKUP(CONCATENATE(H44,F44,FF$2),Ciencias!$A:$H,7,FALSE)=BT44,1,0)</f>
        <v>#N/A</v>
      </c>
      <c r="FG44" s="138" t="e">
        <f>IF(VLOOKUP(CONCATENATE(H44,F44,FG$2),Ciencias!$A:$H,7,FALSE)=BU44,1,0)</f>
        <v>#N/A</v>
      </c>
      <c r="FH44" s="138" t="e">
        <f>IF(VLOOKUP(CONCATENATE(H44,F44,FH$2),Ciencias!$A:$H,7,FALSE)=BV44,1,0)</f>
        <v>#N/A</v>
      </c>
      <c r="FI44" s="138" t="e">
        <f>IF(VLOOKUP(CONCATENATE(H44,F44,FI$2),Ciencias!$A:$H,7,FALSE)=BW44,1,0)</f>
        <v>#N/A</v>
      </c>
      <c r="FJ44" s="138" t="e">
        <f>IF(VLOOKUP(CONCATENATE(H44,F44,FJ$2),Ciencias!$A:$H,7,FALSE)=BX44,1,0)</f>
        <v>#N/A</v>
      </c>
      <c r="FK44" s="138" t="e">
        <f>IF(VLOOKUP(CONCATENATE(H44,F44,FK$2),Ciencias!$A:$H,7,FALSE)=BY44,1,0)</f>
        <v>#N/A</v>
      </c>
      <c r="FL44" s="138" t="e">
        <f>IF(VLOOKUP(CONCATENATE(H44,F44,FL$2),Ciencias!$A:$H,7,FALSE)=BZ44,1,0)</f>
        <v>#N/A</v>
      </c>
      <c r="FM44" s="138" t="e">
        <f>IF(VLOOKUP(CONCATENATE(H44,F44,FM$2),Ciencias!$A:$H,7,FALSE)=CA44,1,0)</f>
        <v>#N/A</v>
      </c>
      <c r="FN44" s="138" t="e">
        <f>IF(VLOOKUP(CONCATENATE(H44,F44,FN$2),Ciencias!$A:$H,7,FALSE)=CB44,1,0)</f>
        <v>#N/A</v>
      </c>
      <c r="FO44" s="138" t="e">
        <f>IF(VLOOKUP(CONCATENATE(H44,F44,FO$2),Ciencias!$A:$H,7,FALSE)=CC44,1,0)</f>
        <v>#N/A</v>
      </c>
      <c r="FP44" s="138" t="e">
        <f>IF(VLOOKUP(CONCATENATE(H44,F44,FP$2),GeoHis!$A:$H,7,FALSE)=CD44,1,0)</f>
        <v>#N/A</v>
      </c>
      <c r="FQ44" s="138" t="e">
        <f>IF(VLOOKUP(CONCATENATE(H44,F44,FQ$2),GeoHis!$A:$H,7,FALSE)=CE44,1,0)</f>
        <v>#N/A</v>
      </c>
      <c r="FR44" s="138" t="e">
        <f>IF(VLOOKUP(CONCATENATE(H44,F44,FR$2),GeoHis!$A:$H,7,FALSE)=CF44,1,0)</f>
        <v>#N/A</v>
      </c>
      <c r="FS44" s="138" t="e">
        <f>IF(VLOOKUP(CONCATENATE(H44,F44,FS$2),GeoHis!$A:$H,7,FALSE)=CG44,1,0)</f>
        <v>#N/A</v>
      </c>
      <c r="FT44" s="138" t="e">
        <f>IF(VLOOKUP(CONCATENATE(H44,F44,FT$2),GeoHis!$A:$H,7,FALSE)=CH44,1,0)</f>
        <v>#N/A</v>
      </c>
      <c r="FU44" s="138" t="e">
        <f>IF(VLOOKUP(CONCATENATE(H44,F44,FU$2),GeoHis!$A:$H,7,FALSE)=CI44,1,0)</f>
        <v>#N/A</v>
      </c>
      <c r="FV44" s="138" t="e">
        <f>IF(VLOOKUP(CONCATENATE(H44,F44,FV$2),GeoHis!$A:$H,7,FALSE)=CJ44,1,0)</f>
        <v>#N/A</v>
      </c>
      <c r="FW44" s="138" t="e">
        <f>IF(VLOOKUP(CONCATENATE(H44,F44,FW$2),GeoHis!$A:$H,7,FALSE)=CK44,1,0)</f>
        <v>#N/A</v>
      </c>
      <c r="FX44" s="138" t="e">
        <f>IF(VLOOKUP(CONCATENATE(H44,F44,FX$2),GeoHis!$A:$H,7,FALSE)=CL44,1,0)</f>
        <v>#N/A</v>
      </c>
      <c r="FY44" s="138" t="e">
        <f>IF(VLOOKUP(CONCATENATE(H44,F44,FY$2),GeoHis!$A:$H,7,FALSE)=CM44,1,0)</f>
        <v>#N/A</v>
      </c>
      <c r="FZ44" s="138" t="e">
        <f>IF(VLOOKUP(CONCATENATE(H44,F44,FZ$2),GeoHis!$A:$H,7,FALSE)=CN44,1,0)</f>
        <v>#N/A</v>
      </c>
      <c r="GA44" s="138" t="e">
        <f>IF(VLOOKUP(CONCATENATE(H44,F44,GA$2),GeoHis!$A:$H,7,FALSE)=CO44,1,0)</f>
        <v>#N/A</v>
      </c>
      <c r="GB44" s="138" t="e">
        <f>IF(VLOOKUP(CONCATENATE(H44,F44,GB$2),GeoHis!$A:$H,7,FALSE)=CP44,1,0)</f>
        <v>#N/A</v>
      </c>
      <c r="GC44" s="138" t="e">
        <f>IF(VLOOKUP(CONCATENATE(H44,F44,GC$2),GeoHis!$A:$H,7,FALSE)=CQ44,1,0)</f>
        <v>#N/A</v>
      </c>
      <c r="GD44" s="138" t="e">
        <f>IF(VLOOKUP(CONCATENATE(H44,F44,GD$2),GeoHis!$A:$H,7,FALSE)=CR44,1,0)</f>
        <v>#N/A</v>
      </c>
      <c r="GE44" s="135" t="str">
        <f t="shared" si="6"/>
        <v/>
      </c>
    </row>
    <row r="45" spans="1:187" x14ac:dyDescent="0.25">
      <c r="A45" s="127" t="str">
        <f>IF(C45="","",'Datos Generales'!$A$25)</f>
        <v/>
      </c>
      <c r="D45" s="126" t="str">
        <f t="shared" si="0"/>
        <v/>
      </c>
      <c r="E45" s="126">
        <f t="shared" si="1"/>
        <v>0</v>
      </c>
      <c r="F45" s="126" t="str">
        <f t="shared" si="7"/>
        <v/>
      </c>
      <c r="G45" s="126" t="str">
        <f>IF(C45="","",'Datos Generales'!$D$19)</f>
        <v/>
      </c>
      <c r="H45" s="21" t="str">
        <f>IF(C45="","",'Datos Generales'!$A$19)</f>
        <v/>
      </c>
      <c r="I45" s="126" t="str">
        <f>IF(C45="","",'Datos Generales'!$A$7)</f>
        <v/>
      </c>
      <c r="J45" s="21" t="str">
        <f>IF(C45="","",'Datos Generales'!$A$13)</f>
        <v/>
      </c>
      <c r="K45" s="21" t="str">
        <f>IF(C45="","",'Datos Generales'!$A$10)</f>
        <v/>
      </c>
      <c r="CS45" s="142" t="str">
        <f t="shared" si="2"/>
        <v/>
      </c>
      <c r="CT45" s="142" t="str">
        <f t="shared" si="3"/>
        <v/>
      </c>
      <c r="CU45" s="142" t="str">
        <f t="shared" si="4"/>
        <v/>
      </c>
      <c r="CV45" s="142" t="str">
        <f t="shared" si="5"/>
        <v/>
      </c>
      <c r="CW45" s="142" t="str">
        <f>IF(C45="","",IF('Datos Generales'!$A$19=1,AVERAGE(FP45:GD45),AVERAGE(Captura!FP45:FY45)))</f>
        <v/>
      </c>
      <c r="CX45" s="138" t="e">
        <f>IF(VLOOKUP(CONCATENATE($H$4,$F$4,CX$2),Español!$A:$H,7,FALSE)=L45,1,0)</f>
        <v>#N/A</v>
      </c>
      <c r="CY45" s="138" t="e">
        <f>IF(VLOOKUP(CONCATENATE(H45,F45,CY$2),Español!$A:$H,7,FALSE)=M45,1,0)</f>
        <v>#N/A</v>
      </c>
      <c r="CZ45" s="138" t="e">
        <f>IF(VLOOKUP(CONCATENATE(H45,F45,CZ$2),Español!$A:$H,7,FALSE)=N45,1,0)</f>
        <v>#N/A</v>
      </c>
      <c r="DA45" s="138" t="e">
        <f>IF(VLOOKUP(CONCATENATE(H45,F45,DA$2),Español!$A:$H,7,FALSE)=O45,1,0)</f>
        <v>#N/A</v>
      </c>
      <c r="DB45" s="138" t="e">
        <f>IF(VLOOKUP(CONCATENATE(H45,F45,DB$2),Español!$A:$H,7,FALSE)=P45,1,0)</f>
        <v>#N/A</v>
      </c>
      <c r="DC45" s="138" t="e">
        <f>IF(VLOOKUP(CONCATENATE(H45,F45,DC$2),Español!$A:$H,7,FALSE)=Q45,1,0)</f>
        <v>#N/A</v>
      </c>
      <c r="DD45" s="138" t="e">
        <f>IF(VLOOKUP(CONCATENATE(H45,F45,DD$2),Español!$A:$H,7,FALSE)=R45,1,0)</f>
        <v>#N/A</v>
      </c>
      <c r="DE45" s="138" t="e">
        <f>IF(VLOOKUP(CONCATENATE(H45,F45,DE$2),Español!$A:$H,7,FALSE)=S45,1,0)</f>
        <v>#N/A</v>
      </c>
      <c r="DF45" s="138" t="e">
        <f>IF(VLOOKUP(CONCATENATE(H45,F45,DF$2),Español!$A:$H,7,FALSE)=T45,1,0)</f>
        <v>#N/A</v>
      </c>
      <c r="DG45" s="138" t="e">
        <f>IF(VLOOKUP(CONCATENATE(H45,F45,DG$2),Español!$A:$H,7,FALSE)=U45,1,0)</f>
        <v>#N/A</v>
      </c>
      <c r="DH45" s="138" t="e">
        <f>IF(VLOOKUP(CONCATENATE(H45,F45,DH$2),Español!$A:$H,7,FALSE)=V45,1,0)</f>
        <v>#N/A</v>
      </c>
      <c r="DI45" s="138" t="e">
        <f>IF(VLOOKUP(CONCATENATE(H45,F45,DI$2),Español!$A:$H,7,FALSE)=W45,1,0)</f>
        <v>#N/A</v>
      </c>
      <c r="DJ45" s="138" t="e">
        <f>IF(VLOOKUP(CONCATENATE(H45,F45,DJ$2),Español!$A:$H,7,FALSE)=X45,1,0)</f>
        <v>#N/A</v>
      </c>
      <c r="DK45" s="138" t="e">
        <f>IF(VLOOKUP(CONCATENATE(H45,F45,DK$2),Español!$A:$H,7,FALSE)=Y45,1,0)</f>
        <v>#N/A</v>
      </c>
      <c r="DL45" s="138" t="e">
        <f>IF(VLOOKUP(CONCATENATE(H45,F45,DL$2),Español!$A:$H,7,FALSE)=Z45,1,0)</f>
        <v>#N/A</v>
      </c>
      <c r="DM45" s="138" t="e">
        <f>IF(VLOOKUP(CONCATENATE(H45,F45,DM$2),Español!$A:$H,7,FALSE)=AA45,1,0)</f>
        <v>#N/A</v>
      </c>
      <c r="DN45" s="138" t="e">
        <f>IF(VLOOKUP(CONCATENATE(H45,F45,DN$2),Español!$A:$H,7,FALSE)=AB45,1,0)</f>
        <v>#N/A</v>
      </c>
      <c r="DO45" s="138" t="e">
        <f>IF(VLOOKUP(CONCATENATE(H45,F45,DO$2),Español!$A:$H,7,FALSE)=AC45,1,0)</f>
        <v>#N/A</v>
      </c>
      <c r="DP45" s="138" t="e">
        <f>IF(VLOOKUP(CONCATENATE(H45,F45,DP$2),Español!$A:$H,7,FALSE)=AD45,1,0)</f>
        <v>#N/A</v>
      </c>
      <c r="DQ45" s="138" t="e">
        <f>IF(VLOOKUP(CONCATENATE(H45,F45,DQ$2),Español!$A:$H,7,FALSE)=AE45,1,0)</f>
        <v>#N/A</v>
      </c>
      <c r="DR45" s="138" t="e">
        <f>IF(VLOOKUP(CONCATENATE(H45,F45,DR$2),Inglés!$A:$H,7,FALSE)=AF45,1,0)</f>
        <v>#N/A</v>
      </c>
      <c r="DS45" s="138" t="e">
        <f>IF(VLOOKUP(CONCATENATE(H45,F45,DS$2),Inglés!$A:$H,7,FALSE)=AG45,1,0)</f>
        <v>#N/A</v>
      </c>
      <c r="DT45" s="138" t="e">
        <f>IF(VLOOKUP(CONCATENATE(H45,F45,DT$2),Inglés!$A:$H,7,FALSE)=AH45,1,0)</f>
        <v>#N/A</v>
      </c>
      <c r="DU45" s="138" t="e">
        <f>IF(VLOOKUP(CONCATENATE(H45,F45,DU$2),Inglés!$A:$H,7,FALSE)=AI45,1,0)</f>
        <v>#N/A</v>
      </c>
      <c r="DV45" s="138" t="e">
        <f>IF(VLOOKUP(CONCATENATE(H45,F45,DV$2),Inglés!$A:$H,7,FALSE)=AJ45,1,0)</f>
        <v>#N/A</v>
      </c>
      <c r="DW45" s="138" t="e">
        <f>IF(VLOOKUP(CONCATENATE(H45,F45,DW$2),Inglés!$A:$H,7,FALSE)=AK45,1,0)</f>
        <v>#N/A</v>
      </c>
      <c r="DX45" s="138" t="e">
        <f>IF(VLOOKUP(CONCATENATE(H45,F45,DX$2),Inglés!$A:$H,7,FALSE)=AL45,1,0)</f>
        <v>#N/A</v>
      </c>
      <c r="DY45" s="138" t="e">
        <f>IF(VLOOKUP(CONCATENATE(H45,F45,DY$2),Inglés!$A:$H,7,FALSE)=AM45,1,0)</f>
        <v>#N/A</v>
      </c>
      <c r="DZ45" s="138" t="e">
        <f>IF(VLOOKUP(CONCATENATE(H45,F45,DZ$2),Inglés!$A:$H,7,FALSE)=AN45,1,0)</f>
        <v>#N/A</v>
      </c>
      <c r="EA45" s="138" t="e">
        <f>IF(VLOOKUP(CONCATENATE(H45,F45,EA$2),Inglés!$A:$H,7,FALSE)=AO45,1,0)</f>
        <v>#N/A</v>
      </c>
      <c r="EB45" s="138" t="e">
        <f>IF(VLOOKUP(CONCATENATE(H45,F45,EB$2),Matemáticas!$A:$H,7,FALSE)=AP45,1,0)</f>
        <v>#N/A</v>
      </c>
      <c r="EC45" s="138" t="e">
        <f>IF(VLOOKUP(CONCATENATE(H45,F45,EC$2),Matemáticas!$A:$H,7,FALSE)=AQ45,1,0)</f>
        <v>#N/A</v>
      </c>
      <c r="ED45" s="138" t="e">
        <f>IF(VLOOKUP(CONCATENATE(H45,F45,ED$2),Matemáticas!$A:$H,7,FALSE)=AR45,1,0)</f>
        <v>#N/A</v>
      </c>
      <c r="EE45" s="138" t="e">
        <f>IF(VLOOKUP(CONCATENATE(H45,F45,EE$2),Matemáticas!$A:$H,7,FALSE)=AS45,1,0)</f>
        <v>#N/A</v>
      </c>
      <c r="EF45" s="138" t="e">
        <f>IF(VLOOKUP(CONCATENATE(H45,F45,EF$2),Matemáticas!$A:$H,7,FALSE)=AT45,1,0)</f>
        <v>#N/A</v>
      </c>
      <c r="EG45" s="138" t="e">
        <f>IF(VLOOKUP(CONCATENATE(H45,F45,EG$2),Matemáticas!$A:$H,7,FALSE)=AU45,1,0)</f>
        <v>#N/A</v>
      </c>
      <c r="EH45" s="138" t="e">
        <f>IF(VLOOKUP(CONCATENATE(H45,F45,EH$2),Matemáticas!$A:$H,7,FALSE)=AV45,1,0)</f>
        <v>#N/A</v>
      </c>
      <c r="EI45" s="138" t="e">
        <f>IF(VLOOKUP(CONCATENATE(H45,F45,EI$2),Matemáticas!$A:$H,7,FALSE)=AW45,1,0)</f>
        <v>#N/A</v>
      </c>
      <c r="EJ45" s="138" t="e">
        <f>IF(VLOOKUP(CONCATENATE(H45,F45,EJ$2),Matemáticas!$A:$H,7,FALSE)=AX45,1,0)</f>
        <v>#N/A</v>
      </c>
      <c r="EK45" s="138" t="e">
        <f>IF(VLOOKUP(CONCATENATE(H45,F45,EK$2),Matemáticas!$A:$H,7,FALSE)=AY45,1,0)</f>
        <v>#N/A</v>
      </c>
      <c r="EL45" s="138" t="e">
        <f>IF(VLOOKUP(CONCATENATE(H45,F45,EL$2),Matemáticas!$A:$H,7,FALSE)=AZ45,1,0)</f>
        <v>#N/A</v>
      </c>
      <c r="EM45" s="138" t="e">
        <f>IF(VLOOKUP(CONCATENATE(H45,F45,EM$2),Matemáticas!$A:$H,7,FALSE)=BA45,1,0)</f>
        <v>#N/A</v>
      </c>
      <c r="EN45" s="138" t="e">
        <f>IF(VLOOKUP(CONCATENATE(H45,F45,EN$2),Matemáticas!$A:$H,7,FALSE)=BB45,1,0)</f>
        <v>#N/A</v>
      </c>
      <c r="EO45" s="138" t="e">
        <f>IF(VLOOKUP(CONCATENATE(H45,F45,EO$2),Matemáticas!$A:$H,7,FALSE)=BC45,1,0)</f>
        <v>#N/A</v>
      </c>
      <c r="EP45" s="138" t="e">
        <f>IF(VLOOKUP(CONCATENATE(H45,F45,EP$2),Matemáticas!$A:$H,7,FALSE)=BD45,1,0)</f>
        <v>#N/A</v>
      </c>
      <c r="EQ45" s="138" t="e">
        <f>IF(VLOOKUP(CONCATENATE(H45,F45,EQ$2),Matemáticas!$A:$H,7,FALSE)=BE45,1,0)</f>
        <v>#N/A</v>
      </c>
      <c r="ER45" s="138" t="e">
        <f>IF(VLOOKUP(CONCATENATE(H45,F45,ER$2),Matemáticas!$A:$H,7,FALSE)=BF45,1,0)</f>
        <v>#N/A</v>
      </c>
      <c r="ES45" s="138" t="e">
        <f>IF(VLOOKUP(CONCATENATE(H45,F45,ES$2),Matemáticas!$A:$H,7,FALSE)=BG45,1,0)</f>
        <v>#N/A</v>
      </c>
      <c r="ET45" s="138" t="e">
        <f>IF(VLOOKUP(CONCATENATE(H45,F45,ET$2),Matemáticas!$A:$H,7,FALSE)=BH45,1,0)</f>
        <v>#N/A</v>
      </c>
      <c r="EU45" s="138" t="e">
        <f>IF(VLOOKUP(CONCATENATE(H45,F45,EU$2),Matemáticas!$A:$H,7,FALSE)=BI45,1,0)</f>
        <v>#N/A</v>
      </c>
      <c r="EV45" s="138" t="e">
        <f>IF(VLOOKUP(CONCATENATE(H45,F45,EV$2),Ciencias!$A:$H,7,FALSE)=BJ45,1,0)</f>
        <v>#N/A</v>
      </c>
      <c r="EW45" s="138" t="e">
        <f>IF(VLOOKUP(CONCATENATE(H45,F45,EW$2),Ciencias!$A:$H,7,FALSE)=BK45,1,0)</f>
        <v>#N/A</v>
      </c>
      <c r="EX45" s="138" t="e">
        <f>IF(VLOOKUP(CONCATENATE(H45,F45,EX$2),Ciencias!$A:$H,7,FALSE)=BL45,1,0)</f>
        <v>#N/A</v>
      </c>
      <c r="EY45" s="138" t="e">
        <f>IF(VLOOKUP(CONCATENATE(H45,F45,EY$2),Ciencias!$A:$H,7,FALSE)=BM45,1,0)</f>
        <v>#N/A</v>
      </c>
      <c r="EZ45" s="138" t="e">
        <f>IF(VLOOKUP(CONCATENATE(H45,F45,EZ$2),Ciencias!$A:$H,7,FALSE)=BN45,1,0)</f>
        <v>#N/A</v>
      </c>
      <c r="FA45" s="138" t="e">
        <f>IF(VLOOKUP(CONCATENATE(H45,F45,FA$2),Ciencias!$A:$H,7,FALSE)=BO45,1,0)</f>
        <v>#N/A</v>
      </c>
      <c r="FB45" s="138" t="e">
        <f>IF(VLOOKUP(CONCATENATE(H45,F45,FB$2),Ciencias!$A:$H,7,FALSE)=BP45,1,0)</f>
        <v>#N/A</v>
      </c>
      <c r="FC45" s="138" t="e">
        <f>IF(VLOOKUP(CONCATENATE(H45,F45,FC$2),Ciencias!$A:$H,7,FALSE)=BQ45,1,0)</f>
        <v>#N/A</v>
      </c>
      <c r="FD45" s="138" t="e">
        <f>IF(VLOOKUP(CONCATENATE(H45,F45,FD$2),Ciencias!$A:$H,7,FALSE)=BR45,1,0)</f>
        <v>#N/A</v>
      </c>
      <c r="FE45" s="138" t="e">
        <f>IF(VLOOKUP(CONCATENATE(H45,F45,FE$2),Ciencias!$A:$H,7,FALSE)=BS45,1,0)</f>
        <v>#N/A</v>
      </c>
      <c r="FF45" s="138" t="e">
        <f>IF(VLOOKUP(CONCATENATE(H45,F45,FF$2),Ciencias!$A:$H,7,FALSE)=BT45,1,0)</f>
        <v>#N/A</v>
      </c>
      <c r="FG45" s="138" t="e">
        <f>IF(VLOOKUP(CONCATENATE(H45,F45,FG$2),Ciencias!$A:$H,7,FALSE)=BU45,1,0)</f>
        <v>#N/A</v>
      </c>
      <c r="FH45" s="138" t="e">
        <f>IF(VLOOKUP(CONCATENATE(H45,F45,FH$2),Ciencias!$A:$H,7,FALSE)=BV45,1,0)</f>
        <v>#N/A</v>
      </c>
      <c r="FI45" s="138" t="e">
        <f>IF(VLOOKUP(CONCATENATE(H45,F45,FI$2),Ciencias!$A:$H,7,FALSE)=BW45,1,0)</f>
        <v>#N/A</v>
      </c>
      <c r="FJ45" s="138" t="e">
        <f>IF(VLOOKUP(CONCATENATE(H45,F45,FJ$2),Ciencias!$A:$H,7,FALSE)=BX45,1,0)</f>
        <v>#N/A</v>
      </c>
      <c r="FK45" s="138" t="e">
        <f>IF(VLOOKUP(CONCATENATE(H45,F45,FK$2),Ciencias!$A:$H,7,FALSE)=BY45,1,0)</f>
        <v>#N/A</v>
      </c>
      <c r="FL45" s="138" t="e">
        <f>IF(VLOOKUP(CONCATENATE(H45,F45,FL$2),Ciencias!$A:$H,7,FALSE)=BZ45,1,0)</f>
        <v>#N/A</v>
      </c>
      <c r="FM45" s="138" t="e">
        <f>IF(VLOOKUP(CONCATENATE(H45,F45,FM$2),Ciencias!$A:$H,7,FALSE)=CA45,1,0)</f>
        <v>#N/A</v>
      </c>
      <c r="FN45" s="138" t="e">
        <f>IF(VLOOKUP(CONCATENATE(H45,F45,FN$2),Ciencias!$A:$H,7,FALSE)=CB45,1,0)</f>
        <v>#N/A</v>
      </c>
      <c r="FO45" s="138" t="e">
        <f>IF(VLOOKUP(CONCATENATE(H45,F45,FO$2),Ciencias!$A:$H,7,FALSE)=CC45,1,0)</f>
        <v>#N/A</v>
      </c>
      <c r="FP45" s="138" t="e">
        <f>IF(VLOOKUP(CONCATENATE(H45,F45,FP$2),GeoHis!$A:$H,7,FALSE)=CD45,1,0)</f>
        <v>#N/A</v>
      </c>
      <c r="FQ45" s="138" t="e">
        <f>IF(VLOOKUP(CONCATENATE(H45,F45,FQ$2),GeoHis!$A:$H,7,FALSE)=CE45,1,0)</f>
        <v>#N/A</v>
      </c>
      <c r="FR45" s="138" t="e">
        <f>IF(VLOOKUP(CONCATENATE(H45,F45,FR$2),GeoHis!$A:$H,7,FALSE)=CF45,1,0)</f>
        <v>#N/A</v>
      </c>
      <c r="FS45" s="138" t="e">
        <f>IF(VLOOKUP(CONCATENATE(H45,F45,FS$2),GeoHis!$A:$H,7,FALSE)=CG45,1,0)</f>
        <v>#N/A</v>
      </c>
      <c r="FT45" s="138" t="e">
        <f>IF(VLOOKUP(CONCATENATE(H45,F45,FT$2),GeoHis!$A:$H,7,FALSE)=CH45,1,0)</f>
        <v>#N/A</v>
      </c>
      <c r="FU45" s="138" t="e">
        <f>IF(VLOOKUP(CONCATENATE(H45,F45,FU$2),GeoHis!$A:$H,7,FALSE)=CI45,1,0)</f>
        <v>#N/A</v>
      </c>
      <c r="FV45" s="138" t="e">
        <f>IF(VLOOKUP(CONCATENATE(H45,F45,FV$2),GeoHis!$A:$H,7,FALSE)=CJ45,1,0)</f>
        <v>#N/A</v>
      </c>
      <c r="FW45" s="138" t="e">
        <f>IF(VLOOKUP(CONCATENATE(H45,F45,FW$2),GeoHis!$A:$H,7,FALSE)=CK45,1,0)</f>
        <v>#N/A</v>
      </c>
      <c r="FX45" s="138" t="e">
        <f>IF(VLOOKUP(CONCATENATE(H45,F45,FX$2),GeoHis!$A:$H,7,FALSE)=CL45,1,0)</f>
        <v>#N/A</v>
      </c>
      <c r="FY45" s="138" t="e">
        <f>IF(VLOOKUP(CONCATENATE(H45,F45,FY$2),GeoHis!$A:$H,7,FALSE)=CM45,1,0)</f>
        <v>#N/A</v>
      </c>
      <c r="FZ45" s="138" t="e">
        <f>IF(VLOOKUP(CONCATENATE(H45,F45,FZ$2),GeoHis!$A:$H,7,FALSE)=CN45,1,0)</f>
        <v>#N/A</v>
      </c>
      <c r="GA45" s="138" t="e">
        <f>IF(VLOOKUP(CONCATENATE(H45,F45,GA$2),GeoHis!$A:$H,7,FALSE)=CO45,1,0)</f>
        <v>#N/A</v>
      </c>
      <c r="GB45" s="138" t="e">
        <f>IF(VLOOKUP(CONCATENATE(H45,F45,GB$2),GeoHis!$A:$H,7,FALSE)=CP45,1,0)</f>
        <v>#N/A</v>
      </c>
      <c r="GC45" s="138" t="e">
        <f>IF(VLOOKUP(CONCATENATE(H45,F45,GC$2),GeoHis!$A:$H,7,FALSE)=CQ45,1,0)</f>
        <v>#N/A</v>
      </c>
      <c r="GD45" s="138" t="e">
        <f>IF(VLOOKUP(CONCATENATE(H45,F45,GD$2),GeoHis!$A:$H,7,FALSE)=CR45,1,0)</f>
        <v>#N/A</v>
      </c>
      <c r="GE45" s="135" t="str">
        <f t="shared" si="6"/>
        <v/>
      </c>
    </row>
    <row r="46" spans="1:187" x14ac:dyDescent="0.25">
      <c r="A46" s="127" t="str">
        <f>IF(C46="","",'Datos Generales'!$A$25)</f>
        <v/>
      </c>
      <c r="D46" s="126" t="str">
        <f t="shared" si="0"/>
        <v/>
      </c>
      <c r="E46" s="126">
        <f t="shared" si="1"/>
        <v>0</v>
      </c>
      <c r="F46" s="126" t="str">
        <f t="shared" si="7"/>
        <v/>
      </c>
      <c r="G46" s="126" t="str">
        <f>IF(C46="","",'Datos Generales'!$D$19)</f>
        <v/>
      </c>
      <c r="H46" s="21" t="str">
        <f>IF(C46="","",'Datos Generales'!$A$19)</f>
        <v/>
      </c>
      <c r="I46" s="126" t="str">
        <f>IF(C46="","",'Datos Generales'!$A$7)</f>
        <v/>
      </c>
      <c r="J46" s="21" t="str">
        <f>IF(C46="","",'Datos Generales'!$A$13)</f>
        <v/>
      </c>
      <c r="K46" s="21" t="str">
        <f>IF(C46="","",'Datos Generales'!$A$10)</f>
        <v/>
      </c>
      <c r="CS46" s="142" t="str">
        <f t="shared" si="2"/>
        <v/>
      </c>
      <c r="CT46" s="142" t="str">
        <f t="shared" si="3"/>
        <v/>
      </c>
      <c r="CU46" s="142" t="str">
        <f t="shared" si="4"/>
        <v/>
      </c>
      <c r="CV46" s="142" t="str">
        <f t="shared" si="5"/>
        <v/>
      </c>
      <c r="CW46" s="142" t="str">
        <f>IF(C46="","",IF('Datos Generales'!$A$19=1,AVERAGE(FP46:GD46),AVERAGE(Captura!FP46:FY46)))</f>
        <v/>
      </c>
      <c r="CX46" s="138" t="e">
        <f>IF(VLOOKUP(CONCATENATE($H$4,$F$4,CX$2),Español!$A:$H,7,FALSE)=L46,1,0)</f>
        <v>#N/A</v>
      </c>
      <c r="CY46" s="138" t="e">
        <f>IF(VLOOKUP(CONCATENATE(H46,F46,CY$2),Español!$A:$H,7,FALSE)=M46,1,0)</f>
        <v>#N/A</v>
      </c>
      <c r="CZ46" s="138" t="e">
        <f>IF(VLOOKUP(CONCATENATE(H46,F46,CZ$2),Español!$A:$H,7,FALSE)=N46,1,0)</f>
        <v>#N/A</v>
      </c>
      <c r="DA46" s="138" t="e">
        <f>IF(VLOOKUP(CONCATENATE(H46,F46,DA$2),Español!$A:$H,7,FALSE)=O46,1,0)</f>
        <v>#N/A</v>
      </c>
      <c r="DB46" s="138" t="e">
        <f>IF(VLOOKUP(CONCATENATE(H46,F46,DB$2),Español!$A:$H,7,FALSE)=P46,1,0)</f>
        <v>#N/A</v>
      </c>
      <c r="DC46" s="138" t="e">
        <f>IF(VLOOKUP(CONCATENATE(H46,F46,DC$2),Español!$A:$H,7,FALSE)=Q46,1,0)</f>
        <v>#N/A</v>
      </c>
      <c r="DD46" s="138" t="e">
        <f>IF(VLOOKUP(CONCATENATE(H46,F46,DD$2),Español!$A:$H,7,FALSE)=R46,1,0)</f>
        <v>#N/A</v>
      </c>
      <c r="DE46" s="138" t="e">
        <f>IF(VLOOKUP(CONCATENATE(H46,F46,DE$2),Español!$A:$H,7,FALSE)=S46,1,0)</f>
        <v>#N/A</v>
      </c>
      <c r="DF46" s="138" t="e">
        <f>IF(VLOOKUP(CONCATENATE(H46,F46,DF$2),Español!$A:$H,7,FALSE)=T46,1,0)</f>
        <v>#N/A</v>
      </c>
      <c r="DG46" s="138" t="e">
        <f>IF(VLOOKUP(CONCATENATE(H46,F46,DG$2),Español!$A:$H,7,FALSE)=U46,1,0)</f>
        <v>#N/A</v>
      </c>
      <c r="DH46" s="138" t="e">
        <f>IF(VLOOKUP(CONCATENATE(H46,F46,DH$2),Español!$A:$H,7,FALSE)=V46,1,0)</f>
        <v>#N/A</v>
      </c>
      <c r="DI46" s="138" t="e">
        <f>IF(VLOOKUP(CONCATENATE(H46,F46,DI$2),Español!$A:$H,7,FALSE)=W46,1,0)</f>
        <v>#N/A</v>
      </c>
      <c r="DJ46" s="138" t="e">
        <f>IF(VLOOKUP(CONCATENATE(H46,F46,DJ$2),Español!$A:$H,7,FALSE)=X46,1,0)</f>
        <v>#N/A</v>
      </c>
      <c r="DK46" s="138" t="e">
        <f>IF(VLOOKUP(CONCATENATE(H46,F46,DK$2),Español!$A:$H,7,FALSE)=Y46,1,0)</f>
        <v>#N/A</v>
      </c>
      <c r="DL46" s="138" t="e">
        <f>IF(VLOOKUP(CONCATENATE(H46,F46,DL$2),Español!$A:$H,7,FALSE)=Z46,1,0)</f>
        <v>#N/A</v>
      </c>
      <c r="DM46" s="138" t="e">
        <f>IF(VLOOKUP(CONCATENATE(H46,F46,DM$2),Español!$A:$H,7,FALSE)=AA46,1,0)</f>
        <v>#N/A</v>
      </c>
      <c r="DN46" s="138" t="e">
        <f>IF(VLOOKUP(CONCATENATE(H46,F46,DN$2),Español!$A:$H,7,FALSE)=AB46,1,0)</f>
        <v>#N/A</v>
      </c>
      <c r="DO46" s="138" t="e">
        <f>IF(VLOOKUP(CONCATENATE(H46,F46,DO$2),Español!$A:$H,7,FALSE)=AC46,1,0)</f>
        <v>#N/A</v>
      </c>
      <c r="DP46" s="138" t="e">
        <f>IF(VLOOKUP(CONCATENATE(H46,F46,DP$2),Español!$A:$H,7,FALSE)=AD46,1,0)</f>
        <v>#N/A</v>
      </c>
      <c r="DQ46" s="138" t="e">
        <f>IF(VLOOKUP(CONCATENATE(H46,F46,DQ$2),Español!$A:$H,7,FALSE)=AE46,1,0)</f>
        <v>#N/A</v>
      </c>
      <c r="DR46" s="138" t="e">
        <f>IF(VLOOKUP(CONCATENATE(H46,F46,DR$2),Inglés!$A:$H,7,FALSE)=AF46,1,0)</f>
        <v>#N/A</v>
      </c>
      <c r="DS46" s="138" t="e">
        <f>IF(VLOOKUP(CONCATENATE(H46,F46,DS$2),Inglés!$A:$H,7,FALSE)=AG46,1,0)</f>
        <v>#N/A</v>
      </c>
      <c r="DT46" s="138" t="e">
        <f>IF(VLOOKUP(CONCATENATE(H46,F46,DT$2),Inglés!$A:$H,7,FALSE)=AH46,1,0)</f>
        <v>#N/A</v>
      </c>
      <c r="DU46" s="138" t="e">
        <f>IF(VLOOKUP(CONCATENATE(H46,F46,DU$2),Inglés!$A:$H,7,FALSE)=AI46,1,0)</f>
        <v>#N/A</v>
      </c>
      <c r="DV46" s="138" t="e">
        <f>IF(VLOOKUP(CONCATENATE(H46,F46,DV$2),Inglés!$A:$H,7,FALSE)=AJ46,1,0)</f>
        <v>#N/A</v>
      </c>
      <c r="DW46" s="138" t="e">
        <f>IF(VLOOKUP(CONCATENATE(H46,F46,DW$2),Inglés!$A:$H,7,FALSE)=AK46,1,0)</f>
        <v>#N/A</v>
      </c>
      <c r="DX46" s="138" t="e">
        <f>IF(VLOOKUP(CONCATENATE(H46,F46,DX$2),Inglés!$A:$H,7,FALSE)=AL46,1,0)</f>
        <v>#N/A</v>
      </c>
      <c r="DY46" s="138" t="e">
        <f>IF(VLOOKUP(CONCATENATE(H46,F46,DY$2),Inglés!$A:$H,7,FALSE)=AM46,1,0)</f>
        <v>#N/A</v>
      </c>
      <c r="DZ46" s="138" t="e">
        <f>IF(VLOOKUP(CONCATENATE(H46,F46,DZ$2),Inglés!$A:$H,7,FALSE)=AN46,1,0)</f>
        <v>#N/A</v>
      </c>
      <c r="EA46" s="138" t="e">
        <f>IF(VLOOKUP(CONCATENATE(H46,F46,EA$2),Inglés!$A:$H,7,FALSE)=AO46,1,0)</f>
        <v>#N/A</v>
      </c>
      <c r="EB46" s="138" t="e">
        <f>IF(VLOOKUP(CONCATENATE(H46,F46,EB$2),Matemáticas!$A:$H,7,FALSE)=AP46,1,0)</f>
        <v>#N/A</v>
      </c>
      <c r="EC46" s="138" t="e">
        <f>IF(VLOOKUP(CONCATENATE(H46,F46,EC$2),Matemáticas!$A:$H,7,FALSE)=AQ46,1,0)</f>
        <v>#N/A</v>
      </c>
      <c r="ED46" s="138" t="e">
        <f>IF(VLOOKUP(CONCATENATE(H46,F46,ED$2),Matemáticas!$A:$H,7,FALSE)=AR46,1,0)</f>
        <v>#N/A</v>
      </c>
      <c r="EE46" s="138" t="e">
        <f>IF(VLOOKUP(CONCATENATE(H46,F46,EE$2),Matemáticas!$A:$H,7,FALSE)=AS46,1,0)</f>
        <v>#N/A</v>
      </c>
      <c r="EF46" s="138" t="e">
        <f>IF(VLOOKUP(CONCATENATE(H46,F46,EF$2),Matemáticas!$A:$H,7,FALSE)=AT46,1,0)</f>
        <v>#N/A</v>
      </c>
      <c r="EG46" s="138" t="e">
        <f>IF(VLOOKUP(CONCATENATE(H46,F46,EG$2),Matemáticas!$A:$H,7,FALSE)=AU46,1,0)</f>
        <v>#N/A</v>
      </c>
      <c r="EH46" s="138" t="e">
        <f>IF(VLOOKUP(CONCATENATE(H46,F46,EH$2),Matemáticas!$A:$H,7,FALSE)=AV46,1,0)</f>
        <v>#N/A</v>
      </c>
      <c r="EI46" s="138" t="e">
        <f>IF(VLOOKUP(CONCATENATE(H46,F46,EI$2),Matemáticas!$A:$H,7,FALSE)=AW46,1,0)</f>
        <v>#N/A</v>
      </c>
      <c r="EJ46" s="138" t="e">
        <f>IF(VLOOKUP(CONCATENATE(H46,F46,EJ$2),Matemáticas!$A:$H,7,FALSE)=AX46,1,0)</f>
        <v>#N/A</v>
      </c>
      <c r="EK46" s="138" t="e">
        <f>IF(VLOOKUP(CONCATENATE(H46,F46,EK$2),Matemáticas!$A:$H,7,FALSE)=AY46,1,0)</f>
        <v>#N/A</v>
      </c>
      <c r="EL46" s="138" t="e">
        <f>IF(VLOOKUP(CONCATENATE(H46,F46,EL$2),Matemáticas!$A:$H,7,FALSE)=AZ46,1,0)</f>
        <v>#N/A</v>
      </c>
      <c r="EM46" s="138" t="e">
        <f>IF(VLOOKUP(CONCATENATE(H46,F46,EM$2),Matemáticas!$A:$H,7,FALSE)=BA46,1,0)</f>
        <v>#N/A</v>
      </c>
      <c r="EN46" s="138" t="e">
        <f>IF(VLOOKUP(CONCATENATE(H46,F46,EN$2),Matemáticas!$A:$H,7,FALSE)=BB46,1,0)</f>
        <v>#N/A</v>
      </c>
      <c r="EO46" s="138" t="e">
        <f>IF(VLOOKUP(CONCATENATE(H46,F46,EO$2),Matemáticas!$A:$H,7,FALSE)=BC46,1,0)</f>
        <v>#N/A</v>
      </c>
      <c r="EP46" s="138" t="e">
        <f>IF(VLOOKUP(CONCATENATE(H46,F46,EP$2),Matemáticas!$A:$H,7,FALSE)=BD46,1,0)</f>
        <v>#N/A</v>
      </c>
      <c r="EQ46" s="138" t="e">
        <f>IF(VLOOKUP(CONCATENATE(H46,F46,EQ$2),Matemáticas!$A:$H,7,FALSE)=BE46,1,0)</f>
        <v>#N/A</v>
      </c>
      <c r="ER46" s="138" t="e">
        <f>IF(VLOOKUP(CONCATENATE(H46,F46,ER$2),Matemáticas!$A:$H,7,FALSE)=BF46,1,0)</f>
        <v>#N/A</v>
      </c>
      <c r="ES46" s="138" t="e">
        <f>IF(VLOOKUP(CONCATENATE(H46,F46,ES$2),Matemáticas!$A:$H,7,FALSE)=BG46,1,0)</f>
        <v>#N/A</v>
      </c>
      <c r="ET46" s="138" t="e">
        <f>IF(VLOOKUP(CONCATENATE(H46,F46,ET$2),Matemáticas!$A:$H,7,FALSE)=BH46,1,0)</f>
        <v>#N/A</v>
      </c>
      <c r="EU46" s="138" t="e">
        <f>IF(VLOOKUP(CONCATENATE(H46,F46,EU$2),Matemáticas!$A:$H,7,FALSE)=BI46,1,0)</f>
        <v>#N/A</v>
      </c>
      <c r="EV46" s="138" t="e">
        <f>IF(VLOOKUP(CONCATENATE(H46,F46,EV$2),Ciencias!$A:$H,7,FALSE)=BJ46,1,0)</f>
        <v>#N/A</v>
      </c>
      <c r="EW46" s="138" t="e">
        <f>IF(VLOOKUP(CONCATENATE(H46,F46,EW$2),Ciencias!$A:$H,7,FALSE)=BK46,1,0)</f>
        <v>#N/A</v>
      </c>
      <c r="EX46" s="138" t="e">
        <f>IF(VLOOKUP(CONCATENATE(H46,F46,EX$2),Ciencias!$A:$H,7,FALSE)=BL46,1,0)</f>
        <v>#N/A</v>
      </c>
      <c r="EY46" s="138" t="e">
        <f>IF(VLOOKUP(CONCATENATE(H46,F46,EY$2),Ciencias!$A:$H,7,FALSE)=BM46,1,0)</f>
        <v>#N/A</v>
      </c>
      <c r="EZ46" s="138" t="e">
        <f>IF(VLOOKUP(CONCATENATE(H46,F46,EZ$2),Ciencias!$A:$H,7,FALSE)=BN46,1,0)</f>
        <v>#N/A</v>
      </c>
      <c r="FA46" s="138" t="e">
        <f>IF(VLOOKUP(CONCATENATE(H46,F46,FA$2),Ciencias!$A:$H,7,FALSE)=BO46,1,0)</f>
        <v>#N/A</v>
      </c>
      <c r="FB46" s="138" t="e">
        <f>IF(VLOOKUP(CONCATENATE(H46,F46,FB$2),Ciencias!$A:$H,7,FALSE)=BP46,1,0)</f>
        <v>#N/A</v>
      </c>
      <c r="FC46" s="138" t="e">
        <f>IF(VLOOKUP(CONCATENATE(H46,F46,FC$2),Ciencias!$A:$H,7,FALSE)=BQ46,1,0)</f>
        <v>#N/A</v>
      </c>
      <c r="FD46" s="138" t="e">
        <f>IF(VLOOKUP(CONCATENATE(H46,F46,FD$2),Ciencias!$A:$H,7,FALSE)=BR46,1,0)</f>
        <v>#N/A</v>
      </c>
      <c r="FE46" s="138" t="e">
        <f>IF(VLOOKUP(CONCATENATE(H46,F46,FE$2),Ciencias!$A:$H,7,FALSE)=BS46,1,0)</f>
        <v>#N/A</v>
      </c>
      <c r="FF46" s="138" t="e">
        <f>IF(VLOOKUP(CONCATENATE(H46,F46,FF$2),Ciencias!$A:$H,7,FALSE)=BT46,1,0)</f>
        <v>#N/A</v>
      </c>
      <c r="FG46" s="138" t="e">
        <f>IF(VLOOKUP(CONCATENATE(H46,F46,FG$2),Ciencias!$A:$H,7,FALSE)=BU46,1,0)</f>
        <v>#N/A</v>
      </c>
      <c r="FH46" s="138" t="e">
        <f>IF(VLOOKUP(CONCATENATE(H46,F46,FH$2),Ciencias!$A:$H,7,FALSE)=BV46,1,0)</f>
        <v>#N/A</v>
      </c>
      <c r="FI46" s="138" t="e">
        <f>IF(VLOOKUP(CONCATENATE(H46,F46,FI$2),Ciencias!$A:$H,7,FALSE)=BW46,1,0)</f>
        <v>#N/A</v>
      </c>
      <c r="FJ46" s="138" t="e">
        <f>IF(VLOOKUP(CONCATENATE(H46,F46,FJ$2),Ciencias!$A:$H,7,FALSE)=BX46,1,0)</f>
        <v>#N/A</v>
      </c>
      <c r="FK46" s="138" t="e">
        <f>IF(VLOOKUP(CONCATENATE(H46,F46,FK$2),Ciencias!$A:$H,7,FALSE)=BY46,1,0)</f>
        <v>#N/A</v>
      </c>
      <c r="FL46" s="138" t="e">
        <f>IF(VLOOKUP(CONCATENATE(H46,F46,FL$2),Ciencias!$A:$H,7,FALSE)=BZ46,1,0)</f>
        <v>#N/A</v>
      </c>
      <c r="FM46" s="138" t="e">
        <f>IF(VLOOKUP(CONCATENATE(H46,F46,FM$2),Ciencias!$A:$H,7,FALSE)=CA46,1,0)</f>
        <v>#N/A</v>
      </c>
      <c r="FN46" s="138" t="e">
        <f>IF(VLOOKUP(CONCATENATE(H46,F46,FN$2),Ciencias!$A:$H,7,FALSE)=CB46,1,0)</f>
        <v>#N/A</v>
      </c>
      <c r="FO46" s="138" t="e">
        <f>IF(VLOOKUP(CONCATENATE(H46,F46,FO$2),Ciencias!$A:$H,7,FALSE)=CC46,1,0)</f>
        <v>#N/A</v>
      </c>
      <c r="FP46" s="138" t="e">
        <f>IF(VLOOKUP(CONCATENATE(H46,F46,FP$2),GeoHis!$A:$H,7,FALSE)=CD46,1,0)</f>
        <v>#N/A</v>
      </c>
      <c r="FQ46" s="138" t="e">
        <f>IF(VLOOKUP(CONCATENATE(H46,F46,FQ$2),GeoHis!$A:$H,7,FALSE)=CE46,1,0)</f>
        <v>#N/A</v>
      </c>
      <c r="FR46" s="138" t="e">
        <f>IF(VLOOKUP(CONCATENATE(H46,F46,FR$2),GeoHis!$A:$H,7,FALSE)=CF46,1,0)</f>
        <v>#N/A</v>
      </c>
      <c r="FS46" s="138" t="e">
        <f>IF(VLOOKUP(CONCATENATE(H46,F46,FS$2),GeoHis!$A:$H,7,FALSE)=CG46,1,0)</f>
        <v>#N/A</v>
      </c>
      <c r="FT46" s="138" t="e">
        <f>IF(VLOOKUP(CONCATENATE(H46,F46,FT$2),GeoHis!$A:$H,7,FALSE)=CH46,1,0)</f>
        <v>#N/A</v>
      </c>
      <c r="FU46" s="138" t="e">
        <f>IF(VLOOKUP(CONCATENATE(H46,F46,FU$2),GeoHis!$A:$H,7,FALSE)=CI46,1,0)</f>
        <v>#N/A</v>
      </c>
      <c r="FV46" s="138" t="e">
        <f>IF(VLOOKUP(CONCATENATE(H46,F46,FV$2),GeoHis!$A:$H,7,FALSE)=CJ46,1,0)</f>
        <v>#N/A</v>
      </c>
      <c r="FW46" s="138" t="e">
        <f>IF(VLOOKUP(CONCATENATE(H46,F46,FW$2),GeoHis!$A:$H,7,FALSE)=CK46,1,0)</f>
        <v>#N/A</v>
      </c>
      <c r="FX46" s="138" t="e">
        <f>IF(VLOOKUP(CONCATENATE(H46,F46,FX$2),GeoHis!$A:$H,7,FALSE)=CL46,1,0)</f>
        <v>#N/A</v>
      </c>
      <c r="FY46" s="138" t="e">
        <f>IF(VLOOKUP(CONCATENATE(H46,F46,FY$2),GeoHis!$A:$H,7,FALSE)=CM46,1,0)</f>
        <v>#N/A</v>
      </c>
      <c r="FZ46" s="138" t="e">
        <f>IF(VLOOKUP(CONCATENATE(H46,F46,FZ$2),GeoHis!$A:$H,7,FALSE)=CN46,1,0)</f>
        <v>#N/A</v>
      </c>
      <c r="GA46" s="138" t="e">
        <f>IF(VLOOKUP(CONCATENATE(H46,F46,GA$2),GeoHis!$A:$H,7,FALSE)=CO46,1,0)</f>
        <v>#N/A</v>
      </c>
      <c r="GB46" s="138" t="e">
        <f>IF(VLOOKUP(CONCATENATE(H46,F46,GB$2),GeoHis!$A:$H,7,FALSE)=CP46,1,0)</f>
        <v>#N/A</v>
      </c>
      <c r="GC46" s="138" t="e">
        <f>IF(VLOOKUP(CONCATENATE(H46,F46,GC$2),GeoHis!$A:$H,7,FALSE)=CQ46,1,0)</f>
        <v>#N/A</v>
      </c>
      <c r="GD46" s="138" t="e">
        <f>IF(VLOOKUP(CONCATENATE(H46,F46,GD$2),GeoHis!$A:$H,7,FALSE)=CR46,1,0)</f>
        <v>#N/A</v>
      </c>
      <c r="GE46" s="135" t="str">
        <f t="shared" si="6"/>
        <v/>
      </c>
    </row>
    <row r="47" spans="1:187" x14ac:dyDescent="0.25">
      <c r="A47" s="127" t="str">
        <f>IF(C47="","",'Datos Generales'!$A$25)</f>
        <v/>
      </c>
      <c r="D47" s="126" t="str">
        <f t="shared" si="0"/>
        <v/>
      </c>
      <c r="E47" s="126">
        <f t="shared" si="1"/>
        <v>0</v>
      </c>
      <c r="F47" s="126" t="str">
        <f t="shared" si="7"/>
        <v/>
      </c>
      <c r="G47" s="126" t="str">
        <f>IF(C47="","",'Datos Generales'!$D$19)</f>
        <v/>
      </c>
      <c r="H47" s="21" t="str">
        <f>IF(C47="","",'Datos Generales'!$A$19)</f>
        <v/>
      </c>
      <c r="I47" s="126" t="str">
        <f>IF(C47="","",'Datos Generales'!$A$7)</f>
        <v/>
      </c>
      <c r="J47" s="21" t="str">
        <f>IF(C47="","",'Datos Generales'!$A$13)</f>
        <v/>
      </c>
      <c r="K47" s="21" t="str">
        <f>IF(C47="","",'Datos Generales'!$A$10)</f>
        <v/>
      </c>
      <c r="CS47" s="142" t="str">
        <f t="shared" si="2"/>
        <v/>
      </c>
      <c r="CT47" s="142" t="str">
        <f t="shared" si="3"/>
        <v/>
      </c>
      <c r="CU47" s="142" t="str">
        <f t="shared" si="4"/>
        <v/>
      </c>
      <c r="CV47" s="142" t="str">
        <f t="shared" si="5"/>
        <v/>
      </c>
      <c r="CW47" s="142" t="str">
        <f>IF(C47="","",IF('Datos Generales'!$A$19=1,AVERAGE(FP47:GD47),AVERAGE(Captura!FP47:FY47)))</f>
        <v/>
      </c>
      <c r="CX47" s="138" t="e">
        <f>IF(VLOOKUP(CONCATENATE($H$4,$F$4,CX$2),Español!$A:$H,7,FALSE)=L47,1,0)</f>
        <v>#N/A</v>
      </c>
      <c r="CY47" s="138" t="e">
        <f>IF(VLOOKUP(CONCATENATE(H47,F47,CY$2),Español!$A:$H,7,FALSE)=M47,1,0)</f>
        <v>#N/A</v>
      </c>
      <c r="CZ47" s="138" t="e">
        <f>IF(VLOOKUP(CONCATENATE(H47,F47,CZ$2),Español!$A:$H,7,FALSE)=N47,1,0)</f>
        <v>#N/A</v>
      </c>
      <c r="DA47" s="138" t="e">
        <f>IF(VLOOKUP(CONCATENATE(H47,F47,DA$2),Español!$A:$H,7,FALSE)=O47,1,0)</f>
        <v>#N/A</v>
      </c>
      <c r="DB47" s="138" t="e">
        <f>IF(VLOOKUP(CONCATENATE(H47,F47,DB$2),Español!$A:$H,7,FALSE)=P47,1,0)</f>
        <v>#N/A</v>
      </c>
      <c r="DC47" s="138" t="e">
        <f>IF(VLOOKUP(CONCATENATE(H47,F47,DC$2),Español!$A:$H,7,FALSE)=Q47,1,0)</f>
        <v>#N/A</v>
      </c>
      <c r="DD47" s="138" t="e">
        <f>IF(VLOOKUP(CONCATENATE(H47,F47,DD$2),Español!$A:$H,7,FALSE)=R47,1,0)</f>
        <v>#N/A</v>
      </c>
      <c r="DE47" s="138" t="e">
        <f>IF(VLOOKUP(CONCATENATE(H47,F47,DE$2),Español!$A:$H,7,FALSE)=S47,1,0)</f>
        <v>#N/A</v>
      </c>
      <c r="DF47" s="138" t="e">
        <f>IF(VLOOKUP(CONCATENATE(H47,F47,DF$2),Español!$A:$H,7,FALSE)=T47,1,0)</f>
        <v>#N/A</v>
      </c>
      <c r="DG47" s="138" t="e">
        <f>IF(VLOOKUP(CONCATENATE(H47,F47,DG$2),Español!$A:$H,7,FALSE)=U47,1,0)</f>
        <v>#N/A</v>
      </c>
      <c r="DH47" s="138" t="e">
        <f>IF(VLOOKUP(CONCATENATE(H47,F47,DH$2),Español!$A:$H,7,FALSE)=V47,1,0)</f>
        <v>#N/A</v>
      </c>
      <c r="DI47" s="138" t="e">
        <f>IF(VLOOKUP(CONCATENATE(H47,F47,DI$2),Español!$A:$H,7,FALSE)=W47,1,0)</f>
        <v>#N/A</v>
      </c>
      <c r="DJ47" s="138" t="e">
        <f>IF(VLOOKUP(CONCATENATE(H47,F47,DJ$2),Español!$A:$H,7,FALSE)=X47,1,0)</f>
        <v>#N/A</v>
      </c>
      <c r="DK47" s="138" t="e">
        <f>IF(VLOOKUP(CONCATENATE(H47,F47,DK$2),Español!$A:$H,7,FALSE)=Y47,1,0)</f>
        <v>#N/A</v>
      </c>
      <c r="DL47" s="138" t="e">
        <f>IF(VLOOKUP(CONCATENATE(H47,F47,DL$2),Español!$A:$H,7,FALSE)=Z47,1,0)</f>
        <v>#N/A</v>
      </c>
      <c r="DM47" s="138" t="e">
        <f>IF(VLOOKUP(CONCATENATE(H47,F47,DM$2),Español!$A:$H,7,FALSE)=AA47,1,0)</f>
        <v>#N/A</v>
      </c>
      <c r="DN47" s="138" t="e">
        <f>IF(VLOOKUP(CONCATENATE(H47,F47,DN$2),Español!$A:$H,7,FALSE)=AB47,1,0)</f>
        <v>#N/A</v>
      </c>
      <c r="DO47" s="138" t="e">
        <f>IF(VLOOKUP(CONCATENATE(H47,F47,DO$2),Español!$A:$H,7,FALSE)=AC47,1,0)</f>
        <v>#N/A</v>
      </c>
      <c r="DP47" s="138" t="e">
        <f>IF(VLOOKUP(CONCATENATE(H47,F47,DP$2),Español!$A:$H,7,FALSE)=AD47,1,0)</f>
        <v>#N/A</v>
      </c>
      <c r="DQ47" s="138" t="e">
        <f>IF(VLOOKUP(CONCATENATE(H47,F47,DQ$2),Español!$A:$H,7,FALSE)=AE47,1,0)</f>
        <v>#N/A</v>
      </c>
      <c r="DR47" s="138" t="e">
        <f>IF(VLOOKUP(CONCATENATE(H47,F47,DR$2),Inglés!$A:$H,7,FALSE)=AF47,1,0)</f>
        <v>#N/A</v>
      </c>
      <c r="DS47" s="138" t="e">
        <f>IF(VLOOKUP(CONCATENATE(H47,F47,DS$2),Inglés!$A:$H,7,FALSE)=AG47,1,0)</f>
        <v>#N/A</v>
      </c>
      <c r="DT47" s="138" t="e">
        <f>IF(VLOOKUP(CONCATENATE(H47,F47,DT$2),Inglés!$A:$H,7,FALSE)=AH47,1,0)</f>
        <v>#N/A</v>
      </c>
      <c r="DU47" s="138" t="e">
        <f>IF(VLOOKUP(CONCATENATE(H47,F47,DU$2),Inglés!$A:$H,7,FALSE)=AI47,1,0)</f>
        <v>#N/A</v>
      </c>
      <c r="DV47" s="138" t="e">
        <f>IF(VLOOKUP(CONCATENATE(H47,F47,DV$2),Inglés!$A:$H,7,FALSE)=AJ47,1,0)</f>
        <v>#N/A</v>
      </c>
      <c r="DW47" s="138" t="e">
        <f>IF(VLOOKUP(CONCATENATE(H47,F47,DW$2),Inglés!$A:$H,7,FALSE)=AK47,1,0)</f>
        <v>#N/A</v>
      </c>
      <c r="DX47" s="138" t="e">
        <f>IF(VLOOKUP(CONCATENATE(H47,F47,DX$2),Inglés!$A:$H,7,FALSE)=AL47,1,0)</f>
        <v>#N/A</v>
      </c>
      <c r="DY47" s="138" t="e">
        <f>IF(VLOOKUP(CONCATENATE(H47,F47,DY$2),Inglés!$A:$H,7,FALSE)=AM47,1,0)</f>
        <v>#N/A</v>
      </c>
      <c r="DZ47" s="138" t="e">
        <f>IF(VLOOKUP(CONCATENATE(H47,F47,DZ$2),Inglés!$A:$H,7,FALSE)=AN47,1,0)</f>
        <v>#N/A</v>
      </c>
      <c r="EA47" s="138" t="e">
        <f>IF(VLOOKUP(CONCATENATE(H47,F47,EA$2),Inglés!$A:$H,7,FALSE)=AO47,1,0)</f>
        <v>#N/A</v>
      </c>
      <c r="EB47" s="138" t="e">
        <f>IF(VLOOKUP(CONCATENATE(H47,F47,EB$2),Matemáticas!$A:$H,7,FALSE)=AP47,1,0)</f>
        <v>#N/A</v>
      </c>
      <c r="EC47" s="138" t="e">
        <f>IF(VLOOKUP(CONCATENATE(H47,F47,EC$2),Matemáticas!$A:$H,7,FALSE)=AQ47,1,0)</f>
        <v>#N/A</v>
      </c>
      <c r="ED47" s="138" t="e">
        <f>IF(VLOOKUP(CONCATENATE(H47,F47,ED$2),Matemáticas!$A:$H,7,FALSE)=AR47,1,0)</f>
        <v>#N/A</v>
      </c>
      <c r="EE47" s="138" t="e">
        <f>IF(VLOOKUP(CONCATENATE(H47,F47,EE$2),Matemáticas!$A:$H,7,FALSE)=AS47,1,0)</f>
        <v>#N/A</v>
      </c>
      <c r="EF47" s="138" t="e">
        <f>IF(VLOOKUP(CONCATENATE(H47,F47,EF$2),Matemáticas!$A:$H,7,FALSE)=AT47,1,0)</f>
        <v>#N/A</v>
      </c>
      <c r="EG47" s="138" t="e">
        <f>IF(VLOOKUP(CONCATENATE(H47,F47,EG$2),Matemáticas!$A:$H,7,FALSE)=AU47,1,0)</f>
        <v>#N/A</v>
      </c>
      <c r="EH47" s="138" t="e">
        <f>IF(VLOOKUP(CONCATENATE(H47,F47,EH$2),Matemáticas!$A:$H,7,FALSE)=AV47,1,0)</f>
        <v>#N/A</v>
      </c>
      <c r="EI47" s="138" t="e">
        <f>IF(VLOOKUP(CONCATENATE(H47,F47,EI$2),Matemáticas!$A:$H,7,FALSE)=AW47,1,0)</f>
        <v>#N/A</v>
      </c>
      <c r="EJ47" s="138" t="e">
        <f>IF(VLOOKUP(CONCATENATE(H47,F47,EJ$2),Matemáticas!$A:$H,7,FALSE)=AX47,1,0)</f>
        <v>#N/A</v>
      </c>
      <c r="EK47" s="138" t="e">
        <f>IF(VLOOKUP(CONCATENATE(H47,F47,EK$2),Matemáticas!$A:$H,7,FALSE)=AY47,1,0)</f>
        <v>#N/A</v>
      </c>
      <c r="EL47" s="138" t="e">
        <f>IF(VLOOKUP(CONCATENATE(H47,F47,EL$2),Matemáticas!$A:$H,7,FALSE)=AZ47,1,0)</f>
        <v>#N/A</v>
      </c>
      <c r="EM47" s="138" t="e">
        <f>IF(VLOOKUP(CONCATENATE(H47,F47,EM$2),Matemáticas!$A:$H,7,FALSE)=BA47,1,0)</f>
        <v>#N/A</v>
      </c>
      <c r="EN47" s="138" t="e">
        <f>IF(VLOOKUP(CONCATENATE(H47,F47,EN$2),Matemáticas!$A:$H,7,FALSE)=BB47,1,0)</f>
        <v>#N/A</v>
      </c>
      <c r="EO47" s="138" t="e">
        <f>IF(VLOOKUP(CONCATENATE(H47,F47,EO$2),Matemáticas!$A:$H,7,FALSE)=BC47,1,0)</f>
        <v>#N/A</v>
      </c>
      <c r="EP47" s="138" t="e">
        <f>IF(VLOOKUP(CONCATENATE(H47,F47,EP$2),Matemáticas!$A:$H,7,FALSE)=BD47,1,0)</f>
        <v>#N/A</v>
      </c>
      <c r="EQ47" s="138" t="e">
        <f>IF(VLOOKUP(CONCATENATE(H47,F47,EQ$2),Matemáticas!$A:$H,7,FALSE)=BE47,1,0)</f>
        <v>#N/A</v>
      </c>
      <c r="ER47" s="138" t="e">
        <f>IF(VLOOKUP(CONCATENATE(H47,F47,ER$2),Matemáticas!$A:$H,7,FALSE)=BF47,1,0)</f>
        <v>#N/A</v>
      </c>
      <c r="ES47" s="138" t="e">
        <f>IF(VLOOKUP(CONCATENATE(H47,F47,ES$2),Matemáticas!$A:$H,7,FALSE)=BG47,1,0)</f>
        <v>#N/A</v>
      </c>
      <c r="ET47" s="138" t="e">
        <f>IF(VLOOKUP(CONCATENATE(H47,F47,ET$2),Matemáticas!$A:$H,7,FALSE)=BH47,1,0)</f>
        <v>#N/A</v>
      </c>
      <c r="EU47" s="138" t="e">
        <f>IF(VLOOKUP(CONCATENATE(H47,F47,EU$2),Matemáticas!$A:$H,7,FALSE)=BI47,1,0)</f>
        <v>#N/A</v>
      </c>
      <c r="EV47" s="138" t="e">
        <f>IF(VLOOKUP(CONCATENATE(H47,F47,EV$2),Ciencias!$A:$H,7,FALSE)=BJ47,1,0)</f>
        <v>#N/A</v>
      </c>
      <c r="EW47" s="138" t="e">
        <f>IF(VLOOKUP(CONCATENATE(H47,F47,EW$2),Ciencias!$A:$H,7,FALSE)=BK47,1,0)</f>
        <v>#N/A</v>
      </c>
      <c r="EX47" s="138" t="e">
        <f>IF(VLOOKUP(CONCATENATE(H47,F47,EX$2),Ciencias!$A:$H,7,FALSE)=BL47,1,0)</f>
        <v>#N/A</v>
      </c>
      <c r="EY47" s="138" t="e">
        <f>IF(VLOOKUP(CONCATENATE(H47,F47,EY$2),Ciencias!$A:$H,7,FALSE)=BM47,1,0)</f>
        <v>#N/A</v>
      </c>
      <c r="EZ47" s="138" t="e">
        <f>IF(VLOOKUP(CONCATENATE(H47,F47,EZ$2),Ciencias!$A:$H,7,FALSE)=BN47,1,0)</f>
        <v>#N/A</v>
      </c>
      <c r="FA47" s="138" t="e">
        <f>IF(VLOOKUP(CONCATENATE(H47,F47,FA$2),Ciencias!$A:$H,7,FALSE)=BO47,1,0)</f>
        <v>#N/A</v>
      </c>
      <c r="FB47" s="138" t="e">
        <f>IF(VLOOKUP(CONCATENATE(H47,F47,FB$2),Ciencias!$A:$H,7,FALSE)=BP47,1,0)</f>
        <v>#N/A</v>
      </c>
      <c r="FC47" s="138" t="e">
        <f>IF(VLOOKUP(CONCATENATE(H47,F47,FC$2),Ciencias!$A:$H,7,FALSE)=BQ47,1,0)</f>
        <v>#N/A</v>
      </c>
      <c r="FD47" s="138" t="e">
        <f>IF(VLOOKUP(CONCATENATE(H47,F47,FD$2),Ciencias!$A:$H,7,FALSE)=BR47,1,0)</f>
        <v>#N/A</v>
      </c>
      <c r="FE47" s="138" t="e">
        <f>IF(VLOOKUP(CONCATENATE(H47,F47,FE$2),Ciencias!$A:$H,7,FALSE)=BS47,1,0)</f>
        <v>#N/A</v>
      </c>
      <c r="FF47" s="138" t="e">
        <f>IF(VLOOKUP(CONCATENATE(H47,F47,FF$2),Ciencias!$A:$H,7,FALSE)=BT47,1,0)</f>
        <v>#N/A</v>
      </c>
      <c r="FG47" s="138" t="e">
        <f>IF(VLOOKUP(CONCATENATE(H47,F47,FG$2),Ciencias!$A:$H,7,FALSE)=BU47,1,0)</f>
        <v>#N/A</v>
      </c>
      <c r="FH47" s="138" t="e">
        <f>IF(VLOOKUP(CONCATENATE(H47,F47,FH$2),Ciencias!$A:$H,7,FALSE)=BV47,1,0)</f>
        <v>#N/A</v>
      </c>
      <c r="FI47" s="138" t="e">
        <f>IF(VLOOKUP(CONCATENATE(H47,F47,FI$2),Ciencias!$A:$H,7,FALSE)=BW47,1,0)</f>
        <v>#N/A</v>
      </c>
      <c r="FJ47" s="138" t="e">
        <f>IF(VLOOKUP(CONCATENATE(H47,F47,FJ$2),Ciencias!$A:$H,7,FALSE)=BX47,1,0)</f>
        <v>#N/A</v>
      </c>
      <c r="FK47" s="138" t="e">
        <f>IF(VLOOKUP(CONCATENATE(H47,F47,FK$2),Ciencias!$A:$H,7,FALSE)=BY47,1,0)</f>
        <v>#N/A</v>
      </c>
      <c r="FL47" s="138" t="e">
        <f>IF(VLOOKUP(CONCATENATE(H47,F47,FL$2),Ciencias!$A:$H,7,FALSE)=BZ47,1,0)</f>
        <v>#N/A</v>
      </c>
      <c r="FM47" s="138" t="e">
        <f>IF(VLOOKUP(CONCATENATE(H47,F47,FM$2),Ciencias!$A:$H,7,FALSE)=CA47,1,0)</f>
        <v>#N/A</v>
      </c>
      <c r="FN47" s="138" t="e">
        <f>IF(VLOOKUP(CONCATENATE(H47,F47,FN$2),Ciencias!$A:$H,7,FALSE)=CB47,1,0)</f>
        <v>#N/A</v>
      </c>
      <c r="FO47" s="138" t="e">
        <f>IF(VLOOKUP(CONCATENATE(H47,F47,FO$2),Ciencias!$A:$H,7,FALSE)=CC47,1,0)</f>
        <v>#N/A</v>
      </c>
      <c r="FP47" s="138" t="e">
        <f>IF(VLOOKUP(CONCATENATE(H47,F47,FP$2),GeoHis!$A:$H,7,FALSE)=CD47,1,0)</f>
        <v>#N/A</v>
      </c>
      <c r="FQ47" s="138" t="e">
        <f>IF(VLOOKUP(CONCATENATE(H47,F47,FQ$2),GeoHis!$A:$H,7,FALSE)=CE47,1,0)</f>
        <v>#N/A</v>
      </c>
      <c r="FR47" s="138" t="e">
        <f>IF(VLOOKUP(CONCATENATE(H47,F47,FR$2),GeoHis!$A:$H,7,FALSE)=CF47,1,0)</f>
        <v>#N/A</v>
      </c>
      <c r="FS47" s="138" t="e">
        <f>IF(VLOOKUP(CONCATENATE(H47,F47,FS$2),GeoHis!$A:$H,7,FALSE)=CG47,1,0)</f>
        <v>#N/A</v>
      </c>
      <c r="FT47" s="138" t="e">
        <f>IF(VLOOKUP(CONCATENATE(H47,F47,FT$2),GeoHis!$A:$H,7,FALSE)=CH47,1,0)</f>
        <v>#N/A</v>
      </c>
      <c r="FU47" s="138" t="e">
        <f>IF(VLOOKUP(CONCATENATE(H47,F47,FU$2),GeoHis!$A:$H,7,FALSE)=CI47,1,0)</f>
        <v>#N/A</v>
      </c>
      <c r="FV47" s="138" t="e">
        <f>IF(VLOOKUP(CONCATENATE(H47,F47,FV$2),GeoHis!$A:$H,7,FALSE)=CJ47,1,0)</f>
        <v>#N/A</v>
      </c>
      <c r="FW47" s="138" t="e">
        <f>IF(VLOOKUP(CONCATENATE(H47,F47,FW$2),GeoHis!$A:$H,7,FALSE)=CK47,1,0)</f>
        <v>#N/A</v>
      </c>
      <c r="FX47" s="138" t="e">
        <f>IF(VLOOKUP(CONCATENATE(H47,F47,FX$2),GeoHis!$A:$H,7,FALSE)=CL47,1,0)</f>
        <v>#N/A</v>
      </c>
      <c r="FY47" s="138" t="e">
        <f>IF(VLOOKUP(CONCATENATE(H47,F47,FY$2),GeoHis!$A:$H,7,FALSE)=CM47,1,0)</f>
        <v>#N/A</v>
      </c>
      <c r="FZ47" s="138" t="e">
        <f>IF(VLOOKUP(CONCATENATE(H47,F47,FZ$2),GeoHis!$A:$H,7,FALSE)=CN47,1,0)</f>
        <v>#N/A</v>
      </c>
      <c r="GA47" s="138" t="e">
        <f>IF(VLOOKUP(CONCATENATE(H47,F47,GA$2),GeoHis!$A:$H,7,FALSE)=CO47,1,0)</f>
        <v>#N/A</v>
      </c>
      <c r="GB47" s="138" t="e">
        <f>IF(VLOOKUP(CONCATENATE(H47,F47,GB$2),GeoHis!$A:$H,7,FALSE)=CP47,1,0)</f>
        <v>#N/A</v>
      </c>
      <c r="GC47" s="138" t="e">
        <f>IF(VLOOKUP(CONCATENATE(H47,F47,GC$2),GeoHis!$A:$H,7,FALSE)=CQ47,1,0)</f>
        <v>#N/A</v>
      </c>
      <c r="GD47" s="138" t="e">
        <f>IF(VLOOKUP(CONCATENATE(H47,F47,GD$2),GeoHis!$A:$H,7,FALSE)=CR47,1,0)</f>
        <v>#N/A</v>
      </c>
      <c r="GE47" s="135" t="str">
        <f t="shared" si="6"/>
        <v/>
      </c>
    </row>
    <row r="48" spans="1:187" x14ac:dyDescent="0.25">
      <c r="A48" s="127" t="str">
        <f>IF(C48="","",'Datos Generales'!$A$25)</f>
        <v/>
      </c>
      <c r="D48" s="126" t="str">
        <f t="shared" si="0"/>
        <v/>
      </c>
      <c r="E48" s="126">
        <f t="shared" si="1"/>
        <v>0</v>
      </c>
      <c r="F48" s="126" t="str">
        <f t="shared" si="7"/>
        <v/>
      </c>
      <c r="G48" s="126" t="str">
        <f>IF(C48="","",'Datos Generales'!$D$19)</f>
        <v/>
      </c>
      <c r="H48" s="21" t="str">
        <f>IF(C48="","",'Datos Generales'!$A$19)</f>
        <v/>
      </c>
      <c r="I48" s="126" t="str">
        <f>IF(C48="","",'Datos Generales'!$A$7)</f>
        <v/>
      </c>
      <c r="J48" s="21" t="str">
        <f>IF(C48="","",'Datos Generales'!$A$13)</f>
        <v/>
      </c>
      <c r="K48" s="21" t="str">
        <f>IF(C48="","",'Datos Generales'!$A$10)</f>
        <v/>
      </c>
      <c r="CS48" s="142" t="str">
        <f t="shared" si="2"/>
        <v/>
      </c>
      <c r="CT48" s="142" t="str">
        <f t="shared" si="3"/>
        <v/>
      </c>
      <c r="CU48" s="142" t="str">
        <f t="shared" si="4"/>
        <v/>
      </c>
      <c r="CV48" s="142" t="str">
        <f t="shared" si="5"/>
        <v/>
      </c>
      <c r="CW48" s="142" t="str">
        <f>IF(C48="","",IF('Datos Generales'!$A$19=1,AVERAGE(FP48:GD48),AVERAGE(Captura!FP48:FY48)))</f>
        <v/>
      </c>
      <c r="CX48" s="138" t="e">
        <f>IF(VLOOKUP(CONCATENATE($H$4,$F$4,CX$2),Español!$A:$H,7,FALSE)=L48,1,0)</f>
        <v>#N/A</v>
      </c>
      <c r="CY48" s="138" t="e">
        <f>IF(VLOOKUP(CONCATENATE(H48,F48,CY$2),Español!$A:$H,7,FALSE)=M48,1,0)</f>
        <v>#N/A</v>
      </c>
      <c r="CZ48" s="138" t="e">
        <f>IF(VLOOKUP(CONCATENATE(H48,F48,CZ$2),Español!$A:$H,7,FALSE)=N48,1,0)</f>
        <v>#N/A</v>
      </c>
      <c r="DA48" s="138" t="e">
        <f>IF(VLOOKUP(CONCATENATE(H48,F48,DA$2),Español!$A:$H,7,FALSE)=O48,1,0)</f>
        <v>#N/A</v>
      </c>
      <c r="DB48" s="138" t="e">
        <f>IF(VLOOKUP(CONCATENATE(H48,F48,DB$2),Español!$A:$H,7,FALSE)=P48,1,0)</f>
        <v>#N/A</v>
      </c>
      <c r="DC48" s="138" t="e">
        <f>IF(VLOOKUP(CONCATENATE(H48,F48,DC$2),Español!$A:$H,7,FALSE)=Q48,1,0)</f>
        <v>#N/A</v>
      </c>
      <c r="DD48" s="138" t="e">
        <f>IF(VLOOKUP(CONCATENATE(H48,F48,DD$2),Español!$A:$H,7,FALSE)=R48,1,0)</f>
        <v>#N/A</v>
      </c>
      <c r="DE48" s="138" t="e">
        <f>IF(VLOOKUP(CONCATENATE(H48,F48,DE$2),Español!$A:$H,7,FALSE)=S48,1,0)</f>
        <v>#N/A</v>
      </c>
      <c r="DF48" s="138" t="e">
        <f>IF(VLOOKUP(CONCATENATE(H48,F48,DF$2),Español!$A:$H,7,FALSE)=T48,1,0)</f>
        <v>#N/A</v>
      </c>
      <c r="DG48" s="138" t="e">
        <f>IF(VLOOKUP(CONCATENATE(H48,F48,DG$2),Español!$A:$H,7,FALSE)=U48,1,0)</f>
        <v>#N/A</v>
      </c>
      <c r="DH48" s="138" t="e">
        <f>IF(VLOOKUP(CONCATENATE(H48,F48,DH$2),Español!$A:$H,7,FALSE)=V48,1,0)</f>
        <v>#N/A</v>
      </c>
      <c r="DI48" s="138" t="e">
        <f>IF(VLOOKUP(CONCATENATE(H48,F48,DI$2),Español!$A:$H,7,FALSE)=W48,1,0)</f>
        <v>#N/A</v>
      </c>
      <c r="DJ48" s="138" t="e">
        <f>IF(VLOOKUP(CONCATENATE(H48,F48,DJ$2),Español!$A:$H,7,FALSE)=X48,1,0)</f>
        <v>#N/A</v>
      </c>
      <c r="DK48" s="138" t="e">
        <f>IF(VLOOKUP(CONCATENATE(H48,F48,DK$2),Español!$A:$H,7,FALSE)=Y48,1,0)</f>
        <v>#N/A</v>
      </c>
      <c r="DL48" s="138" t="e">
        <f>IF(VLOOKUP(CONCATENATE(H48,F48,DL$2),Español!$A:$H,7,FALSE)=Z48,1,0)</f>
        <v>#N/A</v>
      </c>
      <c r="DM48" s="138" t="e">
        <f>IF(VLOOKUP(CONCATENATE(H48,F48,DM$2),Español!$A:$H,7,FALSE)=AA48,1,0)</f>
        <v>#N/A</v>
      </c>
      <c r="DN48" s="138" t="e">
        <f>IF(VLOOKUP(CONCATENATE(H48,F48,DN$2),Español!$A:$H,7,FALSE)=AB48,1,0)</f>
        <v>#N/A</v>
      </c>
      <c r="DO48" s="138" t="e">
        <f>IF(VLOOKUP(CONCATENATE(H48,F48,DO$2),Español!$A:$H,7,FALSE)=AC48,1,0)</f>
        <v>#N/A</v>
      </c>
      <c r="DP48" s="138" t="e">
        <f>IF(VLOOKUP(CONCATENATE(H48,F48,DP$2),Español!$A:$H,7,FALSE)=AD48,1,0)</f>
        <v>#N/A</v>
      </c>
      <c r="DQ48" s="138" t="e">
        <f>IF(VLOOKUP(CONCATENATE(H48,F48,DQ$2),Español!$A:$H,7,FALSE)=AE48,1,0)</f>
        <v>#N/A</v>
      </c>
      <c r="DR48" s="138" t="e">
        <f>IF(VLOOKUP(CONCATENATE(H48,F48,DR$2),Inglés!$A:$H,7,FALSE)=AF48,1,0)</f>
        <v>#N/A</v>
      </c>
      <c r="DS48" s="138" t="e">
        <f>IF(VLOOKUP(CONCATENATE(H48,F48,DS$2),Inglés!$A:$H,7,FALSE)=AG48,1,0)</f>
        <v>#N/A</v>
      </c>
      <c r="DT48" s="138" t="e">
        <f>IF(VLOOKUP(CONCATENATE(H48,F48,DT$2),Inglés!$A:$H,7,FALSE)=AH48,1,0)</f>
        <v>#N/A</v>
      </c>
      <c r="DU48" s="138" t="e">
        <f>IF(VLOOKUP(CONCATENATE(H48,F48,DU$2),Inglés!$A:$H,7,FALSE)=AI48,1,0)</f>
        <v>#N/A</v>
      </c>
      <c r="DV48" s="138" t="e">
        <f>IF(VLOOKUP(CONCATENATE(H48,F48,DV$2),Inglés!$A:$H,7,FALSE)=AJ48,1,0)</f>
        <v>#N/A</v>
      </c>
      <c r="DW48" s="138" t="e">
        <f>IF(VLOOKUP(CONCATENATE(H48,F48,DW$2),Inglés!$A:$H,7,FALSE)=AK48,1,0)</f>
        <v>#N/A</v>
      </c>
      <c r="DX48" s="138" t="e">
        <f>IF(VLOOKUP(CONCATENATE(H48,F48,DX$2),Inglés!$A:$H,7,FALSE)=AL48,1,0)</f>
        <v>#N/A</v>
      </c>
      <c r="DY48" s="138" t="e">
        <f>IF(VLOOKUP(CONCATENATE(H48,F48,DY$2),Inglés!$A:$H,7,FALSE)=AM48,1,0)</f>
        <v>#N/A</v>
      </c>
      <c r="DZ48" s="138" t="e">
        <f>IF(VLOOKUP(CONCATENATE(H48,F48,DZ$2),Inglés!$A:$H,7,FALSE)=AN48,1,0)</f>
        <v>#N/A</v>
      </c>
      <c r="EA48" s="138" t="e">
        <f>IF(VLOOKUP(CONCATENATE(H48,F48,EA$2),Inglés!$A:$H,7,FALSE)=AO48,1,0)</f>
        <v>#N/A</v>
      </c>
      <c r="EB48" s="138" t="e">
        <f>IF(VLOOKUP(CONCATENATE(H48,F48,EB$2),Matemáticas!$A:$H,7,FALSE)=AP48,1,0)</f>
        <v>#N/A</v>
      </c>
      <c r="EC48" s="138" t="e">
        <f>IF(VLOOKUP(CONCATENATE(H48,F48,EC$2),Matemáticas!$A:$H,7,FALSE)=AQ48,1,0)</f>
        <v>#N/A</v>
      </c>
      <c r="ED48" s="138" t="e">
        <f>IF(VLOOKUP(CONCATENATE(H48,F48,ED$2),Matemáticas!$A:$H,7,FALSE)=AR48,1,0)</f>
        <v>#N/A</v>
      </c>
      <c r="EE48" s="138" t="e">
        <f>IF(VLOOKUP(CONCATENATE(H48,F48,EE$2),Matemáticas!$A:$H,7,FALSE)=AS48,1,0)</f>
        <v>#N/A</v>
      </c>
      <c r="EF48" s="138" t="e">
        <f>IF(VLOOKUP(CONCATENATE(H48,F48,EF$2),Matemáticas!$A:$H,7,FALSE)=AT48,1,0)</f>
        <v>#N/A</v>
      </c>
      <c r="EG48" s="138" t="e">
        <f>IF(VLOOKUP(CONCATENATE(H48,F48,EG$2),Matemáticas!$A:$H,7,FALSE)=AU48,1,0)</f>
        <v>#N/A</v>
      </c>
      <c r="EH48" s="138" t="e">
        <f>IF(VLOOKUP(CONCATENATE(H48,F48,EH$2),Matemáticas!$A:$H,7,FALSE)=AV48,1,0)</f>
        <v>#N/A</v>
      </c>
      <c r="EI48" s="138" t="e">
        <f>IF(VLOOKUP(CONCATENATE(H48,F48,EI$2),Matemáticas!$A:$H,7,FALSE)=AW48,1,0)</f>
        <v>#N/A</v>
      </c>
      <c r="EJ48" s="138" t="e">
        <f>IF(VLOOKUP(CONCATENATE(H48,F48,EJ$2),Matemáticas!$A:$H,7,FALSE)=AX48,1,0)</f>
        <v>#N/A</v>
      </c>
      <c r="EK48" s="138" t="e">
        <f>IF(VLOOKUP(CONCATENATE(H48,F48,EK$2),Matemáticas!$A:$H,7,FALSE)=AY48,1,0)</f>
        <v>#N/A</v>
      </c>
      <c r="EL48" s="138" t="e">
        <f>IF(VLOOKUP(CONCATENATE(H48,F48,EL$2),Matemáticas!$A:$H,7,FALSE)=AZ48,1,0)</f>
        <v>#N/A</v>
      </c>
      <c r="EM48" s="138" t="e">
        <f>IF(VLOOKUP(CONCATENATE(H48,F48,EM$2),Matemáticas!$A:$H,7,FALSE)=BA48,1,0)</f>
        <v>#N/A</v>
      </c>
      <c r="EN48" s="138" t="e">
        <f>IF(VLOOKUP(CONCATENATE(H48,F48,EN$2),Matemáticas!$A:$H,7,FALSE)=BB48,1,0)</f>
        <v>#N/A</v>
      </c>
      <c r="EO48" s="138" t="e">
        <f>IF(VLOOKUP(CONCATENATE(H48,F48,EO$2),Matemáticas!$A:$H,7,FALSE)=BC48,1,0)</f>
        <v>#N/A</v>
      </c>
      <c r="EP48" s="138" t="e">
        <f>IF(VLOOKUP(CONCATENATE(H48,F48,EP$2),Matemáticas!$A:$H,7,FALSE)=BD48,1,0)</f>
        <v>#N/A</v>
      </c>
      <c r="EQ48" s="138" t="e">
        <f>IF(VLOOKUP(CONCATENATE(H48,F48,EQ$2),Matemáticas!$A:$H,7,FALSE)=BE48,1,0)</f>
        <v>#N/A</v>
      </c>
      <c r="ER48" s="138" t="e">
        <f>IF(VLOOKUP(CONCATENATE(H48,F48,ER$2),Matemáticas!$A:$H,7,FALSE)=BF48,1,0)</f>
        <v>#N/A</v>
      </c>
      <c r="ES48" s="138" t="e">
        <f>IF(VLOOKUP(CONCATENATE(H48,F48,ES$2),Matemáticas!$A:$H,7,FALSE)=BG48,1,0)</f>
        <v>#N/A</v>
      </c>
      <c r="ET48" s="138" t="e">
        <f>IF(VLOOKUP(CONCATENATE(H48,F48,ET$2),Matemáticas!$A:$H,7,FALSE)=BH48,1,0)</f>
        <v>#N/A</v>
      </c>
      <c r="EU48" s="138" t="e">
        <f>IF(VLOOKUP(CONCATENATE(H48,F48,EU$2),Matemáticas!$A:$H,7,FALSE)=BI48,1,0)</f>
        <v>#N/A</v>
      </c>
      <c r="EV48" s="138" t="e">
        <f>IF(VLOOKUP(CONCATENATE(H48,F48,EV$2),Ciencias!$A:$H,7,FALSE)=BJ48,1,0)</f>
        <v>#N/A</v>
      </c>
      <c r="EW48" s="138" t="e">
        <f>IF(VLOOKUP(CONCATENATE(H48,F48,EW$2),Ciencias!$A:$H,7,FALSE)=BK48,1,0)</f>
        <v>#N/A</v>
      </c>
      <c r="EX48" s="138" t="e">
        <f>IF(VLOOKUP(CONCATENATE(H48,F48,EX$2),Ciencias!$A:$H,7,FALSE)=BL48,1,0)</f>
        <v>#N/A</v>
      </c>
      <c r="EY48" s="138" t="e">
        <f>IF(VLOOKUP(CONCATENATE(H48,F48,EY$2),Ciencias!$A:$H,7,FALSE)=BM48,1,0)</f>
        <v>#N/A</v>
      </c>
      <c r="EZ48" s="138" t="e">
        <f>IF(VLOOKUP(CONCATENATE(H48,F48,EZ$2),Ciencias!$A:$H,7,FALSE)=BN48,1,0)</f>
        <v>#N/A</v>
      </c>
      <c r="FA48" s="138" t="e">
        <f>IF(VLOOKUP(CONCATENATE(H48,F48,FA$2),Ciencias!$A:$H,7,FALSE)=BO48,1,0)</f>
        <v>#N/A</v>
      </c>
      <c r="FB48" s="138" t="e">
        <f>IF(VLOOKUP(CONCATENATE(H48,F48,FB$2),Ciencias!$A:$H,7,FALSE)=BP48,1,0)</f>
        <v>#N/A</v>
      </c>
      <c r="FC48" s="138" t="e">
        <f>IF(VLOOKUP(CONCATENATE(H48,F48,FC$2),Ciencias!$A:$H,7,FALSE)=BQ48,1,0)</f>
        <v>#N/A</v>
      </c>
      <c r="FD48" s="138" t="e">
        <f>IF(VLOOKUP(CONCATENATE(H48,F48,FD$2),Ciencias!$A:$H,7,FALSE)=BR48,1,0)</f>
        <v>#N/A</v>
      </c>
      <c r="FE48" s="138" t="e">
        <f>IF(VLOOKUP(CONCATENATE(H48,F48,FE$2),Ciencias!$A:$H,7,FALSE)=BS48,1,0)</f>
        <v>#N/A</v>
      </c>
      <c r="FF48" s="138" t="e">
        <f>IF(VLOOKUP(CONCATENATE(H48,F48,FF$2),Ciencias!$A:$H,7,FALSE)=BT48,1,0)</f>
        <v>#N/A</v>
      </c>
      <c r="FG48" s="138" t="e">
        <f>IF(VLOOKUP(CONCATENATE(H48,F48,FG$2),Ciencias!$A:$H,7,FALSE)=BU48,1,0)</f>
        <v>#N/A</v>
      </c>
      <c r="FH48" s="138" t="e">
        <f>IF(VLOOKUP(CONCATENATE(H48,F48,FH$2),Ciencias!$A:$H,7,FALSE)=BV48,1,0)</f>
        <v>#N/A</v>
      </c>
      <c r="FI48" s="138" t="e">
        <f>IF(VLOOKUP(CONCATENATE(H48,F48,FI$2),Ciencias!$A:$H,7,FALSE)=BW48,1,0)</f>
        <v>#N/A</v>
      </c>
      <c r="FJ48" s="138" t="e">
        <f>IF(VLOOKUP(CONCATENATE(H48,F48,FJ$2),Ciencias!$A:$H,7,FALSE)=BX48,1,0)</f>
        <v>#N/A</v>
      </c>
      <c r="FK48" s="138" t="e">
        <f>IF(VLOOKUP(CONCATENATE(H48,F48,FK$2),Ciencias!$A:$H,7,FALSE)=BY48,1,0)</f>
        <v>#N/A</v>
      </c>
      <c r="FL48" s="138" t="e">
        <f>IF(VLOOKUP(CONCATENATE(H48,F48,FL$2),Ciencias!$A:$H,7,FALSE)=BZ48,1,0)</f>
        <v>#N/A</v>
      </c>
      <c r="FM48" s="138" t="e">
        <f>IF(VLOOKUP(CONCATENATE(H48,F48,FM$2),Ciencias!$A:$H,7,FALSE)=CA48,1,0)</f>
        <v>#N/A</v>
      </c>
      <c r="FN48" s="138" t="e">
        <f>IF(VLOOKUP(CONCATENATE(H48,F48,FN$2),Ciencias!$A:$H,7,FALSE)=CB48,1,0)</f>
        <v>#N/A</v>
      </c>
      <c r="FO48" s="138" t="e">
        <f>IF(VLOOKUP(CONCATENATE(H48,F48,FO$2),Ciencias!$A:$H,7,FALSE)=CC48,1,0)</f>
        <v>#N/A</v>
      </c>
      <c r="FP48" s="138" t="e">
        <f>IF(VLOOKUP(CONCATENATE(H48,F48,FP$2),GeoHis!$A:$H,7,FALSE)=CD48,1,0)</f>
        <v>#N/A</v>
      </c>
      <c r="FQ48" s="138" t="e">
        <f>IF(VLOOKUP(CONCATENATE(H48,F48,FQ$2),GeoHis!$A:$H,7,FALSE)=CE48,1,0)</f>
        <v>#N/A</v>
      </c>
      <c r="FR48" s="138" t="e">
        <f>IF(VLOOKUP(CONCATENATE(H48,F48,FR$2),GeoHis!$A:$H,7,FALSE)=CF48,1,0)</f>
        <v>#N/A</v>
      </c>
      <c r="FS48" s="138" t="e">
        <f>IF(VLOOKUP(CONCATENATE(H48,F48,FS$2),GeoHis!$A:$H,7,FALSE)=CG48,1,0)</f>
        <v>#N/A</v>
      </c>
      <c r="FT48" s="138" t="e">
        <f>IF(VLOOKUP(CONCATENATE(H48,F48,FT$2),GeoHis!$A:$H,7,FALSE)=CH48,1,0)</f>
        <v>#N/A</v>
      </c>
      <c r="FU48" s="138" t="e">
        <f>IF(VLOOKUP(CONCATENATE(H48,F48,FU$2),GeoHis!$A:$H,7,FALSE)=CI48,1,0)</f>
        <v>#N/A</v>
      </c>
      <c r="FV48" s="138" t="e">
        <f>IF(VLOOKUP(CONCATENATE(H48,F48,FV$2),GeoHis!$A:$H,7,FALSE)=CJ48,1,0)</f>
        <v>#N/A</v>
      </c>
      <c r="FW48" s="138" t="e">
        <f>IF(VLOOKUP(CONCATENATE(H48,F48,FW$2),GeoHis!$A:$H,7,FALSE)=CK48,1,0)</f>
        <v>#N/A</v>
      </c>
      <c r="FX48" s="138" t="e">
        <f>IF(VLOOKUP(CONCATENATE(H48,F48,FX$2),GeoHis!$A:$H,7,FALSE)=CL48,1,0)</f>
        <v>#N/A</v>
      </c>
      <c r="FY48" s="138" t="e">
        <f>IF(VLOOKUP(CONCATENATE(H48,F48,FY$2),GeoHis!$A:$H,7,FALSE)=CM48,1,0)</f>
        <v>#N/A</v>
      </c>
      <c r="FZ48" s="138" t="e">
        <f>IF(VLOOKUP(CONCATENATE(H48,F48,FZ$2),GeoHis!$A:$H,7,FALSE)=CN48,1,0)</f>
        <v>#N/A</v>
      </c>
      <c r="GA48" s="138" t="e">
        <f>IF(VLOOKUP(CONCATENATE(H48,F48,GA$2),GeoHis!$A:$H,7,FALSE)=CO48,1,0)</f>
        <v>#N/A</v>
      </c>
      <c r="GB48" s="138" t="e">
        <f>IF(VLOOKUP(CONCATENATE(H48,F48,GB$2),GeoHis!$A:$H,7,FALSE)=CP48,1,0)</f>
        <v>#N/A</v>
      </c>
      <c r="GC48" s="138" t="e">
        <f>IF(VLOOKUP(CONCATENATE(H48,F48,GC$2),GeoHis!$A:$H,7,FALSE)=CQ48,1,0)</f>
        <v>#N/A</v>
      </c>
      <c r="GD48" s="138" t="e">
        <f>IF(VLOOKUP(CONCATENATE(H48,F48,GD$2),GeoHis!$A:$H,7,FALSE)=CR48,1,0)</f>
        <v>#N/A</v>
      </c>
      <c r="GE48" s="135" t="str">
        <f t="shared" si="6"/>
        <v/>
      </c>
    </row>
    <row r="49" spans="1:187" x14ac:dyDescent="0.25">
      <c r="A49" s="127" t="str">
        <f>IF(C49="","",'Datos Generales'!$A$25)</f>
        <v/>
      </c>
      <c r="D49" s="126" t="str">
        <f t="shared" si="0"/>
        <v/>
      </c>
      <c r="E49" s="126">
        <f t="shared" si="1"/>
        <v>0</v>
      </c>
      <c r="F49" s="126" t="str">
        <f t="shared" si="7"/>
        <v/>
      </c>
      <c r="G49" s="126" t="str">
        <f>IF(C49="","",'Datos Generales'!$D$19)</f>
        <v/>
      </c>
      <c r="H49" s="21" t="str">
        <f>IF(C49="","",'Datos Generales'!$A$19)</f>
        <v/>
      </c>
      <c r="I49" s="126" t="str">
        <f>IF(C49="","",'Datos Generales'!$A$7)</f>
        <v/>
      </c>
      <c r="J49" s="21" t="str">
        <f>IF(C49="","",'Datos Generales'!$A$13)</f>
        <v/>
      </c>
      <c r="K49" s="21" t="str">
        <f>IF(C49="","",'Datos Generales'!$A$10)</f>
        <v/>
      </c>
      <c r="CS49" s="142" t="str">
        <f t="shared" si="2"/>
        <v/>
      </c>
      <c r="CT49" s="142" t="str">
        <f t="shared" si="3"/>
        <v/>
      </c>
      <c r="CU49" s="142" t="str">
        <f t="shared" si="4"/>
        <v/>
      </c>
      <c r="CV49" s="142" t="str">
        <f t="shared" si="5"/>
        <v/>
      </c>
      <c r="CW49" s="142" t="str">
        <f>IF(C49="","",IF('Datos Generales'!$A$19=1,AVERAGE(FP49:GD49),AVERAGE(Captura!FP49:FY49)))</f>
        <v/>
      </c>
      <c r="CX49" s="138" t="e">
        <f>IF(VLOOKUP(CONCATENATE($H$4,$F$4,CX$2),Español!$A:$H,7,FALSE)=L49,1,0)</f>
        <v>#N/A</v>
      </c>
      <c r="CY49" s="138" t="e">
        <f>IF(VLOOKUP(CONCATENATE(H49,F49,CY$2),Español!$A:$H,7,FALSE)=M49,1,0)</f>
        <v>#N/A</v>
      </c>
      <c r="CZ49" s="138" t="e">
        <f>IF(VLOOKUP(CONCATENATE(H49,F49,CZ$2),Español!$A:$H,7,FALSE)=N49,1,0)</f>
        <v>#N/A</v>
      </c>
      <c r="DA49" s="138" t="e">
        <f>IF(VLOOKUP(CONCATENATE(H49,F49,DA$2),Español!$A:$H,7,FALSE)=O49,1,0)</f>
        <v>#N/A</v>
      </c>
      <c r="DB49" s="138" t="e">
        <f>IF(VLOOKUP(CONCATENATE(H49,F49,DB$2),Español!$A:$H,7,FALSE)=P49,1,0)</f>
        <v>#N/A</v>
      </c>
      <c r="DC49" s="138" t="e">
        <f>IF(VLOOKUP(CONCATENATE(H49,F49,DC$2),Español!$A:$H,7,FALSE)=Q49,1,0)</f>
        <v>#N/A</v>
      </c>
      <c r="DD49" s="138" t="e">
        <f>IF(VLOOKUP(CONCATENATE(H49,F49,DD$2),Español!$A:$H,7,FALSE)=R49,1,0)</f>
        <v>#N/A</v>
      </c>
      <c r="DE49" s="138" t="e">
        <f>IF(VLOOKUP(CONCATENATE(H49,F49,DE$2),Español!$A:$H,7,FALSE)=S49,1,0)</f>
        <v>#N/A</v>
      </c>
      <c r="DF49" s="138" t="e">
        <f>IF(VLOOKUP(CONCATENATE(H49,F49,DF$2),Español!$A:$H,7,FALSE)=T49,1,0)</f>
        <v>#N/A</v>
      </c>
      <c r="DG49" s="138" t="e">
        <f>IF(VLOOKUP(CONCATENATE(H49,F49,DG$2),Español!$A:$H,7,FALSE)=U49,1,0)</f>
        <v>#N/A</v>
      </c>
      <c r="DH49" s="138" t="e">
        <f>IF(VLOOKUP(CONCATENATE(H49,F49,DH$2),Español!$A:$H,7,FALSE)=V49,1,0)</f>
        <v>#N/A</v>
      </c>
      <c r="DI49" s="138" t="e">
        <f>IF(VLOOKUP(CONCATENATE(H49,F49,DI$2),Español!$A:$H,7,FALSE)=W49,1,0)</f>
        <v>#N/A</v>
      </c>
      <c r="DJ49" s="138" t="e">
        <f>IF(VLOOKUP(CONCATENATE(H49,F49,DJ$2),Español!$A:$H,7,FALSE)=X49,1,0)</f>
        <v>#N/A</v>
      </c>
      <c r="DK49" s="138" t="e">
        <f>IF(VLOOKUP(CONCATENATE(H49,F49,DK$2),Español!$A:$H,7,FALSE)=Y49,1,0)</f>
        <v>#N/A</v>
      </c>
      <c r="DL49" s="138" t="e">
        <f>IF(VLOOKUP(CONCATENATE(H49,F49,DL$2),Español!$A:$H,7,FALSE)=Z49,1,0)</f>
        <v>#N/A</v>
      </c>
      <c r="DM49" s="138" t="e">
        <f>IF(VLOOKUP(CONCATENATE(H49,F49,DM$2),Español!$A:$H,7,FALSE)=AA49,1,0)</f>
        <v>#N/A</v>
      </c>
      <c r="DN49" s="138" t="e">
        <f>IF(VLOOKUP(CONCATENATE(H49,F49,DN$2),Español!$A:$H,7,FALSE)=AB49,1,0)</f>
        <v>#N/A</v>
      </c>
      <c r="DO49" s="138" t="e">
        <f>IF(VLOOKUP(CONCATENATE(H49,F49,DO$2),Español!$A:$H,7,FALSE)=AC49,1,0)</f>
        <v>#N/A</v>
      </c>
      <c r="DP49" s="138" t="e">
        <f>IF(VLOOKUP(CONCATENATE(H49,F49,DP$2),Español!$A:$H,7,FALSE)=AD49,1,0)</f>
        <v>#N/A</v>
      </c>
      <c r="DQ49" s="138" t="e">
        <f>IF(VLOOKUP(CONCATENATE(H49,F49,DQ$2),Español!$A:$H,7,FALSE)=AE49,1,0)</f>
        <v>#N/A</v>
      </c>
      <c r="DR49" s="138" t="e">
        <f>IF(VLOOKUP(CONCATENATE(H49,F49,DR$2),Inglés!$A:$H,7,FALSE)=AF49,1,0)</f>
        <v>#N/A</v>
      </c>
      <c r="DS49" s="138" t="e">
        <f>IF(VLOOKUP(CONCATENATE(H49,F49,DS$2),Inglés!$A:$H,7,FALSE)=AG49,1,0)</f>
        <v>#N/A</v>
      </c>
      <c r="DT49" s="138" t="e">
        <f>IF(VLOOKUP(CONCATENATE(H49,F49,DT$2),Inglés!$A:$H,7,FALSE)=AH49,1,0)</f>
        <v>#N/A</v>
      </c>
      <c r="DU49" s="138" t="e">
        <f>IF(VLOOKUP(CONCATENATE(H49,F49,DU$2),Inglés!$A:$H,7,FALSE)=AI49,1,0)</f>
        <v>#N/A</v>
      </c>
      <c r="DV49" s="138" t="e">
        <f>IF(VLOOKUP(CONCATENATE(H49,F49,DV$2),Inglés!$A:$H,7,FALSE)=AJ49,1,0)</f>
        <v>#N/A</v>
      </c>
      <c r="DW49" s="138" t="e">
        <f>IF(VLOOKUP(CONCATENATE(H49,F49,DW$2),Inglés!$A:$H,7,FALSE)=AK49,1,0)</f>
        <v>#N/A</v>
      </c>
      <c r="DX49" s="138" t="e">
        <f>IF(VLOOKUP(CONCATENATE(H49,F49,DX$2),Inglés!$A:$H,7,FALSE)=AL49,1,0)</f>
        <v>#N/A</v>
      </c>
      <c r="DY49" s="138" t="e">
        <f>IF(VLOOKUP(CONCATENATE(H49,F49,DY$2),Inglés!$A:$H,7,FALSE)=AM49,1,0)</f>
        <v>#N/A</v>
      </c>
      <c r="DZ49" s="138" t="e">
        <f>IF(VLOOKUP(CONCATENATE(H49,F49,DZ$2),Inglés!$A:$H,7,FALSE)=AN49,1,0)</f>
        <v>#N/A</v>
      </c>
      <c r="EA49" s="138" t="e">
        <f>IF(VLOOKUP(CONCATENATE(H49,F49,EA$2),Inglés!$A:$H,7,FALSE)=AO49,1,0)</f>
        <v>#N/A</v>
      </c>
      <c r="EB49" s="138" t="e">
        <f>IF(VLOOKUP(CONCATENATE(H49,F49,EB$2),Matemáticas!$A:$H,7,FALSE)=AP49,1,0)</f>
        <v>#N/A</v>
      </c>
      <c r="EC49" s="138" t="e">
        <f>IF(VLOOKUP(CONCATENATE(H49,F49,EC$2),Matemáticas!$A:$H,7,FALSE)=AQ49,1,0)</f>
        <v>#N/A</v>
      </c>
      <c r="ED49" s="138" t="e">
        <f>IF(VLOOKUP(CONCATENATE(H49,F49,ED$2),Matemáticas!$A:$H,7,FALSE)=AR49,1,0)</f>
        <v>#N/A</v>
      </c>
      <c r="EE49" s="138" t="e">
        <f>IF(VLOOKUP(CONCATENATE(H49,F49,EE$2),Matemáticas!$A:$H,7,FALSE)=AS49,1,0)</f>
        <v>#N/A</v>
      </c>
      <c r="EF49" s="138" t="e">
        <f>IF(VLOOKUP(CONCATENATE(H49,F49,EF$2),Matemáticas!$A:$H,7,FALSE)=AT49,1,0)</f>
        <v>#N/A</v>
      </c>
      <c r="EG49" s="138" t="e">
        <f>IF(VLOOKUP(CONCATENATE(H49,F49,EG$2),Matemáticas!$A:$H,7,FALSE)=AU49,1,0)</f>
        <v>#N/A</v>
      </c>
      <c r="EH49" s="138" t="e">
        <f>IF(VLOOKUP(CONCATENATE(H49,F49,EH$2),Matemáticas!$A:$H,7,FALSE)=AV49,1,0)</f>
        <v>#N/A</v>
      </c>
      <c r="EI49" s="138" t="e">
        <f>IF(VLOOKUP(CONCATENATE(H49,F49,EI$2),Matemáticas!$A:$H,7,FALSE)=AW49,1,0)</f>
        <v>#N/A</v>
      </c>
      <c r="EJ49" s="138" t="e">
        <f>IF(VLOOKUP(CONCATENATE(H49,F49,EJ$2),Matemáticas!$A:$H,7,FALSE)=AX49,1,0)</f>
        <v>#N/A</v>
      </c>
      <c r="EK49" s="138" t="e">
        <f>IF(VLOOKUP(CONCATENATE(H49,F49,EK$2),Matemáticas!$A:$H,7,FALSE)=AY49,1,0)</f>
        <v>#N/A</v>
      </c>
      <c r="EL49" s="138" t="e">
        <f>IF(VLOOKUP(CONCATENATE(H49,F49,EL$2),Matemáticas!$A:$H,7,FALSE)=AZ49,1,0)</f>
        <v>#N/A</v>
      </c>
      <c r="EM49" s="138" t="e">
        <f>IF(VLOOKUP(CONCATENATE(H49,F49,EM$2),Matemáticas!$A:$H,7,FALSE)=BA49,1,0)</f>
        <v>#N/A</v>
      </c>
      <c r="EN49" s="138" t="e">
        <f>IF(VLOOKUP(CONCATENATE(H49,F49,EN$2),Matemáticas!$A:$H,7,FALSE)=BB49,1,0)</f>
        <v>#N/A</v>
      </c>
      <c r="EO49" s="138" t="e">
        <f>IF(VLOOKUP(CONCATENATE(H49,F49,EO$2),Matemáticas!$A:$H,7,FALSE)=BC49,1,0)</f>
        <v>#N/A</v>
      </c>
      <c r="EP49" s="138" t="e">
        <f>IF(VLOOKUP(CONCATENATE(H49,F49,EP$2),Matemáticas!$A:$H,7,FALSE)=BD49,1,0)</f>
        <v>#N/A</v>
      </c>
      <c r="EQ49" s="138" t="e">
        <f>IF(VLOOKUP(CONCATENATE(H49,F49,EQ$2),Matemáticas!$A:$H,7,FALSE)=BE49,1,0)</f>
        <v>#N/A</v>
      </c>
      <c r="ER49" s="138" t="e">
        <f>IF(VLOOKUP(CONCATENATE(H49,F49,ER$2),Matemáticas!$A:$H,7,FALSE)=BF49,1,0)</f>
        <v>#N/A</v>
      </c>
      <c r="ES49" s="138" t="e">
        <f>IF(VLOOKUP(CONCATENATE(H49,F49,ES$2),Matemáticas!$A:$H,7,FALSE)=BG49,1,0)</f>
        <v>#N/A</v>
      </c>
      <c r="ET49" s="138" t="e">
        <f>IF(VLOOKUP(CONCATENATE(H49,F49,ET$2),Matemáticas!$A:$H,7,FALSE)=BH49,1,0)</f>
        <v>#N/A</v>
      </c>
      <c r="EU49" s="138" t="e">
        <f>IF(VLOOKUP(CONCATENATE(H49,F49,EU$2),Matemáticas!$A:$H,7,FALSE)=BI49,1,0)</f>
        <v>#N/A</v>
      </c>
      <c r="EV49" s="138" t="e">
        <f>IF(VLOOKUP(CONCATENATE(H49,F49,EV$2),Ciencias!$A:$H,7,FALSE)=BJ49,1,0)</f>
        <v>#N/A</v>
      </c>
      <c r="EW49" s="138" t="e">
        <f>IF(VLOOKUP(CONCATENATE(H49,F49,EW$2),Ciencias!$A:$H,7,FALSE)=BK49,1,0)</f>
        <v>#N/A</v>
      </c>
      <c r="EX49" s="138" t="e">
        <f>IF(VLOOKUP(CONCATENATE(H49,F49,EX$2),Ciencias!$A:$H,7,FALSE)=BL49,1,0)</f>
        <v>#N/A</v>
      </c>
      <c r="EY49" s="138" t="e">
        <f>IF(VLOOKUP(CONCATENATE(H49,F49,EY$2),Ciencias!$A:$H,7,FALSE)=BM49,1,0)</f>
        <v>#N/A</v>
      </c>
      <c r="EZ49" s="138" t="e">
        <f>IF(VLOOKUP(CONCATENATE(H49,F49,EZ$2),Ciencias!$A:$H,7,FALSE)=BN49,1,0)</f>
        <v>#N/A</v>
      </c>
      <c r="FA49" s="138" t="e">
        <f>IF(VLOOKUP(CONCATENATE(H49,F49,FA$2),Ciencias!$A:$H,7,FALSE)=BO49,1,0)</f>
        <v>#N/A</v>
      </c>
      <c r="FB49" s="138" t="e">
        <f>IF(VLOOKUP(CONCATENATE(H49,F49,FB$2),Ciencias!$A:$H,7,FALSE)=BP49,1,0)</f>
        <v>#N/A</v>
      </c>
      <c r="FC49" s="138" t="e">
        <f>IF(VLOOKUP(CONCATENATE(H49,F49,FC$2),Ciencias!$A:$H,7,FALSE)=BQ49,1,0)</f>
        <v>#N/A</v>
      </c>
      <c r="FD49" s="138" t="e">
        <f>IF(VLOOKUP(CONCATENATE(H49,F49,FD$2),Ciencias!$A:$H,7,FALSE)=BR49,1,0)</f>
        <v>#N/A</v>
      </c>
      <c r="FE49" s="138" t="e">
        <f>IF(VLOOKUP(CONCATENATE(H49,F49,FE$2),Ciencias!$A:$H,7,FALSE)=BS49,1,0)</f>
        <v>#N/A</v>
      </c>
      <c r="FF49" s="138" t="e">
        <f>IF(VLOOKUP(CONCATENATE(H49,F49,FF$2),Ciencias!$A:$H,7,FALSE)=BT49,1,0)</f>
        <v>#N/A</v>
      </c>
      <c r="FG49" s="138" t="e">
        <f>IF(VLOOKUP(CONCATENATE(H49,F49,FG$2),Ciencias!$A:$H,7,FALSE)=BU49,1,0)</f>
        <v>#N/A</v>
      </c>
      <c r="FH49" s="138" t="e">
        <f>IF(VLOOKUP(CONCATENATE(H49,F49,FH$2),Ciencias!$A:$H,7,FALSE)=BV49,1,0)</f>
        <v>#N/A</v>
      </c>
      <c r="FI49" s="138" t="e">
        <f>IF(VLOOKUP(CONCATENATE(H49,F49,FI$2),Ciencias!$A:$H,7,FALSE)=BW49,1,0)</f>
        <v>#N/A</v>
      </c>
      <c r="FJ49" s="138" t="e">
        <f>IF(VLOOKUP(CONCATENATE(H49,F49,FJ$2),Ciencias!$A:$H,7,FALSE)=BX49,1,0)</f>
        <v>#N/A</v>
      </c>
      <c r="FK49" s="138" t="e">
        <f>IF(VLOOKUP(CONCATENATE(H49,F49,FK$2),Ciencias!$A:$H,7,FALSE)=BY49,1,0)</f>
        <v>#N/A</v>
      </c>
      <c r="FL49" s="138" t="e">
        <f>IF(VLOOKUP(CONCATENATE(H49,F49,FL$2),Ciencias!$A:$H,7,FALSE)=BZ49,1,0)</f>
        <v>#N/A</v>
      </c>
      <c r="FM49" s="138" t="e">
        <f>IF(VLOOKUP(CONCATENATE(H49,F49,FM$2),Ciencias!$A:$H,7,FALSE)=CA49,1,0)</f>
        <v>#N/A</v>
      </c>
      <c r="FN49" s="138" t="e">
        <f>IF(VLOOKUP(CONCATENATE(H49,F49,FN$2),Ciencias!$A:$H,7,FALSE)=CB49,1,0)</f>
        <v>#N/A</v>
      </c>
      <c r="FO49" s="138" t="e">
        <f>IF(VLOOKUP(CONCATENATE(H49,F49,FO$2),Ciencias!$A:$H,7,FALSE)=CC49,1,0)</f>
        <v>#N/A</v>
      </c>
      <c r="FP49" s="138" t="e">
        <f>IF(VLOOKUP(CONCATENATE(H49,F49,FP$2),GeoHis!$A:$H,7,FALSE)=CD49,1,0)</f>
        <v>#N/A</v>
      </c>
      <c r="FQ49" s="138" t="e">
        <f>IF(VLOOKUP(CONCATENATE(H49,F49,FQ$2),GeoHis!$A:$H,7,FALSE)=CE49,1,0)</f>
        <v>#N/A</v>
      </c>
      <c r="FR49" s="138" t="e">
        <f>IF(VLOOKUP(CONCATENATE(H49,F49,FR$2),GeoHis!$A:$H,7,FALSE)=CF49,1,0)</f>
        <v>#N/A</v>
      </c>
      <c r="FS49" s="138" t="e">
        <f>IF(VLOOKUP(CONCATENATE(H49,F49,FS$2),GeoHis!$A:$H,7,FALSE)=CG49,1,0)</f>
        <v>#N/A</v>
      </c>
      <c r="FT49" s="138" t="e">
        <f>IF(VLOOKUP(CONCATENATE(H49,F49,FT$2),GeoHis!$A:$H,7,FALSE)=CH49,1,0)</f>
        <v>#N/A</v>
      </c>
      <c r="FU49" s="138" t="e">
        <f>IF(VLOOKUP(CONCATENATE(H49,F49,FU$2),GeoHis!$A:$H,7,FALSE)=CI49,1,0)</f>
        <v>#N/A</v>
      </c>
      <c r="FV49" s="138" t="e">
        <f>IF(VLOOKUP(CONCATENATE(H49,F49,FV$2),GeoHis!$A:$H,7,FALSE)=CJ49,1,0)</f>
        <v>#N/A</v>
      </c>
      <c r="FW49" s="138" t="e">
        <f>IF(VLOOKUP(CONCATENATE(H49,F49,FW$2),GeoHis!$A:$H,7,FALSE)=CK49,1,0)</f>
        <v>#N/A</v>
      </c>
      <c r="FX49" s="138" t="e">
        <f>IF(VLOOKUP(CONCATENATE(H49,F49,FX$2),GeoHis!$A:$H,7,FALSE)=CL49,1,0)</f>
        <v>#N/A</v>
      </c>
      <c r="FY49" s="138" t="e">
        <f>IF(VLOOKUP(CONCATENATE(H49,F49,FY$2),GeoHis!$A:$H,7,FALSE)=CM49,1,0)</f>
        <v>#N/A</v>
      </c>
      <c r="FZ49" s="138" t="e">
        <f>IF(VLOOKUP(CONCATENATE(H49,F49,FZ$2),GeoHis!$A:$H,7,FALSE)=CN49,1,0)</f>
        <v>#N/A</v>
      </c>
      <c r="GA49" s="138" t="e">
        <f>IF(VLOOKUP(CONCATENATE(H49,F49,GA$2),GeoHis!$A:$H,7,FALSE)=CO49,1,0)</f>
        <v>#N/A</v>
      </c>
      <c r="GB49" s="138" t="e">
        <f>IF(VLOOKUP(CONCATENATE(H49,F49,GB$2),GeoHis!$A:$H,7,FALSE)=CP49,1,0)</f>
        <v>#N/A</v>
      </c>
      <c r="GC49" s="138" t="e">
        <f>IF(VLOOKUP(CONCATENATE(H49,F49,GC$2),GeoHis!$A:$H,7,FALSE)=CQ49,1,0)</f>
        <v>#N/A</v>
      </c>
      <c r="GD49" s="138" t="e">
        <f>IF(VLOOKUP(CONCATENATE(H49,F49,GD$2),GeoHis!$A:$H,7,FALSE)=CR49,1,0)</f>
        <v>#N/A</v>
      </c>
      <c r="GE49" s="135" t="str">
        <f t="shared" si="6"/>
        <v/>
      </c>
    </row>
    <row r="50" spans="1:187" x14ac:dyDescent="0.25">
      <c r="A50" s="127" t="str">
        <f>IF(C50="","",'Datos Generales'!$A$25)</f>
        <v/>
      </c>
      <c r="D50" s="126" t="str">
        <f t="shared" si="0"/>
        <v/>
      </c>
      <c r="E50" s="126">
        <f t="shared" si="1"/>
        <v>0</v>
      </c>
      <c r="F50" s="126" t="str">
        <f t="shared" si="7"/>
        <v/>
      </c>
      <c r="G50" s="126" t="str">
        <f>IF(C50="","",'Datos Generales'!$D$19)</f>
        <v/>
      </c>
      <c r="H50" s="21" t="str">
        <f>IF(C50="","",'Datos Generales'!$A$19)</f>
        <v/>
      </c>
      <c r="I50" s="126" t="str">
        <f>IF(C50="","",'Datos Generales'!$A$7)</f>
        <v/>
      </c>
      <c r="J50" s="21" t="str">
        <f>IF(C50="","",'Datos Generales'!$A$13)</f>
        <v/>
      </c>
      <c r="K50" s="21" t="str">
        <f>IF(C50="","",'Datos Generales'!$A$10)</f>
        <v/>
      </c>
      <c r="CS50" s="142" t="str">
        <f t="shared" si="2"/>
        <v/>
      </c>
      <c r="CT50" s="142" t="str">
        <f t="shared" si="3"/>
        <v/>
      </c>
      <c r="CU50" s="142" t="str">
        <f t="shared" si="4"/>
        <v/>
      </c>
      <c r="CV50" s="142" t="str">
        <f t="shared" si="5"/>
        <v/>
      </c>
      <c r="CW50" s="142" t="str">
        <f>IF(C50="","",IF('Datos Generales'!$A$19=1,AVERAGE(FP50:GD50),AVERAGE(Captura!FP50:FY50)))</f>
        <v/>
      </c>
      <c r="CX50" s="138" t="e">
        <f>IF(VLOOKUP(CONCATENATE($H$4,$F$4,CX$2),Español!$A:$H,7,FALSE)=L50,1,0)</f>
        <v>#N/A</v>
      </c>
      <c r="CY50" s="138" t="e">
        <f>IF(VLOOKUP(CONCATENATE(H50,F50,CY$2),Español!$A:$H,7,FALSE)=M50,1,0)</f>
        <v>#N/A</v>
      </c>
      <c r="CZ50" s="138" t="e">
        <f>IF(VLOOKUP(CONCATENATE(H50,F50,CZ$2),Español!$A:$H,7,FALSE)=N50,1,0)</f>
        <v>#N/A</v>
      </c>
      <c r="DA50" s="138" t="e">
        <f>IF(VLOOKUP(CONCATENATE(H50,F50,DA$2),Español!$A:$H,7,FALSE)=O50,1,0)</f>
        <v>#N/A</v>
      </c>
      <c r="DB50" s="138" t="e">
        <f>IF(VLOOKUP(CONCATENATE(H50,F50,DB$2),Español!$A:$H,7,FALSE)=P50,1,0)</f>
        <v>#N/A</v>
      </c>
      <c r="DC50" s="138" t="e">
        <f>IF(VLOOKUP(CONCATENATE(H50,F50,DC$2),Español!$A:$H,7,FALSE)=Q50,1,0)</f>
        <v>#N/A</v>
      </c>
      <c r="DD50" s="138" t="e">
        <f>IF(VLOOKUP(CONCATENATE(H50,F50,DD$2),Español!$A:$H,7,FALSE)=R50,1,0)</f>
        <v>#N/A</v>
      </c>
      <c r="DE50" s="138" t="e">
        <f>IF(VLOOKUP(CONCATENATE(H50,F50,DE$2),Español!$A:$H,7,FALSE)=S50,1,0)</f>
        <v>#N/A</v>
      </c>
      <c r="DF50" s="138" t="e">
        <f>IF(VLOOKUP(CONCATENATE(H50,F50,DF$2),Español!$A:$H,7,FALSE)=T50,1,0)</f>
        <v>#N/A</v>
      </c>
      <c r="DG50" s="138" t="e">
        <f>IF(VLOOKUP(CONCATENATE(H50,F50,DG$2),Español!$A:$H,7,FALSE)=U50,1,0)</f>
        <v>#N/A</v>
      </c>
      <c r="DH50" s="138" t="e">
        <f>IF(VLOOKUP(CONCATENATE(H50,F50,DH$2),Español!$A:$H,7,FALSE)=V50,1,0)</f>
        <v>#N/A</v>
      </c>
      <c r="DI50" s="138" t="e">
        <f>IF(VLOOKUP(CONCATENATE(H50,F50,DI$2),Español!$A:$H,7,FALSE)=W50,1,0)</f>
        <v>#N/A</v>
      </c>
      <c r="DJ50" s="138" t="e">
        <f>IF(VLOOKUP(CONCATENATE(H50,F50,DJ$2),Español!$A:$H,7,FALSE)=X50,1,0)</f>
        <v>#N/A</v>
      </c>
      <c r="DK50" s="138" t="e">
        <f>IF(VLOOKUP(CONCATENATE(H50,F50,DK$2),Español!$A:$H,7,FALSE)=Y50,1,0)</f>
        <v>#N/A</v>
      </c>
      <c r="DL50" s="138" t="e">
        <f>IF(VLOOKUP(CONCATENATE(H50,F50,DL$2),Español!$A:$H,7,FALSE)=Z50,1,0)</f>
        <v>#N/A</v>
      </c>
      <c r="DM50" s="138" t="e">
        <f>IF(VLOOKUP(CONCATENATE(H50,F50,DM$2),Español!$A:$H,7,FALSE)=AA50,1,0)</f>
        <v>#N/A</v>
      </c>
      <c r="DN50" s="138" t="e">
        <f>IF(VLOOKUP(CONCATENATE(H50,F50,DN$2),Español!$A:$H,7,FALSE)=AB50,1,0)</f>
        <v>#N/A</v>
      </c>
      <c r="DO50" s="138" t="e">
        <f>IF(VLOOKUP(CONCATENATE(H50,F50,DO$2),Español!$A:$H,7,FALSE)=AC50,1,0)</f>
        <v>#N/A</v>
      </c>
      <c r="DP50" s="138" t="e">
        <f>IF(VLOOKUP(CONCATENATE(H50,F50,DP$2),Español!$A:$H,7,FALSE)=AD50,1,0)</f>
        <v>#N/A</v>
      </c>
      <c r="DQ50" s="138" t="e">
        <f>IF(VLOOKUP(CONCATENATE(H50,F50,DQ$2),Español!$A:$H,7,FALSE)=AE50,1,0)</f>
        <v>#N/A</v>
      </c>
      <c r="DR50" s="138" t="e">
        <f>IF(VLOOKUP(CONCATENATE(H50,F50,DR$2),Inglés!$A:$H,7,FALSE)=AF50,1,0)</f>
        <v>#N/A</v>
      </c>
      <c r="DS50" s="138" t="e">
        <f>IF(VLOOKUP(CONCATENATE(H50,F50,DS$2),Inglés!$A:$H,7,FALSE)=AG50,1,0)</f>
        <v>#N/A</v>
      </c>
      <c r="DT50" s="138" t="e">
        <f>IF(VLOOKUP(CONCATENATE(H50,F50,DT$2),Inglés!$A:$H,7,FALSE)=AH50,1,0)</f>
        <v>#N/A</v>
      </c>
      <c r="DU50" s="138" t="e">
        <f>IF(VLOOKUP(CONCATENATE(H50,F50,DU$2),Inglés!$A:$H,7,FALSE)=AI50,1,0)</f>
        <v>#N/A</v>
      </c>
      <c r="DV50" s="138" t="e">
        <f>IF(VLOOKUP(CONCATENATE(H50,F50,DV$2),Inglés!$A:$H,7,FALSE)=AJ50,1,0)</f>
        <v>#N/A</v>
      </c>
      <c r="DW50" s="138" t="e">
        <f>IF(VLOOKUP(CONCATENATE(H50,F50,DW$2),Inglés!$A:$H,7,FALSE)=AK50,1,0)</f>
        <v>#N/A</v>
      </c>
      <c r="DX50" s="138" t="e">
        <f>IF(VLOOKUP(CONCATENATE(H50,F50,DX$2),Inglés!$A:$H,7,FALSE)=AL50,1,0)</f>
        <v>#N/A</v>
      </c>
      <c r="DY50" s="138" t="e">
        <f>IF(VLOOKUP(CONCATENATE(H50,F50,DY$2),Inglés!$A:$H,7,FALSE)=AM50,1,0)</f>
        <v>#N/A</v>
      </c>
      <c r="DZ50" s="138" t="e">
        <f>IF(VLOOKUP(CONCATENATE(H50,F50,DZ$2),Inglés!$A:$H,7,FALSE)=AN50,1,0)</f>
        <v>#N/A</v>
      </c>
      <c r="EA50" s="138" t="e">
        <f>IF(VLOOKUP(CONCATENATE(H50,F50,EA$2),Inglés!$A:$H,7,FALSE)=AO50,1,0)</f>
        <v>#N/A</v>
      </c>
      <c r="EB50" s="138" t="e">
        <f>IF(VLOOKUP(CONCATENATE(H50,F50,EB$2),Matemáticas!$A:$H,7,FALSE)=AP50,1,0)</f>
        <v>#N/A</v>
      </c>
      <c r="EC50" s="138" t="e">
        <f>IF(VLOOKUP(CONCATENATE(H50,F50,EC$2),Matemáticas!$A:$H,7,FALSE)=AQ50,1,0)</f>
        <v>#N/A</v>
      </c>
      <c r="ED50" s="138" t="e">
        <f>IF(VLOOKUP(CONCATENATE(H50,F50,ED$2),Matemáticas!$A:$H,7,FALSE)=AR50,1,0)</f>
        <v>#N/A</v>
      </c>
      <c r="EE50" s="138" t="e">
        <f>IF(VLOOKUP(CONCATENATE(H50,F50,EE$2),Matemáticas!$A:$H,7,FALSE)=AS50,1,0)</f>
        <v>#N/A</v>
      </c>
      <c r="EF50" s="138" t="e">
        <f>IF(VLOOKUP(CONCATENATE(H50,F50,EF$2),Matemáticas!$A:$H,7,FALSE)=AT50,1,0)</f>
        <v>#N/A</v>
      </c>
      <c r="EG50" s="138" t="e">
        <f>IF(VLOOKUP(CONCATENATE(H50,F50,EG$2),Matemáticas!$A:$H,7,FALSE)=AU50,1,0)</f>
        <v>#N/A</v>
      </c>
      <c r="EH50" s="138" t="e">
        <f>IF(VLOOKUP(CONCATENATE(H50,F50,EH$2),Matemáticas!$A:$H,7,FALSE)=AV50,1,0)</f>
        <v>#N/A</v>
      </c>
      <c r="EI50" s="138" t="e">
        <f>IF(VLOOKUP(CONCATENATE(H50,F50,EI$2),Matemáticas!$A:$H,7,FALSE)=AW50,1,0)</f>
        <v>#N/A</v>
      </c>
      <c r="EJ50" s="138" t="e">
        <f>IF(VLOOKUP(CONCATENATE(H50,F50,EJ$2),Matemáticas!$A:$H,7,FALSE)=AX50,1,0)</f>
        <v>#N/A</v>
      </c>
      <c r="EK50" s="138" t="e">
        <f>IF(VLOOKUP(CONCATENATE(H50,F50,EK$2),Matemáticas!$A:$H,7,FALSE)=AY50,1,0)</f>
        <v>#N/A</v>
      </c>
      <c r="EL50" s="138" t="e">
        <f>IF(VLOOKUP(CONCATENATE(H50,F50,EL$2),Matemáticas!$A:$H,7,FALSE)=AZ50,1,0)</f>
        <v>#N/A</v>
      </c>
      <c r="EM50" s="138" t="e">
        <f>IF(VLOOKUP(CONCATENATE(H50,F50,EM$2),Matemáticas!$A:$H,7,FALSE)=BA50,1,0)</f>
        <v>#N/A</v>
      </c>
      <c r="EN50" s="138" t="e">
        <f>IF(VLOOKUP(CONCATENATE(H50,F50,EN$2),Matemáticas!$A:$H,7,FALSE)=BB50,1,0)</f>
        <v>#N/A</v>
      </c>
      <c r="EO50" s="138" t="e">
        <f>IF(VLOOKUP(CONCATENATE(H50,F50,EO$2),Matemáticas!$A:$H,7,FALSE)=BC50,1,0)</f>
        <v>#N/A</v>
      </c>
      <c r="EP50" s="138" t="e">
        <f>IF(VLOOKUP(CONCATENATE(H50,F50,EP$2),Matemáticas!$A:$H,7,FALSE)=BD50,1,0)</f>
        <v>#N/A</v>
      </c>
      <c r="EQ50" s="138" t="e">
        <f>IF(VLOOKUP(CONCATENATE(H50,F50,EQ$2),Matemáticas!$A:$H,7,FALSE)=BE50,1,0)</f>
        <v>#N/A</v>
      </c>
      <c r="ER50" s="138" t="e">
        <f>IF(VLOOKUP(CONCATENATE(H50,F50,ER$2),Matemáticas!$A:$H,7,FALSE)=BF50,1,0)</f>
        <v>#N/A</v>
      </c>
      <c r="ES50" s="138" t="e">
        <f>IF(VLOOKUP(CONCATENATE(H50,F50,ES$2),Matemáticas!$A:$H,7,FALSE)=BG50,1,0)</f>
        <v>#N/A</v>
      </c>
      <c r="ET50" s="138" t="e">
        <f>IF(VLOOKUP(CONCATENATE(H50,F50,ET$2),Matemáticas!$A:$H,7,FALSE)=BH50,1,0)</f>
        <v>#N/A</v>
      </c>
      <c r="EU50" s="138" t="e">
        <f>IF(VLOOKUP(CONCATENATE(H50,F50,EU$2),Matemáticas!$A:$H,7,FALSE)=BI50,1,0)</f>
        <v>#N/A</v>
      </c>
      <c r="EV50" s="138" t="e">
        <f>IF(VLOOKUP(CONCATENATE(H50,F50,EV$2),Ciencias!$A:$H,7,FALSE)=BJ50,1,0)</f>
        <v>#N/A</v>
      </c>
      <c r="EW50" s="138" t="e">
        <f>IF(VLOOKUP(CONCATENATE(H50,F50,EW$2),Ciencias!$A:$H,7,FALSE)=BK50,1,0)</f>
        <v>#N/A</v>
      </c>
      <c r="EX50" s="138" t="e">
        <f>IF(VLOOKUP(CONCATENATE(H50,F50,EX$2),Ciencias!$A:$H,7,FALSE)=BL50,1,0)</f>
        <v>#N/A</v>
      </c>
      <c r="EY50" s="138" t="e">
        <f>IF(VLOOKUP(CONCATENATE(H50,F50,EY$2),Ciencias!$A:$H,7,FALSE)=BM50,1,0)</f>
        <v>#N/A</v>
      </c>
      <c r="EZ50" s="138" t="e">
        <f>IF(VLOOKUP(CONCATENATE(H50,F50,EZ$2),Ciencias!$A:$H,7,FALSE)=BN50,1,0)</f>
        <v>#N/A</v>
      </c>
      <c r="FA50" s="138" t="e">
        <f>IF(VLOOKUP(CONCATENATE(H50,F50,FA$2),Ciencias!$A:$H,7,FALSE)=BO50,1,0)</f>
        <v>#N/A</v>
      </c>
      <c r="FB50" s="138" t="e">
        <f>IF(VLOOKUP(CONCATENATE(H50,F50,FB$2),Ciencias!$A:$H,7,FALSE)=BP50,1,0)</f>
        <v>#N/A</v>
      </c>
      <c r="FC50" s="138" t="e">
        <f>IF(VLOOKUP(CONCATENATE(H50,F50,FC$2),Ciencias!$A:$H,7,FALSE)=BQ50,1,0)</f>
        <v>#N/A</v>
      </c>
      <c r="FD50" s="138" t="e">
        <f>IF(VLOOKUP(CONCATENATE(H50,F50,FD$2),Ciencias!$A:$H,7,FALSE)=BR50,1,0)</f>
        <v>#N/A</v>
      </c>
      <c r="FE50" s="138" t="e">
        <f>IF(VLOOKUP(CONCATENATE(H50,F50,FE$2),Ciencias!$A:$H,7,FALSE)=BS50,1,0)</f>
        <v>#N/A</v>
      </c>
      <c r="FF50" s="138" t="e">
        <f>IF(VLOOKUP(CONCATENATE(H50,F50,FF$2),Ciencias!$A:$H,7,FALSE)=BT50,1,0)</f>
        <v>#N/A</v>
      </c>
      <c r="FG50" s="138" t="e">
        <f>IF(VLOOKUP(CONCATENATE(H50,F50,FG$2),Ciencias!$A:$H,7,FALSE)=BU50,1,0)</f>
        <v>#N/A</v>
      </c>
      <c r="FH50" s="138" t="e">
        <f>IF(VLOOKUP(CONCATENATE(H50,F50,FH$2),Ciencias!$A:$H,7,FALSE)=BV50,1,0)</f>
        <v>#N/A</v>
      </c>
      <c r="FI50" s="138" t="e">
        <f>IF(VLOOKUP(CONCATENATE(H50,F50,FI$2),Ciencias!$A:$H,7,FALSE)=BW50,1,0)</f>
        <v>#N/A</v>
      </c>
      <c r="FJ50" s="138" t="e">
        <f>IF(VLOOKUP(CONCATENATE(H50,F50,FJ$2),Ciencias!$A:$H,7,FALSE)=BX50,1,0)</f>
        <v>#N/A</v>
      </c>
      <c r="FK50" s="138" t="e">
        <f>IF(VLOOKUP(CONCATENATE(H50,F50,FK$2),Ciencias!$A:$H,7,FALSE)=BY50,1,0)</f>
        <v>#N/A</v>
      </c>
      <c r="FL50" s="138" t="e">
        <f>IF(VLOOKUP(CONCATENATE(H50,F50,FL$2),Ciencias!$A:$H,7,FALSE)=BZ50,1,0)</f>
        <v>#N/A</v>
      </c>
      <c r="FM50" s="138" t="e">
        <f>IF(VLOOKUP(CONCATENATE(H50,F50,FM$2),Ciencias!$A:$H,7,FALSE)=CA50,1,0)</f>
        <v>#N/A</v>
      </c>
      <c r="FN50" s="138" t="e">
        <f>IF(VLOOKUP(CONCATENATE(H50,F50,FN$2),Ciencias!$A:$H,7,FALSE)=CB50,1,0)</f>
        <v>#N/A</v>
      </c>
      <c r="FO50" s="138" t="e">
        <f>IF(VLOOKUP(CONCATENATE(H50,F50,FO$2),Ciencias!$A:$H,7,FALSE)=CC50,1,0)</f>
        <v>#N/A</v>
      </c>
      <c r="FP50" s="138" t="e">
        <f>IF(VLOOKUP(CONCATENATE(H50,F50,FP$2),GeoHis!$A:$H,7,FALSE)=CD50,1,0)</f>
        <v>#N/A</v>
      </c>
      <c r="FQ50" s="138" t="e">
        <f>IF(VLOOKUP(CONCATENATE(H50,F50,FQ$2),GeoHis!$A:$H,7,FALSE)=CE50,1,0)</f>
        <v>#N/A</v>
      </c>
      <c r="FR50" s="138" t="e">
        <f>IF(VLOOKUP(CONCATENATE(H50,F50,FR$2),GeoHis!$A:$H,7,FALSE)=CF50,1,0)</f>
        <v>#N/A</v>
      </c>
      <c r="FS50" s="138" t="e">
        <f>IF(VLOOKUP(CONCATENATE(H50,F50,FS$2),GeoHis!$A:$H,7,FALSE)=CG50,1,0)</f>
        <v>#N/A</v>
      </c>
      <c r="FT50" s="138" t="e">
        <f>IF(VLOOKUP(CONCATENATE(H50,F50,FT$2),GeoHis!$A:$H,7,FALSE)=CH50,1,0)</f>
        <v>#N/A</v>
      </c>
      <c r="FU50" s="138" t="e">
        <f>IF(VLOOKUP(CONCATENATE(H50,F50,FU$2),GeoHis!$A:$H,7,FALSE)=CI50,1,0)</f>
        <v>#N/A</v>
      </c>
      <c r="FV50" s="138" t="e">
        <f>IF(VLOOKUP(CONCATENATE(H50,F50,FV$2),GeoHis!$A:$H,7,FALSE)=CJ50,1,0)</f>
        <v>#N/A</v>
      </c>
      <c r="FW50" s="138" t="e">
        <f>IF(VLOOKUP(CONCATENATE(H50,F50,FW$2),GeoHis!$A:$H,7,FALSE)=CK50,1,0)</f>
        <v>#N/A</v>
      </c>
      <c r="FX50" s="138" t="e">
        <f>IF(VLOOKUP(CONCATENATE(H50,F50,FX$2),GeoHis!$A:$H,7,FALSE)=CL50,1,0)</f>
        <v>#N/A</v>
      </c>
      <c r="FY50" s="138" t="e">
        <f>IF(VLOOKUP(CONCATENATE(H50,F50,FY$2),GeoHis!$A:$H,7,FALSE)=CM50,1,0)</f>
        <v>#N/A</v>
      </c>
      <c r="FZ50" s="138" t="e">
        <f>IF(VLOOKUP(CONCATENATE(H50,F50,FZ$2),GeoHis!$A:$H,7,FALSE)=CN50,1,0)</f>
        <v>#N/A</v>
      </c>
      <c r="GA50" s="138" t="e">
        <f>IF(VLOOKUP(CONCATENATE(H50,F50,GA$2),GeoHis!$A:$H,7,FALSE)=CO50,1,0)</f>
        <v>#N/A</v>
      </c>
      <c r="GB50" s="138" t="e">
        <f>IF(VLOOKUP(CONCATENATE(H50,F50,GB$2),GeoHis!$A:$H,7,FALSE)=CP50,1,0)</f>
        <v>#N/A</v>
      </c>
      <c r="GC50" s="138" t="e">
        <f>IF(VLOOKUP(CONCATENATE(H50,F50,GC$2),GeoHis!$A:$H,7,FALSE)=CQ50,1,0)</f>
        <v>#N/A</v>
      </c>
      <c r="GD50" s="138" t="e">
        <f>IF(VLOOKUP(CONCATENATE(H50,F50,GD$2),GeoHis!$A:$H,7,FALSE)=CR50,1,0)</f>
        <v>#N/A</v>
      </c>
      <c r="GE50" s="135" t="str">
        <f t="shared" si="6"/>
        <v/>
      </c>
    </row>
    <row r="51" spans="1:187" x14ac:dyDescent="0.25">
      <c r="A51" s="127" t="str">
        <f>IF(C51="","",'Datos Generales'!$A$25)</f>
        <v/>
      </c>
      <c r="D51" s="126" t="str">
        <f t="shared" si="0"/>
        <v/>
      </c>
      <c r="E51" s="126">
        <f t="shared" si="1"/>
        <v>0</v>
      </c>
      <c r="F51" s="126" t="str">
        <f t="shared" si="7"/>
        <v/>
      </c>
      <c r="G51" s="126" t="str">
        <f>IF(C51="","",'Datos Generales'!$D$19)</f>
        <v/>
      </c>
      <c r="H51" s="21" t="str">
        <f>IF(C51="","",'Datos Generales'!$A$19)</f>
        <v/>
      </c>
      <c r="I51" s="126" t="str">
        <f>IF(C51="","",'Datos Generales'!$A$7)</f>
        <v/>
      </c>
      <c r="J51" s="21" t="str">
        <f>IF(C51="","",'Datos Generales'!$A$13)</f>
        <v/>
      </c>
      <c r="K51" s="21" t="str">
        <f>IF(C51="","",'Datos Generales'!$A$10)</f>
        <v/>
      </c>
      <c r="CS51" s="142" t="str">
        <f t="shared" si="2"/>
        <v/>
      </c>
      <c r="CT51" s="142" t="str">
        <f t="shared" si="3"/>
        <v/>
      </c>
      <c r="CU51" s="142" t="str">
        <f t="shared" si="4"/>
        <v/>
      </c>
      <c r="CV51" s="142" t="str">
        <f t="shared" si="5"/>
        <v/>
      </c>
      <c r="CW51" s="142" t="str">
        <f>IF(C51="","",IF('Datos Generales'!$A$19=1,AVERAGE(FP51:GD51),AVERAGE(Captura!FP51:FY51)))</f>
        <v/>
      </c>
      <c r="CX51" s="138" t="e">
        <f>IF(VLOOKUP(CONCATENATE($H$4,$F$4,CX$2),Español!$A:$H,7,FALSE)=L51,1,0)</f>
        <v>#N/A</v>
      </c>
      <c r="CY51" s="138" t="e">
        <f>IF(VLOOKUP(CONCATENATE(H51,F51,CY$2),Español!$A:$H,7,FALSE)=M51,1,0)</f>
        <v>#N/A</v>
      </c>
      <c r="CZ51" s="138" t="e">
        <f>IF(VLOOKUP(CONCATENATE(H51,F51,CZ$2),Español!$A:$H,7,FALSE)=N51,1,0)</f>
        <v>#N/A</v>
      </c>
      <c r="DA51" s="138" t="e">
        <f>IF(VLOOKUP(CONCATENATE(H51,F51,DA$2),Español!$A:$H,7,FALSE)=O51,1,0)</f>
        <v>#N/A</v>
      </c>
      <c r="DB51" s="138" t="e">
        <f>IF(VLOOKUP(CONCATENATE(H51,F51,DB$2),Español!$A:$H,7,FALSE)=P51,1,0)</f>
        <v>#N/A</v>
      </c>
      <c r="DC51" s="138" t="e">
        <f>IF(VLOOKUP(CONCATENATE(H51,F51,DC$2),Español!$A:$H,7,FALSE)=Q51,1,0)</f>
        <v>#N/A</v>
      </c>
      <c r="DD51" s="138" t="e">
        <f>IF(VLOOKUP(CONCATENATE(H51,F51,DD$2),Español!$A:$H,7,FALSE)=R51,1,0)</f>
        <v>#N/A</v>
      </c>
      <c r="DE51" s="138" t="e">
        <f>IF(VLOOKUP(CONCATENATE(H51,F51,DE$2),Español!$A:$H,7,FALSE)=S51,1,0)</f>
        <v>#N/A</v>
      </c>
      <c r="DF51" s="138" t="e">
        <f>IF(VLOOKUP(CONCATENATE(H51,F51,DF$2),Español!$A:$H,7,FALSE)=T51,1,0)</f>
        <v>#N/A</v>
      </c>
      <c r="DG51" s="138" t="e">
        <f>IF(VLOOKUP(CONCATENATE(H51,F51,DG$2),Español!$A:$H,7,FALSE)=U51,1,0)</f>
        <v>#N/A</v>
      </c>
      <c r="DH51" s="138" t="e">
        <f>IF(VLOOKUP(CONCATENATE(H51,F51,DH$2),Español!$A:$H,7,FALSE)=V51,1,0)</f>
        <v>#N/A</v>
      </c>
      <c r="DI51" s="138" t="e">
        <f>IF(VLOOKUP(CONCATENATE(H51,F51,DI$2),Español!$A:$H,7,FALSE)=W51,1,0)</f>
        <v>#N/A</v>
      </c>
      <c r="DJ51" s="138" t="e">
        <f>IF(VLOOKUP(CONCATENATE(H51,F51,DJ$2),Español!$A:$H,7,FALSE)=X51,1,0)</f>
        <v>#N/A</v>
      </c>
      <c r="DK51" s="138" t="e">
        <f>IF(VLOOKUP(CONCATENATE(H51,F51,DK$2),Español!$A:$H,7,FALSE)=Y51,1,0)</f>
        <v>#N/A</v>
      </c>
      <c r="DL51" s="138" t="e">
        <f>IF(VLOOKUP(CONCATENATE(H51,F51,DL$2),Español!$A:$H,7,FALSE)=Z51,1,0)</f>
        <v>#N/A</v>
      </c>
      <c r="DM51" s="138" t="e">
        <f>IF(VLOOKUP(CONCATENATE(H51,F51,DM$2),Español!$A:$H,7,FALSE)=AA51,1,0)</f>
        <v>#N/A</v>
      </c>
      <c r="DN51" s="138" t="e">
        <f>IF(VLOOKUP(CONCATENATE(H51,F51,DN$2),Español!$A:$H,7,FALSE)=AB51,1,0)</f>
        <v>#N/A</v>
      </c>
      <c r="DO51" s="138" t="e">
        <f>IF(VLOOKUP(CONCATENATE(H51,F51,DO$2),Español!$A:$H,7,FALSE)=AC51,1,0)</f>
        <v>#N/A</v>
      </c>
      <c r="DP51" s="138" t="e">
        <f>IF(VLOOKUP(CONCATENATE(H51,F51,DP$2),Español!$A:$H,7,FALSE)=AD51,1,0)</f>
        <v>#N/A</v>
      </c>
      <c r="DQ51" s="138" t="e">
        <f>IF(VLOOKUP(CONCATENATE(H51,F51,DQ$2),Español!$A:$H,7,FALSE)=AE51,1,0)</f>
        <v>#N/A</v>
      </c>
      <c r="DR51" s="138" t="e">
        <f>IF(VLOOKUP(CONCATENATE(H51,F51,DR$2),Inglés!$A:$H,7,FALSE)=AF51,1,0)</f>
        <v>#N/A</v>
      </c>
      <c r="DS51" s="138" t="e">
        <f>IF(VLOOKUP(CONCATENATE(H51,F51,DS$2),Inglés!$A:$H,7,FALSE)=AG51,1,0)</f>
        <v>#N/A</v>
      </c>
      <c r="DT51" s="138" t="e">
        <f>IF(VLOOKUP(CONCATENATE(H51,F51,DT$2),Inglés!$A:$H,7,FALSE)=AH51,1,0)</f>
        <v>#N/A</v>
      </c>
      <c r="DU51" s="138" t="e">
        <f>IF(VLOOKUP(CONCATENATE(H51,F51,DU$2),Inglés!$A:$H,7,FALSE)=AI51,1,0)</f>
        <v>#N/A</v>
      </c>
      <c r="DV51" s="138" t="e">
        <f>IF(VLOOKUP(CONCATENATE(H51,F51,DV$2),Inglés!$A:$H,7,FALSE)=AJ51,1,0)</f>
        <v>#N/A</v>
      </c>
      <c r="DW51" s="138" t="e">
        <f>IF(VLOOKUP(CONCATENATE(H51,F51,DW$2),Inglés!$A:$H,7,FALSE)=AK51,1,0)</f>
        <v>#N/A</v>
      </c>
      <c r="DX51" s="138" t="e">
        <f>IF(VLOOKUP(CONCATENATE(H51,F51,DX$2),Inglés!$A:$H,7,FALSE)=AL51,1,0)</f>
        <v>#N/A</v>
      </c>
      <c r="DY51" s="138" t="e">
        <f>IF(VLOOKUP(CONCATENATE(H51,F51,DY$2),Inglés!$A:$H,7,FALSE)=AM51,1,0)</f>
        <v>#N/A</v>
      </c>
      <c r="DZ51" s="138" t="e">
        <f>IF(VLOOKUP(CONCATENATE(H51,F51,DZ$2),Inglés!$A:$H,7,FALSE)=AN51,1,0)</f>
        <v>#N/A</v>
      </c>
      <c r="EA51" s="138" t="e">
        <f>IF(VLOOKUP(CONCATENATE(H51,F51,EA$2),Inglés!$A:$H,7,FALSE)=AO51,1,0)</f>
        <v>#N/A</v>
      </c>
      <c r="EB51" s="138" t="e">
        <f>IF(VLOOKUP(CONCATENATE(H51,F51,EB$2),Matemáticas!$A:$H,7,FALSE)=AP51,1,0)</f>
        <v>#N/A</v>
      </c>
      <c r="EC51" s="138" t="e">
        <f>IF(VLOOKUP(CONCATENATE(H51,F51,EC$2),Matemáticas!$A:$H,7,FALSE)=AQ51,1,0)</f>
        <v>#N/A</v>
      </c>
      <c r="ED51" s="138" t="e">
        <f>IF(VLOOKUP(CONCATENATE(H51,F51,ED$2),Matemáticas!$A:$H,7,FALSE)=AR51,1,0)</f>
        <v>#N/A</v>
      </c>
      <c r="EE51" s="138" t="e">
        <f>IF(VLOOKUP(CONCATENATE(H51,F51,EE$2),Matemáticas!$A:$H,7,FALSE)=AS51,1,0)</f>
        <v>#N/A</v>
      </c>
      <c r="EF51" s="138" t="e">
        <f>IF(VLOOKUP(CONCATENATE(H51,F51,EF$2),Matemáticas!$A:$H,7,FALSE)=AT51,1,0)</f>
        <v>#N/A</v>
      </c>
      <c r="EG51" s="138" t="e">
        <f>IF(VLOOKUP(CONCATENATE(H51,F51,EG$2),Matemáticas!$A:$H,7,FALSE)=AU51,1,0)</f>
        <v>#N/A</v>
      </c>
      <c r="EH51" s="138" t="e">
        <f>IF(VLOOKUP(CONCATENATE(H51,F51,EH$2),Matemáticas!$A:$H,7,FALSE)=AV51,1,0)</f>
        <v>#N/A</v>
      </c>
      <c r="EI51" s="138" t="e">
        <f>IF(VLOOKUP(CONCATENATE(H51,F51,EI$2),Matemáticas!$A:$H,7,FALSE)=AW51,1,0)</f>
        <v>#N/A</v>
      </c>
      <c r="EJ51" s="138" t="e">
        <f>IF(VLOOKUP(CONCATENATE(H51,F51,EJ$2),Matemáticas!$A:$H,7,FALSE)=AX51,1,0)</f>
        <v>#N/A</v>
      </c>
      <c r="EK51" s="138" t="e">
        <f>IF(VLOOKUP(CONCATENATE(H51,F51,EK$2),Matemáticas!$A:$H,7,FALSE)=AY51,1,0)</f>
        <v>#N/A</v>
      </c>
      <c r="EL51" s="138" t="e">
        <f>IF(VLOOKUP(CONCATENATE(H51,F51,EL$2),Matemáticas!$A:$H,7,FALSE)=AZ51,1,0)</f>
        <v>#N/A</v>
      </c>
      <c r="EM51" s="138" t="e">
        <f>IF(VLOOKUP(CONCATENATE(H51,F51,EM$2),Matemáticas!$A:$H,7,FALSE)=BA51,1,0)</f>
        <v>#N/A</v>
      </c>
      <c r="EN51" s="138" t="e">
        <f>IF(VLOOKUP(CONCATENATE(H51,F51,EN$2),Matemáticas!$A:$H,7,FALSE)=BB51,1,0)</f>
        <v>#N/A</v>
      </c>
      <c r="EO51" s="138" t="e">
        <f>IF(VLOOKUP(CONCATENATE(H51,F51,EO$2),Matemáticas!$A:$H,7,FALSE)=BC51,1,0)</f>
        <v>#N/A</v>
      </c>
      <c r="EP51" s="138" t="e">
        <f>IF(VLOOKUP(CONCATENATE(H51,F51,EP$2),Matemáticas!$A:$H,7,FALSE)=BD51,1,0)</f>
        <v>#N/A</v>
      </c>
      <c r="EQ51" s="138" t="e">
        <f>IF(VLOOKUP(CONCATENATE(H51,F51,EQ$2),Matemáticas!$A:$H,7,FALSE)=BE51,1,0)</f>
        <v>#N/A</v>
      </c>
      <c r="ER51" s="138" t="e">
        <f>IF(VLOOKUP(CONCATENATE(H51,F51,ER$2),Matemáticas!$A:$H,7,FALSE)=BF51,1,0)</f>
        <v>#N/A</v>
      </c>
      <c r="ES51" s="138" t="e">
        <f>IF(VLOOKUP(CONCATENATE(H51,F51,ES$2),Matemáticas!$A:$H,7,FALSE)=BG51,1,0)</f>
        <v>#N/A</v>
      </c>
      <c r="ET51" s="138" t="e">
        <f>IF(VLOOKUP(CONCATENATE(H51,F51,ET$2),Matemáticas!$A:$H,7,FALSE)=BH51,1,0)</f>
        <v>#N/A</v>
      </c>
      <c r="EU51" s="138" t="e">
        <f>IF(VLOOKUP(CONCATENATE(H51,F51,EU$2),Matemáticas!$A:$H,7,FALSE)=BI51,1,0)</f>
        <v>#N/A</v>
      </c>
      <c r="EV51" s="138" t="e">
        <f>IF(VLOOKUP(CONCATENATE(H51,F51,EV$2),Ciencias!$A:$H,7,FALSE)=BJ51,1,0)</f>
        <v>#N/A</v>
      </c>
      <c r="EW51" s="138" t="e">
        <f>IF(VLOOKUP(CONCATENATE(H51,F51,EW$2),Ciencias!$A:$H,7,FALSE)=BK51,1,0)</f>
        <v>#N/A</v>
      </c>
      <c r="EX51" s="138" t="e">
        <f>IF(VLOOKUP(CONCATENATE(H51,F51,EX$2),Ciencias!$A:$H,7,FALSE)=BL51,1,0)</f>
        <v>#N/A</v>
      </c>
      <c r="EY51" s="138" t="e">
        <f>IF(VLOOKUP(CONCATENATE(H51,F51,EY$2),Ciencias!$A:$H,7,FALSE)=BM51,1,0)</f>
        <v>#N/A</v>
      </c>
      <c r="EZ51" s="138" t="e">
        <f>IF(VLOOKUP(CONCATENATE(H51,F51,EZ$2),Ciencias!$A:$H,7,FALSE)=BN51,1,0)</f>
        <v>#N/A</v>
      </c>
      <c r="FA51" s="138" t="e">
        <f>IF(VLOOKUP(CONCATENATE(H51,F51,FA$2),Ciencias!$A:$H,7,FALSE)=BO51,1,0)</f>
        <v>#N/A</v>
      </c>
      <c r="FB51" s="138" t="e">
        <f>IF(VLOOKUP(CONCATENATE(H51,F51,FB$2),Ciencias!$A:$H,7,FALSE)=BP51,1,0)</f>
        <v>#N/A</v>
      </c>
      <c r="FC51" s="138" t="e">
        <f>IF(VLOOKUP(CONCATENATE(H51,F51,FC$2),Ciencias!$A:$H,7,FALSE)=BQ51,1,0)</f>
        <v>#N/A</v>
      </c>
      <c r="FD51" s="138" t="e">
        <f>IF(VLOOKUP(CONCATENATE(H51,F51,FD$2),Ciencias!$A:$H,7,FALSE)=BR51,1,0)</f>
        <v>#N/A</v>
      </c>
      <c r="FE51" s="138" t="e">
        <f>IF(VLOOKUP(CONCATENATE(H51,F51,FE$2),Ciencias!$A:$H,7,FALSE)=BS51,1,0)</f>
        <v>#N/A</v>
      </c>
      <c r="FF51" s="138" t="e">
        <f>IF(VLOOKUP(CONCATENATE(H51,F51,FF$2),Ciencias!$A:$H,7,FALSE)=BT51,1,0)</f>
        <v>#N/A</v>
      </c>
      <c r="FG51" s="138" t="e">
        <f>IF(VLOOKUP(CONCATENATE(H51,F51,FG$2),Ciencias!$A:$H,7,FALSE)=BU51,1,0)</f>
        <v>#N/A</v>
      </c>
      <c r="FH51" s="138" t="e">
        <f>IF(VLOOKUP(CONCATENATE(H51,F51,FH$2),Ciencias!$A:$H,7,FALSE)=BV51,1,0)</f>
        <v>#N/A</v>
      </c>
      <c r="FI51" s="138" t="e">
        <f>IF(VLOOKUP(CONCATENATE(H51,F51,FI$2),Ciencias!$A:$H,7,FALSE)=BW51,1,0)</f>
        <v>#N/A</v>
      </c>
      <c r="FJ51" s="138" t="e">
        <f>IF(VLOOKUP(CONCATENATE(H51,F51,FJ$2),Ciencias!$A:$H,7,FALSE)=BX51,1,0)</f>
        <v>#N/A</v>
      </c>
      <c r="FK51" s="138" t="e">
        <f>IF(VLOOKUP(CONCATENATE(H51,F51,FK$2),Ciencias!$A:$H,7,FALSE)=BY51,1,0)</f>
        <v>#N/A</v>
      </c>
      <c r="FL51" s="138" t="e">
        <f>IF(VLOOKUP(CONCATENATE(H51,F51,FL$2),Ciencias!$A:$H,7,FALSE)=BZ51,1,0)</f>
        <v>#N/A</v>
      </c>
      <c r="FM51" s="138" t="e">
        <f>IF(VLOOKUP(CONCATENATE(H51,F51,FM$2),Ciencias!$A:$H,7,FALSE)=CA51,1,0)</f>
        <v>#N/A</v>
      </c>
      <c r="FN51" s="138" t="e">
        <f>IF(VLOOKUP(CONCATENATE(H51,F51,FN$2),Ciencias!$A:$H,7,FALSE)=CB51,1,0)</f>
        <v>#N/A</v>
      </c>
      <c r="FO51" s="138" t="e">
        <f>IF(VLOOKUP(CONCATENATE(H51,F51,FO$2),Ciencias!$A:$H,7,FALSE)=CC51,1,0)</f>
        <v>#N/A</v>
      </c>
      <c r="FP51" s="138" t="e">
        <f>IF(VLOOKUP(CONCATENATE(H51,F51,FP$2),GeoHis!$A:$H,7,FALSE)=CD51,1,0)</f>
        <v>#N/A</v>
      </c>
      <c r="FQ51" s="138" t="e">
        <f>IF(VLOOKUP(CONCATENATE(H51,F51,FQ$2),GeoHis!$A:$H,7,FALSE)=CE51,1,0)</f>
        <v>#N/A</v>
      </c>
      <c r="FR51" s="138" t="e">
        <f>IF(VLOOKUP(CONCATENATE(H51,F51,FR$2),GeoHis!$A:$H,7,FALSE)=CF51,1,0)</f>
        <v>#N/A</v>
      </c>
      <c r="FS51" s="138" t="e">
        <f>IF(VLOOKUP(CONCATENATE(H51,F51,FS$2),GeoHis!$A:$H,7,FALSE)=CG51,1,0)</f>
        <v>#N/A</v>
      </c>
      <c r="FT51" s="138" t="e">
        <f>IF(VLOOKUP(CONCATENATE(H51,F51,FT$2),GeoHis!$A:$H,7,FALSE)=CH51,1,0)</f>
        <v>#N/A</v>
      </c>
      <c r="FU51" s="138" t="e">
        <f>IF(VLOOKUP(CONCATENATE(H51,F51,FU$2),GeoHis!$A:$H,7,FALSE)=CI51,1,0)</f>
        <v>#N/A</v>
      </c>
      <c r="FV51" s="138" t="e">
        <f>IF(VLOOKUP(CONCATENATE(H51,F51,FV$2),GeoHis!$A:$H,7,FALSE)=CJ51,1,0)</f>
        <v>#N/A</v>
      </c>
      <c r="FW51" s="138" t="e">
        <f>IF(VLOOKUP(CONCATENATE(H51,F51,FW$2),GeoHis!$A:$H,7,FALSE)=CK51,1,0)</f>
        <v>#N/A</v>
      </c>
      <c r="FX51" s="138" t="e">
        <f>IF(VLOOKUP(CONCATENATE(H51,F51,FX$2),GeoHis!$A:$H,7,FALSE)=CL51,1,0)</f>
        <v>#N/A</v>
      </c>
      <c r="FY51" s="138" t="e">
        <f>IF(VLOOKUP(CONCATENATE(H51,F51,FY$2),GeoHis!$A:$H,7,FALSE)=CM51,1,0)</f>
        <v>#N/A</v>
      </c>
      <c r="FZ51" s="138" t="e">
        <f>IF(VLOOKUP(CONCATENATE(H51,F51,FZ$2),GeoHis!$A:$H,7,FALSE)=CN51,1,0)</f>
        <v>#N/A</v>
      </c>
      <c r="GA51" s="138" t="e">
        <f>IF(VLOOKUP(CONCATENATE(H51,F51,GA$2),GeoHis!$A:$H,7,FALSE)=CO51,1,0)</f>
        <v>#N/A</v>
      </c>
      <c r="GB51" s="138" t="e">
        <f>IF(VLOOKUP(CONCATENATE(H51,F51,GB$2),GeoHis!$A:$H,7,FALSE)=CP51,1,0)</f>
        <v>#N/A</v>
      </c>
      <c r="GC51" s="138" t="e">
        <f>IF(VLOOKUP(CONCATENATE(H51,F51,GC$2),GeoHis!$A:$H,7,FALSE)=CQ51,1,0)</f>
        <v>#N/A</v>
      </c>
      <c r="GD51" s="138" t="e">
        <f>IF(VLOOKUP(CONCATENATE(H51,F51,GD$2),GeoHis!$A:$H,7,FALSE)=CR51,1,0)</f>
        <v>#N/A</v>
      </c>
      <c r="GE51" s="135" t="str">
        <f t="shared" si="6"/>
        <v/>
      </c>
    </row>
    <row r="52" spans="1:187" x14ac:dyDescent="0.25">
      <c r="A52" s="127" t="str">
        <f>IF(C52="","",'Datos Generales'!$A$25)</f>
        <v/>
      </c>
      <c r="D52" s="126" t="str">
        <f t="shared" si="0"/>
        <v/>
      </c>
      <c r="E52" s="126">
        <f t="shared" si="1"/>
        <v>0</v>
      </c>
      <c r="F52" s="126" t="str">
        <f t="shared" si="7"/>
        <v/>
      </c>
      <c r="G52" s="126" t="str">
        <f>IF(C52="","",'Datos Generales'!$D$19)</f>
        <v/>
      </c>
      <c r="H52" s="21" t="str">
        <f>IF(C52="","",'Datos Generales'!$A$19)</f>
        <v/>
      </c>
      <c r="I52" s="126" t="str">
        <f>IF(C52="","",'Datos Generales'!$A$7)</f>
        <v/>
      </c>
      <c r="J52" s="21" t="str">
        <f>IF(C52="","",'Datos Generales'!$A$13)</f>
        <v/>
      </c>
      <c r="K52" s="21" t="str">
        <f>IF(C52="","",'Datos Generales'!$A$10)</f>
        <v/>
      </c>
      <c r="CS52" s="142" t="str">
        <f t="shared" si="2"/>
        <v/>
      </c>
      <c r="CT52" s="142" t="str">
        <f t="shared" si="3"/>
        <v/>
      </c>
      <c r="CU52" s="142" t="str">
        <f t="shared" si="4"/>
        <v/>
      </c>
      <c r="CV52" s="142" t="str">
        <f t="shared" si="5"/>
        <v/>
      </c>
      <c r="CW52" s="142" t="str">
        <f>IF(C52="","",IF('Datos Generales'!$A$19=1,AVERAGE(FP52:GD52),AVERAGE(Captura!FP52:FY52)))</f>
        <v/>
      </c>
      <c r="CX52" s="138" t="e">
        <f>IF(VLOOKUP(CONCATENATE($H$4,$F$4,CX$2),Español!$A:$H,7,FALSE)=L52,1,0)</f>
        <v>#N/A</v>
      </c>
      <c r="CY52" s="138" t="e">
        <f>IF(VLOOKUP(CONCATENATE(H52,F52,CY$2),Español!$A:$H,7,FALSE)=M52,1,0)</f>
        <v>#N/A</v>
      </c>
      <c r="CZ52" s="138" t="e">
        <f>IF(VLOOKUP(CONCATENATE(H52,F52,CZ$2),Español!$A:$H,7,FALSE)=N52,1,0)</f>
        <v>#N/A</v>
      </c>
      <c r="DA52" s="138" t="e">
        <f>IF(VLOOKUP(CONCATENATE(H52,F52,DA$2),Español!$A:$H,7,FALSE)=O52,1,0)</f>
        <v>#N/A</v>
      </c>
      <c r="DB52" s="138" t="e">
        <f>IF(VLOOKUP(CONCATENATE(H52,F52,DB$2),Español!$A:$H,7,FALSE)=P52,1,0)</f>
        <v>#N/A</v>
      </c>
      <c r="DC52" s="138" t="e">
        <f>IF(VLOOKUP(CONCATENATE(H52,F52,DC$2),Español!$A:$H,7,FALSE)=Q52,1,0)</f>
        <v>#N/A</v>
      </c>
      <c r="DD52" s="138" t="e">
        <f>IF(VLOOKUP(CONCATENATE(H52,F52,DD$2),Español!$A:$H,7,FALSE)=R52,1,0)</f>
        <v>#N/A</v>
      </c>
      <c r="DE52" s="138" t="e">
        <f>IF(VLOOKUP(CONCATENATE(H52,F52,DE$2),Español!$A:$H,7,FALSE)=S52,1,0)</f>
        <v>#N/A</v>
      </c>
      <c r="DF52" s="138" t="e">
        <f>IF(VLOOKUP(CONCATENATE(H52,F52,DF$2),Español!$A:$H,7,FALSE)=T52,1,0)</f>
        <v>#N/A</v>
      </c>
      <c r="DG52" s="138" t="e">
        <f>IF(VLOOKUP(CONCATENATE(H52,F52,DG$2),Español!$A:$H,7,FALSE)=U52,1,0)</f>
        <v>#N/A</v>
      </c>
      <c r="DH52" s="138" t="e">
        <f>IF(VLOOKUP(CONCATENATE(H52,F52,DH$2),Español!$A:$H,7,FALSE)=V52,1,0)</f>
        <v>#N/A</v>
      </c>
      <c r="DI52" s="138" t="e">
        <f>IF(VLOOKUP(CONCATENATE(H52,F52,DI$2),Español!$A:$H,7,FALSE)=W52,1,0)</f>
        <v>#N/A</v>
      </c>
      <c r="DJ52" s="138" t="e">
        <f>IF(VLOOKUP(CONCATENATE(H52,F52,DJ$2),Español!$A:$H,7,FALSE)=X52,1,0)</f>
        <v>#N/A</v>
      </c>
      <c r="DK52" s="138" t="e">
        <f>IF(VLOOKUP(CONCATENATE(H52,F52,DK$2),Español!$A:$H,7,FALSE)=Y52,1,0)</f>
        <v>#N/A</v>
      </c>
      <c r="DL52" s="138" t="e">
        <f>IF(VLOOKUP(CONCATENATE(H52,F52,DL$2),Español!$A:$H,7,FALSE)=Z52,1,0)</f>
        <v>#N/A</v>
      </c>
      <c r="DM52" s="138" t="e">
        <f>IF(VLOOKUP(CONCATENATE(H52,F52,DM$2),Español!$A:$H,7,FALSE)=AA52,1,0)</f>
        <v>#N/A</v>
      </c>
      <c r="DN52" s="138" t="e">
        <f>IF(VLOOKUP(CONCATENATE(H52,F52,DN$2),Español!$A:$H,7,FALSE)=AB52,1,0)</f>
        <v>#N/A</v>
      </c>
      <c r="DO52" s="138" t="e">
        <f>IF(VLOOKUP(CONCATENATE(H52,F52,DO$2),Español!$A:$H,7,FALSE)=AC52,1,0)</f>
        <v>#N/A</v>
      </c>
      <c r="DP52" s="138" t="e">
        <f>IF(VLOOKUP(CONCATENATE(H52,F52,DP$2),Español!$A:$H,7,FALSE)=AD52,1,0)</f>
        <v>#N/A</v>
      </c>
      <c r="DQ52" s="138" t="e">
        <f>IF(VLOOKUP(CONCATENATE(H52,F52,DQ$2),Español!$A:$H,7,FALSE)=AE52,1,0)</f>
        <v>#N/A</v>
      </c>
      <c r="DR52" s="138" t="e">
        <f>IF(VLOOKUP(CONCATENATE(H52,F52,DR$2),Inglés!$A:$H,7,FALSE)=AF52,1,0)</f>
        <v>#N/A</v>
      </c>
      <c r="DS52" s="138" t="e">
        <f>IF(VLOOKUP(CONCATENATE(H52,F52,DS$2),Inglés!$A:$H,7,FALSE)=AG52,1,0)</f>
        <v>#N/A</v>
      </c>
      <c r="DT52" s="138" t="e">
        <f>IF(VLOOKUP(CONCATENATE(H52,F52,DT$2),Inglés!$A:$H,7,FALSE)=AH52,1,0)</f>
        <v>#N/A</v>
      </c>
      <c r="DU52" s="138" t="e">
        <f>IF(VLOOKUP(CONCATENATE(H52,F52,DU$2),Inglés!$A:$H,7,FALSE)=AI52,1,0)</f>
        <v>#N/A</v>
      </c>
      <c r="DV52" s="138" t="e">
        <f>IF(VLOOKUP(CONCATENATE(H52,F52,DV$2),Inglés!$A:$H,7,FALSE)=AJ52,1,0)</f>
        <v>#N/A</v>
      </c>
      <c r="DW52" s="138" t="e">
        <f>IF(VLOOKUP(CONCATENATE(H52,F52,DW$2),Inglés!$A:$H,7,FALSE)=AK52,1,0)</f>
        <v>#N/A</v>
      </c>
      <c r="DX52" s="138" t="e">
        <f>IF(VLOOKUP(CONCATENATE(H52,F52,DX$2),Inglés!$A:$H,7,FALSE)=AL52,1,0)</f>
        <v>#N/A</v>
      </c>
      <c r="DY52" s="138" t="e">
        <f>IF(VLOOKUP(CONCATENATE(H52,F52,DY$2),Inglés!$A:$H,7,FALSE)=AM52,1,0)</f>
        <v>#N/A</v>
      </c>
      <c r="DZ52" s="138" t="e">
        <f>IF(VLOOKUP(CONCATENATE(H52,F52,DZ$2),Inglés!$A:$H,7,FALSE)=AN52,1,0)</f>
        <v>#N/A</v>
      </c>
      <c r="EA52" s="138" t="e">
        <f>IF(VLOOKUP(CONCATENATE(H52,F52,EA$2),Inglés!$A:$H,7,FALSE)=AO52,1,0)</f>
        <v>#N/A</v>
      </c>
      <c r="EB52" s="138" t="e">
        <f>IF(VLOOKUP(CONCATENATE(H52,F52,EB$2),Matemáticas!$A:$H,7,FALSE)=AP52,1,0)</f>
        <v>#N/A</v>
      </c>
      <c r="EC52" s="138" t="e">
        <f>IF(VLOOKUP(CONCATENATE(H52,F52,EC$2),Matemáticas!$A:$H,7,FALSE)=AQ52,1,0)</f>
        <v>#N/A</v>
      </c>
      <c r="ED52" s="138" t="e">
        <f>IF(VLOOKUP(CONCATENATE(H52,F52,ED$2),Matemáticas!$A:$H,7,FALSE)=AR52,1,0)</f>
        <v>#N/A</v>
      </c>
      <c r="EE52" s="138" t="e">
        <f>IF(VLOOKUP(CONCATENATE(H52,F52,EE$2),Matemáticas!$A:$H,7,FALSE)=AS52,1,0)</f>
        <v>#N/A</v>
      </c>
      <c r="EF52" s="138" t="e">
        <f>IF(VLOOKUP(CONCATENATE(H52,F52,EF$2),Matemáticas!$A:$H,7,FALSE)=AT52,1,0)</f>
        <v>#N/A</v>
      </c>
      <c r="EG52" s="138" t="e">
        <f>IF(VLOOKUP(CONCATENATE(H52,F52,EG$2),Matemáticas!$A:$H,7,FALSE)=AU52,1,0)</f>
        <v>#N/A</v>
      </c>
      <c r="EH52" s="138" t="e">
        <f>IF(VLOOKUP(CONCATENATE(H52,F52,EH$2),Matemáticas!$A:$H,7,FALSE)=AV52,1,0)</f>
        <v>#N/A</v>
      </c>
      <c r="EI52" s="138" t="e">
        <f>IF(VLOOKUP(CONCATENATE(H52,F52,EI$2),Matemáticas!$A:$H,7,FALSE)=AW52,1,0)</f>
        <v>#N/A</v>
      </c>
      <c r="EJ52" s="138" t="e">
        <f>IF(VLOOKUP(CONCATENATE(H52,F52,EJ$2),Matemáticas!$A:$H,7,FALSE)=AX52,1,0)</f>
        <v>#N/A</v>
      </c>
      <c r="EK52" s="138" t="e">
        <f>IF(VLOOKUP(CONCATENATE(H52,F52,EK$2),Matemáticas!$A:$H,7,FALSE)=AY52,1,0)</f>
        <v>#N/A</v>
      </c>
      <c r="EL52" s="138" t="e">
        <f>IF(VLOOKUP(CONCATENATE(H52,F52,EL$2),Matemáticas!$A:$H,7,FALSE)=AZ52,1,0)</f>
        <v>#N/A</v>
      </c>
      <c r="EM52" s="138" t="e">
        <f>IF(VLOOKUP(CONCATENATE(H52,F52,EM$2),Matemáticas!$A:$H,7,FALSE)=BA52,1,0)</f>
        <v>#N/A</v>
      </c>
      <c r="EN52" s="138" t="e">
        <f>IF(VLOOKUP(CONCATENATE(H52,F52,EN$2),Matemáticas!$A:$H,7,FALSE)=BB52,1,0)</f>
        <v>#N/A</v>
      </c>
      <c r="EO52" s="138" t="e">
        <f>IF(VLOOKUP(CONCATENATE(H52,F52,EO$2),Matemáticas!$A:$H,7,FALSE)=BC52,1,0)</f>
        <v>#N/A</v>
      </c>
      <c r="EP52" s="138" t="e">
        <f>IF(VLOOKUP(CONCATENATE(H52,F52,EP$2),Matemáticas!$A:$H,7,FALSE)=BD52,1,0)</f>
        <v>#N/A</v>
      </c>
      <c r="EQ52" s="138" t="e">
        <f>IF(VLOOKUP(CONCATENATE(H52,F52,EQ$2),Matemáticas!$A:$H,7,FALSE)=BE52,1,0)</f>
        <v>#N/A</v>
      </c>
      <c r="ER52" s="138" t="e">
        <f>IF(VLOOKUP(CONCATENATE(H52,F52,ER$2),Matemáticas!$A:$H,7,FALSE)=BF52,1,0)</f>
        <v>#N/A</v>
      </c>
      <c r="ES52" s="138" t="e">
        <f>IF(VLOOKUP(CONCATENATE(H52,F52,ES$2),Matemáticas!$A:$H,7,FALSE)=BG52,1,0)</f>
        <v>#N/A</v>
      </c>
      <c r="ET52" s="138" t="e">
        <f>IF(VLOOKUP(CONCATENATE(H52,F52,ET$2),Matemáticas!$A:$H,7,FALSE)=BH52,1,0)</f>
        <v>#N/A</v>
      </c>
      <c r="EU52" s="138" t="e">
        <f>IF(VLOOKUP(CONCATENATE(H52,F52,EU$2),Matemáticas!$A:$H,7,FALSE)=BI52,1,0)</f>
        <v>#N/A</v>
      </c>
      <c r="EV52" s="138" t="e">
        <f>IF(VLOOKUP(CONCATENATE(H52,F52,EV$2),Ciencias!$A:$H,7,FALSE)=BJ52,1,0)</f>
        <v>#N/A</v>
      </c>
      <c r="EW52" s="138" t="e">
        <f>IF(VLOOKUP(CONCATENATE(H52,F52,EW$2),Ciencias!$A:$H,7,FALSE)=BK52,1,0)</f>
        <v>#N/A</v>
      </c>
      <c r="EX52" s="138" t="e">
        <f>IF(VLOOKUP(CONCATENATE(H52,F52,EX$2),Ciencias!$A:$H,7,FALSE)=BL52,1,0)</f>
        <v>#N/A</v>
      </c>
      <c r="EY52" s="138" t="e">
        <f>IF(VLOOKUP(CONCATENATE(H52,F52,EY$2),Ciencias!$A:$H,7,FALSE)=BM52,1,0)</f>
        <v>#N/A</v>
      </c>
      <c r="EZ52" s="138" t="e">
        <f>IF(VLOOKUP(CONCATENATE(H52,F52,EZ$2),Ciencias!$A:$H,7,FALSE)=BN52,1,0)</f>
        <v>#N/A</v>
      </c>
      <c r="FA52" s="138" t="e">
        <f>IF(VLOOKUP(CONCATENATE(H52,F52,FA$2),Ciencias!$A:$H,7,FALSE)=BO52,1,0)</f>
        <v>#N/A</v>
      </c>
      <c r="FB52" s="138" t="e">
        <f>IF(VLOOKUP(CONCATENATE(H52,F52,FB$2),Ciencias!$A:$H,7,FALSE)=BP52,1,0)</f>
        <v>#N/A</v>
      </c>
      <c r="FC52" s="138" t="e">
        <f>IF(VLOOKUP(CONCATENATE(H52,F52,FC$2),Ciencias!$A:$H,7,FALSE)=BQ52,1,0)</f>
        <v>#N/A</v>
      </c>
      <c r="FD52" s="138" t="e">
        <f>IF(VLOOKUP(CONCATENATE(H52,F52,FD$2),Ciencias!$A:$H,7,FALSE)=BR52,1,0)</f>
        <v>#N/A</v>
      </c>
      <c r="FE52" s="138" t="e">
        <f>IF(VLOOKUP(CONCATENATE(H52,F52,FE$2),Ciencias!$A:$H,7,FALSE)=BS52,1,0)</f>
        <v>#N/A</v>
      </c>
      <c r="FF52" s="138" t="e">
        <f>IF(VLOOKUP(CONCATENATE(H52,F52,FF$2),Ciencias!$A:$H,7,FALSE)=BT52,1,0)</f>
        <v>#N/A</v>
      </c>
      <c r="FG52" s="138" t="e">
        <f>IF(VLOOKUP(CONCATENATE(H52,F52,FG$2),Ciencias!$A:$H,7,FALSE)=BU52,1,0)</f>
        <v>#N/A</v>
      </c>
      <c r="FH52" s="138" t="e">
        <f>IF(VLOOKUP(CONCATENATE(H52,F52,FH$2),Ciencias!$A:$H,7,FALSE)=BV52,1,0)</f>
        <v>#N/A</v>
      </c>
      <c r="FI52" s="138" t="e">
        <f>IF(VLOOKUP(CONCATENATE(H52,F52,FI$2),Ciencias!$A:$H,7,FALSE)=BW52,1,0)</f>
        <v>#N/A</v>
      </c>
      <c r="FJ52" s="138" t="e">
        <f>IF(VLOOKUP(CONCATENATE(H52,F52,FJ$2),Ciencias!$A:$H,7,FALSE)=BX52,1,0)</f>
        <v>#N/A</v>
      </c>
      <c r="FK52" s="138" t="e">
        <f>IF(VLOOKUP(CONCATENATE(H52,F52,FK$2),Ciencias!$A:$H,7,FALSE)=BY52,1,0)</f>
        <v>#N/A</v>
      </c>
      <c r="FL52" s="138" t="e">
        <f>IF(VLOOKUP(CONCATENATE(H52,F52,FL$2),Ciencias!$A:$H,7,FALSE)=BZ52,1,0)</f>
        <v>#N/A</v>
      </c>
      <c r="FM52" s="138" t="e">
        <f>IF(VLOOKUP(CONCATENATE(H52,F52,FM$2),Ciencias!$A:$H,7,FALSE)=CA52,1,0)</f>
        <v>#N/A</v>
      </c>
      <c r="FN52" s="138" t="e">
        <f>IF(VLOOKUP(CONCATENATE(H52,F52,FN$2),Ciencias!$A:$H,7,FALSE)=CB52,1,0)</f>
        <v>#N/A</v>
      </c>
      <c r="FO52" s="138" t="e">
        <f>IF(VLOOKUP(CONCATENATE(H52,F52,FO$2),Ciencias!$A:$H,7,FALSE)=CC52,1,0)</f>
        <v>#N/A</v>
      </c>
      <c r="FP52" s="138" t="e">
        <f>IF(VLOOKUP(CONCATENATE(H52,F52,FP$2),GeoHis!$A:$H,7,FALSE)=CD52,1,0)</f>
        <v>#N/A</v>
      </c>
      <c r="FQ52" s="138" t="e">
        <f>IF(VLOOKUP(CONCATENATE(H52,F52,FQ$2),GeoHis!$A:$H,7,FALSE)=CE52,1,0)</f>
        <v>#N/A</v>
      </c>
      <c r="FR52" s="138" t="e">
        <f>IF(VLOOKUP(CONCATENATE(H52,F52,FR$2),GeoHis!$A:$H,7,FALSE)=CF52,1,0)</f>
        <v>#N/A</v>
      </c>
      <c r="FS52" s="138" t="e">
        <f>IF(VLOOKUP(CONCATENATE(H52,F52,FS$2),GeoHis!$A:$H,7,FALSE)=CG52,1,0)</f>
        <v>#N/A</v>
      </c>
      <c r="FT52" s="138" t="e">
        <f>IF(VLOOKUP(CONCATENATE(H52,F52,FT$2),GeoHis!$A:$H,7,FALSE)=CH52,1,0)</f>
        <v>#N/A</v>
      </c>
      <c r="FU52" s="138" t="e">
        <f>IF(VLOOKUP(CONCATENATE(H52,F52,FU$2),GeoHis!$A:$H,7,FALSE)=CI52,1,0)</f>
        <v>#N/A</v>
      </c>
      <c r="FV52" s="138" t="e">
        <f>IF(VLOOKUP(CONCATENATE(H52,F52,FV$2),GeoHis!$A:$H,7,FALSE)=CJ52,1,0)</f>
        <v>#N/A</v>
      </c>
      <c r="FW52" s="138" t="e">
        <f>IF(VLOOKUP(CONCATENATE(H52,F52,FW$2),GeoHis!$A:$H,7,FALSE)=CK52,1,0)</f>
        <v>#N/A</v>
      </c>
      <c r="FX52" s="138" t="e">
        <f>IF(VLOOKUP(CONCATENATE(H52,F52,FX$2),GeoHis!$A:$H,7,FALSE)=CL52,1,0)</f>
        <v>#N/A</v>
      </c>
      <c r="FY52" s="138" t="e">
        <f>IF(VLOOKUP(CONCATENATE(H52,F52,FY$2),GeoHis!$A:$H,7,FALSE)=CM52,1,0)</f>
        <v>#N/A</v>
      </c>
      <c r="FZ52" s="138" t="e">
        <f>IF(VLOOKUP(CONCATENATE(H52,F52,FZ$2),GeoHis!$A:$H,7,FALSE)=CN52,1,0)</f>
        <v>#N/A</v>
      </c>
      <c r="GA52" s="138" t="e">
        <f>IF(VLOOKUP(CONCATENATE(H52,F52,GA$2),GeoHis!$A:$H,7,FALSE)=CO52,1,0)</f>
        <v>#N/A</v>
      </c>
      <c r="GB52" s="138" t="e">
        <f>IF(VLOOKUP(CONCATENATE(H52,F52,GB$2),GeoHis!$A:$H,7,FALSE)=CP52,1,0)</f>
        <v>#N/A</v>
      </c>
      <c r="GC52" s="138" t="e">
        <f>IF(VLOOKUP(CONCATENATE(H52,F52,GC$2),GeoHis!$A:$H,7,FALSE)=CQ52,1,0)</f>
        <v>#N/A</v>
      </c>
      <c r="GD52" s="138" t="e">
        <f>IF(VLOOKUP(CONCATENATE(H52,F52,GD$2),GeoHis!$A:$H,7,FALSE)=CR52,1,0)</f>
        <v>#N/A</v>
      </c>
      <c r="GE52" s="135" t="str">
        <f t="shared" si="6"/>
        <v/>
      </c>
    </row>
    <row r="53" spans="1:187" x14ac:dyDescent="0.25">
      <c r="A53" s="127" t="str">
        <f>IF(C53="","",'Datos Generales'!$A$25)</f>
        <v/>
      </c>
      <c r="D53" s="126" t="str">
        <f t="shared" si="0"/>
        <v/>
      </c>
      <c r="E53" s="126">
        <f t="shared" si="1"/>
        <v>0</v>
      </c>
      <c r="F53" s="126" t="str">
        <f t="shared" si="7"/>
        <v/>
      </c>
      <c r="G53" s="126" t="str">
        <f>IF(C53="","",'Datos Generales'!$D$19)</f>
        <v/>
      </c>
      <c r="H53" s="21" t="str">
        <f>IF(C53="","",'Datos Generales'!$A$19)</f>
        <v/>
      </c>
      <c r="I53" s="126" t="str">
        <f>IF(C53="","",'Datos Generales'!$A$7)</f>
        <v/>
      </c>
      <c r="J53" s="21" t="str">
        <f>IF(C53="","",'Datos Generales'!$A$13)</f>
        <v/>
      </c>
      <c r="K53" s="21" t="str">
        <f>IF(C53="","",'Datos Generales'!$A$10)</f>
        <v/>
      </c>
      <c r="CS53" s="142" t="str">
        <f t="shared" si="2"/>
        <v/>
      </c>
      <c r="CT53" s="142" t="str">
        <f t="shared" si="3"/>
        <v/>
      </c>
      <c r="CU53" s="142" t="str">
        <f t="shared" si="4"/>
        <v/>
      </c>
      <c r="CV53" s="142" t="str">
        <f t="shared" si="5"/>
        <v/>
      </c>
      <c r="CW53" s="142" t="str">
        <f>IF(C53="","",IF('Datos Generales'!$A$19=1,AVERAGE(FP53:GD53),AVERAGE(Captura!FP53:FY53)))</f>
        <v/>
      </c>
      <c r="CX53" s="138" t="e">
        <f>IF(VLOOKUP(CONCATENATE($H$4,$F$4,CX$2),Español!$A:$H,7,FALSE)=L53,1,0)</f>
        <v>#N/A</v>
      </c>
      <c r="CY53" s="138" t="e">
        <f>IF(VLOOKUP(CONCATENATE(H53,F53,CY$2),Español!$A:$H,7,FALSE)=M53,1,0)</f>
        <v>#N/A</v>
      </c>
      <c r="CZ53" s="138" t="e">
        <f>IF(VLOOKUP(CONCATENATE(H53,F53,CZ$2),Español!$A:$H,7,FALSE)=N53,1,0)</f>
        <v>#N/A</v>
      </c>
      <c r="DA53" s="138" t="e">
        <f>IF(VLOOKUP(CONCATENATE(H53,F53,DA$2),Español!$A:$H,7,FALSE)=O53,1,0)</f>
        <v>#N/A</v>
      </c>
      <c r="DB53" s="138" t="e">
        <f>IF(VLOOKUP(CONCATENATE(H53,F53,DB$2),Español!$A:$H,7,FALSE)=P53,1,0)</f>
        <v>#N/A</v>
      </c>
      <c r="DC53" s="138" t="e">
        <f>IF(VLOOKUP(CONCATENATE(H53,F53,DC$2),Español!$A:$H,7,FALSE)=Q53,1,0)</f>
        <v>#N/A</v>
      </c>
      <c r="DD53" s="138" t="e">
        <f>IF(VLOOKUP(CONCATENATE(H53,F53,DD$2),Español!$A:$H,7,FALSE)=R53,1,0)</f>
        <v>#N/A</v>
      </c>
      <c r="DE53" s="138" t="e">
        <f>IF(VLOOKUP(CONCATENATE(H53,F53,DE$2),Español!$A:$H,7,FALSE)=S53,1,0)</f>
        <v>#N/A</v>
      </c>
      <c r="DF53" s="138" t="e">
        <f>IF(VLOOKUP(CONCATENATE(H53,F53,DF$2),Español!$A:$H,7,FALSE)=T53,1,0)</f>
        <v>#N/A</v>
      </c>
      <c r="DG53" s="138" t="e">
        <f>IF(VLOOKUP(CONCATENATE(H53,F53,DG$2),Español!$A:$H,7,FALSE)=U53,1,0)</f>
        <v>#N/A</v>
      </c>
      <c r="DH53" s="138" t="e">
        <f>IF(VLOOKUP(CONCATENATE(H53,F53,DH$2),Español!$A:$H,7,FALSE)=V53,1,0)</f>
        <v>#N/A</v>
      </c>
      <c r="DI53" s="138" t="e">
        <f>IF(VLOOKUP(CONCATENATE(H53,F53,DI$2),Español!$A:$H,7,FALSE)=W53,1,0)</f>
        <v>#N/A</v>
      </c>
      <c r="DJ53" s="138" t="e">
        <f>IF(VLOOKUP(CONCATENATE(H53,F53,DJ$2),Español!$A:$H,7,FALSE)=X53,1,0)</f>
        <v>#N/A</v>
      </c>
      <c r="DK53" s="138" t="e">
        <f>IF(VLOOKUP(CONCATENATE(H53,F53,DK$2),Español!$A:$H,7,FALSE)=Y53,1,0)</f>
        <v>#N/A</v>
      </c>
      <c r="DL53" s="138" t="e">
        <f>IF(VLOOKUP(CONCATENATE(H53,F53,DL$2),Español!$A:$H,7,FALSE)=Z53,1,0)</f>
        <v>#N/A</v>
      </c>
      <c r="DM53" s="138" t="e">
        <f>IF(VLOOKUP(CONCATENATE(H53,F53,DM$2),Español!$A:$H,7,FALSE)=AA53,1,0)</f>
        <v>#N/A</v>
      </c>
      <c r="DN53" s="138" t="e">
        <f>IF(VLOOKUP(CONCATENATE(H53,F53,DN$2),Español!$A:$H,7,FALSE)=AB53,1,0)</f>
        <v>#N/A</v>
      </c>
      <c r="DO53" s="138" t="e">
        <f>IF(VLOOKUP(CONCATENATE(H53,F53,DO$2),Español!$A:$H,7,FALSE)=AC53,1,0)</f>
        <v>#N/A</v>
      </c>
      <c r="DP53" s="138" t="e">
        <f>IF(VLOOKUP(CONCATENATE(H53,F53,DP$2),Español!$A:$H,7,FALSE)=AD53,1,0)</f>
        <v>#N/A</v>
      </c>
      <c r="DQ53" s="138" t="e">
        <f>IF(VLOOKUP(CONCATENATE(H53,F53,DQ$2),Español!$A:$H,7,FALSE)=AE53,1,0)</f>
        <v>#N/A</v>
      </c>
      <c r="DR53" s="138" t="e">
        <f>IF(VLOOKUP(CONCATENATE(H53,F53,DR$2),Inglés!$A:$H,7,FALSE)=AF53,1,0)</f>
        <v>#N/A</v>
      </c>
      <c r="DS53" s="138" t="e">
        <f>IF(VLOOKUP(CONCATENATE(H53,F53,DS$2),Inglés!$A:$H,7,FALSE)=AG53,1,0)</f>
        <v>#N/A</v>
      </c>
      <c r="DT53" s="138" t="e">
        <f>IF(VLOOKUP(CONCATENATE(H53,F53,DT$2),Inglés!$A:$H,7,FALSE)=AH53,1,0)</f>
        <v>#N/A</v>
      </c>
      <c r="DU53" s="138" t="e">
        <f>IF(VLOOKUP(CONCATENATE(H53,F53,DU$2),Inglés!$A:$H,7,FALSE)=AI53,1,0)</f>
        <v>#N/A</v>
      </c>
      <c r="DV53" s="138" t="e">
        <f>IF(VLOOKUP(CONCATENATE(H53,F53,DV$2),Inglés!$A:$H,7,FALSE)=AJ53,1,0)</f>
        <v>#N/A</v>
      </c>
      <c r="DW53" s="138" t="e">
        <f>IF(VLOOKUP(CONCATENATE(H53,F53,DW$2),Inglés!$A:$H,7,FALSE)=AK53,1,0)</f>
        <v>#N/A</v>
      </c>
      <c r="DX53" s="138" t="e">
        <f>IF(VLOOKUP(CONCATENATE(H53,F53,DX$2),Inglés!$A:$H,7,FALSE)=AL53,1,0)</f>
        <v>#N/A</v>
      </c>
      <c r="DY53" s="138" t="e">
        <f>IF(VLOOKUP(CONCATENATE(H53,F53,DY$2),Inglés!$A:$H,7,FALSE)=AM53,1,0)</f>
        <v>#N/A</v>
      </c>
      <c r="DZ53" s="138" t="e">
        <f>IF(VLOOKUP(CONCATENATE(H53,F53,DZ$2),Inglés!$A:$H,7,FALSE)=AN53,1,0)</f>
        <v>#N/A</v>
      </c>
      <c r="EA53" s="138" t="e">
        <f>IF(VLOOKUP(CONCATENATE(H53,F53,EA$2),Inglés!$A:$H,7,FALSE)=AO53,1,0)</f>
        <v>#N/A</v>
      </c>
      <c r="EB53" s="138" t="e">
        <f>IF(VLOOKUP(CONCATENATE(H53,F53,EB$2),Matemáticas!$A:$H,7,FALSE)=AP53,1,0)</f>
        <v>#N/A</v>
      </c>
      <c r="EC53" s="138" t="e">
        <f>IF(VLOOKUP(CONCATENATE(H53,F53,EC$2),Matemáticas!$A:$H,7,FALSE)=AQ53,1,0)</f>
        <v>#N/A</v>
      </c>
      <c r="ED53" s="138" t="e">
        <f>IF(VLOOKUP(CONCATENATE(H53,F53,ED$2),Matemáticas!$A:$H,7,FALSE)=AR53,1,0)</f>
        <v>#N/A</v>
      </c>
      <c r="EE53" s="138" t="e">
        <f>IF(VLOOKUP(CONCATENATE(H53,F53,EE$2),Matemáticas!$A:$H,7,FALSE)=AS53,1,0)</f>
        <v>#N/A</v>
      </c>
      <c r="EF53" s="138" t="e">
        <f>IF(VLOOKUP(CONCATENATE(H53,F53,EF$2),Matemáticas!$A:$H,7,FALSE)=AT53,1,0)</f>
        <v>#N/A</v>
      </c>
      <c r="EG53" s="138" t="e">
        <f>IF(VLOOKUP(CONCATENATE(H53,F53,EG$2),Matemáticas!$A:$H,7,FALSE)=AU53,1,0)</f>
        <v>#N/A</v>
      </c>
      <c r="EH53" s="138" t="e">
        <f>IF(VLOOKUP(CONCATENATE(H53,F53,EH$2),Matemáticas!$A:$H,7,FALSE)=AV53,1,0)</f>
        <v>#N/A</v>
      </c>
      <c r="EI53" s="138" t="e">
        <f>IF(VLOOKUP(CONCATENATE(H53,F53,EI$2),Matemáticas!$A:$H,7,FALSE)=AW53,1,0)</f>
        <v>#N/A</v>
      </c>
      <c r="EJ53" s="138" t="e">
        <f>IF(VLOOKUP(CONCATENATE(H53,F53,EJ$2),Matemáticas!$A:$H,7,FALSE)=AX53,1,0)</f>
        <v>#N/A</v>
      </c>
      <c r="EK53" s="138" t="e">
        <f>IF(VLOOKUP(CONCATENATE(H53,F53,EK$2),Matemáticas!$A:$H,7,FALSE)=AY53,1,0)</f>
        <v>#N/A</v>
      </c>
      <c r="EL53" s="138" t="e">
        <f>IF(VLOOKUP(CONCATENATE(H53,F53,EL$2),Matemáticas!$A:$H,7,FALSE)=AZ53,1,0)</f>
        <v>#N/A</v>
      </c>
      <c r="EM53" s="138" t="e">
        <f>IF(VLOOKUP(CONCATENATE(H53,F53,EM$2),Matemáticas!$A:$H,7,FALSE)=BA53,1,0)</f>
        <v>#N/A</v>
      </c>
      <c r="EN53" s="138" t="e">
        <f>IF(VLOOKUP(CONCATENATE(H53,F53,EN$2),Matemáticas!$A:$H,7,FALSE)=BB53,1,0)</f>
        <v>#N/A</v>
      </c>
      <c r="EO53" s="138" t="e">
        <f>IF(VLOOKUP(CONCATENATE(H53,F53,EO$2),Matemáticas!$A:$H,7,FALSE)=BC53,1,0)</f>
        <v>#N/A</v>
      </c>
      <c r="EP53" s="138" t="e">
        <f>IF(VLOOKUP(CONCATENATE(H53,F53,EP$2),Matemáticas!$A:$H,7,FALSE)=BD53,1,0)</f>
        <v>#N/A</v>
      </c>
      <c r="EQ53" s="138" t="e">
        <f>IF(VLOOKUP(CONCATENATE(H53,F53,EQ$2),Matemáticas!$A:$H,7,FALSE)=BE53,1,0)</f>
        <v>#N/A</v>
      </c>
      <c r="ER53" s="138" t="e">
        <f>IF(VLOOKUP(CONCATENATE(H53,F53,ER$2),Matemáticas!$A:$H,7,FALSE)=BF53,1,0)</f>
        <v>#N/A</v>
      </c>
      <c r="ES53" s="138" t="e">
        <f>IF(VLOOKUP(CONCATENATE(H53,F53,ES$2),Matemáticas!$A:$H,7,FALSE)=BG53,1,0)</f>
        <v>#N/A</v>
      </c>
      <c r="ET53" s="138" t="e">
        <f>IF(VLOOKUP(CONCATENATE(H53,F53,ET$2),Matemáticas!$A:$H,7,FALSE)=BH53,1,0)</f>
        <v>#N/A</v>
      </c>
      <c r="EU53" s="138" t="e">
        <f>IF(VLOOKUP(CONCATENATE(H53,F53,EU$2),Matemáticas!$A:$H,7,FALSE)=BI53,1,0)</f>
        <v>#N/A</v>
      </c>
      <c r="EV53" s="138" t="e">
        <f>IF(VLOOKUP(CONCATENATE(H53,F53,EV$2),Ciencias!$A:$H,7,FALSE)=BJ53,1,0)</f>
        <v>#N/A</v>
      </c>
      <c r="EW53" s="138" t="e">
        <f>IF(VLOOKUP(CONCATENATE(H53,F53,EW$2),Ciencias!$A:$H,7,FALSE)=BK53,1,0)</f>
        <v>#N/A</v>
      </c>
      <c r="EX53" s="138" t="e">
        <f>IF(VLOOKUP(CONCATENATE(H53,F53,EX$2),Ciencias!$A:$H,7,FALSE)=BL53,1,0)</f>
        <v>#N/A</v>
      </c>
      <c r="EY53" s="138" t="e">
        <f>IF(VLOOKUP(CONCATENATE(H53,F53,EY$2),Ciencias!$A:$H,7,FALSE)=BM53,1,0)</f>
        <v>#N/A</v>
      </c>
      <c r="EZ53" s="138" t="e">
        <f>IF(VLOOKUP(CONCATENATE(H53,F53,EZ$2),Ciencias!$A:$H,7,FALSE)=BN53,1,0)</f>
        <v>#N/A</v>
      </c>
      <c r="FA53" s="138" t="e">
        <f>IF(VLOOKUP(CONCATENATE(H53,F53,FA$2),Ciencias!$A:$H,7,FALSE)=BO53,1,0)</f>
        <v>#N/A</v>
      </c>
      <c r="FB53" s="138" t="e">
        <f>IF(VLOOKUP(CONCATENATE(H53,F53,FB$2),Ciencias!$A:$H,7,FALSE)=BP53,1,0)</f>
        <v>#N/A</v>
      </c>
      <c r="FC53" s="138" t="e">
        <f>IF(VLOOKUP(CONCATENATE(H53,F53,FC$2),Ciencias!$A:$H,7,FALSE)=BQ53,1,0)</f>
        <v>#N/A</v>
      </c>
      <c r="FD53" s="138" t="e">
        <f>IF(VLOOKUP(CONCATENATE(H53,F53,FD$2),Ciencias!$A:$H,7,FALSE)=BR53,1,0)</f>
        <v>#N/A</v>
      </c>
      <c r="FE53" s="138" t="e">
        <f>IF(VLOOKUP(CONCATENATE(H53,F53,FE$2),Ciencias!$A:$H,7,FALSE)=BS53,1,0)</f>
        <v>#N/A</v>
      </c>
      <c r="FF53" s="138" t="e">
        <f>IF(VLOOKUP(CONCATENATE(H53,F53,FF$2),Ciencias!$A:$H,7,FALSE)=BT53,1,0)</f>
        <v>#N/A</v>
      </c>
      <c r="FG53" s="138" t="e">
        <f>IF(VLOOKUP(CONCATENATE(H53,F53,FG$2),Ciencias!$A:$H,7,FALSE)=BU53,1,0)</f>
        <v>#N/A</v>
      </c>
      <c r="FH53" s="138" t="e">
        <f>IF(VLOOKUP(CONCATENATE(H53,F53,FH$2),Ciencias!$A:$H,7,FALSE)=BV53,1,0)</f>
        <v>#N/A</v>
      </c>
      <c r="FI53" s="138" t="e">
        <f>IF(VLOOKUP(CONCATENATE(H53,F53,FI$2),Ciencias!$A:$H,7,FALSE)=BW53,1,0)</f>
        <v>#N/A</v>
      </c>
      <c r="FJ53" s="138" t="e">
        <f>IF(VLOOKUP(CONCATENATE(H53,F53,FJ$2),Ciencias!$A:$H,7,FALSE)=BX53,1,0)</f>
        <v>#N/A</v>
      </c>
      <c r="FK53" s="138" t="e">
        <f>IF(VLOOKUP(CONCATENATE(H53,F53,FK$2),Ciencias!$A:$H,7,FALSE)=BY53,1,0)</f>
        <v>#N/A</v>
      </c>
      <c r="FL53" s="138" t="e">
        <f>IF(VLOOKUP(CONCATENATE(H53,F53,FL$2),Ciencias!$A:$H,7,FALSE)=BZ53,1,0)</f>
        <v>#N/A</v>
      </c>
      <c r="FM53" s="138" t="e">
        <f>IF(VLOOKUP(CONCATENATE(H53,F53,FM$2),Ciencias!$A:$H,7,FALSE)=CA53,1,0)</f>
        <v>#N/A</v>
      </c>
      <c r="FN53" s="138" t="e">
        <f>IF(VLOOKUP(CONCATENATE(H53,F53,FN$2),Ciencias!$A:$H,7,FALSE)=CB53,1,0)</f>
        <v>#N/A</v>
      </c>
      <c r="FO53" s="138" t="e">
        <f>IF(VLOOKUP(CONCATENATE(H53,F53,FO$2),Ciencias!$A:$H,7,FALSE)=CC53,1,0)</f>
        <v>#N/A</v>
      </c>
      <c r="FP53" s="138" t="e">
        <f>IF(VLOOKUP(CONCATENATE(H53,F53,FP$2),GeoHis!$A:$H,7,FALSE)=CD53,1,0)</f>
        <v>#N/A</v>
      </c>
      <c r="FQ53" s="138" t="e">
        <f>IF(VLOOKUP(CONCATENATE(H53,F53,FQ$2),GeoHis!$A:$H,7,FALSE)=CE53,1,0)</f>
        <v>#N/A</v>
      </c>
      <c r="FR53" s="138" t="e">
        <f>IF(VLOOKUP(CONCATENATE(H53,F53,FR$2),GeoHis!$A:$H,7,FALSE)=CF53,1,0)</f>
        <v>#N/A</v>
      </c>
      <c r="FS53" s="138" t="e">
        <f>IF(VLOOKUP(CONCATENATE(H53,F53,FS$2),GeoHis!$A:$H,7,FALSE)=CG53,1,0)</f>
        <v>#N/A</v>
      </c>
      <c r="FT53" s="138" t="e">
        <f>IF(VLOOKUP(CONCATENATE(H53,F53,FT$2),GeoHis!$A:$H,7,FALSE)=CH53,1,0)</f>
        <v>#N/A</v>
      </c>
      <c r="FU53" s="138" t="e">
        <f>IF(VLOOKUP(CONCATENATE(H53,F53,FU$2),GeoHis!$A:$H,7,FALSE)=CI53,1,0)</f>
        <v>#N/A</v>
      </c>
      <c r="FV53" s="138" t="e">
        <f>IF(VLOOKUP(CONCATENATE(H53,F53,FV$2),GeoHis!$A:$H,7,FALSE)=CJ53,1,0)</f>
        <v>#N/A</v>
      </c>
      <c r="FW53" s="138" t="e">
        <f>IF(VLOOKUP(CONCATENATE(H53,F53,FW$2),GeoHis!$A:$H,7,FALSE)=CK53,1,0)</f>
        <v>#N/A</v>
      </c>
      <c r="FX53" s="138" t="e">
        <f>IF(VLOOKUP(CONCATENATE(H53,F53,FX$2),GeoHis!$A:$H,7,FALSE)=CL53,1,0)</f>
        <v>#N/A</v>
      </c>
      <c r="FY53" s="138" t="e">
        <f>IF(VLOOKUP(CONCATENATE(H53,F53,FY$2),GeoHis!$A:$H,7,FALSE)=CM53,1,0)</f>
        <v>#N/A</v>
      </c>
      <c r="FZ53" s="138" t="e">
        <f>IF(VLOOKUP(CONCATENATE(H53,F53,FZ$2),GeoHis!$A:$H,7,FALSE)=CN53,1,0)</f>
        <v>#N/A</v>
      </c>
      <c r="GA53" s="138" t="e">
        <f>IF(VLOOKUP(CONCATENATE(H53,F53,GA$2),GeoHis!$A:$H,7,FALSE)=CO53,1,0)</f>
        <v>#N/A</v>
      </c>
      <c r="GB53" s="138" t="e">
        <f>IF(VLOOKUP(CONCATENATE(H53,F53,GB$2),GeoHis!$A:$H,7,FALSE)=CP53,1,0)</f>
        <v>#N/A</v>
      </c>
      <c r="GC53" s="138" t="e">
        <f>IF(VLOOKUP(CONCATENATE(H53,F53,GC$2),GeoHis!$A:$H,7,FALSE)=CQ53,1,0)</f>
        <v>#N/A</v>
      </c>
      <c r="GD53" s="138" t="e">
        <f>IF(VLOOKUP(CONCATENATE(H53,F53,GD$2),GeoHis!$A:$H,7,FALSE)=CR53,1,0)</f>
        <v>#N/A</v>
      </c>
      <c r="GE53" s="135" t="str">
        <f t="shared" si="6"/>
        <v/>
      </c>
    </row>
    <row r="54" spans="1:187" x14ac:dyDescent="0.25">
      <c r="A54" s="127" t="str">
        <f>IF(C54="","",'Datos Generales'!$A$25)</f>
        <v/>
      </c>
      <c r="D54" s="126" t="str">
        <f t="shared" si="0"/>
        <v/>
      </c>
      <c r="E54" s="126">
        <f t="shared" si="1"/>
        <v>0</v>
      </c>
      <c r="F54" s="126" t="str">
        <f t="shared" si="7"/>
        <v/>
      </c>
      <c r="G54" s="126" t="str">
        <f>IF(C54="","",'Datos Generales'!$D$19)</f>
        <v/>
      </c>
      <c r="H54" s="21" t="str">
        <f>IF(C54="","",'Datos Generales'!$A$19)</f>
        <v/>
      </c>
      <c r="I54" s="126" t="str">
        <f>IF(C54="","",'Datos Generales'!$A$7)</f>
        <v/>
      </c>
      <c r="J54" s="21" t="str">
        <f>IF(C54="","",'Datos Generales'!$A$13)</f>
        <v/>
      </c>
      <c r="K54" s="21" t="str">
        <f>IF(C54="","",'Datos Generales'!$A$10)</f>
        <v/>
      </c>
      <c r="CS54" s="142" t="str">
        <f t="shared" si="2"/>
        <v/>
      </c>
      <c r="CT54" s="142" t="str">
        <f t="shared" si="3"/>
        <v/>
      </c>
      <c r="CU54" s="142" t="str">
        <f t="shared" si="4"/>
        <v/>
      </c>
      <c r="CV54" s="142" t="str">
        <f t="shared" si="5"/>
        <v/>
      </c>
      <c r="CW54" s="142" t="str">
        <f>IF(C54="","",IF('Datos Generales'!$A$19=1,AVERAGE(FP54:GD54),AVERAGE(Captura!FP54:FY54)))</f>
        <v/>
      </c>
      <c r="CX54" s="138" t="e">
        <f>IF(VLOOKUP(CONCATENATE($H$4,$F$4,CX$2),Español!$A:$H,7,FALSE)=L54,1,0)</f>
        <v>#N/A</v>
      </c>
      <c r="CY54" s="138" t="e">
        <f>IF(VLOOKUP(CONCATENATE(H54,F54,CY$2),Español!$A:$H,7,FALSE)=M54,1,0)</f>
        <v>#N/A</v>
      </c>
      <c r="CZ54" s="138" t="e">
        <f>IF(VLOOKUP(CONCATENATE(H54,F54,CZ$2),Español!$A:$H,7,FALSE)=N54,1,0)</f>
        <v>#N/A</v>
      </c>
      <c r="DA54" s="138" t="e">
        <f>IF(VLOOKUP(CONCATENATE(H54,F54,DA$2),Español!$A:$H,7,FALSE)=O54,1,0)</f>
        <v>#N/A</v>
      </c>
      <c r="DB54" s="138" t="e">
        <f>IF(VLOOKUP(CONCATENATE(H54,F54,DB$2),Español!$A:$H,7,FALSE)=P54,1,0)</f>
        <v>#N/A</v>
      </c>
      <c r="DC54" s="138" t="e">
        <f>IF(VLOOKUP(CONCATENATE(H54,F54,DC$2),Español!$A:$H,7,FALSE)=Q54,1,0)</f>
        <v>#N/A</v>
      </c>
      <c r="DD54" s="138" t="e">
        <f>IF(VLOOKUP(CONCATENATE(H54,F54,DD$2),Español!$A:$H,7,FALSE)=R54,1,0)</f>
        <v>#N/A</v>
      </c>
      <c r="DE54" s="138" t="e">
        <f>IF(VLOOKUP(CONCATENATE(H54,F54,DE$2),Español!$A:$H,7,FALSE)=S54,1,0)</f>
        <v>#N/A</v>
      </c>
      <c r="DF54" s="138" t="e">
        <f>IF(VLOOKUP(CONCATENATE(H54,F54,DF$2),Español!$A:$H,7,FALSE)=T54,1,0)</f>
        <v>#N/A</v>
      </c>
      <c r="DG54" s="138" t="e">
        <f>IF(VLOOKUP(CONCATENATE(H54,F54,DG$2),Español!$A:$H,7,FALSE)=U54,1,0)</f>
        <v>#N/A</v>
      </c>
      <c r="DH54" s="138" t="e">
        <f>IF(VLOOKUP(CONCATENATE(H54,F54,DH$2),Español!$A:$H,7,FALSE)=V54,1,0)</f>
        <v>#N/A</v>
      </c>
      <c r="DI54" s="138" t="e">
        <f>IF(VLOOKUP(CONCATENATE(H54,F54,DI$2),Español!$A:$H,7,FALSE)=W54,1,0)</f>
        <v>#N/A</v>
      </c>
      <c r="DJ54" s="138" t="e">
        <f>IF(VLOOKUP(CONCATENATE(H54,F54,DJ$2),Español!$A:$H,7,FALSE)=X54,1,0)</f>
        <v>#N/A</v>
      </c>
      <c r="DK54" s="138" t="e">
        <f>IF(VLOOKUP(CONCATENATE(H54,F54,DK$2),Español!$A:$H,7,FALSE)=Y54,1,0)</f>
        <v>#N/A</v>
      </c>
      <c r="DL54" s="138" t="e">
        <f>IF(VLOOKUP(CONCATENATE(H54,F54,DL$2),Español!$A:$H,7,FALSE)=Z54,1,0)</f>
        <v>#N/A</v>
      </c>
      <c r="DM54" s="138" t="e">
        <f>IF(VLOOKUP(CONCATENATE(H54,F54,DM$2),Español!$A:$H,7,FALSE)=AA54,1,0)</f>
        <v>#N/A</v>
      </c>
      <c r="DN54" s="138" t="e">
        <f>IF(VLOOKUP(CONCATENATE(H54,F54,DN$2),Español!$A:$H,7,FALSE)=AB54,1,0)</f>
        <v>#N/A</v>
      </c>
      <c r="DO54" s="138" t="e">
        <f>IF(VLOOKUP(CONCATENATE(H54,F54,DO$2),Español!$A:$H,7,FALSE)=AC54,1,0)</f>
        <v>#N/A</v>
      </c>
      <c r="DP54" s="138" t="e">
        <f>IF(VLOOKUP(CONCATENATE(H54,F54,DP$2),Español!$A:$H,7,FALSE)=AD54,1,0)</f>
        <v>#N/A</v>
      </c>
      <c r="DQ54" s="138" t="e">
        <f>IF(VLOOKUP(CONCATENATE(H54,F54,DQ$2),Español!$A:$H,7,FALSE)=AE54,1,0)</f>
        <v>#N/A</v>
      </c>
      <c r="DR54" s="138" t="e">
        <f>IF(VLOOKUP(CONCATENATE(H54,F54,DR$2),Inglés!$A:$H,7,FALSE)=AF54,1,0)</f>
        <v>#N/A</v>
      </c>
      <c r="DS54" s="138" t="e">
        <f>IF(VLOOKUP(CONCATENATE(H54,F54,DS$2),Inglés!$A:$H,7,FALSE)=AG54,1,0)</f>
        <v>#N/A</v>
      </c>
      <c r="DT54" s="138" t="e">
        <f>IF(VLOOKUP(CONCATENATE(H54,F54,DT$2),Inglés!$A:$H,7,FALSE)=AH54,1,0)</f>
        <v>#N/A</v>
      </c>
      <c r="DU54" s="138" t="e">
        <f>IF(VLOOKUP(CONCATENATE(H54,F54,DU$2),Inglés!$A:$H,7,FALSE)=AI54,1,0)</f>
        <v>#N/A</v>
      </c>
      <c r="DV54" s="138" t="e">
        <f>IF(VLOOKUP(CONCATENATE(H54,F54,DV$2),Inglés!$A:$H,7,FALSE)=AJ54,1,0)</f>
        <v>#N/A</v>
      </c>
      <c r="DW54" s="138" t="e">
        <f>IF(VLOOKUP(CONCATENATE(H54,F54,DW$2),Inglés!$A:$H,7,FALSE)=AK54,1,0)</f>
        <v>#N/A</v>
      </c>
      <c r="DX54" s="138" t="e">
        <f>IF(VLOOKUP(CONCATENATE(H54,F54,DX$2),Inglés!$A:$H,7,FALSE)=AL54,1,0)</f>
        <v>#N/A</v>
      </c>
      <c r="DY54" s="138" t="e">
        <f>IF(VLOOKUP(CONCATENATE(H54,F54,DY$2),Inglés!$A:$H,7,FALSE)=AM54,1,0)</f>
        <v>#N/A</v>
      </c>
      <c r="DZ54" s="138" t="e">
        <f>IF(VLOOKUP(CONCATENATE(H54,F54,DZ$2),Inglés!$A:$H,7,FALSE)=AN54,1,0)</f>
        <v>#N/A</v>
      </c>
      <c r="EA54" s="138" t="e">
        <f>IF(VLOOKUP(CONCATENATE(H54,F54,EA$2),Inglés!$A:$H,7,FALSE)=AO54,1,0)</f>
        <v>#N/A</v>
      </c>
      <c r="EB54" s="138" t="e">
        <f>IF(VLOOKUP(CONCATENATE(H54,F54,EB$2),Matemáticas!$A:$H,7,FALSE)=AP54,1,0)</f>
        <v>#N/A</v>
      </c>
      <c r="EC54" s="138" t="e">
        <f>IF(VLOOKUP(CONCATENATE(H54,F54,EC$2),Matemáticas!$A:$H,7,FALSE)=AQ54,1,0)</f>
        <v>#N/A</v>
      </c>
      <c r="ED54" s="138" t="e">
        <f>IF(VLOOKUP(CONCATENATE(H54,F54,ED$2),Matemáticas!$A:$H,7,FALSE)=AR54,1,0)</f>
        <v>#N/A</v>
      </c>
      <c r="EE54" s="138" t="e">
        <f>IF(VLOOKUP(CONCATENATE(H54,F54,EE$2),Matemáticas!$A:$H,7,FALSE)=AS54,1,0)</f>
        <v>#N/A</v>
      </c>
      <c r="EF54" s="138" t="e">
        <f>IF(VLOOKUP(CONCATENATE(H54,F54,EF$2),Matemáticas!$A:$H,7,FALSE)=AT54,1,0)</f>
        <v>#N/A</v>
      </c>
      <c r="EG54" s="138" t="e">
        <f>IF(VLOOKUP(CONCATENATE(H54,F54,EG$2),Matemáticas!$A:$H,7,FALSE)=AU54,1,0)</f>
        <v>#N/A</v>
      </c>
      <c r="EH54" s="138" t="e">
        <f>IF(VLOOKUP(CONCATENATE(H54,F54,EH$2),Matemáticas!$A:$H,7,FALSE)=AV54,1,0)</f>
        <v>#N/A</v>
      </c>
      <c r="EI54" s="138" t="e">
        <f>IF(VLOOKUP(CONCATENATE(H54,F54,EI$2),Matemáticas!$A:$H,7,FALSE)=AW54,1,0)</f>
        <v>#N/A</v>
      </c>
      <c r="EJ54" s="138" t="e">
        <f>IF(VLOOKUP(CONCATENATE(H54,F54,EJ$2),Matemáticas!$A:$H,7,FALSE)=AX54,1,0)</f>
        <v>#N/A</v>
      </c>
      <c r="EK54" s="138" t="e">
        <f>IF(VLOOKUP(CONCATENATE(H54,F54,EK$2),Matemáticas!$A:$H,7,FALSE)=AY54,1,0)</f>
        <v>#N/A</v>
      </c>
      <c r="EL54" s="138" t="e">
        <f>IF(VLOOKUP(CONCATENATE(H54,F54,EL$2),Matemáticas!$A:$H,7,FALSE)=AZ54,1,0)</f>
        <v>#N/A</v>
      </c>
      <c r="EM54" s="138" t="e">
        <f>IF(VLOOKUP(CONCATENATE(H54,F54,EM$2),Matemáticas!$A:$H,7,FALSE)=BA54,1,0)</f>
        <v>#N/A</v>
      </c>
      <c r="EN54" s="138" t="e">
        <f>IF(VLOOKUP(CONCATENATE(H54,F54,EN$2),Matemáticas!$A:$H,7,FALSE)=BB54,1,0)</f>
        <v>#N/A</v>
      </c>
      <c r="EO54" s="138" t="e">
        <f>IF(VLOOKUP(CONCATENATE(H54,F54,EO$2),Matemáticas!$A:$H,7,FALSE)=BC54,1,0)</f>
        <v>#N/A</v>
      </c>
      <c r="EP54" s="138" t="e">
        <f>IF(VLOOKUP(CONCATENATE(H54,F54,EP$2),Matemáticas!$A:$H,7,FALSE)=BD54,1,0)</f>
        <v>#N/A</v>
      </c>
      <c r="EQ54" s="138" t="e">
        <f>IF(VLOOKUP(CONCATENATE(H54,F54,EQ$2),Matemáticas!$A:$H,7,FALSE)=BE54,1,0)</f>
        <v>#N/A</v>
      </c>
      <c r="ER54" s="138" t="e">
        <f>IF(VLOOKUP(CONCATENATE(H54,F54,ER$2),Matemáticas!$A:$H,7,FALSE)=BF54,1,0)</f>
        <v>#N/A</v>
      </c>
      <c r="ES54" s="138" t="e">
        <f>IF(VLOOKUP(CONCATENATE(H54,F54,ES$2),Matemáticas!$A:$H,7,FALSE)=BG54,1,0)</f>
        <v>#N/A</v>
      </c>
      <c r="ET54" s="138" t="e">
        <f>IF(VLOOKUP(CONCATENATE(H54,F54,ET$2),Matemáticas!$A:$H,7,FALSE)=BH54,1,0)</f>
        <v>#N/A</v>
      </c>
      <c r="EU54" s="138" t="e">
        <f>IF(VLOOKUP(CONCATENATE(H54,F54,EU$2),Matemáticas!$A:$H,7,FALSE)=BI54,1,0)</f>
        <v>#N/A</v>
      </c>
      <c r="EV54" s="138" t="e">
        <f>IF(VLOOKUP(CONCATENATE(H54,F54,EV$2),Ciencias!$A:$H,7,FALSE)=BJ54,1,0)</f>
        <v>#N/A</v>
      </c>
      <c r="EW54" s="138" t="e">
        <f>IF(VLOOKUP(CONCATENATE(H54,F54,EW$2),Ciencias!$A:$H,7,FALSE)=BK54,1,0)</f>
        <v>#N/A</v>
      </c>
      <c r="EX54" s="138" t="e">
        <f>IF(VLOOKUP(CONCATENATE(H54,F54,EX$2),Ciencias!$A:$H,7,FALSE)=BL54,1,0)</f>
        <v>#N/A</v>
      </c>
      <c r="EY54" s="138" t="e">
        <f>IF(VLOOKUP(CONCATENATE(H54,F54,EY$2),Ciencias!$A:$H,7,FALSE)=BM54,1,0)</f>
        <v>#N/A</v>
      </c>
      <c r="EZ54" s="138" t="e">
        <f>IF(VLOOKUP(CONCATENATE(H54,F54,EZ$2),Ciencias!$A:$H,7,FALSE)=BN54,1,0)</f>
        <v>#N/A</v>
      </c>
      <c r="FA54" s="138" t="e">
        <f>IF(VLOOKUP(CONCATENATE(H54,F54,FA$2),Ciencias!$A:$H,7,FALSE)=BO54,1,0)</f>
        <v>#N/A</v>
      </c>
      <c r="FB54" s="138" t="e">
        <f>IF(VLOOKUP(CONCATENATE(H54,F54,FB$2),Ciencias!$A:$H,7,FALSE)=BP54,1,0)</f>
        <v>#N/A</v>
      </c>
      <c r="FC54" s="138" t="e">
        <f>IF(VLOOKUP(CONCATENATE(H54,F54,FC$2),Ciencias!$A:$H,7,FALSE)=BQ54,1,0)</f>
        <v>#N/A</v>
      </c>
      <c r="FD54" s="138" t="e">
        <f>IF(VLOOKUP(CONCATENATE(H54,F54,FD$2),Ciencias!$A:$H,7,FALSE)=BR54,1,0)</f>
        <v>#N/A</v>
      </c>
      <c r="FE54" s="138" t="e">
        <f>IF(VLOOKUP(CONCATENATE(H54,F54,FE$2),Ciencias!$A:$H,7,FALSE)=BS54,1,0)</f>
        <v>#N/A</v>
      </c>
      <c r="FF54" s="138" t="e">
        <f>IF(VLOOKUP(CONCATENATE(H54,F54,FF$2),Ciencias!$A:$H,7,FALSE)=BT54,1,0)</f>
        <v>#N/A</v>
      </c>
      <c r="FG54" s="138" t="e">
        <f>IF(VLOOKUP(CONCATENATE(H54,F54,FG$2),Ciencias!$A:$H,7,FALSE)=BU54,1,0)</f>
        <v>#N/A</v>
      </c>
      <c r="FH54" s="138" t="e">
        <f>IF(VLOOKUP(CONCATENATE(H54,F54,FH$2),Ciencias!$A:$H,7,FALSE)=BV54,1,0)</f>
        <v>#N/A</v>
      </c>
      <c r="FI54" s="138" t="e">
        <f>IF(VLOOKUP(CONCATENATE(H54,F54,FI$2),Ciencias!$A:$H,7,FALSE)=BW54,1,0)</f>
        <v>#N/A</v>
      </c>
      <c r="FJ54" s="138" t="e">
        <f>IF(VLOOKUP(CONCATENATE(H54,F54,FJ$2),Ciencias!$A:$H,7,FALSE)=BX54,1,0)</f>
        <v>#N/A</v>
      </c>
      <c r="FK54" s="138" t="e">
        <f>IF(VLOOKUP(CONCATENATE(H54,F54,FK$2),Ciencias!$A:$H,7,FALSE)=BY54,1,0)</f>
        <v>#N/A</v>
      </c>
      <c r="FL54" s="138" t="e">
        <f>IF(VLOOKUP(CONCATENATE(H54,F54,FL$2),Ciencias!$A:$H,7,FALSE)=BZ54,1,0)</f>
        <v>#N/A</v>
      </c>
      <c r="FM54" s="138" t="e">
        <f>IF(VLOOKUP(CONCATENATE(H54,F54,FM$2),Ciencias!$A:$H,7,FALSE)=CA54,1,0)</f>
        <v>#N/A</v>
      </c>
      <c r="FN54" s="138" t="e">
        <f>IF(VLOOKUP(CONCATENATE(H54,F54,FN$2),Ciencias!$A:$H,7,FALSE)=CB54,1,0)</f>
        <v>#N/A</v>
      </c>
      <c r="FO54" s="138" t="e">
        <f>IF(VLOOKUP(CONCATENATE(H54,F54,FO$2),Ciencias!$A:$H,7,FALSE)=CC54,1,0)</f>
        <v>#N/A</v>
      </c>
      <c r="FP54" s="138" t="e">
        <f>IF(VLOOKUP(CONCATENATE(H54,F54,FP$2),GeoHis!$A:$H,7,FALSE)=CD54,1,0)</f>
        <v>#N/A</v>
      </c>
      <c r="FQ54" s="138" t="e">
        <f>IF(VLOOKUP(CONCATENATE(H54,F54,FQ$2),GeoHis!$A:$H,7,FALSE)=CE54,1,0)</f>
        <v>#N/A</v>
      </c>
      <c r="FR54" s="138" t="e">
        <f>IF(VLOOKUP(CONCATENATE(H54,F54,FR$2),GeoHis!$A:$H,7,FALSE)=CF54,1,0)</f>
        <v>#N/A</v>
      </c>
      <c r="FS54" s="138" t="e">
        <f>IF(VLOOKUP(CONCATENATE(H54,F54,FS$2),GeoHis!$A:$H,7,FALSE)=CG54,1,0)</f>
        <v>#N/A</v>
      </c>
      <c r="FT54" s="138" t="e">
        <f>IF(VLOOKUP(CONCATENATE(H54,F54,FT$2),GeoHis!$A:$H,7,FALSE)=CH54,1,0)</f>
        <v>#N/A</v>
      </c>
      <c r="FU54" s="138" t="e">
        <f>IF(VLOOKUP(CONCATENATE(H54,F54,FU$2),GeoHis!$A:$H,7,FALSE)=CI54,1,0)</f>
        <v>#N/A</v>
      </c>
      <c r="FV54" s="138" t="e">
        <f>IF(VLOOKUP(CONCATENATE(H54,F54,FV$2),GeoHis!$A:$H,7,FALSE)=CJ54,1,0)</f>
        <v>#N/A</v>
      </c>
      <c r="FW54" s="138" t="e">
        <f>IF(VLOOKUP(CONCATENATE(H54,F54,FW$2),GeoHis!$A:$H,7,FALSE)=CK54,1,0)</f>
        <v>#N/A</v>
      </c>
      <c r="FX54" s="138" t="e">
        <f>IF(VLOOKUP(CONCATENATE(H54,F54,FX$2),GeoHis!$A:$H,7,FALSE)=CL54,1,0)</f>
        <v>#N/A</v>
      </c>
      <c r="FY54" s="138" t="e">
        <f>IF(VLOOKUP(CONCATENATE(H54,F54,FY$2),GeoHis!$A:$H,7,FALSE)=CM54,1,0)</f>
        <v>#N/A</v>
      </c>
      <c r="FZ54" s="138" t="e">
        <f>IF(VLOOKUP(CONCATENATE(H54,F54,FZ$2),GeoHis!$A:$H,7,FALSE)=CN54,1,0)</f>
        <v>#N/A</v>
      </c>
      <c r="GA54" s="138" t="e">
        <f>IF(VLOOKUP(CONCATENATE(H54,F54,GA$2),GeoHis!$A:$H,7,FALSE)=CO54,1,0)</f>
        <v>#N/A</v>
      </c>
      <c r="GB54" s="138" t="e">
        <f>IF(VLOOKUP(CONCATENATE(H54,F54,GB$2),GeoHis!$A:$H,7,FALSE)=CP54,1,0)</f>
        <v>#N/A</v>
      </c>
      <c r="GC54" s="138" t="e">
        <f>IF(VLOOKUP(CONCATENATE(H54,F54,GC$2),GeoHis!$A:$H,7,FALSE)=CQ54,1,0)</f>
        <v>#N/A</v>
      </c>
      <c r="GD54" s="138" t="e">
        <f>IF(VLOOKUP(CONCATENATE(H54,F54,GD$2),GeoHis!$A:$H,7,FALSE)=CR54,1,0)</f>
        <v>#N/A</v>
      </c>
      <c r="GE54" s="135" t="str">
        <f t="shared" si="6"/>
        <v/>
      </c>
    </row>
    <row r="55" spans="1:187" x14ac:dyDescent="0.25">
      <c r="A55" s="127" t="str">
        <f>IF(C55="","",'Datos Generales'!$A$25)</f>
        <v/>
      </c>
      <c r="D55" s="126" t="str">
        <f t="shared" si="0"/>
        <v/>
      </c>
      <c r="E55" s="126">
        <f t="shared" si="1"/>
        <v>0</v>
      </c>
      <c r="F55" s="126" t="str">
        <f t="shared" si="7"/>
        <v/>
      </c>
      <c r="G55" s="126" t="str">
        <f>IF(C55="","",'Datos Generales'!$D$19)</f>
        <v/>
      </c>
      <c r="H55" s="21" t="str">
        <f>IF(C55="","",'Datos Generales'!$A$19)</f>
        <v/>
      </c>
      <c r="I55" s="126" t="str">
        <f>IF(C55="","",'Datos Generales'!$A$7)</f>
        <v/>
      </c>
      <c r="J55" s="21" t="str">
        <f>IF(C55="","",'Datos Generales'!$A$13)</f>
        <v/>
      </c>
      <c r="K55" s="21" t="str">
        <f>IF(C55="","",'Datos Generales'!$A$10)</f>
        <v/>
      </c>
      <c r="CS55" s="142" t="str">
        <f t="shared" si="2"/>
        <v/>
      </c>
      <c r="CT55" s="142" t="str">
        <f t="shared" si="3"/>
        <v/>
      </c>
      <c r="CU55" s="142" t="str">
        <f t="shared" si="4"/>
        <v/>
      </c>
      <c r="CV55" s="142" t="str">
        <f t="shared" si="5"/>
        <v/>
      </c>
      <c r="CW55" s="142" t="str">
        <f>IF(C55="","",IF('Datos Generales'!$A$19=1,AVERAGE(FP55:GD55),AVERAGE(Captura!FP55:FY55)))</f>
        <v/>
      </c>
      <c r="CX55" s="138" t="e">
        <f>IF(VLOOKUP(CONCATENATE($H$4,$F$4,CX$2),Español!$A:$H,7,FALSE)=L55,1,0)</f>
        <v>#N/A</v>
      </c>
      <c r="CY55" s="138" t="e">
        <f>IF(VLOOKUP(CONCATENATE(H55,F55,CY$2),Español!$A:$H,7,FALSE)=M55,1,0)</f>
        <v>#N/A</v>
      </c>
      <c r="CZ55" s="138" t="e">
        <f>IF(VLOOKUP(CONCATENATE(H55,F55,CZ$2),Español!$A:$H,7,FALSE)=N55,1,0)</f>
        <v>#N/A</v>
      </c>
      <c r="DA55" s="138" t="e">
        <f>IF(VLOOKUP(CONCATENATE(H55,F55,DA$2),Español!$A:$H,7,FALSE)=O55,1,0)</f>
        <v>#N/A</v>
      </c>
      <c r="DB55" s="138" t="e">
        <f>IF(VLOOKUP(CONCATENATE(H55,F55,DB$2),Español!$A:$H,7,FALSE)=P55,1,0)</f>
        <v>#N/A</v>
      </c>
      <c r="DC55" s="138" t="e">
        <f>IF(VLOOKUP(CONCATENATE(H55,F55,DC$2),Español!$A:$H,7,FALSE)=Q55,1,0)</f>
        <v>#N/A</v>
      </c>
      <c r="DD55" s="138" t="e">
        <f>IF(VLOOKUP(CONCATENATE(H55,F55,DD$2),Español!$A:$H,7,FALSE)=R55,1,0)</f>
        <v>#N/A</v>
      </c>
      <c r="DE55" s="138" t="e">
        <f>IF(VLOOKUP(CONCATENATE(H55,F55,DE$2),Español!$A:$H,7,FALSE)=S55,1,0)</f>
        <v>#N/A</v>
      </c>
      <c r="DF55" s="138" t="e">
        <f>IF(VLOOKUP(CONCATENATE(H55,F55,DF$2),Español!$A:$H,7,FALSE)=T55,1,0)</f>
        <v>#N/A</v>
      </c>
      <c r="DG55" s="138" t="e">
        <f>IF(VLOOKUP(CONCATENATE(H55,F55,DG$2),Español!$A:$H,7,FALSE)=U55,1,0)</f>
        <v>#N/A</v>
      </c>
      <c r="DH55" s="138" t="e">
        <f>IF(VLOOKUP(CONCATENATE(H55,F55,DH$2),Español!$A:$H,7,FALSE)=V55,1,0)</f>
        <v>#N/A</v>
      </c>
      <c r="DI55" s="138" t="e">
        <f>IF(VLOOKUP(CONCATENATE(H55,F55,DI$2),Español!$A:$H,7,FALSE)=W55,1,0)</f>
        <v>#N/A</v>
      </c>
      <c r="DJ55" s="138" t="e">
        <f>IF(VLOOKUP(CONCATENATE(H55,F55,DJ$2),Español!$A:$H,7,FALSE)=X55,1,0)</f>
        <v>#N/A</v>
      </c>
      <c r="DK55" s="138" t="e">
        <f>IF(VLOOKUP(CONCATENATE(H55,F55,DK$2),Español!$A:$H,7,FALSE)=Y55,1,0)</f>
        <v>#N/A</v>
      </c>
      <c r="DL55" s="138" t="e">
        <f>IF(VLOOKUP(CONCATENATE(H55,F55,DL$2),Español!$A:$H,7,FALSE)=Z55,1,0)</f>
        <v>#N/A</v>
      </c>
      <c r="DM55" s="138" t="e">
        <f>IF(VLOOKUP(CONCATENATE(H55,F55,DM$2),Español!$A:$H,7,FALSE)=AA55,1,0)</f>
        <v>#N/A</v>
      </c>
      <c r="DN55" s="138" t="e">
        <f>IF(VLOOKUP(CONCATENATE(H55,F55,DN$2),Español!$A:$H,7,FALSE)=AB55,1,0)</f>
        <v>#N/A</v>
      </c>
      <c r="DO55" s="138" t="e">
        <f>IF(VLOOKUP(CONCATENATE(H55,F55,DO$2),Español!$A:$H,7,FALSE)=AC55,1,0)</f>
        <v>#N/A</v>
      </c>
      <c r="DP55" s="138" t="e">
        <f>IF(VLOOKUP(CONCATENATE(H55,F55,DP$2),Español!$A:$H,7,FALSE)=AD55,1,0)</f>
        <v>#N/A</v>
      </c>
      <c r="DQ55" s="138" t="e">
        <f>IF(VLOOKUP(CONCATENATE(H55,F55,DQ$2),Español!$A:$H,7,FALSE)=AE55,1,0)</f>
        <v>#N/A</v>
      </c>
      <c r="DR55" s="138" t="e">
        <f>IF(VLOOKUP(CONCATENATE(H55,F55,DR$2),Inglés!$A:$H,7,FALSE)=AF55,1,0)</f>
        <v>#N/A</v>
      </c>
      <c r="DS55" s="138" t="e">
        <f>IF(VLOOKUP(CONCATENATE(H55,F55,DS$2),Inglés!$A:$H,7,FALSE)=AG55,1,0)</f>
        <v>#N/A</v>
      </c>
      <c r="DT55" s="138" t="e">
        <f>IF(VLOOKUP(CONCATENATE(H55,F55,DT$2),Inglés!$A:$H,7,FALSE)=AH55,1,0)</f>
        <v>#N/A</v>
      </c>
      <c r="DU55" s="138" t="e">
        <f>IF(VLOOKUP(CONCATENATE(H55,F55,DU$2),Inglés!$A:$H,7,FALSE)=AI55,1,0)</f>
        <v>#N/A</v>
      </c>
      <c r="DV55" s="138" t="e">
        <f>IF(VLOOKUP(CONCATENATE(H55,F55,DV$2),Inglés!$A:$H,7,FALSE)=AJ55,1,0)</f>
        <v>#N/A</v>
      </c>
      <c r="DW55" s="138" t="e">
        <f>IF(VLOOKUP(CONCATENATE(H55,F55,DW$2),Inglés!$A:$H,7,FALSE)=AK55,1,0)</f>
        <v>#N/A</v>
      </c>
      <c r="DX55" s="138" t="e">
        <f>IF(VLOOKUP(CONCATENATE(H55,F55,DX$2),Inglés!$A:$H,7,FALSE)=AL55,1,0)</f>
        <v>#N/A</v>
      </c>
      <c r="DY55" s="138" t="e">
        <f>IF(VLOOKUP(CONCATENATE(H55,F55,DY$2),Inglés!$A:$H,7,FALSE)=AM55,1,0)</f>
        <v>#N/A</v>
      </c>
      <c r="DZ55" s="138" t="e">
        <f>IF(VLOOKUP(CONCATENATE(H55,F55,DZ$2),Inglés!$A:$H,7,FALSE)=AN55,1,0)</f>
        <v>#N/A</v>
      </c>
      <c r="EA55" s="138" t="e">
        <f>IF(VLOOKUP(CONCATENATE(H55,F55,EA$2),Inglés!$A:$H,7,FALSE)=AO55,1,0)</f>
        <v>#N/A</v>
      </c>
      <c r="EB55" s="138" t="e">
        <f>IF(VLOOKUP(CONCATENATE(H55,F55,EB$2),Matemáticas!$A:$H,7,FALSE)=AP55,1,0)</f>
        <v>#N/A</v>
      </c>
      <c r="EC55" s="138" t="e">
        <f>IF(VLOOKUP(CONCATENATE(H55,F55,EC$2),Matemáticas!$A:$H,7,FALSE)=AQ55,1,0)</f>
        <v>#N/A</v>
      </c>
      <c r="ED55" s="138" t="e">
        <f>IF(VLOOKUP(CONCATENATE(H55,F55,ED$2),Matemáticas!$A:$H,7,FALSE)=AR55,1,0)</f>
        <v>#N/A</v>
      </c>
      <c r="EE55" s="138" t="e">
        <f>IF(VLOOKUP(CONCATENATE(H55,F55,EE$2),Matemáticas!$A:$H,7,FALSE)=AS55,1,0)</f>
        <v>#N/A</v>
      </c>
      <c r="EF55" s="138" t="e">
        <f>IF(VLOOKUP(CONCATENATE(H55,F55,EF$2),Matemáticas!$A:$H,7,FALSE)=AT55,1,0)</f>
        <v>#N/A</v>
      </c>
      <c r="EG55" s="138" t="e">
        <f>IF(VLOOKUP(CONCATENATE(H55,F55,EG$2),Matemáticas!$A:$H,7,FALSE)=AU55,1,0)</f>
        <v>#N/A</v>
      </c>
      <c r="EH55" s="138" t="e">
        <f>IF(VLOOKUP(CONCATENATE(H55,F55,EH$2),Matemáticas!$A:$H,7,FALSE)=AV55,1,0)</f>
        <v>#N/A</v>
      </c>
      <c r="EI55" s="138" t="e">
        <f>IF(VLOOKUP(CONCATENATE(H55,F55,EI$2),Matemáticas!$A:$H,7,FALSE)=AW55,1,0)</f>
        <v>#N/A</v>
      </c>
      <c r="EJ55" s="138" t="e">
        <f>IF(VLOOKUP(CONCATENATE(H55,F55,EJ$2),Matemáticas!$A:$H,7,FALSE)=AX55,1,0)</f>
        <v>#N/A</v>
      </c>
      <c r="EK55" s="138" t="e">
        <f>IF(VLOOKUP(CONCATENATE(H55,F55,EK$2),Matemáticas!$A:$H,7,FALSE)=AY55,1,0)</f>
        <v>#N/A</v>
      </c>
      <c r="EL55" s="138" t="e">
        <f>IF(VLOOKUP(CONCATENATE(H55,F55,EL$2),Matemáticas!$A:$H,7,FALSE)=AZ55,1,0)</f>
        <v>#N/A</v>
      </c>
      <c r="EM55" s="138" t="e">
        <f>IF(VLOOKUP(CONCATENATE(H55,F55,EM$2),Matemáticas!$A:$H,7,FALSE)=BA55,1,0)</f>
        <v>#N/A</v>
      </c>
      <c r="EN55" s="138" t="e">
        <f>IF(VLOOKUP(CONCATENATE(H55,F55,EN$2),Matemáticas!$A:$H,7,FALSE)=BB55,1,0)</f>
        <v>#N/A</v>
      </c>
      <c r="EO55" s="138" t="e">
        <f>IF(VLOOKUP(CONCATENATE(H55,F55,EO$2),Matemáticas!$A:$H,7,FALSE)=BC55,1,0)</f>
        <v>#N/A</v>
      </c>
      <c r="EP55" s="138" t="e">
        <f>IF(VLOOKUP(CONCATENATE(H55,F55,EP$2),Matemáticas!$A:$H,7,FALSE)=BD55,1,0)</f>
        <v>#N/A</v>
      </c>
      <c r="EQ55" s="138" t="e">
        <f>IF(VLOOKUP(CONCATENATE(H55,F55,EQ$2),Matemáticas!$A:$H,7,FALSE)=BE55,1,0)</f>
        <v>#N/A</v>
      </c>
      <c r="ER55" s="138" t="e">
        <f>IF(VLOOKUP(CONCATENATE(H55,F55,ER$2),Matemáticas!$A:$H,7,FALSE)=BF55,1,0)</f>
        <v>#N/A</v>
      </c>
      <c r="ES55" s="138" t="e">
        <f>IF(VLOOKUP(CONCATENATE(H55,F55,ES$2),Matemáticas!$A:$H,7,FALSE)=BG55,1,0)</f>
        <v>#N/A</v>
      </c>
      <c r="ET55" s="138" t="e">
        <f>IF(VLOOKUP(CONCATENATE(H55,F55,ET$2),Matemáticas!$A:$H,7,FALSE)=BH55,1,0)</f>
        <v>#N/A</v>
      </c>
      <c r="EU55" s="138" t="e">
        <f>IF(VLOOKUP(CONCATENATE(H55,F55,EU$2),Matemáticas!$A:$H,7,FALSE)=BI55,1,0)</f>
        <v>#N/A</v>
      </c>
      <c r="EV55" s="138" t="e">
        <f>IF(VLOOKUP(CONCATENATE(H55,F55,EV$2),Ciencias!$A:$H,7,FALSE)=BJ55,1,0)</f>
        <v>#N/A</v>
      </c>
      <c r="EW55" s="138" t="e">
        <f>IF(VLOOKUP(CONCATENATE(H55,F55,EW$2),Ciencias!$A:$H,7,FALSE)=BK55,1,0)</f>
        <v>#N/A</v>
      </c>
      <c r="EX55" s="138" t="e">
        <f>IF(VLOOKUP(CONCATENATE(H55,F55,EX$2),Ciencias!$A:$H,7,FALSE)=BL55,1,0)</f>
        <v>#N/A</v>
      </c>
      <c r="EY55" s="138" t="e">
        <f>IF(VLOOKUP(CONCATENATE(H55,F55,EY$2),Ciencias!$A:$H,7,FALSE)=BM55,1,0)</f>
        <v>#N/A</v>
      </c>
      <c r="EZ55" s="138" t="e">
        <f>IF(VLOOKUP(CONCATENATE(H55,F55,EZ$2),Ciencias!$A:$H,7,FALSE)=BN55,1,0)</f>
        <v>#N/A</v>
      </c>
      <c r="FA55" s="138" t="e">
        <f>IF(VLOOKUP(CONCATENATE(H55,F55,FA$2),Ciencias!$A:$H,7,FALSE)=BO55,1,0)</f>
        <v>#N/A</v>
      </c>
      <c r="FB55" s="138" t="e">
        <f>IF(VLOOKUP(CONCATENATE(H55,F55,FB$2),Ciencias!$A:$H,7,FALSE)=BP55,1,0)</f>
        <v>#N/A</v>
      </c>
      <c r="FC55" s="138" t="e">
        <f>IF(VLOOKUP(CONCATENATE(H55,F55,FC$2),Ciencias!$A:$H,7,FALSE)=BQ55,1,0)</f>
        <v>#N/A</v>
      </c>
      <c r="FD55" s="138" t="e">
        <f>IF(VLOOKUP(CONCATENATE(H55,F55,FD$2),Ciencias!$A:$H,7,FALSE)=BR55,1,0)</f>
        <v>#N/A</v>
      </c>
      <c r="FE55" s="138" t="e">
        <f>IF(VLOOKUP(CONCATENATE(H55,F55,FE$2),Ciencias!$A:$H,7,FALSE)=BS55,1,0)</f>
        <v>#N/A</v>
      </c>
      <c r="FF55" s="138" t="e">
        <f>IF(VLOOKUP(CONCATENATE(H55,F55,FF$2),Ciencias!$A:$H,7,FALSE)=BT55,1,0)</f>
        <v>#N/A</v>
      </c>
      <c r="FG55" s="138" t="e">
        <f>IF(VLOOKUP(CONCATENATE(H55,F55,FG$2),Ciencias!$A:$H,7,FALSE)=BU55,1,0)</f>
        <v>#N/A</v>
      </c>
      <c r="FH55" s="138" t="e">
        <f>IF(VLOOKUP(CONCATENATE(H55,F55,FH$2),Ciencias!$A:$H,7,FALSE)=BV55,1,0)</f>
        <v>#N/A</v>
      </c>
      <c r="FI55" s="138" t="e">
        <f>IF(VLOOKUP(CONCATENATE(H55,F55,FI$2),Ciencias!$A:$H,7,FALSE)=BW55,1,0)</f>
        <v>#N/A</v>
      </c>
      <c r="FJ55" s="138" t="e">
        <f>IF(VLOOKUP(CONCATENATE(H55,F55,FJ$2),Ciencias!$A:$H,7,FALSE)=BX55,1,0)</f>
        <v>#N/A</v>
      </c>
      <c r="FK55" s="138" t="e">
        <f>IF(VLOOKUP(CONCATENATE(H55,F55,FK$2),Ciencias!$A:$H,7,FALSE)=BY55,1,0)</f>
        <v>#N/A</v>
      </c>
      <c r="FL55" s="138" t="e">
        <f>IF(VLOOKUP(CONCATENATE(H55,F55,FL$2),Ciencias!$A:$H,7,FALSE)=BZ55,1,0)</f>
        <v>#N/A</v>
      </c>
      <c r="FM55" s="138" t="e">
        <f>IF(VLOOKUP(CONCATENATE(H55,F55,FM$2),Ciencias!$A:$H,7,FALSE)=CA55,1,0)</f>
        <v>#N/A</v>
      </c>
      <c r="FN55" s="138" t="e">
        <f>IF(VLOOKUP(CONCATENATE(H55,F55,FN$2),Ciencias!$A:$H,7,FALSE)=CB55,1,0)</f>
        <v>#N/A</v>
      </c>
      <c r="FO55" s="138" t="e">
        <f>IF(VLOOKUP(CONCATENATE(H55,F55,FO$2),Ciencias!$A:$H,7,FALSE)=CC55,1,0)</f>
        <v>#N/A</v>
      </c>
      <c r="FP55" s="138" t="e">
        <f>IF(VLOOKUP(CONCATENATE(H55,F55,FP$2),GeoHis!$A:$H,7,FALSE)=CD55,1,0)</f>
        <v>#N/A</v>
      </c>
      <c r="FQ55" s="138" t="e">
        <f>IF(VLOOKUP(CONCATENATE(H55,F55,FQ$2),GeoHis!$A:$H,7,FALSE)=CE55,1,0)</f>
        <v>#N/A</v>
      </c>
      <c r="FR55" s="138" t="e">
        <f>IF(VLOOKUP(CONCATENATE(H55,F55,FR$2),GeoHis!$A:$H,7,FALSE)=CF55,1,0)</f>
        <v>#N/A</v>
      </c>
      <c r="FS55" s="138" t="e">
        <f>IF(VLOOKUP(CONCATENATE(H55,F55,FS$2),GeoHis!$A:$H,7,FALSE)=CG55,1,0)</f>
        <v>#N/A</v>
      </c>
      <c r="FT55" s="138" t="e">
        <f>IF(VLOOKUP(CONCATENATE(H55,F55,FT$2),GeoHis!$A:$H,7,FALSE)=CH55,1,0)</f>
        <v>#N/A</v>
      </c>
      <c r="FU55" s="138" t="e">
        <f>IF(VLOOKUP(CONCATENATE(H55,F55,FU$2),GeoHis!$A:$H,7,FALSE)=CI55,1,0)</f>
        <v>#N/A</v>
      </c>
      <c r="FV55" s="138" t="e">
        <f>IF(VLOOKUP(CONCATENATE(H55,F55,FV$2),GeoHis!$A:$H,7,FALSE)=CJ55,1,0)</f>
        <v>#N/A</v>
      </c>
      <c r="FW55" s="138" t="e">
        <f>IF(VLOOKUP(CONCATENATE(H55,F55,FW$2),GeoHis!$A:$H,7,FALSE)=CK55,1,0)</f>
        <v>#N/A</v>
      </c>
      <c r="FX55" s="138" t="e">
        <f>IF(VLOOKUP(CONCATENATE(H55,F55,FX$2),GeoHis!$A:$H,7,FALSE)=CL55,1,0)</f>
        <v>#N/A</v>
      </c>
      <c r="FY55" s="138" t="e">
        <f>IF(VLOOKUP(CONCATENATE(H55,F55,FY$2),GeoHis!$A:$H,7,FALSE)=CM55,1,0)</f>
        <v>#N/A</v>
      </c>
      <c r="FZ55" s="138" t="e">
        <f>IF(VLOOKUP(CONCATENATE(H55,F55,FZ$2),GeoHis!$A:$H,7,FALSE)=CN55,1,0)</f>
        <v>#N/A</v>
      </c>
      <c r="GA55" s="138" t="e">
        <f>IF(VLOOKUP(CONCATENATE(H55,F55,GA$2),GeoHis!$A:$H,7,FALSE)=CO55,1,0)</f>
        <v>#N/A</v>
      </c>
      <c r="GB55" s="138" t="e">
        <f>IF(VLOOKUP(CONCATENATE(H55,F55,GB$2),GeoHis!$A:$H,7,FALSE)=CP55,1,0)</f>
        <v>#N/A</v>
      </c>
      <c r="GC55" s="138" t="e">
        <f>IF(VLOOKUP(CONCATENATE(H55,F55,GC$2),GeoHis!$A:$H,7,FALSE)=CQ55,1,0)</f>
        <v>#N/A</v>
      </c>
      <c r="GD55" s="138" t="e">
        <f>IF(VLOOKUP(CONCATENATE(H55,F55,GD$2),GeoHis!$A:$H,7,FALSE)=CR55,1,0)</f>
        <v>#N/A</v>
      </c>
      <c r="GE55" s="135" t="str">
        <f t="shared" si="6"/>
        <v/>
      </c>
    </row>
    <row r="56" spans="1:187" x14ac:dyDescent="0.25">
      <c r="A56" s="127" t="str">
        <f>IF(C56="","",'Datos Generales'!$A$25)</f>
        <v/>
      </c>
      <c r="D56" s="126" t="str">
        <f t="shared" si="0"/>
        <v/>
      </c>
      <c r="E56" s="126">
        <f t="shared" si="1"/>
        <v>0</v>
      </c>
      <c r="F56" s="126" t="str">
        <f t="shared" si="7"/>
        <v/>
      </c>
      <c r="G56" s="126" t="str">
        <f>IF(C56="","",'Datos Generales'!$D$19)</f>
        <v/>
      </c>
      <c r="H56" s="21" t="str">
        <f>IF(C56="","",'Datos Generales'!$A$19)</f>
        <v/>
      </c>
      <c r="I56" s="126" t="str">
        <f>IF(C56="","",'Datos Generales'!$A$7)</f>
        <v/>
      </c>
      <c r="J56" s="21" t="str">
        <f>IF(C56="","",'Datos Generales'!$A$13)</f>
        <v/>
      </c>
      <c r="K56" s="21" t="str">
        <f>IF(C56="","",'Datos Generales'!$A$10)</f>
        <v/>
      </c>
      <c r="CS56" s="142" t="str">
        <f t="shared" si="2"/>
        <v/>
      </c>
      <c r="CT56" s="142" t="str">
        <f t="shared" si="3"/>
        <v/>
      </c>
      <c r="CU56" s="142" t="str">
        <f t="shared" si="4"/>
        <v/>
      </c>
      <c r="CV56" s="142" t="str">
        <f t="shared" si="5"/>
        <v/>
      </c>
      <c r="CW56" s="142" t="str">
        <f>IF(C56="","",IF('Datos Generales'!$A$19=1,AVERAGE(FP56:GD56),AVERAGE(Captura!FP56:FY56)))</f>
        <v/>
      </c>
      <c r="CX56" s="138" t="e">
        <f>IF(VLOOKUP(CONCATENATE($H$4,$F$4,CX$2),Español!$A:$H,7,FALSE)=L56,1,0)</f>
        <v>#N/A</v>
      </c>
      <c r="CY56" s="138" t="e">
        <f>IF(VLOOKUP(CONCATENATE(H56,F56,CY$2),Español!$A:$H,7,FALSE)=M56,1,0)</f>
        <v>#N/A</v>
      </c>
      <c r="CZ56" s="138" t="e">
        <f>IF(VLOOKUP(CONCATENATE(H56,F56,CZ$2),Español!$A:$H,7,FALSE)=N56,1,0)</f>
        <v>#N/A</v>
      </c>
      <c r="DA56" s="138" t="e">
        <f>IF(VLOOKUP(CONCATENATE(H56,F56,DA$2),Español!$A:$H,7,FALSE)=O56,1,0)</f>
        <v>#N/A</v>
      </c>
      <c r="DB56" s="138" t="e">
        <f>IF(VLOOKUP(CONCATENATE(H56,F56,DB$2),Español!$A:$H,7,FALSE)=P56,1,0)</f>
        <v>#N/A</v>
      </c>
      <c r="DC56" s="138" t="e">
        <f>IF(VLOOKUP(CONCATENATE(H56,F56,DC$2),Español!$A:$H,7,FALSE)=Q56,1,0)</f>
        <v>#N/A</v>
      </c>
      <c r="DD56" s="138" t="e">
        <f>IF(VLOOKUP(CONCATENATE(H56,F56,DD$2),Español!$A:$H,7,FALSE)=R56,1,0)</f>
        <v>#N/A</v>
      </c>
      <c r="DE56" s="138" t="e">
        <f>IF(VLOOKUP(CONCATENATE(H56,F56,DE$2),Español!$A:$H,7,FALSE)=S56,1,0)</f>
        <v>#N/A</v>
      </c>
      <c r="DF56" s="138" t="e">
        <f>IF(VLOOKUP(CONCATENATE(H56,F56,DF$2),Español!$A:$H,7,FALSE)=T56,1,0)</f>
        <v>#N/A</v>
      </c>
      <c r="DG56" s="138" t="e">
        <f>IF(VLOOKUP(CONCATENATE(H56,F56,DG$2),Español!$A:$H,7,FALSE)=U56,1,0)</f>
        <v>#N/A</v>
      </c>
      <c r="DH56" s="138" t="e">
        <f>IF(VLOOKUP(CONCATENATE(H56,F56,DH$2),Español!$A:$H,7,FALSE)=V56,1,0)</f>
        <v>#N/A</v>
      </c>
      <c r="DI56" s="138" t="e">
        <f>IF(VLOOKUP(CONCATENATE(H56,F56,DI$2),Español!$A:$H,7,FALSE)=W56,1,0)</f>
        <v>#N/A</v>
      </c>
      <c r="DJ56" s="138" t="e">
        <f>IF(VLOOKUP(CONCATENATE(H56,F56,DJ$2),Español!$A:$H,7,FALSE)=X56,1,0)</f>
        <v>#N/A</v>
      </c>
      <c r="DK56" s="138" t="e">
        <f>IF(VLOOKUP(CONCATENATE(H56,F56,DK$2),Español!$A:$H,7,FALSE)=Y56,1,0)</f>
        <v>#N/A</v>
      </c>
      <c r="DL56" s="138" t="e">
        <f>IF(VLOOKUP(CONCATENATE(H56,F56,DL$2),Español!$A:$H,7,FALSE)=Z56,1,0)</f>
        <v>#N/A</v>
      </c>
      <c r="DM56" s="138" t="e">
        <f>IF(VLOOKUP(CONCATENATE(H56,F56,DM$2),Español!$A:$H,7,FALSE)=AA56,1,0)</f>
        <v>#N/A</v>
      </c>
      <c r="DN56" s="138" t="e">
        <f>IF(VLOOKUP(CONCATENATE(H56,F56,DN$2),Español!$A:$H,7,FALSE)=AB56,1,0)</f>
        <v>#N/A</v>
      </c>
      <c r="DO56" s="138" t="e">
        <f>IF(VLOOKUP(CONCATENATE(H56,F56,DO$2),Español!$A:$H,7,FALSE)=AC56,1,0)</f>
        <v>#N/A</v>
      </c>
      <c r="DP56" s="138" t="e">
        <f>IF(VLOOKUP(CONCATENATE(H56,F56,DP$2),Español!$A:$H,7,FALSE)=AD56,1,0)</f>
        <v>#N/A</v>
      </c>
      <c r="DQ56" s="138" t="e">
        <f>IF(VLOOKUP(CONCATENATE(H56,F56,DQ$2),Español!$A:$H,7,FALSE)=AE56,1,0)</f>
        <v>#N/A</v>
      </c>
      <c r="DR56" s="138" t="e">
        <f>IF(VLOOKUP(CONCATENATE(H56,F56,DR$2),Inglés!$A:$H,7,FALSE)=AF56,1,0)</f>
        <v>#N/A</v>
      </c>
      <c r="DS56" s="138" t="e">
        <f>IF(VLOOKUP(CONCATENATE(H56,F56,DS$2),Inglés!$A:$H,7,FALSE)=AG56,1,0)</f>
        <v>#N/A</v>
      </c>
      <c r="DT56" s="138" t="e">
        <f>IF(VLOOKUP(CONCATENATE(H56,F56,DT$2),Inglés!$A:$H,7,FALSE)=AH56,1,0)</f>
        <v>#N/A</v>
      </c>
      <c r="DU56" s="138" t="e">
        <f>IF(VLOOKUP(CONCATENATE(H56,F56,DU$2),Inglés!$A:$H,7,FALSE)=AI56,1,0)</f>
        <v>#N/A</v>
      </c>
      <c r="DV56" s="138" t="e">
        <f>IF(VLOOKUP(CONCATENATE(H56,F56,DV$2),Inglés!$A:$H,7,FALSE)=AJ56,1,0)</f>
        <v>#N/A</v>
      </c>
      <c r="DW56" s="138" t="e">
        <f>IF(VLOOKUP(CONCATENATE(H56,F56,DW$2),Inglés!$A:$H,7,FALSE)=AK56,1,0)</f>
        <v>#N/A</v>
      </c>
      <c r="DX56" s="138" t="e">
        <f>IF(VLOOKUP(CONCATENATE(H56,F56,DX$2),Inglés!$A:$H,7,FALSE)=AL56,1,0)</f>
        <v>#N/A</v>
      </c>
      <c r="DY56" s="138" t="e">
        <f>IF(VLOOKUP(CONCATENATE(H56,F56,DY$2),Inglés!$A:$H,7,FALSE)=AM56,1,0)</f>
        <v>#N/A</v>
      </c>
      <c r="DZ56" s="138" t="e">
        <f>IF(VLOOKUP(CONCATENATE(H56,F56,DZ$2),Inglés!$A:$H,7,FALSE)=AN56,1,0)</f>
        <v>#N/A</v>
      </c>
      <c r="EA56" s="138" t="e">
        <f>IF(VLOOKUP(CONCATENATE(H56,F56,EA$2),Inglés!$A:$H,7,FALSE)=AO56,1,0)</f>
        <v>#N/A</v>
      </c>
      <c r="EB56" s="138" t="e">
        <f>IF(VLOOKUP(CONCATENATE(H56,F56,EB$2),Matemáticas!$A:$H,7,FALSE)=AP56,1,0)</f>
        <v>#N/A</v>
      </c>
      <c r="EC56" s="138" t="e">
        <f>IF(VLOOKUP(CONCATENATE(H56,F56,EC$2),Matemáticas!$A:$H,7,FALSE)=AQ56,1,0)</f>
        <v>#N/A</v>
      </c>
      <c r="ED56" s="138" t="e">
        <f>IF(VLOOKUP(CONCATENATE(H56,F56,ED$2),Matemáticas!$A:$H,7,FALSE)=AR56,1,0)</f>
        <v>#N/A</v>
      </c>
      <c r="EE56" s="138" t="e">
        <f>IF(VLOOKUP(CONCATENATE(H56,F56,EE$2),Matemáticas!$A:$H,7,FALSE)=AS56,1,0)</f>
        <v>#N/A</v>
      </c>
      <c r="EF56" s="138" t="e">
        <f>IF(VLOOKUP(CONCATENATE(H56,F56,EF$2),Matemáticas!$A:$H,7,FALSE)=AT56,1,0)</f>
        <v>#N/A</v>
      </c>
      <c r="EG56" s="138" t="e">
        <f>IF(VLOOKUP(CONCATENATE(H56,F56,EG$2),Matemáticas!$A:$H,7,FALSE)=AU56,1,0)</f>
        <v>#N/A</v>
      </c>
      <c r="EH56" s="138" t="e">
        <f>IF(VLOOKUP(CONCATENATE(H56,F56,EH$2),Matemáticas!$A:$H,7,FALSE)=AV56,1,0)</f>
        <v>#N/A</v>
      </c>
      <c r="EI56" s="138" t="e">
        <f>IF(VLOOKUP(CONCATENATE(H56,F56,EI$2),Matemáticas!$A:$H,7,FALSE)=AW56,1,0)</f>
        <v>#N/A</v>
      </c>
      <c r="EJ56" s="138" t="e">
        <f>IF(VLOOKUP(CONCATENATE(H56,F56,EJ$2),Matemáticas!$A:$H,7,FALSE)=AX56,1,0)</f>
        <v>#N/A</v>
      </c>
      <c r="EK56" s="138" t="e">
        <f>IF(VLOOKUP(CONCATENATE(H56,F56,EK$2),Matemáticas!$A:$H,7,FALSE)=AY56,1,0)</f>
        <v>#N/A</v>
      </c>
      <c r="EL56" s="138" t="e">
        <f>IF(VLOOKUP(CONCATENATE(H56,F56,EL$2),Matemáticas!$A:$H,7,FALSE)=AZ56,1,0)</f>
        <v>#N/A</v>
      </c>
      <c r="EM56" s="138" t="e">
        <f>IF(VLOOKUP(CONCATENATE(H56,F56,EM$2),Matemáticas!$A:$H,7,FALSE)=BA56,1,0)</f>
        <v>#N/A</v>
      </c>
      <c r="EN56" s="138" t="e">
        <f>IF(VLOOKUP(CONCATENATE(H56,F56,EN$2),Matemáticas!$A:$H,7,FALSE)=BB56,1,0)</f>
        <v>#N/A</v>
      </c>
      <c r="EO56" s="138" t="e">
        <f>IF(VLOOKUP(CONCATENATE(H56,F56,EO$2),Matemáticas!$A:$H,7,FALSE)=BC56,1,0)</f>
        <v>#N/A</v>
      </c>
      <c r="EP56" s="138" t="e">
        <f>IF(VLOOKUP(CONCATENATE(H56,F56,EP$2),Matemáticas!$A:$H,7,FALSE)=BD56,1,0)</f>
        <v>#N/A</v>
      </c>
      <c r="EQ56" s="138" t="e">
        <f>IF(VLOOKUP(CONCATENATE(H56,F56,EQ$2),Matemáticas!$A:$H,7,FALSE)=BE56,1,0)</f>
        <v>#N/A</v>
      </c>
      <c r="ER56" s="138" t="e">
        <f>IF(VLOOKUP(CONCATENATE(H56,F56,ER$2),Matemáticas!$A:$H,7,FALSE)=BF56,1,0)</f>
        <v>#N/A</v>
      </c>
      <c r="ES56" s="138" t="e">
        <f>IF(VLOOKUP(CONCATENATE(H56,F56,ES$2),Matemáticas!$A:$H,7,FALSE)=BG56,1,0)</f>
        <v>#N/A</v>
      </c>
      <c r="ET56" s="138" t="e">
        <f>IF(VLOOKUP(CONCATENATE(H56,F56,ET$2),Matemáticas!$A:$H,7,FALSE)=BH56,1,0)</f>
        <v>#N/A</v>
      </c>
      <c r="EU56" s="138" t="e">
        <f>IF(VLOOKUP(CONCATENATE(H56,F56,EU$2),Matemáticas!$A:$H,7,FALSE)=BI56,1,0)</f>
        <v>#N/A</v>
      </c>
      <c r="EV56" s="138" t="e">
        <f>IF(VLOOKUP(CONCATENATE(H56,F56,EV$2),Ciencias!$A:$H,7,FALSE)=BJ56,1,0)</f>
        <v>#N/A</v>
      </c>
      <c r="EW56" s="138" t="e">
        <f>IF(VLOOKUP(CONCATENATE(H56,F56,EW$2),Ciencias!$A:$H,7,FALSE)=BK56,1,0)</f>
        <v>#N/A</v>
      </c>
      <c r="EX56" s="138" t="e">
        <f>IF(VLOOKUP(CONCATENATE(H56,F56,EX$2),Ciencias!$A:$H,7,FALSE)=BL56,1,0)</f>
        <v>#N/A</v>
      </c>
      <c r="EY56" s="138" t="e">
        <f>IF(VLOOKUP(CONCATENATE(H56,F56,EY$2),Ciencias!$A:$H,7,FALSE)=BM56,1,0)</f>
        <v>#N/A</v>
      </c>
      <c r="EZ56" s="138" t="e">
        <f>IF(VLOOKUP(CONCATENATE(H56,F56,EZ$2),Ciencias!$A:$H,7,FALSE)=BN56,1,0)</f>
        <v>#N/A</v>
      </c>
      <c r="FA56" s="138" t="e">
        <f>IF(VLOOKUP(CONCATENATE(H56,F56,FA$2),Ciencias!$A:$H,7,FALSE)=BO56,1,0)</f>
        <v>#N/A</v>
      </c>
      <c r="FB56" s="138" t="e">
        <f>IF(VLOOKUP(CONCATENATE(H56,F56,FB$2),Ciencias!$A:$H,7,FALSE)=BP56,1,0)</f>
        <v>#N/A</v>
      </c>
      <c r="FC56" s="138" t="e">
        <f>IF(VLOOKUP(CONCATENATE(H56,F56,FC$2),Ciencias!$A:$H,7,FALSE)=BQ56,1,0)</f>
        <v>#N/A</v>
      </c>
      <c r="FD56" s="138" t="e">
        <f>IF(VLOOKUP(CONCATENATE(H56,F56,FD$2),Ciencias!$A:$H,7,FALSE)=BR56,1,0)</f>
        <v>#N/A</v>
      </c>
      <c r="FE56" s="138" t="e">
        <f>IF(VLOOKUP(CONCATENATE(H56,F56,FE$2),Ciencias!$A:$H,7,FALSE)=BS56,1,0)</f>
        <v>#N/A</v>
      </c>
      <c r="FF56" s="138" t="e">
        <f>IF(VLOOKUP(CONCATENATE(H56,F56,FF$2),Ciencias!$A:$H,7,FALSE)=BT56,1,0)</f>
        <v>#N/A</v>
      </c>
      <c r="FG56" s="138" t="e">
        <f>IF(VLOOKUP(CONCATENATE(H56,F56,FG$2),Ciencias!$A:$H,7,FALSE)=BU56,1,0)</f>
        <v>#N/A</v>
      </c>
      <c r="FH56" s="138" t="e">
        <f>IF(VLOOKUP(CONCATENATE(H56,F56,FH$2),Ciencias!$A:$H,7,FALSE)=BV56,1,0)</f>
        <v>#N/A</v>
      </c>
      <c r="FI56" s="138" t="e">
        <f>IF(VLOOKUP(CONCATENATE(H56,F56,FI$2),Ciencias!$A:$H,7,FALSE)=BW56,1,0)</f>
        <v>#N/A</v>
      </c>
      <c r="FJ56" s="138" t="e">
        <f>IF(VLOOKUP(CONCATENATE(H56,F56,FJ$2),Ciencias!$A:$H,7,FALSE)=BX56,1,0)</f>
        <v>#N/A</v>
      </c>
      <c r="FK56" s="138" t="e">
        <f>IF(VLOOKUP(CONCATENATE(H56,F56,FK$2),Ciencias!$A:$H,7,FALSE)=BY56,1,0)</f>
        <v>#N/A</v>
      </c>
      <c r="FL56" s="138" t="e">
        <f>IF(VLOOKUP(CONCATENATE(H56,F56,FL$2),Ciencias!$A:$H,7,FALSE)=BZ56,1,0)</f>
        <v>#N/A</v>
      </c>
      <c r="FM56" s="138" t="e">
        <f>IF(VLOOKUP(CONCATENATE(H56,F56,FM$2),Ciencias!$A:$H,7,FALSE)=CA56,1,0)</f>
        <v>#N/A</v>
      </c>
      <c r="FN56" s="138" t="e">
        <f>IF(VLOOKUP(CONCATENATE(H56,F56,FN$2),Ciencias!$A:$H,7,FALSE)=CB56,1,0)</f>
        <v>#N/A</v>
      </c>
      <c r="FO56" s="138" t="e">
        <f>IF(VLOOKUP(CONCATENATE(H56,F56,FO$2),Ciencias!$A:$H,7,FALSE)=CC56,1,0)</f>
        <v>#N/A</v>
      </c>
      <c r="FP56" s="138" t="e">
        <f>IF(VLOOKUP(CONCATENATE(H56,F56,FP$2),GeoHis!$A:$H,7,FALSE)=CD56,1,0)</f>
        <v>#N/A</v>
      </c>
      <c r="FQ56" s="138" t="e">
        <f>IF(VLOOKUP(CONCATENATE(H56,F56,FQ$2),GeoHis!$A:$H,7,FALSE)=CE56,1,0)</f>
        <v>#N/A</v>
      </c>
      <c r="FR56" s="138" t="e">
        <f>IF(VLOOKUP(CONCATENATE(H56,F56,FR$2),GeoHis!$A:$H,7,FALSE)=CF56,1,0)</f>
        <v>#N/A</v>
      </c>
      <c r="FS56" s="138" t="e">
        <f>IF(VLOOKUP(CONCATENATE(H56,F56,FS$2),GeoHis!$A:$H,7,FALSE)=CG56,1,0)</f>
        <v>#N/A</v>
      </c>
      <c r="FT56" s="138" t="e">
        <f>IF(VLOOKUP(CONCATENATE(H56,F56,FT$2),GeoHis!$A:$H,7,FALSE)=CH56,1,0)</f>
        <v>#N/A</v>
      </c>
      <c r="FU56" s="138" t="e">
        <f>IF(VLOOKUP(CONCATENATE(H56,F56,FU$2),GeoHis!$A:$H,7,FALSE)=CI56,1,0)</f>
        <v>#N/A</v>
      </c>
      <c r="FV56" s="138" t="e">
        <f>IF(VLOOKUP(CONCATENATE(H56,F56,FV$2),GeoHis!$A:$H,7,FALSE)=CJ56,1,0)</f>
        <v>#N/A</v>
      </c>
      <c r="FW56" s="138" t="e">
        <f>IF(VLOOKUP(CONCATENATE(H56,F56,FW$2),GeoHis!$A:$H,7,FALSE)=CK56,1,0)</f>
        <v>#N/A</v>
      </c>
      <c r="FX56" s="138" t="e">
        <f>IF(VLOOKUP(CONCATENATE(H56,F56,FX$2),GeoHis!$A:$H,7,FALSE)=CL56,1,0)</f>
        <v>#N/A</v>
      </c>
      <c r="FY56" s="138" t="e">
        <f>IF(VLOOKUP(CONCATENATE(H56,F56,FY$2),GeoHis!$A:$H,7,FALSE)=CM56,1,0)</f>
        <v>#N/A</v>
      </c>
      <c r="FZ56" s="138" t="e">
        <f>IF(VLOOKUP(CONCATENATE(H56,F56,FZ$2),GeoHis!$A:$H,7,FALSE)=CN56,1,0)</f>
        <v>#N/A</v>
      </c>
      <c r="GA56" s="138" t="e">
        <f>IF(VLOOKUP(CONCATENATE(H56,F56,GA$2),GeoHis!$A:$H,7,FALSE)=CO56,1,0)</f>
        <v>#N/A</v>
      </c>
      <c r="GB56" s="138" t="e">
        <f>IF(VLOOKUP(CONCATENATE(H56,F56,GB$2),GeoHis!$A:$H,7,FALSE)=CP56,1,0)</f>
        <v>#N/A</v>
      </c>
      <c r="GC56" s="138" t="e">
        <f>IF(VLOOKUP(CONCATENATE(H56,F56,GC$2),GeoHis!$A:$H,7,FALSE)=CQ56,1,0)</f>
        <v>#N/A</v>
      </c>
      <c r="GD56" s="138" t="e">
        <f>IF(VLOOKUP(CONCATENATE(H56,F56,GD$2),GeoHis!$A:$H,7,FALSE)=CR56,1,0)</f>
        <v>#N/A</v>
      </c>
      <c r="GE56" s="135" t="str">
        <f t="shared" si="6"/>
        <v/>
      </c>
    </row>
    <row r="57" spans="1:187" x14ac:dyDescent="0.25">
      <c r="A57" s="127" t="str">
        <f>IF(C57="","",'Datos Generales'!$A$25)</f>
        <v/>
      </c>
      <c r="D57" s="126" t="str">
        <f t="shared" si="0"/>
        <v/>
      </c>
      <c r="E57" s="126">
        <f t="shared" si="1"/>
        <v>0</v>
      </c>
      <c r="F57" s="126" t="str">
        <f t="shared" si="7"/>
        <v/>
      </c>
      <c r="G57" s="126" t="str">
        <f>IF(C57="","",'Datos Generales'!$D$19)</f>
        <v/>
      </c>
      <c r="H57" s="21" t="str">
        <f>IF(C57="","",'Datos Generales'!$A$19)</f>
        <v/>
      </c>
      <c r="I57" s="126" t="str">
        <f>IF(C57="","",'Datos Generales'!$A$7)</f>
        <v/>
      </c>
      <c r="J57" s="21" t="str">
        <f>IF(C57="","",'Datos Generales'!$A$13)</f>
        <v/>
      </c>
      <c r="K57" s="21" t="str">
        <f>IF(C57="","",'Datos Generales'!$A$10)</f>
        <v/>
      </c>
      <c r="CS57" s="142" t="str">
        <f t="shared" si="2"/>
        <v/>
      </c>
      <c r="CT57" s="142" t="str">
        <f t="shared" si="3"/>
        <v/>
      </c>
      <c r="CU57" s="142" t="str">
        <f t="shared" si="4"/>
        <v/>
      </c>
      <c r="CV57" s="142" t="str">
        <f t="shared" si="5"/>
        <v/>
      </c>
      <c r="CW57" s="142" t="str">
        <f>IF(C57="","",IF('Datos Generales'!$A$19=1,AVERAGE(FP57:GD57),AVERAGE(Captura!FP57:FY57)))</f>
        <v/>
      </c>
      <c r="CX57" s="138" t="e">
        <f>IF(VLOOKUP(CONCATENATE($H$4,$F$4,CX$2),Español!$A:$H,7,FALSE)=L57,1,0)</f>
        <v>#N/A</v>
      </c>
      <c r="CY57" s="138" t="e">
        <f>IF(VLOOKUP(CONCATENATE(H57,F57,CY$2),Español!$A:$H,7,FALSE)=M57,1,0)</f>
        <v>#N/A</v>
      </c>
      <c r="CZ57" s="138" t="e">
        <f>IF(VLOOKUP(CONCATENATE(H57,F57,CZ$2),Español!$A:$H,7,FALSE)=N57,1,0)</f>
        <v>#N/A</v>
      </c>
      <c r="DA57" s="138" t="e">
        <f>IF(VLOOKUP(CONCATENATE(H57,F57,DA$2),Español!$A:$H,7,FALSE)=O57,1,0)</f>
        <v>#N/A</v>
      </c>
      <c r="DB57" s="138" t="e">
        <f>IF(VLOOKUP(CONCATENATE(H57,F57,DB$2),Español!$A:$H,7,FALSE)=P57,1,0)</f>
        <v>#N/A</v>
      </c>
      <c r="DC57" s="138" t="e">
        <f>IF(VLOOKUP(CONCATENATE(H57,F57,DC$2),Español!$A:$H,7,FALSE)=Q57,1,0)</f>
        <v>#N/A</v>
      </c>
      <c r="DD57" s="138" t="e">
        <f>IF(VLOOKUP(CONCATENATE(H57,F57,DD$2),Español!$A:$H,7,FALSE)=R57,1,0)</f>
        <v>#N/A</v>
      </c>
      <c r="DE57" s="138" t="e">
        <f>IF(VLOOKUP(CONCATENATE(H57,F57,DE$2),Español!$A:$H,7,FALSE)=S57,1,0)</f>
        <v>#N/A</v>
      </c>
      <c r="DF57" s="138" t="e">
        <f>IF(VLOOKUP(CONCATENATE(H57,F57,DF$2),Español!$A:$H,7,FALSE)=T57,1,0)</f>
        <v>#N/A</v>
      </c>
      <c r="DG57" s="138" t="e">
        <f>IF(VLOOKUP(CONCATENATE(H57,F57,DG$2),Español!$A:$H,7,FALSE)=U57,1,0)</f>
        <v>#N/A</v>
      </c>
      <c r="DH57" s="138" t="e">
        <f>IF(VLOOKUP(CONCATENATE(H57,F57,DH$2),Español!$A:$H,7,FALSE)=V57,1,0)</f>
        <v>#N/A</v>
      </c>
      <c r="DI57" s="138" t="e">
        <f>IF(VLOOKUP(CONCATENATE(H57,F57,DI$2),Español!$A:$H,7,FALSE)=W57,1,0)</f>
        <v>#N/A</v>
      </c>
      <c r="DJ57" s="138" t="e">
        <f>IF(VLOOKUP(CONCATENATE(H57,F57,DJ$2),Español!$A:$H,7,FALSE)=X57,1,0)</f>
        <v>#N/A</v>
      </c>
      <c r="DK57" s="138" t="e">
        <f>IF(VLOOKUP(CONCATENATE(H57,F57,DK$2),Español!$A:$H,7,FALSE)=Y57,1,0)</f>
        <v>#N/A</v>
      </c>
      <c r="DL57" s="138" t="e">
        <f>IF(VLOOKUP(CONCATENATE(H57,F57,DL$2),Español!$A:$H,7,FALSE)=Z57,1,0)</f>
        <v>#N/A</v>
      </c>
      <c r="DM57" s="138" t="e">
        <f>IF(VLOOKUP(CONCATENATE(H57,F57,DM$2),Español!$A:$H,7,FALSE)=AA57,1,0)</f>
        <v>#N/A</v>
      </c>
      <c r="DN57" s="138" t="e">
        <f>IF(VLOOKUP(CONCATENATE(H57,F57,DN$2),Español!$A:$H,7,FALSE)=AB57,1,0)</f>
        <v>#N/A</v>
      </c>
      <c r="DO57" s="138" t="e">
        <f>IF(VLOOKUP(CONCATENATE(H57,F57,DO$2),Español!$A:$H,7,FALSE)=AC57,1,0)</f>
        <v>#N/A</v>
      </c>
      <c r="DP57" s="138" t="e">
        <f>IF(VLOOKUP(CONCATENATE(H57,F57,DP$2),Español!$A:$H,7,FALSE)=AD57,1,0)</f>
        <v>#N/A</v>
      </c>
      <c r="DQ57" s="138" t="e">
        <f>IF(VLOOKUP(CONCATENATE(H57,F57,DQ$2),Español!$A:$H,7,FALSE)=AE57,1,0)</f>
        <v>#N/A</v>
      </c>
      <c r="DR57" s="138" t="e">
        <f>IF(VLOOKUP(CONCATENATE(H57,F57,DR$2),Inglés!$A:$H,7,FALSE)=AF57,1,0)</f>
        <v>#N/A</v>
      </c>
      <c r="DS57" s="138" t="e">
        <f>IF(VLOOKUP(CONCATENATE(H57,F57,DS$2),Inglés!$A:$H,7,FALSE)=AG57,1,0)</f>
        <v>#N/A</v>
      </c>
      <c r="DT57" s="138" t="e">
        <f>IF(VLOOKUP(CONCATENATE(H57,F57,DT$2),Inglés!$A:$H,7,FALSE)=AH57,1,0)</f>
        <v>#N/A</v>
      </c>
      <c r="DU57" s="138" t="e">
        <f>IF(VLOOKUP(CONCATENATE(H57,F57,DU$2),Inglés!$A:$H,7,FALSE)=AI57,1,0)</f>
        <v>#N/A</v>
      </c>
      <c r="DV57" s="138" t="e">
        <f>IF(VLOOKUP(CONCATENATE(H57,F57,DV$2),Inglés!$A:$H,7,FALSE)=AJ57,1,0)</f>
        <v>#N/A</v>
      </c>
      <c r="DW57" s="138" t="e">
        <f>IF(VLOOKUP(CONCATENATE(H57,F57,DW$2),Inglés!$A:$H,7,FALSE)=AK57,1,0)</f>
        <v>#N/A</v>
      </c>
      <c r="DX57" s="138" t="e">
        <f>IF(VLOOKUP(CONCATENATE(H57,F57,DX$2),Inglés!$A:$H,7,FALSE)=AL57,1,0)</f>
        <v>#N/A</v>
      </c>
      <c r="DY57" s="138" t="e">
        <f>IF(VLOOKUP(CONCATENATE(H57,F57,DY$2),Inglés!$A:$H,7,FALSE)=AM57,1,0)</f>
        <v>#N/A</v>
      </c>
      <c r="DZ57" s="138" t="e">
        <f>IF(VLOOKUP(CONCATENATE(H57,F57,DZ$2),Inglés!$A:$H,7,FALSE)=AN57,1,0)</f>
        <v>#N/A</v>
      </c>
      <c r="EA57" s="138" t="e">
        <f>IF(VLOOKUP(CONCATENATE(H57,F57,EA$2),Inglés!$A:$H,7,FALSE)=AO57,1,0)</f>
        <v>#N/A</v>
      </c>
      <c r="EB57" s="138" t="e">
        <f>IF(VLOOKUP(CONCATENATE(H57,F57,EB$2),Matemáticas!$A:$H,7,FALSE)=AP57,1,0)</f>
        <v>#N/A</v>
      </c>
      <c r="EC57" s="138" t="e">
        <f>IF(VLOOKUP(CONCATENATE(H57,F57,EC$2),Matemáticas!$A:$H,7,FALSE)=AQ57,1,0)</f>
        <v>#N/A</v>
      </c>
      <c r="ED57" s="138" t="e">
        <f>IF(VLOOKUP(CONCATENATE(H57,F57,ED$2),Matemáticas!$A:$H,7,FALSE)=AR57,1,0)</f>
        <v>#N/A</v>
      </c>
      <c r="EE57" s="138" t="e">
        <f>IF(VLOOKUP(CONCATENATE(H57,F57,EE$2),Matemáticas!$A:$H,7,FALSE)=AS57,1,0)</f>
        <v>#N/A</v>
      </c>
      <c r="EF57" s="138" t="e">
        <f>IF(VLOOKUP(CONCATENATE(H57,F57,EF$2),Matemáticas!$A:$H,7,FALSE)=AT57,1,0)</f>
        <v>#N/A</v>
      </c>
      <c r="EG57" s="138" t="e">
        <f>IF(VLOOKUP(CONCATENATE(H57,F57,EG$2),Matemáticas!$A:$H,7,FALSE)=AU57,1,0)</f>
        <v>#N/A</v>
      </c>
      <c r="EH57" s="138" t="e">
        <f>IF(VLOOKUP(CONCATENATE(H57,F57,EH$2),Matemáticas!$A:$H,7,FALSE)=AV57,1,0)</f>
        <v>#N/A</v>
      </c>
      <c r="EI57" s="138" t="e">
        <f>IF(VLOOKUP(CONCATENATE(H57,F57,EI$2),Matemáticas!$A:$H,7,FALSE)=AW57,1,0)</f>
        <v>#N/A</v>
      </c>
      <c r="EJ57" s="138" t="e">
        <f>IF(VLOOKUP(CONCATENATE(H57,F57,EJ$2),Matemáticas!$A:$H,7,FALSE)=AX57,1,0)</f>
        <v>#N/A</v>
      </c>
      <c r="EK57" s="138" t="e">
        <f>IF(VLOOKUP(CONCATENATE(H57,F57,EK$2),Matemáticas!$A:$H,7,FALSE)=AY57,1,0)</f>
        <v>#N/A</v>
      </c>
      <c r="EL57" s="138" t="e">
        <f>IF(VLOOKUP(CONCATENATE(H57,F57,EL$2),Matemáticas!$A:$H,7,FALSE)=AZ57,1,0)</f>
        <v>#N/A</v>
      </c>
      <c r="EM57" s="138" t="e">
        <f>IF(VLOOKUP(CONCATENATE(H57,F57,EM$2),Matemáticas!$A:$H,7,FALSE)=BA57,1,0)</f>
        <v>#N/A</v>
      </c>
      <c r="EN57" s="138" t="e">
        <f>IF(VLOOKUP(CONCATENATE(H57,F57,EN$2),Matemáticas!$A:$H,7,FALSE)=BB57,1,0)</f>
        <v>#N/A</v>
      </c>
      <c r="EO57" s="138" t="e">
        <f>IF(VLOOKUP(CONCATENATE(H57,F57,EO$2),Matemáticas!$A:$H,7,FALSE)=BC57,1,0)</f>
        <v>#N/A</v>
      </c>
      <c r="EP57" s="138" t="e">
        <f>IF(VLOOKUP(CONCATENATE(H57,F57,EP$2),Matemáticas!$A:$H,7,FALSE)=BD57,1,0)</f>
        <v>#N/A</v>
      </c>
      <c r="EQ57" s="138" t="e">
        <f>IF(VLOOKUP(CONCATENATE(H57,F57,EQ$2),Matemáticas!$A:$H,7,FALSE)=BE57,1,0)</f>
        <v>#N/A</v>
      </c>
      <c r="ER57" s="138" t="e">
        <f>IF(VLOOKUP(CONCATENATE(H57,F57,ER$2),Matemáticas!$A:$H,7,FALSE)=BF57,1,0)</f>
        <v>#N/A</v>
      </c>
      <c r="ES57" s="138" t="e">
        <f>IF(VLOOKUP(CONCATENATE(H57,F57,ES$2),Matemáticas!$A:$H,7,FALSE)=BG57,1,0)</f>
        <v>#N/A</v>
      </c>
      <c r="ET57" s="138" t="e">
        <f>IF(VLOOKUP(CONCATENATE(H57,F57,ET$2),Matemáticas!$A:$H,7,FALSE)=BH57,1,0)</f>
        <v>#N/A</v>
      </c>
      <c r="EU57" s="138" t="e">
        <f>IF(VLOOKUP(CONCATENATE(H57,F57,EU$2),Matemáticas!$A:$H,7,FALSE)=BI57,1,0)</f>
        <v>#N/A</v>
      </c>
      <c r="EV57" s="138" t="e">
        <f>IF(VLOOKUP(CONCATENATE(H57,F57,EV$2),Ciencias!$A:$H,7,FALSE)=BJ57,1,0)</f>
        <v>#N/A</v>
      </c>
      <c r="EW57" s="138" t="e">
        <f>IF(VLOOKUP(CONCATENATE(H57,F57,EW$2),Ciencias!$A:$H,7,FALSE)=BK57,1,0)</f>
        <v>#N/A</v>
      </c>
      <c r="EX57" s="138" t="e">
        <f>IF(VLOOKUP(CONCATENATE(H57,F57,EX$2),Ciencias!$A:$H,7,FALSE)=BL57,1,0)</f>
        <v>#N/A</v>
      </c>
      <c r="EY57" s="138" t="e">
        <f>IF(VLOOKUP(CONCATENATE(H57,F57,EY$2),Ciencias!$A:$H,7,FALSE)=BM57,1,0)</f>
        <v>#N/A</v>
      </c>
      <c r="EZ57" s="138" t="e">
        <f>IF(VLOOKUP(CONCATENATE(H57,F57,EZ$2),Ciencias!$A:$H,7,FALSE)=BN57,1,0)</f>
        <v>#N/A</v>
      </c>
      <c r="FA57" s="138" t="e">
        <f>IF(VLOOKUP(CONCATENATE(H57,F57,FA$2),Ciencias!$A:$H,7,FALSE)=BO57,1,0)</f>
        <v>#N/A</v>
      </c>
      <c r="FB57" s="138" t="e">
        <f>IF(VLOOKUP(CONCATENATE(H57,F57,FB$2),Ciencias!$A:$H,7,FALSE)=BP57,1,0)</f>
        <v>#N/A</v>
      </c>
      <c r="FC57" s="138" t="e">
        <f>IF(VLOOKUP(CONCATENATE(H57,F57,FC$2),Ciencias!$A:$H,7,FALSE)=BQ57,1,0)</f>
        <v>#N/A</v>
      </c>
      <c r="FD57" s="138" t="e">
        <f>IF(VLOOKUP(CONCATENATE(H57,F57,FD$2),Ciencias!$A:$H,7,FALSE)=BR57,1,0)</f>
        <v>#N/A</v>
      </c>
      <c r="FE57" s="138" t="e">
        <f>IF(VLOOKUP(CONCATENATE(H57,F57,FE$2),Ciencias!$A:$H,7,FALSE)=BS57,1,0)</f>
        <v>#N/A</v>
      </c>
      <c r="FF57" s="138" t="e">
        <f>IF(VLOOKUP(CONCATENATE(H57,F57,FF$2),Ciencias!$A:$H,7,FALSE)=BT57,1,0)</f>
        <v>#N/A</v>
      </c>
      <c r="FG57" s="138" t="e">
        <f>IF(VLOOKUP(CONCATENATE(H57,F57,FG$2),Ciencias!$A:$H,7,FALSE)=BU57,1,0)</f>
        <v>#N/A</v>
      </c>
      <c r="FH57" s="138" t="e">
        <f>IF(VLOOKUP(CONCATENATE(H57,F57,FH$2),Ciencias!$A:$H,7,FALSE)=BV57,1,0)</f>
        <v>#N/A</v>
      </c>
      <c r="FI57" s="138" t="e">
        <f>IF(VLOOKUP(CONCATENATE(H57,F57,FI$2),Ciencias!$A:$H,7,FALSE)=BW57,1,0)</f>
        <v>#N/A</v>
      </c>
      <c r="FJ57" s="138" t="e">
        <f>IF(VLOOKUP(CONCATENATE(H57,F57,FJ$2),Ciencias!$A:$H,7,FALSE)=BX57,1,0)</f>
        <v>#N/A</v>
      </c>
      <c r="FK57" s="138" t="e">
        <f>IF(VLOOKUP(CONCATENATE(H57,F57,FK$2),Ciencias!$A:$H,7,FALSE)=BY57,1,0)</f>
        <v>#N/A</v>
      </c>
      <c r="FL57" s="138" t="e">
        <f>IF(VLOOKUP(CONCATENATE(H57,F57,FL$2),Ciencias!$A:$H,7,FALSE)=BZ57,1,0)</f>
        <v>#N/A</v>
      </c>
      <c r="FM57" s="138" t="e">
        <f>IF(VLOOKUP(CONCATENATE(H57,F57,FM$2),Ciencias!$A:$H,7,FALSE)=CA57,1,0)</f>
        <v>#N/A</v>
      </c>
      <c r="FN57" s="138" t="e">
        <f>IF(VLOOKUP(CONCATENATE(H57,F57,FN$2),Ciencias!$A:$H,7,FALSE)=CB57,1,0)</f>
        <v>#N/A</v>
      </c>
      <c r="FO57" s="138" t="e">
        <f>IF(VLOOKUP(CONCATENATE(H57,F57,FO$2),Ciencias!$A:$H,7,FALSE)=CC57,1,0)</f>
        <v>#N/A</v>
      </c>
      <c r="FP57" s="138" t="e">
        <f>IF(VLOOKUP(CONCATENATE(H57,F57,FP$2),GeoHis!$A:$H,7,FALSE)=CD57,1,0)</f>
        <v>#N/A</v>
      </c>
      <c r="FQ57" s="138" t="e">
        <f>IF(VLOOKUP(CONCATENATE(H57,F57,FQ$2),GeoHis!$A:$H,7,FALSE)=CE57,1,0)</f>
        <v>#N/A</v>
      </c>
      <c r="FR57" s="138" t="e">
        <f>IF(VLOOKUP(CONCATENATE(H57,F57,FR$2),GeoHis!$A:$H,7,FALSE)=CF57,1,0)</f>
        <v>#N/A</v>
      </c>
      <c r="FS57" s="138" t="e">
        <f>IF(VLOOKUP(CONCATENATE(H57,F57,FS$2),GeoHis!$A:$H,7,FALSE)=CG57,1,0)</f>
        <v>#N/A</v>
      </c>
      <c r="FT57" s="138" t="e">
        <f>IF(VLOOKUP(CONCATENATE(H57,F57,FT$2),GeoHis!$A:$H,7,FALSE)=CH57,1,0)</f>
        <v>#N/A</v>
      </c>
      <c r="FU57" s="138" t="e">
        <f>IF(VLOOKUP(CONCATENATE(H57,F57,FU$2),GeoHis!$A:$H,7,FALSE)=CI57,1,0)</f>
        <v>#N/A</v>
      </c>
      <c r="FV57" s="138" t="e">
        <f>IF(VLOOKUP(CONCATENATE(H57,F57,FV$2),GeoHis!$A:$H,7,FALSE)=CJ57,1,0)</f>
        <v>#N/A</v>
      </c>
      <c r="FW57" s="138" t="e">
        <f>IF(VLOOKUP(CONCATENATE(H57,F57,FW$2),GeoHis!$A:$H,7,FALSE)=CK57,1,0)</f>
        <v>#N/A</v>
      </c>
      <c r="FX57" s="138" t="e">
        <f>IF(VLOOKUP(CONCATENATE(H57,F57,FX$2),GeoHis!$A:$H,7,FALSE)=CL57,1,0)</f>
        <v>#N/A</v>
      </c>
      <c r="FY57" s="138" t="e">
        <f>IF(VLOOKUP(CONCATENATE(H57,F57,FY$2),GeoHis!$A:$H,7,FALSE)=CM57,1,0)</f>
        <v>#N/A</v>
      </c>
      <c r="FZ57" s="138" t="e">
        <f>IF(VLOOKUP(CONCATENATE(H57,F57,FZ$2),GeoHis!$A:$H,7,FALSE)=CN57,1,0)</f>
        <v>#N/A</v>
      </c>
      <c r="GA57" s="138" t="e">
        <f>IF(VLOOKUP(CONCATENATE(H57,F57,GA$2),GeoHis!$A:$H,7,FALSE)=CO57,1,0)</f>
        <v>#N/A</v>
      </c>
      <c r="GB57" s="138" t="e">
        <f>IF(VLOOKUP(CONCATENATE(H57,F57,GB$2),GeoHis!$A:$H,7,FALSE)=CP57,1,0)</f>
        <v>#N/A</v>
      </c>
      <c r="GC57" s="138" t="e">
        <f>IF(VLOOKUP(CONCATENATE(H57,F57,GC$2),GeoHis!$A:$H,7,FALSE)=CQ57,1,0)</f>
        <v>#N/A</v>
      </c>
      <c r="GD57" s="138" t="e">
        <f>IF(VLOOKUP(CONCATENATE(H57,F57,GD$2),GeoHis!$A:$H,7,FALSE)=CR57,1,0)</f>
        <v>#N/A</v>
      </c>
      <c r="GE57" s="135" t="str">
        <f t="shared" si="6"/>
        <v/>
      </c>
    </row>
    <row r="58" spans="1:187" x14ac:dyDescent="0.25">
      <c r="A58" s="127" t="str">
        <f>IF(C58="","",'Datos Generales'!$A$25)</f>
        <v/>
      </c>
      <c r="D58" s="126" t="str">
        <f t="shared" si="0"/>
        <v/>
      </c>
      <c r="E58" s="126">
        <f t="shared" si="1"/>
        <v>0</v>
      </c>
      <c r="F58" s="126" t="str">
        <f t="shared" si="7"/>
        <v/>
      </c>
      <c r="G58" s="126" t="str">
        <f>IF(C58="","",'Datos Generales'!$D$19)</f>
        <v/>
      </c>
      <c r="H58" s="21" t="str">
        <f>IF(C58="","",'Datos Generales'!$A$19)</f>
        <v/>
      </c>
      <c r="I58" s="126" t="str">
        <f>IF(C58="","",'Datos Generales'!$A$7)</f>
        <v/>
      </c>
      <c r="J58" s="21" t="str">
        <f>IF(C58="","",'Datos Generales'!$A$13)</f>
        <v/>
      </c>
      <c r="K58" s="21" t="str">
        <f>IF(C58="","",'Datos Generales'!$A$10)</f>
        <v/>
      </c>
      <c r="CS58" s="142" t="str">
        <f t="shared" si="2"/>
        <v/>
      </c>
      <c r="CT58" s="142" t="str">
        <f t="shared" si="3"/>
        <v/>
      </c>
      <c r="CU58" s="142" t="str">
        <f t="shared" si="4"/>
        <v/>
      </c>
      <c r="CV58" s="142" t="str">
        <f t="shared" si="5"/>
        <v/>
      </c>
      <c r="CW58" s="142" t="str">
        <f>IF(C58="","",IF('Datos Generales'!$A$19=1,AVERAGE(FP58:GD58),AVERAGE(Captura!FP58:FY58)))</f>
        <v/>
      </c>
      <c r="CX58" s="138" t="e">
        <f>IF(VLOOKUP(CONCATENATE($H$4,$F$4,CX$2),Español!$A:$H,7,FALSE)=L58,1,0)</f>
        <v>#N/A</v>
      </c>
      <c r="CY58" s="138" t="e">
        <f>IF(VLOOKUP(CONCATENATE(H58,F58,CY$2),Español!$A:$H,7,FALSE)=M58,1,0)</f>
        <v>#N/A</v>
      </c>
      <c r="CZ58" s="138" t="e">
        <f>IF(VLOOKUP(CONCATENATE(H58,F58,CZ$2),Español!$A:$H,7,FALSE)=N58,1,0)</f>
        <v>#N/A</v>
      </c>
      <c r="DA58" s="138" t="e">
        <f>IF(VLOOKUP(CONCATENATE(H58,F58,DA$2),Español!$A:$H,7,FALSE)=O58,1,0)</f>
        <v>#N/A</v>
      </c>
      <c r="DB58" s="138" t="e">
        <f>IF(VLOOKUP(CONCATENATE(H58,F58,DB$2),Español!$A:$H,7,FALSE)=P58,1,0)</f>
        <v>#N/A</v>
      </c>
      <c r="DC58" s="138" t="e">
        <f>IF(VLOOKUP(CONCATENATE(H58,F58,DC$2),Español!$A:$H,7,FALSE)=Q58,1,0)</f>
        <v>#N/A</v>
      </c>
      <c r="DD58" s="138" t="e">
        <f>IF(VLOOKUP(CONCATENATE(H58,F58,DD$2),Español!$A:$H,7,FALSE)=R58,1,0)</f>
        <v>#N/A</v>
      </c>
      <c r="DE58" s="138" t="e">
        <f>IF(VLOOKUP(CONCATENATE(H58,F58,DE$2),Español!$A:$H,7,FALSE)=S58,1,0)</f>
        <v>#N/A</v>
      </c>
      <c r="DF58" s="138" t="e">
        <f>IF(VLOOKUP(CONCATENATE(H58,F58,DF$2),Español!$A:$H,7,FALSE)=T58,1,0)</f>
        <v>#N/A</v>
      </c>
      <c r="DG58" s="138" t="e">
        <f>IF(VLOOKUP(CONCATENATE(H58,F58,DG$2),Español!$A:$H,7,FALSE)=U58,1,0)</f>
        <v>#N/A</v>
      </c>
      <c r="DH58" s="138" t="e">
        <f>IF(VLOOKUP(CONCATENATE(H58,F58,DH$2),Español!$A:$H,7,FALSE)=V58,1,0)</f>
        <v>#N/A</v>
      </c>
      <c r="DI58" s="138" t="e">
        <f>IF(VLOOKUP(CONCATENATE(H58,F58,DI$2),Español!$A:$H,7,FALSE)=W58,1,0)</f>
        <v>#N/A</v>
      </c>
      <c r="DJ58" s="138" t="e">
        <f>IF(VLOOKUP(CONCATENATE(H58,F58,DJ$2),Español!$A:$H,7,FALSE)=X58,1,0)</f>
        <v>#N/A</v>
      </c>
      <c r="DK58" s="138" t="e">
        <f>IF(VLOOKUP(CONCATENATE(H58,F58,DK$2),Español!$A:$H,7,FALSE)=Y58,1,0)</f>
        <v>#N/A</v>
      </c>
      <c r="DL58" s="138" t="e">
        <f>IF(VLOOKUP(CONCATENATE(H58,F58,DL$2),Español!$A:$H,7,FALSE)=Z58,1,0)</f>
        <v>#N/A</v>
      </c>
      <c r="DM58" s="138" t="e">
        <f>IF(VLOOKUP(CONCATENATE(H58,F58,DM$2),Español!$A:$H,7,FALSE)=AA58,1,0)</f>
        <v>#N/A</v>
      </c>
      <c r="DN58" s="138" t="e">
        <f>IF(VLOOKUP(CONCATENATE(H58,F58,DN$2),Español!$A:$H,7,FALSE)=AB58,1,0)</f>
        <v>#N/A</v>
      </c>
      <c r="DO58" s="138" t="e">
        <f>IF(VLOOKUP(CONCATENATE(H58,F58,DO$2),Español!$A:$H,7,FALSE)=AC58,1,0)</f>
        <v>#N/A</v>
      </c>
      <c r="DP58" s="138" t="e">
        <f>IF(VLOOKUP(CONCATENATE(H58,F58,DP$2),Español!$A:$H,7,FALSE)=AD58,1,0)</f>
        <v>#N/A</v>
      </c>
      <c r="DQ58" s="138" t="e">
        <f>IF(VLOOKUP(CONCATENATE(H58,F58,DQ$2),Español!$A:$H,7,FALSE)=AE58,1,0)</f>
        <v>#N/A</v>
      </c>
      <c r="DR58" s="138" t="e">
        <f>IF(VLOOKUP(CONCATENATE(H58,F58,DR$2),Inglés!$A:$H,7,FALSE)=AF58,1,0)</f>
        <v>#N/A</v>
      </c>
      <c r="DS58" s="138" t="e">
        <f>IF(VLOOKUP(CONCATENATE(H58,F58,DS$2),Inglés!$A:$H,7,FALSE)=AG58,1,0)</f>
        <v>#N/A</v>
      </c>
      <c r="DT58" s="138" t="e">
        <f>IF(VLOOKUP(CONCATENATE(H58,F58,DT$2),Inglés!$A:$H,7,FALSE)=AH58,1,0)</f>
        <v>#N/A</v>
      </c>
      <c r="DU58" s="138" t="e">
        <f>IF(VLOOKUP(CONCATENATE(H58,F58,DU$2),Inglés!$A:$H,7,FALSE)=AI58,1,0)</f>
        <v>#N/A</v>
      </c>
      <c r="DV58" s="138" t="e">
        <f>IF(VLOOKUP(CONCATENATE(H58,F58,DV$2),Inglés!$A:$H,7,FALSE)=AJ58,1,0)</f>
        <v>#N/A</v>
      </c>
      <c r="DW58" s="138" t="e">
        <f>IF(VLOOKUP(CONCATENATE(H58,F58,DW$2),Inglés!$A:$H,7,FALSE)=AK58,1,0)</f>
        <v>#N/A</v>
      </c>
      <c r="DX58" s="138" t="e">
        <f>IF(VLOOKUP(CONCATENATE(H58,F58,DX$2),Inglés!$A:$H,7,FALSE)=AL58,1,0)</f>
        <v>#N/A</v>
      </c>
      <c r="DY58" s="138" t="e">
        <f>IF(VLOOKUP(CONCATENATE(H58,F58,DY$2),Inglés!$A:$H,7,FALSE)=AM58,1,0)</f>
        <v>#N/A</v>
      </c>
      <c r="DZ58" s="138" t="e">
        <f>IF(VLOOKUP(CONCATENATE(H58,F58,DZ$2),Inglés!$A:$H,7,FALSE)=AN58,1,0)</f>
        <v>#N/A</v>
      </c>
      <c r="EA58" s="138" t="e">
        <f>IF(VLOOKUP(CONCATENATE(H58,F58,EA$2),Inglés!$A:$H,7,FALSE)=AO58,1,0)</f>
        <v>#N/A</v>
      </c>
      <c r="EB58" s="138" t="e">
        <f>IF(VLOOKUP(CONCATENATE(H58,F58,EB$2),Matemáticas!$A:$H,7,FALSE)=AP58,1,0)</f>
        <v>#N/A</v>
      </c>
      <c r="EC58" s="138" t="e">
        <f>IF(VLOOKUP(CONCATENATE(H58,F58,EC$2),Matemáticas!$A:$H,7,FALSE)=AQ58,1,0)</f>
        <v>#N/A</v>
      </c>
      <c r="ED58" s="138" t="e">
        <f>IF(VLOOKUP(CONCATENATE(H58,F58,ED$2),Matemáticas!$A:$H,7,FALSE)=AR58,1,0)</f>
        <v>#N/A</v>
      </c>
      <c r="EE58" s="138" t="e">
        <f>IF(VLOOKUP(CONCATENATE(H58,F58,EE$2),Matemáticas!$A:$H,7,FALSE)=AS58,1,0)</f>
        <v>#N/A</v>
      </c>
      <c r="EF58" s="138" t="e">
        <f>IF(VLOOKUP(CONCATENATE(H58,F58,EF$2),Matemáticas!$A:$H,7,FALSE)=AT58,1,0)</f>
        <v>#N/A</v>
      </c>
      <c r="EG58" s="138" t="e">
        <f>IF(VLOOKUP(CONCATENATE(H58,F58,EG$2),Matemáticas!$A:$H,7,FALSE)=AU58,1,0)</f>
        <v>#N/A</v>
      </c>
      <c r="EH58" s="138" t="e">
        <f>IF(VLOOKUP(CONCATENATE(H58,F58,EH$2),Matemáticas!$A:$H,7,FALSE)=AV58,1,0)</f>
        <v>#N/A</v>
      </c>
      <c r="EI58" s="138" t="e">
        <f>IF(VLOOKUP(CONCATENATE(H58,F58,EI$2),Matemáticas!$A:$H,7,FALSE)=AW58,1,0)</f>
        <v>#N/A</v>
      </c>
      <c r="EJ58" s="138" t="e">
        <f>IF(VLOOKUP(CONCATENATE(H58,F58,EJ$2),Matemáticas!$A:$H,7,FALSE)=AX58,1,0)</f>
        <v>#N/A</v>
      </c>
      <c r="EK58" s="138" t="e">
        <f>IF(VLOOKUP(CONCATENATE(H58,F58,EK$2),Matemáticas!$A:$H,7,FALSE)=AY58,1,0)</f>
        <v>#N/A</v>
      </c>
      <c r="EL58" s="138" t="e">
        <f>IF(VLOOKUP(CONCATENATE(H58,F58,EL$2),Matemáticas!$A:$H,7,FALSE)=AZ58,1,0)</f>
        <v>#N/A</v>
      </c>
      <c r="EM58" s="138" t="e">
        <f>IF(VLOOKUP(CONCATENATE(H58,F58,EM$2),Matemáticas!$A:$H,7,FALSE)=BA58,1,0)</f>
        <v>#N/A</v>
      </c>
      <c r="EN58" s="138" t="e">
        <f>IF(VLOOKUP(CONCATENATE(H58,F58,EN$2),Matemáticas!$A:$H,7,FALSE)=BB58,1,0)</f>
        <v>#N/A</v>
      </c>
      <c r="EO58" s="138" t="e">
        <f>IF(VLOOKUP(CONCATENATE(H58,F58,EO$2),Matemáticas!$A:$H,7,FALSE)=BC58,1,0)</f>
        <v>#N/A</v>
      </c>
      <c r="EP58" s="138" t="e">
        <f>IF(VLOOKUP(CONCATENATE(H58,F58,EP$2),Matemáticas!$A:$H,7,FALSE)=BD58,1,0)</f>
        <v>#N/A</v>
      </c>
      <c r="EQ58" s="138" t="e">
        <f>IF(VLOOKUP(CONCATENATE(H58,F58,EQ$2),Matemáticas!$A:$H,7,FALSE)=BE58,1,0)</f>
        <v>#N/A</v>
      </c>
      <c r="ER58" s="138" t="e">
        <f>IF(VLOOKUP(CONCATENATE(H58,F58,ER$2),Matemáticas!$A:$H,7,FALSE)=BF58,1,0)</f>
        <v>#N/A</v>
      </c>
      <c r="ES58" s="138" t="e">
        <f>IF(VLOOKUP(CONCATENATE(H58,F58,ES$2),Matemáticas!$A:$H,7,FALSE)=BG58,1,0)</f>
        <v>#N/A</v>
      </c>
      <c r="ET58" s="138" t="e">
        <f>IF(VLOOKUP(CONCATENATE(H58,F58,ET$2),Matemáticas!$A:$H,7,FALSE)=BH58,1,0)</f>
        <v>#N/A</v>
      </c>
      <c r="EU58" s="138" t="e">
        <f>IF(VLOOKUP(CONCATENATE(H58,F58,EU$2),Matemáticas!$A:$H,7,FALSE)=BI58,1,0)</f>
        <v>#N/A</v>
      </c>
      <c r="EV58" s="138" t="e">
        <f>IF(VLOOKUP(CONCATENATE(H58,F58,EV$2),Ciencias!$A:$H,7,FALSE)=BJ58,1,0)</f>
        <v>#N/A</v>
      </c>
      <c r="EW58" s="138" t="e">
        <f>IF(VLOOKUP(CONCATENATE(H58,F58,EW$2),Ciencias!$A:$H,7,FALSE)=BK58,1,0)</f>
        <v>#N/A</v>
      </c>
      <c r="EX58" s="138" t="e">
        <f>IF(VLOOKUP(CONCATENATE(H58,F58,EX$2),Ciencias!$A:$H,7,FALSE)=BL58,1,0)</f>
        <v>#N/A</v>
      </c>
      <c r="EY58" s="138" t="e">
        <f>IF(VLOOKUP(CONCATENATE(H58,F58,EY$2),Ciencias!$A:$H,7,FALSE)=BM58,1,0)</f>
        <v>#N/A</v>
      </c>
      <c r="EZ58" s="138" t="e">
        <f>IF(VLOOKUP(CONCATENATE(H58,F58,EZ$2),Ciencias!$A:$H,7,FALSE)=BN58,1,0)</f>
        <v>#N/A</v>
      </c>
      <c r="FA58" s="138" t="e">
        <f>IF(VLOOKUP(CONCATENATE(H58,F58,FA$2),Ciencias!$A:$H,7,FALSE)=BO58,1,0)</f>
        <v>#N/A</v>
      </c>
      <c r="FB58" s="138" t="e">
        <f>IF(VLOOKUP(CONCATENATE(H58,F58,FB$2),Ciencias!$A:$H,7,FALSE)=BP58,1,0)</f>
        <v>#N/A</v>
      </c>
      <c r="FC58" s="138" t="e">
        <f>IF(VLOOKUP(CONCATENATE(H58,F58,FC$2),Ciencias!$A:$H,7,FALSE)=BQ58,1,0)</f>
        <v>#N/A</v>
      </c>
      <c r="FD58" s="138" t="e">
        <f>IF(VLOOKUP(CONCATENATE(H58,F58,FD$2),Ciencias!$A:$H,7,FALSE)=BR58,1,0)</f>
        <v>#N/A</v>
      </c>
      <c r="FE58" s="138" t="e">
        <f>IF(VLOOKUP(CONCATENATE(H58,F58,FE$2),Ciencias!$A:$H,7,FALSE)=BS58,1,0)</f>
        <v>#N/A</v>
      </c>
      <c r="FF58" s="138" t="e">
        <f>IF(VLOOKUP(CONCATENATE(H58,F58,FF$2),Ciencias!$A:$H,7,FALSE)=BT58,1,0)</f>
        <v>#N/A</v>
      </c>
      <c r="FG58" s="138" t="e">
        <f>IF(VLOOKUP(CONCATENATE(H58,F58,FG$2),Ciencias!$A:$H,7,FALSE)=BU58,1,0)</f>
        <v>#N/A</v>
      </c>
      <c r="FH58" s="138" t="e">
        <f>IF(VLOOKUP(CONCATENATE(H58,F58,FH$2),Ciencias!$A:$H,7,FALSE)=BV58,1,0)</f>
        <v>#N/A</v>
      </c>
      <c r="FI58" s="138" t="e">
        <f>IF(VLOOKUP(CONCATENATE(H58,F58,FI$2),Ciencias!$A:$H,7,FALSE)=BW58,1,0)</f>
        <v>#N/A</v>
      </c>
      <c r="FJ58" s="138" t="e">
        <f>IF(VLOOKUP(CONCATENATE(H58,F58,FJ$2),Ciencias!$A:$H,7,FALSE)=BX58,1,0)</f>
        <v>#N/A</v>
      </c>
      <c r="FK58" s="138" t="e">
        <f>IF(VLOOKUP(CONCATENATE(H58,F58,FK$2),Ciencias!$A:$H,7,FALSE)=BY58,1,0)</f>
        <v>#N/A</v>
      </c>
      <c r="FL58" s="138" t="e">
        <f>IF(VLOOKUP(CONCATENATE(H58,F58,FL$2),Ciencias!$A:$H,7,FALSE)=BZ58,1,0)</f>
        <v>#N/A</v>
      </c>
      <c r="FM58" s="138" t="e">
        <f>IF(VLOOKUP(CONCATENATE(H58,F58,FM$2),Ciencias!$A:$H,7,FALSE)=CA58,1,0)</f>
        <v>#N/A</v>
      </c>
      <c r="FN58" s="138" t="e">
        <f>IF(VLOOKUP(CONCATENATE(H58,F58,FN$2),Ciencias!$A:$H,7,FALSE)=CB58,1,0)</f>
        <v>#N/A</v>
      </c>
      <c r="FO58" s="138" t="e">
        <f>IF(VLOOKUP(CONCATENATE(H58,F58,FO$2),Ciencias!$A:$H,7,FALSE)=CC58,1,0)</f>
        <v>#N/A</v>
      </c>
      <c r="FP58" s="138" t="e">
        <f>IF(VLOOKUP(CONCATENATE(H58,F58,FP$2),GeoHis!$A:$H,7,FALSE)=CD58,1,0)</f>
        <v>#N/A</v>
      </c>
      <c r="FQ58" s="138" t="e">
        <f>IF(VLOOKUP(CONCATENATE(H58,F58,FQ$2),GeoHis!$A:$H,7,FALSE)=CE58,1,0)</f>
        <v>#N/A</v>
      </c>
      <c r="FR58" s="138" t="e">
        <f>IF(VLOOKUP(CONCATENATE(H58,F58,FR$2),GeoHis!$A:$H,7,FALSE)=CF58,1,0)</f>
        <v>#N/A</v>
      </c>
      <c r="FS58" s="138" t="e">
        <f>IF(VLOOKUP(CONCATENATE(H58,F58,FS$2),GeoHis!$A:$H,7,FALSE)=CG58,1,0)</f>
        <v>#N/A</v>
      </c>
      <c r="FT58" s="138" t="e">
        <f>IF(VLOOKUP(CONCATENATE(H58,F58,FT$2),GeoHis!$A:$H,7,FALSE)=CH58,1,0)</f>
        <v>#N/A</v>
      </c>
      <c r="FU58" s="138" t="e">
        <f>IF(VLOOKUP(CONCATENATE(H58,F58,FU$2),GeoHis!$A:$H,7,FALSE)=CI58,1,0)</f>
        <v>#N/A</v>
      </c>
      <c r="FV58" s="138" t="e">
        <f>IF(VLOOKUP(CONCATENATE(H58,F58,FV$2),GeoHis!$A:$H,7,FALSE)=CJ58,1,0)</f>
        <v>#N/A</v>
      </c>
      <c r="FW58" s="138" t="e">
        <f>IF(VLOOKUP(CONCATENATE(H58,F58,FW$2),GeoHis!$A:$H,7,FALSE)=CK58,1,0)</f>
        <v>#N/A</v>
      </c>
      <c r="FX58" s="138" t="e">
        <f>IF(VLOOKUP(CONCATENATE(H58,F58,FX$2),GeoHis!$A:$H,7,FALSE)=CL58,1,0)</f>
        <v>#N/A</v>
      </c>
      <c r="FY58" s="138" t="e">
        <f>IF(VLOOKUP(CONCATENATE(H58,F58,FY$2),GeoHis!$A:$H,7,FALSE)=CM58,1,0)</f>
        <v>#N/A</v>
      </c>
      <c r="FZ58" s="138" t="e">
        <f>IF(VLOOKUP(CONCATENATE(H58,F58,FZ$2),GeoHis!$A:$H,7,FALSE)=CN58,1,0)</f>
        <v>#N/A</v>
      </c>
      <c r="GA58" s="138" t="e">
        <f>IF(VLOOKUP(CONCATENATE(H58,F58,GA$2),GeoHis!$A:$H,7,FALSE)=CO58,1,0)</f>
        <v>#N/A</v>
      </c>
      <c r="GB58" s="138" t="e">
        <f>IF(VLOOKUP(CONCATENATE(H58,F58,GB$2),GeoHis!$A:$H,7,FALSE)=CP58,1,0)</f>
        <v>#N/A</v>
      </c>
      <c r="GC58" s="138" t="e">
        <f>IF(VLOOKUP(CONCATENATE(H58,F58,GC$2),GeoHis!$A:$H,7,FALSE)=CQ58,1,0)</f>
        <v>#N/A</v>
      </c>
      <c r="GD58" s="138" t="e">
        <f>IF(VLOOKUP(CONCATENATE(H58,F58,GD$2),GeoHis!$A:$H,7,FALSE)=CR58,1,0)</f>
        <v>#N/A</v>
      </c>
      <c r="GE58" s="135" t="str">
        <f t="shared" si="6"/>
        <v/>
      </c>
    </row>
    <row r="59" spans="1:187" x14ac:dyDescent="0.25">
      <c r="A59" s="127" t="str">
        <f>IF(C59="","",'Datos Generales'!$A$25)</f>
        <v/>
      </c>
      <c r="D59" s="126" t="str">
        <f t="shared" si="0"/>
        <v/>
      </c>
      <c r="E59" s="126">
        <f t="shared" si="1"/>
        <v>0</v>
      </c>
      <c r="F59" s="126" t="str">
        <f t="shared" si="7"/>
        <v/>
      </c>
      <c r="G59" s="126" t="str">
        <f>IF(C59="","",'Datos Generales'!$D$19)</f>
        <v/>
      </c>
      <c r="H59" s="21" t="str">
        <f>IF(C59="","",'Datos Generales'!$A$19)</f>
        <v/>
      </c>
      <c r="I59" s="126" t="str">
        <f>IF(C59="","",'Datos Generales'!$A$7)</f>
        <v/>
      </c>
      <c r="J59" s="21" t="str">
        <f>IF(C59="","",'Datos Generales'!$A$13)</f>
        <v/>
      </c>
      <c r="K59" s="21" t="str">
        <f>IF(C59="","",'Datos Generales'!$A$10)</f>
        <v/>
      </c>
      <c r="CS59" s="142" t="str">
        <f t="shared" si="2"/>
        <v/>
      </c>
      <c r="CT59" s="142" t="str">
        <f t="shared" si="3"/>
        <v/>
      </c>
      <c r="CU59" s="142" t="str">
        <f t="shared" si="4"/>
        <v/>
      </c>
      <c r="CV59" s="142" t="str">
        <f t="shared" si="5"/>
        <v/>
      </c>
      <c r="CW59" s="142" t="str">
        <f>IF(C59="","",IF('Datos Generales'!$A$19=1,AVERAGE(FP59:GD59),AVERAGE(Captura!FP59:FY59)))</f>
        <v/>
      </c>
      <c r="CX59" s="138" t="e">
        <f>IF(VLOOKUP(CONCATENATE($H$4,$F$4,CX$2),Español!$A:$H,7,FALSE)=L59,1,0)</f>
        <v>#N/A</v>
      </c>
      <c r="CY59" s="138" t="e">
        <f>IF(VLOOKUP(CONCATENATE(H59,F59,CY$2),Español!$A:$H,7,FALSE)=M59,1,0)</f>
        <v>#N/A</v>
      </c>
      <c r="CZ59" s="138" t="e">
        <f>IF(VLOOKUP(CONCATENATE(H59,F59,CZ$2),Español!$A:$H,7,FALSE)=N59,1,0)</f>
        <v>#N/A</v>
      </c>
      <c r="DA59" s="138" t="e">
        <f>IF(VLOOKUP(CONCATENATE(H59,F59,DA$2),Español!$A:$H,7,FALSE)=O59,1,0)</f>
        <v>#N/A</v>
      </c>
      <c r="DB59" s="138" t="e">
        <f>IF(VLOOKUP(CONCATENATE(H59,F59,DB$2),Español!$A:$H,7,FALSE)=P59,1,0)</f>
        <v>#N/A</v>
      </c>
      <c r="DC59" s="138" t="e">
        <f>IF(VLOOKUP(CONCATENATE(H59,F59,DC$2),Español!$A:$H,7,FALSE)=Q59,1,0)</f>
        <v>#N/A</v>
      </c>
      <c r="DD59" s="138" t="e">
        <f>IF(VLOOKUP(CONCATENATE(H59,F59,DD$2),Español!$A:$H,7,FALSE)=R59,1,0)</f>
        <v>#N/A</v>
      </c>
      <c r="DE59" s="138" t="e">
        <f>IF(VLOOKUP(CONCATENATE(H59,F59,DE$2),Español!$A:$H,7,FALSE)=S59,1,0)</f>
        <v>#N/A</v>
      </c>
      <c r="DF59" s="138" t="e">
        <f>IF(VLOOKUP(CONCATENATE(H59,F59,DF$2),Español!$A:$H,7,FALSE)=T59,1,0)</f>
        <v>#N/A</v>
      </c>
      <c r="DG59" s="138" t="e">
        <f>IF(VLOOKUP(CONCATENATE(H59,F59,DG$2),Español!$A:$H,7,FALSE)=U59,1,0)</f>
        <v>#N/A</v>
      </c>
      <c r="DH59" s="138" t="e">
        <f>IF(VLOOKUP(CONCATENATE(H59,F59,DH$2),Español!$A:$H,7,FALSE)=V59,1,0)</f>
        <v>#N/A</v>
      </c>
      <c r="DI59" s="138" t="e">
        <f>IF(VLOOKUP(CONCATENATE(H59,F59,DI$2),Español!$A:$H,7,FALSE)=W59,1,0)</f>
        <v>#N/A</v>
      </c>
      <c r="DJ59" s="138" t="e">
        <f>IF(VLOOKUP(CONCATENATE(H59,F59,DJ$2),Español!$A:$H,7,FALSE)=X59,1,0)</f>
        <v>#N/A</v>
      </c>
      <c r="DK59" s="138" t="e">
        <f>IF(VLOOKUP(CONCATENATE(H59,F59,DK$2),Español!$A:$H,7,FALSE)=Y59,1,0)</f>
        <v>#N/A</v>
      </c>
      <c r="DL59" s="138" t="e">
        <f>IF(VLOOKUP(CONCATENATE(H59,F59,DL$2),Español!$A:$H,7,FALSE)=Z59,1,0)</f>
        <v>#N/A</v>
      </c>
      <c r="DM59" s="138" t="e">
        <f>IF(VLOOKUP(CONCATENATE(H59,F59,DM$2),Español!$A:$H,7,FALSE)=AA59,1,0)</f>
        <v>#N/A</v>
      </c>
      <c r="DN59" s="138" t="e">
        <f>IF(VLOOKUP(CONCATENATE(H59,F59,DN$2),Español!$A:$H,7,FALSE)=AB59,1,0)</f>
        <v>#N/A</v>
      </c>
      <c r="DO59" s="138" t="e">
        <f>IF(VLOOKUP(CONCATENATE(H59,F59,DO$2),Español!$A:$H,7,FALSE)=AC59,1,0)</f>
        <v>#N/A</v>
      </c>
      <c r="DP59" s="138" t="e">
        <f>IF(VLOOKUP(CONCATENATE(H59,F59,DP$2),Español!$A:$H,7,FALSE)=AD59,1,0)</f>
        <v>#N/A</v>
      </c>
      <c r="DQ59" s="138" t="e">
        <f>IF(VLOOKUP(CONCATENATE(H59,F59,DQ$2),Español!$A:$H,7,FALSE)=AE59,1,0)</f>
        <v>#N/A</v>
      </c>
      <c r="DR59" s="138" t="e">
        <f>IF(VLOOKUP(CONCATENATE(H59,F59,DR$2),Inglés!$A:$H,7,FALSE)=AF59,1,0)</f>
        <v>#N/A</v>
      </c>
      <c r="DS59" s="138" t="e">
        <f>IF(VLOOKUP(CONCATENATE(H59,F59,DS$2),Inglés!$A:$H,7,FALSE)=AG59,1,0)</f>
        <v>#N/A</v>
      </c>
      <c r="DT59" s="138" t="e">
        <f>IF(VLOOKUP(CONCATENATE(H59,F59,DT$2),Inglés!$A:$H,7,FALSE)=AH59,1,0)</f>
        <v>#N/A</v>
      </c>
      <c r="DU59" s="138" t="e">
        <f>IF(VLOOKUP(CONCATENATE(H59,F59,DU$2),Inglés!$A:$H,7,FALSE)=AI59,1,0)</f>
        <v>#N/A</v>
      </c>
      <c r="DV59" s="138" t="e">
        <f>IF(VLOOKUP(CONCATENATE(H59,F59,DV$2),Inglés!$A:$H,7,FALSE)=AJ59,1,0)</f>
        <v>#N/A</v>
      </c>
      <c r="DW59" s="138" t="e">
        <f>IF(VLOOKUP(CONCATENATE(H59,F59,DW$2),Inglés!$A:$H,7,FALSE)=AK59,1,0)</f>
        <v>#N/A</v>
      </c>
      <c r="DX59" s="138" t="e">
        <f>IF(VLOOKUP(CONCATENATE(H59,F59,DX$2),Inglés!$A:$H,7,FALSE)=AL59,1,0)</f>
        <v>#N/A</v>
      </c>
      <c r="DY59" s="138" t="e">
        <f>IF(VLOOKUP(CONCATENATE(H59,F59,DY$2),Inglés!$A:$H,7,FALSE)=AM59,1,0)</f>
        <v>#N/A</v>
      </c>
      <c r="DZ59" s="138" t="e">
        <f>IF(VLOOKUP(CONCATENATE(H59,F59,DZ$2),Inglés!$A:$H,7,FALSE)=AN59,1,0)</f>
        <v>#N/A</v>
      </c>
      <c r="EA59" s="138" t="e">
        <f>IF(VLOOKUP(CONCATENATE(H59,F59,EA$2),Inglés!$A:$H,7,FALSE)=AO59,1,0)</f>
        <v>#N/A</v>
      </c>
      <c r="EB59" s="138" t="e">
        <f>IF(VLOOKUP(CONCATENATE(H59,F59,EB$2),Matemáticas!$A:$H,7,FALSE)=AP59,1,0)</f>
        <v>#N/A</v>
      </c>
      <c r="EC59" s="138" t="e">
        <f>IF(VLOOKUP(CONCATENATE(H59,F59,EC$2),Matemáticas!$A:$H,7,FALSE)=AQ59,1,0)</f>
        <v>#N/A</v>
      </c>
      <c r="ED59" s="138" t="e">
        <f>IF(VLOOKUP(CONCATENATE(H59,F59,ED$2),Matemáticas!$A:$H,7,FALSE)=AR59,1,0)</f>
        <v>#N/A</v>
      </c>
      <c r="EE59" s="138" t="e">
        <f>IF(VLOOKUP(CONCATENATE(H59,F59,EE$2),Matemáticas!$A:$H,7,FALSE)=AS59,1,0)</f>
        <v>#N/A</v>
      </c>
      <c r="EF59" s="138" t="e">
        <f>IF(VLOOKUP(CONCATENATE(H59,F59,EF$2),Matemáticas!$A:$H,7,FALSE)=AT59,1,0)</f>
        <v>#N/A</v>
      </c>
      <c r="EG59" s="138" t="e">
        <f>IF(VLOOKUP(CONCATENATE(H59,F59,EG$2),Matemáticas!$A:$H,7,FALSE)=AU59,1,0)</f>
        <v>#N/A</v>
      </c>
      <c r="EH59" s="138" t="e">
        <f>IF(VLOOKUP(CONCATENATE(H59,F59,EH$2),Matemáticas!$A:$H,7,FALSE)=AV59,1,0)</f>
        <v>#N/A</v>
      </c>
      <c r="EI59" s="138" t="e">
        <f>IF(VLOOKUP(CONCATENATE(H59,F59,EI$2),Matemáticas!$A:$H,7,FALSE)=AW59,1,0)</f>
        <v>#N/A</v>
      </c>
      <c r="EJ59" s="138" t="e">
        <f>IF(VLOOKUP(CONCATENATE(H59,F59,EJ$2),Matemáticas!$A:$H,7,FALSE)=AX59,1,0)</f>
        <v>#N/A</v>
      </c>
      <c r="EK59" s="138" t="e">
        <f>IF(VLOOKUP(CONCATENATE(H59,F59,EK$2),Matemáticas!$A:$H,7,FALSE)=AY59,1,0)</f>
        <v>#N/A</v>
      </c>
      <c r="EL59" s="138" t="e">
        <f>IF(VLOOKUP(CONCATENATE(H59,F59,EL$2),Matemáticas!$A:$H,7,FALSE)=AZ59,1,0)</f>
        <v>#N/A</v>
      </c>
      <c r="EM59" s="138" t="e">
        <f>IF(VLOOKUP(CONCATENATE(H59,F59,EM$2),Matemáticas!$A:$H,7,FALSE)=BA59,1,0)</f>
        <v>#N/A</v>
      </c>
      <c r="EN59" s="138" t="e">
        <f>IF(VLOOKUP(CONCATENATE(H59,F59,EN$2),Matemáticas!$A:$H,7,FALSE)=BB59,1,0)</f>
        <v>#N/A</v>
      </c>
      <c r="EO59" s="138" t="e">
        <f>IF(VLOOKUP(CONCATENATE(H59,F59,EO$2),Matemáticas!$A:$H,7,FALSE)=BC59,1,0)</f>
        <v>#N/A</v>
      </c>
      <c r="EP59" s="138" t="e">
        <f>IF(VLOOKUP(CONCATENATE(H59,F59,EP$2),Matemáticas!$A:$H,7,FALSE)=BD59,1,0)</f>
        <v>#N/A</v>
      </c>
      <c r="EQ59" s="138" t="e">
        <f>IF(VLOOKUP(CONCATENATE(H59,F59,EQ$2),Matemáticas!$A:$H,7,FALSE)=BE59,1,0)</f>
        <v>#N/A</v>
      </c>
      <c r="ER59" s="138" t="e">
        <f>IF(VLOOKUP(CONCATENATE(H59,F59,ER$2),Matemáticas!$A:$H,7,FALSE)=BF59,1,0)</f>
        <v>#N/A</v>
      </c>
      <c r="ES59" s="138" t="e">
        <f>IF(VLOOKUP(CONCATENATE(H59,F59,ES$2),Matemáticas!$A:$H,7,FALSE)=BG59,1,0)</f>
        <v>#N/A</v>
      </c>
      <c r="ET59" s="138" t="e">
        <f>IF(VLOOKUP(CONCATENATE(H59,F59,ET$2),Matemáticas!$A:$H,7,FALSE)=BH59,1,0)</f>
        <v>#N/A</v>
      </c>
      <c r="EU59" s="138" t="e">
        <f>IF(VLOOKUP(CONCATENATE(H59,F59,EU$2),Matemáticas!$A:$H,7,FALSE)=BI59,1,0)</f>
        <v>#N/A</v>
      </c>
      <c r="EV59" s="138" t="e">
        <f>IF(VLOOKUP(CONCATENATE(H59,F59,EV$2),Ciencias!$A:$H,7,FALSE)=BJ59,1,0)</f>
        <v>#N/A</v>
      </c>
      <c r="EW59" s="138" t="e">
        <f>IF(VLOOKUP(CONCATENATE(H59,F59,EW$2),Ciencias!$A:$H,7,FALSE)=BK59,1,0)</f>
        <v>#N/A</v>
      </c>
      <c r="EX59" s="138" t="e">
        <f>IF(VLOOKUP(CONCATENATE(H59,F59,EX$2),Ciencias!$A:$H,7,FALSE)=BL59,1,0)</f>
        <v>#N/A</v>
      </c>
      <c r="EY59" s="138" t="e">
        <f>IF(VLOOKUP(CONCATENATE(H59,F59,EY$2),Ciencias!$A:$H,7,FALSE)=BM59,1,0)</f>
        <v>#N/A</v>
      </c>
      <c r="EZ59" s="138" t="e">
        <f>IF(VLOOKUP(CONCATENATE(H59,F59,EZ$2),Ciencias!$A:$H,7,FALSE)=BN59,1,0)</f>
        <v>#N/A</v>
      </c>
      <c r="FA59" s="138" t="e">
        <f>IF(VLOOKUP(CONCATENATE(H59,F59,FA$2),Ciencias!$A:$H,7,FALSE)=BO59,1,0)</f>
        <v>#N/A</v>
      </c>
      <c r="FB59" s="138" t="e">
        <f>IF(VLOOKUP(CONCATENATE(H59,F59,FB$2),Ciencias!$A:$H,7,FALSE)=BP59,1,0)</f>
        <v>#N/A</v>
      </c>
      <c r="FC59" s="138" t="e">
        <f>IF(VLOOKUP(CONCATENATE(H59,F59,FC$2),Ciencias!$A:$H,7,FALSE)=BQ59,1,0)</f>
        <v>#N/A</v>
      </c>
      <c r="FD59" s="138" t="e">
        <f>IF(VLOOKUP(CONCATENATE(H59,F59,FD$2),Ciencias!$A:$H,7,FALSE)=BR59,1,0)</f>
        <v>#N/A</v>
      </c>
      <c r="FE59" s="138" t="e">
        <f>IF(VLOOKUP(CONCATENATE(H59,F59,FE$2),Ciencias!$A:$H,7,FALSE)=BS59,1,0)</f>
        <v>#N/A</v>
      </c>
      <c r="FF59" s="138" t="e">
        <f>IF(VLOOKUP(CONCATENATE(H59,F59,FF$2),Ciencias!$A:$H,7,FALSE)=BT59,1,0)</f>
        <v>#N/A</v>
      </c>
      <c r="FG59" s="138" t="e">
        <f>IF(VLOOKUP(CONCATENATE(H59,F59,FG$2),Ciencias!$A:$H,7,FALSE)=BU59,1,0)</f>
        <v>#N/A</v>
      </c>
      <c r="FH59" s="138" t="e">
        <f>IF(VLOOKUP(CONCATENATE(H59,F59,FH$2),Ciencias!$A:$H,7,FALSE)=BV59,1,0)</f>
        <v>#N/A</v>
      </c>
      <c r="FI59" s="138" t="e">
        <f>IF(VLOOKUP(CONCATENATE(H59,F59,FI$2),Ciencias!$A:$H,7,FALSE)=BW59,1,0)</f>
        <v>#N/A</v>
      </c>
      <c r="FJ59" s="138" t="e">
        <f>IF(VLOOKUP(CONCATENATE(H59,F59,FJ$2),Ciencias!$A:$H,7,FALSE)=BX59,1,0)</f>
        <v>#N/A</v>
      </c>
      <c r="FK59" s="138" t="e">
        <f>IF(VLOOKUP(CONCATENATE(H59,F59,FK$2),Ciencias!$A:$H,7,FALSE)=BY59,1,0)</f>
        <v>#N/A</v>
      </c>
      <c r="FL59" s="138" t="e">
        <f>IF(VLOOKUP(CONCATENATE(H59,F59,FL$2),Ciencias!$A:$H,7,FALSE)=BZ59,1,0)</f>
        <v>#N/A</v>
      </c>
      <c r="FM59" s="138" t="e">
        <f>IF(VLOOKUP(CONCATENATE(H59,F59,FM$2),Ciencias!$A:$H,7,FALSE)=CA59,1,0)</f>
        <v>#N/A</v>
      </c>
      <c r="FN59" s="138" t="e">
        <f>IF(VLOOKUP(CONCATENATE(H59,F59,FN$2),Ciencias!$A:$H,7,FALSE)=CB59,1,0)</f>
        <v>#N/A</v>
      </c>
      <c r="FO59" s="138" t="e">
        <f>IF(VLOOKUP(CONCATENATE(H59,F59,FO$2),Ciencias!$A:$H,7,FALSE)=CC59,1,0)</f>
        <v>#N/A</v>
      </c>
      <c r="FP59" s="138" t="e">
        <f>IF(VLOOKUP(CONCATENATE(H59,F59,FP$2),GeoHis!$A:$H,7,FALSE)=CD59,1,0)</f>
        <v>#N/A</v>
      </c>
      <c r="FQ59" s="138" t="e">
        <f>IF(VLOOKUP(CONCATENATE(H59,F59,FQ$2),GeoHis!$A:$H,7,FALSE)=CE59,1,0)</f>
        <v>#N/A</v>
      </c>
      <c r="FR59" s="138" t="e">
        <f>IF(VLOOKUP(CONCATENATE(H59,F59,FR$2),GeoHis!$A:$H,7,FALSE)=CF59,1,0)</f>
        <v>#N/A</v>
      </c>
      <c r="FS59" s="138" t="e">
        <f>IF(VLOOKUP(CONCATENATE(H59,F59,FS$2),GeoHis!$A:$H,7,FALSE)=CG59,1,0)</f>
        <v>#N/A</v>
      </c>
      <c r="FT59" s="138" t="e">
        <f>IF(VLOOKUP(CONCATENATE(H59,F59,FT$2),GeoHis!$A:$H,7,FALSE)=CH59,1,0)</f>
        <v>#N/A</v>
      </c>
      <c r="FU59" s="138" t="e">
        <f>IF(VLOOKUP(CONCATENATE(H59,F59,FU$2),GeoHis!$A:$H,7,FALSE)=CI59,1,0)</f>
        <v>#N/A</v>
      </c>
      <c r="FV59" s="138" t="e">
        <f>IF(VLOOKUP(CONCATENATE(H59,F59,FV$2),GeoHis!$A:$H,7,FALSE)=CJ59,1,0)</f>
        <v>#N/A</v>
      </c>
      <c r="FW59" s="138" t="e">
        <f>IF(VLOOKUP(CONCATENATE(H59,F59,FW$2),GeoHis!$A:$H,7,FALSE)=CK59,1,0)</f>
        <v>#N/A</v>
      </c>
      <c r="FX59" s="138" t="e">
        <f>IF(VLOOKUP(CONCATENATE(H59,F59,FX$2),GeoHis!$A:$H,7,FALSE)=CL59,1,0)</f>
        <v>#N/A</v>
      </c>
      <c r="FY59" s="138" t="e">
        <f>IF(VLOOKUP(CONCATENATE(H59,F59,FY$2),GeoHis!$A:$H,7,FALSE)=CM59,1,0)</f>
        <v>#N/A</v>
      </c>
      <c r="FZ59" s="138" t="e">
        <f>IF(VLOOKUP(CONCATENATE(H59,F59,FZ$2),GeoHis!$A:$H,7,FALSE)=CN59,1,0)</f>
        <v>#N/A</v>
      </c>
      <c r="GA59" s="138" t="e">
        <f>IF(VLOOKUP(CONCATENATE(H59,F59,GA$2),GeoHis!$A:$H,7,FALSE)=CO59,1,0)</f>
        <v>#N/A</v>
      </c>
      <c r="GB59" s="138" t="e">
        <f>IF(VLOOKUP(CONCATENATE(H59,F59,GB$2),GeoHis!$A:$H,7,FALSE)=CP59,1,0)</f>
        <v>#N/A</v>
      </c>
      <c r="GC59" s="138" t="e">
        <f>IF(VLOOKUP(CONCATENATE(H59,F59,GC$2),GeoHis!$A:$H,7,FALSE)=CQ59,1,0)</f>
        <v>#N/A</v>
      </c>
      <c r="GD59" s="138" t="e">
        <f>IF(VLOOKUP(CONCATENATE(H59,F59,GD$2),GeoHis!$A:$H,7,FALSE)=CR59,1,0)</f>
        <v>#N/A</v>
      </c>
      <c r="GE59" s="135" t="str">
        <f t="shared" si="6"/>
        <v/>
      </c>
    </row>
    <row r="60" spans="1:187" x14ac:dyDescent="0.25">
      <c r="A60" s="127" t="str">
        <f>IF(C60="","",'Datos Generales'!$A$25)</f>
        <v/>
      </c>
      <c r="D60" s="126" t="str">
        <f t="shared" si="0"/>
        <v/>
      </c>
      <c r="E60" s="126">
        <f t="shared" si="1"/>
        <v>0</v>
      </c>
      <c r="F60" s="126" t="str">
        <f t="shared" si="7"/>
        <v/>
      </c>
      <c r="G60" s="126" t="str">
        <f>IF(C60="","",'Datos Generales'!$D$19)</f>
        <v/>
      </c>
      <c r="H60" s="21" t="str">
        <f>IF(C60="","",'Datos Generales'!$A$19)</f>
        <v/>
      </c>
      <c r="I60" s="126" t="str">
        <f>IF(C60="","",'Datos Generales'!$A$7)</f>
        <v/>
      </c>
      <c r="J60" s="21" t="str">
        <f>IF(C60="","",'Datos Generales'!$A$13)</f>
        <v/>
      </c>
      <c r="K60" s="21" t="str">
        <f>IF(C60="","",'Datos Generales'!$A$10)</f>
        <v/>
      </c>
      <c r="CS60" s="142" t="str">
        <f t="shared" si="2"/>
        <v/>
      </c>
      <c r="CT60" s="142" t="str">
        <f t="shared" si="3"/>
        <v/>
      </c>
      <c r="CU60" s="142" t="str">
        <f t="shared" si="4"/>
        <v/>
      </c>
      <c r="CV60" s="142" t="str">
        <f t="shared" si="5"/>
        <v/>
      </c>
      <c r="CW60" s="142" t="str">
        <f>IF(C60="","",IF('Datos Generales'!$A$19=1,AVERAGE(FP60:GD60),AVERAGE(Captura!FP60:FY60)))</f>
        <v/>
      </c>
      <c r="CX60" s="138" t="e">
        <f>IF(VLOOKUP(CONCATENATE($H$4,$F$4,CX$2),Español!$A:$H,7,FALSE)=L60,1,0)</f>
        <v>#N/A</v>
      </c>
      <c r="CY60" s="138" t="e">
        <f>IF(VLOOKUP(CONCATENATE(H60,F60,CY$2),Español!$A:$H,7,FALSE)=M60,1,0)</f>
        <v>#N/A</v>
      </c>
      <c r="CZ60" s="138" t="e">
        <f>IF(VLOOKUP(CONCATENATE(H60,F60,CZ$2),Español!$A:$H,7,FALSE)=N60,1,0)</f>
        <v>#N/A</v>
      </c>
      <c r="DA60" s="138" t="e">
        <f>IF(VLOOKUP(CONCATENATE(H60,F60,DA$2),Español!$A:$H,7,FALSE)=O60,1,0)</f>
        <v>#N/A</v>
      </c>
      <c r="DB60" s="138" t="e">
        <f>IF(VLOOKUP(CONCATENATE(H60,F60,DB$2),Español!$A:$H,7,FALSE)=P60,1,0)</f>
        <v>#N/A</v>
      </c>
      <c r="DC60" s="138" t="e">
        <f>IF(VLOOKUP(CONCATENATE(H60,F60,DC$2),Español!$A:$H,7,FALSE)=Q60,1,0)</f>
        <v>#N/A</v>
      </c>
      <c r="DD60" s="138" t="e">
        <f>IF(VLOOKUP(CONCATENATE(H60,F60,DD$2),Español!$A:$H,7,FALSE)=R60,1,0)</f>
        <v>#N/A</v>
      </c>
      <c r="DE60" s="138" t="e">
        <f>IF(VLOOKUP(CONCATENATE(H60,F60,DE$2),Español!$A:$H,7,FALSE)=S60,1,0)</f>
        <v>#N/A</v>
      </c>
      <c r="DF60" s="138" t="e">
        <f>IF(VLOOKUP(CONCATENATE(H60,F60,DF$2),Español!$A:$H,7,FALSE)=T60,1,0)</f>
        <v>#N/A</v>
      </c>
      <c r="DG60" s="138" t="e">
        <f>IF(VLOOKUP(CONCATENATE(H60,F60,DG$2),Español!$A:$H,7,FALSE)=U60,1,0)</f>
        <v>#N/A</v>
      </c>
      <c r="DH60" s="138" t="e">
        <f>IF(VLOOKUP(CONCATENATE(H60,F60,DH$2),Español!$A:$H,7,FALSE)=V60,1,0)</f>
        <v>#N/A</v>
      </c>
      <c r="DI60" s="138" t="e">
        <f>IF(VLOOKUP(CONCATENATE(H60,F60,DI$2),Español!$A:$H,7,FALSE)=W60,1,0)</f>
        <v>#N/A</v>
      </c>
      <c r="DJ60" s="138" t="e">
        <f>IF(VLOOKUP(CONCATENATE(H60,F60,DJ$2),Español!$A:$H,7,FALSE)=X60,1,0)</f>
        <v>#N/A</v>
      </c>
      <c r="DK60" s="138" t="e">
        <f>IF(VLOOKUP(CONCATENATE(H60,F60,DK$2),Español!$A:$H,7,FALSE)=Y60,1,0)</f>
        <v>#N/A</v>
      </c>
      <c r="DL60" s="138" t="e">
        <f>IF(VLOOKUP(CONCATENATE(H60,F60,DL$2),Español!$A:$H,7,FALSE)=Z60,1,0)</f>
        <v>#N/A</v>
      </c>
      <c r="DM60" s="138" t="e">
        <f>IF(VLOOKUP(CONCATENATE(H60,F60,DM$2),Español!$A:$H,7,FALSE)=AA60,1,0)</f>
        <v>#N/A</v>
      </c>
      <c r="DN60" s="138" t="e">
        <f>IF(VLOOKUP(CONCATENATE(H60,F60,DN$2),Español!$A:$H,7,FALSE)=AB60,1,0)</f>
        <v>#N/A</v>
      </c>
      <c r="DO60" s="138" t="e">
        <f>IF(VLOOKUP(CONCATENATE(H60,F60,DO$2),Español!$A:$H,7,FALSE)=AC60,1,0)</f>
        <v>#N/A</v>
      </c>
      <c r="DP60" s="138" t="e">
        <f>IF(VLOOKUP(CONCATENATE(H60,F60,DP$2),Español!$A:$H,7,FALSE)=AD60,1,0)</f>
        <v>#N/A</v>
      </c>
      <c r="DQ60" s="138" t="e">
        <f>IF(VLOOKUP(CONCATENATE(H60,F60,DQ$2),Español!$A:$H,7,FALSE)=AE60,1,0)</f>
        <v>#N/A</v>
      </c>
      <c r="DR60" s="138" t="e">
        <f>IF(VLOOKUP(CONCATENATE(H60,F60,DR$2),Inglés!$A:$H,7,FALSE)=AF60,1,0)</f>
        <v>#N/A</v>
      </c>
      <c r="DS60" s="138" t="e">
        <f>IF(VLOOKUP(CONCATENATE(H60,F60,DS$2),Inglés!$A:$H,7,FALSE)=AG60,1,0)</f>
        <v>#N/A</v>
      </c>
      <c r="DT60" s="138" t="e">
        <f>IF(VLOOKUP(CONCATENATE(H60,F60,DT$2),Inglés!$A:$H,7,FALSE)=AH60,1,0)</f>
        <v>#N/A</v>
      </c>
      <c r="DU60" s="138" t="e">
        <f>IF(VLOOKUP(CONCATENATE(H60,F60,DU$2),Inglés!$A:$H,7,FALSE)=AI60,1,0)</f>
        <v>#N/A</v>
      </c>
      <c r="DV60" s="138" t="e">
        <f>IF(VLOOKUP(CONCATENATE(H60,F60,DV$2),Inglés!$A:$H,7,FALSE)=AJ60,1,0)</f>
        <v>#N/A</v>
      </c>
      <c r="DW60" s="138" t="e">
        <f>IF(VLOOKUP(CONCATENATE(H60,F60,DW$2),Inglés!$A:$H,7,FALSE)=AK60,1,0)</f>
        <v>#N/A</v>
      </c>
      <c r="DX60" s="138" t="e">
        <f>IF(VLOOKUP(CONCATENATE(H60,F60,DX$2),Inglés!$A:$H,7,FALSE)=AL60,1,0)</f>
        <v>#N/A</v>
      </c>
      <c r="DY60" s="138" t="e">
        <f>IF(VLOOKUP(CONCATENATE(H60,F60,DY$2),Inglés!$A:$H,7,FALSE)=AM60,1,0)</f>
        <v>#N/A</v>
      </c>
      <c r="DZ60" s="138" t="e">
        <f>IF(VLOOKUP(CONCATENATE(H60,F60,DZ$2),Inglés!$A:$H,7,FALSE)=AN60,1,0)</f>
        <v>#N/A</v>
      </c>
      <c r="EA60" s="138" t="e">
        <f>IF(VLOOKUP(CONCATENATE(H60,F60,EA$2),Inglés!$A:$H,7,FALSE)=AO60,1,0)</f>
        <v>#N/A</v>
      </c>
      <c r="EB60" s="138" t="e">
        <f>IF(VLOOKUP(CONCATENATE(H60,F60,EB$2),Matemáticas!$A:$H,7,FALSE)=AP60,1,0)</f>
        <v>#N/A</v>
      </c>
      <c r="EC60" s="138" t="e">
        <f>IF(VLOOKUP(CONCATENATE(H60,F60,EC$2),Matemáticas!$A:$H,7,FALSE)=AQ60,1,0)</f>
        <v>#N/A</v>
      </c>
      <c r="ED60" s="138" t="e">
        <f>IF(VLOOKUP(CONCATENATE(H60,F60,ED$2),Matemáticas!$A:$H,7,FALSE)=AR60,1,0)</f>
        <v>#N/A</v>
      </c>
      <c r="EE60" s="138" t="e">
        <f>IF(VLOOKUP(CONCATENATE(H60,F60,EE$2),Matemáticas!$A:$H,7,FALSE)=AS60,1,0)</f>
        <v>#N/A</v>
      </c>
      <c r="EF60" s="138" t="e">
        <f>IF(VLOOKUP(CONCATENATE(H60,F60,EF$2),Matemáticas!$A:$H,7,FALSE)=AT60,1,0)</f>
        <v>#N/A</v>
      </c>
      <c r="EG60" s="138" t="e">
        <f>IF(VLOOKUP(CONCATENATE(H60,F60,EG$2),Matemáticas!$A:$H,7,FALSE)=AU60,1,0)</f>
        <v>#N/A</v>
      </c>
      <c r="EH60" s="138" t="e">
        <f>IF(VLOOKUP(CONCATENATE(H60,F60,EH$2),Matemáticas!$A:$H,7,FALSE)=AV60,1,0)</f>
        <v>#N/A</v>
      </c>
      <c r="EI60" s="138" t="e">
        <f>IF(VLOOKUP(CONCATENATE(H60,F60,EI$2),Matemáticas!$A:$H,7,FALSE)=AW60,1,0)</f>
        <v>#N/A</v>
      </c>
      <c r="EJ60" s="138" t="e">
        <f>IF(VLOOKUP(CONCATENATE(H60,F60,EJ$2),Matemáticas!$A:$H,7,FALSE)=AX60,1,0)</f>
        <v>#N/A</v>
      </c>
      <c r="EK60" s="138" t="e">
        <f>IF(VLOOKUP(CONCATENATE(H60,F60,EK$2),Matemáticas!$A:$H,7,FALSE)=AY60,1,0)</f>
        <v>#N/A</v>
      </c>
      <c r="EL60" s="138" t="e">
        <f>IF(VLOOKUP(CONCATENATE(H60,F60,EL$2),Matemáticas!$A:$H,7,FALSE)=AZ60,1,0)</f>
        <v>#N/A</v>
      </c>
      <c r="EM60" s="138" t="e">
        <f>IF(VLOOKUP(CONCATENATE(H60,F60,EM$2),Matemáticas!$A:$H,7,FALSE)=BA60,1,0)</f>
        <v>#N/A</v>
      </c>
      <c r="EN60" s="138" t="e">
        <f>IF(VLOOKUP(CONCATENATE(H60,F60,EN$2),Matemáticas!$A:$H,7,FALSE)=BB60,1,0)</f>
        <v>#N/A</v>
      </c>
      <c r="EO60" s="138" t="e">
        <f>IF(VLOOKUP(CONCATENATE(H60,F60,EO$2),Matemáticas!$A:$H,7,FALSE)=BC60,1,0)</f>
        <v>#N/A</v>
      </c>
      <c r="EP60" s="138" t="e">
        <f>IF(VLOOKUP(CONCATENATE(H60,F60,EP$2),Matemáticas!$A:$H,7,FALSE)=BD60,1,0)</f>
        <v>#N/A</v>
      </c>
      <c r="EQ60" s="138" t="e">
        <f>IF(VLOOKUP(CONCATENATE(H60,F60,EQ$2),Matemáticas!$A:$H,7,FALSE)=BE60,1,0)</f>
        <v>#N/A</v>
      </c>
      <c r="ER60" s="138" t="e">
        <f>IF(VLOOKUP(CONCATENATE(H60,F60,ER$2),Matemáticas!$A:$H,7,FALSE)=BF60,1,0)</f>
        <v>#N/A</v>
      </c>
      <c r="ES60" s="138" t="e">
        <f>IF(VLOOKUP(CONCATENATE(H60,F60,ES$2),Matemáticas!$A:$H,7,FALSE)=BG60,1,0)</f>
        <v>#N/A</v>
      </c>
      <c r="ET60" s="138" t="e">
        <f>IF(VLOOKUP(CONCATENATE(H60,F60,ET$2),Matemáticas!$A:$H,7,FALSE)=BH60,1,0)</f>
        <v>#N/A</v>
      </c>
      <c r="EU60" s="138" t="e">
        <f>IF(VLOOKUP(CONCATENATE(H60,F60,EU$2),Matemáticas!$A:$H,7,FALSE)=BI60,1,0)</f>
        <v>#N/A</v>
      </c>
      <c r="EV60" s="138" t="e">
        <f>IF(VLOOKUP(CONCATENATE(H60,F60,EV$2),Ciencias!$A:$H,7,FALSE)=BJ60,1,0)</f>
        <v>#N/A</v>
      </c>
      <c r="EW60" s="138" t="e">
        <f>IF(VLOOKUP(CONCATENATE(H60,F60,EW$2),Ciencias!$A:$H,7,FALSE)=BK60,1,0)</f>
        <v>#N/A</v>
      </c>
      <c r="EX60" s="138" t="e">
        <f>IF(VLOOKUP(CONCATENATE(H60,F60,EX$2),Ciencias!$A:$H,7,FALSE)=BL60,1,0)</f>
        <v>#N/A</v>
      </c>
      <c r="EY60" s="138" t="e">
        <f>IF(VLOOKUP(CONCATENATE(H60,F60,EY$2),Ciencias!$A:$H,7,FALSE)=BM60,1,0)</f>
        <v>#N/A</v>
      </c>
      <c r="EZ60" s="138" t="e">
        <f>IF(VLOOKUP(CONCATENATE(H60,F60,EZ$2),Ciencias!$A:$H,7,FALSE)=BN60,1,0)</f>
        <v>#N/A</v>
      </c>
      <c r="FA60" s="138" t="e">
        <f>IF(VLOOKUP(CONCATENATE(H60,F60,FA$2),Ciencias!$A:$H,7,FALSE)=BO60,1,0)</f>
        <v>#N/A</v>
      </c>
      <c r="FB60" s="138" t="e">
        <f>IF(VLOOKUP(CONCATENATE(H60,F60,FB$2),Ciencias!$A:$H,7,FALSE)=BP60,1,0)</f>
        <v>#N/A</v>
      </c>
      <c r="FC60" s="138" t="e">
        <f>IF(VLOOKUP(CONCATENATE(H60,F60,FC$2),Ciencias!$A:$H,7,FALSE)=BQ60,1,0)</f>
        <v>#N/A</v>
      </c>
      <c r="FD60" s="138" t="e">
        <f>IF(VLOOKUP(CONCATENATE(H60,F60,FD$2),Ciencias!$A:$H,7,FALSE)=BR60,1,0)</f>
        <v>#N/A</v>
      </c>
      <c r="FE60" s="138" t="e">
        <f>IF(VLOOKUP(CONCATENATE(H60,F60,FE$2),Ciencias!$A:$H,7,FALSE)=BS60,1,0)</f>
        <v>#N/A</v>
      </c>
      <c r="FF60" s="138" t="e">
        <f>IF(VLOOKUP(CONCATENATE(H60,F60,FF$2),Ciencias!$A:$H,7,FALSE)=BT60,1,0)</f>
        <v>#N/A</v>
      </c>
      <c r="FG60" s="138" t="e">
        <f>IF(VLOOKUP(CONCATENATE(H60,F60,FG$2),Ciencias!$A:$H,7,FALSE)=BU60,1,0)</f>
        <v>#N/A</v>
      </c>
      <c r="FH60" s="138" t="e">
        <f>IF(VLOOKUP(CONCATENATE(H60,F60,FH$2),Ciencias!$A:$H,7,FALSE)=BV60,1,0)</f>
        <v>#N/A</v>
      </c>
      <c r="FI60" s="138" t="e">
        <f>IF(VLOOKUP(CONCATENATE(H60,F60,FI$2),Ciencias!$A:$H,7,FALSE)=BW60,1,0)</f>
        <v>#N/A</v>
      </c>
      <c r="FJ60" s="138" t="e">
        <f>IF(VLOOKUP(CONCATENATE(H60,F60,FJ$2),Ciencias!$A:$H,7,FALSE)=BX60,1,0)</f>
        <v>#N/A</v>
      </c>
      <c r="FK60" s="138" t="e">
        <f>IF(VLOOKUP(CONCATENATE(H60,F60,FK$2),Ciencias!$A:$H,7,FALSE)=BY60,1,0)</f>
        <v>#N/A</v>
      </c>
      <c r="FL60" s="138" t="e">
        <f>IF(VLOOKUP(CONCATENATE(H60,F60,FL$2),Ciencias!$A:$H,7,FALSE)=BZ60,1,0)</f>
        <v>#N/A</v>
      </c>
      <c r="FM60" s="138" t="e">
        <f>IF(VLOOKUP(CONCATENATE(H60,F60,FM$2),Ciencias!$A:$H,7,FALSE)=CA60,1,0)</f>
        <v>#N/A</v>
      </c>
      <c r="FN60" s="138" t="e">
        <f>IF(VLOOKUP(CONCATENATE(H60,F60,FN$2),Ciencias!$A:$H,7,FALSE)=CB60,1,0)</f>
        <v>#N/A</v>
      </c>
      <c r="FO60" s="138" t="e">
        <f>IF(VLOOKUP(CONCATENATE(H60,F60,FO$2),Ciencias!$A:$H,7,FALSE)=CC60,1,0)</f>
        <v>#N/A</v>
      </c>
      <c r="FP60" s="138" t="e">
        <f>IF(VLOOKUP(CONCATENATE(H60,F60,FP$2),GeoHis!$A:$H,7,FALSE)=CD60,1,0)</f>
        <v>#N/A</v>
      </c>
      <c r="FQ60" s="138" t="e">
        <f>IF(VLOOKUP(CONCATENATE(H60,F60,FQ$2),GeoHis!$A:$H,7,FALSE)=CE60,1,0)</f>
        <v>#N/A</v>
      </c>
      <c r="FR60" s="138" t="e">
        <f>IF(VLOOKUP(CONCATENATE(H60,F60,FR$2),GeoHis!$A:$H,7,FALSE)=CF60,1,0)</f>
        <v>#N/A</v>
      </c>
      <c r="FS60" s="138" t="e">
        <f>IF(VLOOKUP(CONCATENATE(H60,F60,FS$2),GeoHis!$A:$H,7,FALSE)=CG60,1,0)</f>
        <v>#N/A</v>
      </c>
      <c r="FT60" s="138" t="e">
        <f>IF(VLOOKUP(CONCATENATE(H60,F60,FT$2),GeoHis!$A:$H,7,FALSE)=CH60,1,0)</f>
        <v>#N/A</v>
      </c>
      <c r="FU60" s="138" t="e">
        <f>IF(VLOOKUP(CONCATENATE(H60,F60,FU$2),GeoHis!$A:$H,7,FALSE)=CI60,1,0)</f>
        <v>#N/A</v>
      </c>
      <c r="FV60" s="138" t="e">
        <f>IF(VLOOKUP(CONCATENATE(H60,F60,FV$2),GeoHis!$A:$H,7,FALSE)=CJ60,1,0)</f>
        <v>#N/A</v>
      </c>
      <c r="FW60" s="138" t="e">
        <f>IF(VLOOKUP(CONCATENATE(H60,F60,FW$2),GeoHis!$A:$H,7,FALSE)=CK60,1,0)</f>
        <v>#N/A</v>
      </c>
      <c r="FX60" s="138" t="e">
        <f>IF(VLOOKUP(CONCATENATE(H60,F60,FX$2),GeoHis!$A:$H,7,FALSE)=CL60,1,0)</f>
        <v>#N/A</v>
      </c>
      <c r="FY60" s="138" t="e">
        <f>IF(VLOOKUP(CONCATENATE(H60,F60,FY$2),GeoHis!$A:$H,7,FALSE)=CM60,1,0)</f>
        <v>#N/A</v>
      </c>
      <c r="FZ60" s="138" t="e">
        <f>IF(VLOOKUP(CONCATENATE(H60,F60,FZ$2),GeoHis!$A:$H,7,FALSE)=CN60,1,0)</f>
        <v>#N/A</v>
      </c>
      <c r="GA60" s="138" t="e">
        <f>IF(VLOOKUP(CONCATENATE(H60,F60,GA$2),GeoHis!$A:$H,7,FALSE)=CO60,1,0)</f>
        <v>#N/A</v>
      </c>
      <c r="GB60" s="138" t="e">
        <f>IF(VLOOKUP(CONCATENATE(H60,F60,GB$2),GeoHis!$A:$H,7,FALSE)=CP60,1,0)</f>
        <v>#N/A</v>
      </c>
      <c r="GC60" s="138" t="e">
        <f>IF(VLOOKUP(CONCATENATE(H60,F60,GC$2),GeoHis!$A:$H,7,FALSE)=CQ60,1,0)</f>
        <v>#N/A</v>
      </c>
      <c r="GD60" s="138" t="e">
        <f>IF(VLOOKUP(CONCATENATE(H60,F60,GD$2),GeoHis!$A:$H,7,FALSE)=CR60,1,0)</f>
        <v>#N/A</v>
      </c>
      <c r="GE60" s="135" t="str">
        <f t="shared" si="6"/>
        <v/>
      </c>
    </row>
    <row r="61" spans="1:187" x14ac:dyDescent="0.25">
      <c r="A61" s="127" t="str">
        <f>IF(C61="","",'Datos Generales'!$A$25)</f>
        <v/>
      </c>
      <c r="D61" s="126" t="str">
        <f t="shared" si="0"/>
        <v/>
      </c>
      <c r="E61" s="126">
        <f t="shared" si="1"/>
        <v>0</v>
      </c>
      <c r="F61" s="126" t="str">
        <f t="shared" si="7"/>
        <v/>
      </c>
      <c r="G61" s="126" t="str">
        <f>IF(C61="","",'Datos Generales'!$D$19)</f>
        <v/>
      </c>
      <c r="H61" s="21" t="str">
        <f>IF(C61="","",'Datos Generales'!$A$19)</f>
        <v/>
      </c>
      <c r="I61" s="126" t="str">
        <f>IF(C61="","",'Datos Generales'!$A$7)</f>
        <v/>
      </c>
      <c r="J61" s="21" t="str">
        <f>IF(C61="","",'Datos Generales'!$A$13)</f>
        <v/>
      </c>
      <c r="K61" s="21" t="str">
        <f>IF(C61="","",'Datos Generales'!$A$10)</f>
        <v/>
      </c>
      <c r="CS61" s="142" t="str">
        <f t="shared" si="2"/>
        <v/>
      </c>
      <c r="CT61" s="142" t="str">
        <f t="shared" si="3"/>
        <v/>
      </c>
      <c r="CU61" s="142" t="str">
        <f t="shared" si="4"/>
        <v/>
      </c>
      <c r="CV61" s="142" t="str">
        <f t="shared" si="5"/>
        <v/>
      </c>
      <c r="CW61" s="142" t="str">
        <f>IF(C61="","",IF('Datos Generales'!$A$19=1,AVERAGE(FP61:GD61),AVERAGE(Captura!FP61:FY61)))</f>
        <v/>
      </c>
      <c r="CX61" s="138" t="e">
        <f>IF(VLOOKUP(CONCATENATE($H$4,$F$4,CX$2),Español!$A:$H,7,FALSE)=L61,1,0)</f>
        <v>#N/A</v>
      </c>
      <c r="CY61" s="138" t="e">
        <f>IF(VLOOKUP(CONCATENATE(H61,F61,CY$2),Español!$A:$H,7,FALSE)=M61,1,0)</f>
        <v>#N/A</v>
      </c>
      <c r="CZ61" s="138" t="e">
        <f>IF(VLOOKUP(CONCATENATE(H61,F61,CZ$2),Español!$A:$H,7,FALSE)=N61,1,0)</f>
        <v>#N/A</v>
      </c>
      <c r="DA61" s="138" t="e">
        <f>IF(VLOOKUP(CONCATENATE(H61,F61,DA$2),Español!$A:$H,7,FALSE)=O61,1,0)</f>
        <v>#N/A</v>
      </c>
      <c r="DB61" s="138" t="e">
        <f>IF(VLOOKUP(CONCATENATE(H61,F61,DB$2),Español!$A:$H,7,FALSE)=P61,1,0)</f>
        <v>#N/A</v>
      </c>
      <c r="DC61" s="138" t="e">
        <f>IF(VLOOKUP(CONCATENATE(H61,F61,DC$2),Español!$A:$H,7,FALSE)=Q61,1,0)</f>
        <v>#N/A</v>
      </c>
      <c r="DD61" s="138" t="e">
        <f>IF(VLOOKUP(CONCATENATE(H61,F61,DD$2),Español!$A:$H,7,FALSE)=R61,1,0)</f>
        <v>#N/A</v>
      </c>
      <c r="DE61" s="138" t="e">
        <f>IF(VLOOKUP(CONCATENATE(H61,F61,DE$2),Español!$A:$H,7,FALSE)=S61,1,0)</f>
        <v>#N/A</v>
      </c>
      <c r="DF61" s="138" t="e">
        <f>IF(VLOOKUP(CONCATENATE(H61,F61,DF$2),Español!$A:$H,7,FALSE)=T61,1,0)</f>
        <v>#N/A</v>
      </c>
      <c r="DG61" s="138" t="e">
        <f>IF(VLOOKUP(CONCATENATE(H61,F61,DG$2),Español!$A:$H,7,FALSE)=U61,1,0)</f>
        <v>#N/A</v>
      </c>
      <c r="DH61" s="138" t="e">
        <f>IF(VLOOKUP(CONCATENATE(H61,F61,DH$2),Español!$A:$H,7,FALSE)=V61,1,0)</f>
        <v>#N/A</v>
      </c>
      <c r="DI61" s="138" t="e">
        <f>IF(VLOOKUP(CONCATENATE(H61,F61,DI$2),Español!$A:$H,7,FALSE)=W61,1,0)</f>
        <v>#N/A</v>
      </c>
      <c r="DJ61" s="138" t="e">
        <f>IF(VLOOKUP(CONCATENATE(H61,F61,DJ$2),Español!$A:$H,7,FALSE)=X61,1,0)</f>
        <v>#N/A</v>
      </c>
      <c r="DK61" s="138" t="e">
        <f>IF(VLOOKUP(CONCATENATE(H61,F61,DK$2),Español!$A:$H,7,FALSE)=Y61,1,0)</f>
        <v>#N/A</v>
      </c>
      <c r="DL61" s="138" t="e">
        <f>IF(VLOOKUP(CONCATENATE(H61,F61,DL$2),Español!$A:$H,7,FALSE)=Z61,1,0)</f>
        <v>#N/A</v>
      </c>
      <c r="DM61" s="138" t="e">
        <f>IF(VLOOKUP(CONCATENATE(H61,F61,DM$2),Español!$A:$H,7,FALSE)=AA61,1,0)</f>
        <v>#N/A</v>
      </c>
      <c r="DN61" s="138" t="e">
        <f>IF(VLOOKUP(CONCATENATE(H61,F61,DN$2),Español!$A:$H,7,FALSE)=AB61,1,0)</f>
        <v>#N/A</v>
      </c>
      <c r="DO61" s="138" t="e">
        <f>IF(VLOOKUP(CONCATENATE(H61,F61,DO$2),Español!$A:$H,7,FALSE)=AC61,1,0)</f>
        <v>#N/A</v>
      </c>
      <c r="DP61" s="138" t="e">
        <f>IF(VLOOKUP(CONCATENATE(H61,F61,DP$2),Español!$A:$H,7,FALSE)=AD61,1,0)</f>
        <v>#N/A</v>
      </c>
      <c r="DQ61" s="138" t="e">
        <f>IF(VLOOKUP(CONCATENATE(H61,F61,DQ$2),Español!$A:$H,7,FALSE)=AE61,1,0)</f>
        <v>#N/A</v>
      </c>
      <c r="DR61" s="138" t="e">
        <f>IF(VLOOKUP(CONCATENATE(H61,F61,DR$2),Inglés!$A:$H,7,FALSE)=AF61,1,0)</f>
        <v>#N/A</v>
      </c>
      <c r="DS61" s="138" t="e">
        <f>IF(VLOOKUP(CONCATENATE(H61,F61,DS$2),Inglés!$A:$H,7,FALSE)=AG61,1,0)</f>
        <v>#N/A</v>
      </c>
      <c r="DT61" s="138" t="e">
        <f>IF(VLOOKUP(CONCATENATE(H61,F61,DT$2),Inglés!$A:$H,7,FALSE)=AH61,1,0)</f>
        <v>#N/A</v>
      </c>
      <c r="DU61" s="138" t="e">
        <f>IF(VLOOKUP(CONCATENATE(H61,F61,DU$2),Inglés!$A:$H,7,FALSE)=AI61,1,0)</f>
        <v>#N/A</v>
      </c>
      <c r="DV61" s="138" t="e">
        <f>IF(VLOOKUP(CONCATENATE(H61,F61,DV$2),Inglés!$A:$H,7,FALSE)=AJ61,1,0)</f>
        <v>#N/A</v>
      </c>
      <c r="DW61" s="138" t="e">
        <f>IF(VLOOKUP(CONCATENATE(H61,F61,DW$2),Inglés!$A:$H,7,FALSE)=AK61,1,0)</f>
        <v>#N/A</v>
      </c>
      <c r="DX61" s="138" t="e">
        <f>IF(VLOOKUP(CONCATENATE(H61,F61,DX$2),Inglés!$A:$H,7,FALSE)=AL61,1,0)</f>
        <v>#N/A</v>
      </c>
      <c r="DY61" s="138" t="e">
        <f>IF(VLOOKUP(CONCATENATE(H61,F61,DY$2),Inglés!$A:$H,7,FALSE)=AM61,1,0)</f>
        <v>#N/A</v>
      </c>
      <c r="DZ61" s="138" t="e">
        <f>IF(VLOOKUP(CONCATENATE(H61,F61,DZ$2),Inglés!$A:$H,7,FALSE)=AN61,1,0)</f>
        <v>#N/A</v>
      </c>
      <c r="EA61" s="138" t="e">
        <f>IF(VLOOKUP(CONCATENATE(H61,F61,EA$2),Inglés!$A:$H,7,FALSE)=AO61,1,0)</f>
        <v>#N/A</v>
      </c>
      <c r="EB61" s="138" t="e">
        <f>IF(VLOOKUP(CONCATENATE(H61,F61,EB$2),Matemáticas!$A:$H,7,FALSE)=AP61,1,0)</f>
        <v>#N/A</v>
      </c>
      <c r="EC61" s="138" t="e">
        <f>IF(VLOOKUP(CONCATENATE(H61,F61,EC$2),Matemáticas!$A:$H,7,FALSE)=AQ61,1,0)</f>
        <v>#N/A</v>
      </c>
      <c r="ED61" s="138" t="e">
        <f>IF(VLOOKUP(CONCATENATE(H61,F61,ED$2),Matemáticas!$A:$H,7,FALSE)=AR61,1,0)</f>
        <v>#N/A</v>
      </c>
      <c r="EE61" s="138" t="e">
        <f>IF(VLOOKUP(CONCATENATE(H61,F61,EE$2),Matemáticas!$A:$H,7,FALSE)=AS61,1,0)</f>
        <v>#N/A</v>
      </c>
      <c r="EF61" s="138" t="e">
        <f>IF(VLOOKUP(CONCATENATE(H61,F61,EF$2),Matemáticas!$A:$H,7,FALSE)=AT61,1,0)</f>
        <v>#N/A</v>
      </c>
      <c r="EG61" s="138" t="e">
        <f>IF(VLOOKUP(CONCATENATE(H61,F61,EG$2),Matemáticas!$A:$H,7,FALSE)=AU61,1,0)</f>
        <v>#N/A</v>
      </c>
      <c r="EH61" s="138" t="e">
        <f>IF(VLOOKUP(CONCATENATE(H61,F61,EH$2),Matemáticas!$A:$H,7,FALSE)=AV61,1,0)</f>
        <v>#N/A</v>
      </c>
      <c r="EI61" s="138" t="e">
        <f>IF(VLOOKUP(CONCATENATE(H61,F61,EI$2),Matemáticas!$A:$H,7,FALSE)=AW61,1,0)</f>
        <v>#N/A</v>
      </c>
      <c r="EJ61" s="138" t="e">
        <f>IF(VLOOKUP(CONCATENATE(H61,F61,EJ$2),Matemáticas!$A:$H,7,FALSE)=AX61,1,0)</f>
        <v>#N/A</v>
      </c>
      <c r="EK61" s="138" t="e">
        <f>IF(VLOOKUP(CONCATENATE(H61,F61,EK$2),Matemáticas!$A:$H,7,FALSE)=AY61,1,0)</f>
        <v>#N/A</v>
      </c>
      <c r="EL61" s="138" t="e">
        <f>IF(VLOOKUP(CONCATENATE(H61,F61,EL$2),Matemáticas!$A:$H,7,FALSE)=AZ61,1,0)</f>
        <v>#N/A</v>
      </c>
      <c r="EM61" s="138" t="e">
        <f>IF(VLOOKUP(CONCATENATE(H61,F61,EM$2),Matemáticas!$A:$H,7,FALSE)=BA61,1,0)</f>
        <v>#N/A</v>
      </c>
      <c r="EN61" s="138" t="e">
        <f>IF(VLOOKUP(CONCATENATE(H61,F61,EN$2),Matemáticas!$A:$H,7,FALSE)=BB61,1,0)</f>
        <v>#N/A</v>
      </c>
      <c r="EO61" s="138" t="e">
        <f>IF(VLOOKUP(CONCATENATE(H61,F61,EO$2),Matemáticas!$A:$H,7,FALSE)=BC61,1,0)</f>
        <v>#N/A</v>
      </c>
      <c r="EP61" s="138" t="e">
        <f>IF(VLOOKUP(CONCATENATE(H61,F61,EP$2),Matemáticas!$A:$H,7,FALSE)=BD61,1,0)</f>
        <v>#N/A</v>
      </c>
      <c r="EQ61" s="138" t="e">
        <f>IF(VLOOKUP(CONCATENATE(H61,F61,EQ$2),Matemáticas!$A:$H,7,FALSE)=BE61,1,0)</f>
        <v>#N/A</v>
      </c>
      <c r="ER61" s="138" t="e">
        <f>IF(VLOOKUP(CONCATENATE(H61,F61,ER$2),Matemáticas!$A:$H,7,FALSE)=BF61,1,0)</f>
        <v>#N/A</v>
      </c>
      <c r="ES61" s="138" t="e">
        <f>IF(VLOOKUP(CONCATENATE(H61,F61,ES$2),Matemáticas!$A:$H,7,FALSE)=BG61,1,0)</f>
        <v>#N/A</v>
      </c>
      <c r="ET61" s="138" t="e">
        <f>IF(VLOOKUP(CONCATENATE(H61,F61,ET$2),Matemáticas!$A:$H,7,FALSE)=BH61,1,0)</f>
        <v>#N/A</v>
      </c>
      <c r="EU61" s="138" t="e">
        <f>IF(VLOOKUP(CONCATENATE(H61,F61,EU$2),Matemáticas!$A:$H,7,FALSE)=BI61,1,0)</f>
        <v>#N/A</v>
      </c>
      <c r="EV61" s="138" t="e">
        <f>IF(VLOOKUP(CONCATENATE(H61,F61,EV$2),Ciencias!$A:$H,7,FALSE)=BJ61,1,0)</f>
        <v>#N/A</v>
      </c>
      <c r="EW61" s="138" t="e">
        <f>IF(VLOOKUP(CONCATENATE(H61,F61,EW$2),Ciencias!$A:$H,7,FALSE)=BK61,1,0)</f>
        <v>#N/A</v>
      </c>
      <c r="EX61" s="138" t="e">
        <f>IF(VLOOKUP(CONCATENATE(H61,F61,EX$2),Ciencias!$A:$H,7,FALSE)=BL61,1,0)</f>
        <v>#N/A</v>
      </c>
      <c r="EY61" s="138" t="e">
        <f>IF(VLOOKUP(CONCATENATE(H61,F61,EY$2),Ciencias!$A:$H,7,FALSE)=BM61,1,0)</f>
        <v>#N/A</v>
      </c>
      <c r="EZ61" s="138" t="e">
        <f>IF(VLOOKUP(CONCATENATE(H61,F61,EZ$2),Ciencias!$A:$H,7,FALSE)=BN61,1,0)</f>
        <v>#N/A</v>
      </c>
      <c r="FA61" s="138" t="e">
        <f>IF(VLOOKUP(CONCATENATE(H61,F61,FA$2),Ciencias!$A:$H,7,FALSE)=BO61,1,0)</f>
        <v>#N/A</v>
      </c>
      <c r="FB61" s="138" t="e">
        <f>IF(VLOOKUP(CONCATENATE(H61,F61,FB$2),Ciencias!$A:$H,7,FALSE)=BP61,1,0)</f>
        <v>#N/A</v>
      </c>
      <c r="FC61" s="138" t="e">
        <f>IF(VLOOKUP(CONCATENATE(H61,F61,FC$2),Ciencias!$A:$H,7,FALSE)=BQ61,1,0)</f>
        <v>#N/A</v>
      </c>
      <c r="FD61" s="138" t="e">
        <f>IF(VLOOKUP(CONCATENATE(H61,F61,FD$2),Ciencias!$A:$H,7,FALSE)=BR61,1,0)</f>
        <v>#N/A</v>
      </c>
      <c r="FE61" s="138" t="e">
        <f>IF(VLOOKUP(CONCATENATE(H61,F61,FE$2),Ciencias!$A:$H,7,FALSE)=BS61,1,0)</f>
        <v>#N/A</v>
      </c>
      <c r="FF61" s="138" t="e">
        <f>IF(VLOOKUP(CONCATENATE(H61,F61,FF$2),Ciencias!$A:$H,7,FALSE)=BT61,1,0)</f>
        <v>#N/A</v>
      </c>
      <c r="FG61" s="138" t="e">
        <f>IF(VLOOKUP(CONCATENATE(H61,F61,FG$2),Ciencias!$A:$H,7,FALSE)=BU61,1,0)</f>
        <v>#N/A</v>
      </c>
      <c r="FH61" s="138" t="e">
        <f>IF(VLOOKUP(CONCATENATE(H61,F61,FH$2),Ciencias!$A:$H,7,FALSE)=BV61,1,0)</f>
        <v>#N/A</v>
      </c>
      <c r="FI61" s="138" t="e">
        <f>IF(VLOOKUP(CONCATENATE(H61,F61,FI$2),Ciencias!$A:$H,7,FALSE)=BW61,1,0)</f>
        <v>#N/A</v>
      </c>
      <c r="FJ61" s="138" t="e">
        <f>IF(VLOOKUP(CONCATENATE(H61,F61,FJ$2),Ciencias!$A:$H,7,FALSE)=BX61,1,0)</f>
        <v>#N/A</v>
      </c>
      <c r="FK61" s="138" t="e">
        <f>IF(VLOOKUP(CONCATENATE(H61,F61,FK$2),Ciencias!$A:$H,7,FALSE)=BY61,1,0)</f>
        <v>#N/A</v>
      </c>
      <c r="FL61" s="138" t="e">
        <f>IF(VLOOKUP(CONCATENATE(H61,F61,FL$2),Ciencias!$A:$H,7,FALSE)=BZ61,1,0)</f>
        <v>#N/A</v>
      </c>
      <c r="FM61" s="138" t="e">
        <f>IF(VLOOKUP(CONCATENATE(H61,F61,FM$2),Ciencias!$A:$H,7,FALSE)=CA61,1,0)</f>
        <v>#N/A</v>
      </c>
      <c r="FN61" s="138" t="e">
        <f>IF(VLOOKUP(CONCATENATE(H61,F61,FN$2),Ciencias!$A:$H,7,FALSE)=CB61,1,0)</f>
        <v>#N/A</v>
      </c>
      <c r="FO61" s="138" t="e">
        <f>IF(VLOOKUP(CONCATENATE(H61,F61,FO$2),Ciencias!$A:$H,7,FALSE)=CC61,1,0)</f>
        <v>#N/A</v>
      </c>
      <c r="FP61" s="138" t="e">
        <f>IF(VLOOKUP(CONCATENATE(H61,F61,FP$2),GeoHis!$A:$H,7,FALSE)=CD61,1,0)</f>
        <v>#N/A</v>
      </c>
      <c r="FQ61" s="138" t="e">
        <f>IF(VLOOKUP(CONCATENATE(H61,F61,FQ$2),GeoHis!$A:$H,7,FALSE)=CE61,1,0)</f>
        <v>#N/A</v>
      </c>
      <c r="FR61" s="138" t="e">
        <f>IF(VLOOKUP(CONCATENATE(H61,F61,FR$2),GeoHis!$A:$H,7,FALSE)=CF61,1,0)</f>
        <v>#N/A</v>
      </c>
      <c r="FS61" s="138" t="e">
        <f>IF(VLOOKUP(CONCATENATE(H61,F61,FS$2),GeoHis!$A:$H,7,FALSE)=CG61,1,0)</f>
        <v>#N/A</v>
      </c>
      <c r="FT61" s="138" t="e">
        <f>IF(VLOOKUP(CONCATENATE(H61,F61,FT$2),GeoHis!$A:$H,7,FALSE)=CH61,1,0)</f>
        <v>#N/A</v>
      </c>
      <c r="FU61" s="138" t="e">
        <f>IF(VLOOKUP(CONCATENATE(H61,F61,FU$2),GeoHis!$A:$H,7,FALSE)=CI61,1,0)</f>
        <v>#N/A</v>
      </c>
      <c r="FV61" s="138" t="e">
        <f>IF(VLOOKUP(CONCATENATE(H61,F61,FV$2),GeoHis!$A:$H,7,FALSE)=CJ61,1,0)</f>
        <v>#N/A</v>
      </c>
      <c r="FW61" s="138" t="e">
        <f>IF(VLOOKUP(CONCATENATE(H61,F61,FW$2),GeoHis!$A:$H,7,FALSE)=CK61,1,0)</f>
        <v>#N/A</v>
      </c>
      <c r="FX61" s="138" t="e">
        <f>IF(VLOOKUP(CONCATENATE(H61,F61,FX$2),GeoHis!$A:$H,7,FALSE)=CL61,1,0)</f>
        <v>#N/A</v>
      </c>
      <c r="FY61" s="138" t="e">
        <f>IF(VLOOKUP(CONCATENATE(H61,F61,FY$2),GeoHis!$A:$H,7,FALSE)=CM61,1,0)</f>
        <v>#N/A</v>
      </c>
      <c r="FZ61" s="138" t="e">
        <f>IF(VLOOKUP(CONCATENATE(H61,F61,FZ$2),GeoHis!$A:$H,7,FALSE)=CN61,1,0)</f>
        <v>#N/A</v>
      </c>
      <c r="GA61" s="138" t="e">
        <f>IF(VLOOKUP(CONCATENATE(H61,F61,GA$2),GeoHis!$A:$H,7,FALSE)=CO61,1,0)</f>
        <v>#N/A</v>
      </c>
      <c r="GB61" s="138" t="e">
        <f>IF(VLOOKUP(CONCATENATE(H61,F61,GB$2),GeoHis!$A:$H,7,FALSE)=CP61,1,0)</f>
        <v>#N/A</v>
      </c>
      <c r="GC61" s="138" t="e">
        <f>IF(VLOOKUP(CONCATENATE(H61,F61,GC$2),GeoHis!$A:$H,7,FALSE)=CQ61,1,0)</f>
        <v>#N/A</v>
      </c>
      <c r="GD61" s="138" t="e">
        <f>IF(VLOOKUP(CONCATENATE(H61,F61,GD$2),GeoHis!$A:$H,7,FALSE)=CR61,1,0)</f>
        <v>#N/A</v>
      </c>
      <c r="GE61" s="135" t="str">
        <f t="shared" si="6"/>
        <v/>
      </c>
    </row>
    <row r="62" spans="1:187" x14ac:dyDescent="0.25">
      <c r="A62" s="127" t="str">
        <f>IF(C62="","",'Datos Generales'!$A$25)</f>
        <v/>
      </c>
      <c r="D62" s="126" t="str">
        <f t="shared" si="0"/>
        <v/>
      </c>
      <c r="E62" s="126">
        <f t="shared" si="1"/>
        <v>0</v>
      </c>
      <c r="F62" s="126" t="str">
        <f t="shared" si="7"/>
        <v/>
      </c>
      <c r="G62" s="126" t="str">
        <f>IF(C62="","",'Datos Generales'!$D$19)</f>
        <v/>
      </c>
      <c r="H62" s="21" t="str">
        <f>IF(C62="","",'Datos Generales'!$A$19)</f>
        <v/>
      </c>
      <c r="I62" s="126" t="str">
        <f>IF(C62="","",'Datos Generales'!$A$7)</f>
        <v/>
      </c>
      <c r="J62" s="21" t="str">
        <f>IF(C62="","",'Datos Generales'!$A$13)</f>
        <v/>
      </c>
      <c r="K62" s="21" t="str">
        <f>IF(C62="","",'Datos Generales'!$A$10)</f>
        <v/>
      </c>
      <c r="CS62" s="142" t="str">
        <f t="shared" si="2"/>
        <v/>
      </c>
      <c r="CT62" s="142" t="str">
        <f t="shared" si="3"/>
        <v/>
      </c>
      <c r="CU62" s="142" t="str">
        <f t="shared" si="4"/>
        <v/>
      </c>
      <c r="CV62" s="142" t="str">
        <f t="shared" si="5"/>
        <v/>
      </c>
      <c r="CW62" s="142" t="str">
        <f>IF(C62="","",IF('Datos Generales'!$A$19=1,AVERAGE(FP62:GD62),AVERAGE(Captura!FP62:FY62)))</f>
        <v/>
      </c>
      <c r="CX62" s="138" t="e">
        <f>IF(VLOOKUP(CONCATENATE($H$4,$F$4,CX$2),Español!$A:$H,7,FALSE)=L62,1,0)</f>
        <v>#N/A</v>
      </c>
      <c r="CY62" s="138" t="e">
        <f>IF(VLOOKUP(CONCATENATE(H62,F62,CY$2),Español!$A:$H,7,FALSE)=M62,1,0)</f>
        <v>#N/A</v>
      </c>
      <c r="CZ62" s="138" t="e">
        <f>IF(VLOOKUP(CONCATENATE(H62,F62,CZ$2),Español!$A:$H,7,FALSE)=N62,1,0)</f>
        <v>#N/A</v>
      </c>
      <c r="DA62" s="138" t="e">
        <f>IF(VLOOKUP(CONCATENATE(H62,F62,DA$2),Español!$A:$H,7,FALSE)=O62,1,0)</f>
        <v>#N/A</v>
      </c>
      <c r="DB62" s="138" t="e">
        <f>IF(VLOOKUP(CONCATENATE(H62,F62,DB$2),Español!$A:$H,7,FALSE)=P62,1,0)</f>
        <v>#N/A</v>
      </c>
      <c r="DC62" s="138" t="e">
        <f>IF(VLOOKUP(CONCATENATE(H62,F62,DC$2),Español!$A:$H,7,FALSE)=Q62,1,0)</f>
        <v>#N/A</v>
      </c>
      <c r="DD62" s="138" t="e">
        <f>IF(VLOOKUP(CONCATENATE(H62,F62,DD$2),Español!$A:$H,7,FALSE)=R62,1,0)</f>
        <v>#N/A</v>
      </c>
      <c r="DE62" s="138" t="e">
        <f>IF(VLOOKUP(CONCATENATE(H62,F62,DE$2),Español!$A:$H,7,FALSE)=S62,1,0)</f>
        <v>#N/A</v>
      </c>
      <c r="DF62" s="138" t="e">
        <f>IF(VLOOKUP(CONCATENATE(H62,F62,DF$2),Español!$A:$H,7,FALSE)=T62,1,0)</f>
        <v>#N/A</v>
      </c>
      <c r="DG62" s="138" t="e">
        <f>IF(VLOOKUP(CONCATENATE(H62,F62,DG$2),Español!$A:$H,7,FALSE)=U62,1,0)</f>
        <v>#N/A</v>
      </c>
      <c r="DH62" s="138" t="e">
        <f>IF(VLOOKUP(CONCATENATE(H62,F62,DH$2),Español!$A:$H,7,FALSE)=V62,1,0)</f>
        <v>#N/A</v>
      </c>
      <c r="DI62" s="138" t="e">
        <f>IF(VLOOKUP(CONCATENATE(H62,F62,DI$2),Español!$A:$H,7,FALSE)=W62,1,0)</f>
        <v>#N/A</v>
      </c>
      <c r="DJ62" s="138" t="e">
        <f>IF(VLOOKUP(CONCATENATE(H62,F62,DJ$2),Español!$A:$H,7,FALSE)=X62,1,0)</f>
        <v>#N/A</v>
      </c>
      <c r="DK62" s="138" t="e">
        <f>IF(VLOOKUP(CONCATENATE(H62,F62,DK$2),Español!$A:$H,7,FALSE)=Y62,1,0)</f>
        <v>#N/A</v>
      </c>
      <c r="DL62" s="138" t="e">
        <f>IF(VLOOKUP(CONCATENATE(H62,F62,DL$2),Español!$A:$H,7,FALSE)=Z62,1,0)</f>
        <v>#N/A</v>
      </c>
      <c r="DM62" s="138" t="e">
        <f>IF(VLOOKUP(CONCATENATE(H62,F62,DM$2),Español!$A:$H,7,FALSE)=AA62,1,0)</f>
        <v>#N/A</v>
      </c>
      <c r="DN62" s="138" t="e">
        <f>IF(VLOOKUP(CONCATENATE(H62,F62,DN$2),Español!$A:$H,7,FALSE)=AB62,1,0)</f>
        <v>#N/A</v>
      </c>
      <c r="DO62" s="138" t="e">
        <f>IF(VLOOKUP(CONCATENATE(H62,F62,DO$2),Español!$A:$H,7,FALSE)=AC62,1,0)</f>
        <v>#N/A</v>
      </c>
      <c r="DP62" s="138" t="e">
        <f>IF(VLOOKUP(CONCATENATE(H62,F62,DP$2),Español!$A:$H,7,FALSE)=AD62,1,0)</f>
        <v>#N/A</v>
      </c>
      <c r="DQ62" s="138" t="e">
        <f>IF(VLOOKUP(CONCATENATE(H62,F62,DQ$2),Español!$A:$H,7,FALSE)=AE62,1,0)</f>
        <v>#N/A</v>
      </c>
      <c r="DR62" s="138" t="e">
        <f>IF(VLOOKUP(CONCATENATE(H62,F62,DR$2),Inglés!$A:$H,7,FALSE)=AF62,1,0)</f>
        <v>#N/A</v>
      </c>
      <c r="DS62" s="138" t="e">
        <f>IF(VLOOKUP(CONCATENATE(H62,F62,DS$2),Inglés!$A:$H,7,FALSE)=AG62,1,0)</f>
        <v>#N/A</v>
      </c>
      <c r="DT62" s="138" t="e">
        <f>IF(VLOOKUP(CONCATENATE(H62,F62,DT$2),Inglés!$A:$H,7,FALSE)=AH62,1,0)</f>
        <v>#N/A</v>
      </c>
      <c r="DU62" s="138" t="e">
        <f>IF(VLOOKUP(CONCATENATE(H62,F62,DU$2),Inglés!$A:$H,7,FALSE)=AI62,1,0)</f>
        <v>#N/A</v>
      </c>
      <c r="DV62" s="138" t="e">
        <f>IF(VLOOKUP(CONCATENATE(H62,F62,DV$2),Inglés!$A:$H,7,FALSE)=AJ62,1,0)</f>
        <v>#N/A</v>
      </c>
      <c r="DW62" s="138" t="e">
        <f>IF(VLOOKUP(CONCATENATE(H62,F62,DW$2),Inglés!$A:$H,7,FALSE)=AK62,1,0)</f>
        <v>#N/A</v>
      </c>
      <c r="DX62" s="138" t="e">
        <f>IF(VLOOKUP(CONCATENATE(H62,F62,DX$2),Inglés!$A:$H,7,FALSE)=AL62,1,0)</f>
        <v>#N/A</v>
      </c>
      <c r="DY62" s="138" t="e">
        <f>IF(VLOOKUP(CONCATENATE(H62,F62,DY$2),Inglés!$A:$H,7,FALSE)=AM62,1,0)</f>
        <v>#N/A</v>
      </c>
      <c r="DZ62" s="138" t="e">
        <f>IF(VLOOKUP(CONCATENATE(H62,F62,DZ$2),Inglés!$A:$H,7,FALSE)=AN62,1,0)</f>
        <v>#N/A</v>
      </c>
      <c r="EA62" s="138" t="e">
        <f>IF(VLOOKUP(CONCATENATE(H62,F62,EA$2),Inglés!$A:$H,7,FALSE)=AO62,1,0)</f>
        <v>#N/A</v>
      </c>
      <c r="EB62" s="138" t="e">
        <f>IF(VLOOKUP(CONCATENATE(H62,F62,EB$2),Matemáticas!$A:$H,7,FALSE)=AP62,1,0)</f>
        <v>#N/A</v>
      </c>
      <c r="EC62" s="138" t="e">
        <f>IF(VLOOKUP(CONCATENATE(H62,F62,EC$2),Matemáticas!$A:$H,7,FALSE)=AQ62,1,0)</f>
        <v>#N/A</v>
      </c>
      <c r="ED62" s="138" t="e">
        <f>IF(VLOOKUP(CONCATENATE(H62,F62,ED$2),Matemáticas!$A:$H,7,FALSE)=AR62,1,0)</f>
        <v>#N/A</v>
      </c>
      <c r="EE62" s="138" t="e">
        <f>IF(VLOOKUP(CONCATENATE(H62,F62,EE$2),Matemáticas!$A:$H,7,FALSE)=AS62,1,0)</f>
        <v>#N/A</v>
      </c>
      <c r="EF62" s="138" t="e">
        <f>IF(VLOOKUP(CONCATENATE(H62,F62,EF$2),Matemáticas!$A:$H,7,FALSE)=AT62,1,0)</f>
        <v>#N/A</v>
      </c>
      <c r="EG62" s="138" t="e">
        <f>IF(VLOOKUP(CONCATENATE(H62,F62,EG$2),Matemáticas!$A:$H,7,FALSE)=AU62,1,0)</f>
        <v>#N/A</v>
      </c>
      <c r="EH62" s="138" t="e">
        <f>IF(VLOOKUP(CONCATENATE(H62,F62,EH$2),Matemáticas!$A:$H,7,FALSE)=AV62,1,0)</f>
        <v>#N/A</v>
      </c>
      <c r="EI62" s="138" t="e">
        <f>IF(VLOOKUP(CONCATENATE(H62,F62,EI$2),Matemáticas!$A:$H,7,FALSE)=AW62,1,0)</f>
        <v>#N/A</v>
      </c>
      <c r="EJ62" s="138" t="e">
        <f>IF(VLOOKUP(CONCATENATE(H62,F62,EJ$2),Matemáticas!$A:$H,7,FALSE)=AX62,1,0)</f>
        <v>#N/A</v>
      </c>
      <c r="EK62" s="138" t="e">
        <f>IF(VLOOKUP(CONCATENATE(H62,F62,EK$2),Matemáticas!$A:$H,7,FALSE)=AY62,1,0)</f>
        <v>#N/A</v>
      </c>
      <c r="EL62" s="138" t="e">
        <f>IF(VLOOKUP(CONCATENATE(H62,F62,EL$2),Matemáticas!$A:$H,7,FALSE)=AZ62,1,0)</f>
        <v>#N/A</v>
      </c>
      <c r="EM62" s="138" t="e">
        <f>IF(VLOOKUP(CONCATENATE(H62,F62,EM$2),Matemáticas!$A:$H,7,FALSE)=BA62,1,0)</f>
        <v>#N/A</v>
      </c>
      <c r="EN62" s="138" t="e">
        <f>IF(VLOOKUP(CONCATENATE(H62,F62,EN$2),Matemáticas!$A:$H,7,FALSE)=BB62,1,0)</f>
        <v>#N/A</v>
      </c>
      <c r="EO62" s="138" t="e">
        <f>IF(VLOOKUP(CONCATENATE(H62,F62,EO$2),Matemáticas!$A:$H,7,FALSE)=BC62,1,0)</f>
        <v>#N/A</v>
      </c>
      <c r="EP62" s="138" t="e">
        <f>IF(VLOOKUP(CONCATENATE(H62,F62,EP$2),Matemáticas!$A:$H,7,FALSE)=BD62,1,0)</f>
        <v>#N/A</v>
      </c>
      <c r="EQ62" s="138" t="e">
        <f>IF(VLOOKUP(CONCATENATE(H62,F62,EQ$2),Matemáticas!$A:$H,7,FALSE)=BE62,1,0)</f>
        <v>#N/A</v>
      </c>
      <c r="ER62" s="138" t="e">
        <f>IF(VLOOKUP(CONCATENATE(H62,F62,ER$2),Matemáticas!$A:$H,7,FALSE)=BF62,1,0)</f>
        <v>#N/A</v>
      </c>
      <c r="ES62" s="138" t="e">
        <f>IF(VLOOKUP(CONCATENATE(H62,F62,ES$2),Matemáticas!$A:$H,7,FALSE)=BG62,1,0)</f>
        <v>#N/A</v>
      </c>
      <c r="ET62" s="138" t="e">
        <f>IF(VLOOKUP(CONCATENATE(H62,F62,ET$2),Matemáticas!$A:$H,7,FALSE)=BH62,1,0)</f>
        <v>#N/A</v>
      </c>
      <c r="EU62" s="138" t="e">
        <f>IF(VLOOKUP(CONCATENATE(H62,F62,EU$2),Matemáticas!$A:$H,7,FALSE)=BI62,1,0)</f>
        <v>#N/A</v>
      </c>
      <c r="EV62" s="138" t="e">
        <f>IF(VLOOKUP(CONCATENATE(H62,F62,EV$2),Ciencias!$A:$H,7,FALSE)=BJ62,1,0)</f>
        <v>#N/A</v>
      </c>
      <c r="EW62" s="138" t="e">
        <f>IF(VLOOKUP(CONCATENATE(H62,F62,EW$2),Ciencias!$A:$H,7,FALSE)=BK62,1,0)</f>
        <v>#N/A</v>
      </c>
      <c r="EX62" s="138" t="e">
        <f>IF(VLOOKUP(CONCATENATE(H62,F62,EX$2),Ciencias!$A:$H,7,FALSE)=BL62,1,0)</f>
        <v>#N/A</v>
      </c>
      <c r="EY62" s="138" t="e">
        <f>IF(VLOOKUP(CONCATENATE(H62,F62,EY$2),Ciencias!$A:$H,7,FALSE)=BM62,1,0)</f>
        <v>#N/A</v>
      </c>
      <c r="EZ62" s="138" t="e">
        <f>IF(VLOOKUP(CONCATENATE(H62,F62,EZ$2),Ciencias!$A:$H,7,FALSE)=BN62,1,0)</f>
        <v>#N/A</v>
      </c>
      <c r="FA62" s="138" t="e">
        <f>IF(VLOOKUP(CONCATENATE(H62,F62,FA$2),Ciencias!$A:$H,7,FALSE)=BO62,1,0)</f>
        <v>#N/A</v>
      </c>
      <c r="FB62" s="138" t="e">
        <f>IF(VLOOKUP(CONCATENATE(H62,F62,FB$2),Ciencias!$A:$H,7,FALSE)=BP62,1,0)</f>
        <v>#N/A</v>
      </c>
      <c r="FC62" s="138" t="e">
        <f>IF(VLOOKUP(CONCATENATE(H62,F62,FC$2),Ciencias!$A:$H,7,FALSE)=BQ62,1,0)</f>
        <v>#N/A</v>
      </c>
      <c r="FD62" s="138" t="e">
        <f>IF(VLOOKUP(CONCATENATE(H62,F62,FD$2),Ciencias!$A:$H,7,FALSE)=BR62,1,0)</f>
        <v>#N/A</v>
      </c>
      <c r="FE62" s="138" t="e">
        <f>IF(VLOOKUP(CONCATENATE(H62,F62,FE$2),Ciencias!$A:$H,7,FALSE)=BS62,1,0)</f>
        <v>#N/A</v>
      </c>
      <c r="FF62" s="138" t="e">
        <f>IF(VLOOKUP(CONCATENATE(H62,F62,FF$2),Ciencias!$A:$H,7,FALSE)=BT62,1,0)</f>
        <v>#N/A</v>
      </c>
      <c r="FG62" s="138" t="e">
        <f>IF(VLOOKUP(CONCATENATE(H62,F62,FG$2),Ciencias!$A:$H,7,FALSE)=BU62,1,0)</f>
        <v>#N/A</v>
      </c>
      <c r="FH62" s="138" t="e">
        <f>IF(VLOOKUP(CONCATENATE(H62,F62,FH$2),Ciencias!$A:$H,7,FALSE)=BV62,1,0)</f>
        <v>#N/A</v>
      </c>
      <c r="FI62" s="138" t="e">
        <f>IF(VLOOKUP(CONCATENATE(H62,F62,FI$2),Ciencias!$A:$H,7,FALSE)=BW62,1,0)</f>
        <v>#N/A</v>
      </c>
      <c r="FJ62" s="138" t="e">
        <f>IF(VLOOKUP(CONCATENATE(H62,F62,FJ$2),Ciencias!$A:$H,7,FALSE)=BX62,1,0)</f>
        <v>#N/A</v>
      </c>
      <c r="FK62" s="138" t="e">
        <f>IF(VLOOKUP(CONCATENATE(H62,F62,FK$2),Ciencias!$A:$H,7,FALSE)=BY62,1,0)</f>
        <v>#N/A</v>
      </c>
      <c r="FL62" s="138" t="e">
        <f>IF(VLOOKUP(CONCATENATE(H62,F62,FL$2),Ciencias!$A:$H,7,FALSE)=BZ62,1,0)</f>
        <v>#N/A</v>
      </c>
      <c r="FM62" s="138" t="e">
        <f>IF(VLOOKUP(CONCATENATE(H62,F62,FM$2),Ciencias!$A:$H,7,FALSE)=CA62,1,0)</f>
        <v>#N/A</v>
      </c>
      <c r="FN62" s="138" t="e">
        <f>IF(VLOOKUP(CONCATENATE(H62,F62,FN$2),Ciencias!$A:$H,7,FALSE)=CB62,1,0)</f>
        <v>#N/A</v>
      </c>
      <c r="FO62" s="138" t="e">
        <f>IF(VLOOKUP(CONCATENATE(H62,F62,FO$2),Ciencias!$A:$H,7,FALSE)=CC62,1,0)</f>
        <v>#N/A</v>
      </c>
      <c r="FP62" s="138" t="e">
        <f>IF(VLOOKUP(CONCATENATE(H62,F62,FP$2),GeoHis!$A:$H,7,FALSE)=CD62,1,0)</f>
        <v>#N/A</v>
      </c>
      <c r="FQ62" s="138" t="e">
        <f>IF(VLOOKUP(CONCATENATE(H62,F62,FQ$2),GeoHis!$A:$H,7,FALSE)=CE62,1,0)</f>
        <v>#N/A</v>
      </c>
      <c r="FR62" s="138" t="e">
        <f>IF(VLOOKUP(CONCATENATE(H62,F62,FR$2),GeoHis!$A:$H,7,FALSE)=CF62,1,0)</f>
        <v>#N/A</v>
      </c>
      <c r="FS62" s="138" t="e">
        <f>IF(VLOOKUP(CONCATENATE(H62,F62,FS$2),GeoHis!$A:$H,7,FALSE)=CG62,1,0)</f>
        <v>#N/A</v>
      </c>
      <c r="FT62" s="138" t="e">
        <f>IF(VLOOKUP(CONCATENATE(H62,F62,FT$2),GeoHis!$A:$H,7,FALSE)=CH62,1,0)</f>
        <v>#N/A</v>
      </c>
      <c r="FU62" s="138" t="e">
        <f>IF(VLOOKUP(CONCATENATE(H62,F62,FU$2),GeoHis!$A:$H,7,FALSE)=CI62,1,0)</f>
        <v>#N/A</v>
      </c>
      <c r="FV62" s="138" t="e">
        <f>IF(VLOOKUP(CONCATENATE(H62,F62,FV$2),GeoHis!$A:$H,7,FALSE)=CJ62,1,0)</f>
        <v>#N/A</v>
      </c>
      <c r="FW62" s="138" t="e">
        <f>IF(VLOOKUP(CONCATENATE(H62,F62,FW$2),GeoHis!$A:$H,7,FALSE)=CK62,1,0)</f>
        <v>#N/A</v>
      </c>
      <c r="FX62" s="138" t="e">
        <f>IF(VLOOKUP(CONCATENATE(H62,F62,FX$2),GeoHis!$A:$H,7,FALSE)=CL62,1,0)</f>
        <v>#N/A</v>
      </c>
      <c r="FY62" s="138" t="e">
        <f>IF(VLOOKUP(CONCATENATE(H62,F62,FY$2),GeoHis!$A:$H,7,FALSE)=CM62,1,0)</f>
        <v>#N/A</v>
      </c>
      <c r="FZ62" s="138" t="e">
        <f>IF(VLOOKUP(CONCATENATE(H62,F62,FZ$2),GeoHis!$A:$H,7,FALSE)=CN62,1,0)</f>
        <v>#N/A</v>
      </c>
      <c r="GA62" s="138" t="e">
        <f>IF(VLOOKUP(CONCATENATE(H62,F62,GA$2),GeoHis!$A:$H,7,FALSE)=CO62,1,0)</f>
        <v>#N/A</v>
      </c>
      <c r="GB62" s="138" t="e">
        <f>IF(VLOOKUP(CONCATENATE(H62,F62,GB$2),GeoHis!$A:$H,7,FALSE)=CP62,1,0)</f>
        <v>#N/A</v>
      </c>
      <c r="GC62" s="138" t="e">
        <f>IF(VLOOKUP(CONCATENATE(H62,F62,GC$2),GeoHis!$A:$H,7,FALSE)=CQ62,1,0)</f>
        <v>#N/A</v>
      </c>
      <c r="GD62" s="138" t="e">
        <f>IF(VLOOKUP(CONCATENATE(H62,F62,GD$2),GeoHis!$A:$H,7,FALSE)=CR62,1,0)</f>
        <v>#N/A</v>
      </c>
      <c r="GE62" s="135" t="str">
        <f t="shared" si="6"/>
        <v/>
      </c>
    </row>
    <row r="63" spans="1:187" x14ac:dyDescent="0.25">
      <c r="A63" s="127" t="str">
        <f>IF(C63="","",'Datos Generales'!$A$25)</f>
        <v/>
      </c>
      <c r="D63" s="126" t="str">
        <f t="shared" si="0"/>
        <v/>
      </c>
      <c r="E63" s="126">
        <f t="shared" si="1"/>
        <v>0</v>
      </c>
      <c r="F63" s="126" t="str">
        <f t="shared" si="7"/>
        <v/>
      </c>
      <c r="G63" s="126" t="str">
        <f>IF(C63="","",'Datos Generales'!$D$19)</f>
        <v/>
      </c>
      <c r="H63" s="21" t="str">
        <f>IF(C63="","",'Datos Generales'!$A$19)</f>
        <v/>
      </c>
      <c r="I63" s="126" t="str">
        <f>IF(C63="","",'Datos Generales'!$A$7)</f>
        <v/>
      </c>
      <c r="J63" s="21" t="str">
        <f>IF(C63="","",'Datos Generales'!$A$13)</f>
        <v/>
      </c>
      <c r="K63" s="21" t="str">
        <f>IF(C63="","",'Datos Generales'!$A$10)</f>
        <v/>
      </c>
      <c r="CS63" s="142" t="str">
        <f t="shared" si="2"/>
        <v/>
      </c>
      <c r="CT63" s="142" t="str">
        <f t="shared" si="3"/>
        <v/>
      </c>
      <c r="CU63" s="142" t="str">
        <f t="shared" si="4"/>
        <v/>
      </c>
      <c r="CV63" s="142" t="str">
        <f t="shared" si="5"/>
        <v/>
      </c>
      <c r="CW63" s="142" t="str">
        <f>IF(C63="","",IF('Datos Generales'!$A$19=1,AVERAGE(FP63:GD63),AVERAGE(Captura!FP63:FY63)))</f>
        <v/>
      </c>
      <c r="CX63" s="138" t="e">
        <f>IF(VLOOKUP(CONCATENATE($H$4,$F$4,CX$2),Español!$A:$H,7,FALSE)=L63,1,0)</f>
        <v>#N/A</v>
      </c>
      <c r="CY63" s="138" t="e">
        <f>IF(VLOOKUP(CONCATENATE(H63,F63,CY$2),Español!$A:$H,7,FALSE)=M63,1,0)</f>
        <v>#N/A</v>
      </c>
      <c r="CZ63" s="138" t="e">
        <f>IF(VLOOKUP(CONCATENATE(H63,F63,CZ$2),Español!$A:$H,7,FALSE)=N63,1,0)</f>
        <v>#N/A</v>
      </c>
      <c r="DA63" s="138" t="e">
        <f>IF(VLOOKUP(CONCATENATE(H63,F63,DA$2),Español!$A:$H,7,FALSE)=O63,1,0)</f>
        <v>#N/A</v>
      </c>
      <c r="DB63" s="138" t="e">
        <f>IF(VLOOKUP(CONCATENATE(H63,F63,DB$2),Español!$A:$H,7,FALSE)=P63,1,0)</f>
        <v>#N/A</v>
      </c>
      <c r="DC63" s="138" t="e">
        <f>IF(VLOOKUP(CONCATENATE(H63,F63,DC$2),Español!$A:$H,7,FALSE)=Q63,1,0)</f>
        <v>#N/A</v>
      </c>
      <c r="DD63" s="138" t="e">
        <f>IF(VLOOKUP(CONCATENATE(H63,F63,DD$2),Español!$A:$H,7,FALSE)=R63,1,0)</f>
        <v>#N/A</v>
      </c>
      <c r="DE63" s="138" t="e">
        <f>IF(VLOOKUP(CONCATENATE(H63,F63,DE$2),Español!$A:$H,7,FALSE)=S63,1,0)</f>
        <v>#N/A</v>
      </c>
      <c r="DF63" s="138" t="e">
        <f>IF(VLOOKUP(CONCATENATE(H63,F63,DF$2),Español!$A:$H,7,FALSE)=T63,1,0)</f>
        <v>#N/A</v>
      </c>
      <c r="DG63" s="138" t="e">
        <f>IF(VLOOKUP(CONCATENATE(H63,F63,DG$2),Español!$A:$H,7,FALSE)=U63,1,0)</f>
        <v>#N/A</v>
      </c>
      <c r="DH63" s="138" t="e">
        <f>IF(VLOOKUP(CONCATENATE(H63,F63,DH$2),Español!$A:$H,7,FALSE)=V63,1,0)</f>
        <v>#N/A</v>
      </c>
      <c r="DI63" s="138" t="e">
        <f>IF(VLOOKUP(CONCATENATE(H63,F63,DI$2),Español!$A:$H,7,FALSE)=W63,1,0)</f>
        <v>#N/A</v>
      </c>
      <c r="DJ63" s="138" t="e">
        <f>IF(VLOOKUP(CONCATENATE(H63,F63,DJ$2),Español!$A:$H,7,FALSE)=X63,1,0)</f>
        <v>#N/A</v>
      </c>
      <c r="DK63" s="138" t="e">
        <f>IF(VLOOKUP(CONCATENATE(H63,F63,DK$2),Español!$A:$H,7,FALSE)=Y63,1,0)</f>
        <v>#N/A</v>
      </c>
      <c r="DL63" s="138" t="e">
        <f>IF(VLOOKUP(CONCATENATE(H63,F63,DL$2),Español!$A:$H,7,FALSE)=Z63,1,0)</f>
        <v>#N/A</v>
      </c>
      <c r="DM63" s="138" t="e">
        <f>IF(VLOOKUP(CONCATENATE(H63,F63,DM$2),Español!$A:$H,7,FALSE)=AA63,1,0)</f>
        <v>#N/A</v>
      </c>
      <c r="DN63" s="138" t="e">
        <f>IF(VLOOKUP(CONCATENATE(H63,F63,DN$2),Español!$A:$H,7,FALSE)=AB63,1,0)</f>
        <v>#N/A</v>
      </c>
      <c r="DO63" s="138" t="e">
        <f>IF(VLOOKUP(CONCATENATE(H63,F63,DO$2),Español!$A:$H,7,FALSE)=AC63,1,0)</f>
        <v>#N/A</v>
      </c>
      <c r="DP63" s="138" t="e">
        <f>IF(VLOOKUP(CONCATENATE(H63,F63,DP$2),Español!$A:$H,7,FALSE)=AD63,1,0)</f>
        <v>#N/A</v>
      </c>
      <c r="DQ63" s="138" t="e">
        <f>IF(VLOOKUP(CONCATENATE(H63,F63,DQ$2),Español!$A:$H,7,FALSE)=AE63,1,0)</f>
        <v>#N/A</v>
      </c>
      <c r="DR63" s="138" t="e">
        <f>IF(VLOOKUP(CONCATENATE(H63,F63,DR$2),Inglés!$A:$H,7,FALSE)=AF63,1,0)</f>
        <v>#N/A</v>
      </c>
      <c r="DS63" s="138" t="e">
        <f>IF(VLOOKUP(CONCATENATE(H63,F63,DS$2),Inglés!$A:$H,7,FALSE)=AG63,1,0)</f>
        <v>#N/A</v>
      </c>
      <c r="DT63" s="138" t="e">
        <f>IF(VLOOKUP(CONCATENATE(H63,F63,DT$2),Inglés!$A:$H,7,FALSE)=AH63,1,0)</f>
        <v>#N/A</v>
      </c>
      <c r="DU63" s="138" t="e">
        <f>IF(VLOOKUP(CONCATENATE(H63,F63,DU$2),Inglés!$A:$H,7,FALSE)=AI63,1,0)</f>
        <v>#N/A</v>
      </c>
      <c r="DV63" s="138" t="e">
        <f>IF(VLOOKUP(CONCATENATE(H63,F63,DV$2),Inglés!$A:$H,7,FALSE)=AJ63,1,0)</f>
        <v>#N/A</v>
      </c>
      <c r="DW63" s="138" t="e">
        <f>IF(VLOOKUP(CONCATENATE(H63,F63,DW$2),Inglés!$A:$H,7,FALSE)=AK63,1,0)</f>
        <v>#N/A</v>
      </c>
      <c r="DX63" s="138" t="e">
        <f>IF(VLOOKUP(CONCATENATE(H63,F63,DX$2),Inglés!$A:$H,7,FALSE)=AL63,1,0)</f>
        <v>#N/A</v>
      </c>
      <c r="DY63" s="138" t="e">
        <f>IF(VLOOKUP(CONCATENATE(H63,F63,DY$2),Inglés!$A:$H,7,FALSE)=AM63,1,0)</f>
        <v>#N/A</v>
      </c>
      <c r="DZ63" s="138" t="e">
        <f>IF(VLOOKUP(CONCATENATE(H63,F63,DZ$2),Inglés!$A:$H,7,FALSE)=AN63,1,0)</f>
        <v>#N/A</v>
      </c>
      <c r="EA63" s="138" t="e">
        <f>IF(VLOOKUP(CONCATENATE(H63,F63,EA$2),Inglés!$A:$H,7,FALSE)=AO63,1,0)</f>
        <v>#N/A</v>
      </c>
      <c r="EB63" s="138" t="e">
        <f>IF(VLOOKUP(CONCATENATE(H63,F63,EB$2),Matemáticas!$A:$H,7,FALSE)=AP63,1,0)</f>
        <v>#N/A</v>
      </c>
      <c r="EC63" s="138" t="e">
        <f>IF(VLOOKUP(CONCATENATE(H63,F63,EC$2),Matemáticas!$A:$H,7,FALSE)=AQ63,1,0)</f>
        <v>#N/A</v>
      </c>
      <c r="ED63" s="138" t="e">
        <f>IF(VLOOKUP(CONCATENATE(H63,F63,ED$2),Matemáticas!$A:$H,7,FALSE)=AR63,1,0)</f>
        <v>#N/A</v>
      </c>
      <c r="EE63" s="138" t="e">
        <f>IF(VLOOKUP(CONCATENATE(H63,F63,EE$2),Matemáticas!$A:$H,7,FALSE)=AS63,1,0)</f>
        <v>#N/A</v>
      </c>
      <c r="EF63" s="138" t="e">
        <f>IF(VLOOKUP(CONCATENATE(H63,F63,EF$2),Matemáticas!$A:$H,7,FALSE)=AT63,1,0)</f>
        <v>#N/A</v>
      </c>
      <c r="EG63" s="138" t="e">
        <f>IF(VLOOKUP(CONCATENATE(H63,F63,EG$2),Matemáticas!$A:$H,7,FALSE)=AU63,1,0)</f>
        <v>#N/A</v>
      </c>
      <c r="EH63" s="138" t="e">
        <f>IF(VLOOKUP(CONCATENATE(H63,F63,EH$2),Matemáticas!$A:$H,7,FALSE)=AV63,1,0)</f>
        <v>#N/A</v>
      </c>
      <c r="EI63" s="138" t="e">
        <f>IF(VLOOKUP(CONCATENATE(H63,F63,EI$2),Matemáticas!$A:$H,7,FALSE)=AW63,1,0)</f>
        <v>#N/A</v>
      </c>
      <c r="EJ63" s="138" t="e">
        <f>IF(VLOOKUP(CONCATENATE(H63,F63,EJ$2),Matemáticas!$A:$H,7,FALSE)=AX63,1,0)</f>
        <v>#N/A</v>
      </c>
      <c r="EK63" s="138" t="e">
        <f>IF(VLOOKUP(CONCATENATE(H63,F63,EK$2),Matemáticas!$A:$H,7,FALSE)=AY63,1,0)</f>
        <v>#N/A</v>
      </c>
      <c r="EL63" s="138" t="e">
        <f>IF(VLOOKUP(CONCATENATE(H63,F63,EL$2),Matemáticas!$A:$H,7,FALSE)=AZ63,1,0)</f>
        <v>#N/A</v>
      </c>
      <c r="EM63" s="138" t="e">
        <f>IF(VLOOKUP(CONCATENATE(H63,F63,EM$2),Matemáticas!$A:$H,7,FALSE)=BA63,1,0)</f>
        <v>#N/A</v>
      </c>
      <c r="EN63" s="138" t="e">
        <f>IF(VLOOKUP(CONCATENATE(H63,F63,EN$2),Matemáticas!$A:$H,7,FALSE)=BB63,1,0)</f>
        <v>#N/A</v>
      </c>
      <c r="EO63" s="138" t="e">
        <f>IF(VLOOKUP(CONCATENATE(H63,F63,EO$2),Matemáticas!$A:$H,7,FALSE)=BC63,1,0)</f>
        <v>#N/A</v>
      </c>
      <c r="EP63" s="138" t="e">
        <f>IF(VLOOKUP(CONCATENATE(H63,F63,EP$2),Matemáticas!$A:$H,7,FALSE)=BD63,1,0)</f>
        <v>#N/A</v>
      </c>
      <c r="EQ63" s="138" t="e">
        <f>IF(VLOOKUP(CONCATENATE(H63,F63,EQ$2),Matemáticas!$A:$H,7,FALSE)=BE63,1,0)</f>
        <v>#N/A</v>
      </c>
      <c r="ER63" s="138" t="e">
        <f>IF(VLOOKUP(CONCATENATE(H63,F63,ER$2),Matemáticas!$A:$H,7,FALSE)=BF63,1,0)</f>
        <v>#N/A</v>
      </c>
      <c r="ES63" s="138" t="e">
        <f>IF(VLOOKUP(CONCATENATE(H63,F63,ES$2),Matemáticas!$A:$H,7,FALSE)=BG63,1,0)</f>
        <v>#N/A</v>
      </c>
      <c r="ET63" s="138" t="e">
        <f>IF(VLOOKUP(CONCATENATE(H63,F63,ET$2),Matemáticas!$A:$H,7,FALSE)=BH63,1,0)</f>
        <v>#N/A</v>
      </c>
      <c r="EU63" s="138" t="e">
        <f>IF(VLOOKUP(CONCATENATE(H63,F63,EU$2),Matemáticas!$A:$H,7,FALSE)=BI63,1,0)</f>
        <v>#N/A</v>
      </c>
      <c r="EV63" s="138" t="e">
        <f>IF(VLOOKUP(CONCATENATE(H63,F63,EV$2),Ciencias!$A:$H,7,FALSE)=BJ63,1,0)</f>
        <v>#N/A</v>
      </c>
      <c r="EW63" s="138" t="e">
        <f>IF(VLOOKUP(CONCATENATE(H63,F63,EW$2),Ciencias!$A:$H,7,FALSE)=BK63,1,0)</f>
        <v>#N/A</v>
      </c>
      <c r="EX63" s="138" t="e">
        <f>IF(VLOOKUP(CONCATENATE(H63,F63,EX$2),Ciencias!$A:$H,7,FALSE)=BL63,1,0)</f>
        <v>#N/A</v>
      </c>
      <c r="EY63" s="138" t="e">
        <f>IF(VLOOKUP(CONCATENATE(H63,F63,EY$2),Ciencias!$A:$H,7,FALSE)=BM63,1,0)</f>
        <v>#N/A</v>
      </c>
      <c r="EZ63" s="138" t="e">
        <f>IF(VLOOKUP(CONCATENATE(H63,F63,EZ$2),Ciencias!$A:$H,7,FALSE)=BN63,1,0)</f>
        <v>#N/A</v>
      </c>
      <c r="FA63" s="138" t="e">
        <f>IF(VLOOKUP(CONCATENATE(H63,F63,FA$2),Ciencias!$A:$H,7,FALSE)=BO63,1,0)</f>
        <v>#N/A</v>
      </c>
      <c r="FB63" s="138" t="e">
        <f>IF(VLOOKUP(CONCATENATE(H63,F63,FB$2),Ciencias!$A:$H,7,FALSE)=BP63,1,0)</f>
        <v>#N/A</v>
      </c>
      <c r="FC63" s="138" t="e">
        <f>IF(VLOOKUP(CONCATENATE(H63,F63,FC$2),Ciencias!$A:$H,7,FALSE)=BQ63,1,0)</f>
        <v>#N/A</v>
      </c>
      <c r="FD63" s="138" t="e">
        <f>IF(VLOOKUP(CONCATENATE(H63,F63,FD$2),Ciencias!$A:$H,7,FALSE)=BR63,1,0)</f>
        <v>#N/A</v>
      </c>
      <c r="FE63" s="138" t="e">
        <f>IF(VLOOKUP(CONCATENATE(H63,F63,FE$2),Ciencias!$A:$H,7,FALSE)=BS63,1,0)</f>
        <v>#N/A</v>
      </c>
      <c r="FF63" s="138" t="e">
        <f>IF(VLOOKUP(CONCATENATE(H63,F63,FF$2),Ciencias!$A:$H,7,FALSE)=BT63,1,0)</f>
        <v>#N/A</v>
      </c>
      <c r="FG63" s="138" t="e">
        <f>IF(VLOOKUP(CONCATENATE(H63,F63,FG$2),Ciencias!$A:$H,7,FALSE)=BU63,1,0)</f>
        <v>#N/A</v>
      </c>
      <c r="FH63" s="138" t="e">
        <f>IF(VLOOKUP(CONCATENATE(H63,F63,FH$2),Ciencias!$A:$H,7,FALSE)=BV63,1,0)</f>
        <v>#N/A</v>
      </c>
      <c r="FI63" s="138" t="e">
        <f>IF(VLOOKUP(CONCATENATE(H63,F63,FI$2),Ciencias!$A:$H,7,FALSE)=BW63,1,0)</f>
        <v>#N/A</v>
      </c>
      <c r="FJ63" s="138" t="e">
        <f>IF(VLOOKUP(CONCATENATE(H63,F63,FJ$2),Ciencias!$A:$H,7,FALSE)=BX63,1,0)</f>
        <v>#N/A</v>
      </c>
      <c r="FK63" s="138" t="e">
        <f>IF(VLOOKUP(CONCATENATE(H63,F63,FK$2),Ciencias!$A:$H,7,FALSE)=BY63,1,0)</f>
        <v>#N/A</v>
      </c>
      <c r="FL63" s="138" t="e">
        <f>IF(VLOOKUP(CONCATENATE(H63,F63,FL$2),Ciencias!$A:$H,7,FALSE)=BZ63,1,0)</f>
        <v>#N/A</v>
      </c>
      <c r="FM63" s="138" t="e">
        <f>IF(VLOOKUP(CONCATENATE(H63,F63,FM$2),Ciencias!$A:$H,7,FALSE)=CA63,1,0)</f>
        <v>#N/A</v>
      </c>
      <c r="FN63" s="138" t="e">
        <f>IF(VLOOKUP(CONCATENATE(H63,F63,FN$2),Ciencias!$A:$H,7,FALSE)=CB63,1,0)</f>
        <v>#N/A</v>
      </c>
      <c r="FO63" s="138" t="e">
        <f>IF(VLOOKUP(CONCATENATE(H63,F63,FO$2),Ciencias!$A:$H,7,FALSE)=CC63,1,0)</f>
        <v>#N/A</v>
      </c>
      <c r="FP63" s="138" t="e">
        <f>IF(VLOOKUP(CONCATENATE(H63,F63,FP$2),GeoHis!$A:$H,7,FALSE)=CD63,1,0)</f>
        <v>#N/A</v>
      </c>
      <c r="FQ63" s="138" t="e">
        <f>IF(VLOOKUP(CONCATENATE(H63,F63,FQ$2),GeoHis!$A:$H,7,FALSE)=CE63,1,0)</f>
        <v>#N/A</v>
      </c>
      <c r="FR63" s="138" t="e">
        <f>IF(VLOOKUP(CONCATENATE(H63,F63,FR$2),GeoHis!$A:$H,7,FALSE)=CF63,1,0)</f>
        <v>#N/A</v>
      </c>
      <c r="FS63" s="138" t="e">
        <f>IF(VLOOKUP(CONCATENATE(H63,F63,FS$2),GeoHis!$A:$H,7,FALSE)=CG63,1,0)</f>
        <v>#N/A</v>
      </c>
      <c r="FT63" s="138" t="e">
        <f>IF(VLOOKUP(CONCATENATE(H63,F63,FT$2),GeoHis!$A:$H,7,FALSE)=CH63,1,0)</f>
        <v>#N/A</v>
      </c>
      <c r="FU63" s="138" t="e">
        <f>IF(VLOOKUP(CONCATENATE(H63,F63,FU$2),GeoHis!$A:$H,7,FALSE)=CI63,1,0)</f>
        <v>#N/A</v>
      </c>
      <c r="FV63" s="138" t="e">
        <f>IF(VLOOKUP(CONCATENATE(H63,F63,FV$2),GeoHis!$A:$H,7,FALSE)=CJ63,1,0)</f>
        <v>#N/A</v>
      </c>
      <c r="FW63" s="138" t="e">
        <f>IF(VLOOKUP(CONCATENATE(H63,F63,FW$2),GeoHis!$A:$H,7,FALSE)=CK63,1,0)</f>
        <v>#N/A</v>
      </c>
      <c r="FX63" s="138" t="e">
        <f>IF(VLOOKUP(CONCATENATE(H63,F63,FX$2),GeoHis!$A:$H,7,FALSE)=CL63,1,0)</f>
        <v>#N/A</v>
      </c>
      <c r="FY63" s="138" t="e">
        <f>IF(VLOOKUP(CONCATENATE(H63,F63,FY$2),GeoHis!$A:$H,7,FALSE)=CM63,1,0)</f>
        <v>#N/A</v>
      </c>
      <c r="FZ63" s="138" t="e">
        <f>IF(VLOOKUP(CONCATENATE(H63,F63,FZ$2),GeoHis!$A:$H,7,FALSE)=CN63,1,0)</f>
        <v>#N/A</v>
      </c>
      <c r="GA63" s="138" t="e">
        <f>IF(VLOOKUP(CONCATENATE(H63,F63,GA$2),GeoHis!$A:$H,7,FALSE)=CO63,1,0)</f>
        <v>#N/A</v>
      </c>
      <c r="GB63" s="138" t="e">
        <f>IF(VLOOKUP(CONCATENATE(H63,F63,GB$2),GeoHis!$A:$H,7,FALSE)=CP63,1,0)</f>
        <v>#N/A</v>
      </c>
      <c r="GC63" s="138" t="e">
        <f>IF(VLOOKUP(CONCATENATE(H63,F63,GC$2),GeoHis!$A:$H,7,FALSE)=CQ63,1,0)</f>
        <v>#N/A</v>
      </c>
      <c r="GD63" s="138" t="e">
        <f>IF(VLOOKUP(CONCATENATE(H63,F63,GD$2),GeoHis!$A:$H,7,FALSE)=CR63,1,0)</f>
        <v>#N/A</v>
      </c>
      <c r="GE63" s="135" t="str">
        <f t="shared" si="6"/>
        <v/>
      </c>
    </row>
    <row r="64" spans="1:187" x14ac:dyDescent="0.25">
      <c r="A64" s="127" t="str">
        <f>IF(C64="","",'Datos Generales'!$A$25)</f>
        <v/>
      </c>
      <c r="D64" s="126" t="str">
        <f t="shared" si="0"/>
        <v/>
      </c>
      <c r="E64" s="126">
        <f t="shared" si="1"/>
        <v>0</v>
      </c>
      <c r="F64" s="126" t="str">
        <f t="shared" si="7"/>
        <v/>
      </c>
      <c r="G64" s="126" t="str">
        <f>IF(C64="","",'Datos Generales'!$D$19)</f>
        <v/>
      </c>
      <c r="H64" s="21" t="str">
        <f>IF(C64="","",'Datos Generales'!$A$19)</f>
        <v/>
      </c>
      <c r="I64" s="126" t="str">
        <f>IF(C64="","",'Datos Generales'!$A$7)</f>
        <v/>
      </c>
      <c r="J64" s="21" t="str">
        <f>IF(C64="","",'Datos Generales'!$A$13)</f>
        <v/>
      </c>
      <c r="K64" s="21" t="str">
        <f>IF(C64="","",'Datos Generales'!$A$10)</f>
        <v/>
      </c>
      <c r="CS64" s="142" t="str">
        <f t="shared" si="2"/>
        <v/>
      </c>
      <c r="CT64" s="142" t="str">
        <f t="shared" si="3"/>
        <v/>
      </c>
      <c r="CU64" s="142" t="str">
        <f t="shared" si="4"/>
        <v/>
      </c>
      <c r="CV64" s="142" t="str">
        <f t="shared" si="5"/>
        <v/>
      </c>
      <c r="CW64" s="142" t="str">
        <f>IF(C64="","",IF('Datos Generales'!$A$19=1,AVERAGE(FP64:GD64),AVERAGE(Captura!FP64:FY64)))</f>
        <v/>
      </c>
      <c r="CX64" s="138" t="e">
        <f>IF(VLOOKUP(CONCATENATE($H$4,$F$4,CX$2),Español!$A:$H,7,FALSE)=L64,1,0)</f>
        <v>#N/A</v>
      </c>
      <c r="CY64" s="138" t="e">
        <f>IF(VLOOKUP(CONCATENATE(H64,F64,CY$2),Español!$A:$H,7,FALSE)=M64,1,0)</f>
        <v>#N/A</v>
      </c>
      <c r="CZ64" s="138" t="e">
        <f>IF(VLOOKUP(CONCATENATE(H64,F64,CZ$2),Español!$A:$H,7,FALSE)=N64,1,0)</f>
        <v>#N/A</v>
      </c>
      <c r="DA64" s="138" t="e">
        <f>IF(VLOOKUP(CONCATENATE(H64,F64,DA$2),Español!$A:$H,7,FALSE)=O64,1,0)</f>
        <v>#N/A</v>
      </c>
      <c r="DB64" s="138" t="e">
        <f>IF(VLOOKUP(CONCATENATE(H64,F64,DB$2),Español!$A:$H,7,FALSE)=P64,1,0)</f>
        <v>#N/A</v>
      </c>
      <c r="DC64" s="138" t="e">
        <f>IF(VLOOKUP(CONCATENATE(H64,F64,DC$2),Español!$A:$H,7,FALSE)=Q64,1,0)</f>
        <v>#N/A</v>
      </c>
      <c r="DD64" s="138" t="e">
        <f>IF(VLOOKUP(CONCATENATE(H64,F64,DD$2),Español!$A:$H,7,FALSE)=R64,1,0)</f>
        <v>#N/A</v>
      </c>
      <c r="DE64" s="138" t="e">
        <f>IF(VLOOKUP(CONCATENATE(H64,F64,DE$2),Español!$A:$H,7,FALSE)=S64,1,0)</f>
        <v>#N/A</v>
      </c>
      <c r="DF64" s="138" t="e">
        <f>IF(VLOOKUP(CONCATENATE(H64,F64,DF$2),Español!$A:$H,7,FALSE)=T64,1,0)</f>
        <v>#N/A</v>
      </c>
      <c r="DG64" s="138" t="e">
        <f>IF(VLOOKUP(CONCATENATE(H64,F64,DG$2),Español!$A:$H,7,FALSE)=U64,1,0)</f>
        <v>#N/A</v>
      </c>
      <c r="DH64" s="138" t="e">
        <f>IF(VLOOKUP(CONCATENATE(H64,F64,DH$2),Español!$A:$H,7,FALSE)=V64,1,0)</f>
        <v>#N/A</v>
      </c>
      <c r="DI64" s="138" t="e">
        <f>IF(VLOOKUP(CONCATENATE(H64,F64,DI$2),Español!$A:$H,7,FALSE)=W64,1,0)</f>
        <v>#N/A</v>
      </c>
      <c r="DJ64" s="138" t="e">
        <f>IF(VLOOKUP(CONCATENATE(H64,F64,DJ$2),Español!$A:$H,7,FALSE)=X64,1,0)</f>
        <v>#N/A</v>
      </c>
      <c r="DK64" s="138" t="e">
        <f>IF(VLOOKUP(CONCATENATE(H64,F64,DK$2),Español!$A:$H,7,FALSE)=Y64,1,0)</f>
        <v>#N/A</v>
      </c>
      <c r="DL64" s="138" t="e">
        <f>IF(VLOOKUP(CONCATENATE(H64,F64,DL$2),Español!$A:$H,7,FALSE)=Z64,1,0)</f>
        <v>#N/A</v>
      </c>
      <c r="DM64" s="138" t="e">
        <f>IF(VLOOKUP(CONCATENATE(H64,F64,DM$2),Español!$A:$H,7,FALSE)=AA64,1,0)</f>
        <v>#N/A</v>
      </c>
      <c r="DN64" s="138" t="e">
        <f>IF(VLOOKUP(CONCATENATE(H64,F64,DN$2),Español!$A:$H,7,FALSE)=AB64,1,0)</f>
        <v>#N/A</v>
      </c>
      <c r="DO64" s="138" t="e">
        <f>IF(VLOOKUP(CONCATENATE(H64,F64,DO$2),Español!$A:$H,7,FALSE)=AC64,1,0)</f>
        <v>#N/A</v>
      </c>
      <c r="DP64" s="138" t="e">
        <f>IF(VLOOKUP(CONCATENATE(H64,F64,DP$2),Español!$A:$H,7,FALSE)=AD64,1,0)</f>
        <v>#N/A</v>
      </c>
      <c r="DQ64" s="138" t="e">
        <f>IF(VLOOKUP(CONCATENATE(H64,F64,DQ$2),Español!$A:$H,7,FALSE)=AE64,1,0)</f>
        <v>#N/A</v>
      </c>
      <c r="DR64" s="138" t="e">
        <f>IF(VLOOKUP(CONCATENATE(H64,F64,DR$2),Inglés!$A:$H,7,FALSE)=AF64,1,0)</f>
        <v>#N/A</v>
      </c>
      <c r="DS64" s="138" t="e">
        <f>IF(VLOOKUP(CONCATENATE(H64,F64,DS$2),Inglés!$A:$H,7,FALSE)=AG64,1,0)</f>
        <v>#N/A</v>
      </c>
      <c r="DT64" s="138" t="e">
        <f>IF(VLOOKUP(CONCATENATE(H64,F64,DT$2),Inglés!$A:$H,7,FALSE)=AH64,1,0)</f>
        <v>#N/A</v>
      </c>
      <c r="DU64" s="138" t="e">
        <f>IF(VLOOKUP(CONCATENATE(H64,F64,DU$2),Inglés!$A:$H,7,FALSE)=AI64,1,0)</f>
        <v>#N/A</v>
      </c>
      <c r="DV64" s="138" t="e">
        <f>IF(VLOOKUP(CONCATENATE(H64,F64,DV$2),Inglés!$A:$H,7,FALSE)=AJ64,1,0)</f>
        <v>#N/A</v>
      </c>
      <c r="DW64" s="138" t="e">
        <f>IF(VLOOKUP(CONCATENATE(H64,F64,DW$2),Inglés!$A:$H,7,FALSE)=AK64,1,0)</f>
        <v>#N/A</v>
      </c>
      <c r="DX64" s="138" t="e">
        <f>IF(VLOOKUP(CONCATENATE(H64,F64,DX$2),Inglés!$A:$H,7,FALSE)=AL64,1,0)</f>
        <v>#N/A</v>
      </c>
      <c r="DY64" s="138" t="e">
        <f>IF(VLOOKUP(CONCATENATE(H64,F64,DY$2),Inglés!$A:$H,7,FALSE)=AM64,1,0)</f>
        <v>#N/A</v>
      </c>
      <c r="DZ64" s="138" t="e">
        <f>IF(VLOOKUP(CONCATENATE(H64,F64,DZ$2),Inglés!$A:$H,7,FALSE)=AN64,1,0)</f>
        <v>#N/A</v>
      </c>
      <c r="EA64" s="138" t="e">
        <f>IF(VLOOKUP(CONCATENATE(H64,F64,EA$2),Inglés!$A:$H,7,FALSE)=AO64,1,0)</f>
        <v>#N/A</v>
      </c>
      <c r="EB64" s="138" t="e">
        <f>IF(VLOOKUP(CONCATENATE(H64,F64,EB$2),Matemáticas!$A:$H,7,FALSE)=AP64,1,0)</f>
        <v>#N/A</v>
      </c>
      <c r="EC64" s="138" t="e">
        <f>IF(VLOOKUP(CONCATENATE(H64,F64,EC$2),Matemáticas!$A:$H,7,FALSE)=AQ64,1,0)</f>
        <v>#N/A</v>
      </c>
      <c r="ED64" s="138" t="e">
        <f>IF(VLOOKUP(CONCATENATE(H64,F64,ED$2),Matemáticas!$A:$H,7,FALSE)=AR64,1,0)</f>
        <v>#N/A</v>
      </c>
      <c r="EE64" s="138" t="e">
        <f>IF(VLOOKUP(CONCATENATE(H64,F64,EE$2),Matemáticas!$A:$H,7,FALSE)=AS64,1,0)</f>
        <v>#N/A</v>
      </c>
      <c r="EF64" s="138" t="e">
        <f>IF(VLOOKUP(CONCATENATE(H64,F64,EF$2),Matemáticas!$A:$H,7,FALSE)=AT64,1,0)</f>
        <v>#N/A</v>
      </c>
      <c r="EG64" s="138" t="e">
        <f>IF(VLOOKUP(CONCATENATE(H64,F64,EG$2),Matemáticas!$A:$H,7,FALSE)=AU64,1,0)</f>
        <v>#N/A</v>
      </c>
      <c r="EH64" s="138" t="e">
        <f>IF(VLOOKUP(CONCATENATE(H64,F64,EH$2),Matemáticas!$A:$H,7,FALSE)=AV64,1,0)</f>
        <v>#N/A</v>
      </c>
      <c r="EI64" s="138" t="e">
        <f>IF(VLOOKUP(CONCATENATE(H64,F64,EI$2),Matemáticas!$A:$H,7,FALSE)=AW64,1,0)</f>
        <v>#N/A</v>
      </c>
      <c r="EJ64" s="138" t="e">
        <f>IF(VLOOKUP(CONCATENATE(H64,F64,EJ$2),Matemáticas!$A:$H,7,FALSE)=AX64,1,0)</f>
        <v>#N/A</v>
      </c>
      <c r="EK64" s="138" t="e">
        <f>IF(VLOOKUP(CONCATENATE(H64,F64,EK$2),Matemáticas!$A:$H,7,FALSE)=AY64,1,0)</f>
        <v>#N/A</v>
      </c>
      <c r="EL64" s="138" t="e">
        <f>IF(VLOOKUP(CONCATENATE(H64,F64,EL$2),Matemáticas!$A:$H,7,FALSE)=AZ64,1,0)</f>
        <v>#N/A</v>
      </c>
      <c r="EM64" s="138" t="e">
        <f>IF(VLOOKUP(CONCATENATE(H64,F64,EM$2),Matemáticas!$A:$H,7,FALSE)=BA64,1,0)</f>
        <v>#N/A</v>
      </c>
      <c r="EN64" s="138" t="e">
        <f>IF(VLOOKUP(CONCATENATE(H64,F64,EN$2),Matemáticas!$A:$H,7,FALSE)=BB64,1,0)</f>
        <v>#N/A</v>
      </c>
      <c r="EO64" s="138" t="e">
        <f>IF(VLOOKUP(CONCATENATE(H64,F64,EO$2),Matemáticas!$A:$H,7,FALSE)=BC64,1,0)</f>
        <v>#N/A</v>
      </c>
      <c r="EP64" s="138" t="e">
        <f>IF(VLOOKUP(CONCATENATE(H64,F64,EP$2),Matemáticas!$A:$H,7,FALSE)=BD64,1,0)</f>
        <v>#N/A</v>
      </c>
      <c r="EQ64" s="138" t="e">
        <f>IF(VLOOKUP(CONCATENATE(H64,F64,EQ$2),Matemáticas!$A:$H,7,FALSE)=BE64,1,0)</f>
        <v>#N/A</v>
      </c>
      <c r="ER64" s="138" t="e">
        <f>IF(VLOOKUP(CONCATENATE(H64,F64,ER$2),Matemáticas!$A:$H,7,FALSE)=BF64,1,0)</f>
        <v>#N/A</v>
      </c>
      <c r="ES64" s="138" t="e">
        <f>IF(VLOOKUP(CONCATENATE(H64,F64,ES$2),Matemáticas!$A:$H,7,FALSE)=BG64,1,0)</f>
        <v>#N/A</v>
      </c>
      <c r="ET64" s="138" t="e">
        <f>IF(VLOOKUP(CONCATENATE(H64,F64,ET$2),Matemáticas!$A:$H,7,FALSE)=BH64,1,0)</f>
        <v>#N/A</v>
      </c>
      <c r="EU64" s="138" t="e">
        <f>IF(VLOOKUP(CONCATENATE(H64,F64,EU$2),Matemáticas!$A:$H,7,FALSE)=BI64,1,0)</f>
        <v>#N/A</v>
      </c>
      <c r="EV64" s="138" t="e">
        <f>IF(VLOOKUP(CONCATENATE(H64,F64,EV$2),Ciencias!$A:$H,7,FALSE)=BJ64,1,0)</f>
        <v>#N/A</v>
      </c>
      <c r="EW64" s="138" t="e">
        <f>IF(VLOOKUP(CONCATENATE(H64,F64,EW$2),Ciencias!$A:$H,7,FALSE)=BK64,1,0)</f>
        <v>#N/A</v>
      </c>
      <c r="EX64" s="138" t="e">
        <f>IF(VLOOKUP(CONCATENATE(H64,F64,EX$2),Ciencias!$A:$H,7,FALSE)=BL64,1,0)</f>
        <v>#N/A</v>
      </c>
      <c r="EY64" s="138" t="e">
        <f>IF(VLOOKUP(CONCATENATE(H64,F64,EY$2),Ciencias!$A:$H,7,FALSE)=BM64,1,0)</f>
        <v>#N/A</v>
      </c>
      <c r="EZ64" s="138" t="e">
        <f>IF(VLOOKUP(CONCATENATE(H64,F64,EZ$2),Ciencias!$A:$H,7,FALSE)=BN64,1,0)</f>
        <v>#N/A</v>
      </c>
      <c r="FA64" s="138" t="e">
        <f>IF(VLOOKUP(CONCATENATE(H64,F64,FA$2),Ciencias!$A:$H,7,FALSE)=BO64,1,0)</f>
        <v>#N/A</v>
      </c>
      <c r="FB64" s="138" t="e">
        <f>IF(VLOOKUP(CONCATENATE(H64,F64,FB$2),Ciencias!$A:$H,7,FALSE)=BP64,1,0)</f>
        <v>#N/A</v>
      </c>
      <c r="FC64" s="138" t="e">
        <f>IF(VLOOKUP(CONCATENATE(H64,F64,FC$2),Ciencias!$A:$H,7,FALSE)=BQ64,1,0)</f>
        <v>#N/A</v>
      </c>
      <c r="FD64" s="138" t="e">
        <f>IF(VLOOKUP(CONCATENATE(H64,F64,FD$2),Ciencias!$A:$H,7,FALSE)=BR64,1,0)</f>
        <v>#N/A</v>
      </c>
      <c r="FE64" s="138" t="e">
        <f>IF(VLOOKUP(CONCATENATE(H64,F64,FE$2),Ciencias!$A:$H,7,FALSE)=BS64,1,0)</f>
        <v>#N/A</v>
      </c>
      <c r="FF64" s="138" t="e">
        <f>IF(VLOOKUP(CONCATENATE(H64,F64,FF$2),Ciencias!$A:$H,7,FALSE)=BT64,1,0)</f>
        <v>#N/A</v>
      </c>
      <c r="FG64" s="138" t="e">
        <f>IF(VLOOKUP(CONCATENATE(H64,F64,FG$2),Ciencias!$A:$H,7,FALSE)=BU64,1,0)</f>
        <v>#N/A</v>
      </c>
      <c r="FH64" s="138" t="e">
        <f>IF(VLOOKUP(CONCATENATE(H64,F64,FH$2),Ciencias!$A:$H,7,FALSE)=BV64,1,0)</f>
        <v>#N/A</v>
      </c>
      <c r="FI64" s="138" t="e">
        <f>IF(VLOOKUP(CONCATENATE(H64,F64,FI$2),Ciencias!$A:$H,7,FALSE)=BW64,1,0)</f>
        <v>#N/A</v>
      </c>
      <c r="FJ64" s="138" t="e">
        <f>IF(VLOOKUP(CONCATENATE(H64,F64,FJ$2),Ciencias!$A:$H,7,FALSE)=BX64,1,0)</f>
        <v>#N/A</v>
      </c>
      <c r="FK64" s="138" t="e">
        <f>IF(VLOOKUP(CONCATENATE(H64,F64,FK$2),Ciencias!$A:$H,7,FALSE)=BY64,1,0)</f>
        <v>#N/A</v>
      </c>
      <c r="FL64" s="138" t="e">
        <f>IF(VLOOKUP(CONCATENATE(H64,F64,FL$2),Ciencias!$A:$H,7,FALSE)=BZ64,1,0)</f>
        <v>#N/A</v>
      </c>
      <c r="FM64" s="138" t="e">
        <f>IF(VLOOKUP(CONCATENATE(H64,F64,FM$2),Ciencias!$A:$H,7,FALSE)=CA64,1,0)</f>
        <v>#N/A</v>
      </c>
      <c r="FN64" s="138" t="e">
        <f>IF(VLOOKUP(CONCATENATE(H64,F64,FN$2),Ciencias!$A:$H,7,FALSE)=CB64,1,0)</f>
        <v>#N/A</v>
      </c>
      <c r="FO64" s="138" t="e">
        <f>IF(VLOOKUP(CONCATENATE(H64,F64,FO$2),Ciencias!$A:$H,7,FALSE)=CC64,1,0)</f>
        <v>#N/A</v>
      </c>
      <c r="FP64" s="138" t="e">
        <f>IF(VLOOKUP(CONCATENATE(H64,F64,FP$2),GeoHis!$A:$H,7,FALSE)=CD64,1,0)</f>
        <v>#N/A</v>
      </c>
      <c r="FQ64" s="138" t="e">
        <f>IF(VLOOKUP(CONCATENATE(H64,F64,FQ$2),GeoHis!$A:$H,7,FALSE)=CE64,1,0)</f>
        <v>#N/A</v>
      </c>
      <c r="FR64" s="138" t="e">
        <f>IF(VLOOKUP(CONCATENATE(H64,F64,FR$2),GeoHis!$A:$H,7,FALSE)=CF64,1,0)</f>
        <v>#N/A</v>
      </c>
      <c r="FS64" s="138" t="e">
        <f>IF(VLOOKUP(CONCATENATE(H64,F64,FS$2),GeoHis!$A:$H,7,FALSE)=CG64,1,0)</f>
        <v>#N/A</v>
      </c>
      <c r="FT64" s="138" t="e">
        <f>IF(VLOOKUP(CONCATENATE(H64,F64,FT$2),GeoHis!$A:$H,7,FALSE)=CH64,1,0)</f>
        <v>#N/A</v>
      </c>
      <c r="FU64" s="138" t="e">
        <f>IF(VLOOKUP(CONCATENATE(H64,F64,FU$2),GeoHis!$A:$H,7,FALSE)=CI64,1,0)</f>
        <v>#N/A</v>
      </c>
      <c r="FV64" s="138" t="e">
        <f>IF(VLOOKUP(CONCATENATE(H64,F64,FV$2),GeoHis!$A:$H,7,FALSE)=CJ64,1,0)</f>
        <v>#N/A</v>
      </c>
      <c r="FW64" s="138" t="e">
        <f>IF(VLOOKUP(CONCATENATE(H64,F64,FW$2),GeoHis!$A:$H,7,FALSE)=CK64,1,0)</f>
        <v>#N/A</v>
      </c>
      <c r="FX64" s="138" t="e">
        <f>IF(VLOOKUP(CONCATENATE(H64,F64,FX$2),GeoHis!$A:$H,7,FALSE)=CL64,1,0)</f>
        <v>#N/A</v>
      </c>
      <c r="FY64" s="138" t="e">
        <f>IF(VLOOKUP(CONCATENATE(H64,F64,FY$2),GeoHis!$A:$H,7,FALSE)=CM64,1,0)</f>
        <v>#N/A</v>
      </c>
      <c r="FZ64" s="138" t="e">
        <f>IF(VLOOKUP(CONCATENATE(H64,F64,FZ$2),GeoHis!$A:$H,7,FALSE)=CN64,1,0)</f>
        <v>#N/A</v>
      </c>
      <c r="GA64" s="138" t="e">
        <f>IF(VLOOKUP(CONCATENATE(H64,F64,GA$2),GeoHis!$A:$H,7,FALSE)=CO64,1,0)</f>
        <v>#N/A</v>
      </c>
      <c r="GB64" s="138" t="e">
        <f>IF(VLOOKUP(CONCATENATE(H64,F64,GB$2),GeoHis!$A:$H,7,FALSE)=CP64,1,0)</f>
        <v>#N/A</v>
      </c>
      <c r="GC64" s="138" t="e">
        <f>IF(VLOOKUP(CONCATENATE(H64,F64,GC$2),GeoHis!$A:$H,7,FALSE)=CQ64,1,0)</f>
        <v>#N/A</v>
      </c>
      <c r="GD64" s="138" t="e">
        <f>IF(VLOOKUP(CONCATENATE(H64,F64,GD$2),GeoHis!$A:$H,7,FALSE)=CR64,1,0)</f>
        <v>#N/A</v>
      </c>
      <c r="GE64" s="135" t="str">
        <f t="shared" si="6"/>
        <v/>
      </c>
    </row>
    <row r="65" spans="1:187" x14ac:dyDescent="0.25">
      <c r="A65" s="127" t="str">
        <f>IF(C65="","",'Datos Generales'!$A$25)</f>
        <v/>
      </c>
      <c r="D65" s="126" t="str">
        <f t="shared" si="0"/>
        <v/>
      </c>
      <c r="E65" s="126">
        <f t="shared" si="1"/>
        <v>0</v>
      </c>
      <c r="F65" s="126" t="str">
        <f t="shared" si="7"/>
        <v/>
      </c>
      <c r="G65" s="126" t="str">
        <f>IF(C65="","",'Datos Generales'!$D$19)</f>
        <v/>
      </c>
      <c r="H65" s="21" t="str">
        <f>IF(C65="","",'Datos Generales'!$A$19)</f>
        <v/>
      </c>
      <c r="I65" s="126" t="str">
        <f>IF(C65="","",'Datos Generales'!$A$7)</f>
        <v/>
      </c>
      <c r="J65" s="21" t="str">
        <f>IF(C65="","",'Datos Generales'!$A$13)</f>
        <v/>
      </c>
      <c r="K65" s="21" t="str">
        <f>IF(C65="","",'Datos Generales'!$A$10)</f>
        <v/>
      </c>
      <c r="CS65" s="142" t="str">
        <f t="shared" si="2"/>
        <v/>
      </c>
      <c r="CT65" s="142" t="str">
        <f t="shared" si="3"/>
        <v/>
      </c>
      <c r="CU65" s="142" t="str">
        <f t="shared" si="4"/>
        <v/>
      </c>
      <c r="CV65" s="142" t="str">
        <f t="shared" si="5"/>
        <v/>
      </c>
      <c r="CW65" s="142" t="str">
        <f>IF(C65="","",IF('Datos Generales'!$A$19=1,AVERAGE(FP65:GD65),AVERAGE(Captura!FP65:FY65)))</f>
        <v/>
      </c>
      <c r="CX65" s="138" t="e">
        <f>IF(VLOOKUP(CONCATENATE($H$4,$F$4,CX$2),Español!$A:$H,7,FALSE)=L65,1,0)</f>
        <v>#N/A</v>
      </c>
      <c r="CY65" s="138" t="e">
        <f>IF(VLOOKUP(CONCATENATE(H65,F65,CY$2),Español!$A:$H,7,FALSE)=M65,1,0)</f>
        <v>#N/A</v>
      </c>
      <c r="CZ65" s="138" t="e">
        <f>IF(VLOOKUP(CONCATENATE(H65,F65,CZ$2),Español!$A:$H,7,FALSE)=N65,1,0)</f>
        <v>#N/A</v>
      </c>
      <c r="DA65" s="138" t="e">
        <f>IF(VLOOKUP(CONCATENATE(H65,F65,DA$2),Español!$A:$H,7,FALSE)=O65,1,0)</f>
        <v>#N/A</v>
      </c>
      <c r="DB65" s="138" t="e">
        <f>IF(VLOOKUP(CONCATENATE(H65,F65,DB$2),Español!$A:$H,7,FALSE)=P65,1,0)</f>
        <v>#N/A</v>
      </c>
      <c r="DC65" s="138" t="e">
        <f>IF(VLOOKUP(CONCATENATE(H65,F65,DC$2),Español!$A:$H,7,FALSE)=Q65,1,0)</f>
        <v>#N/A</v>
      </c>
      <c r="DD65" s="138" t="e">
        <f>IF(VLOOKUP(CONCATENATE(H65,F65,DD$2),Español!$A:$H,7,FALSE)=R65,1,0)</f>
        <v>#N/A</v>
      </c>
      <c r="DE65" s="138" t="e">
        <f>IF(VLOOKUP(CONCATENATE(H65,F65,DE$2),Español!$A:$H,7,FALSE)=S65,1,0)</f>
        <v>#N/A</v>
      </c>
      <c r="DF65" s="138" t="e">
        <f>IF(VLOOKUP(CONCATENATE(H65,F65,DF$2),Español!$A:$H,7,FALSE)=T65,1,0)</f>
        <v>#N/A</v>
      </c>
      <c r="DG65" s="138" t="e">
        <f>IF(VLOOKUP(CONCATENATE(H65,F65,DG$2),Español!$A:$H,7,FALSE)=U65,1,0)</f>
        <v>#N/A</v>
      </c>
      <c r="DH65" s="138" t="e">
        <f>IF(VLOOKUP(CONCATENATE(H65,F65,DH$2),Español!$A:$H,7,FALSE)=V65,1,0)</f>
        <v>#N/A</v>
      </c>
      <c r="DI65" s="138" t="e">
        <f>IF(VLOOKUP(CONCATENATE(H65,F65,DI$2),Español!$A:$H,7,FALSE)=W65,1,0)</f>
        <v>#N/A</v>
      </c>
      <c r="DJ65" s="138" t="e">
        <f>IF(VLOOKUP(CONCATENATE(H65,F65,DJ$2),Español!$A:$H,7,FALSE)=X65,1,0)</f>
        <v>#N/A</v>
      </c>
      <c r="DK65" s="138" t="e">
        <f>IF(VLOOKUP(CONCATENATE(H65,F65,DK$2),Español!$A:$H,7,FALSE)=Y65,1,0)</f>
        <v>#N/A</v>
      </c>
      <c r="DL65" s="138" t="e">
        <f>IF(VLOOKUP(CONCATENATE(H65,F65,DL$2),Español!$A:$H,7,FALSE)=Z65,1,0)</f>
        <v>#N/A</v>
      </c>
      <c r="DM65" s="138" t="e">
        <f>IF(VLOOKUP(CONCATENATE(H65,F65,DM$2),Español!$A:$H,7,FALSE)=AA65,1,0)</f>
        <v>#N/A</v>
      </c>
      <c r="DN65" s="138" t="e">
        <f>IF(VLOOKUP(CONCATENATE(H65,F65,DN$2),Español!$A:$H,7,FALSE)=AB65,1,0)</f>
        <v>#N/A</v>
      </c>
      <c r="DO65" s="138" t="e">
        <f>IF(VLOOKUP(CONCATENATE(H65,F65,DO$2),Español!$A:$H,7,FALSE)=AC65,1,0)</f>
        <v>#N/A</v>
      </c>
      <c r="DP65" s="138" t="e">
        <f>IF(VLOOKUP(CONCATENATE(H65,F65,DP$2),Español!$A:$H,7,FALSE)=AD65,1,0)</f>
        <v>#N/A</v>
      </c>
      <c r="DQ65" s="138" t="e">
        <f>IF(VLOOKUP(CONCATENATE(H65,F65,DQ$2),Español!$A:$H,7,FALSE)=AE65,1,0)</f>
        <v>#N/A</v>
      </c>
      <c r="DR65" s="138" t="e">
        <f>IF(VLOOKUP(CONCATENATE(H65,F65,DR$2),Inglés!$A:$H,7,FALSE)=AF65,1,0)</f>
        <v>#N/A</v>
      </c>
      <c r="DS65" s="138" t="e">
        <f>IF(VLOOKUP(CONCATENATE(H65,F65,DS$2),Inglés!$A:$H,7,FALSE)=AG65,1,0)</f>
        <v>#N/A</v>
      </c>
      <c r="DT65" s="138" t="e">
        <f>IF(VLOOKUP(CONCATENATE(H65,F65,DT$2),Inglés!$A:$H,7,FALSE)=AH65,1,0)</f>
        <v>#N/A</v>
      </c>
      <c r="DU65" s="138" t="e">
        <f>IF(VLOOKUP(CONCATENATE(H65,F65,DU$2),Inglés!$A:$H,7,FALSE)=AI65,1,0)</f>
        <v>#N/A</v>
      </c>
      <c r="DV65" s="138" t="e">
        <f>IF(VLOOKUP(CONCATENATE(H65,F65,DV$2),Inglés!$A:$H,7,FALSE)=AJ65,1,0)</f>
        <v>#N/A</v>
      </c>
      <c r="DW65" s="138" t="e">
        <f>IF(VLOOKUP(CONCATENATE(H65,F65,DW$2),Inglés!$A:$H,7,FALSE)=AK65,1,0)</f>
        <v>#N/A</v>
      </c>
      <c r="DX65" s="138" t="e">
        <f>IF(VLOOKUP(CONCATENATE(H65,F65,DX$2),Inglés!$A:$H,7,FALSE)=AL65,1,0)</f>
        <v>#N/A</v>
      </c>
      <c r="DY65" s="138" t="e">
        <f>IF(VLOOKUP(CONCATENATE(H65,F65,DY$2),Inglés!$A:$H,7,FALSE)=AM65,1,0)</f>
        <v>#N/A</v>
      </c>
      <c r="DZ65" s="138" t="e">
        <f>IF(VLOOKUP(CONCATENATE(H65,F65,DZ$2),Inglés!$A:$H,7,FALSE)=AN65,1,0)</f>
        <v>#N/A</v>
      </c>
      <c r="EA65" s="138" t="e">
        <f>IF(VLOOKUP(CONCATENATE(H65,F65,EA$2),Inglés!$A:$H,7,FALSE)=AO65,1,0)</f>
        <v>#N/A</v>
      </c>
      <c r="EB65" s="138" t="e">
        <f>IF(VLOOKUP(CONCATENATE(H65,F65,EB$2),Matemáticas!$A:$H,7,FALSE)=AP65,1,0)</f>
        <v>#N/A</v>
      </c>
      <c r="EC65" s="138" t="e">
        <f>IF(VLOOKUP(CONCATENATE(H65,F65,EC$2),Matemáticas!$A:$H,7,FALSE)=AQ65,1,0)</f>
        <v>#N/A</v>
      </c>
      <c r="ED65" s="138" t="e">
        <f>IF(VLOOKUP(CONCATENATE(H65,F65,ED$2),Matemáticas!$A:$H,7,FALSE)=AR65,1,0)</f>
        <v>#N/A</v>
      </c>
      <c r="EE65" s="138" t="e">
        <f>IF(VLOOKUP(CONCATENATE(H65,F65,EE$2),Matemáticas!$A:$H,7,FALSE)=AS65,1,0)</f>
        <v>#N/A</v>
      </c>
      <c r="EF65" s="138" t="e">
        <f>IF(VLOOKUP(CONCATENATE(H65,F65,EF$2),Matemáticas!$A:$H,7,FALSE)=AT65,1,0)</f>
        <v>#N/A</v>
      </c>
      <c r="EG65" s="138" t="e">
        <f>IF(VLOOKUP(CONCATENATE(H65,F65,EG$2),Matemáticas!$A:$H,7,FALSE)=AU65,1,0)</f>
        <v>#N/A</v>
      </c>
      <c r="EH65" s="138" t="e">
        <f>IF(VLOOKUP(CONCATENATE(H65,F65,EH$2),Matemáticas!$A:$H,7,FALSE)=AV65,1,0)</f>
        <v>#N/A</v>
      </c>
      <c r="EI65" s="138" t="e">
        <f>IF(VLOOKUP(CONCATENATE(H65,F65,EI$2),Matemáticas!$A:$H,7,FALSE)=AW65,1,0)</f>
        <v>#N/A</v>
      </c>
      <c r="EJ65" s="138" t="e">
        <f>IF(VLOOKUP(CONCATENATE(H65,F65,EJ$2),Matemáticas!$A:$H,7,FALSE)=AX65,1,0)</f>
        <v>#N/A</v>
      </c>
      <c r="EK65" s="138" t="e">
        <f>IF(VLOOKUP(CONCATENATE(H65,F65,EK$2),Matemáticas!$A:$H,7,FALSE)=AY65,1,0)</f>
        <v>#N/A</v>
      </c>
      <c r="EL65" s="138" t="e">
        <f>IF(VLOOKUP(CONCATENATE(H65,F65,EL$2),Matemáticas!$A:$H,7,FALSE)=AZ65,1,0)</f>
        <v>#N/A</v>
      </c>
      <c r="EM65" s="138" t="e">
        <f>IF(VLOOKUP(CONCATENATE(H65,F65,EM$2),Matemáticas!$A:$H,7,FALSE)=BA65,1,0)</f>
        <v>#N/A</v>
      </c>
      <c r="EN65" s="138" t="e">
        <f>IF(VLOOKUP(CONCATENATE(H65,F65,EN$2),Matemáticas!$A:$H,7,FALSE)=BB65,1,0)</f>
        <v>#N/A</v>
      </c>
      <c r="EO65" s="138" t="e">
        <f>IF(VLOOKUP(CONCATENATE(H65,F65,EO$2),Matemáticas!$A:$H,7,FALSE)=BC65,1,0)</f>
        <v>#N/A</v>
      </c>
      <c r="EP65" s="138" t="e">
        <f>IF(VLOOKUP(CONCATENATE(H65,F65,EP$2),Matemáticas!$A:$H,7,FALSE)=BD65,1,0)</f>
        <v>#N/A</v>
      </c>
      <c r="EQ65" s="138" t="e">
        <f>IF(VLOOKUP(CONCATENATE(H65,F65,EQ$2),Matemáticas!$A:$H,7,FALSE)=BE65,1,0)</f>
        <v>#N/A</v>
      </c>
      <c r="ER65" s="138" t="e">
        <f>IF(VLOOKUP(CONCATENATE(H65,F65,ER$2),Matemáticas!$A:$H,7,FALSE)=BF65,1,0)</f>
        <v>#N/A</v>
      </c>
      <c r="ES65" s="138" t="e">
        <f>IF(VLOOKUP(CONCATENATE(H65,F65,ES$2),Matemáticas!$A:$H,7,FALSE)=BG65,1,0)</f>
        <v>#N/A</v>
      </c>
      <c r="ET65" s="138" t="e">
        <f>IF(VLOOKUP(CONCATENATE(H65,F65,ET$2),Matemáticas!$A:$H,7,FALSE)=BH65,1,0)</f>
        <v>#N/A</v>
      </c>
      <c r="EU65" s="138" t="e">
        <f>IF(VLOOKUP(CONCATENATE(H65,F65,EU$2),Matemáticas!$A:$H,7,FALSE)=BI65,1,0)</f>
        <v>#N/A</v>
      </c>
      <c r="EV65" s="138" t="e">
        <f>IF(VLOOKUP(CONCATENATE(H65,F65,EV$2),Ciencias!$A:$H,7,FALSE)=BJ65,1,0)</f>
        <v>#N/A</v>
      </c>
      <c r="EW65" s="138" t="e">
        <f>IF(VLOOKUP(CONCATENATE(H65,F65,EW$2),Ciencias!$A:$H,7,FALSE)=BK65,1,0)</f>
        <v>#N/A</v>
      </c>
      <c r="EX65" s="138" t="e">
        <f>IF(VLOOKUP(CONCATENATE(H65,F65,EX$2),Ciencias!$A:$H,7,FALSE)=BL65,1,0)</f>
        <v>#N/A</v>
      </c>
      <c r="EY65" s="138" t="e">
        <f>IF(VLOOKUP(CONCATENATE(H65,F65,EY$2),Ciencias!$A:$H,7,FALSE)=BM65,1,0)</f>
        <v>#N/A</v>
      </c>
      <c r="EZ65" s="138" t="e">
        <f>IF(VLOOKUP(CONCATENATE(H65,F65,EZ$2),Ciencias!$A:$H,7,FALSE)=BN65,1,0)</f>
        <v>#N/A</v>
      </c>
      <c r="FA65" s="138" t="e">
        <f>IF(VLOOKUP(CONCATENATE(H65,F65,FA$2),Ciencias!$A:$H,7,FALSE)=BO65,1,0)</f>
        <v>#N/A</v>
      </c>
      <c r="FB65" s="138" t="e">
        <f>IF(VLOOKUP(CONCATENATE(H65,F65,FB$2),Ciencias!$A:$H,7,FALSE)=BP65,1,0)</f>
        <v>#N/A</v>
      </c>
      <c r="FC65" s="138" t="e">
        <f>IF(VLOOKUP(CONCATENATE(H65,F65,FC$2),Ciencias!$A:$H,7,FALSE)=BQ65,1,0)</f>
        <v>#N/A</v>
      </c>
      <c r="FD65" s="138" t="e">
        <f>IF(VLOOKUP(CONCATENATE(H65,F65,FD$2),Ciencias!$A:$H,7,FALSE)=BR65,1,0)</f>
        <v>#N/A</v>
      </c>
      <c r="FE65" s="138" t="e">
        <f>IF(VLOOKUP(CONCATENATE(H65,F65,FE$2),Ciencias!$A:$H,7,FALSE)=BS65,1,0)</f>
        <v>#N/A</v>
      </c>
      <c r="FF65" s="138" t="e">
        <f>IF(VLOOKUP(CONCATENATE(H65,F65,FF$2),Ciencias!$A:$H,7,FALSE)=BT65,1,0)</f>
        <v>#N/A</v>
      </c>
      <c r="FG65" s="138" t="e">
        <f>IF(VLOOKUP(CONCATENATE(H65,F65,FG$2),Ciencias!$A:$H,7,FALSE)=BU65,1,0)</f>
        <v>#N/A</v>
      </c>
      <c r="FH65" s="138" t="e">
        <f>IF(VLOOKUP(CONCATENATE(H65,F65,FH$2),Ciencias!$A:$H,7,FALSE)=BV65,1,0)</f>
        <v>#N/A</v>
      </c>
      <c r="FI65" s="138" t="e">
        <f>IF(VLOOKUP(CONCATENATE(H65,F65,FI$2),Ciencias!$A:$H,7,FALSE)=BW65,1,0)</f>
        <v>#N/A</v>
      </c>
      <c r="FJ65" s="138" t="e">
        <f>IF(VLOOKUP(CONCATENATE(H65,F65,FJ$2),Ciencias!$A:$H,7,FALSE)=BX65,1,0)</f>
        <v>#N/A</v>
      </c>
      <c r="FK65" s="138" t="e">
        <f>IF(VLOOKUP(CONCATENATE(H65,F65,FK$2),Ciencias!$A:$H,7,FALSE)=BY65,1,0)</f>
        <v>#N/A</v>
      </c>
      <c r="FL65" s="138" t="e">
        <f>IF(VLOOKUP(CONCATENATE(H65,F65,FL$2),Ciencias!$A:$H,7,FALSE)=BZ65,1,0)</f>
        <v>#N/A</v>
      </c>
      <c r="FM65" s="138" t="e">
        <f>IF(VLOOKUP(CONCATENATE(H65,F65,FM$2),Ciencias!$A:$H,7,FALSE)=CA65,1,0)</f>
        <v>#N/A</v>
      </c>
      <c r="FN65" s="138" t="e">
        <f>IF(VLOOKUP(CONCATENATE(H65,F65,FN$2),Ciencias!$A:$H,7,FALSE)=CB65,1,0)</f>
        <v>#N/A</v>
      </c>
      <c r="FO65" s="138" t="e">
        <f>IF(VLOOKUP(CONCATENATE(H65,F65,FO$2),Ciencias!$A:$H,7,FALSE)=CC65,1,0)</f>
        <v>#N/A</v>
      </c>
      <c r="FP65" s="138" t="e">
        <f>IF(VLOOKUP(CONCATENATE(H65,F65,FP$2),GeoHis!$A:$H,7,FALSE)=CD65,1,0)</f>
        <v>#N/A</v>
      </c>
      <c r="FQ65" s="138" t="e">
        <f>IF(VLOOKUP(CONCATENATE(H65,F65,FQ$2),GeoHis!$A:$H,7,FALSE)=CE65,1,0)</f>
        <v>#N/A</v>
      </c>
      <c r="FR65" s="138" t="e">
        <f>IF(VLOOKUP(CONCATENATE(H65,F65,FR$2),GeoHis!$A:$H,7,FALSE)=CF65,1,0)</f>
        <v>#N/A</v>
      </c>
      <c r="FS65" s="138" t="e">
        <f>IF(VLOOKUP(CONCATENATE(H65,F65,FS$2),GeoHis!$A:$H,7,FALSE)=CG65,1,0)</f>
        <v>#N/A</v>
      </c>
      <c r="FT65" s="138" t="e">
        <f>IF(VLOOKUP(CONCATENATE(H65,F65,FT$2),GeoHis!$A:$H,7,FALSE)=CH65,1,0)</f>
        <v>#N/A</v>
      </c>
      <c r="FU65" s="138" t="e">
        <f>IF(VLOOKUP(CONCATENATE(H65,F65,FU$2),GeoHis!$A:$H,7,FALSE)=CI65,1,0)</f>
        <v>#N/A</v>
      </c>
      <c r="FV65" s="138" t="e">
        <f>IF(VLOOKUP(CONCATENATE(H65,F65,FV$2),GeoHis!$A:$H,7,FALSE)=CJ65,1,0)</f>
        <v>#N/A</v>
      </c>
      <c r="FW65" s="138" t="e">
        <f>IF(VLOOKUP(CONCATENATE(H65,F65,FW$2),GeoHis!$A:$H,7,FALSE)=CK65,1,0)</f>
        <v>#N/A</v>
      </c>
      <c r="FX65" s="138" t="e">
        <f>IF(VLOOKUP(CONCATENATE(H65,F65,FX$2),GeoHis!$A:$H,7,FALSE)=CL65,1,0)</f>
        <v>#N/A</v>
      </c>
      <c r="FY65" s="138" t="e">
        <f>IF(VLOOKUP(CONCATENATE(H65,F65,FY$2),GeoHis!$A:$H,7,FALSE)=CM65,1,0)</f>
        <v>#N/A</v>
      </c>
      <c r="FZ65" s="138" t="e">
        <f>IF(VLOOKUP(CONCATENATE(H65,F65,FZ$2),GeoHis!$A:$H,7,FALSE)=CN65,1,0)</f>
        <v>#N/A</v>
      </c>
      <c r="GA65" s="138" t="e">
        <f>IF(VLOOKUP(CONCATENATE(H65,F65,GA$2),GeoHis!$A:$H,7,FALSE)=CO65,1,0)</f>
        <v>#N/A</v>
      </c>
      <c r="GB65" s="138" t="e">
        <f>IF(VLOOKUP(CONCATENATE(H65,F65,GB$2),GeoHis!$A:$H,7,FALSE)=CP65,1,0)</f>
        <v>#N/A</v>
      </c>
      <c r="GC65" s="138" t="e">
        <f>IF(VLOOKUP(CONCATENATE(H65,F65,GC$2),GeoHis!$A:$H,7,FALSE)=CQ65,1,0)</f>
        <v>#N/A</v>
      </c>
      <c r="GD65" s="138" t="e">
        <f>IF(VLOOKUP(CONCATENATE(H65,F65,GD$2),GeoHis!$A:$H,7,FALSE)=CR65,1,0)</f>
        <v>#N/A</v>
      </c>
      <c r="GE65" s="135" t="str">
        <f t="shared" si="6"/>
        <v/>
      </c>
    </row>
    <row r="66" spans="1:187" x14ac:dyDescent="0.25">
      <c r="A66" s="127" t="str">
        <f>IF(C66="","",'Datos Generales'!$A$25)</f>
        <v/>
      </c>
      <c r="D66" s="126" t="str">
        <f t="shared" si="0"/>
        <v/>
      </c>
      <c r="E66" s="126">
        <f t="shared" si="1"/>
        <v>0</v>
      </c>
      <c r="F66" s="126" t="str">
        <f t="shared" si="7"/>
        <v/>
      </c>
      <c r="G66" s="126" t="str">
        <f>IF(C66="","",'Datos Generales'!$D$19)</f>
        <v/>
      </c>
      <c r="H66" s="21" t="str">
        <f>IF(C66="","",'Datos Generales'!$A$19)</f>
        <v/>
      </c>
      <c r="I66" s="126" t="str">
        <f>IF(C66="","",'Datos Generales'!$A$7)</f>
        <v/>
      </c>
      <c r="J66" s="21" t="str">
        <f>IF(C66="","",'Datos Generales'!$A$13)</f>
        <v/>
      </c>
      <c r="K66" s="21" t="str">
        <f>IF(C66="","",'Datos Generales'!$A$10)</f>
        <v/>
      </c>
      <c r="CS66" s="142" t="str">
        <f t="shared" si="2"/>
        <v/>
      </c>
      <c r="CT66" s="142" t="str">
        <f t="shared" si="3"/>
        <v/>
      </c>
      <c r="CU66" s="142" t="str">
        <f t="shared" si="4"/>
        <v/>
      </c>
      <c r="CV66" s="142" t="str">
        <f t="shared" si="5"/>
        <v/>
      </c>
      <c r="CW66" s="142" t="str">
        <f>IF(C66="","",IF('Datos Generales'!$A$19=1,AVERAGE(FP66:GD66),AVERAGE(Captura!FP66:FY66)))</f>
        <v/>
      </c>
      <c r="CX66" s="138" t="e">
        <f>IF(VLOOKUP(CONCATENATE($H$4,$F$4,CX$2),Español!$A:$H,7,FALSE)=L66,1,0)</f>
        <v>#N/A</v>
      </c>
      <c r="CY66" s="138" t="e">
        <f>IF(VLOOKUP(CONCATENATE(H66,F66,CY$2),Español!$A:$H,7,FALSE)=M66,1,0)</f>
        <v>#N/A</v>
      </c>
      <c r="CZ66" s="138" t="e">
        <f>IF(VLOOKUP(CONCATENATE(H66,F66,CZ$2),Español!$A:$H,7,FALSE)=N66,1,0)</f>
        <v>#N/A</v>
      </c>
      <c r="DA66" s="138" t="e">
        <f>IF(VLOOKUP(CONCATENATE(H66,F66,DA$2),Español!$A:$H,7,FALSE)=O66,1,0)</f>
        <v>#N/A</v>
      </c>
      <c r="DB66" s="138" t="e">
        <f>IF(VLOOKUP(CONCATENATE(H66,F66,DB$2),Español!$A:$H,7,FALSE)=P66,1,0)</f>
        <v>#N/A</v>
      </c>
      <c r="DC66" s="138" t="e">
        <f>IF(VLOOKUP(CONCATENATE(H66,F66,DC$2),Español!$A:$H,7,FALSE)=Q66,1,0)</f>
        <v>#N/A</v>
      </c>
      <c r="DD66" s="138" t="e">
        <f>IF(VLOOKUP(CONCATENATE(H66,F66,DD$2),Español!$A:$H,7,FALSE)=R66,1,0)</f>
        <v>#N/A</v>
      </c>
      <c r="DE66" s="138" t="e">
        <f>IF(VLOOKUP(CONCATENATE(H66,F66,DE$2),Español!$A:$H,7,FALSE)=S66,1,0)</f>
        <v>#N/A</v>
      </c>
      <c r="DF66" s="138" t="e">
        <f>IF(VLOOKUP(CONCATENATE(H66,F66,DF$2),Español!$A:$H,7,FALSE)=T66,1,0)</f>
        <v>#N/A</v>
      </c>
      <c r="DG66" s="138" t="e">
        <f>IF(VLOOKUP(CONCATENATE(H66,F66,DG$2),Español!$A:$H,7,FALSE)=U66,1,0)</f>
        <v>#N/A</v>
      </c>
      <c r="DH66" s="138" t="e">
        <f>IF(VLOOKUP(CONCATENATE(H66,F66,DH$2),Español!$A:$H,7,FALSE)=V66,1,0)</f>
        <v>#N/A</v>
      </c>
      <c r="DI66" s="138" t="e">
        <f>IF(VLOOKUP(CONCATENATE(H66,F66,DI$2),Español!$A:$H,7,FALSE)=W66,1,0)</f>
        <v>#N/A</v>
      </c>
      <c r="DJ66" s="138" t="e">
        <f>IF(VLOOKUP(CONCATENATE(H66,F66,DJ$2),Español!$A:$H,7,FALSE)=X66,1,0)</f>
        <v>#N/A</v>
      </c>
      <c r="DK66" s="138" t="e">
        <f>IF(VLOOKUP(CONCATENATE(H66,F66,DK$2),Español!$A:$H,7,FALSE)=Y66,1,0)</f>
        <v>#N/A</v>
      </c>
      <c r="DL66" s="138" t="e">
        <f>IF(VLOOKUP(CONCATENATE(H66,F66,DL$2),Español!$A:$H,7,FALSE)=Z66,1,0)</f>
        <v>#N/A</v>
      </c>
      <c r="DM66" s="138" t="e">
        <f>IF(VLOOKUP(CONCATENATE(H66,F66,DM$2),Español!$A:$H,7,FALSE)=AA66,1,0)</f>
        <v>#N/A</v>
      </c>
      <c r="DN66" s="138" t="e">
        <f>IF(VLOOKUP(CONCATENATE(H66,F66,DN$2),Español!$A:$H,7,FALSE)=AB66,1,0)</f>
        <v>#N/A</v>
      </c>
      <c r="DO66" s="138" t="e">
        <f>IF(VLOOKUP(CONCATENATE(H66,F66,DO$2),Español!$A:$H,7,FALSE)=AC66,1,0)</f>
        <v>#N/A</v>
      </c>
      <c r="DP66" s="138" t="e">
        <f>IF(VLOOKUP(CONCATENATE(H66,F66,DP$2),Español!$A:$H,7,FALSE)=AD66,1,0)</f>
        <v>#N/A</v>
      </c>
      <c r="DQ66" s="138" t="e">
        <f>IF(VLOOKUP(CONCATENATE(H66,F66,DQ$2),Español!$A:$H,7,FALSE)=AE66,1,0)</f>
        <v>#N/A</v>
      </c>
      <c r="DR66" s="138" t="e">
        <f>IF(VLOOKUP(CONCATENATE(H66,F66,DR$2),Inglés!$A:$H,7,FALSE)=AF66,1,0)</f>
        <v>#N/A</v>
      </c>
      <c r="DS66" s="138" t="e">
        <f>IF(VLOOKUP(CONCATENATE(H66,F66,DS$2),Inglés!$A:$H,7,FALSE)=AG66,1,0)</f>
        <v>#N/A</v>
      </c>
      <c r="DT66" s="138" t="e">
        <f>IF(VLOOKUP(CONCATENATE(H66,F66,DT$2),Inglés!$A:$H,7,FALSE)=AH66,1,0)</f>
        <v>#N/A</v>
      </c>
      <c r="DU66" s="138" t="e">
        <f>IF(VLOOKUP(CONCATENATE(H66,F66,DU$2),Inglés!$A:$H,7,FALSE)=AI66,1,0)</f>
        <v>#N/A</v>
      </c>
      <c r="DV66" s="138" t="e">
        <f>IF(VLOOKUP(CONCATENATE(H66,F66,DV$2),Inglés!$A:$H,7,FALSE)=AJ66,1,0)</f>
        <v>#N/A</v>
      </c>
      <c r="DW66" s="138" t="e">
        <f>IF(VLOOKUP(CONCATENATE(H66,F66,DW$2),Inglés!$A:$H,7,FALSE)=AK66,1,0)</f>
        <v>#N/A</v>
      </c>
      <c r="DX66" s="138" t="e">
        <f>IF(VLOOKUP(CONCATENATE(H66,F66,DX$2),Inglés!$A:$H,7,FALSE)=AL66,1,0)</f>
        <v>#N/A</v>
      </c>
      <c r="DY66" s="138" t="e">
        <f>IF(VLOOKUP(CONCATENATE(H66,F66,DY$2),Inglés!$A:$H,7,FALSE)=AM66,1,0)</f>
        <v>#N/A</v>
      </c>
      <c r="DZ66" s="138" t="e">
        <f>IF(VLOOKUP(CONCATENATE(H66,F66,DZ$2),Inglés!$A:$H,7,FALSE)=AN66,1,0)</f>
        <v>#N/A</v>
      </c>
      <c r="EA66" s="138" t="e">
        <f>IF(VLOOKUP(CONCATENATE(H66,F66,EA$2),Inglés!$A:$H,7,FALSE)=AO66,1,0)</f>
        <v>#N/A</v>
      </c>
      <c r="EB66" s="138" t="e">
        <f>IF(VLOOKUP(CONCATENATE(H66,F66,EB$2),Matemáticas!$A:$H,7,FALSE)=AP66,1,0)</f>
        <v>#N/A</v>
      </c>
      <c r="EC66" s="138" t="e">
        <f>IF(VLOOKUP(CONCATENATE(H66,F66,EC$2),Matemáticas!$A:$H,7,FALSE)=AQ66,1,0)</f>
        <v>#N/A</v>
      </c>
      <c r="ED66" s="138" t="e">
        <f>IF(VLOOKUP(CONCATENATE(H66,F66,ED$2),Matemáticas!$A:$H,7,FALSE)=AR66,1,0)</f>
        <v>#N/A</v>
      </c>
      <c r="EE66" s="138" t="e">
        <f>IF(VLOOKUP(CONCATENATE(H66,F66,EE$2),Matemáticas!$A:$H,7,FALSE)=AS66,1,0)</f>
        <v>#N/A</v>
      </c>
      <c r="EF66" s="138" t="e">
        <f>IF(VLOOKUP(CONCATENATE(H66,F66,EF$2),Matemáticas!$A:$H,7,FALSE)=AT66,1,0)</f>
        <v>#N/A</v>
      </c>
      <c r="EG66" s="138" t="e">
        <f>IF(VLOOKUP(CONCATENATE(H66,F66,EG$2),Matemáticas!$A:$H,7,FALSE)=AU66,1,0)</f>
        <v>#N/A</v>
      </c>
      <c r="EH66" s="138" t="e">
        <f>IF(VLOOKUP(CONCATENATE(H66,F66,EH$2),Matemáticas!$A:$H,7,FALSE)=AV66,1,0)</f>
        <v>#N/A</v>
      </c>
      <c r="EI66" s="138" t="e">
        <f>IF(VLOOKUP(CONCATENATE(H66,F66,EI$2),Matemáticas!$A:$H,7,FALSE)=AW66,1,0)</f>
        <v>#N/A</v>
      </c>
      <c r="EJ66" s="138" t="e">
        <f>IF(VLOOKUP(CONCATENATE(H66,F66,EJ$2),Matemáticas!$A:$H,7,FALSE)=AX66,1,0)</f>
        <v>#N/A</v>
      </c>
      <c r="EK66" s="138" t="e">
        <f>IF(VLOOKUP(CONCATENATE(H66,F66,EK$2),Matemáticas!$A:$H,7,FALSE)=AY66,1,0)</f>
        <v>#N/A</v>
      </c>
      <c r="EL66" s="138" t="e">
        <f>IF(VLOOKUP(CONCATENATE(H66,F66,EL$2),Matemáticas!$A:$H,7,FALSE)=AZ66,1,0)</f>
        <v>#N/A</v>
      </c>
      <c r="EM66" s="138" t="e">
        <f>IF(VLOOKUP(CONCATENATE(H66,F66,EM$2),Matemáticas!$A:$H,7,FALSE)=BA66,1,0)</f>
        <v>#N/A</v>
      </c>
      <c r="EN66" s="138" t="e">
        <f>IF(VLOOKUP(CONCATENATE(H66,F66,EN$2),Matemáticas!$A:$H,7,FALSE)=BB66,1,0)</f>
        <v>#N/A</v>
      </c>
      <c r="EO66" s="138" t="e">
        <f>IF(VLOOKUP(CONCATENATE(H66,F66,EO$2),Matemáticas!$A:$H,7,FALSE)=BC66,1,0)</f>
        <v>#N/A</v>
      </c>
      <c r="EP66" s="138" t="e">
        <f>IF(VLOOKUP(CONCATENATE(H66,F66,EP$2),Matemáticas!$A:$H,7,FALSE)=BD66,1,0)</f>
        <v>#N/A</v>
      </c>
      <c r="EQ66" s="138" t="e">
        <f>IF(VLOOKUP(CONCATENATE(H66,F66,EQ$2),Matemáticas!$A:$H,7,FALSE)=BE66,1,0)</f>
        <v>#N/A</v>
      </c>
      <c r="ER66" s="138" t="e">
        <f>IF(VLOOKUP(CONCATENATE(H66,F66,ER$2),Matemáticas!$A:$H,7,FALSE)=BF66,1,0)</f>
        <v>#N/A</v>
      </c>
      <c r="ES66" s="138" t="e">
        <f>IF(VLOOKUP(CONCATENATE(H66,F66,ES$2),Matemáticas!$A:$H,7,FALSE)=BG66,1,0)</f>
        <v>#N/A</v>
      </c>
      <c r="ET66" s="138" t="e">
        <f>IF(VLOOKUP(CONCATENATE(H66,F66,ET$2),Matemáticas!$A:$H,7,FALSE)=BH66,1,0)</f>
        <v>#N/A</v>
      </c>
      <c r="EU66" s="138" t="e">
        <f>IF(VLOOKUP(CONCATENATE(H66,F66,EU$2),Matemáticas!$A:$H,7,FALSE)=BI66,1,0)</f>
        <v>#N/A</v>
      </c>
      <c r="EV66" s="138" t="e">
        <f>IF(VLOOKUP(CONCATENATE(H66,F66,EV$2),Ciencias!$A:$H,7,FALSE)=BJ66,1,0)</f>
        <v>#N/A</v>
      </c>
      <c r="EW66" s="138" t="e">
        <f>IF(VLOOKUP(CONCATENATE(H66,F66,EW$2),Ciencias!$A:$H,7,FALSE)=BK66,1,0)</f>
        <v>#N/A</v>
      </c>
      <c r="EX66" s="138" t="e">
        <f>IF(VLOOKUP(CONCATENATE(H66,F66,EX$2),Ciencias!$A:$H,7,FALSE)=BL66,1,0)</f>
        <v>#N/A</v>
      </c>
      <c r="EY66" s="138" t="e">
        <f>IF(VLOOKUP(CONCATENATE(H66,F66,EY$2),Ciencias!$A:$H,7,FALSE)=BM66,1,0)</f>
        <v>#N/A</v>
      </c>
      <c r="EZ66" s="138" t="e">
        <f>IF(VLOOKUP(CONCATENATE(H66,F66,EZ$2),Ciencias!$A:$H,7,FALSE)=BN66,1,0)</f>
        <v>#N/A</v>
      </c>
      <c r="FA66" s="138" t="e">
        <f>IF(VLOOKUP(CONCATENATE(H66,F66,FA$2),Ciencias!$A:$H,7,FALSE)=BO66,1,0)</f>
        <v>#N/A</v>
      </c>
      <c r="FB66" s="138" t="e">
        <f>IF(VLOOKUP(CONCATENATE(H66,F66,FB$2),Ciencias!$A:$H,7,FALSE)=BP66,1,0)</f>
        <v>#N/A</v>
      </c>
      <c r="FC66" s="138" t="e">
        <f>IF(VLOOKUP(CONCATENATE(H66,F66,FC$2),Ciencias!$A:$H,7,FALSE)=BQ66,1,0)</f>
        <v>#N/A</v>
      </c>
      <c r="FD66" s="138" t="e">
        <f>IF(VLOOKUP(CONCATENATE(H66,F66,FD$2),Ciencias!$A:$H,7,FALSE)=BR66,1,0)</f>
        <v>#N/A</v>
      </c>
      <c r="FE66" s="138" t="e">
        <f>IF(VLOOKUP(CONCATENATE(H66,F66,FE$2),Ciencias!$A:$H,7,FALSE)=BS66,1,0)</f>
        <v>#N/A</v>
      </c>
      <c r="FF66" s="138" t="e">
        <f>IF(VLOOKUP(CONCATENATE(H66,F66,FF$2),Ciencias!$A:$H,7,FALSE)=BT66,1,0)</f>
        <v>#N/A</v>
      </c>
      <c r="FG66" s="138" t="e">
        <f>IF(VLOOKUP(CONCATENATE(H66,F66,FG$2),Ciencias!$A:$H,7,FALSE)=BU66,1,0)</f>
        <v>#N/A</v>
      </c>
      <c r="FH66" s="138" t="e">
        <f>IF(VLOOKUP(CONCATENATE(H66,F66,FH$2),Ciencias!$A:$H,7,FALSE)=BV66,1,0)</f>
        <v>#N/A</v>
      </c>
      <c r="FI66" s="138" t="e">
        <f>IF(VLOOKUP(CONCATENATE(H66,F66,FI$2),Ciencias!$A:$H,7,FALSE)=BW66,1,0)</f>
        <v>#N/A</v>
      </c>
      <c r="FJ66" s="138" t="e">
        <f>IF(VLOOKUP(CONCATENATE(H66,F66,FJ$2),Ciencias!$A:$H,7,FALSE)=BX66,1,0)</f>
        <v>#N/A</v>
      </c>
      <c r="FK66" s="138" t="e">
        <f>IF(VLOOKUP(CONCATENATE(H66,F66,FK$2),Ciencias!$A:$H,7,FALSE)=BY66,1,0)</f>
        <v>#N/A</v>
      </c>
      <c r="FL66" s="138" t="e">
        <f>IF(VLOOKUP(CONCATENATE(H66,F66,FL$2),Ciencias!$A:$H,7,FALSE)=BZ66,1,0)</f>
        <v>#N/A</v>
      </c>
      <c r="FM66" s="138" t="e">
        <f>IF(VLOOKUP(CONCATENATE(H66,F66,FM$2),Ciencias!$A:$H,7,FALSE)=CA66,1,0)</f>
        <v>#N/A</v>
      </c>
      <c r="FN66" s="138" t="e">
        <f>IF(VLOOKUP(CONCATENATE(H66,F66,FN$2),Ciencias!$A:$H,7,FALSE)=CB66,1,0)</f>
        <v>#N/A</v>
      </c>
      <c r="FO66" s="138" t="e">
        <f>IF(VLOOKUP(CONCATENATE(H66,F66,FO$2),Ciencias!$A:$H,7,FALSE)=CC66,1,0)</f>
        <v>#N/A</v>
      </c>
      <c r="FP66" s="138" t="e">
        <f>IF(VLOOKUP(CONCATENATE(H66,F66,FP$2),GeoHis!$A:$H,7,FALSE)=CD66,1,0)</f>
        <v>#N/A</v>
      </c>
      <c r="FQ66" s="138" t="e">
        <f>IF(VLOOKUP(CONCATENATE(H66,F66,FQ$2),GeoHis!$A:$H,7,FALSE)=CE66,1,0)</f>
        <v>#N/A</v>
      </c>
      <c r="FR66" s="138" t="e">
        <f>IF(VLOOKUP(CONCATENATE(H66,F66,FR$2),GeoHis!$A:$H,7,FALSE)=CF66,1,0)</f>
        <v>#N/A</v>
      </c>
      <c r="FS66" s="138" t="e">
        <f>IF(VLOOKUP(CONCATENATE(H66,F66,FS$2),GeoHis!$A:$H,7,FALSE)=CG66,1,0)</f>
        <v>#N/A</v>
      </c>
      <c r="FT66" s="138" t="e">
        <f>IF(VLOOKUP(CONCATENATE(H66,F66,FT$2),GeoHis!$A:$H,7,FALSE)=CH66,1,0)</f>
        <v>#N/A</v>
      </c>
      <c r="FU66" s="138" t="e">
        <f>IF(VLOOKUP(CONCATENATE(H66,F66,FU$2),GeoHis!$A:$H,7,FALSE)=CI66,1,0)</f>
        <v>#N/A</v>
      </c>
      <c r="FV66" s="138" t="e">
        <f>IF(VLOOKUP(CONCATENATE(H66,F66,FV$2),GeoHis!$A:$H,7,FALSE)=CJ66,1,0)</f>
        <v>#N/A</v>
      </c>
      <c r="FW66" s="138" t="e">
        <f>IF(VLOOKUP(CONCATENATE(H66,F66,FW$2),GeoHis!$A:$H,7,FALSE)=CK66,1,0)</f>
        <v>#N/A</v>
      </c>
      <c r="FX66" s="138" t="e">
        <f>IF(VLOOKUP(CONCATENATE(H66,F66,FX$2),GeoHis!$A:$H,7,FALSE)=CL66,1,0)</f>
        <v>#N/A</v>
      </c>
      <c r="FY66" s="138" t="e">
        <f>IF(VLOOKUP(CONCATENATE(H66,F66,FY$2),GeoHis!$A:$H,7,FALSE)=CM66,1,0)</f>
        <v>#N/A</v>
      </c>
      <c r="FZ66" s="138" t="e">
        <f>IF(VLOOKUP(CONCATENATE(H66,F66,FZ$2),GeoHis!$A:$H,7,FALSE)=CN66,1,0)</f>
        <v>#N/A</v>
      </c>
      <c r="GA66" s="138" t="e">
        <f>IF(VLOOKUP(CONCATENATE(H66,F66,GA$2),GeoHis!$A:$H,7,FALSE)=CO66,1,0)</f>
        <v>#N/A</v>
      </c>
      <c r="GB66" s="138" t="e">
        <f>IF(VLOOKUP(CONCATENATE(H66,F66,GB$2),GeoHis!$A:$H,7,FALSE)=CP66,1,0)</f>
        <v>#N/A</v>
      </c>
      <c r="GC66" s="138" t="e">
        <f>IF(VLOOKUP(CONCATENATE(H66,F66,GC$2),GeoHis!$A:$H,7,FALSE)=CQ66,1,0)</f>
        <v>#N/A</v>
      </c>
      <c r="GD66" s="138" t="e">
        <f>IF(VLOOKUP(CONCATENATE(H66,F66,GD$2),GeoHis!$A:$H,7,FALSE)=CR66,1,0)</f>
        <v>#N/A</v>
      </c>
      <c r="GE66" s="135" t="str">
        <f t="shared" si="6"/>
        <v/>
      </c>
    </row>
    <row r="67" spans="1:187" x14ac:dyDescent="0.25">
      <c r="A67" s="127" t="str">
        <f>IF(C67="","",'Datos Generales'!$A$25)</f>
        <v/>
      </c>
      <c r="D67" s="126" t="str">
        <f t="shared" si="0"/>
        <v/>
      </c>
      <c r="E67" s="126">
        <f t="shared" si="1"/>
        <v>0</v>
      </c>
      <c r="F67" s="126" t="str">
        <f t="shared" si="7"/>
        <v/>
      </c>
      <c r="G67" s="126" t="str">
        <f>IF(C67="","",'Datos Generales'!$D$19)</f>
        <v/>
      </c>
      <c r="H67" s="21" t="str">
        <f>IF(C67="","",'Datos Generales'!$A$19)</f>
        <v/>
      </c>
      <c r="I67" s="126" t="str">
        <f>IF(C67="","",'Datos Generales'!$A$7)</f>
        <v/>
      </c>
      <c r="J67" s="21" t="str">
        <f>IF(C67="","",'Datos Generales'!$A$13)</f>
        <v/>
      </c>
      <c r="K67" s="21" t="str">
        <f>IF(C67="","",'Datos Generales'!$A$10)</f>
        <v/>
      </c>
      <c r="CS67" s="142" t="str">
        <f t="shared" si="2"/>
        <v/>
      </c>
      <c r="CT67" s="142" t="str">
        <f t="shared" si="3"/>
        <v/>
      </c>
      <c r="CU67" s="142" t="str">
        <f t="shared" si="4"/>
        <v/>
      </c>
      <c r="CV67" s="142" t="str">
        <f t="shared" si="5"/>
        <v/>
      </c>
      <c r="CW67" s="142" t="str">
        <f>IF(C67="","",IF('Datos Generales'!$A$19=1,AVERAGE(FP67:GD67),AVERAGE(Captura!FP67:FY67)))</f>
        <v/>
      </c>
      <c r="CX67" s="138" t="e">
        <f>IF(VLOOKUP(CONCATENATE($H$4,$F$4,CX$2),Español!$A:$H,7,FALSE)=L67,1,0)</f>
        <v>#N/A</v>
      </c>
      <c r="CY67" s="138" t="e">
        <f>IF(VLOOKUP(CONCATENATE(H67,F67,CY$2),Español!$A:$H,7,FALSE)=M67,1,0)</f>
        <v>#N/A</v>
      </c>
      <c r="CZ67" s="138" t="e">
        <f>IF(VLOOKUP(CONCATENATE(H67,F67,CZ$2),Español!$A:$H,7,FALSE)=N67,1,0)</f>
        <v>#N/A</v>
      </c>
      <c r="DA67" s="138" t="e">
        <f>IF(VLOOKUP(CONCATENATE(H67,F67,DA$2),Español!$A:$H,7,FALSE)=O67,1,0)</f>
        <v>#N/A</v>
      </c>
      <c r="DB67" s="138" t="e">
        <f>IF(VLOOKUP(CONCATENATE(H67,F67,DB$2),Español!$A:$H,7,FALSE)=P67,1,0)</f>
        <v>#N/A</v>
      </c>
      <c r="DC67" s="138" t="e">
        <f>IF(VLOOKUP(CONCATENATE(H67,F67,DC$2),Español!$A:$H,7,FALSE)=Q67,1,0)</f>
        <v>#N/A</v>
      </c>
      <c r="DD67" s="138" t="e">
        <f>IF(VLOOKUP(CONCATENATE(H67,F67,DD$2),Español!$A:$H,7,FALSE)=R67,1,0)</f>
        <v>#N/A</v>
      </c>
      <c r="DE67" s="138" t="e">
        <f>IF(VLOOKUP(CONCATENATE(H67,F67,DE$2),Español!$A:$H,7,FALSE)=S67,1,0)</f>
        <v>#N/A</v>
      </c>
      <c r="DF67" s="138" t="e">
        <f>IF(VLOOKUP(CONCATENATE(H67,F67,DF$2),Español!$A:$H,7,FALSE)=T67,1,0)</f>
        <v>#N/A</v>
      </c>
      <c r="DG67" s="138" t="e">
        <f>IF(VLOOKUP(CONCATENATE(H67,F67,DG$2),Español!$A:$H,7,FALSE)=U67,1,0)</f>
        <v>#N/A</v>
      </c>
      <c r="DH67" s="138" t="e">
        <f>IF(VLOOKUP(CONCATENATE(H67,F67,DH$2),Español!$A:$H,7,FALSE)=V67,1,0)</f>
        <v>#N/A</v>
      </c>
      <c r="DI67" s="138" t="e">
        <f>IF(VLOOKUP(CONCATENATE(H67,F67,DI$2),Español!$A:$H,7,FALSE)=W67,1,0)</f>
        <v>#N/A</v>
      </c>
      <c r="DJ67" s="138" t="e">
        <f>IF(VLOOKUP(CONCATENATE(H67,F67,DJ$2),Español!$A:$H,7,FALSE)=X67,1,0)</f>
        <v>#N/A</v>
      </c>
      <c r="DK67" s="138" t="e">
        <f>IF(VLOOKUP(CONCATENATE(H67,F67,DK$2),Español!$A:$H,7,FALSE)=Y67,1,0)</f>
        <v>#N/A</v>
      </c>
      <c r="DL67" s="138" t="e">
        <f>IF(VLOOKUP(CONCATENATE(H67,F67,DL$2),Español!$A:$H,7,FALSE)=Z67,1,0)</f>
        <v>#N/A</v>
      </c>
      <c r="DM67" s="138" t="e">
        <f>IF(VLOOKUP(CONCATENATE(H67,F67,DM$2),Español!$A:$H,7,FALSE)=AA67,1,0)</f>
        <v>#N/A</v>
      </c>
      <c r="DN67" s="138" t="e">
        <f>IF(VLOOKUP(CONCATENATE(H67,F67,DN$2),Español!$A:$H,7,FALSE)=AB67,1,0)</f>
        <v>#N/A</v>
      </c>
      <c r="DO67" s="138" t="e">
        <f>IF(VLOOKUP(CONCATENATE(H67,F67,DO$2),Español!$A:$H,7,FALSE)=AC67,1,0)</f>
        <v>#N/A</v>
      </c>
      <c r="DP67" s="138" t="e">
        <f>IF(VLOOKUP(CONCATENATE(H67,F67,DP$2),Español!$A:$H,7,FALSE)=AD67,1,0)</f>
        <v>#N/A</v>
      </c>
      <c r="DQ67" s="138" t="e">
        <f>IF(VLOOKUP(CONCATENATE(H67,F67,DQ$2),Español!$A:$H,7,FALSE)=AE67,1,0)</f>
        <v>#N/A</v>
      </c>
      <c r="DR67" s="138" t="e">
        <f>IF(VLOOKUP(CONCATENATE(H67,F67,DR$2),Inglés!$A:$H,7,FALSE)=AF67,1,0)</f>
        <v>#N/A</v>
      </c>
      <c r="DS67" s="138" t="e">
        <f>IF(VLOOKUP(CONCATENATE(H67,F67,DS$2),Inglés!$A:$H,7,FALSE)=AG67,1,0)</f>
        <v>#N/A</v>
      </c>
      <c r="DT67" s="138" t="e">
        <f>IF(VLOOKUP(CONCATENATE(H67,F67,DT$2),Inglés!$A:$H,7,FALSE)=AH67,1,0)</f>
        <v>#N/A</v>
      </c>
      <c r="DU67" s="138" t="e">
        <f>IF(VLOOKUP(CONCATENATE(H67,F67,DU$2),Inglés!$A:$H,7,FALSE)=AI67,1,0)</f>
        <v>#N/A</v>
      </c>
      <c r="DV67" s="138" t="e">
        <f>IF(VLOOKUP(CONCATENATE(H67,F67,DV$2),Inglés!$A:$H,7,FALSE)=AJ67,1,0)</f>
        <v>#N/A</v>
      </c>
      <c r="DW67" s="138" t="e">
        <f>IF(VLOOKUP(CONCATENATE(H67,F67,DW$2),Inglés!$A:$H,7,FALSE)=AK67,1,0)</f>
        <v>#N/A</v>
      </c>
      <c r="DX67" s="138" t="e">
        <f>IF(VLOOKUP(CONCATENATE(H67,F67,DX$2),Inglés!$A:$H,7,FALSE)=AL67,1,0)</f>
        <v>#N/A</v>
      </c>
      <c r="DY67" s="138" t="e">
        <f>IF(VLOOKUP(CONCATENATE(H67,F67,DY$2),Inglés!$A:$H,7,FALSE)=AM67,1,0)</f>
        <v>#N/A</v>
      </c>
      <c r="DZ67" s="138" t="e">
        <f>IF(VLOOKUP(CONCATENATE(H67,F67,DZ$2),Inglés!$A:$H,7,FALSE)=AN67,1,0)</f>
        <v>#N/A</v>
      </c>
      <c r="EA67" s="138" t="e">
        <f>IF(VLOOKUP(CONCATENATE(H67,F67,EA$2),Inglés!$A:$H,7,FALSE)=AO67,1,0)</f>
        <v>#N/A</v>
      </c>
      <c r="EB67" s="138" t="e">
        <f>IF(VLOOKUP(CONCATENATE(H67,F67,EB$2),Matemáticas!$A:$H,7,FALSE)=AP67,1,0)</f>
        <v>#N/A</v>
      </c>
      <c r="EC67" s="138" t="e">
        <f>IF(VLOOKUP(CONCATENATE(H67,F67,EC$2),Matemáticas!$A:$H,7,FALSE)=AQ67,1,0)</f>
        <v>#N/A</v>
      </c>
      <c r="ED67" s="138" t="e">
        <f>IF(VLOOKUP(CONCATENATE(H67,F67,ED$2),Matemáticas!$A:$H,7,FALSE)=AR67,1,0)</f>
        <v>#N/A</v>
      </c>
      <c r="EE67" s="138" t="e">
        <f>IF(VLOOKUP(CONCATENATE(H67,F67,EE$2),Matemáticas!$A:$H,7,FALSE)=AS67,1,0)</f>
        <v>#N/A</v>
      </c>
      <c r="EF67" s="138" t="e">
        <f>IF(VLOOKUP(CONCATENATE(H67,F67,EF$2),Matemáticas!$A:$H,7,FALSE)=AT67,1,0)</f>
        <v>#N/A</v>
      </c>
      <c r="EG67" s="138" t="e">
        <f>IF(VLOOKUP(CONCATENATE(H67,F67,EG$2),Matemáticas!$A:$H,7,FALSE)=AU67,1,0)</f>
        <v>#N/A</v>
      </c>
      <c r="EH67" s="138" t="e">
        <f>IF(VLOOKUP(CONCATENATE(H67,F67,EH$2),Matemáticas!$A:$H,7,FALSE)=AV67,1,0)</f>
        <v>#N/A</v>
      </c>
      <c r="EI67" s="138" t="e">
        <f>IF(VLOOKUP(CONCATENATE(H67,F67,EI$2),Matemáticas!$A:$H,7,FALSE)=AW67,1,0)</f>
        <v>#N/A</v>
      </c>
      <c r="EJ67" s="138" t="e">
        <f>IF(VLOOKUP(CONCATENATE(H67,F67,EJ$2),Matemáticas!$A:$H,7,FALSE)=AX67,1,0)</f>
        <v>#N/A</v>
      </c>
      <c r="EK67" s="138" t="e">
        <f>IF(VLOOKUP(CONCATENATE(H67,F67,EK$2),Matemáticas!$A:$H,7,FALSE)=AY67,1,0)</f>
        <v>#N/A</v>
      </c>
      <c r="EL67" s="138" t="e">
        <f>IF(VLOOKUP(CONCATENATE(H67,F67,EL$2),Matemáticas!$A:$H,7,FALSE)=AZ67,1,0)</f>
        <v>#N/A</v>
      </c>
      <c r="EM67" s="138" t="e">
        <f>IF(VLOOKUP(CONCATENATE(H67,F67,EM$2),Matemáticas!$A:$H,7,FALSE)=BA67,1,0)</f>
        <v>#N/A</v>
      </c>
      <c r="EN67" s="138" t="e">
        <f>IF(VLOOKUP(CONCATENATE(H67,F67,EN$2),Matemáticas!$A:$H,7,FALSE)=BB67,1,0)</f>
        <v>#N/A</v>
      </c>
      <c r="EO67" s="138" t="e">
        <f>IF(VLOOKUP(CONCATENATE(H67,F67,EO$2),Matemáticas!$A:$H,7,FALSE)=BC67,1,0)</f>
        <v>#N/A</v>
      </c>
      <c r="EP67" s="138" t="e">
        <f>IF(VLOOKUP(CONCATENATE(H67,F67,EP$2),Matemáticas!$A:$H,7,FALSE)=BD67,1,0)</f>
        <v>#N/A</v>
      </c>
      <c r="EQ67" s="138" t="e">
        <f>IF(VLOOKUP(CONCATENATE(H67,F67,EQ$2),Matemáticas!$A:$H,7,FALSE)=BE67,1,0)</f>
        <v>#N/A</v>
      </c>
      <c r="ER67" s="138" t="e">
        <f>IF(VLOOKUP(CONCATENATE(H67,F67,ER$2),Matemáticas!$A:$H,7,FALSE)=BF67,1,0)</f>
        <v>#N/A</v>
      </c>
      <c r="ES67" s="138" t="e">
        <f>IF(VLOOKUP(CONCATENATE(H67,F67,ES$2),Matemáticas!$A:$H,7,FALSE)=BG67,1,0)</f>
        <v>#N/A</v>
      </c>
      <c r="ET67" s="138" t="e">
        <f>IF(VLOOKUP(CONCATENATE(H67,F67,ET$2),Matemáticas!$A:$H,7,FALSE)=BH67,1,0)</f>
        <v>#N/A</v>
      </c>
      <c r="EU67" s="138" t="e">
        <f>IF(VLOOKUP(CONCATENATE(H67,F67,EU$2),Matemáticas!$A:$H,7,FALSE)=BI67,1,0)</f>
        <v>#N/A</v>
      </c>
      <c r="EV67" s="138" t="e">
        <f>IF(VLOOKUP(CONCATENATE(H67,F67,EV$2),Ciencias!$A:$H,7,FALSE)=BJ67,1,0)</f>
        <v>#N/A</v>
      </c>
      <c r="EW67" s="138" t="e">
        <f>IF(VLOOKUP(CONCATENATE(H67,F67,EW$2),Ciencias!$A:$H,7,FALSE)=BK67,1,0)</f>
        <v>#N/A</v>
      </c>
      <c r="EX67" s="138" t="e">
        <f>IF(VLOOKUP(CONCATENATE(H67,F67,EX$2),Ciencias!$A:$H,7,FALSE)=BL67,1,0)</f>
        <v>#N/A</v>
      </c>
      <c r="EY67" s="138" t="e">
        <f>IF(VLOOKUP(CONCATENATE(H67,F67,EY$2),Ciencias!$A:$H,7,FALSE)=BM67,1,0)</f>
        <v>#N/A</v>
      </c>
      <c r="EZ67" s="138" t="e">
        <f>IF(VLOOKUP(CONCATENATE(H67,F67,EZ$2),Ciencias!$A:$H,7,FALSE)=BN67,1,0)</f>
        <v>#N/A</v>
      </c>
      <c r="FA67" s="138" t="e">
        <f>IF(VLOOKUP(CONCATENATE(H67,F67,FA$2),Ciencias!$A:$H,7,FALSE)=BO67,1,0)</f>
        <v>#N/A</v>
      </c>
      <c r="FB67" s="138" t="e">
        <f>IF(VLOOKUP(CONCATENATE(H67,F67,FB$2),Ciencias!$A:$H,7,FALSE)=BP67,1,0)</f>
        <v>#N/A</v>
      </c>
      <c r="FC67" s="138" t="e">
        <f>IF(VLOOKUP(CONCATENATE(H67,F67,FC$2),Ciencias!$A:$H,7,FALSE)=BQ67,1,0)</f>
        <v>#N/A</v>
      </c>
      <c r="FD67" s="138" t="e">
        <f>IF(VLOOKUP(CONCATENATE(H67,F67,FD$2),Ciencias!$A:$H,7,FALSE)=BR67,1,0)</f>
        <v>#N/A</v>
      </c>
      <c r="FE67" s="138" t="e">
        <f>IF(VLOOKUP(CONCATENATE(H67,F67,FE$2),Ciencias!$A:$H,7,FALSE)=BS67,1,0)</f>
        <v>#N/A</v>
      </c>
      <c r="FF67" s="138" t="e">
        <f>IF(VLOOKUP(CONCATENATE(H67,F67,FF$2),Ciencias!$A:$H,7,FALSE)=BT67,1,0)</f>
        <v>#N/A</v>
      </c>
      <c r="FG67" s="138" t="e">
        <f>IF(VLOOKUP(CONCATENATE(H67,F67,FG$2),Ciencias!$A:$H,7,FALSE)=BU67,1,0)</f>
        <v>#N/A</v>
      </c>
      <c r="FH67" s="138" t="e">
        <f>IF(VLOOKUP(CONCATENATE(H67,F67,FH$2),Ciencias!$A:$H,7,FALSE)=BV67,1,0)</f>
        <v>#N/A</v>
      </c>
      <c r="FI67" s="138" t="e">
        <f>IF(VLOOKUP(CONCATENATE(H67,F67,FI$2),Ciencias!$A:$H,7,FALSE)=BW67,1,0)</f>
        <v>#N/A</v>
      </c>
      <c r="FJ67" s="138" t="e">
        <f>IF(VLOOKUP(CONCATENATE(H67,F67,FJ$2),Ciencias!$A:$H,7,FALSE)=BX67,1,0)</f>
        <v>#N/A</v>
      </c>
      <c r="FK67" s="138" t="e">
        <f>IF(VLOOKUP(CONCATENATE(H67,F67,FK$2),Ciencias!$A:$H,7,FALSE)=BY67,1,0)</f>
        <v>#N/A</v>
      </c>
      <c r="FL67" s="138" t="e">
        <f>IF(VLOOKUP(CONCATENATE(H67,F67,FL$2),Ciencias!$A:$H,7,FALSE)=BZ67,1,0)</f>
        <v>#N/A</v>
      </c>
      <c r="FM67" s="138" t="e">
        <f>IF(VLOOKUP(CONCATENATE(H67,F67,FM$2),Ciencias!$A:$H,7,FALSE)=CA67,1,0)</f>
        <v>#N/A</v>
      </c>
      <c r="FN67" s="138" t="e">
        <f>IF(VLOOKUP(CONCATENATE(H67,F67,FN$2),Ciencias!$A:$H,7,FALSE)=CB67,1,0)</f>
        <v>#N/A</v>
      </c>
      <c r="FO67" s="138" t="e">
        <f>IF(VLOOKUP(CONCATENATE(H67,F67,FO$2),Ciencias!$A:$H,7,FALSE)=CC67,1,0)</f>
        <v>#N/A</v>
      </c>
      <c r="FP67" s="138" t="e">
        <f>IF(VLOOKUP(CONCATENATE(H67,F67,FP$2),GeoHis!$A:$H,7,FALSE)=CD67,1,0)</f>
        <v>#N/A</v>
      </c>
      <c r="FQ67" s="138" t="e">
        <f>IF(VLOOKUP(CONCATENATE(H67,F67,FQ$2),GeoHis!$A:$H,7,FALSE)=CE67,1,0)</f>
        <v>#N/A</v>
      </c>
      <c r="FR67" s="138" t="e">
        <f>IF(VLOOKUP(CONCATENATE(H67,F67,FR$2),GeoHis!$A:$H,7,FALSE)=CF67,1,0)</f>
        <v>#N/A</v>
      </c>
      <c r="FS67" s="138" t="e">
        <f>IF(VLOOKUP(CONCATENATE(H67,F67,FS$2),GeoHis!$A:$H,7,FALSE)=CG67,1,0)</f>
        <v>#N/A</v>
      </c>
      <c r="FT67" s="138" t="e">
        <f>IF(VLOOKUP(CONCATENATE(H67,F67,FT$2),GeoHis!$A:$H,7,FALSE)=CH67,1,0)</f>
        <v>#N/A</v>
      </c>
      <c r="FU67" s="138" t="e">
        <f>IF(VLOOKUP(CONCATENATE(H67,F67,FU$2),GeoHis!$A:$H,7,FALSE)=CI67,1,0)</f>
        <v>#N/A</v>
      </c>
      <c r="FV67" s="138" t="e">
        <f>IF(VLOOKUP(CONCATENATE(H67,F67,FV$2),GeoHis!$A:$H,7,FALSE)=CJ67,1,0)</f>
        <v>#N/A</v>
      </c>
      <c r="FW67" s="138" t="e">
        <f>IF(VLOOKUP(CONCATENATE(H67,F67,FW$2),GeoHis!$A:$H,7,FALSE)=CK67,1,0)</f>
        <v>#N/A</v>
      </c>
      <c r="FX67" s="138" t="e">
        <f>IF(VLOOKUP(CONCATENATE(H67,F67,FX$2),GeoHis!$A:$H,7,FALSE)=CL67,1,0)</f>
        <v>#N/A</v>
      </c>
      <c r="FY67" s="138" t="e">
        <f>IF(VLOOKUP(CONCATENATE(H67,F67,FY$2),GeoHis!$A:$H,7,FALSE)=CM67,1,0)</f>
        <v>#N/A</v>
      </c>
      <c r="FZ67" s="138" t="e">
        <f>IF(VLOOKUP(CONCATENATE(H67,F67,FZ$2),GeoHis!$A:$H,7,FALSE)=CN67,1,0)</f>
        <v>#N/A</v>
      </c>
      <c r="GA67" s="138" t="e">
        <f>IF(VLOOKUP(CONCATENATE(H67,F67,GA$2),GeoHis!$A:$H,7,FALSE)=CO67,1,0)</f>
        <v>#N/A</v>
      </c>
      <c r="GB67" s="138" t="e">
        <f>IF(VLOOKUP(CONCATENATE(H67,F67,GB$2),GeoHis!$A:$H,7,FALSE)=CP67,1,0)</f>
        <v>#N/A</v>
      </c>
      <c r="GC67" s="138" t="e">
        <f>IF(VLOOKUP(CONCATENATE(H67,F67,GC$2),GeoHis!$A:$H,7,FALSE)=CQ67,1,0)</f>
        <v>#N/A</v>
      </c>
      <c r="GD67" s="138" t="e">
        <f>IF(VLOOKUP(CONCATENATE(H67,F67,GD$2),GeoHis!$A:$H,7,FALSE)=CR67,1,0)</f>
        <v>#N/A</v>
      </c>
      <c r="GE67" s="135" t="str">
        <f t="shared" si="6"/>
        <v/>
      </c>
    </row>
    <row r="68" spans="1:187" x14ac:dyDescent="0.25">
      <c r="A68" s="127" t="str">
        <f>IF(C68="","",'Datos Generales'!$A$25)</f>
        <v/>
      </c>
      <c r="D68" s="126" t="str">
        <f t="shared" ref="D68:D131" si="8">CONCATENATE(C68,F68,G68,H68,I68,J68,K68)</f>
        <v/>
      </c>
      <c r="E68" s="126">
        <f t="shared" ref="E68:E131" si="9">B68</f>
        <v>0</v>
      </c>
      <c r="F68" s="126" t="str">
        <f t="shared" ref="F68:F131" si="10">IF(C68="","",IF(F67="","",F67))</f>
        <v/>
      </c>
      <c r="G68" s="126" t="str">
        <f>IF(C68="","",'Datos Generales'!$D$19)</f>
        <v/>
      </c>
      <c r="H68" s="21" t="str">
        <f>IF(C68="","",'Datos Generales'!$A$19)</f>
        <v/>
      </c>
      <c r="I68" s="126" t="str">
        <f>IF(C68="","",'Datos Generales'!$A$7)</f>
        <v/>
      </c>
      <c r="J68" s="21" t="str">
        <f>IF(C68="","",'Datos Generales'!$A$13)</f>
        <v/>
      </c>
      <c r="K68" s="21" t="str">
        <f>IF(C68="","",'Datos Generales'!$A$10)</f>
        <v/>
      </c>
      <c r="CS68" s="142" t="str">
        <f t="shared" ref="CS68:CS131" si="11">IF(C68="","",AVERAGE(CX68:DQ68))</f>
        <v/>
      </c>
      <c r="CT68" s="142" t="str">
        <f t="shared" ref="CT68:CT131" si="12">IF(C68="","",AVERAGE(DR68:EA68))</f>
        <v/>
      </c>
      <c r="CU68" s="142" t="str">
        <f t="shared" ref="CU68:CU131" si="13">IF(C68="","",AVERAGE(EB68:EU68))</f>
        <v/>
      </c>
      <c r="CV68" s="142" t="str">
        <f t="shared" ref="CV68:CV131" si="14">IF(C68="","",AVERAGE(EV68:FO68))</f>
        <v/>
      </c>
      <c r="CW68" s="142" t="str">
        <f>IF(C68="","",IF('Datos Generales'!$A$19=1,AVERAGE(FP68:GD68),AVERAGE(Captura!FP68:FY68)))</f>
        <v/>
      </c>
      <c r="CX68" s="138" t="e">
        <f>IF(VLOOKUP(CONCATENATE($H$4,$F$4,CX$2),Español!$A:$H,7,FALSE)=L68,1,0)</f>
        <v>#N/A</v>
      </c>
      <c r="CY68" s="138" t="e">
        <f>IF(VLOOKUP(CONCATENATE(H68,F68,CY$2),Español!$A:$H,7,FALSE)=M68,1,0)</f>
        <v>#N/A</v>
      </c>
      <c r="CZ68" s="138" t="e">
        <f>IF(VLOOKUP(CONCATENATE(H68,F68,CZ$2),Español!$A:$H,7,FALSE)=N68,1,0)</f>
        <v>#N/A</v>
      </c>
      <c r="DA68" s="138" t="e">
        <f>IF(VLOOKUP(CONCATENATE(H68,F68,DA$2),Español!$A:$H,7,FALSE)=O68,1,0)</f>
        <v>#N/A</v>
      </c>
      <c r="DB68" s="138" t="e">
        <f>IF(VLOOKUP(CONCATENATE(H68,F68,DB$2),Español!$A:$H,7,FALSE)=P68,1,0)</f>
        <v>#N/A</v>
      </c>
      <c r="DC68" s="138" t="e">
        <f>IF(VLOOKUP(CONCATENATE(H68,F68,DC$2),Español!$A:$H,7,FALSE)=Q68,1,0)</f>
        <v>#N/A</v>
      </c>
      <c r="DD68" s="138" t="e">
        <f>IF(VLOOKUP(CONCATENATE(H68,F68,DD$2),Español!$A:$H,7,FALSE)=R68,1,0)</f>
        <v>#N/A</v>
      </c>
      <c r="DE68" s="138" t="e">
        <f>IF(VLOOKUP(CONCATENATE(H68,F68,DE$2),Español!$A:$H,7,FALSE)=S68,1,0)</f>
        <v>#N/A</v>
      </c>
      <c r="DF68" s="138" t="e">
        <f>IF(VLOOKUP(CONCATENATE(H68,F68,DF$2),Español!$A:$H,7,FALSE)=T68,1,0)</f>
        <v>#N/A</v>
      </c>
      <c r="DG68" s="138" t="e">
        <f>IF(VLOOKUP(CONCATENATE(H68,F68,DG$2),Español!$A:$H,7,FALSE)=U68,1,0)</f>
        <v>#N/A</v>
      </c>
      <c r="DH68" s="138" t="e">
        <f>IF(VLOOKUP(CONCATENATE(H68,F68,DH$2),Español!$A:$H,7,FALSE)=V68,1,0)</f>
        <v>#N/A</v>
      </c>
      <c r="DI68" s="138" t="e">
        <f>IF(VLOOKUP(CONCATENATE(H68,F68,DI$2),Español!$A:$H,7,FALSE)=W68,1,0)</f>
        <v>#N/A</v>
      </c>
      <c r="DJ68" s="138" t="e">
        <f>IF(VLOOKUP(CONCATENATE(H68,F68,DJ$2),Español!$A:$H,7,FALSE)=X68,1,0)</f>
        <v>#N/A</v>
      </c>
      <c r="DK68" s="138" t="e">
        <f>IF(VLOOKUP(CONCATENATE(H68,F68,DK$2),Español!$A:$H,7,FALSE)=Y68,1,0)</f>
        <v>#N/A</v>
      </c>
      <c r="DL68" s="138" t="e">
        <f>IF(VLOOKUP(CONCATENATE(H68,F68,DL$2),Español!$A:$H,7,FALSE)=Z68,1,0)</f>
        <v>#N/A</v>
      </c>
      <c r="DM68" s="138" t="e">
        <f>IF(VLOOKUP(CONCATENATE(H68,F68,DM$2),Español!$A:$H,7,FALSE)=AA68,1,0)</f>
        <v>#N/A</v>
      </c>
      <c r="DN68" s="138" t="e">
        <f>IF(VLOOKUP(CONCATENATE(H68,F68,DN$2),Español!$A:$H,7,FALSE)=AB68,1,0)</f>
        <v>#N/A</v>
      </c>
      <c r="DO68" s="138" t="e">
        <f>IF(VLOOKUP(CONCATENATE(H68,F68,DO$2),Español!$A:$H,7,FALSE)=AC68,1,0)</f>
        <v>#N/A</v>
      </c>
      <c r="DP68" s="138" t="e">
        <f>IF(VLOOKUP(CONCATENATE(H68,F68,DP$2),Español!$A:$H,7,FALSE)=AD68,1,0)</f>
        <v>#N/A</v>
      </c>
      <c r="DQ68" s="138" t="e">
        <f>IF(VLOOKUP(CONCATENATE(H68,F68,DQ$2),Español!$A:$H,7,FALSE)=AE68,1,0)</f>
        <v>#N/A</v>
      </c>
      <c r="DR68" s="138" t="e">
        <f>IF(VLOOKUP(CONCATENATE(H68,F68,DR$2),Inglés!$A:$H,7,FALSE)=AF68,1,0)</f>
        <v>#N/A</v>
      </c>
      <c r="DS68" s="138" t="e">
        <f>IF(VLOOKUP(CONCATENATE(H68,F68,DS$2),Inglés!$A:$H,7,FALSE)=AG68,1,0)</f>
        <v>#N/A</v>
      </c>
      <c r="DT68" s="138" t="e">
        <f>IF(VLOOKUP(CONCATENATE(H68,F68,DT$2),Inglés!$A:$H,7,FALSE)=AH68,1,0)</f>
        <v>#N/A</v>
      </c>
      <c r="DU68" s="138" t="e">
        <f>IF(VLOOKUP(CONCATENATE(H68,F68,DU$2),Inglés!$A:$H,7,FALSE)=AI68,1,0)</f>
        <v>#N/A</v>
      </c>
      <c r="DV68" s="138" t="e">
        <f>IF(VLOOKUP(CONCATENATE(H68,F68,DV$2),Inglés!$A:$H,7,FALSE)=AJ68,1,0)</f>
        <v>#N/A</v>
      </c>
      <c r="DW68" s="138" t="e">
        <f>IF(VLOOKUP(CONCATENATE(H68,F68,DW$2),Inglés!$A:$H,7,FALSE)=AK68,1,0)</f>
        <v>#N/A</v>
      </c>
      <c r="DX68" s="138" t="e">
        <f>IF(VLOOKUP(CONCATENATE(H68,F68,DX$2),Inglés!$A:$H,7,FALSE)=AL68,1,0)</f>
        <v>#N/A</v>
      </c>
      <c r="DY68" s="138" t="e">
        <f>IF(VLOOKUP(CONCATENATE(H68,F68,DY$2),Inglés!$A:$H,7,FALSE)=AM68,1,0)</f>
        <v>#N/A</v>
      </c>
      <c r="DZ68" s="138" t="e">
        <f>IF(VLOOKUP(CONCATENATE(H68,F68,DZ$2),Inglés!$A:$H,7,FALSE)=AN68,1,0)</f>
        <v>#N/A</v>
      </c>
      <c r="EA68" s="138" t="e">
        <f>IF(VLOOKUP(CONCATENATE(H68,F68,EA$2),Inglés!$A:$H,7,FALSE)=AO68,1,0)</f>
        <v>#N/A</v>
      </c>
      <c r="EB68" s="138" t="e">
        <f>IF(VLOOKUP(CONCATENATE(H68,F68,EB$2),Matemáticas!$A:$H,7,FALSE)=AP68,1,0)</f>
        <v>#N/A</v>
      </c>
      <c r="EC68" s="138" t="e">
        <f>IF(VLOOKUP(CONCATENATE(H68,F68,EC$2),Matemáticas!$A:$H,7,FALSE)=AQ68,1,0)</f>
        <v>#N/A</v>
      </c>
      <c r="ED68" s="138" t="e">
        <f>IF(VLOOKUP(CONCATENATE(H68,F68,ED$2),Matemáticas!$A:$H,7,FALSE)=AR68,1,0)</f>
        <v>#N/A</v>
      </c>
      <c r="EE68" s="138" t="e">
        <f>IF(VLOOKUP(CONCATENATE(H68,F68,EE$2),Matemáticas!$A:$H,7,FALSE)=AS68,1,0)</f>
        <v>#N/A</v>
      </c>
      <c r="EF68" s="138" t="e">
        <f>IF(VLOOKUP(CONCATENATE(H68,F68,EF$2),Matemáticas!$A:$H,7,FALSE)=AT68,1,0)</f>
        <v>#N/A</v>
      </c>
      <c r="EG68" s="138" t="e">
        <f>IF(VLOOKUP(CONCATENATE(H68,F68,EG$2),Matemáticas!$A:$H,7,FALSE)=AU68,1,0)</f>
        <v>#N/A</v>
      </c>
      <c r="EH68" s="138" t="e">
        <f>IF(VLOOKUP(CONCATENATE(H68,F68,EH$2),Matemáticas!$A:$H,7,FALSE)=AV68,1,0)</f>
        <v>#N/A</v>
      </c>
      <c r="EI68" s="138" t="e">
        <f>IF(VLOOKUP(CONCATENATE(H68,F68,EI$2),Matemáticas!$A:$H,7,FALSE)=AW68,1,0)</f>
        <v>#N/A</v>
      </c>
      <c r="EJ68" s="138" t="e">
        <f>IF(VLOOKUP(CONCATENATE(H68,F68,EJ$2),Matemáticas!$A:$H,7,FALSE)=AX68,1,0)</f>
        <v>#N/A</v>
      </c>
      <c r="EK68" s="138" t="e">
        <f>IF(VLOOKUP(CONCATENATE(H68,F68,EK$2),Matemáticas!$A:$H,7,FALSE)=AY68,1,0)</f>
        <v>#N/A</v>
      </c>
      <c r="EL68" s="138" t="e">
        <f>IF(VLOOKUP(CONCATENATE(H68,F68,EL$2),Matemáticas!$A:$H,7,FALSE)=AZ68,1,0)</f>
        <v>#N/A</v>
      </c>
      <c r="EM68" s="138" t="e">
        <f>IF(VLOOKUP(CONCATENATE(H68,F68,EM$2),Matemáticas!$A:$H,7,FALSE)=BA68,1,0)</f>
        <v>#N/A</v>
      </c>
      <c r="EN68" s="138" t="e">
        <f>IF(VLOOKUP(CONCATENATE(H68,F68,EN$2),Matemáticas!$A:$H,7,FALSE)=BB68,1,0)</f>
        <v>#N/A</v>
      </c>
      <c r="EO68" s="138" t="e">
        <f>IF(VLOOKUP(CONCATENATE(H68,F68,EO$2),Matemáticas!$A:$H,7,FALSE)=BC68,1,0)</f>
        <v>#N/A</v>
      </c>
      <c r="EP68" s="138" t="e">
        <f>IF(VLOOKUP(CONCATENATE(H68,F68,EP$2),Matemáticas!$A:$H,7,FALSE)=BD68,1,0)</f>
        <v>#N/A</v>
      </c>
      <c r="EQ68" s="138" t="e">
        <f>IF(VLOOKUP(CONCATENATE(H68,F68,EQ$2),Matemáticas!$A:$H,7,FALSE)=BE68,1,0)</f>
        <v>#N/A</v>
      </c>
      <c r="ER68" s="138" t="e">
        <f>IF(VLOOKUP(CONCATENATE(H68,F68,ER$2),Matemáticas!$A:$H,7,FALSE)=BF68,1,0)</f>
        <v>#N/A</v>
      </c>
      <c r="ES68" s="138" t="e">
        <f>IF(VLOOKUP(CONCATENATE(H68,F68,ES$2),Matemáticas!$A:$H,7,FALSE)=BG68,1,0)</f>
        <v>#N/A</v>
      </c>
      <c r="ET68" s="138" t="e">
        <f>IF(VLOOKUP(CONCATENATE(H68,F68,ET$2),Matemáticas!$A:$H,7,FALSE)=BH68,1,0)</f>
        <v>#N/A</v>
      </c>
      <c r="EU68" s="138" t="e">
        <f>IF(VLOOKUP(CONCATENATE(H68,F68,EU$2),Matemáticas!$A:$H,7,FALSE)=BI68,1,0)</f>
        <v>#N/A</v>
      </c>
      <c r="EV68" s="138" t="e">
        <f>IF(VLOOKUP(CONCATENATE(H68,F68,EV$2),Ciencias!$A:$H,7,FALSE)=BJ68,1,0)</f>
        <v>#N/A</v>
      </c>
      <c r="EW68" s="138" t="e">
        <f>IF(VLOOKUP(CONCATENATE(H68,F68,EW$2),Ciencias!$A:$H,7,FALSE)=BK68,1,0)</f>
        <v>#N/A</v>
      </c>
      <c r="EX68" s="138" t="e">
        <f>IF(VLOOKUP(CONCATENATE(H68,F68,EX$2),Ciencias!$A:$H,7,FALSE)=BL68,1,0)</f>
        <v>#N/A</v>
      </c>
      <c r="EY68" s="138" t="e">
        <f>IF(VLOOKUP(CONCATENATE(H68,F68,EY$2),Ciencias!$A:$H,7,FALSE)=BM68,1,0)</f>
        <v>#N/A</v>
      </c>
      <c r="EZ68" s="138" t="e">
        <f>IF(VLOOKUP(CONCATENATE(H68,F68,EZ$2),Ciencias!$A:$H,7,FALSE)=BN68,1,0)</f>
        <v>#N/A</v>
      </c>
      <c r="FA68" s="138" t="e">
        <f>IF(VLOOKUP(CONCATENATE(H68,F68,FA$2),Ciencias!$A:$H,7,FALSE)=BO68,1,0)</f>
        <v>#N/A</v>
      </c>
      <c r="FB68" s="138" t="e">
        <f>IF(VLOOKUP(CONCATENATE(H68,F68,FB$2),Ciencias!$A:$H,7,FALSE)=BP68,1,0)</f>
        <v>#N/A</v>
      </c>
      <c r="FC68" s="138" t="e">
        <f>IF(VLOOKUP(CONCATENATE(H68,F68,FC$2),Ciencias!$A:$H,7,FALSE)=BQ68,1,0)</f>
        <v>#N/A</v>
      </c>
      <c r="FD68" s="138" t="e">
        <f>IF(VLOOKUP(CONCATENATE(H68,F68,FD$2),Ciencias!$A:$H,7,FALSE)=BR68,1,0)</f>
        <v>#N/A</v>
      </c>
      <c r="FE68" s="138" t="e">
        <f>IF(VLOOKUP(CONCATENATE(H68,F68,FE$2),Ciencias!$A:$H,7,FALSE)=BS68,1,0)</f>
        <v>#N/A</v>
      </c>
      <c r="FF68" s="138" t="e">
        <f>IF(VLOOKUP(CONCATENATE(H68,F68,FF$2),Ciencias!$A:$H,7,FALSE)=BT68,1,0)</f>
        <v>#N/A</v>
      </c>
      <c r="FG68" s="138" t="e">
        <f>IF(VLOOKUP(CONCATENATE(H68,F68,FG$2),Ciencias!$A:$H,7,FALSE)=BU68,1,0)</f>
        <v>#N/A</v>
      </c>
      <c r="FH68" s="138" t="e">
        <f>IF(VLOOKUP(CONCATENATE(H68,F68,FH$2),Ciencias!$A:$H,7,FALSE)=BV68,1,0)</f>
        <v>#N/A</v>
      </c>
      <c r="FI68" s="138" t="e">
        <f>IF(VLOOKUP(CONCATENATE(H68,F68,FI$2),Ciencias!$A:$H,7,FALSE)=BW68,1,0)</f>
        <v>#N/A</v>
      </c>
      <c r="FJ68" s="138" t="e">
        <f>IF(VLOOKUP(CONCATENATE(H68,F68,FJ$2),Ciencias!$A:$H,7,FALSE)=BX68,1,0)</f>
        <v>#N/A</v>
      </c>
      <c r="FK68" s="138" t="e">
        <f>IF(VLOOKUP(CONCATENATE(H68,F68,FK$2),Ciencias!$A:$H,7,FALSE)=BY68,1,0)</f>
        <v>#N/A</v>
      </c>
      <c r="FL68" s="138" t="e">
        <f>IF(VLOOKUP(CONCATENATE(H68,F68,FL$2),Ciencias!$A:$H,7,FALSE)=BZ68,1,0)</f>
        <v>#N/A</v>
      </c>
      <c r="FM68" s="138" t="e">
        <f>IF(VLOOKUP(CONCATENATE(H68,F68,FM$2),Ciencias!$A:$H,7,FALSE)=CA68,1,0)</f>
        <v>#N/A</v>
      </c>
      <c r="FN68" s="138" t="e">
        <f>IF(VLOOKUP(CONCATENATE(H68,F68,FN$2),Ciencias!$A:$H,7,FALSE)=CB68,1,0)</f>
        <v>#N/A</v>
      </c>
      <c r="FO68" s="138" t="e">
        <f>IF(VLOOKUP(CONCATENATE(H68,F68,FO$2),Ciencias!$A:$H,7,FALSE)=CC68,1,0)</f>
        <v>#N/A</v>
      </c>
      <c r="FP68" s="138" t="e">
        <f>IF(VLOOKUP(CONCATENATE(H68,F68,FP$2),GeoHis!$A:$H,7,FALSE)=CD68,1,0)</f>
        <v>#N/A</v>
      </c>
      <c r="FQ68" s="138" t="e">
        <f>IF(VLOOKUP(CONCATENATE(H68,F68,FQ$2),GeoHis!$A:$H,7,FALSE)=CE68,1,0)</f>
        <v>#N/A</v>
      </c>
      <c r="FR68" s="138" t="e">
        <f>IF(VLOOKUP(CONCATENATE(H68,F68,FR$2),GeoHis!$A:$H,7,FALSE)=CF68,1,0)</f>
        <v>#N/A</v>
      </c>
      <c r="FS68" s="138" t="e">
        <f>IF(VLOOKUP(CONCATENATE(H68,F68,FS$2),GeoHis!$A:$H,7,FALSE)=CG68,1,0)</f>
        <v>#N/A</v>
      </c>
      <c r="FT68" s="138" t="e">
        <f>IF(VLOOKUP(CONCATENATE(H68,F68,FT$2),GeoHis!$A:$H,7,FALSE)=CH68,1,0)</f>
        <v>#N/A</v>
      </c>
      <c r="FU68" s="138" t="e">
        <f>IF(VLOOKUP(CONCATENATE(H68,F68,FU$2),GeoHis!$A:$H,7,FALSE)=CI68,1,0)</f>
        <v>#N/A</v>
      </c>
      <c r="FV68" s="138" t="e">
        <f>IF(VLOOKUP(CONCATENATE(H68,F68,FV$2),GeoHis!$A:$H,7,FALSE)=CJ68,1,0)</f>
        <v>#N/A</v>
      </c>
      <c r="FW68" s="138" t="e">
        <f>IF(VLOOKUP(CONCATENATE(H68,F68,FW$2),GeoHis!$A:$H,7,FALSE)=CK68,1,0)</f>
        <v>#N/A</v>
      </c>
      <c r="FX68" s="138" t="e">
        <f>IF(VLOOKUP(CONCATENATE(H68,F68,FX$2),GeoHis!$A:$H,7,FALSE)=CL68,1,0)</f>
        <v>#N/A</v>
      </c>
      <c r="FY68" s="138" t="e">
        <f>IF(VLOOKUP(CONCATENATE(H68,F68,FY$2),GeoHis!$A:$H,7,FALSE)=CM68,1,0)</f>
        <v>#N/A</v>
      </c>
      <c r="FZ68" s="138" t="e">
        <f>IF(VLOOKUP(CONCATENATE(H68,F68,FZ$2),GeoHis!$A:$H,7,FALSE)=CN68,1,0)</f>
        <v>#N/A</v>
      </c>
      <c r="GA68" s="138" t="e">
        <f>IF(VLOOKUP(CONCATENATE(H68,F68,GA$2),GeoHis!$A:$H,7,FALSE)=CO68,1,0)</f>
        <v>#N/A</v>
      </c>
      <c r="GB68" s="138" t="e">
        <f>IF(VLOOKUP(CONCATENATE(H68,F68,GB$2),GeoHis!$A:$H,7,FALSE)=CP68,1,0)</f>
        <v>#N/A</v>
      </c>
      <c r="GC68" s="138" t="e">
        <f>IF(VLOOKUP(CONCATENATE(H68,F68,GC$2),GeoHis!$A:$H,7,FALSE)=CQ68,1,0)</f>
        <v>#N/A</v>
      </c>
      <c r="GD68" s="138" t="e">
        <f>IF(VLOOKUP(CONCATENATE(H68,F68,GD$2),GeoHis!$A:$H,7,FALSE)=CR68,1,0)</f>
        <v>#N/A</v>
      </c>
      <c r="GE68" s="135" t="str">
        <f t="shared" ref="GE68:GE131" si="15">A68</f>
        <v/>
      </c>
    </row>
    <row r="69" spans="1:187" x14ac:dyDescent="0.25">
      <c r="A69" s="127" t="str">
        <f>IF(C69="","",'Datos Generales'!$A$25)</f>
        <v/>
      </c>
      <c r="D69" s="126" t="str">
        <f t="shared" si="8"/>
        <v/>
      </c>
      <c r="E69" s="126">
        <f t="shared" si="9"/>
        <v>0</v>
      </c>
      <c r="F69" s="126" t="str">
        <f t="shared" si="10"/>
        <v/>
      </c>
      <c r="G69" s="126" t="str">
        <f>IF(C69="","",'Datos Generales'!$D$19)</f>
        <v/>
      </c>
      <c r="H69" s="21" t="str">
        <f>IF(C69="","",'Datos Generales'!$A$19)</f>
        <v/>
      </c>
      <c r="I69" s="126" t="str">
        <f>IF(C69="","",'Datos Generales'!$A$7)</f>
        <v/>
      </c>
      <c r="J69" s="21" t="str">
        <f>IF(C69="","",'Datos Generales'!$A$13)</f>
        <v/>
      </c>
      <c r="K69" s="21" t="str">
        <f>IF(C69="","",'Datos Generales'!$A$10)</f>
        <v/>
      </c>
      <c r="CS69" s="142" t="str">
        <f t="shared" si="11"/>
        <v/>
      </c>
      <c r="CT69" s="142" t="str">
        <f t="shared" si="12"/>
        <v/>
      </c>
      <c r="CU69" s="142" t="str">
        <f t="shared" si="13"/>
        <v/>
      </c>
      <c r="CV69" s="142" t="str">
        <f t="shared" si="14"/>
        <v/>
      </c>
      <c r="CW69" s="142" t="str">
        <f>IF(C69="","",IF('Datos Generales'!$A$19=1,AVERAGE(FP69:GD69),AVERAGE(Captura!FP69:FY69)))</f>
        <v/>
      </c>
      <c r="CX69" s="138" t="e">
        <f>IF(VLOOKUP(CONCATENATE($H$4,$F$4,CX$2),Español!$A:$H,7,FALSE)=L69,1,0)</f>
        <v>#N/A</v>
      </c>
      <c r="CY69" s="138" t="e">
        <f>IF(VLOOKUP(CONCATENATE(H69,F69,CY$2),Español!$A:$H,7,FALSE)=M69,1,0)</f>
        <v>#N/A</v>
      </c>
      <c r="CZ69" s="138" t="e">
        <f>IF(VLOOKUP(CONCATENATE(H69,F69,CZ$2),Español!$A:$H,7,FALSE)=N69,1,0)</f>
        <v>#N/A</v>
      </c>
      <c r="DA69" s="138" t="e">
        <f>IF(VLOOKUP(CONCATENATE(H69,F69,DA$2),Español!$A:$H,7,FALSE)=O69,1,0)</f>
        <v>#N/A</v>
      </c>
      <c r="DB69" s="138" t="e">
        <f>IF(VLOOKUP(CONCATENATE(H69,F69,DB$2),Español!$A:$H,7,FALSE)=P69,1,0)</f>
        <v>#N/A</v>
      </c>
      <c r="DC69" s="138" t="e">
        <f>IF(VLOOKUP(CONCATENATE(H69,F69,DC$2),Español!$A:$H,7,FALSE)=Q69,1,0)</f>
        <v>#N/A</v>
      </c>
      <c r="DD69" s="138" t="e">
        <f>IF(VLOOKUP(CONCATENATE(H69,F69,DD$2),Español!$A:$H,7,FALSE)=R69,1,0)</f>
        <v>#N/A</v>
      </c>
      <c r="DE69" s="138" t="e">
        <f>IF(VLOOKUP(CONCATENATE(H69,F69,DE$2),Español!$A:$H,7,FALSE)=S69,1,0)</f>
        <v>#N/A</v>
      </c>
      <c r="DF69" s="138" t="e">
        <f>IF(VLOOKUP(CONCATENATE(H69,F69,DF$2),Español!$A:$H,7,FALSE)=T69,1,0)</f>
        <v>#N/A</v>
      </c>
      <c r="DG69" s="138" t="e">
        <f>IF(VLOOKUP(CONCATENATE(H69,F69,DG$2),Español!$A:$H,7,FALSE)=U69,1,0)</f>
        <v>#N/A</v>
      </c>
      <c r="DH69" s="138" t="e">
        <f>IF(VLOOKUP(CONCATENATE(H69,F69,DH$2),Español!$A:$H,7,FALSE)=V69,1,0)</f>
        <v>#N/A</v>
      </c>
      <c r="DI69" s="138" t="e">
        <f>IF(VLOOKUP(CONCATENATE(H69,F69,DI$2),Español!$A:$H,7,FALSE)=W69,1,0)</f>
        <v>#N/A</v>
      </c>
      <c r="DJ69" s="138" t="e">
        <f>IF(VLOOKUP(CONCATENATE(H69,F69,DJ$2),Español!$A:$H,7,FALSE)=X69,1,0)</f>
        <v>#N/A</v>
      </c>
      <c r="DK69" s="138" t="e">
        <f>IF(VLOOKUP(CONCATENATE(H69,F69,DK$2),Español!$A:$H,7,FALSE)=Y69,1,0)</f>
        <v>#N/A</v>
      </c>
      <c r="DL69" s="138" t="e">
        <f>IF(VLOOKUP(CONCATENATE(H69,F69,DL$2),Español!$A:$H,7,FALSE)=Z69,1,0)</f>
        <v>#N/A</v>
      </c>
      <c r="DM69" s="138" t="e">
        <f>IF(VLOOKUP(CONCATENATE(H69,F69,DM$2),Español!$A:$H,7,FALSE)=AA69,1,0)</f>
        <v>#N/A</v>
      </c>
      <c r="DN69" s="138" t="e">
        <f>IF(VLOOKUP(CONCATENATE(H69,F69,DN$2),Español!$A:$H,7,FALSE)=AB69,1,0)</f>
        <v>#N/A</v>
      </c>
      <c r="DO69" s="138" t="e">
        <f>IF(VLOOKUP(CONCATENATE(H69,F69,DO$2),Español!$A:$H,7,FALSE)=AC69,1,0)</f>
        <v>#N/A</v>
      </c>
      <c r="DP69" s="138" t="e">
        <f>IF(VLOOKUP(CONCATENATE(H69,F69,DP$2),Español!$A:$H,7,FALSE)=AD69,1,0)</f>
        <v>#N/A</v>
      </c>
      <c r="DQ69" s="138" t="e">
        <f>IF(VLOOKUP(CONCATENATE(H69,F69,DQ$2),Español!$A:$H,7,FALSE)=AE69,1,0)</f>
        <v>#N/A</v>
      </c>
      <c r="DR69" s="138" t="e">
        <f>IF(VLOOKUP(CONCATENATE(H69,F69,DR$2),Inglés!$A:$H,7,FALSE)=AF69,1,0)</f>
        <v>#N/A</v>
      </c>
      <c r="DS69" s="138" t="e">
        <f>IF(VLOOKUP(CONCATENATE(H69,F69,DS$2),Inglés!$A:$H,7,FALSE)=AG69,1,0)</f>
        <v>#N/A</v>
      </c>
      <c r="DT69" s="138" t="e">
        <f>IF(VLOOKUP(CONCATENATE(H69,F69,DT$2),Inglés!$A:$H,7,FALSE)=AH69,1,0)</f>
        <v>#N/A</v>
      </c>
      <c r="DU69" s="138" t="e">
        <f>IF(VLOOKUP(CONCATENATE(H69,F69,DU$2),Inglés!$A:$H,7,FALSE)=AI69,1,0)</f>
        <v>#N/A</v>
      </c>
      <c r="DV69" s="138" t="e">
        <f>IF(VLOOKUP(CONCATENATE(H69,F69,DV$2),Inglés!$A:$H,7,FALSE)=AJ69,1,0)</f>
        <v>#N/A</v>
      </c>
      <c r="DW69" s="138" t="e">
        <f>IF(VLOOKUP(CONCATENATE(H69,F69,DW$2),Inglés!$A:$H,7,FALSE)=AK69,1,0)</f>
        <v>#N/A</v>
      </c>
      <c r="DX69" s="138" t="e">
        <f>IF(VLOOKUP(CONCATENATE(H69,F69,DX$2),Inglés!$A:$H,7,FALSE)=AL69,1,0)</f>
        <v>#N/A</v>
      </c>
      <c r="DY69" s="138" t="e">
        <f>IF(VLOOKUP(CONCATENATE(H69,F69,DY$2),Inglés!$A:$H,7,FALSE)=AM69,1,0)</f>
        <v>#N/A</v>
      </c>
      <c r="DZ69" s="138" t="e">
        <f>IF(VLOOKUP(CONCATENATE(H69,F69,DZ$2),Inglés!$A:$H,7,FALSE)=AN69,1,0)</f>
        <v>#N/A</v>
      </c>
      <c r="EA69" s="138" t="e">
        <f>IF(VLOOKUP(CONCATENATE(H69,F69,EA$2),Inglés!$A:$H,7,FALSE)=AO69,1,0)</f>
        <v>#N/A</v>
      </c>
      <c r="EB69" s="138" t="e">
        <f>IF(VLOOKUP(CONCATENATE(H69,F69,EB$2),Matemáticas!$A:$H,7,FALSE)=AP69,1,0)</f>
        <v>#N/A</v>
      </c>
      <c r="EC69" s="138" t="e">
        <f>IF(VLOOKUP(CONCATENATE(H69,F69,EC$2),Matemáticas!$A:$H,7,FALSE)=AQ69,1,0)</f>
        <v>#N/A</v>
      </c>
      <c r="ED69" s="138" t="e">
        <f>IF(VLOOKUP(CONCATENATE(H69,F69,ED$2),Matemáticas!$A:$H,7,FALSE)=AR69,1,0)</f>
        <v>#N/A</v>
      </c>
      <c r="EE69" s="138" t="e">
        <f>IF(VLOOKUP(CONCATENATE(H69,F69,EE$2),Matemáticas!$A:$H,7,FALSE)=AS69,1,0)</f>
        <v>#N/A</v>
      </c>
      <c r="EF69" s="138" t="e">
        <f>IF(VLOOKUP(CONCATENATE(H69,F69,EF$2),Matemáticas!$A:$H,7,FALSE)=AT69,1,0)</f>
        <v>#N/A</v>
      </c>
      <c r="EG69" s="138" t="e">
        <f>IF(VLOOKUP(CONCATENATE(H69,F69,EG$2),Matemáticas!$A:$H,7,FALSE)=AU69,1,0)</f>
        <v>#N/A</v>
      </c>
      <c r="EH69" s="138" t="e">
        <f>IF(VLOOKUP(CONCATENATE(H69,F69,EH$2),Matemáticas!$A:$H,7,FALSE)=AV69,1,0)</f>
        <v>#N/A</v>
      </c>
      <c r="EI69" s="138" t="e">
        <f>IF(VLOOKUP(CONCATENATE(H69,F69,EI$2),Matemáticas!$A:$H,7,FALSE)=AW69,1,0)</f>
        <v>#N/A</v>
      </c>
      <c r="EJ69" s="138" t="e">
        <f>IF(VLOOKUP(CONCATENATE(H69,F69,EJ$2),Matemáticas!$A:$H,7,FALSE)=AX69,1,0)</f>
        <v>#N/A</v>
      </c>
      <c r="EK69" s="138" t="e">
        <f>IF(VLOOKUP(CONCATENATE(H69,F69,EK$2),Matemáticas!$A:$H,7,FALSE)=AY69,1,0)</f>
        <v>#N/A</v>
      </c>
      <c r="EL69" s="138" t="e">
        <f>IF(VLOOKUP(CONCATENATE(H69,F69,EL$2),Matemáticas!$A:$H,7,FALSE)=AZ69,1,0)</f>
        <v>#N/A</v>
      </c>
      <c r="EM69" s="138" t="e">
        <f>IF(VLOOKUP(CONCATENATE(H69,F69,EM$2),Matemáticas!$A:$H,7,FALSE)=BA69,1,0)</f>
        <v>#N/A</v>
      </c>
      <c r="EN69" s="138" t="e">
        <f>IF(VLOOKUP(CONCATENATE(H69,F69,EN$2),Matemáticas!$A:$H,7,FALSE)=BB69,1,0)</f>
        <v>#N/A</v>
      </c>
      <c r="EO69" s="138" t="e">
        <f>IF(VLOOKUP(CONCATENATE(H69,F69,EO$2),Matemáticas!$A:$H,7,FALSE)=BC69,1,0)</f>
        <v>#N/A</v>
      </c>
      <c r="EP69" s="138" t="e">
        <f>IF(VLOOKUP(CONCATENATE(H69,F69,EP$2),Matemáticas!$A:$H,7,FALSE)=BD69,1,0)</f>
        <v>#N/A</v>
      </c>
      <c r="EQ69" s="138" t="e">
        <f>IF(VLOOKUP(CONCATENATE(H69,F69,EQ$2),Matemáticas!$A:$H,7,FALSE)=BE69,1,0)</f>
        <v>#N/A</v>
      </c>
      <c r="ER69" s="138" t="e">
        <f>IF(VLOOKUP(CONCATENATE(H69,F69,ER$2),Matemáticas!$A:$H,7,FALSE)=BF69,1,0)</f>
        <v>#N/A</v>
      </c>
      <c r="ES69" s="138" t="e">
        <f>IF(VLOOKUP(CONCATENATE(H69,F69,ES$2),Matemáticas!$A:$H,7,FALSE)=BG69,1,0)</f>
        <v>#N/A</v>
      </c>
      <c r="ET69" s="138" t="e">
        <f>IF(VLOOKUP(CONCATENATE(H69,F69,ET$2),Matemáticas!$A:$H,7,FALSE)=BH69,1,0)</f>
        <v>#N/A</v>
      </c>
      <c r="EU69" s="138" t="e">
        <f>IF(VLOOKUP(CONCATENATE(H69,F69,EU$2),Matemáticas!$A:$H,7,FALSE)=BI69,1,0)</f>
        <v>#N/A</v>
      </c>
      <c r="EV69" s="138" t="e">
        <f>IF(VLOOKUP(CONCATENATE(H69,F69,EV$2),Ciencias!$A:$H,7,FALSE)=BJ69,1,0)</f>
        <v>#N/A</v>
      </c>
      <c r="EW69" s="138" t="e">
        <f>IF(VLOOKUP(CONCATENATE(H69,F69,EW$2),Ciencias!$A:$H,7,FALSE)=BK69,1,0)</f>
        <v>#N/A</v>
      </c>
      <c r="EX69" s="138" t="e">
        <f>IF(VLOOKUP(CONCATENATE(H69,F69,EX$2),Ciencias!$A:$H,7,FALSE)=BL69,1,0)</f>
        <v>#N/A</v>
      </c>
      <c r="EY69" s="138" t="e">
        <f>IF(VLOOKUP(CONCATENATE(H69,F69,EY$2),Ciencias!$A:$H,7,FALSE)=BM69,1,0)</f>
        <v>#N/A</v>
      </c>
      <c r="EZ69" s="138" t="e">
        <f>IF(VLOOKUP(CONCATENATE(H69,F69,EZ$2),Ciencias!$A:$H,7,FALSE)=BN69,1,0)</f>
        <v>#N/A</v>
      </c>
      <c r="FA69" s="138" t="e">
        <f>IF(VLOOKUP(CONCATENATE(H69,F69,FA$2),Ciencias!$A:$H,7,FALSE)=BO69,1,0)</f>
        <v>#N/A</v>
      </c>
      <c r="FB69" s="138" t="e">
        <f>IF(VLOOKUP(CONCATENATE(H69,F69,FB$2),Ciencias!$A:$H,7,FALSE)=BP69,1,0)</f>
        <v>#N/A</v>
      </c>
      <c r="FC69" s="138" t="e">
        <f>IF(VLOOKUP(CONCATENATE(H69,F69,FC$2),Ciencias!$A:$H,7,FALSE)=BQ69,1,0)</f>
        <v>#N/A</v>
      </c>
      <c r="FD69" s="138" t="e">
        <f>IF(VLOOKUP(CONCATENATE(H69,F69,FD$2),Ciencias!$A:$H,7,FALSE)=BR69,1,0)</f>
        <v>#N/A</v>
      </c>
      <c r="FE69" s="138" t="e">
        <f>IF(VLOOKUP(CONCATENATE(H69,F69,FE$2),Ciencias!$A:$H,7,FALSE)=BS69,1,0)</f>
        <v>#N/A</v>
      </c>
      <c r="FF69" s="138" t="e">
        <f>IF(VLOOKUP(CONCATENATE(H69,F69,FF$2),Ciencias!$A:$H,7,FALSE)=BT69,1,0)</f>
        <v>#N/A</v>
      </c>
      <c r="FG69" s="138" t="e">
        <f>IF(VLOOKUP(CONCATENATE(H69,F69,FG$2),Ciencias!$A:$H,7,FALSE)=BU69,1,0)</f>
        <v>#N/A</v>
      </c>
      <c r="FH69" s="138" t="e">
        <f>IF(VLOOKUP(CONCATENATE(H69,F69,FH$2),Ciencias!$A:$H,7,FALSE)=BV69,1,0)</f>
        <v>#N/A</v>
      </c>
      <c r="FI69" s="138" t="e">
        <f>IF(VLOOKUP(CONCATENATE(H69,F69,FI$2),Ciencias!$A:$H,7,FALSE)=BW69,1,0)</f>
        <v>#N/A</v>
      </c>
      <c r="FJ69" s="138" t="e">
        <f>IF(VLOOKUP(CONCATENATE(H69,F69,FJ$2),Ciencias!$A:$H,7,FALSE)=BX69,1,0)</f>
        <v>#N/A</v>
      </c>
      <c r="FK69" s="138" t="e">
        <f>IF(VLOOKUP(CONCATENATE(H69,F69,FK$2),Ciencias!$A:$H,7,FALSE)=BY69,1,0)</f>
        <v>#N/A</v>
      </c>
      <c r="FL69" s="138" t="e">
        <f>IF(VLOOKUP(CONCATENATE(H69,F69,FL$2),Ciencias!$A:$H,7,FALSE)=BZ69,1,0)</f>
        <v>#N/A</v>
      </c>
      <c r="FM69" s="138" t="e">
        <f>IF(VLOOKUP(CONCATENATE(H69,F69,FM$2),Ciencias!$A:$H,7,FALSE)=CA69,1,0)</f>
        <v>#N/A</v>
      </c>
      <c r="FN69" s="138" t="e">
        <f>IF(VLOOKUP(CONCATENATE(H69,F69,FN$2),Ciencias!$A:$H,7,FALSE)=CB69,1,0)</f>
        <v>#N/A</v>
      </c>
      <c r="FO69" s="138" t="e">
        <f>IF(VLOOKUP(CONCATENATE(H69,F69,FO$2),Ciencias!$A:$H,7,FALSE)=CC69,1,0)</f>
        <v>#N/A</v>
      </c>
      <c r="FP69" s="138" t="e">
        <f>IF(VLOOKUP(CONCATENATE(H69,F69,FP$2),GeoHis!$A:$H,7,FALSE)=CD69,1,0)</f>
        <v>#N/A</v>
      </c>
      <c r="FQ69" s="138" t="e">
        <f>IF(VLOOKUP(CONCATENATE(H69,F69,FQ$2),GeoHis!$A:$H,7,FALSE)=CE69,1,0)</f>
        <v>#N/A</v>
      </c>
      <c r="FR69" s="138" t="e">
        <f>IF(VLOOKUP(CONCATENATE(H69,F69,FR$2),GeoHis!$A:$H,7,FALSE)=CF69,1,0)</f>
        <v>#N/A</v>
      </c>
      <c r="FS69" s="138" t="e">
        <f>IF(VLOOKUP(CONCATENATE(H69,F69,FS$2),GeoHis!$A:$H,7,FALSE)=CG69,1,0)</f>
        <v>#N/A</v>
      </c>
      <c r="FT69" s="138" t="e">
        <f>IF(VLOOKUP(CONCATENATE(H69,F69,FT$2),GeoHis!$A:$H,7,FALSE)=CH69,1,0)</f>
        <v>#N/A</v>
      </c>
      <c r="FU69" s="138" t="e">
        <f>IF(VLOOKUP(CONCATENATE(H69,F69,FU$2),GeoHis!$A:$H,7,FALSE)=CI69,1,0)</f>
        <v>#N/A</v>
      </c>
      <c r="FV69" s="138" t="e">
        <f>IF(VLOOKUP(CONCATENATE(H69,F69,FV$2),GeoHis!$A:$H,7,FALSE)=CJ69,1,0)</f>
        <v>#N/A</v>
      </c>
      <c r="FW69" s="138" t="e">
        <f>IF(VLOOKUP(CONCATENATE(H69,F69,FW$2),GeoHis!$A:$H,7,FALSE)=CK69,1,0)</f>
        <v>#N/A</v>
      </c>
      <c r="FX69" s="138" t="e">
        <f>IF(VLOOKUP(CONCATENATE(H69,F69,FX$2),GeoHis!$A:$H,7,FALSE)=CL69,1,0)</f>
        <v>#N/A</v>
      </c>
      <c r="FY69" s="138" t="e">
        <f>IF(VLOOKUP(CONCATENATE(H69,F69,FY$2),GeoHis!$A:$H,7,FALSE)=CM69,1,0)</f>
        <v>#N/A</v>
      </c>
      <c r="FZ69" s="138" t="e">
        <f>IF(VLOOKUP(CONCATENATE(H69,F69,FZ$2),GeoHis!$A:$H,7,FALSE)=CN69,1,0)</f>
        <v>#N/A</v>
      </c>
      <c r="GA69" s="138" t="e">
        <f>IF(VLOOKUP(CONCATENATE(H69,F69,GA$2),GeoHis!$A:$H,7,FALSE)=CO69,1,0)</f>
        <v>#N/A</v>
      </c>
      <c r="GB69" s="138" t="e">
        <f>IF(VLOOKUP(CONCATENATE(H69,F69,GB$2),GeoHis!$A:$H,7,FALSE)=CP69,1,0)</f>
        <v>#N/A</v>
      </c>
      <c r="GC69" s="138" t="e">
        <f>IF(VLOOKUP(CONCATENATE(H69,F69,GC$2),GeoHis!$A:$H,7,FALSE)=CQ69,1,0)</f>
        <v>#N/A</v>
      </c>
      <c r="GD69" s="138" t="e">
        <f>IF(VLOOKUP(CONCATENATE(H69,F69,GD$2),GeoHis!$A:$H,7,FALSE)=CR69,1,0)</f>
        <v>#N/A</v>
      </c>
      <c r="GE69" s="135" t="str">
        <f t="shared" si="15"/>
        <v/>
      </c>
    </row>
    <row r="70" spans="1:187" x14ac:dyDescent="0.25">
      <c r="A70" s="127" t="str">
        <f>IF(C70="","",'Datos Generales'!$A$25)</f>
        <v/>
      </c>
      <c r="D70" s="126" t="str">
        <f t="shared" si="8"/>
        <v/>
      </c>
      <c r="E70" s="126">
        <f t="shared" si="9"/>
        <v>0</v>
      </c>
      <c r="F70" s="126" t="str">
        <f t="shared" si="10"/>
        <v/>
      </c>
      <c r="G70" s="126" t="str">
        <f>IF(C70="","",'Datos Generales'!$D$19)</f>
        <v/>
      </c>
      <c r="H70" s="21" t="str">
        <f>IF(C70="","",'Datos Generales'!$A$19)</f>
        <v/>
      </c>
      <c r="I70" s="126" t="str">
        <f>IF(C70="","",'Datos Generales'!$A$7)</f>
        <v/>
      </c>
      <c r="J70" s="21" t="str">
        <f>IF(C70="","",'Datos Generales'!$A$13)</f>
        <v/>
      </c>
      <c r="K70" s="21" t="str">
        <f>IF(C70="","",'Datos Generales'!$A$10)</f>
        <v/>
      </c>
      <c r="CS70" s="142" t="str">
        <f t="shared" si="11"/>
        <v/>
      </c>
      <c r="CT70" s="142" t="str">
        <f t="shared" si="12"/>
        <v/>
      </c>
      <c r="CU70" s="142" t="str">
        <f t="shared" si="13"/>
        <v/>
      </c>
      <c r="CV70" s="142" t="str">
        <f t="shared" si="14"/>
        <v/>
      </c>
      <c r="CW70" s="142" t="str">
        <f>IF(C70="","",IF('Datos Generales'!$A$19=1,AVERAGE(FP70:GD70),AVERAGE(Captura!FP70:FY70)))</f>
        <v/>
      </c>
      <c r="CX70" s="138" t="e">
        <f>IF(VLOOKUP(CONCATENATE($H$4,$F$4,CX$2),Español!$A:$H,7,FALSE)=L70,1,0)</f>
        <v>#N/A</v>
      </c>
      <c r="CY70" s="138" t="e">
        <f>IF(VLOOKUP(CONCATENATE(H70,F70,CY$2),Español!$A:$H,7,FALSE)=M70,1,0)</f>
        <v>#N/A</v>
      </c>
      <c r="CZ70" s="138" t="e">
        <f>IF(VLOOKUP(CONCATENATE(H70,F70,CZ$2),Español!$A:$H,7,FALSE)=N70,1,0)</f>
        <v>#N/A</v>
      </c>
      <c r="DA70" s="138" t="e">
        <f>IF(VLOOKUP(CONCATENATE(H70,F70,DA$2),Español!$A:$H,7,FALSE)=O70,1,0)</f>
        <v>#N/A</v>
      </c>
      <c r="DB70" s="138" t="e">
        <f>IF(VLOOKUP(CONCATENATE(H70,F70,DB$2),Español!$A:$H,7,FALSE)=P70,1,0)</f>
        <v>#N/A</v>
      </c>
      <c r="DC70" s="138" t="e">
        <f>IF(VLOOKUP(CONCATENATE(H70,F70,DC$2),Español!$A:$H,7,FALSE)=Q70,1,0)</f>
        <v>#N/A</v>
      </c>
      <c r="DD70" s="138" t="e">
        <f>IF(VLOOKUP(CONCATENATE(H70,F70,DD$2),Español!$A:$H,7,FALSE)=R70,1,0)</f>
        <v>#N/A</v>
      </c>
      <c r="DE70" s="138" t="e">
        <f>IF(VLOOKUP(CONCATENATE(H70,F70,DE$2),Español!$A:$H,7,FALSE)=S70,1,0)</f>
        <v>#N/A</v>
      </c>
      <c r="DF70" s="138" t="e">
        <f>IF(VLOOKUP(CONCATENATE(H70,F70,DF$2),Español!$A:$H,7,FALSE)=T70,1,0)</f>
        <v>#N/A</v>
      </c>
      <c r="DG70" s="138" t="e">
        <f>IF(VLOOKUP(CONCATENATE(H70,F70,DG$2),Español!$A:$H,7,FALSE)=U70,1,0)</f>
        <v>#N/A</v>
      </c>
      <c r="DH70" s="138" t="e">
        <f>IF(VLOOKUP(CONCATENATE(H70,F70,DH$2),Español!$A:$H,7,FALSE)=V70,1,0)</f>
        <v>#N/A</v>
      </c>
      <c r="DI70" s="138" t="e">
        <f>IF(VLOOKUP(CONCATENATE(H70,F70,DI$2),Español!$A:$H,7,FALSE)=W70,1,0)</f>
        <v>#N/A</v>
      </c>
      <c r="DJ70" s="138" t="e">
        <f>IF(VLOOKUP(CONCATENATE(H70,F70,DJ$2),Español!$A:$H,7,FALSE)=X70,1,0)</f>
        <v>#N/A</v>
      </c>
      <c r="DK70" s="138" t="e">
        <f>IF(VLOOKUP(CONCATENATE(H70,F70,DK$2),Español!$A:$H,7,FALSE)=Y70,1,0)</f>
        <v>#N/A</v>
      </c>
      <c r="DL70" s="138" t="e">
        <f>IF(VLOOKUP(CONCATENATE(H70,F70,DL$2),Español!$A:$H,7,FALSE)=Z70,1,0)</f>
        <v>#N/A</v>
      </c>
      <c r="DM70" s="138" t="e">
        <f>IF(VLOOKUP(CONCATENATE(H70,F70,DM$2),Español!$A:$H,7,FALSE)=AA70,1,0)</f>
        <v>#N/A</v>
      </c>
      <c r="DN70" s="138" t="e">
        <f>IF(VLOOKUP(CONCATENATE(H70,F70,DN$2),Español!$A:$H,7,FALSE)=AB70,1,0)</f>
        <v>#N/A</v>
      </c>
      <c r="DO70" s="138" t="e">
        <f>IF(VLOOKUP(CONCATENATE(H70,F70,DO$2),Español!$A:$H,7,FALSE)=AC70,1,0)</f>
        <v>#N/A</v>
      </c>
      <c r="DP70" s="138" t="e">
        <f>IF(VLOOKUP(CONCATENATE(H70,F70,DP$2),Español!$A:$H,7,FALSE)=AD70,1,0)</f>
        <v>#N/A</v>
      </c>
      <c r="DQ70" s="138" t="e">
        <f>IF(VLOOKUP(CONCATENATE(H70,F70,DQ$2),Español!$A:$H,7,FALSE)=AE70,1,0)</f>
        <v>#N/A</v>
      </c>
      <c r="DR70" s="138" t="e">
        <f>IF(VLOOKUP(CONCATENATE(H70,F70,DR$2),Inglés!$A:$H,7,FALSE)=AF70,1,0)</f>
        <v>#N/A</v>
      </c>
      <c r="DS70" s="138" t="e">
        <f>IF(VLOOKUP(CONCATENATE(H70,F70,DS$2),Inglés!$A:$H,7,FALSE)=AG70,1,0)</f>
        <v>#N/A</v>
      </c>
      <c r="DT70" s="138" t="e">
        <f>IF(VLOOKUP(CONCATENATE(H70,F70,DT$2),Inglés!$A:$H,7,FALSE)=AH70,1,0)</f>
        <v>#N/A</v>
      </c>
      <c r="DU70" s="138" t="e">
        <f>IF(VLOOKUP(CONCATENATE(H70,F70,DU$2),Inglés!$A:$H,7,FALSE)=AI70,1,0)</f>
        <v>#N/A</v>
      </c>
      <c r="DV70" s="138" t="e">
        <f>IF(VLOOKUP(CONCATENATE(H70,F70,DV$2),Inglés!$A:$H,7,FALSE)=AJ70,1,0)</f>
        <v>#N/A</v>
      </c>
      <c r="DW70" s="138" t="e">
        <f>IF(VLOOKUP(CONCATENATE(H70,F70,DW$2),Inglés!$A:$H,7,FALSE)=AK70,1,0)</f>
        <v>#N/A</v>
      </c>
      <c r="DX70" s="138" t="e">
        <f>IF(VLOOKUP(CONCATENATE(H70,F70,DX$2),Inglés!$A:$H,7,FALSE)=AL70,1,0)</f>
        <v>#N/A</v>
      </c>
      <c r="DY70" s="138" t="e">
        <f>IF(VLOOKUP(CONCATENATE(H70,F70,DY$2),Inglés!$A:$H,7,FALSE)=AM70,1,0)</f>
        <v>#N/A</v>
      </c>
      <c r="DZ70" s="138" t="e">
        <f>IF(VLOOKUP(CONCATENATE(H70,F70,DZ$2),Inglés!$A:$H,7,FALSE)=AN70,1,0)</f>
        <v>#N/A</v>
      </c>
      <c r="EA70" s="138" t="e">
        <f>IF(VLOOKUP(CONCATENATE(H70,F70,EA$2),Inglés!$A:$H,7,FALSE)=AO70,1,0)</f>
        <v>#N/A</v>
      </c>
      <c r="EB70" s="138" t="e">
        <f>IF(VLOOKUP(CONCATENATE(H70,F70,EB$2),Matemáticas!$A:$H,7,FALSE)=AP70,1,0)</f>
        <v>#N/A</v>
      </c>
      <c r="EC70" s="138" t="e">
        <f>IF(VLOOKUP(CONCATENATE(H70,F70,EC$2),Matemáticas!$A:$H,7,FALSE)=AQ70,1,0)</f>
        <v>#N/A</v>
      </c>
      <c r="ED70" s="138" t="e">
        <f>IF(VLOOKUP(CONCATENATE(H70,F70,ED$2),Matemáticas!$A:$H,7,FALSE)=AR70,1,0)</f>
        <v>#N/A</v>
      </c>
      <c r="EE70" s="138" t="e">
        <f>IF(VLOOKUP(CONCATENATE(H70,F70,EE$2),Matemáticas!$A:$H,7,FALSE)=AS70,1,0)</f>
        <v>#N/A</v>
      </c>
      <c r="EF70" s="138" t="e">
        <f>IF(VLOOKUP(CONCATENATE(H70,F70,EF$2),Matemáticas!$A:$H,7,FALSE)=AT70,1,0)</f>
        <v>#N/A</v>
      </c>
      <c r="EG70" s="138" t="e">
        <f>IF(VLOOKUP(CONCATENATE(H70,F70,EG$2),Matemáticas!$A:$H,7,FALSE)=AU70,1,0)</f>
        <v>#N/A</v>
      </c>
      <c r="EH70" s="138" t="e">
        <f>IF(VLOOKUP(CONCATENATE(H70,F70,EH$2),Matemáticas!$A:$H,7,FALSE)=AV70,1,0)</f>
        <v>#N/A</v>
      </c>
      <c r="EI70" s="138" t="e">
        <f>IF(VLOOKUP(CONCATENATE(H70,F70,EI$2),Matemáticas!$A:$H,7,FALSE)=AW70,1,0)</f>
        <v>#N/A</v>
      </c>
      <c r="EJ70" s="138" t="e">
        <f>IF(VLOOKUP(CONCATENATE(H70,F70,EJ$2),Matemáticas!$A:$H,7,FALSE)=AX70,1,0)</f>
        <v>#N/A</v>
      </c>
      <c r="EK70" s="138" t="e">
        <f>IF(VLOOKUP(CONCATENATE(H70,F70,EK$2),Matemáticas!$A:$H,7,FALSE)=AY70,1,0)</f>
        <v>#N/A</v>
      </c>
      <c r="EL70" s="138" t="e">
        <f>IF(VLOOKUP(CONCATENATE(H70,F70,EL$2),Matemáticas!$A:$H,7,FALSE)=AZ70,1,0)</f>
        <v>#N/A</v>
      </c>
      <c r="EM70" s="138" t="e">
        <f>IF(VLOOKUP(CONCATENATE(H70,F70,EM$2),Matemáticas!$A:$H,7,FALSE)=BA70,1,0)</f>
        <v>#N/A</v>
      </c>
      <c r="EN70" s="138" t="e">
        <f>IF(VLOOKUP(CONCATENATE(H70,F70,EN$2),Matemáticas!$A:$H,7,FALSE)=BB70,1,0)</f>
        <v>#N/A</v>
      </c>
      <c r="EO70" s="138" t="e">
        <f>IF(VLOOKUP(CONCATENATE(H70,F70,EO$2),Matemáticas!$A:$H,7,FALSE)=BC70,1,0)</f>
        <v>#N/A</v>
      </c>
      <c r="EP70" s="138" t="e">
        <f>IF(VLOOKUP(CONCATENATE(H70,F70,EP$2),Matemáticas!$A:$H,7,FALSE)=BD70,1,0)</f>
        <v>#N/A</v>
      </c>
      <c r="EQ70" s="138" t="e">
        <f>IF(VLOOKUP(CONCATENATE(H70,F70,EQ$2),Matemáticas!$A:$H,7,FALSE)=BE70,1,0)</f>
        <v>#N/A</v>
      </c>
      <c r="ER70" s="138" t="e">
        <f>IF(VLOOKUP(CONCATENATE(H70,F70,ER$2),Matemáticas!$A:$H,7,FALSE)=BF70,1,0)</f>
        <v>#N/A</v>
      </c>
      <c r="ES70" s="138" t="e">
        <f>IF(VLOOKUP(CONCATENATE(H70,F70,ES$2),Matemáticas!$A:$H,7,FALSE)=BG70,1,0)</f>
        <v>#N/A</v>
      </c>
      <c r="ET70" s="138" t="e">
        <f>IF(VLOOKUP(CONCATENATE(H70,F70,ET$2),Matemáticas!$A:$H,7,FALSE)=BH70,1,0)</f>
        <v>#N/A</v>
      </c>
      <c r="EU70" s="138" t="e">
        <f>IF(VLOOKUP(CONCATENATE(H70,F70,EU$2),Matemáticas!$A:$H,7,FALSE)=BI70,1,0)</f>
        <v>#N/A</v>
      </c>
      <c r="EV70" s="138" t="e">
        <f>IF(VLOOKUP(CONCATENATE(H70,F70,EV$2),Ciencias!$A:$H,7,FALSE)=BJ70,1,0)</f>
        <v>#N/A</v>
      </c>
      <c r="EW70" s="138" t="e">
        <f>IF(VLOOKUP(CONCATENATE(H70,F70,EW$2),Ciencias!$A:$H,7,FALSE)=BK70,1,0)</f>
        <v>#N/A</v>
      </c>
      <c r="EX70" s="138" t="e">
        <f>IF(VLOOKUP(CONCATENATE(H70,F70,EX$2),Ciencias!$A:$H,7,FALSE)=BL70,1,0)</f>
        <v>#N/A</v>
      </c>
      <c r="EY70" s="138" t="e">
        <f>IF(VLOOKUP(CONCATENATE(H70,F70,EY$2),Ciencias!$A:$H,7,FALSE)=BM70,1,0)</f>
        <v>#N/A</v>
      </c>
      <c r="EZ70" s="138" t="e">
        <f>IF(VLOOKUP(CONCATENATE(H70,F70,EZ$2),Ciencias!$A:$H,7,FALSE)=BN70,1,0)</f>
        <v>#N/A</v>
      </c>
      <c r="FA70" s="138" t="e">
        <f>IF(VLOOKUP(CONCATENATE(H70,F70,FA$2),Ciencias!$A:$H,7,FALSE)=BO70,1,0)</f>
        <v>#N/A</v>
      </c>
      <c r="FB70" s="138" t="e">
        <f>IF(VLOOKUP(CONCATENATE(H70,F70,FB$2),Ciencias!$A:$H,7,FALSE)=BP70,1,0)</f>
        <v>#N/A</v>
      </c>
      <c r="FC70" s="138" t="e">
        <f>IF(VLOOKUP(CONCATENATE(H70,F70,FC$2),Ciencias!$A:$H,7,FALSE)=BQ70,1,0)</f>
        <v>#N/A</v>
      </c>
      <c r="FD70" s="138" t="e">
        <f>IF(VLOOKUP(CONCATENATE(H70,F70,FD$2),Ciencias!$A:$H,7,FALSE)=BR70,1,0)</f>
        <v>#N/A</v>
      </c>
      <c r="FE70" s="138" t="e">
        <f>IF(VLOOKUP(CONCATENATE(H70,F70,FE$2),Ciencias!$A:$H,7,FALSE)=BS70,1,0)</f>
        <v>#N/A</v>
      </c>
      <c r="FF70" s="138" t="e">
        <f>IF(VLOOKUP(CONCATENATE(H70,F70,FF$2),Ciencias!$A:$H,7,FALSE)=BT70,1,0)</f>
        <v>#N/A</v>
      </c>
      <c r="FG70" s="138" t="e">
        <f>IF(VLOOKUP(CONCATENATE(H70,F70,FG$2),Ciencias!$A:$H,7,FALSE)=BU70,1,0)</f>
        <v>#N/A</v>
      </c>
      <c r="FH70" s="138" t="e">
        <f>IF(VLOOKUP(CONCATENATE(H70,F70,FH$2),Ciencias!$A:$H,7,FALSE)=BV70,1,0)</f>
        <v>#N/A</v>
      </c>
      <c r="FI70" s="138" t="e">
        <f>IF(VLOOKUP(CONCATENATE(H70,F70,FI$2),Ciencias!$A:$H,7,FALSE)=BW70,1,0)</f>
        <v>#N/A</v>
      </c>
      <c r="FJ70" s="138" t="e">
        <f>IF(VLOOKUP(CONCATENATE(H70,F70,FJ$2),Ciencias!$A:$H,7,FALSE)=BX70,1,0)</f>
        <v>#N/A</v>
      </c>
      <c r="FK70" s="138" t="e">
        <f>IF(VLOOKUP(CONCATENATE(H70,F70,FK$2),Ciencias!$A:$H,7,FALSE)=BY70,1,0)</f>
        <v>#N/A</v>
      </c>
      <c r="FL70" s="138" t="e">
        <f>IF(VLOOKUP(CONCATENATE(H70,F70,FL$2),Ciencias!$A:$H,7,FALSE)=BZ70,1,0)</f>
        <v>#N/A</v>
      </c>
      <c r="FM70" s="138" t="e">
        <f>IF(VLOOKUP(CONCATENATE(H70,F70,FM$2),Ciencias!$A:$H,7,FALSE)=CA70,1,0)</f>
        <v>#N/A</v>
      </c>
      <c r="FN70" s="138" t="e">
        <f>IF(VLOOKUP(CONCATENATE(H70,F70,FN$2),Ciencias!$A:$H,7,FALSE)=CB70,1,0)</f>
        <v>#N/A</v>
      </c>
      <c r="FO70" s="138" t="e">
        <f>IF(VLOOKUP(CONCATENATE(H70,F70,FO$2),Ciencias!$A:$H,7,FALSE)=CC70,1,0)</f>
        <v>#N/A</v>
      </c>
      <c r="FP70" s="138" t="e">
        <f>IF(VLOOKUP(CONCATENATE(H70,F70,FP$2),GeoHis!$A:$H,7,FALSE)=CD70,1,0)</f>
        <v>#N/A</v>
      </c>
      <c r="FQ70" s="138" t="e">
        <f>IF(VLOOKUP(CONCATENATE(H70,F70,FQ$2),GeoHis!$A:$H,7,FALSE)=CE70,1,0)</f>
        <v>#N/A</v>
      </c>
      <c r="FR70" s="138" t="e">
        <f>IF(VLOOKUP(CONCATENATE(H70,F70,FR$2),GeoHis!$A:$H,7,FALSE)=CF70,1,0)</f>
        <v>#N/A</v>
      </c>
      <c r="FS70" s="138" t="e">
        <f>IF(VLOOKUP(CONCATENATE(H70,F70,FS$2),GeoHis!$A:$H,7,FALSE)=CG70,1,0)</f>
        <v>#N/A</v>
      </c>
      <c r="FT70" s="138" t="e">
        <f>IF(VLOOKUP(CONCATENATE(H70,F70,FT$2),GeoHis!$A:$H,7,FALSE)=CH70,1,0)</f>
        <v>#N/A</v>
      </c>
      <c r="FU70" s="138" t="e">
        <f>IF(VLOOKUP(CONCATENATE(H70,F70,FU$2),GeoHis!$A:$H,7,FALSE)=CI70,1,0)</f>
        <v>#N/A</v>
      </c>
      <c r="FV70" s="138" t="e">
        <f>IF(VLOOKUP(CONCATENATE(H70,F70,FV$2),GeoHis!$A:$H,7,FALSE)=CJ70,1,0)</f>
        <v>#N/A</v>
      </c>
      <c r="FW70" s="138" t="e">
        <f>IF(VLOOKUP(CONCATENATE(H70,F70,FW$2),GeoHis!$A:$H,7,FALSE)=CK70,1,0)</f>
        <v>#N/A</v>
      </c>
      <c r="FX70" s="138" t="e">
        <f>IF(VLOOKUP(CONCATENATE(H70,F70,FX$2),GeoHis!$A:$H,7,FALSE)=CL70,1,0)</f>
        <v>#N/A</v>
      </c>
      <c r="FY70" s="138" t="e">
        <f>IF(VLOOKUP(CONCATENATE(H70,F70,FY$2),GeoHis!$A:$H,7,FALSE)=CM70,1,0)</f>
        <v>#N/A</v>
      </c>
      <c r="FZ70" s="138" t="e">
        <f>IF(VLOOKUP(CONCATENATE(H70,F70,FZ$2),GeoHis!$A:$H,7,FALSE)=CN70,1,0)</f>
        <v>#N/A</v>
      </c>
      <c r="GA70" s="138" t="e">
        <f>IF(VLOOKUP(CONCATENATE(H70,F70,GA$2),GeoHis!$A:$H,7,FALSE)=CO70,1,0)</f>
        <v>#N/A</v>
      </c>
      <c r="GB70" s="138" t="e">
        <f>IF(VLOOKUP(CONCATENATE(H70,F70,GB$2),GeoHis!$A:$H,7,FALSE)=CP70,1,0)</f>
        <v>#N/A</v>
      </c>
      <c r="GC70" s="138" t="e">
        <f>IF(VLOOKUP(CONCATENATE(H70,F70,GC$2),GeoHis!$A:$H,7,FALSE)=CQ70,1,0)</f>
        <v>#N/A</v>
      </c>
      <c r="GD70" s="138" t="e">
        <f>IF(VLOOKUP(CONCATENATE(H70,F70,GD$2),GeoHis!$A:$H,7,FALSE)=CR70,1,0)</f>
        <v>#N/A</v>
      </c>
      <c r="GE70" s="135" t="str">
        <f t="shared" si="15"/>
        <v/>
      </c>
    </row>
    <row r="71" spans="1:187" x14ac:dyDescent="0.25">
      <c r="A71" s="127" t="str">
        <f>IF(C71="","",'Datos Generales'!$A$25)</f>
        <v/>
      </c>
      <c r="D71" s="126" t="str">
        <f t="shared" si="8"/>
        <v/>
      </c>
      <c r="E71" s="126">
        <f t="shared" si="9"/>
        <v>0</v>
      </c>
      <c r="F71" s="126" t="str">
        <f t="shared" si="10"/>
        <v/>
      </c>
      <c r="G71" s="126" t="str">
        <f>IF(C71="","",'Datos Generales'!$D$19)</f>
        <v/>
      </c>
      <c r="H71" s="21" t="str">
        <f>IF(C71="","",'Datos Generales'!$A$19)</f>
        <v/>
      </c>
      <c r="I71" s="126" t="str">
        <f>IF(C71="","",'Datos Generales'!$A$7)</f>
        <v/>
      </c>
      <c r="J71" s="21" t="str">
        <f>IF(C71="","",'Datos Generales'!$A$13)</f>
        <v/>
      </c>
      <c r="K71" s="21" t="str">
        <f>IF(C71="","",'Datos Generales'!$A$10)</f>
        <v/>
      </c>
      <c r="CS71" s="142" t="str">
        <f t="shared" si="11"/>
        <v/>
      </c>
      <c r="CT71" s="142" t="str">
        <f t="shared" si="12"/>
        <v/>
      </c>
      <c r="CU71" s="142" t="str">
        <f t="shared" si="13"/>
        <v/>
      </c>
      <c r="CV71" s="142" t="str">
        <f t="shared" si="14"/>
        <v/>
      </c>
      <c r="CW71" s="142" t="str">
        <f>IF(C71="","",IF('Datos Generales'!$A$19=1,AVERAGE(FP71:GD71),AVERAGE(Captura!FP71:FY71)))</f>
        <v/>
      </c>
      <c r="CX71" s="138" t="e">
        <f>IF(VLOOKUP(CONCATENATE($H$4,$F$4,CX$2),Español!$A:$H,7,FALSE)=L71,1,0)</f>
        <v>#N/A</v>
      </c>
      <c r="CY71" s="138" t="e">
        <f>IF(VLOOKUP(CONCATENATE(H71,F71,CY$2),Español!$A:$H,7,FALSE)=M71,1,0)</f>
        <v>#N/A</v>
      </c>
      <c r="CZ71" s="138" t="e">
        <f>IF(VLOOKUP(CONCATENATE(H71,F71,CZ$2),Español!$A:$H,7,FALSE)=N71,1,0)</f>
        <v>#N/A</v>
      </c>
      <c r="DA71" s="138" t="e">
        <f>IF(VLOOKUP(CONCATENATE(H71,F71,DA$2),Español!$A:$H,7,FALSE)=O71,1,0)</f>
        <v>#N/A</v>
      </c>
      <c r="DB71" s="138" t="e">
        <f>IF(VLOOKUP(CONCATENATE(H71,F71,DB$2),Español!$A:$H,7,FALSE)=P71,1,0)</f>
        <v>#N/A</v>
      </c>
      <c r="DC71" s="138" t="e">
        <f>IF(VLOOKUP(CONCATENATE(H71,F71,DC$2),Español!$A:$H,7,FALSE)=Q71,1,0)</f>
        <v>#N/A</v>
      </c>
      <c r="DD71" s="138" t="e">
        <f>IF(VLOOKUP(CONCATENATE(H71,F71,DD$2),Español!$A:$H,7,FALSE)=R71,1,0)</f>
        <v>#N/A</v>
      </c>
      <c r="DE71" s="138" t="e">
        <f>IF(VLOOKUP(CONCATENATE(H71,F71,DE$2),Español!$A:$H,7,FALSE)=S71,1,0)</f>
        <v>#N/A</v>
      </c>
      <c r="DF71" s="138" t="e">
        <f>IF(VLOOKUP(CONCATENATE(H71,F71,DF$2),Español!$A:$H,7,FALSE)=T71,1,0)</f>
        <v>#N/A</v>
      </c>
      <c r="DG71" s="138" t="e">
        <f>IF(VLOOKUP(CONCATENATE(H71,F71,DG$2),Español!$A:$H,7,FALSE)=U71,1,0)</f>
        <v>#N/A</v>
      </c>
      <c r="DH71" s="138" t="e">
        <f>IF(VLOOKUP(CONCATENATE(H71,F71,DH$2),Español!$A:$H,7,FALSE)=V71,1,0)</f>
        <v>#N/A</v>
      </c>
      <c r="DI71" s="138" t="e">
        <f>IF(VLOOKUP(CONCATENATE(H71,F71,DI$2),Español!$A:$H,7,FALSE)=W71,1,0)</f>
        <v>#N/A</v>
      </c>
      <c r="DJ71" s="138" t="e">
        <f>IF(VLOOKUP(CONCATENATE(H71,F71,DJ$2),Español!$A:$H,7,FALSE)=X71,1,0)</f>
        <v>#N/A</v>
      </c>
      <c r="DK71" s="138" t="e">
        <f>IF(VLOOKUP(CONCATENATE(H71,F71,DK$2),Español!$A:$H,7,FALSE)=Y71,1,0)</f>
        <v>#N/A</v>
      </c>
      <c r="DL71" s="138" t="e">
        <f>IF(VLOOKUP(CONCATENATE(H71,F71,DL$2),Español!$A:$H,7,FALSE)=Z71,1,0)</f>
        <v>#N/A</v>
      </c>
      <c r="DM71" s="138" t="e">
        <f>IF(VLOOKUP(CONCATENATE(H71,F71,DM$2),Español!$A:$H,7,FALSE)=AA71,1,0)</f>
        <v>#N/A</v>
      </c>
      <c r="DN71" s="138" t="e">
        <f>IF(VLOOKUP(CONCATENATE(H71,F71,DN$2),Español!$A:$H,7,FALSE)=AB71,1,0)</f>
        <v>#N/A</v>
      </c>
      <c r="DO71" s="138" t="e">
        <f>IF(VLOOKUP(CONCATENATE(H71,F71,DO$2),Español!$A:$H,7,FALSE)=AC71,1,0)</f>
        <v>#N/A</v>
      </c>
      <c r="DP71" s="138" t="e">
        <f>IF(VLOOKUP(CONCATENATE(H71,F71,DP$2),Español!$A:$H,7,FALSE)=AD71,1,0)</f>
        <v>#N/A</v>
      </c>
      <c r="DQ71" s="138" t="e">
        <f>IF(VLOOKUP(CONCATENATE(H71,F71,DQ$2),Español!$A:$H,7,FALSE)=AE71,1,0)</f>
        <v>#N/A</v>
      </c>
      <c r="DR71" s="138" t="e">
        <f>IF(VLOOKUP(CONCATENATE(H71,F71,DR$2),Inglés!$A:$H,7,FALSE)=AF71,1,0)</f>
        <v>#N/A</v>
      </c>
      <c r="DS71" s="138" t="e">
        <f>IF(VLOOKUP(CONCATENATE(H71,F71,DS$2),Inglés!$A:$H,7,FALSE)=AG71,1,0)</f>
        <v>#N/A</v>
      </c>
      <c r="DT71" s="138" t="e">
        <f>IF(VLOOKUP(CONCATENATE(H71,F71,DT$2),Inglés!$A:$H,7,FALSE)=AH71,1,0)</f>
        <v>#N/A</v>
      </c>
      <c r="DU71" s="138" t="e">
        <f>IF(VLOOKUP(CONCATENATE(H71,F71,DU$2),Inglés!$A:$H,7,FALSE)=AI71,1,0)</f>
        <v>#N/A</v>
      </c>
      <c r="DV71" s="138" t="e">
        <f>IF(VLOOKUP(CONCATENATE(H71,F71,DV$2),Inglés!$A:$H,7,FALSE)=AJ71,1,0)</f>
        <v>#N/A</v>
      </c>
      <c r="DW71" s="138" t="e">
        <f>IF(VLOOKUP(CONCATENATE(H71,F71,DW$2),Inglés!$A:$H,7,FALSE)=AK71,1,0)</f>
        <v>#N/A</v>
      </c>
      <c r="DX71" s="138" t="e">
        <f>IF(VLOOKUP(CONCATENATE(H71,F71,DX$2),Inglés!$A:$H,7,FALSE)=AL71,1,0)</f>
        <v>#N/A</v>
      </c>
      <c r="DY71" s="138" t="e">
        <f>IF(VLOOKUP(CONCATENATE(H71,F71,DY$2),Inglés!$A:$H,7,FALSE)=AM71,1,0)</f>
        <v>#N/A</v>
      </c>
      <c r="DZ71" s="138" t="e">
        <f>IF(VLOOKUP(CONCATENATE(H71,F71,DZ$2),Inglés!$A:$H,7,FALSE)=AN71,1,0)</f>
        <v>#N/A</v>
      </c>
      <c r="EA71" s="138" t="e">
        <f>IF(VLOOKUP(CONCATENATE(H71,F71,EA$2),Inglés!$A:$H,7,FALSE)=AO71,1,0)</f>
        <v>#N/A</v>
      </c>
      <c r="EB71" s="138" t="e">
        <f>IF(VLOOKUP(CONCATENATE(H71,F71,EB$2),Matemáticas!$A:$H,7,FALSE)=AP71,1,0)</f>
        <v>#N/A</v>
      </c>
      <c r="EC71" s="138" t="e">
        <f>IF(VLOOKUP(CONCATENATE(H71,F71,EC$2),Matemáticas!$A:$H,7,FALSE)=AQ71,1,0)</f>
        <v>#N/A</v>
      </c>
      <c r="ED71" s="138" t="e">
        <f>IF(VLOOKUP(CONCATENATE(H71,F71,ED$2),Matemáticas!$A:$H,7,FALSE)=AR71,1,0)</f>
        <v>#N/A</v>
      </c>
      <c r="EE71" s="138" t="e">
        <f>IF(VLOOKUP(CONCATENATE(H71,F71,EE$2),Matemáticas!$A:$H,7,FALSE)=AS71,1,0)</f>
        <v>#N/A</v>
      </c>
      <c r="EF71" s="138" t="e">
        <f>IF(VLOOKUP(CONCATENATE(H71,F71,EF$2),Matemáticas!$A:$H,7,FALSE)=AT71,1,0)</f>
        <v>#N/A</v>
      </c>
      <c r="EG71" s="138" t="e">
        <f>IF(VLOOKUP(CONCATENATE(H71,F71,EG$2),Matemáticas!$A:$H,7,FALSE)=AU71,1,0)</f>
        <v>#N/A</v>
      </c>
      <c r="EH71" s="138" t="e">
        <f>IF(VLOOKUP(CONCATENATE(H71,F71,EH$2),Matemáticas!$A:$H,7,FALSE)=AV71,1,0)</f>
        <v>#N/A</v>
      </c>
      <c r="EI71" s="138" t="e">
        <f>IF(VLOOKUP(CONCATENATE(H71,F71,EI$2),Matemáticas!$A:$H,7,FALSE)=AW71,1,0)</f>
        <v>#N/A</v>
      </c>
      <c r="EJ71" s="138" t="e">
        <f>IF(VLOOKUP(CONCATENATE(H71,F71,EJ$2),Matemáticas!$A:$H,7,FALSE)=AX71,1,0)</f>
        <v>#N/A</v>
      </c>
      <c r="EK71" s="138" t="e">
        <f>IF(VLOOKUP(CONCATENATE(H71,F71,EK$2),Matemáticas!$A:$H,7,FALSE)=AY71,1,0)</f>
        <v>#N/A</v>
      </c>
      <c r="EL71" s="138" t="e">
        <f>IF(VLOOKUP(CONCATENATE(H71,F71,EL$2),Matemáticas!$A:$H,7,FALSE)=AZ71,1,0)</f>
        <v>#N/A</v>
      </c>
      <c r="EM71" s="138" t="e">
        <f>IF(VLOOKUP(CONCATENATE(H71,F71,EM$2),Matemáticas!$A:$H,7,FALSE)=BA71,1,0)</f>
        <v>#N/A</v>
      </c>
      <c r="EN71" s="138" t="e">
        <f>IF(VLOOKUP(CONCATENATE(H71,F71,EN$2),Matemáticas!$A:$H,7,FALSE)=BB71,1,0)</f>
        <v>#N/A</v>
      </c>
      <c r="EO71" s="138" t="e">
        <f>IF(VLOOKUP(CONCATENATE(H71,F71,EO$2),Matemáticas!$A:$H,7,FALSE)=BC71,1,0)</f>
        <v>#N/A</v>
      </c>
      <c r="EP71" s="138" t="e">
        <f>IF(VLOOKUP(CONCATENATE(H71,F71,EP$2),Matemáticas!$A:$H,7,FALSE)=BD71,1,0)</f>
        <v>#N/A</v>
      </c>
      <c r="EQ71" s="138" t="e">
        <f>IF(VLOOKUP(CONCATENATE(H71,F71,EQ$2),Matemáticas!$A:$H,7,FALSE)=BE71,1,0)</f>
        <v>#N/A</v>
      </c>
      <c r="ER71" s="138" t="e">
        <f>IF(VLOOKUP(CONCATENATE(H71,F71,ER$2),Matemáticas!$A:$H,7,FALSE)=BF71,1,0)</f>
        <v>#N/A</v>
      </c>
      <c r="ES71" s="138" t="e">
        <f>IF(VLOOKUP(CONCATENATE(H71,F71,ES$2),Matemáticas!$A:$H,7,FALSE)=BG71,1,0)</f>
        <v>#N/A</v>
      </c>
      <c r="ET71" s="138" t="e">
        <f>IF(VLOOKUP(CONCATENATE(H71,F71,ET$2),Matemáticas!$A:$H,7,FALSE)=BH71,1,0)</f>
        <v>#N/A</v>
      </c>
      <c r="EU71" s="138" t="e">
        <f>IF(VLOOKUP(CONCATENATE(H71,F71,EU$2),Matemáticas!$A:$H,7,FALSE)=BI71,1,0)</f>
        <v>#N/A</v>
      </c>
      <c r="EV71" s="138" t="e">
        <f>IF(VLOOKUP(CONCATENATE(H71,F71,EV$2),Ciencias!$A:$H,7,FALSE)=BJ71,1,0)</f>
        <v>#N/A</v>
      </c>
      <c r="EW71" s="138" t="e">
        <f>IF(VLOOKUP(CONCATENATE(H71,F71,EW$2),Ciencias!$A:$H,7,FALSE)=BK71,1,0)</f>
        <v>#N/A</v>
      </c>
      <c r="EX71" s="138" t="e">
        <f>IF(VLOOKUP(CONCATENATE(H71,F71,EX$2),Ciencias!$A:$H,7,FALSE)=BL71,1,0)</f>
        <v>#N/A</v>
      </c>
      <c r="EY71" s="138" t="e">
        <f>IF(VLOOKUP(CONCATENATE(H71,F71,EY$2),Ciencias!$A:$H,7,FALSE)=BM71,1,0)</f>
        <v>#N/A</v>
      </c>
      <c r="EZ71" s="138" t="e">
        <f>IF(VLOOKUP(CONCATENATE(H71,F71,EZ$2),Ciencias!$A:$H,7,FALSE)=BN71,1,0)</f>
        <v>#N/A</v>
      </c>
      <c r="FA71" s="138" t="e">
        <f>IF(VLOOKUP(CONCATENATE(H71,F71,FA$2),Ciencias!$A:$H,7,FALSE)=BO71,1,0)</f>
        <v>#N/A</v>
      </c>
      <c r="FB71" s="138" t="e">
        <f>IF(VLOOKUP(CONCATENATE(H71,F71,FB$2),Ciencias!$A:$H,7,FALSE)=BP71,1,0)</f>
        <v>#N/A</v>
      </c>
      <c r="FC71" s="138" t="e">
        <f>IF(VLOOKUP(CONCATENATE(H71,F71,FC$2),Ciencias!$A:$H,7,FALSE)=BQ71,1,0)</f>
        <v>#N/A</v>
      </c>
      <c r="FD71" s="138" t="e">
        <f>IF(VLOOKUP(CONCATENATE(H71,F71,FD$2),Ciencias!$A:$H,7,FALSE)=BR71,1,0)</f>
        <v>#N/A</v>
      </c>
      <c r="FE71" s="138" t="e">
        <f>IF(VLOOKUP(CONCATENATE(H71,F71,FE$2),Ciencias!$A:$H,7,FALSE)=BS71,1,0)</f>
        <v>#N/A</v>
      </c>
      <c r="FF71" s="138" t="e">
        <f>IF(VLOOKUP(CONCATENATE(H71,F71,FF$2),Ciencias!$A:$H,7,FALSE)=BT71,1,0)</f>
        <v>#N/A</v>
      </c>
      <c r="FG71" s="138" t="e">
        <f>IF(VLOOKUP(CONCATENATE(H71,F71,FG$2),Ciencias!$A:$H,7,FALSE)=BU71,1,0)</f>
        <v>#N/A</v>
      </c>
      <c r="FH71" s="138" t="e">
        <f>IF(VLOOKUP(CONCATENATE(H71,F71,FH$2),Ciencias!$A:$H,7,FALSE)=BV71,1,0)</f>
        <v>#N/A</v>
      </c>
      <c r="FI71" s="138" t="e">
        <f>IF(VLOOKUP(CONCATENATE(H71,F71,FI$2),Ciencias!$A:$H,7,FALSE)=BW71,1,0)</f>
        <v>#N/A</v>
      </c>
      <c r="FJ71" s="138" t="e">
        <f>IF(VLOOKUP(CONCATENATE(H71,F71,FJ$2),Ciencias!$A:$H,7,FALSE)=BX71,1,0)</f>
        <v>#N/A</v>
      </c>
      <c r="FK71" s="138" t="e">
        <f>IF(VLOOKUP(CONCATENATE(H71,F71,FK$2),Ciencias!$A:$H,7,FALSE)=BY71,1,0)</f>
        <v>#N/A</v>
      </c>
      <c r="FL71" s="138" t="e">
        <f>IF(VLOOKUP(CONCATENATE(H71,F71,FL$2),Ciencias!$A:$H,7,FALSE)=BZ71,1,0)</f>
        <v>#N/A</v>
      </c>
      <c r="FM71" s="138" t="e">
        <f>IF(VLOOKUP(CONCATENATE(H71,F71,FM$2),Ciencias!$A:$H,7,FALSE)=CA71,1,0)</f>
        <v>#N/A</v>
      </c>
      <c r="FN71" s="138" t="e">
        <f>IF(VLOOKUP(CONCATENATE(H71,F71,FN$2),Ciencias!$A:$H,7,FALSE)=CB71,1,0)</f>
        <v>#N/A</v>
      </c>
      <c r="FO71" s="138" t="e">
        <f>IF(VLOOKUP(CONCATENATE(H71,F71,FO$2),Ciencias!$A:$H,7,FALSE)=CC71,1,0)</f>
        <v>#N/A</v>
      </c>
      <c r="FP71" s="138" t="e">
        <f>IF(VLOOKUP(CONCATENATE(H71,F71,FP$2),GeoHis!$A:$H,7,FALSE)=CD71,1,0)</f>
        <v>#N/A</v>
      </c>
      <c r="FQ71" s="138" t="e">
        <f>IF(VLOOKUP(CONCATENATE(H71,F71,FQ$2),GeoHis!$A:$H,7,FALSE)=CE71,1,0)</f>
        <v>#N/A</v>
      </c>
      <c r="FR71" s="138" t="e">
        <f>IF(VLOOKUP(CONCATENATE(H71,F71,FR$2),GeoHis!$A:$H,7,FALSE)=CF71,1,0)</f>
        <v>#N/A</v>
      </c>
      <c r="FS71" s="138" t="e">
        <f>IF(VLOOKUP(CONCATENATE(H71,F71,FS$2),GeoHis!$A:$H,7,FALSE)=CG71,1,0)</f>
        <v>#N/A</v>
      </c>
      <c r="FT71" s="138" t="e">
        <f>IF(VLOOKUP(CONCATENATE(H71,F71,FT$2),GeoHis!$A:$H,7,FALSE)=CH71,1,0)</f>
        <v>#N/A</v>
      </c>
      <c r="FU71" s="138" t="e">
        <f>IF(VLOOKUP(CONCATENATE(H71,F71,FU$2),GeoHis!$A:$H,7,FALSE)=CI71,1,0)</f>
        <v>#N/A</v>
      </c>
      <c r="FV71" s="138" t="e">
        <f>IF(VLOOKUP(CONCATENATE(H71,F71,FV$2),GeoHis!$A:$H,7,FALSE)=CJ71,1,0)</f>
        <v>#N/A</v>
      </c>
      <c r="FW71" s="138" t="e">
        <f>IF(VLOOKUP(CONCATENATE(H71,F71,FW$2),GeoHis!$A:$H,7,FALSE)=CK71,1,0)</f>
        <v>#N/A</v>
      </c>
      <c r="FX71" s="138" t="e">
        <f>IF(VLOOKUP(CONCATENATE(H71,F71,FX$2),GeoHis!$A:$H,7,FALSE)=CL71,1,0)</f>
        <v>#N/A</v>
      </c>
      <c r="FY71" s="138" t="e">
        <f>IF(VLOOKUP(CONCATENATE(H71,F71,FY$2),GeoHis!$A:$H,7,FALSE)=CM71,1,0)</f>
        <v>#N/A</v>
      </c>
      <c r="FZ71" s="138" t="e">
        <f>IF(VLOOKUP(CONCATENATE(H71,F71,FZ$2),GeoHis!$A:$H,7,FALSE)=CN71,1,0)</f>
        <v>#N/A</v>
      </c>
      <c r="GA71" s="138" t="e">
        <f>IF(VLOOKUP(CONCATENATE(H71,F71,GA$2),GeoHis!$A:$H,7,FALSE)=CO71,1,0)</f>
        <v>#N/A</v>
      </c>
      <c r="GB71" s="138" t="e">
        <f>IF(VLOOKUP(CONCATENATE(H71,F71,GB$2),GeoHis!$A:$H,7,FALSE)=CP71,1,0)</f>
        <v>#N/A</v>
      </c>
      <c r="GC71" s="138" t="e">
        <f>IF(VLOOKUP(CONCATENATE(H71,F71,GC$2),GeoHis!$A:$H,7,FALSE)=CQ71,1,0)</f>
        <v>#N/A</v>
      </c>
      <c r="GD71" s="138" t="e">
        <f>IF(VLOOKUP(CONCATENATE(H71,F71,GD$2),GeoHis!$A:$H,7,FALSE)=CR71,1,0)</f>
        <v>#N/A</v>
      </c>
      <c r="GE71" s="135" t="str">
        <f t="shared" si="15"/>
        <v/>
      </c>
    </row>
    <row r="72" spans="1:187" x14ac:dyDescent="0.25">
      <c r="A72" s="127" t="str">
        <f>IF(C72="","",'Datos Generales'!$A$25)</f>
        <v/>
      </c>
      <c r="D72" s="126" t="str">
        <f t="shared" si="8"/>
        <v/>
      </c>
      <c r="E72" s="126">
        <f t="shared" si="9"/>
        <v>0</v>
      </c>
      <c r="F72" s="126" t="str">
        <f t="shared" si="10"/>
        <v/>
      </c>
      <c r="G72" s="126" t="str">
        <f>IF(C72="","",'Datos Generales'!$D$19)</f>
        <v/>
      </c>
      <c r="H72" s="21" t="str">
        <f>IF(C72="","",'Datos Generales'!$A$19)</f>
        <v/>
      </c>
      <c r="I72" s="126" t="str">
        <f>IF(C72="","",'Datos Generales'!$A$7)</f>
        <v/>
      </c>
      <c r="J72" s="21" t="str">
        <f>IF(C72="","",'Datos Generales'!$A$13)</f>
        <v/>
      </c>
      <c r="K72" s="21" t="str">
        <f>IF(C72="","",'Datos Generales'!$A$10)</f>
        <v/>
      </c>
      <c r="CS72" s="142" t="str">
        <f t="shared" si="11"/>
        <v/>
      </c>
      <c r="CT72" s="142" t="str">
        <f t="shared" si="12"/>
        <v/>
      </c>
      <c r="CU72" s="142" t="str">
        <f t="shared" si="13"/>
        <v/>
      </c>
      <c r="CV72" s="142" t="str">
        <f t="shared" si="14"/>
        <v/>
      </c>
      <c r="CW72" s="142" t="str">
        <f>IF(C72="","",IF('Datos Generales'!$A$19=1,AVERAGE(FP72:GD72),AVERAGE(Captura!FP72:FY72)))</f>
        <v/>
      </c>
      <c r="CX72" s="138" t="e">
        <f>IF(VLOOKUP(CONCATENATE($H$4,$F$4,CX$2),Español!$A:$H,7,FALSE)=L72,1,0)</f>
        <v>#N/A</v>
      </c>
      <c r="CY72" s="138" t="e">
        <f>IF(VLOOKUP(CONCATENATE(H72,F72,CY$2),Español!$A:$H,7,FALSE)=M72,1,0)</f>
        <v>#N/A</v>
      </c>
      <c r="CZ72" s="138" t="e">
        <f>IF(VLOOKUP(CONCATENATE(H72,F72,CZ$2),Español!$A:$H,7,FALSE)=N72,1,0)</f>
        <v>#N/A</v>
      </c>
      <c r="DA72" s="138" t="e">
        <f>IF(VLOOKUP(CONCATENATE(H72,F72,DA$2),Español!$A:$H,7,FALSE)=O72,1,0)</f>
        <v>#N/A</v>
      </c>
      <c r="DB72" s="138" t="e">
        <f>IF(VLOOKUP(CONCATENATE(H72,F72,DB$2),Español!$A:$H,7,FALSE)=P72,1,0)</f>
        <v>#N/A</v>
      </c>
      <c r="DC72" s="138" t="e">
        <f>IF(VLOOKUP(CONCATENATE(H72,F72,DC$2),Español!$A:$H,7,FALSE)=Q72,1,0)</f>
        <v>#N/A</v>
      </c>
      <c r="DD72" s="138" t="e">
        <f>IF(VLOOKUP(CONCATENATE(H72,F72,DD$2),Español!$A:$H,7,FALSE)=R72,1,0)</f>
        <v>#N/A</v>
      </c>
      <c r="DE72" s="138" t="e">
        <f>IF(VLOOKUP(CONCATENATE(H72,F72,DE$2),Español!$A:$H,7,FALSE)=S72,1,0)</f>
        <v>#N/A</v>
      </c>
      <c r="DF72" s="138" t="e">
        <f>IF(VLOOKUP(CONCATENATE(H72,F72,DF$2),Español!$A:$H,7,FALSE)=T72,1,0)</f>
        <v>#N/A</v>
      </c>
      <c r="DG72" s="138" t="e">
        <f>IF(VLOOKUP(CONCATENATE(H72,F72,DG$2),Español!$A:$H,7,FALSE)=U72,1,0)</f>
        <v>#N/A</v>
      </c>
      <c r="DH72" s="138" t="e">
        <f>IF(VLOOKUP(CONCATENATE(H72,F72,DH$2),Español!$A:$H,7,FALSE)=V72,1,0)</f>
        <v>#N/A</v>
      </c>
      <c r="DI72" s="138" t="e">
        <f>IF(VLOOKUP(CONCATENATE(H72,F72,DI$2),Español!$A:$H,7,FALSE)=W72,1,0)</f>
        <v>#N/A</v>
      </c>
      <c r="DJ72" s="138" t="e">
        <f>IF(VLOOKUP(CONCATENATE(H72,F72,DJ$2),Español!$A:$H,7,FALSE)=X72,1,0)</f>
        <v>#N/A</v>
      </c>
      <c r="DK72" s="138" t="e">
        <f>IF(VLOOKUP(CONCATENATE(H72,F72,DK$2),Español!$A:$H,7,FALSE)=Y72,1,0)</f>
        <v>#N/A</v>
      </c>
      <c r="DL72" s="138" t="e">
        <f>IF(VLOOKUP(CONCATENATE(H72,F72,DL$2),Español!$A:$H,7,FALSE)=Z72,1,0)</f>
        <v>#N/A</v>
      </c>
      <c r="DM72" s="138" t="e">
        <f>IF(VLOOKUP(CONCATENATE(H72,F72,DM$2),Español!$A:$H,7,FALSE)=AA72,1,0)</f>
        <v>#N/A</v>
      </c>
      <c r="DN72" s="138" t="e">
        <f>IF(VLOOKUP(CONCATENATE(H72,F72,DN$2),Español!$A:$H,7,FALSE)=AB72,1,0)</f>
        <v>#N/A</v>
      </c>
      <c r="DO72" s="138" t="e">
        <f>IF(VLOOKUP(CONCATENATE(H72,F72,DO$2),Español!$A:$H,7,FALSE)=AC72,1,0)</f>
        <v>#N/A</v>
      </c>
      <c r="DP72" s="138" t="e">
        <f>IF(VLOOKUP(CONCATENATE(H72,F72,DP$2),Español!$A:$H,7,FALSE)=AD72,1,0)</f>
        <v>#N/A</v>
      </c>
      <c r="DQ72" s="138" t="e">
        <f>IF(VLOOKUP(CONCATENATE(H72,F72,DQ$2),Español!$A:$H,7,FALSE)=AE72,1,0)</f>
        <v>#N/A</v>
      </c>
      <c r="DR72" s="138" t="e">
        <f>IF(VLOOKUP(CONCATENATE(H72,F72,DR$2),Inglés!$A:$H,7,FALSE)=AF72,1,0)</f>
        <v>#N/A</v>
      </c>
      <c r="DS72" s="138" t="e">
        <f>IF(VLOOKUP(CONCATENATE(H72,F72,DS$2),Inglés!$A:$H,7,FALSE)=AG72,1,0)</f>
        <v>#N/A</v>
      </c>
      <c r="DT72" s="138" t="e">
        <f>IF(VLOOKUP(CONCATENATE(H72,F72,DT$2),Inglés!$A:$H,7,FALSE)=AH72,1,0)</f>
        <v>#N/A</v>
      </c>
      <c r="DU72" s="138" t="e">
        <f>IF(VLOOKUP(CONCATENATE(H72,F72,DU$2),Inglés!$A:$H,7,FALSE)=AI72,1,0)</f>
        <v>#N/A</v>
      </c>
      <c r="DV72" s="138" t="e">
        <f>IF(VLOOKUP(CONCATENATE(H72,F72,DV$2),Inglés!$A:$H,7,FALSE)=AJ72,1,0)</f>
        <v>#N/A</v>
      </c>
      <c r="DW72" s="138" t="e">
        <f>IF(VLOOKUP(CONCATENATE(H72,F72,DW$2),Inglés!$A:$H,7,FALSE)=AK72,1,0)</f>
        <v>#N/A</v>
      </c>
      <c r="DX72" s="138" t="e">
        <f>IF(VLOOKUP(CONCATENATE(H72,F72,DX$2),Inglés!$A:$H,7,FALSE)=AL72,1,0)</f>
        <v>#N/A</v>
      </c>
      <c r="DY72" s="138" t="e">
        <f>IF(VLOOKUP(CONCATENATE(H72,F72,DY$2),Inglés!$A:$H,7,FALSE)=AM72,1,0)</f>
        <v>#N/A</v>
      </c>
      <c r="DZ72" s="138" t="e">
        <f>IF(VLOOKUP(CONCATENATE(H72,F72,DZ$2),Inglés!$A:$H,7,FALSE)=AN72,1,0)</f>
        <v>#N/A</v>
      </c>
      <c r="EA72" s="138" t="e">
        <f>IF(VLOOKUP(CONCATENATE(H72,F72,EA$2),Inglés!$A:$H,7,FALSE)=AO72,1,0)</f>
        <v>#N/A</v>
      </c>
      <c r="EB72" s="138" t="e">
        <f>IF(VLOOKUP(CONCATENATE(H72,F72,EB$2),Matemáticas!$A:$H,7,FALSE)=AP72,1,0)</f>
        <v>#N/A</v>
      </c>
      <c r="EC72" s="138" t="e">
        <f>IF(VLOOKUP(CONCATENATE(H72,F72,EC$2),Matemáticas!$A:$H,7,FALSE)=AQ72,1,0)</f>
        <v>#N/A</v>
      </c>
      <c r="ED72" s="138" t="e">
        <f>IF(VLOOKUP(CONCATENATE(H72,F72,ED$2),Matemáticas!$A:$H,7,FALSE)=AR72,1,0)</f>
        <v>#N/A</v>
      </c>
      <c r="EE72" s="138" t="e">
        <f>IF(VLOOKUP(CONCATENATE(H72,F72,EE$2),Matemáticas!$A:$H,7,FALSE)=AS72,1,0)</f>
        <v>#N/A</v>
      </c>
      <c r="EF72" s="138" t="e">
        <f>IF(VLOOKUP(CONCATENATE(H72,F72,EF$2),Matemáticas!$A:$H,7,FALSE)=AT72,1,0)</f>
        <v>#N/A</v>
      </c>
      <c r="EG72" s="138" t="e">
        <f>IF(VLOOKUP(CONCATENATE(H72,F72,EG$2),Matemáticas!$A:$H,7,FALSE)=AU72,1,0)</f>
        <v>#N/A</v>
      </c>
      <c r="EH72" s="138" t="e">
        <f>IF(VLOOKUP(CONCATENATE(H72,F72,EH$2),Matemáticas!$A:$H,7,FALSE)=AV72,1,0)</f>
        <v>#N/A</v>
      </c>
      <c r="EI72" s="138" t="e">
        <f>IF(VLOOKUP(CONCATENATE(H72,F72,EI$2),Matemáticas!$A:$H,7,FALSE)=AW72,1,0)</f>
        <v>#N/A</v>
      </c>
      <c r="EJ72" s="138" t="e">
        <f>IF(VLOOKUP(CONCATENATE(H72,F72,EJ$2),Matemáticas!$A:$H,7,FALSE)=AX72,1,0)</f>
        <v>#N/A</v>
      </c>
      <c r="EK72" s="138" t="e">
        <f>IF(VLOOKUP(CONCATENATE(H72,F72,EK$2),Matemáticas!$A:$H,7,FALSE)=AY72,1,0)</f>
        <v>#N/A</v>
      </c>
      <c r="EL72" s="138" t="e">
        <f>IF(VLOOKUP(CONCATENATE(H72,F72,EL$2),Matemáticas!$A:$H,7,FALSE)=AZ72,1,0)</f>
        <v>#N/A</v>
      </c>
      <c r="EM72" s="138" t="e">
        <f>IF(VLOOKUP(CONCATENATE(H72,F72,EM$2),Matemáticas!$A:$H,7,FALSE)=BA72,1,0)</f>
        <v>#N/A</v>
      </c>
      <c r="EN72" s="138" t="e">
        <f>IF(VLOOKUP(CONCATENATE(H72,F72,EN$2),Matemáticas!$A:$H,7,FALSE)=BB72,1,0)</f>
        <v>#N/A</v>
      </c>
      <c r="EO72" s="138" t="e">
        <f>IF(VLOOKUP(CONCATENATE(H72,F72,EO$2),Matemáticas!$A:$H,7,FALSE)=BC72,1,0)</f>
        <v>#N/A</v>
      </c>
      <c r="EP72" s="138" t="e">
        <f>IF(VLOOKUP(CONCATENATE(H72,F72,EP$2),Matemáticas!$A:$H,7,FALSE)=BD72,1,0)</f>
        <v>#N/A</v>
      </c>
      <c r="EQ72" s="138" t="e">
        <f>IF(VLOOKUP(CONCATENATE(H72,F72,EQ$2),Matemáticas!$A:$H,7,FALSE)=BE72,1,0)</f>
        <v>#N/A</v>
      </c>
      <c r="ER72" s="138" t="e">
        <f>IF(VLOOKUP(CONCATENATE(H72,F72,ER$2),Matemáticas!$A:$H,7,FALSE)=BF72,1,0)</f>
        <v>#N/A</v>
      </c>
      <c r="ES72" s="138" t="e">
        <f>IF(VLOOKUP(CONCATENATE(H72,F72,ES$2),Matemáticas!$A:$H,7,FALSE)=BG72,1,0)</f>
        <v>#N/A</v>
      </c>
      <c r="ET72" s="138" t="e">
        <f>IF(VLOOKUP(CONCATENATE(H72,F72,ET$2),Matemáticas!$A:$H,7,FALSE)=BH72,1,0)</f>
        <v>#N/A</v>
      </c>
      <c r="EU72" s="138" t="e">
        <f>IF(VLOOKUP(CONCATENATE(H72,F72,EU$2),Matemáticas!$A:$H,7,FALSE)=BI72,1,0)</f>
        <v>#N/A</v>
      </c>
      <c r="EV72" s="138" t="e">
        <f>IF(VLOOKUP(CONCATENATE(H72,F72,EV$2),Ciencias!$A:$H,7,FALSE)=BJ72,1,0)</f>
        <v>#N/A</v>
      </c>
      <c r="EW72" s="138" t="e">
        <f>IF(VLOOKUP(CONCATENATE(H72,F72,EW$2),Ciencias!$A:$H,7,FALSE)=BK72,1,0)</f>
        <v>#N/A</v>
      </c>
      <c r="EX72" s="138" t="e">
        <f>IF(VLOOKUP(CONCATENATE(H72,F72,EX$2),Ciencias!$A:$H,7,FALSE)=BL72,1,0)</f>
        <v>#N/A</v>
      </c>
      <c r="EY72" s="138" t="e">
        <f>IF(VLOOKUP(CONCATENATE(H72,F72,EY$2),Ciencias!$A:$H,7,FALSE)=BM72,1,0)</f>
        <v>#N/A</v>
      </c>
      <c r="EZ72" s="138" t="e">
        <f>IF(VLOOKUP(CONCATENATE(H72,F72,EZ$2),Ciencias!$A:$H,7,FALSE)=BN72,1,0)</f>
        <v>#N/A</v>
      </c>
      <c r="FA72" s="138" t="e">
        <f>IF(VLOOKUP(CONCATENATE(H72,F72,FA$2),Ciencias!$A:$H,7,FALSE)=BO72,1,0)</f>
        <v>#N/A</v>
      </c>
      <c r="FB72" s="138" t="e">
        <f>IF(VLOOKUP(CONCATENATE(H72,F72,FB$2),Ciencias!$A:$H,7,FALSE)=BP72,1,0)</f>
        <v>#N/A</v>
      </c>
      <c r="FC72" s="138" t="e">
        <f>IF(VLOOKUP(CONCATENATE(H72,F72,FC$2),Ciencias!$A:$H,7,FALSE)=BQ72,1,0)</f>
        <v>#N/A</v>
      </c>
      <c r="FD72" s="138" t="e">
        <f>IF(VLOOKUP(CONCATENATE(H72,F72,FD$2),Ciencias!$A:$H,7,FALSE)=BR72,1,0)</f>
        <v>#N/A</v>
      </c>
      <c r="FE72" s="138" t="e">
        <f>IF(VLOOKUP(CONCATENATE(H72,F72,FE$2),Ciencias!$A:$H,7,FALSE)=BS72,1,0)</f>
        <v>#N/A</v>
      </c>
      <c r="FF72" s="138" t="e">
        <f>IF(VLOOKUP(CONCATENATE(H72,F72,FF$2),Ciencias!$A:$H,7,FALSE)=BT72,1,0)</f>
        <v>#N/A</v>
      </c>
      <c r="FG72" s="138" t="e">
        <f>IF(VLOOKUP(CONCATENATE(H72,F72,FG$2),Ciencias!$A:$H,7,FALSE)=BU72,1,0)</f>
        <v>#N/A</v>
      </c>
      <c r="FH72" s="138" t="e">
        <f>IF(VLOOKUP(CONCATENATE(H72,F72,FH$2),Ciencias!$A:$H,7,FALSE)=BV72,1,0)</f>
        <v>#N/A</v>
      </c>
      <c r="FI72" s="138" t="e">
        <f>IF(VLOOKUP(CONCATENATE(H72,F72,FI$2),Ciencias!$A:$H,7,FALSE)=BW72,1,0)</f>
        <v>#N/A</v>
      </c>
      <c r="FJ72" s="138" t="e">
        <f>IF(VLOOKUP(CONCATENATE(H72,F72,FJ$2),Ciencias!$A:$H,7,FALSE)=BX72,1,0)</f>
        <v>#N/A</v>
      </c>
      <c r="FK72" s="138" t="e">
        <f>IF(VLOOKUP(CONCATENATE(H72,F72,FK$2),Ciencias!$A:$H,7,FALSE)=BY72,1,0)</f>
        <v>#N/A</v>
      </c>
      <c r="FL72" s="138" t="e">
        <f>IF(VLOOKUP(CONCATENATE(H72,F72,FL$2),Ciencias!$A:$H,7,FALSE)=BZ72,1,0)</f>
        <v>#N/A</v>
      </c>
      <c r="FM72" s="138" t="e">
        <f>IF(VLOOKUP(CONCATENATE(H72,F72,FM$2),Ciencias!$A:$H,7,FALSE)=CA72,1,0)</f>
        <v>#N/A</v>
      </c>
      <c r="FN72" s="138" t="e">
        <f>IF(VLOOKUP(CONCATENATE(H72,F72,FN$2),Ciencias!$A:$H,7,FALSE)=CB72,1,0)</f>
        <v>#N/A</v>
      </c>
      <c r="FO72" s="138" t="e">
        <f>IF(VLOOKUP(CONCATENATE(H72,F72,FO$2),Ciencias!$A:$H,7,FALSE)=CC72,1,0)</f>
        <v>#N/A</v>
      </c>
      <c r="FP72" s="138" t="e">
        <f>IF(VLOOKUP(CONCATENATE(H72,F72,FP$2),GeoHis!$A:$H,7,FALSE)=CD72,1,0)</f>
        <v>#N/A</v>
      </c>
      <c r="FQ72" s="138" t="e">
        <f>IF(VLOOKUP(CONCATENATE(H72,F72,FQ$2),GeoHis!$A:$H,7,FALSE)=CE72,1,0)</f>
        <v>#N/A</v>
      </c>
      <c r="FR72" s="138" t="e">
        <f>IF(VLOOKUP(CONCATENATE(H72,F72,FR$2),GeoHis!$A:$H,7,FALSE)=CF72,1,0)</f>
        <v>#N/A</v>
      </c>
      <c r="FS72" s="138" t="e">
        <f>IF(VLOOKUP(CONCATENATE(H72,F72,FS$2),GeoHis!$A:$H,7,FALSE)=CG72,1,0)</f>
        <v>#N/A</v>
      </c>
      <c r="FT72" s="138" t="e">
        <f>IF(VLOOKUP(CONCATENATE(H72,F72,FT$2),GeoHis!$A:$H,7,FALSE)=CH72,1,0)</f>
        <v>#N/A</v>
      </c>
      <c r="FU72" s="138" t="e">
        <f>IF(VLOOKUP(CONCATENATE(H72,F72,FU$2),GeoHis!$A:$H,7,FALSE)=CI72,1,0)</f>
        <v>#N/A</v>
      </c>
      <c r="FV72" s="138" t="e">
        <f>IF(VLOOKUP(CONCATENATE(H72,F72,FV$2),GeoHis!$A:$H,7,FALSE)=CJ72,1,0)</f>
        <v>#N/A</v>
      </c>
      <c r="FW72" s="138" t="e">
        <f>IF(VLOOKUP(CONCATENATE(H72,F72,FW$2),GeoHis!$A:$H,7,FALSE)=CK72,1,0)</f>
        <v>#N/A</v>
      </c>
      <c r="FX72" s="138" t="e">
        <f>IF(VLOOKUP(CONCATENATE(H72,F72,FX$2),GeoHis!$A:$H,7,FALSE)=CL72,1,0)</f>
        <v>#N/A</v>
      </c>
      <c r="FY72" s="138" t="e">
        <f>IF(VLOOKUP(CONCATENATE(H72,F72,FY$2),GeoHis!$A:$H,7,FALSE)=CM72,1,0)</f>
        <v>#N/A</v>
      </c>
      <c r="FZ72" s="138" t="e">
        <f>IF(VLOOKUP(CONCATENATE(H72,F72,FZ$2),GeoHis!$A:$H,7,FALSE)=CN72,1,0)</f>
        <v>#N/A</v>
      </c>
      <c r="GA72" s="138" t="e">
        <f>IF(VLOOKUP(CONCATENATE(H72,F72,GA$2),GeoHis!$A:$H,7,FALSE)=CO72,1,0)</f>
        <v>#N/A</v>
      </c>
      <c r="GB72" s="138" t="e">
        <f>IF(VLOOKUP(CONCATENATE(H72,F72,GB$2),GeoHis!$A:$H,7,FALSE)=CP72,1,0)</f>
        <v>#N/A</v>
      </c>
      <c r="GC72" s="138" t="e">
        <f>IF(VLOOKUP(CONCATENATE(H72,F72,GC$2),GeoHis!$A:$H,7,FALSE)=CQ72,1,0)</f>
        <v>#N/A</v>
      </c>
      <c r="GD72" s="138" t="e">
        <f>IF(VLOOKUP(CONCATENATE(H72,F72,GD$2),GeoHis!$A:$H,7,FALSE)=CR72,1,0)</f>
        <v>#N/A</v>
      </c>
      <c r="GE72" s="135" t="str">
        <f t="shared" si="15"/>
        <v/>
      </c>
    </row>
    <row r="73" spans="1:187" x14ac:dyDescent="0.25">
      <c r="A73" s="127" t="str">
        <f>IF(C73="","",'Datos Generales'!$A$25)</f>
        <v/>
      </c>
      <c r="D73" s="126" t="str">
        <f t="shared" si="8"/>
        <v/>
      </c>
      <c r="E73" s="126">
        <f t="shared" si="9"/>
        <v>0</v>
      </c>
      <c r="F73" s="126" t="str">
        <f t="shared" si="10"/>
        <v/>
      </c>
      <c r="G73" s="126" t="str">
        <f>IF(C73="","",'Datos Generales'!$D$19)</f>
        <v/>
      </c>
      <c r="H73" s="21" t="str">
        <f>IF(C73="","",'Datos Generales'!$A$19)</f>
        <v/>
      </c>
      <c r="I73" s="126" t="str">
        <f>IF(C73="","",'Datos Generales'!$A$7)</f>
        <v/>
      </c>
      <c r="J73" s="21" t="str">
        <f>IF(C73="","",'Datos Generales'!$A$13)</f>
        <v/>
      </c>
      <c r="K73" s="21" t="str">
        <f>IF(C73="","",'Datos Generales'!$A$10)</f>
        <v/>
      </c>
      <c r="CS73" s="142" t="str">
        <f t="shared" si="11"/>
        <v/>
      </c>
      <c r="CT73" s="142" t="str">
        <f t="shared" si="12"/>
        <v/>
      </c>
      <c r="CU73" s="142" t="str">
        <f t="shared" si="13"/>
        <v/>
      </c>
      <c r="CV73" s="142" t="str">
        <f t="shared" si="14"/>
        <v/>
      </c>
      <c r="CW73" s="142" t="str">
        <f>IF(C73="","",IF('Datos Generales'!$A$19=1,AVERAGE(FP73:GD73),AVERAGE(Captura!FP73:FY73)))</f>
        <v/>
      </c>
      <c r="CX73" s="138" t="e">
        <f>IF(VLOOKUP(CONCATENATE($H$4,$F$4,CX$2),Español!$A:$H,7,FALSE)=L73,1,0)</f>
        <v>#N/A</v>
      </c>
      <c r="CY73" s="138" t="e">
        <f>IF(VLOOKUP(CONCATENATE(H73,F73,CY$2),Español!$A:$H,7,FALSE)=M73,1,0)</f>
        <v>#N/A</v>
      </c>
      <c r="CZ73" s="138" t="e">
        <f>IF(VLOOKUP(CONCATENATE(H73,F73,CZ$2),Español!$A:$H,7,FALSE)=N73,1,0)</f>
        <v>#N/A</v>
      </c>
      <c r="DA73" s="138" t="e">
        <f>IF(VLOOKUP(CONCATENATE(H73,F73,DA$2),Español!$A:$H,7,FALSE)=O73,1,0)</f>
        <v>#N/A</v>
      </c>
      <c r="DB73" s="138" t="e">
        <f>IF(VLOOKUP(CONCATENATE(H73,F73,DB$2),Español!$A:$H,7,FALSE)=P73,1,0)</f>
        <v>#N/A</v>
      </c>
      <c r="DC73" s="138" t="e">
        <f>IF(VLOOKUP(CONCATENATE(H73,F73,DC$2),Español!$A:$H,7,FALSE)=Q73,1,0)</f>
        <v>#N/A</v>
      </c>
      <c r="DD73" s="138" t="e">
        <f>IF(VLOOKUP(CONCATENATE(H73,F73,DD$2),Español!$A:$H,7,FALSE)=R73,1,0)</f>
        <v>#N/A</v>
      </c>
      <c r="DE73" s="138" t="e">
        <f>IF(VLOOKUP(CONCATENATE(H73,F73,DE$2),Español!$A:$H,7,FALSE)=S73,1,0)</f>
        <v>#N/A</v>
      </c>
      <c r="DF73" s="138" t="e">
        <f>IF(VLOOKUP(CONCATENATE(H73,F73,DF$2),Español!$A:$H,7,FALSE)=T73,1,0)</f>
        <v>#N/A</v>
      </c>
      <c r="DG73" s="138" t="e">
        <f>IF(VLOOKUP(CONCATENATE(H73,F73,DG$2),Español!$A:$H,7,FALSE)=U73,1,0)</f>
        <v>#N/A</v>
      </c>
      <c r="DH73" s="138" t="e">
        <f>IF(VLOOKUP(CONCATENATE(H73,F73,DH$2),Español!$A:$H,7,FALSE)=V73,1,0)</f>
        <v>#N/A</v>
      </c>
      <c r="DI73" s="138" t="e">
        <f>IF(VLOOKUP(CONCATENATE(H73,F73,DI$2),Español!$A:$H,7,FALSE)=W73,1,0)</f>
        <v>#N/A</v>
      </c>
      <c r="DJ73" s="138" t="e">
        <f>IF(VLOOKUP(CONCATENATE(H73,F73,DJ$2),Español!$A:$H,7,FALSE)=X73,1,0)</f>
        <v>#N/A</v>
      </c>
      <c r="DK73" s="138" t="e">
        <f>IF(VLOOKUP(CONCATENATE(H73,F73,DK$2),Español!$A:$H,7,FALSE)=Y73,1,0)</f>
        <v>#N/A</v>
      </c>
      <c r="DL73" s="138" t="e">
        <f>IF(VLOOKUP(CONCATENATE(H73,F73,DL$2),Español!$A:$H,7,FALSE)=Z73,1,0)</f>
        <v>#N/A</v>
      </c>
      <c r="DM73" s="138" t="e">
        <f>IF(VLOOKUP(CONCATENATE(H73,F73,DM$2),Español!$A:$H,7,FALSE)=AA73,1,0)</f>
        <v>#N/A</v>
      </c>
      <c r="DN73" s="138" t="e">
        <f>IF(VLOOKUP(CONCATENATE(H73,F73,DN$2),Español!$A:$H,7,FALSE)=AB73,1,0)</f>
        <v>#N/A</v>
      </c>
      <c r="DO73" s="138" t="e">
        <f>IF(VLOOKUP(CONCATENATE(H73,F73,DO$2),Español!$A:$H,7,FALSE)=AC73,1,0)</f>
        <v>#N/A</v>
      </c>
      <c r="DP73" s="138" t="e">
        <f>IF(VLOOKUP(CONCATENATE(H73,F73,DP$2),Español!$A:$H,7,FALSE)=AD73,1,0)</f>
        <v>#N/A</v>
      </c>
      <c r="DQ73" s="138" t="e">
        <f>IF(VLOOKUP(CONCATENATE(H73,F73,DQ$2),Español!$A:$H,7,FALSE)=AE73,1,0)</f>
        <v>#N/A</v>
      </c>
      <c r="DR73" s="138" t="e">
        <f>IF(VLOOKUP(CONCATENATE(H73,F73,DR$2),Inglés!$A:$H,7,FALSE)=AF73,1,0)</f>
        <v>#N/A</v>
      </c>
      <c r="DS73" s="138" t="e">
        <f>IF(VLOOKUP(CONCATENATE(H73,F73,DS$2),Inglés!$A:$H,7,FALSE)=AG73,1,0)</f>
        <v>#N/A</v>
      </c>
      <c r="DT73" s="138" t="e">
        <f>IF(VLOOKUP(CONCATENATE(H73,F73,DT$2),Inglés!$A:$H,7,FALSE)=AH73,1,0)</f>
        <v>#N/A</v>
      </c>
      <c r="DU73" s="138" t="e">
        <f>IF(VLOOKUP(CONCATENATE(H73,F73,DU$2),Inglés!$A:$H,7,FALSE)=AI73,1,0)</f>
        <v>#N/A</v>
      </c>
      <c r="DV73" s="138" t="e">
        <f>IF(VLOOKUP(CONCATENATE(H73,F73,DV$2),Inglés!$A:$H,7,FALSE)=AJ73,1,0)</f>
        <v>#N/A</v>
      </c>
      <c r="DW73" s="138" t="e">
        <f>IF(VLOOKUP(CONCATENATE(H73,F73,DW$2),Inglés!$A:$H,7,FALSE)=AK73,1,0)</f>
        <v>#N/A</v>
      </c>
      <c r="DX73" s="138" t="e">
        <f>IF(VLOOKUP(CONCATENATE(H73,F73,DX$2),Inglés!$A:$H,7,FALSE)=AL73,1,0)</f>
        <v>#N/A</v>
      </c>
      <c r="DY73" s="138" t="e">
        <f>IF(VLOOKUP(CONCATENATE(H73,F73,DY$2),Inglés!$A:$H,7,FALSE)=AM73,1,0)</f>
        <v>#N/A</v>
      </c>
      <c r="DZ73" s="138" t="e">
        <f>IF(VLOOKUP(CONCATENATE(H73,F73,DZ$2),Inglés!$A:$H,7,FALSE)=AN73,1,0)</f>
        <v>#N/A</v>
      </c>
      <c r="EA73" s="138" t="e">
        <f>IF(VLOOKUP(CONCATENATE(H73,F73,EA$2),Inglés!$A:$H,7,FALSE)=AO73,1,0)</f>
        <v>#N/A</v>
      </c>
      <c r="EB73" s="138" t="e">
        <f>IF(VLOOKUP(CONCATENATE(H73,F73,EB$2),Matemáticas!$A:$H,7,FALSE)=AP73,1,0)</f>
        <v>#N/A</v>
      </c>
      <c r="EC73" s="138" t="e">
        <f>IF(VLOOKUP(CONCATENATE(H73,F73,EC$2),Matemáticas!$A:$H,7,FALSE)=AQ73,1,0)</f>
        <v>#N/A</v>
      </c>
      <c r="ED73" s="138" t="e">
        <f>IF(VLOOKUP(CONCATENATE(H73,F73,ED$2),Matemáticas!$A:$H,7,FALSE)=AR73,1,0)</f>
        <v>#N/A</v>
      </c>
      <c r="EE73" s="138" t="e">
        <f>IF(VLOOKUP(CONCATENATE(H73,F73,EE$2),Matemáticas!$A:$H,7,FALSE)=AS73,1,0)</f>
        <v>#N/A</v>
      </c>
      <c r="EF73" s="138" t="e">
        <f>IF(VLOOKUP(CONCATENATE(H73,F73,EF$2),Matemáticas!$A:$H,7,FALSE)=AT73,1,0)</f>
        <v>#N/A</v>
      </c>
      <c r="EG73" s="138" t="e">
        <f>IF(VLOOKUP(CONCATENATE(H73,F73,EG$2),Matemáticas!$A:$H,7,FALSE)=AU73,1,0)</f>
        <v>#N/A</v>
      </c>
      <c r="EH73" s="138" t="e">
        <f>IF(VLOOKUP(CONCATENATE(H73,F73,EH$2),Matemáticas!$A:$H,7,FALSE)=AV73,1,0)</f>
        <v>#N/A</v>
      </c>
      <c r="EI73" s="138" t="e">
        <f>IF(VLOOKUP(CONCATENATE(H73,F73,EI$2),Matemáticas!$A:$H,7,FALSE)=AW73,1,0)</f>
        <v>#N/A</v>
      </c>
      <c r="EJ73" s="138" t="e">
        <f>IF(VLOOKUP(CONCATENATE(H73,F73,EJ$2),Matemáticas!$A:$H,7,FALSE)=AX73,1,0)</f>
        <v>#N/A</v>
      </c>
      <c r="EK73" s="138" t="e">
        <f>IF(VLOOKUP(CONCATENATE(H73,F73,EK$2),Matemáticas!$A:$H,7,FALSE)=AY73,1,0)</f>
        <v>#N/A</v>
      </c>
      <c r="EL73" s="138" t="e">
        <f>IF(VLOOKUP(CONCATENATE(H73,F73,EL$2),Matemáticas!$A:$H,7,FALSE)=AZ73,1,0)</f>
        <v>#N/A</v>
      </c>
      <c r="EM73" s="138" t="e">
        <f>IF(VLOOKUP(CONCATENATE(H73,F73,EM$2),Matemáticas!$A:$H,7,FALSE)=BA73,1,0)</f>
        <v>#N/A</v>
      </c>
      <c r="EN73" s="138" t="e">
        <f>IF(VLOOKUP(CONCATENATE(H73,F73,EN$2),Matemáticas!$A:$H,7,FALSE)=BB73,1,0)</f>
        <v>#N/A</v>
      </c>
      <c r="EO73" s="138" t="e">
        <f>IF(VLOOKUP(CONCATENATE(H73,F73,EO$2),Matemáticas!$A:$H,7,FALSE)=BC73,1,0)</f>
        <v>#N/A</v>
      </c>
      <c r="EP73" s="138" t="e">
        <f>IF(VLOOKUP(CONCATENATE(H73,F73,EP$2),Matemáticas!$A:$H,7,FALSE)=BD73,1,0)</f>
        <v>#N/A</v>
      </c>
      <c r="EQ73" s="138" t="e">
        <f>IF(VLOOKUP(CONCATENATE(H73,F73,EQ$2),Matemáticas!$A:$H,7,FALSE)=BE73,1,0)</f>
        <v>#N/A</v>
      </c>
      <c r="ER73" s="138" t="e">
        <f>IF(VLOOKUP(CONCATENATE(H73,F73,ER$2),Matemáticas!$A:$H,7,FALSE)=BF73,1,0)</f>
        <v>#N/A</v>
      </c>
      <c r="ES73" s="138" t="e">
        <f>IF(VLOOKUP(CONCATENATE(H73,F73,ES$2),Matemáticas!$A:$H,7,FALSE)=BG73,1,0)</f>
        <v>#N/A</v>
      </c>
      <c r="ET73" s="138" t="e">
        <f>IF(VLOOKUP(CONCATENATE(H73,F73,ET$2),Matemáticas!$A:$H,7,FALSE)=BH73,1,0)</f>
        <v>#N/A</v>
      </c>
      <c r="EU73" s="138" t="e">
        <f>IF(VLOOKUP(CONCATENATE(H73,F73,EU$2),Matemáticas!$A:$H,7,FALSE)=BI73,1,0)</f>
        <v>#N/A</v>
      </c>
      <c r="EV73" s="138" t="e">
        <f>IF(VLOOKUP(CONCATENATE(H73,F73,EV$2),Ciencias!$A:$H,7,FALSE)=BJ73,1,0)</f>
        <v>#N/A</v>
      </c>
      <c r="EW73" s="138" t="e">
        <f>IF(VLOOKUP(CONCATENATE(H73,F73,EW$2),Ciencias!$A:$H,7,FALSE)=BK73,1,0)</f>
        <v>#N/A</v>
      </c>
      <c r="EX73" s="138" t="e">
        <f>IF(VLOOKUP(CONCATENATE(H73,F73,EX$2),Ciencias!$A:$H,7,FALSE)=BL73,1,0)</f>
        <v>#N/A</v>
      </c>
      <c r="EY73" s="138" t="e">
        <f>IF(VLOOKUP(CONCATENATE(H73,F73,EY$2),Ciencias!$A:$H,7,FALSE)=BM73,1,0)</f>
        <v>#N/A</v>
      </c>
      <c r="EZ73" s="138" t="e">
        <f>IF(VLOOKUP(CONCATENATE(H73,F73,EZ$2),Ciencias!$A:$H,7,FALSE)=BN73,1,0)</f>
        <v>#N/A</v>
      </c>
      <c r="FA73" s="138" t="e">
        <f>IF(VLOOKUP(CONCATENATE(H73,F73,FA$2),Ciencias!$A:$H,7,FALSE)=BO73,1,0)</f>
        <v>#N/A</v>
      </c>
      <c r="FB73" s="138" t="e">
        <f>IF(VLOOKUP(CONCATENATE(H73,F73,FB$2),Ciencias!$A:$H,7,FALSE)=BP73,1,0)</f>
        <v>#N/A</v>
      </c>
      <c r="FC73" s="138" t="e">
        <f>IF(VLOOKUP(CONCATENATE(H73,F73,FC$2),Ciencias!$A:$H,7,FALSE)=BQ73,1,0)</f>
        <v>#N/A</v>
      </c>
      <c r="FD73" s="138" t="e">
        <f>IF(VLOOKUP(CONCATENATE(H73,F73,FD$2),Ciencias!$A:$H,7,FALSE)=BR73,1,0)</f>
        <v>#N/A</v>
      </c>
      <c r="FE73" s="138" t="e">
        <f>IF(VLOOKUP(CONCATENATE(H73,F73,FE$2),Ciencias!$A:$H,7,FALSE)=BS73,1,0)</f>
        <v>#N/A</v>
      </c>
      <c r="FF73" s="138" t="e">
        <f>IF(VLOOKUP(CONCATENATE(H73,F73,FF$2),Ciencias!$A:$H,7,FALSE)=BT73,1,0)</f>
        <v>#N/A</v>
      </c>
      <c r="FG73" s="138" t="e">
        <f>IF(VLOOKUP(CONCATENATE(H73,F73,FG$2),Ciencias!$A:$H,7,FALSE)=BU73,1,0)</f>
        <v>#N/A</v>
      </c>
      <c r="FH73" s="138" t="e">
        <f>IF(VLOOKUP(CONCATENATE(H73,F73,FH$2),Ciencias!$A:$H,7,FALSE)=BV73,1,0)</f>
        <v>#N/A</v>
      </c>
      <c r="FI73" s="138" t="e">
        <f>IF(VLOOKUP(CONCATENATE(H73,F73,FI$2),Ciencias!$A:$H,7,FALSE)=BW73,1,0)</f>
        <v>#N/A</v>
      </c>
      <c r="FJ73" s="138" t="e">
        <f>IF(VLOOKUP(CONCATENATE(H73,F73,FJ$2),Ciencias!$A:$H,7,FALSE)=BX73,1,0)</f>
        <v>#N/A</v>
      </c>
      <c r="FK73" s="138" t="e">
        <f>IF(VLOOKUP(CONCATENATE(H73,F73,FK$2),Ciencias!$A:$H,7,FALSE)=BY73,1,0)</f>
        <v>#N/A</v>
      </c>
      <c r="FL73" s="138" t="e">
        <f>IF(VLOOKUP(CONCATENATE(H73,F73,FL$2),Ciencias!$A:$H,7,FALSE)=BZ73,1,0)</f>
        <v>#N/A</v>
      </c>
      <c r="FM73" s="138" t="e">
        <f>IF(VLOOKUP(CONCATENATE(H73,F73,FM$2),Ciencias!$A:$H,7,FALSE)=CA73,1,0)</f>
        <v>#N/A</v>
      </c>
      <c r="FN73" s="138" t="e">
        <f>IF(VLOOKUP(CONCATENATE(H73,F73,FN$2),Ciencias!$A:$H,7,FALSE)=CB73,1,0)</f>
        <v>#N/A</v>
      </c>
      <c r="FO73" s="138" t="e">
        <f>IF(VLOOKUP(CONCATENATE(H73,F73,FO$2),Ciencias!$A:$H,7,FALSE)=CC73,1,0)</f>
        <v>#N/A</v>
      </c>
      <c r="FP73" s="138" t="e">
        <f>IF(VLOOKUP(CONCATENATE(H73,F73,FP$2),GeoHis!$A:$H,7,FALSE)=CD73,1,0)</f>
        <v>#N/A</v>
      </c>
      <c r="FQ73" s="138" t="e">
        <f>IF(VLOOKUP(CONCATENATE(H73,F73,FQ$2),GeoHis!$A:$H,7,FALSE)=CE73,1,0)</f>
        <v>#N/A</v>
      </c>
      <c r="FR73" s="138" t="e">
        <f>IF(VLOOKUP(CONCATENATE(H73,F73,FR$2),GeoHis!$A:$H,7,FALSE)=CF73,1,0)</f>
        <v>#N/A</v>
      </c>
      <c r="FS73" s="138" t="e">
        <f>IF(VLOOKUP(CONCATENATE(H73,F73,FS$2),GeoHis!$A:$H,7,FALSE)=CG73,1,0)</f>
        <v>#N/A</v>
      </c>
      <c r="FT73" s="138" t="e">
        <f>IF(VLOOKUP(CONCATENATE(H73,F73,FT$2),GeoHis!$A:$H,7,FALSE)=CH73,1,0)</f>
        <v>#N/A</v>
      </c>
      <c r="FU73" s="138" t="e">
        <f>IF(VLOOKUP(CONCATENATE(H73,F73,FU$2),GeoHis!$A:$H,7,FALSE)=CI73,1,0)</f>
        <v>#N/A</v>
      </c>
      <c r="FV73" s="138" t="e">
        <f>IF(VLOOKUP(CONCATENATE(H73,F73,FV$2),GeoHis!$A:$H,7,FALSE)=CJ73,1,0)</f>
        <v>#N/A</v>
      </c>
      <c r="FW73" s="138" t="e">
        <f>IF(VLOOKUP(CONCATENATE(H73,F73,FW$2),GeoHis!$A:$H,7,FALSE)=CK73,1,0)</f>
        <v>#N/A</v>
      </c>
      <c r="FX73" s="138" t="e">
        <f>IF(VLOOKUP(CONCATENATE(H73,F73,FX$2),GeoHis!$A:$H,7,FALSE)=CL73,1,0)</f>
        <v>#N/A</v>
      </c>
      <c r="FY73" s="138" t="e">
        <f>IF(VLOOKUP(CONCATENATE(H73,F73,FY$2),GeoHis!$A:$H,7,FALSE)=CM73,1,0)</f>
        <v>#N/A</v>
      </c>
      <c r="FZ73" s="138" t="e">
        <f>IF(VLOOKUP(CONCATENATE(H73,F73,FZ$2),GeoHis!$A:$H,7,FALSE)=CN73,1,0)</f>
        <v>#N/A</v>
      </c>
      <c r="GA73" s="138" t="e">
        <f>IF(VLOOKUP(CONCATENATE(H73,F73,GA$2),GeoHis!$A:$H,7,FALSE)=CO73,1,0)</f>
        <v>#N/A</v>
      </c>
      <c r="GB73" s="138" t="e">
        <f>IF(VLOOKUP(CONCATENATE(H73,F73,GB$2),GeoHis!$A:$H,7,FALSE)=CP73,1,0)</f>
        <v>#N/A</v>
      </c>
      <c r="GC73" s="138" t="e">
        <f>IF(VLOOKUP(CONCATENATE(H73,F73,GC$2),GeoHis!$A:$H,7,FALSE)=CQ73,1,0)</f>
        <v>#N/A</v>
      </c>
      <c r="GD73" s="138" t="e">
        <f>IF(VLOOKUP(CONCATENATE(H73,F73,GD$2),GeoHis!$A:$H,7,FALSE)=CR73,1,0)</f>
        <v>#N/A</v>
      </c>
      <c r="GE73" s="135" t="str">
        <f t="shared" si="15"/>
        <v/>
      </c>
    </row>
    <row r="74" spans="1:187" x14ac:dyDescent="0.25">
      <c r="A74" s="127" t="str">
        <f>IF(C74="","",'Datos Generales'!$A$25)</f>
        <v/>
      </c>
      <c r="D74" s="126" t="str">
        <f t="shared" si="8"/>
        <v/>
      </c>
      <c r="E74" s="126">
        <f t="shared" si="9"/>
        <v>0</v>
      </c>
      <c r="F74" s="126" t="str">
        <f t="shared" si="10"/>
        <v/>
      </c>
      <c r="G74" s="126" t="str">
        <f>IF(C74="","",'Datos Generales'!$D$19)</f>
        <v/>
      </c>
      <c r="H74" s="21" t="str">
        <f>IF(C74="","",'Datos Generales'!$A$19)</f>
        <v/>
      </c>
      <c r="I74" s="126" t="str">
        <f>IF(C74="","",'Datos Generales'!$A$7)</f>
        <v/>
      </c>
      <c r="J74" s="21" t="str">
        <f>IF(C74="","",'Datos Generales'!$A$13)</f>
        <v/>
      </c>
      <c r="K74" s="21" t="str">
        <f>IF(C74="","",'Datos Generales'!$A$10)</f>
        <v/>
      </c>
      <c r="CS74" s="142" t="str">
        <f t="shared" si="11"/>
        <v/>
      </c>
      <c r="CT74" s="142" t="str">
        <f t="shared" si="12"/>
        <v/>
      </c>
      <c r="CU74" s="142" t="str">
        <f t="shared" si="13"/>
        <v/>
      </c>
      <c r="CV74" s="142" t="str">
        <f t="shared" si="14"/>
        <v/>
      </c>
      <c r="CW74" s="142" t="str">
        <f>IF(C74="","",IF('Datos Generales'!$A$19=1,AVERAGE(FP74:GD74),AVERAGE(Captura!FP74:FY74)))</f>
        <v/>
      </c>
      <c r="CX74" s="138" t="e">
        <f>IF(VLOOKUP(CONCATENATE($H$4,$F$4,CX$2),Español!$A:$H,7,FALSE)=L74,1,0)</f>
        <v>#N/A</v>
      </c>
      <c r="CY74" s="138" t="e">
        <f>IF(VLOOKUP(CONCATENATE(H74,F74,CY$2),Español!$A:$H,7,FALSE)=M74,1,0)</f>
        <v>#N/A</v>
      </c>
      <c r="CZ74" s="138" t="e">
        <f>IF(VLOOKUP(CONCATENATE(H74,F74,CZ$2),Español!$A:$H,7,FALSE)=N74,1,0)</f>
        <v>#N/A</v>
      </c>
      <c r="DA74" s="138" t="e">
        <f>IF(VLOOKUP(CONCATENATE(H74,F74,DA$2),Español!$A:$H,7,FALSE)=O74,1,0)</f>
        <v>#N/A</v>
      </c>
      <c r="DB74" s="138" t="e">
        <f>IF(VLOOKUP(CONCATENATE(H74,F74,DB$2),Español!$A:$H,7,FALSE)=P74,1,0)</f>
        <v>#N/A</v>
      </c>
      <c r="DC74" s="138" t="e">
        <f>IF(VLOOKUP(CONCATENATE(H74,F74,DC$2),Español!$A:$H,7,FALSE)=Q74,1,0)</f>
        <v>#N/A</v>
      </c>
      <c r="DD74" s="138" t="e">
        <f>IF(VLOOKUP(CONCATENATE(H74,F74,DD$2),Español!$A:$H,7,FALSE)=R74,1,0)</f>
        <v>#N/A</v>
      </c>
      <c r="DE74" s="138" t="e">
        <f>IF(VLOOKUP(CONCATENATE(H74,F74,DE$2),Español!$A:$H,7,FALSE)=S74,1,0)</f>
        <v>#N/A</v>
      </c>
      <c r="DF74" s="138" t="e">
        <f>IF(VLOOKUP(CONCATENATE(H74,F74,DF$2),Español!$A:$H,7,FALSE)=T74,1,0)</f>
        <v>#N/A</v>
      </c>
      <c r="DG74" s="138" t="e">
        <f>IF(VLOOKUP(CONCATENATE(H74,F74,DG$2),Español!$A:$H,7,FALSE)=U74,1,0)</f>
        <v>#N/A</v>
      </c>
      <c r="DH74" s="138" t="e">
        <f>IF(VLOOKUP(CONCATENATE(H74,F74,DH$2),Español!$A:$H,7,FALSE)=V74,1,0)</f>
        <v>#N/A</v>
      </c>
      <c r="DI74" s="138" t="e">
        <f>IF(VLOOKUP(CONCATENATE(H74,F74,DI$2),Español!$A:$H,7,FALSE)=W74,1,0)</f>
        <v>#N/A</v>
      </c>
      <c r="DJ74" s="138" t="e">
        <f>IF(VLOOKUP(CONCATENATE(H74,F74,DJ$2),Español!$A:$H,7,FALSE)=X74,1,0)</f>
        <v>#N/A</v>
      </c>
      <c r="DK74" s="138" t="e">
        <f>IF(VLOOKUP(CONCATENATE(H74,F74,DK$2),Español!$A:$H,7,FALSE)=Y74,1,0)</f>
        <v>#N/A</v>
      </c>
      <c r="DL74" s="138" t="e">
        <f>IF(VLOOKUP(CONCATENATE(H74,F74,DL$2),Español!$A:$H,7,FALSE)=Z74,1,0)</f>
        <v>#N/A</v>
      </c>
      <c r="DM74" s="138" t="e">
        <f>IF(VLOOKUP(CONCATENATE(H74,F74,DM$2),Español!$A:$H,7,FALSE)=AA74,1,0)</f>
        <v>#N/A</v>
      </c>
      <c r="DN74" s="138" t="e">
        <f>IF(VLOOKUP(CONCATENATE(H74,F74,DN$2),Español!$A:$H,7,FALSE)=AB74,1,0)</f>
        <v>#N/A</v>
      </c>
      <c r="DO74" s="138" t="e">
        <f>IF(VLOOKUP(CONCATENATE(H74,F74,DO$2),Español!$A:$H,7,FALSE)=AC74,1,0)</f>
        <v>#N/A</v>
      </c>
      <c r="DP74" s="138" t="e">
        <f>IF(VLOOKUP(CONCATENATE(H74,F74,DP$2),Español!$A:$H,7,FALSE)=AD74,1,0)</f>
        <v>#N/A</v>
      </c>
      <c r="DQ74" s="138" t="e">
        <f>IF(VLOOKUP(CONCATENATE(H74,F74,DQ$2),Español!$A:$H,7,FALSE)=AE74,1,0)</f>
        <v>#N/A</v>
      </c>
      <c r="DR74" s="138" t="e">
        <f>IF(VLOOKUP(CONCATENATE(H74,F74,DR$2),Inglés!$A:$H,7,FALSE)=AF74,1,0)</f>
        <v>#N/A</v>
      </c>
      <c r="DS74" s="138" t="e">
        <f>IF(VLOOKUP(CONCATENATE(H74,F74,DS$2),Inglés!$A:$H,7,FALSE)=AG74,1,0)</f>
        <v>#N/A</v>
      </c>
      <c r="DT74" s="138" t="e">
        <f>IF(VLOOKUP(CONCATENATE(H74,F74,DT$2),Inglés!$A:$H,7,FALSE)=AH74,1,0)</f>
        <v>#N/A</v>
      </c>
      <c r="DU74" s="138" t="e">
        <f>IF(VLOOKUP(CONCATENATE(H74,F74,DU$2),Inglés!$A:$H,7,FALSE)=AI74,1,0)</f>
        <v>#N/A</v>
      </c>
      <c r="DV74" s="138" t="e">
        <f>IF(VLOOKUP(CONCATENATE(H74,F74,DV$2),Inglés!$A:$H,7,FALSE)=AJ74,1,0)</f>
        <v>#N/A</v>
      </c>
      <c r="DW74" s="138" t="e">
        <f>IF(VLOOKUP(CONCATENATE(H74,F74,DW$2),Inglés!$A:$H,7,FALSE)=AK74,1,0)</f>
        <v>#N/A</v>
      </c>
      <c r="DX74" s="138" t="e">
        <f>IF(VLOOKUP(CONCATENATE(H74,F74,DX$2),Inglés!$A:$H,7,FALSE)=AL74,1,0)</f>
        <v>#N/A</v>
      </c>
      <c r="DY74" s="138" t="e">
        <f>IF(VLOOKUP(CONCATENATE(H74,F74,DY$2),Inglés!$A:$H,7,FALSE)=AM74,1,0)</f>
        <v>#N/A</v>
      </c>
      <c r="DZ74" s="138" t="e">
        <f>IF(VLOOKUP(CONCATENATE(H74,F74,DZ$2),Inglés!$A:$H,7,FALSE)=AN74,1,0)</f>
        <v>#N/A</v>
      </c>
      <c r="EA74" s="138" t="e">
        <f>IF(VLOOKUP(CONCATENATE(H74,F74,EA$2),Inglés!$A:$H,7,FALSE)=AO74,1,0)</f>
        <v>#N/A</v>
      </c>
      <c r="EB74" s="138" t="e">
        <f>IF(VLOOKUP(CONCATENATE(H74,F74,EB$2),Matemáticas!$A:$H,7,FALSE)=AP74,1,0)</f>
        <v>#N/A</v>
      </c>
      <c r="EC74" s="138" t="e">
        <f>IF(VLOOKUP(CONCATENATE(H74,F74,EC$2),Matemáticas!$A:$H,7,FALSE)=AQ74,1,0)</f>
        <v>#N/A</v>
      </c>
      <c r="ED74" s="138" t="e">
        <f>IF(VLOOKUP(CONCATENATE(H74,F74,ED$2),Matemáticas!$A:$H,7,FALSE)=AR74,1,0)</f>
        <v>#N/A</v>
      </c>
      <c r="EE74" s="138" t="e">
        <f>IF(VLOOKUP(CONCATENATE(H74,F74,EE$2),Matemáticas!$A:$H,7,FALSE)=AS74,1,0)</f>
        <v>#N/A</v>
      </c>
      <c r="EF74" s="138" t="e">
        <f>IF(VLOOKUP(CONCATENATE(H74,F74,EF$2),Matemáticas!$A:$H,7,FALSE)=AT74,1,0)</f>
        <v>#N/A</v>
      </c>
      <c r="EG74" s="138" t="e">
        <f>IF(VLOOKUP(CONCATENATE(H74,F74,EG$2),Matemáticas!$A:$H,7,FALSE)=AU74,1,0)</f>
        <v>#N/A</v>
      </c>
      <c r="EH74" s="138" t="e">
        <f>IF(VLOOKUP(CONCATENATE(H74,F74,EH$2),Matemáticas!$A:$H,7,FALSE)=AV74,1,0)</f>
        <v>#N/A</v>
      </c>
      <c r="EI74" s="138" t="e">
        <f>IF(VLOOKUP(CONCATENATE(H74,F74,EI$2),Matemáticas!$A:$H,7,FALSE)=AW74,1,0)</f>
        <v>#N/A</v>
      </c>
      <c r="EJ74" s="138" t="e">
        <f>IF(VLOOKUP(CONCATENATE(H74,F74,EJ$2),Matemáticas!$A:$H,7,FALSE)=AX74,1,0)</f>
        <v>#N/A</v>
      </c>
      <c r="EK74" s="138" t="e">
        <f>IF(VLOOKUP(CONCATENATE(H74,F74,EK$2),Matemáticas!$A:$H,7,FALSE)=AY74,1,0)</f>
        <v>#N/A</v>
      </c>
      <c r="EL74" s="138" t="e">
        <f>IF(VLOOKUP(CONCATENATE(H74,F74,EL$2),Matemáticas!$A:$H,7,FALSE)=AZ74,1,0)</f>
        <v>#N/A</v>
      </c>
      <c r="EM74" s="138" t="e">
        <f>IF(VLOOKUP(CONCATENATE(H74,F74,EM$2),Matemáticas!$A:$H,7,FALSE)=BA74,1,0)</f>
        <v>#N/A</v>
      </c>
      <c r="EN74" s="138" t="e">
        <f>IF(VLOOKUP(CONCATENATE(H74,F74,EN$2),Matemáticas!$A:$H,7,FALSE)=BB74,1,0)</f>
        <v>#N/A</v>
      </c>
      <c r="EO74" s="138" t="e">
        <f>IF(VLOOKUP(CONCATENATE(H74,F74,EO$2),Matemáticas!$A:$H,7,FALSE)=BC74,1,0)</f>
        <v>#N/A</v>
      </c>
      <c r="EP74" s="138" t="e">
        <f>IF(VLOOKUP(CONCATENATE(H74,F74,EP$2),Matemáticas!$A:$H,7,FALSE)=BD74,1,0)</f>
        <v>#N/A</v>
      </c>
      <c r="EQ74" s="138" t="e">
        <f>IF(VLOOKUP(CONCATENATE(H74,F74,EQ$2),Matemáticas!$A:$H,7,FALSE)=BE74,1,0)</f>
        <v>#N/A</v>
      </c>
      <c r="ER74" s="138" t="e">
        <f>IF(VLOOKUP(CONCATENATE(H74,F74,ER$2),Matemáticas!$A:$H,7,FALSE)=BF74,1,0)</f>
        <v>#N/A</v>
      </c>
      <c r="ES74" s="138" t="e">
        <f>IF(VLOOKUP(CONCATENATE(H74,F74,ES$2),Matemáticas!$A:$H,7,FALSE)=BG74,1,0)</f>
        <v>#N/A</v>
      </c>
      <c r="ET74" s="138" t="e">
        <f>IF(VLOOKUP(CONCATENATE(H74,F74,ET$2),Matemáticas!$A:$H,7,FALSE)=BH74,1,0)</f>
        <v>#N/A</v>
      </c>
      <c r="EU74" s="138" t="e">
        <f>IF(VLOOKUP(CONCATENATE(H74,F74,EU$2),Matemáticas!$A:$H,7,FALSE)=BI74,1,0)</f>
        <v>#N/A</v>
      </c>
      <c r="EV74" s="138" t="e">
        <f>IF(VLOOKUP(CONCATENATE(H74,F74,EV$2),Ciencias!$A:$H,7,FALSE)=BJ74,1,0)</f>
        <v>#N/A</v>
      </c>
      <c r="EW74" s="138" t="e">
        <f>IF(VLOOKUP(CONCATENATE(H74,F74,EW$2),Ciencias!$A:$H,7,FALSE)=BK74,1,0)</f>
        <v>#N/A</v>
      </c>
      <c r="EX74" s="138" t="e">
        <f>IF(VLOOKUP(CONCATENATE(H74,F74,EX$2),Ciencias!$A:$H,7,FALSE)=BL74,1,0)</f>
        <v>#N/A</v>
      </c>
      <c r="EY74" s="138" t="e">
        <f>IF(VLOOKUP(CONCATENATE(H74,F74,EY$2),Ciencias!$A:$H,7,FALSE)=BM74,1,0)</f>
        <v>#N/A</v>
      </c>
      <c r="EZ74" s="138" t="e">
        <f>IF(VLOOKUP(CONCATENATE(H74,F74,EZ$2),Ciencias!$A:$H,7,FALSE)=BN74,1,0)</f>
        <v>#N/A</v>
      </c>
      <c r="FA74" s="138" t="e">
        <f>IF(VLOOKUP(CONCATENATE(H74,F74,FA$2),Ciencias!$A:$H,7,FALSE)=BO74,1,0)</f>
        <v>#N/A</v>
      </c>
      <c r="FB74" s="138" t="e">
        <f>IF(VLOOKUP(CONCATENATE(H74,F74,FB$2),Ciencias!$A:$H,7,FALSE)=BP74,1,0)</f>
        <v>#N/A</v>
      </c>
      <c r="FC74" s="138" t="e">
        <f>IF(VLOOKUP(CONCATENATE(H74,F74,FC$2),Ciencias!$A:$H,7,FALSE)=BQ74,1,0)</f>
        <v>#N/A</v>
      </c>
      <c r="FD74" s="138" t="e">
        <f>IF(VLOOKUP(CONCATENATE(H74,F74,FD$2),Ciencias!$A:$H,7,FALSE)=BR74,1,0)</f>
        <v>#N/A</v>
      </c>
      <c r="FE74" s="138" t="e">
        <f>IF(VLOOKUP(CONCATENATE(H74,F74,FE$2),Ciencias!$A:$H,7,FALSE)=BS74,1,0)</f>
        <v>#N/A</v>
      </c>
      <c r="FF74" s="138" t="e">
        <f>IF(VLOOKUP(CONCATENATE(H74,F74,FF$2),Ciencias!$A:$H,7,FALSE)=BT74,1,0)</f>
        <v>#N/A</v>
      </c>
      <c r="FG74" s="138" t="e">
        <f>IF(VLOOKUP(CONCATENATE(H74,F74,FG$2),Ciencias!$A:$H,7,FALSE)=BU74,1,0)</f>
        <v>#N/A</v>
      </c>
      <c r="FH74" s="138" t="e">
        <f>IF(VLOOKUP(CONCATENATE(H74,F74,FH$2),Ciencias!$A:$H,7,FALSE)=BV74,1,0)</f>
        <v>#N/A</v>
      </c>
      <c r="FI74" s="138" t="e">
        <f>IF(VLOOKUP(CONCATENATE(H74,F74,FI$2),Ciencias!$A:$H,7,FALSE)=BW74,1,0)</f>
        <v>#N/A</v>
      </c>
      <c r="FJ74" s="138" t="e">
        <f>IF(VLOOKUP(CONCATENATE(H74,F74,FJ$2),Ciencias!$A:$H,7,FALSE)=BX74,1,0)</f>
        <v>#N/A</v>
      </c>
      <c r="FK74" s="138" t="e">
        <f>IF(VLOOKUP(CONCATENATE(H74,F74,FK$2),Ciencias!$A:$H,7,FALSE)=BY74,1,0)</f>
        <v>#N/A</v>
      </c>
      <c r="FL74" s="138" t="e">
        <f>IF(VLOOKUP(CONCATENATE(H74,F74,FL$2),Ciencias!$A:$H,7,FALSE)=BZ74,1,0)</f>
        <v>#N/A</v>
      </c>
      <c r="FM74" s="138" t="e">
        <f>IF(VLOOKUP(CONCATENATE(H74,F74,FM$2),Ciencias!$A:$H,7,FALSE)=CA74,1,0)</f>
        <v>#N/A</v>
      </c>
      <c r="FN74" s="138" t="e">
        <f>IF(VLOOKUP(CONCATENATE(H74,F74,FN$2),Ciencias!$A:$H,7,FALSE)=CB74,1,0)</f>
        <v>#N/A</v>
      </c>
      <c r="FO74" s="138" t="e">
        <f>IF(VLOOKUP(CONCATENATE(H74,F74,FO$2),Ciencias!$A:$H,7,FALSE)=CC74,1,0)</f>
        <v>#N/A</v>
      </c>
      <c r="FP74" s="138" t="e">
        <f>IF(VLOOKUP(CONCATENATE(H74,F74,FP$2),GeoHis!$A:$H,7,FALSE)=CD74,1,0)</f>
        <v>#N/A</v>
      </c>
      <c r="FQ74" s="138" t="e">
        <f>IF(VLOOKUP(CONCATENATE(H74,F74,FQ$2),GeoHis!$A:$H,7,FALSE)=CE74,1,0)</f>
        <v>#N/A</v>
      </c>
      <c r="FR74" s="138" t="e">
        <f>IF(VLOOKUP(CONCATENATE(H74,F74,FR$2),GeoHis!$A:$H,7,FALSE)=CF74,1,0)</f>
        <v>#N/A</v>
      </c>
      <c r="FS74" s="138" t="e">
        <f>IF(VLOOKUP(CONCATENATE(H74,F74,FS$2),GeoHis!$A:$H,7,FALSE)=CG74,1,0)</f>
        <v>#N/A</v>
      </c>
      <c r="FT74" s="138" t="e">
        <f>IF(VLOOKUP(CONCATENATE(H74,F74,FT$2),GeoHis!$A:$H,7,FALSE)=CH74,1,0)</f>
        <v>#N/A</v>
      </c>
      <c r="FU74" s="138" t="e">
        <f>IF(VLOOKUP(CONCATENATE(H74,F74,FU$2),GeoHis!$A:$H,7,FALSE)=CI74,1,0)</f>
        <v>#N/A</v>
      </c>
      <c r="FV74" s="138" t="e">
        <f>IF(VLOOKUP(CONCATENATE(H74,F74,FV$2),GeoHis!$A:$H,7,FALSE)=CJ74,1,0)</f>
        <v>#N/A</v>
      </c>
      <c r="FW74" s="138" t="e">
        <f>IF(VLOOKUP(CONCATENATE(H74,F74,FW$2),GeoHis!$A:$H,7,FALSE)=CK74,1,0)</f>
        <v>#N/A</v>
      </c>
      <c r="FX74" s="138" t="e">
        <f>IF(VLOOKUP(CONCATENATE(H74,F74,FX$2),GeoHis!$A:$H,7,FALSE)=CL74,1,0)</f>
        <v>#N/A</v>
      </c>
      <c r="FY74" s="138" t="e">
        <f>IF(VLOOKUP(CONCATENATE(H74,F74,FY$2),GeoHis!$A:$H,7,FALSE)=CM74,1,0)</f>
        <v>#N/A</v>
      </c>
      <c r="FZ74" s="138" t="e">
        <f>IF(VLOOKUP(CONCATENATE(H74,F74,FZ$2),GeoHis!$A:$H,7,FALSE)=CN74,1,0)</f>
        <v>#N/A</v>
      </c>
      <c r="GA74" s="138" t="e">
        <f>IF(VLOOKUP(CONCATENATE(H74,F74,GA$2),GeoHis!$A:$H,7,FALSE)=CO74,1,0)</f>
        <v>#N/A</v>
      </c>
      <c r="GB74" s="138" t="e">
        <f>IF(VLOOKUP(CONCATENATE(H74,F74,GB$2),GeoHis!$A:$H,7,FALSE)=CP74,1,0)</f>
        <v>#N/A</v>
      </c>
      <c r="GC74" s="138" t="e">
        <f>IF(VLOOKUP(CONCATENATE(H74,F74,GC$2),GeoHis!$A:$H,7,FALSE)=CQ74,1,0)</f>
        <v>#N/A</v>
      </c>
      <c r="GD74" s="138" t="e">
        <f>IF(VLOOKUP(CONCATENATE(H74,F74,GD$2),GeoHis!$A:$H,7,FALSE)=CR74,1,0)</f>
        <v>#N/A</v>
      </c>
      <c r="GE74" s="135" t="str">
        <f t="shared" si="15"/>
        <v/>
      </c>
    </row>
    <row r="75" spans="1:187" x14ac:dyDescent="0.25">
      <c r="A75" s="127" t="str">
        <f>IF(C75="","",'Datos Generales'!$A$25)</f>
        <v/>
      </c>
      <c r="D75" s="126" t="str">
        <f t="shared" si="8"/>
        <v/>
      </c>
      <c r="E75" s="126">
        <f t="shared" si="9"/>
        <v>0</v>
      </c>
      <c r="F75" s="126" t="str">
        <f t="shared" si="10"/>
        <v/>
      </c>
      <c r="G75" s="126" t="str">
        <f>IF(C75="","",'Datos Generales'!$D$19)</f>
        <v/>
      </c>
      <c r="H75" s="21" t="str">
        <f>IF(C75="","",'Datos Generales'!$A$19)</f>
        <v/>
      </c>
      <c r="I75" s="126" t="str">
        <f>IF(C75="","",'Datos Generales'!$A$7)</f>
        <v/>
      </c>
      <c r="J75" s="21" t="str">
        <f>IF(C75="","",'Datos Generales'!$A$13)</f>
        <v/>
      </c>
      <c r="K75" s="21" t="str">
        <f>IF(C75="","",'Datos Generales'!$A$10)</f>
        <v/>
      </c>
      <c r="CS75" s="142" t="str">
        <f t="shared" si="11"/>
        <v/>
      </c>
      <c r="CT75" s="142" t="str">
        <f t="shared" si="12"/>
        <v/>
      </c>
      <c r="CU75" s="142" t="str">
        <f t="shared" si="13"/>
        <v/>
      </c>
      <c r="CV75" s="142" t="str">
        <f t="shared" si="14"/>
        <v/>
      </c>
      <c r="CW75" s="142" t="str">
        <f>IF(C75="","",IF('Datos Generales'!$A$19=1,AVERAGE(FP75:GD75),AVERAGE(Captura!FP75:FY75)))</f>
        <v/>
      </c>
      <c r="CX75" s="138" t="e">
        <f>IF(VLOOKUP(CONCATENATE($H$4,$F$4,CX$2),Español!$A:$H,7,FALSE)=L75,1,0)</f>
        <v>#N/A</v>
      </c>
      <c r="CY75" s="138" t="e">
        <f>IF(VLOOKUP(CONCATENATE(H75,F75,CY$2),Español!$A:$H,7,FALSE)=M75,1,0)</f>
        <v>#N/A</v>
      </c>
      <c r="CZ75" s="138" t="e">
        <f>IF(VLOOKUP(CONCATENATE(H75,F75,CZ$2),Español!$A:$H,7,FALSE)=N75,1,0)</f>
        <v>#N/A</v>
      </c>
      <c r="DA75" s="138" t="e">
        <f>IF(VLOOKUP(CONCATENATE(H75,F75,DA$2),Español!$A:$H,7,FALSE)=O75,1,0)</f>
        <v>#N/A</v>
      </c>
      <c r="DB75" s="138" t="e">
        <f>IF(VLOOKUP(CONCATENATE(H75,F75,DB$2),Español!$A:$H,7,FALSE)=P75,1,0)</f>
        <v>#N/A</v>
      </c>
      <c r="DC75" s="138" t="e">
        <f>IF(VLOOKUP(CONCATENATE(H75,F75,DC$2),Español!$A:$H,7,FALSE)=Q75,1,0)</f>
        <v>#N/A</v>
      </c>
      <c r="DD75" s="138" t="e">
        <f>IF(VLOOKUP(CONCATENATE(H75,F75,DD$2),Español!$A:$H,7,FALSE)=R75,1,0)</f>
        <v>#N/A</v>
      </c>
      <c r="DE75" s="138" t="e">
        <f>IF(VLOOKUP(CONCATENATE(H75,F75,DE$2),Español!$A:$H,7,FALSE)=S75,1,0)</f>
        <v>#N/A</v>
      </c>
      <c r="DF75" s="138" t="e">
        <f>IF(VLOOKUP(CONCATENATE(H75,F75,DF$2),Español!$A:$H,7,FALSE)=T75,1,0)</f>
        <v>#N/A</v>
      </c>
      <c r="DG75" s="138" t="e">
        <f>IF(VLOOKUP(CONCATENATE(H75,F75,DG$2),Español!$A:$H,7,FALSE)=U75,1,0)</f>
        <v>#N/A</v>
      </c>
      <c r="DH75" s="138" t="e">
        <f>IF(VLOOKUP(CONCATENATE(H75,F75,DH$2),Español!$A:$H,7,FALSE)=V75,1,0)</f>
        <v>#N/A</v>
      </c>
      <c r="DI75" s="138" t="e">
        <f>IF(VLOOKUP(CONCATENATE(H75,F75,DI$2),Español!$A:$H,7,FALSE)=W75,1,0)</f>
        <v>#N/A</v>
      </c>
      <c r="DJ75" s="138" t="e">
        <f>IF(VLOOKUP(CONCATENATE(H75,F75,DJ$2),Español!$A:$H,7,FALSE)=X75,1,0)</f>
        <v>#N/A</v>
      </c>
      <c r="DK75" s="138" t="e">
        <f>IF(VLOOKUP(CONCATENATE(H75,F75,DK$2),Español!$A:$H,7,FALSE)=Y75,1,0)</f>
        <v>#N/A</v>
      </c>
      <c r="DL75" s="138" t="e">
        <f>IF(VLOOKUP(CONCATENATE(H75,F75,DL$2),Español!$A:$H,7,FALSE)=Z75,1,0)</f>
        <v>#N/A</v>
      </c>
      <c r="DM75" s="138" t="e">
        <f>IF(VLOOKUP(CONCATENATE(H75,F75,DM$2),Español!$A:$H,7,FALSE)=AA75,1,0)</f>
        <v>#N/A</v>
      </c>
      <c r="DN75" s="138" t="e">
        <f>IF(VLOOKUP(CONCATENATE(H75,F75,DN$2),Español!$A:$H,7,FALSE)=AB75,1,0)</f>
        <v>#N/A</v>
      </c>
      <c r="DO75" s="138" t="e">
        <f>IF(VLOOKUP(CONCATENATE(H75,F75,DO$2),Español!$A:$H,7,FALSE)=AC75,1,0)</f>
        <v>#N/A</v>
      </c>
      <c r="DP75" s="138" t="e">
        <f>IF(VLOOKUP(CONCATENATE(H75,F75,DP$2),Español!$A:$H,7,FALSE)=AD75,1,0)</f>
        <v>#N/A</v>
      </c>
      <c r="DQ75" s="138" t="e">
        <f>IF(VLOOKUP(CONCATENATE(H75,F75,DQ$2),Español!$A:$H,7,FALSE)=AE75,1,0)</f>
        <v>#N/A</v>
      </c>
      <c r="DR75" s="138" t="e">
        <f>IF(VLOOKUP(CONCATENATE(H75,F75,DR$2),Inglés!$A:$H,7,FALSE)=AF75,1,0)</f>
        <v>#N/A</v>
      </c>
      <c r="DS75" s="138" t="e">
        <f>IF(VLOOKUP(CONCATENATE(H75,F75,DS$2),Inglés!$A:$H,7,FALSE)=AG75,1,0)</f>
        <v>#N/A</v>
      </c>
      <c r="DT75" s="138" t="e">
        <f>IF(VLOOKUP(CONCATENATE(H75,F75,DT$2),Inglés!$A:$H,7,FALSE)=AH75,1,0)</f>
        <v>#N/A</v>
      </c>
      <c r="DU75" s="138" t="e">
        <f>IF(VLOOKUP(CONCATENATE(H75,F75,DU$2),Inglés!$A:$H,7,FALSE)=AI75,1,0)</f>
        <v>#N/A</v>
      </c>
      <c r="DV75" s="138" t="e">
        <f>IF(VLOOKUP(CONCATENATE(H75,F75,DV$2),Inglés!$A:$H,7,FALSE)=AJ75,1,0)</f>
        <v>#N/A</v>
      </c>
      <c r="DW75" s="138" t="e">
        <f>IF(VLOOKUP(CONCATENATE(H75,F75,DW$2),Inglés!$A:$H,7,FALSE)=AK75,1,0)</f>
        <v>#N/A</v>
      </c>
      <c r="DX75" s="138" t="e">
        <f>IF(VLOOKUP(CONCATENATE(H75,F75,DX$2),Inglés!$A:$H,7,FALSE)=AL75,1,0)</f>
        <v>#N/A</v>
      </c>
      <c r="DY75" s="138" t="e">
        <f>IF(VLOOKUP(CONCATENATE(H75,F75,DY$2),Inglés!$A:$H,7,FALSE)=AM75,1,0)</f>
        <v>#N/A</v>
      </c>
      <c r="DZ75" s="138" t="e">
        <f>IF(VLOOKUP(CONCATENATE(H75,F75,DZ$2),Inglés!$A:$H,7,FALSE)=AN75,1,0)</f>
        <v>#N/A</v>
      </c>
      <c r="EA75" s="138" t="e">
        <f>IF(VLOOKUP(CONCATENATE(H75,F75,EA$2),Inglés!$A:$H,7,FALSE)=AO75,1,0)</f>
        <v>#N/A</v>
      </c>
      <c r="EB75" s="138" t="e">
        <f>IF(VLOOKUP(CONCATENATE(H75,F75,EB$2),Matemáticas!$A:$H,7,FALSE)=AP75,1,0)</f>
        <v>#N/A</v>
      </c>
      <c r="EC75" s="138" t="e">
        <f>IF(VLOOKUP(CONCATENATE(H75,F75,EC$2),Matemáticas!$A:$H,7,FALSE)=AQ75,1,0)</f>
        <v>#N/A</v>
      </c>
      <c r="ED75" s="138" t="e">
        <f>IF(VLOOKUP(CONCATENATE(H75,F75,ED$2),Matemáticas!$A:$H,7,FALSE)=AR75,1,0)</f>
        <v>#N/A</v>
      </c>
      <c r="EE75" s="138" t="e">
        <f>IF(VLOOKUP(CONCATENATE(H75,F75,EE$2),Matemáticas!$A:$H,7,FALSE)=AS75,1,0)</f>
        <v>#N/A</v>
      </c>
      <c r="EF75" s="138" t="e">
        <f>IF(VLOOKUP(CONCATENATE(H75,F75,EF$2),Matemáticas!$A:$H,7,FALSE)=AT75,1,0)</f>
        <v>#N/A</v>
      </c>
      <c r="EG75" s="138" t="e">
        <f>IF(VLOOKUP(CONCATENATE(H75,F75,EG$2),Matemáticas!$A:$H,7,FALSE)=AU75,1,0)</f>
        <v>#N/A</v>
      </c>
      <c r="EH75" s="138" t="e">
        <f>IF(VLOOKUP(CONCATENATE(H75,F75,EH$2),Matemáticas!$A:$H,7,FALSE)=AV75,1,0)</f>
        <v>#N/A</v>
      </c>
      <c r="EI75" s="138" t="e">
        <f>IF(VLOOKUP(CONCATENATE(H75,F75,EI$2),Matemáticas!$A:$H,7,FALSE)=AW75,1,0)</f>
        <v>#N/A</v>
      </c>
      <c r="EJ75" s="138" t="e">
        <f>IF(VLOOKUP(CONCATENATE(H75,F75,EJ$2),Matemáticas!$A:$H,7,FALSE)=AX75,1,0)</f>
        <v>#N/A</v>
      </c>
      <c r="EK75" s="138" t="e">
        <f>IF(VLOOKUP(CONCATENATE(H75,F75,EK$2),Matemáticas!$A:$H,7,FALSE)=AY75,1,0)</f>
        <v>#N/A</v>
      </c>
      <c r="EL75" s="138" t="e">
        <f>IF(VLOOKUP(CONCATENATE(H75,F75,EL$2),Matemáticas!$A:$H,7,FALSE)=AZ75,1,0)</f>
        <v>#N/A</v>
      </c>
      <c r="EM75" s="138" t="e">
        <f>IF(VLOOKUP(CONCATENATE(H75,F75,EM$2),Matemáticas!$A:$H,7,FALSE)=BA75,1,0)</f>
        <v>#N/A</v>
      </c>
      <c r="EN75" s="138" t="e">
        <f>IF(VLOOKUP(CONCATENATE(H75,F75,EN$2),Matemáticas!$A:$H,7,FALSE)=BB75,1,0)</f>
        <v>#N/A</v>
      </c>
      <c r="EO75" s="138" t="e">
        <f>IF(VLOOKUP(CONCATENATE(H75,F75,EO$2),Matemáticas!$A:$H,7,FALSE)=BC75,1,0)</f>
        <v>#N/A</v>
      </c>
      <c r="EP75" s="138" t="e">
        <f>IF(VLOOKUP(CONCATENATE(H75,F75,EP$2),Matemáticas!$A:$H,7,FALSE)=BD75,1,0)</f>
        <v>#N/A</v>
      </c>
      <c r="EQ75" s="138" t="e">
        <f>IF(VLOOKUP(CONCATENATE(H75,F75,EQ$2),Matemáticas!$A:$H,7,FALSE)=BE75,1,0)</f>
        <v>#N/A</v>
      </c>
      <c r="ER75" s="138" t="e">
        <f>IF(VLOOKUP(CONCATENATE(H75,F75,ER$2),Matemáticas!$A:$H,7,FALSE)=BF75,1,0)</f>
        <v>#N/A</v>
      </c>
      <c r="ES75" s="138" t="e">
        <f>IF(VLOOKUP(CONCATENATE(H75,F75,ES$2),Matemáticas!$A:$H,7,FALSE)=BG75,1,0)</f>
        <v>#N/A</v>
      </c>
      <c r="ET75" s="138" t="e">
        <f>IF(VLOOKUP(CONCATENATE(H75,F75,ET$2),Matemáticas!$A:$H,7,FALSE)=BH75,1,0)</f>
        <v>#N/A</v>
      </c>
      <c r="EU75" s="138" t="e">
        <f>IF(VLOOKUP(CONCATENATE(H75,F75,EU$2),Matemáticas!$A:$H,7,FALSE)=BI75,1,0)</f>
        <v>#N/A</v>
      </c>
      <c r="EV75" s="138" t="e">
        <f>IF(VLOOKUP(CONCATENATE(H75,F75,EV$2),Ciencias!$A:$H,7,FALSE)=BJ75,1,0)</f>
        <v>#N/A</v>
      </c>
      <c r="EW75" s="138" t="e">
        <f>IF(VLOOKUP(CONCATENATE(H75,F75,EW$2),Ciencias!$A:$H,7,FALSE)=BK75,1,0)</f>
        <v>#N/A</v>
      </c>
      <c r="EX75" s="138" t="e">
        <f>IF(VLOOKUP(CONCATENATE(H75,F75,EX$2),Ciencias!$A:$H,7,FALSE)=BL75,1,0)</f>
        <v>#N/A</v>
      </c>
      <c r="EY75" s="138" t="e">
        <f>IF(VLOOKUP(CONCATENATE(H75,F75,EY$2),Ciencias!$A:$H,7,FALSE)=BM75,1,0)</f>
        <v>#N/A</v>
      </c>
      <c r="EZ75" s="138" t="e">
        <f>IF(VLOOKUP(CONCATENATE(H75,F75,EZ$2),Ciencias!$A:$H,7,FALSE)=BN75,1,0)</f>
        <v>#N/A</v>
      </c>
      <c r="FA75" s="138" t="e">
        <f>IF(VLOOKUP(CONCATENATE(H75,F75,FA$2),Ciencias!$A:$H,7,FALSE)=BO75,1,0)</f>
        <v>#N/A</v>
      </c>
      <c r="FB75" s="138" t="e">
        <f>IF(VLOOKUP(CONCATENATE(H75,F75,FB$2),Ciencias!$A:$H,7,FALSE)=BP75,1,0)</f>
        <v>#N/A</v>
      </c>
      <c r="FC75" s="138" t="e">
        <f>IF(VLOOKUP(CONCATENATE(H75,F75,FC$2),Ciencias!$A:$H,7,FALSE)=BQ75,1,0)</f>
        <v>#N/A</v>
      </c>
      <c r="FD75" s="138" t="e">
        <f>IF(VLOOKUP(CONCATENATE(H75,F75,FD$2),Ciencias!$A:$H,7,FALSE)=BR75,1,0)</f>
        <v>#N/A</v>
      </c>
      <c r="FE75" s="138" t="e">
        <f>IF(VLOOKUP(CONCATENATE(H75,F75,FE$2),Ciencias!$A:$H,7,FALSE)=BS75,1,0)</f>
        <v>#N/A</v>
      </c>
      <c r="FF75" s="138" t="e">
        <f>IF(VLOOKUP(CONCATENATE(H75,F75,FF$2),Ciencias!$A:$H,7,FALSE)=BT75,1,0)</f>
        <v>#N/A</v>
      </c>
      <c r="FG75" s="138" t="e">
        <f>IF(VLOOKUP(CONCATENATE(H75,F75,FG$2),Ciencias!$A:$H,7,FALSE)=BU75,1,0)</f>
        <v>#N/A</v>
      </c>
      <c r="FH75" s="138" t="e">
        <f>IF(VLOOKUP(CONCATENATE(H75,F75,FH$2),Ciencias!$A:$H,7,FALSE)=BV75,1,0)</f>
        <v>#N/A</v>
      </c>
      <c r="FI75" s="138" t="e">
        <f>IF(VLOOKUP(CONCATENATE(H75,F75,FI$2),Ciencias!$A:$H,7,FALSE)=BW75,1,0)</f>
        <v>#N/A</v>
      </c>
      <c r="FJ75" s="138" t="e">
        <f>IF(VLOOKUP(CONCATENATE(H75,F75,FJ$2),Ciencias!$A:$H,7,FALSE)=BX75,1,0)</f>
        <v>#N/A</v>
      </c>
      <c r="FK75" s="138" t="e">
        <f>IF(VLOOKUP(CONCATENATE(H75,F75,FK$2),Ciencias!$A:$H,7,FALSE)=BY75,1,0)</f>
        <v>#N/A</v>
      </c>
      <c r="FL75" s="138" t="e">
        <f>IF(VLOOKUP(CONCATENATE(H75,F75,FL$2),Ciencias!$A:$H,7,FALSE)=BZ75,1,0)</f>
        <v>#N/A</v>
      </c>
      <c r="FM75" s="138" t="e">
        <f>IF(VLOOKUP(CONCATENATE(H75,F75,FM$2),Ciencias!$A:$H,7,FALSE)=CA75,1,0)</f>
        <v>#N/A</v>
      </c>
      <c r="FN75" s="138" t="e">
        <f>IF(VLOOKUP(CONCATENATE(H75,F75,FN$2),Ciencias!$A:$H,7,FALSE)=CB75,1,0)</f>
        <v>#N/A</v>
      </c>
      <c r="FO75" s="138" t="e">
        <f>IF(VLOOKUP(CONCATENATE(H75,F75,FO$2),Ciencias!$A:$H,7,FALSE)=CC75,1,0)</f>
        <v>#N/A</v>
      </c>
      <c r="FP75" s="138" t="e">
        <f>IF(VLOOKUP(CONCATENATE(H75,F75,FP$2),GeoHis!$A:$H,7,FALSE)=CD75,1,0)</f>
        <v>#N/A</v>
      </c>
      <c r="FQ75" s="138" t="e">
        <f>IF(VLOOKUP(CONCATENATE(H75,F75,FQ$2),GeoHis!$A:$H,7,FALSE)=CE75,1,0)</f>
        <v>#N/A</v>
      </c>
      <c r="FR75" s="138" t="e">
        <f>IF(VLOOKUP(CONCATENATE(H75,F75,FR$2),GeoHis!$A:$H,7,FALSE)=CF75,1,0)</f>
        <v>#N/A</v>
      </c>
      <c r="FS75" s="138" t="e">
        <f>IF(VLOOKUP(CONCATENATE(H75,F75,FS$2),GeoHis!$A:$H,7,FALSE)=CG75,1,0)</f>
        <v>#N/A</v>
      </c>
      <c r="FT75" s="138" t="e">
        <f>IF(VLOOKUP(CONCATENATE(H75,F75,FT$2),GeoHis!$A:$H,7,FALSE)=CH75,1,0)</f>
        <v>#N/A</v>
      </c>
      <c r="FU75" s="138" t="e">
        <f>IF(VLOOKUP(CONCATENATE(H75,F75,FU$2),GeoHis!$A:$H,7,FALSE)=CI75,1,0)</f>
        <v>#N/A</v>
      </c>
      <c r="FV75" s="138" t="e">
        <f>IF(VLOOKUP(CONCATENATE(H75,F75,FV$2),GeoHis!$A:$H,7,FALSE)=CJ75,1,0)</f>
        <v>#N/A</v>
      </c>
      <c r="FW75" s="138" t="e">
        <f>IF(VLOOKUP(CONCATENATE(H75,F75,FW$2),GeoHis!$A:$H,7,FALSE)=CK75,1,0)</f>
        <v>#N/A</v>
      </c>
      <c r="FX75" s="138" t="e">
        <f>IF(VLOOKUP(CONCATENATE(H75,F75,FX$2),GeoHis!$A:$H,7,FALSE)=CL75,1,0)</f>
        <v>#N/A</v>
      </c>
      <c r="FY75" s="138" t="e">
        <f>IF(VLOOKUP(CONCATENATE(H75,F75,FY$2),GeoHis!$A:$H,7,FALSE)=CM75,1,0)</f>
        <v>#N/A</v>
      </c>
      <c r="FZ75" s="138" t="e">
        <f>IF(VLOOKUP(CONCATENATE(H75,F75,FZ$2),GeoHis!$A:$H,7,FALSE)=CN75,1,0)</f>
        <v>#N/A</v>
      </c>
      <c r="GA75" s="138" t="e">
        <f>IF(VLOOKUP(CONCATENATE(H75,F75,GA$2),GeoHis!$A:$H,7,FALSE)=CO75,1,0)</f>
        <v>#N/A</v>
      </c>
      <c r="GB75" s="138" t="e">
        <f>IF(VLOOKUP(CONCATENATE(H75,F75,GB$2),GeoHis!$A:$H,7,FALSE)=CP75,1,0)</f>
        <v>#N/A</v>
      </c>
      <c r="GC75" s="138" t="e">
        <f>IF(VLOOKUP(CONCATENATE(H75,F75,GC$2),GeoHis!$A:$H,7,FALSE)=CQ75,1,0)</f>
        <v>#N/A</v>
      </c>
      <c r="GD75" s="138" t="e">
        <f>IF(VLOOKUP(CONCATENATE(H75,F75,GD$2),GeoHis!$A:$H,7,FALSE)=CR75,1,0)</f>
        <v>#N/A</v>
      </c>
      <c r="GE75" s="135" t="str">
        <f t="shared" si="15"/>
        <v/>
      </c>
    </row>
    <row r="76" spans="1:187" x14ac:dyDescent="0.25">
      <c r="A76" s="127" t="str">
        <f>IF(C76="","",'Datos Generales'!$A$25)</f>
        <v/>
      </c>
      <c r="D76" s="126" t="str">
        <f t="shared" si="8"/>
        <v/>
      </c>
      <c r="E76" s="126">
        <f t="shared" si="9"/>
        <v>0</v>
      </c>
      <c r="F76" s="126" t="str">
        <f t="shared" si="10"/>
        <v/>
      </c>
      <c r="G76" s="126" t="str">
        <f>IF(C76="","",'Datos Generales'!$D$19)</f>
        <v/>
      </c>
      <c r="H76" s="21" t="str">
        <f>IF(C76="","",'Datos Generales'!$A$19)</f>
        <v/>
      </c>
      <c r="I76" s="126" t="str">
        <f>IF(C76="","",'Datos Generales'!$A$7)</f>
        <v/>
      </c>
      <c r="J76" s="21" t="str">
        <f>IF(C76="","",'Datos Generales'!$A$13)</f>
        <v/>
      </c>
      <c r="K76" s="21" t="str">
        <f>IF(C76="","",'Datos Generales'!$A$10)</f>
        <v/>
      </c>
      <c r="CS76" s="142" t="str">
        <f t="shared" si="11"/>
        <v/>
      </c>
      <c r="CT76" s="142" t="str">
        <f t="shared" si="12"/>
        <v/>
      </c>
      <c r="CU76" s="142" t="str">
        <f t="shared" si="13"/>
        <v/>
      </c>
      <c r="CV76" s="142" t="str">
        <f t="shared" si="14"/>
        <v/>
      </c>
      <c r="CW76" s="142" t="str">
        <f>IF(C76="","",IF('Datos Generales'!$A$19=1,AVERAGE(FP76:GD76),AVERAGE(Captura!FP76:FY76)))</f>
        <v/>
      </c>
      <c r="CX76" s="138" t="e">
        <f>IF(VLOOKUP(CONCATENATE($H$4,$F$4,CX$2),Español!$A:$H,7,FALSE)=L76,1,0)</f>
        <v>#N/A</v>
      </c>
      <c r="CY76" s="138" t="e">
        <f>IF(VLOOKUP(CONCATENATE(H76,F76,CY$2),Español!$A:$H,7,FALSE)=M76,1,0)</f>
        <v>#N/A</v>
      </c>
      <c r="CZ76" s="138" t="e">
        <f>IF(VLOOKUP(CONCATENATE(H76,F76,CZ$2),Español!$A:$H,7,FALSE)=N76,1,0)</f>
        <v>#N/A</v>
      </c>
      <c r="DA76" s="138" t="e">
        <f>IF(VLOOKUP(CONCATENATE(H76,F76,DA$2),Español!$A:$H,7,FALSE)=O76,1,0)</f>
        <v>#N/A</v>
      </c>
      <c r="DB76" s="138" t="e">
        <f>IF(VLOOKUP(CONCATENATE(H76,F76,DB$2),Español!$A:$H,7,FALSE)=P76,1,0)</f>
        <v>#N/A</v>
      </c>
      <c r="DC76" s="138" t="e">
        <f>IF(VLOOKUP(CONCATENATE(H76,F76,DC$2),Español!$A:$H,7,FALSE)=Q76,1,0)</f>
        <v>#N/A</v>
      </c>
      <c r="DD76" s="138" t="e">
        <f>IF(VLOOKUP(CONCATENATE(H76,F76,DD$2),Español!$A:$H,7,FALSE)=R76,1,0)</f>
        <v>#N/A</v>
      </c>
      <c r="DE76" s="138" t="e">
        <f>IF(VLOOKUP(CONCATENATE(H76,F76,DE$2),Español!$A:$H,7,FALSE)=S76,1,0)</f>
        <v>#N/A</v>
      </c>
      <c r="DF76" s="138" t="e">
        <f>IF(VLOOKUP(CONCATENATE(H76,F76,DF$2),Español!$A:$H,7,FALSE)=T76,1,0)</f>
        <v>#N/A</v>
      </c>
      <c r="DG76" s="138" t="e">
        <f>IF(VLOOKUP(CONCATENATE(H76,F76,DG$2),Español!$A:$H,7,FALSE)=U76,1,0)</f>
        <v>#N/A</v>
      </c>
      <c r="DH76" s="138" t="e">
        <f>IF(VLOOKUP(CONCATENATE(H76,F76,DH$2),Español!$A:$H,7,FALSE)=V76,1,0)</f>
        <v>#N/A</v>
      </c>
      <c r="DI76" s="138" t="e">
        <f>IF(VLOOKUP(CONCATENATE(H76,F76,DI$2),Español!$A:$H,7,FALSE)=W76,1,0)</f>
        <v>#N/A</v>
      </c>
      <c r="DJ76" s="138" t="e">
        <f>IF(VLOOKUP(CONCATENATE(H76,F76,DJ$2),Español!$A:$H,7,FALSE)=X76,1,0)</f>
        <v>#N/A</v>
      </c>
      <c r="DK76" s="138" t="e">
        <f>IF(VLOOKUP(CONCATENATE(H76,F76,DK$2),Español!$A:$H,7,FALSE)=Y76,1,0)</f>
        <v>#N/A</v>
      </c>
      <c r="DL76" s="138" t="e">
        <f>IF(VLOOKUP(CONCATENATE(H76,F76,DL$2),Español!$A:$H,7,FALSE)=Z76,1,0)</f>
        <v>#N/A</v>
      </c>
      <c r="DM76" s="138" t="e">
        <f>IF(VLOOKUP(CONCATENATE(H76,F76,DM$2),Español!$A:$H,7,FALSE)=AA76,1,0)</f>
        <v>#N/A</v>
      </c>
      <c r="DN76" s="138" t="e">
        <f>IF(VLOOKUP(CONCATENATE(H76,F76,DN$2),Español!$A:$H,7,FALSE)=AB76,1,0)</f>
        <v>#N/A</v>
      </c>
      <c r="DO76" s="138" t="e">
        <f>IF(VLOOKUP(CONCATENATE(H76,F76,DO$2),Español!$A:$H,7,FALSE)=AC76,1,0)</f>
        <v>#N/A</v>
      </c>
      <c r="DP76" s="138" t="e">
        <f>IF(VLOOKUP(CONCATENATE(H76,F76,DP$2),Español!$A:$H,7,FALSE)=AD76,1,0)</f>
        <v>#N/A</v>
      </c>
      <c r="DQ76" s="138" t="e">
        <f>IF(VLOOKUP(CONCATENATE(H76,F76,DQ$2),Español!$A:$H,7,FALSE)=AE76,1,0)</f>
        <v>#N/A</v>
      </c>
      <c r="DR76" s="138" t="e">
        <f>IF(VLOOKUP(CONCATENATE(H76,F76,DR$2),Inglés!$A:$H,7,FALSE)=AF76,1,0)</f>
        <v>#N/A</v>
      </c>
      <c r="DS76" s="138" t="e">
        <f>IF(VLOOKUP(CONCATENATE(H76,F76,DS$2),Inglés!$A:$H,7,FALSE)=AG76,1,0)</f>
        <v>#N/A</v>
      </c>
      <c r="DT76" s="138" t="e">
        <f>IF(VLOOKUP(CONCATENATE(H76,F76,DT$2),Inglés!$A:$H,7,FALSE)=AH76,1,0)</f>
        <v>#N/A</v>
      </c>
      <c r="DU76" s="138" t="e">
        <f>IF(VLOOKUP(CONCATENATE(H76,F76,DU$2),Inglés!$A:$H,7,FALSE)=AI76,1,0)</f>
        <v>#N/A</v>
      </c>
      <c r="DV76" s="138" t="e">
        <f>IF(VLOOKUP(CONCATENATE(H76,F76,DV$2),Inglés!$A:$H,7,FALSE)=AJ76,1,0)</f>
        <v>#N/A</v>
      </c>
      <c r="DW76" s="138" t="e">
        <f>IF(VLOOKUP(CONCATENATE(H76,F76,DW$2),Inglés!$A:$H,7,FALSE)=AK76,1,0)</f>
        <v>#N/A</v>
      </c>
      <c r="DX76" s="138" t="e">
        <f>IF(VLOOKUP(CONCATENATE(H76,F76,DX$2),Inglés!$A:$H,7,FALSE)=AL76,1,0)</f>
        <v>#N/A</v>
      </c>
      <c r="DY76" s="138" t="e">
        <f>IF(VLOOKUP(CONCATENATE(H76,F76,DY$2),Inglés!$A:$H,7,FALSE)=AM76,1,0)</f>
        <v>#N/A</v>
      </c>
      <c r="DZ76" s="138" t="e">
        <f>IF(VLOOKUP(CONCATENATE(H76,F76,DZ$2),Inglés!$A:$H,7,FALSE)=AN76,1,0)</f>
        <v>#N/A</v>
      </c>
      <c r="EA76" s="138" t="e">
        <f>IF(VLOOKUP(CONCATENATE(H76,F76,EA$2),Inglés!$A:$H,7,FALSE)=AO76,1,0)</f>
        <v>#N/A</v>
      </c>
      <c r="EB76" s="138" t="e">
        <f>IF(VLOOKUP(CONCATENATE(H76,F76,EB$2),Matemáticas!$A:$H,7,FALSE)=AP76,1,0)</f>
        <v>#N/A</v>
      </c>
      <c r="EC76" s="138" t="e">
        <f>IF(VLOOKUP(CONCATENATE(H76,F76,EC$2),Matemáticas!$A:$H,7,FALSE)=AQ76,1,0)</f>
        <v>#N/A</v>
      </c>
      <c r="ED76" s="138" t="e">
        <f>IF(VLOOKUP(CONCATENATE(H76,F76,ED$2),Matemáticas!$A:$H,7,FALSE)=AR76,1,0)</f>
        <v>#N/A</v>
      </c>
      <c r="EE76" s="138" t="e">
        <f>IF(VLOOKUP(CONCATENATE(H76,F76,EE$2),Matemáticas!$A:$H,7,FALSE)=AS76,1,0)</f>
        <v>#N/A</v>
      </c>
      <c r="EF76" s="138" t="e">
        <f>IF(VLOOKUP(CONCATENATE(H76,F76,EF$2),Matemáticas!$A:$H,7,FALSE)=AT76,1,0)</f>
        <v>#N/A</v>
      </c>
      <c r="EG76" s="138" t="e">
        <f>IF(VLOOKUP(CONCATENATE(H76,F76,EG$2),Matemáticas!$A:$H,7,FALSE)=AU76,1,0)</f>
        <v>#N/A</v>
      </c>
      <c r="EH76" s="138" t="e">
        <f>IF(VLOOKUP(CONCATENATE(H76,F76,EH$2),Matemáticas!$A:$H,7,FALSE)=AV76,1,0)</f>
        <v>#N/A</v>
      </c>
      <c r="EI76" s="138" t="e">
        <f>IF(VLOOKUP(CONCATENATE(H76,F76,EI$2),Matemáticas!$A:$H,7,FALSE)=AW76,1,0)</f>
        <v>#N/A</v>
      </c>
      <c r="EJ76" s="138" t="e">
        <f>IF(VLOOKUP(CONCATENATE(H76,F76,EJ$2),Matemáticas!$A:$H,7,FALSE)=AX76,1,0)</f>
        <v>#N/A</v>
      </c>
      <c r="EK76" s="138" t="e">
        <f>IF(VLOOKUP(CONCATENATE(H76,F76,EK$2),Matemáticas!$A:$H,7,FALSE)=AY76,1,0)</f>
        <v>#N/A</v>
      </c>
      <c r="EL76" s="138" t="e">
        <f>IF(VLOOKUP(CONCATENATE(H76,F76,EL$2),Matemáticas!$A:$H,7,FALSE)=AZ76,1,0)</f>
        <v>#N/A</v>
      </c>
      <c r="EM76" s="138" t="e">
        <f>IF(VLOOKUP(CONCATENATE(H76,F76,EM$2),Matemáticas!$A:$H,7,FALSE)=BA76,1,0)</f>
        <v>#N/A</v>
      </c>
      <c r="EN76" s="138" t="e">
        <f>IF(VLOOKUP(CONCATENATE(H76,F76,EN$2),Matemáticas!$A:$H,7,FALSE)=BB76,1,0)</f>
        <v>#N/A</v>
      </c>
      <c r="EO76" s="138" t="e">
        <f>IF(VLOOKUP(CONCATENATE(H76,F76,EO$2),Matemáticas!$A:$H,7,FALSE)=BC76,1,0)</f>
        <v>#N/A</v>
      </c>
      <c r="EP76" s="138" t="e">
        <f>IF(VLOOKUP(CONCATENATE(H76,F76,EP$2),Matemáticas!$A:$H,7,FALSE)=BD76,1,0)</f>
        <v>#N/A</v>
      </c>
      <c r="EQ76" s="138" t="e">
        <f>IF(VLOOKUP(CONCATENATE(H76,F76,EQ$2),Matemáticas!$A:$H,7,FALSE)=BE76,1,0)</f>
        <v>#N/A</v>
      </c>
      <c r="ER76" s="138" t="e">
        <f>IF(VLOOKUP(CONCATENATE(H76,F76,ER$2),Matemáticas!$A:$H,7,FALSE)=BF76,1,0)</f>
        <v>#N/A</v>
      </c>
      <c r="ES76" s="138" t="e">
        <f>IF(VLOOKUP(CONCATENATE(H76,F76,ES$2),Matemáticas!$A:$H,7,FALSE)=BG76,1,0)</f>
        <v>#N/A</v>
      </c>
      <c r="ET76" s="138" t="e">
        <f>IF(VLOOKUP(CONCATENATE(H76,F76,ET$2),Matemáticas!$A:$H,7,FALSE)=BH76,1,0)</f>
        <v>#N/A</v>
      </c>
      <c r="EU76" s="138" t="e">
        <f>IF(VLOOKUP(CONCATENATE(H76,F76,EU$2),Matemáticas!$A:$H,7,FALSE)=BI76,1,0)</f>
        <v>#N/A</v>
      </c>
      <c r="EV76" s="138" t="e">
        <f>IF(VLOOKUP(CONCATENATE(H76,F76,EV$2),Ciencias!$A:$H,7,FALSE)=BJ76,1,0)</f>
        <v>#N/A</v>
      </c>
      <c r="EW76" s="138" t="e">
        <f>IF(VLOOKUP(CONCATENATE(H76,F76,EW$2),Ciencias!$A:$H,7,FALSE)=BK76,1,0)</f>
        <v>#N/A</v>
      </c>
      <c r="EX76" s="138" t="e">
        <f>IF(VLOOKUP(CONCATENATE(H76,F76,EX$2),Ciencias!$A:$H,7,FALSE)=BL76,1,0)</f>
        <v>#N/A</v>
      </c>
      <c r="EY76" s="138" t="e">
        <f>IF(VLOOKUP(CONCATENATE(H76,F76,EY$2),Ciencias!$A:$H,7,FALSE)=BM76,1,0)</f>
        <v>#N/A</v>
      </c>
      <c r="EZ76" s="138" t="e">
        <f>IF(VLOOKUP(CONCATENATE(H76,F76,EZ$2),Ciencias!$A:$H,7,FALSE)=BN76,1,0)</f>
        <v>#N/A</v>
      </c>
      <c r="FA76" s="138" t="e">
        <f>IF(VLOOKUP(CONCATENATE(H76,F76,FA$2),Ciencias!$A:$H,7,FALSE)=BO76,1,0)</f>
        <v>#N/A</v>
      </c>
      <c r="FB76" s="138" t="e">
        <f>IF(VLOOKUP(CONCATENATE(H76,F76,FB$2),Ciencias!$A:$H,7,FALSE)=BP76,1,0)</f>
        <v>#N/A</v>
      </c>
      <c r="FC76" s="138" t="e">
        <f>IF(VLOOKUP(CONCATENATE(H76,F76,FC$2),Ciencias!$A:$H,7,FALSE)=BQ76,1,0)</f>
        <v>#N/A</v>
      </c>
      <c r="FD76" s="138" t="e">
        <f>IF(VLOOKUP(CONCATENATE(H76,F76,FD$2),Ciencias!$A:$H,7,FALSE)=BR76,1,0)</f>
        <v>#N/A</v>
      </c>
      <c r="FE76" s="138" t="e">
        <f>IF(VLOOKUP(CONCATENATE(H76,F76,FE$2),Ciencias!$A:$H,7,FALSE)=BS76,1,0)</f>
        <v>#N/A</v>
      </c>
      <c r="FF76" s="138" t="e">
        <f>IF(VLOOKUP(CONCATENATE(H76,F76,FF$2),Ciencias!$A:$H,7,FALSE)=BT76,1,0)</f>
        <v>#N/A</v>
      </c>
      <c r="FG76" s="138" t="e">
        <f>IF(VLOOKUP(CONCATENATE(H76,F76,FG$2),Ciencias!$A:$H,7,FALSE)=BU76,1,0)</f>
        <v>#N/A</v>
      </c>
      <c r="FH76" s="138" t="e">
        <f>IF(VLOOKUP(CONCATENATE(H76,F76,FH$2),Ciencias!$A:$H,7,FALSE)=BV76,1,0)</f>
        <v>#N/A</v>
      </c>
      <c r="FI76" s="138" t="e">
        <f>IF(VLOOKUP(CONCATENATE(H76,F76,FI$2),Ciencias!$A:$H,7,FALSE)=BW76,1,0)</f>
        <v>#N/A</v>
      </c>
      <c r="FJ76" s="138" t="e">
        <f>IF(VLOOKUP(CONCATENATE(H76,F76,FJ$2),Ciencias!$A:$H,7,FALSE)=BX76,1,0)</f>
        <v>#N/A</v>
      </c>
      <c r="FK76" s="138" t="e">
        <f>IF(VLOOKUP(CONCATENATE(H76,F76,FK$2),Ciencias!$A:$H,7,FALSE)=BY76,1,0)</f>
        <v>#N/A</v>
      </c>
      <c r="FL76" s="138" t="e">
        <f>IF(VLOOKUP(CONCATENATE(H76,F76,FL$2),Ciencias!$A:$H,7,FALSE)=BZ76,1,0)</f>
        <v>#N/A</v>
      </c>
      <c r="FM76" s="138" t="e">
        <f>IF(VLOOKUP(CONCATENATE(H76,F76,FM$2),Ciencias!$A:$H,7,FALSE)=CA76,1,0)</f>
        <v>#N/A</v>
      </c>
      <c r="FN76" s="138" t="e">
        <f>IF(VLOOKUP(CONCATENATE(H76,F76,FN$2),Ciencias!$A:$H,7,FALSE)=CB76,1,0)</f>
        <v>#N/A</v>
      </c>
      <c r="FO76" s="138" t="e">
        <f>IF(VLOOKUP(CONCATENATE(H76,F76,FO$2),Ciencias!$A:$H,7,FALSE)=CC76,1,0)</f>
        <v>#N/A</v>
      </c>
      <c r="FP76" s="138" t="e">
        <f>IF(VLOOKUP(CONCATENATE(H76,F76,FP$2),GeoHis!$A:$H,7,FALSE)=CD76,1,0)</f>
        <v>#N/A</v>
      </c>
      <c r="FQ76" s="138" t="e">
        <f>IF(VLOOKUP(CONCATENATE(H76,F76,FQ$2),GeoHis!$A:$H,7,FALSE)=CE76,1,0)</f>
        <v>#N/A</v>
      </c>
      <c r="FR76" s="138" t="e">
        <f>IF(VLOOKUP(CONCATENATE(H76,F76,FR$2),GeoHis!$A:$H,7,FALSE)=CF76,1,0)</f>
        <v>#N/A</v>
      </c>
      <c r="FS76" s="138" t="e">
        <f>IF(VLOOKUP(CONCATENATE(H76,F76,FS$2),GeoHis!$A:$H,7,FALSE)=CG76,1,0)</f>
        <v>#N/A</v>
      </c>
      <c r="FT76" s="138" t="e">
        <f>IF(VLOOKUP(CONCATENATE(H76,F76,FT$2),GeoHis!$A:$H,7,FALSE)=CH76,1,0)</f>
        <v>#N/A</v>
      </c>
      <c r="FU76" s="138" t="e">
        <f>IF(VLOOKUP(CONCATENATE(H76,F76,FU$2),GeoHis!$A:$H,7,FALSE)=CI76,1,0)</f>
        <v>#N/A</v>
      </c>
      <c r="FV76" s="138" t="e">
        <f>IF(VLOOKUP(CONCATENATE(H76,F76,FV$2),GeoHis!$A:$H,7,FALSE)=CJ76,1,0)</f>
        <v>#N/A</v>
      </c>
      <c r="FW76" s="138" t="e">
        <f>IF(VLOOKUP(CONCATENATE(H76,F76,FW$2),GeoHis!$A:$H,7,FALSE)=CK76,1,0)</f>
        <v>#N/A</v>
      </c>
      <c r="FX76" s="138" t="e">
        <f>IF(VLOOKUP(CONCATENATE(H76,F76,FX$2),GeoHis!$A:$H,7,FALSE)=CL76,1,0)</f>
        <v>#N/A</v>
      </c>
      <c r="FY76" s="138" t="e">
        <f>IF(VLOOKUP(CONCATENATE(H76,F76,FY$2),GeoHis!$A:$H,7,FALSE)=CM76,1,0)</f>
        <v>#N/A</v>
      </c>
      <c r="FZ76" s="138" t="e">
        <f>IF(VLOOKUP(CONCATENATE(H76,F76,FZ$2),GeoHis!$A:$H,7,FALSE)=CN76,1,0)</f>
        <v>#N/A</v>
      </c>
      <c r="GA76" s="138" t="e">
        <f>IF(VLOOKUP(CONCATENATE(H76,F76,GA$2),GeoHis!$A:$H,7,FALSE)=CO76,1,0)</f>
        <v>#N/A</v>
      </c>
      <c r="GB76" s="138" t="e">
        <f>IF(VLOOKUP(CONCATENATE(H76,F76,GB$2),GeoHis!$A:$H,7,FALSE)=CP76,1,0)</f>
        <v>#N/A</v>
      </c>
      <c r="GC76" s="138" t="e">
        <f>IF(VLOOKUP(CONCATENATE(H76,F76,GC$2),GeoHis!$A:$H,7,FALSE)=CQ76,1,0)</f>
        <v>#N/A</v>
      </c>
      <c r="GD76" s="138" t="e">
        <f>IF(VLOOKUP(CONCATENATE(H76,F76,GD$2),GeoHis!$A:$H,7,FALSE)=CR76,1,0)</f>
        <v>#N/A</v>
      </c>
      <c r="GE76" s="135" t="str">
        <f t="shared" si="15"/>
        <v/>
      </c>
    </row>
    <row r="77" spans="1:187" x14ac:dyDescent="0.25">
      <c r="A77" s="127" t="str">
        <f>IF(C77="","",'Datos Generales'!$A$25)</f>
        <v/>
      </c>
      <c r="D77" s="126" t="str">
        <f t="shared" si="8"/>
        <v/>
      </c>
      <c r="E77" s="126">
        <f t="shared" si="9"/>
        <v>0</v>
      </c>
      <c r="F77" s="126" t="str">
        <f t="shared" si="10"/>
        <v/>
      </c>
      <c r="G77" s="126" t="str">
        <f>IF(C77="","",'Datos Generales'!$D$19)</f>
        <v/>
      </c>
      <c r="H77" s="21" t="str">
        <f>IF(C77="","",'Datos Generales'!$A$19)</f>
        <v/>
      </c>
      <c r="I77" s="126" t="str">
        <f>IF(C77="","",'Datos Generales'!$A$7)</f>
        <v/>
      </c>
      <c r="J77" s="21" t="str">
        <f>IF(C77="","",'Datos Generales'!$A$13)</f>
        <v/>
      </c>
      <c r="K77" s="21" t="str">
        <f>IF(C77="","",'Datos Generales'!$A$10)</f>
        <v/>
      </c>
      <c r="CS77" s="142" t="str">
        <f t="shared" si="11"/>
        <v/>
      </c>
      <c r="CT77" s="142" t="str">
        <f t="shared" si="12"/>
        <v/>
      </c>
      <c r="CU77" s="142" t="str">
        <f t="shared" si="13"/>
        <v/>
      </c>
      <c r="CV77" s="142" t="str">
        <f t="shared" si="14"/>
        <v/>
      </c>
      <c r="CW77" s="142" t="str">
        <f>IF(C77="","",IF('Datos Generales'!$A$19=1,AVERAGE(FP77:GD77),AVERAGE(Captura!FP77:FY77)))</f>
        <v/>
      </c>
      <c r="CX77" s="138" t="e">
        <f>IF(VLOOKUP(CONCATENATE($H$4,$F$4,CX$2),Español!$A:$H,7,FALSE)=L77,1,0)</f>
        <v>#N/A</v>
      </c>
      <c r="CY77" s="138" t="e">
        <f>IF(VLOOKUP(CONCATENATE(H77,F77,CY$2),Español!$A:$H,7,FALSE)=M77,1,0)</f>
        <v>#N/A</v>
      </c>
      <c r="CZ77" s="138" t="e">
        <f>IF(VLOOKUP(CONCATENATE(H77,F77,CZ$2),Español!$A:$H,7,FALSE)=N77,1,0)</f>
        <v>#N/A</v>
      </c>
      <c r="DA77" s="138" t="e">
        <f>IF(VLOOKUP(CONCATENATE(H77,F77,DA$2),Español!$A:$H,7,FALSE)=O77,1,0)</f>
        <v>#N/A</v>
      </c>
      <c r="DB77" s="138" t="e">
        <f>IF(VLOOKUP(CONCATENATE(H77,F77,DB$2),Español!$A:$H,7,FALSE)=P77,1,0)</f>
        <v>#N/A</v>
      </c>
      <c r="DC77" s="138" t="e">
        <f>IF(VLOOKUP(CONCATENATE(H77,F77,DC$2),Español!$A:$H,7,FALSE)=Q77,1,0)</f>
        <v>#N/A</v>
      </c>
      <c r="DD77" s="138" t="e">
        <f>IF(VLOOKUP(CONCATENATE(H77,F77,DD$2),Español!$A:$H,7,FALSE)=R77,1,0)</f>
        <v>#N/A</v>
      </c>
      <c r="DE77" s="138" t="e">
        <f>IF(VLOOKUP(CONCATENATE(H77,F77,DE$2),Español!$A:$H,7,FALSE)=S77,1,0)</f>
        <v>#N/A</v>
      </c>
      <c r="DF77" s="138" t="e">
        <f>IF(VLOOKUP(CONCATENATE(H77,F77,DF$2),Español!$A:$H,7,FALSE)=T77,1,0)</f>
        <v>#N/A</v>
      </c>
      <c r="DG77" s="138" t="e">
        <f>IF(VLOOKUP(CONCATENATE(H77,F77,DG$2),Español!$A:$H,7,FALSE)=U77,1,0)</f>
        <v>#N/A</v>
      </c>
      <c r="DH77" s="138" t="e">
        <f>IF(VLOOKUP(CONCATENATE(H77,F77,DH$2),Español!$A:$H,7,FALSE)=V77,1,0)</f>
        <v>#N/A</v>
      </c>
      <c r="DI77" s="138" t="e">
        <f>IF(VLOOKUP(CONCATENATE(H77,F77,DI$2),Español!$A:$H,7,FALSE)=W77,1,0)</f>
        <v>#N/A</v>
      </c>
      <c r="DJ77" s="138" t="e">
        <f>IF(VLOOKUP(CONCATENATE(H77,F77,DJ$2),Español!$A:$H,7,FALSE)=X77,1,0)</f>
        <v>#N/A</v>
      </c>
      <c r="DK77" s="138" t="e">
        <f>IF(VLOOKUP(CONCATENATE(H77,F77,DK$2),Español!$A:$H,7,FALSE)=Y77,1,0)</f>
        <v>#N/A</v>
      </c>
      <c r="DL77" s="138" t="e">
        <f>IF(VLOOKUP(CONCATENATE(H77,F77,DL$2),Español!$A:$H,7,FALSE)=Z77,1,0)</f>
        <v>#N/A</v>
      </c>
      <c r="DM77" s="138" t="e">
        <f>IF(VLOOKUP(CONCATENATE(H77,F77,DM$2),Español!$A:$H,7,FALSE)=AA77,1,0)</f>
        <v>#N/A</v>
      </c>
      <c r="DN77" s="138" t="e">
        <f>IF(VLOOKUP(CONCATENATE(H77,F77,DN$2),Español!$A:$H,7,FALSE)=AB77,1,0)</f>
        <v>#N/A</v>
      </c>
      <c r="DO77" s="138" t="e">
        <f>IF(VLOOKUP(CONCATENATE(H77,F77,DO$2),Español!$A:$H,7,FALSE)=AC77,1,0)</f>
        <v>#N/A</v>
      </c>
      <c r="DP77" s="138" t="e">
        <f>IF(VLOOKUP(CONCATENATE(H77,F77,DP$2),Español!$A:$H,7,FALSE)=AD77,1,0)</f>
        <v>#N/A</v>
      </c>
      <c r="DQ77" s="138" t="e">
        <f>IF(VLOOKUP(CONCATENATE(H77,F77,DQ$2),Español!$A:$H,7,FALSE)=AE77,1,0)</f>
        <v>#N/A</v>
      </c>
      <c r="DR77" s="138" t="e">
        <f>IF(VLOOKUP(CONCATENATE(H77,F77,DR$2),Inglés!$A:$H,7,FALSE)=AF77,1,0)</f>
        <v>#N/A</v>
      </c>
      <c r="DS77" s="138" t="e">
        <f>IF(VLOOKUP(CONCATENATE(H77,F77,DS$2),Inglés!$A:$H,7,FALSE)=AG77,1,0)</f>
        <v>#N/A</v>
      </c>
      <c r="DT77" s="138" t="e">
        <f>IF(VLOOKUP(CONCATENATE(H77,F77,DT$2),Inglés!$A:$H,7,FALSE)=AH77,1,0)</f>
        <v>#N/A</v>
      </c>
      <c r="DU77" s="138" t="e">
        <f>IF(VLOOKUP(CONCATENATE(H77,F77,DU$2),Inglés!$A:$H,7,FALSE)=AI77,1,0)</f>
        <v>#N/A</v>
      </c>
      <c r="DV77" s="138" t="e">
        <f>IF(VLOOKUP(CONCATENATE(H77,F77,DV$2),Inglés!$A:$H,7,FALSE)=AJ77,1,0)</f>
        <v>#N/A</v>
      </c>
      <c r="DW77" s="138" t="e">
        <f>IF(VLOOKUP(CONCATENATE(H77,F77,DW$2),Inglés!$A:$H,7,FALSE)=AK77,1,0)</f>
        <v>#N/A</v>
      </c>
      <c r="DX77" s="138" t="e">
        <f>IF(VLOOKUP(CONCATENATE(H77,F77,DX$2),Inglés!$A:$H,7,FALSE)=AL77,1,0)</f>
        <v>#N/A</v>
      </c>
      <c r="DY77" s="138" t="e">
        <f>IF(VLOOKUP(CONCATENATE(H77,F77,DY$2),Inglés!$A:$H,7,FALSE)=AM77,1,0)</f>
        <v>#N/A</v>
      </c>
      <c r="DZ77" s="138" t="e">
        <f>IF(VLOOKUP(CONCATENATE(H77,F77,DZ$2),Inglés!$A:$H,7,FALSE)=AN77,1,0)</f>
        <v>#N/A</v>
      </c>
      <c r="EA77" s="138" t="e">
        <f>IF(VLOOKUP(CONCATENATE(H77,F77,EA$2),Inglés!$A:$H,7,FALSE)=AO77,1,0)</f>
        <v>#N/A</v>
      </c>
      <c r="EB77" s="138" t="e">
        <f>IF(VLOOKUP(CONCATENATE(H77,F77,EB$2),Matemáticas!$A:$H,7,FALSE)=AP77,1,0)</f>
        <v>#N/A</v>
      </c>
      <c r="EC77" s="138" t="e">
        <f>IF(VLOOKUP(CONCATENATE(H77,F77,EC$2),Matemáticas!$A:$H,7,FALSE)=AQ77,1,0)</f>
        <v>#N/A</v>
      </c>
      <c r="ED77" s="138" t="e">
        <f>IF(VLOOKUP(CONCATENATE(H77,F77,ED$2),Matemáticas!$A:$H,7,FALSE)=AR77,1,0)</f>
        <v>#N/A</v>
      </c>
      <c r="EE77" s="138" t="e">
        <f>IF(VLOOKUP(CONCATENATE(H77,F77,EE$2),Matemáticas!$A:$H,7,FALSE)=AS77,1,0)</f>
        <v>#N/A</v>
      </c>
      <c r="EF77" s="138" t="e">
        <f>IF(VLOOKUP(CONCATENATE(H77,F77,EF$2),Matemáticas!$A:$H,7,FALSE)=AT77,1,0)</f>
        <v>#N/A</v>
      </c>
      <c r="EG77" s="138" t="e">
        <f>IF(VLOOKUP(CONCATENATE(H77,F77,EG$2),Matemáticas!$A:$H,7,FALSE)=AU77,1,0)</f>
        <v>#N/A</v>
      </c>
      <c r="EH77" s="138" t="e">
        <f>IF(VLOOKUP(CONCATENATE(H77,F77,EH$2),Matemáticas!$A:$H,7,FALSE)=AV77,1,0)</f>
        <v>#N/A</v>
      </c>
      <c r="EI77" s="138" t="e">
        <f>IF(VLOOKUP(CONCATENATE(H77,F77,EI$2),Matemáticas!$A:$H,7,FALSE)=AW77,1,0)</f>
        <v>#N/A</v>
      </c>
      <c r="EJ77" s="138" t="e">
        <f>IF(VLOOKUP(CONCATENATE(H77,F77,EJ$2),Matemáticas!$A:$H,7,FALSE)=AX77,1,0)</f>
        <v>#N/A</v>
      </c>
      <c r="EK77" s="138" t="e">
        <f>IF(VLOOKUP(CONCATENATE(H77,F77,EK$2),Matemáticas!$A:$H,7,FALSE)=AY77,1,0)</f>
        <v>#N/A</v>
      </c>
      <c r="EL77" s="138" t="e">
        <f>IF(VLOOKUP(CONCATENATE(H77,F77,EL$2),Matemáticas!$A:$H,7,FALSE)=AZ77,1,0)</f>
        <v>#N/A</v>
      </c>
      <c r="EM77" s="138" t="e">
        <f>IF(VLOOKUP(CONCATENATE(H77,F77,EM$2),Matemáticas!$A:$H,7,FALSE)=BA77,1,0)</f>
        <v>#N/A</v>
      </c>
      <c r="EN77" s="138" t="e">
        <f>IF(VLOOKUP(CONCATENATE(H77,F77,EN$2),Matemáticas!$A:$H,7,FALSE)=BB77,1,0)</f>
        <v>#N/A</v>
      </c>
      <c r="EO77" s="138" t="e">
        <f>IF(VLOOKUP(CONCATENATE(H77,F77,EO$2),Matemáticas!$A:$H,7,FALSE)=BC77,1,0)</f>
        <v>#N/A</v>
      </c>
      <c r="EP77" s="138" t="e">
        <f>IF(VLOOKUP(CONCATENATE(H77,F77,EP$2),Matemáticas!$A:$H,7,FALSE)=BD77,1,0)</f>
        <v>#N/A</v>
      </c>
      <c r="EQ77" s="138" t="e">
        <f>IF(VLOOKUP(CONCATENATE(H77,F77,EQ$2),Matemáticas!$A:$H,7,FALSE)=BE77,1,0)</f>
        <v>#N/A</v>
      </c>
      <c r="ER77" s="138" t="e">
        <f>IF(VLOOKUP(CONCATENATE(H77,F77,ER$2),Matemáticas!$A:$H,7,FALSE)=BF77,1,0)</f>
        <v>#N/A</v>
      </c>
      <c r="ES77" s="138" t="e">
        <f>IF(VLOOKUP(CONCATENATE(H77,F77,ES$2),Matemáticas!$A:$H,7,FALSE)=BG77,1,0)</f>
        <v>#N/A</v>
      </c>
      <c r="ET77" s="138" t="e">
        <f>IF(VLOOKUP(CONCATENATE(H77,F77,ET$2),Matemáticas!$A:$H,7,FALSE)=BH77,1,0)</f>
        <v>#N/A</v>
      </c>
      <c r="EU77" s="138" t="e">
        <f>IF(VLOOKUP(CONCATENATE(H77,F77,EU$2),Matemáticas!$A:$H,7,FALSE)=BI77,1,0)</f>
        <v>#N/A</v>
      </c>
      <c r="EV77" s="138" t="e">
        <f>IF(VLOOKUP(CONCATENATE(H77,F77,EV$2),Ciencias!$A:$H,7,FALSE)=BJ77,1,0)</f>
        <v>#N/A</v>
      </c>
      <c r="EW77" s="138" t="e">
        <f>IF(VLOOKUP(CONCATENATE(H77,F77,EW$2),Ciencias!$A:$H,7,FALSE)=BK77,1,0)</f>
        <v>#N/A</v>
      </c>
      <c r="EX77" s="138" t="e">
        <f>IF(VLOOKUP(CONCATENATE(H77,F77,EX$2),Ciencias!$A:$H,7,FALSE)=BL77,1,0)</f>
        <v>#N/A</v>
      </c>
      <c r="EY77" s="138" t="e">
        <f>IF(VLOOKUP(CONCATENATE(H77,F77,EY$2),Ciencias!$A:$H,7,FALSE)=BM77,1,0)</f>
        <v>#N/A</v>
      </c>
      <c r="EZ77" s="138" t="e">
        <f>IF(VLOOKUP(CONCATENATE(H77,F77,EZ$2),Ciencias!$A:$H,7,FALSE)=BN77,1,0)</f>
        <v>#N/A</v>
      </c>
      <c r="FA77" s="138" t="e">
        <f>IF(VLOOKUP(CONCATENATE(H77,F77,FA$2),Ciencias!$A:$H,7,FALSE)=BO77,1,0)</f>
        <v>#N/A</v>
      </c>
      <c r="FB77" s="138" t="e">
        <f>IF(VLOOKUP(CONCATENATE(H77,F77,FB$2),Ciencias!$A:$H,7,FALSE)=BP77,1,0)</f>
        <v>#N/A</v>
      </c>
      <c r="FC77" s="138" t="e">
        <f>IF(VLOOKUP(CONCATENATE(H77,F77,FC$2),Ciencias!$A:$H,7,FALSE)=BQ77,1,0)</f>
        <v>#N/A</v>
      </c>
      <c r="FD77" s="138" t="e">
        <f>IF(VLOOKUP(CONCATENATE(H77,F77,FD$2),Ciencias!$A:$H,7,FALSE)=BR77,1,0)</f>
        <v>#N/A</v>
      </c>
      <c r="FE77" s="138" t="e">
        <f>IF(VLOOKUP(CONCATENATE(H77,F77,FE$2),Ciencias!$A:$H,7,FALSE)=BS77,1,0)</f>
        <v>#N/A</v>
      </c>
      <c r="FF77" s="138" t="e">
        <f>IF(VLOOKUP(CONCATENATE(H77,F77,FF$2),Ciencias!$A:$H,7,FALSE)=BT77,1,0)</f>
        <v>#N/A</v>
      </c>
      <c r="FG77" s="138" t="e">
        <f>IF(VLOOKUP(CONCATENATE(H77,F77,FG$2),Ciencias!$A:$H,7,FALSE)=BU77,1,0)</f>
        <v>#N/A</v>
      </c>
      <c r="FH77" s="138" t="e">
        <f>IF(VLOOKUP(CONCATENATE(H77,F77,FH$2),Ciencias!$A:$H,7,FALSE)=BV77,1,0)</f>
        <v>#N/A</v>
      </c>
      <c r="FI77" s="138" t="e">
        <f>IF(VLOOKUP(CONCATENATE(H77,F77,FI$2),Ciencias!$A:$H,7,FALSE)=BW77,1,0)</f>
        <v>#N/A</v>
      </c>
      <c r="FJ77" s="138" t="e">
        <f>IF(VLOOKUP(CONCATENATE(H77,F77,FJ$2),Ciencias!$A:$H,7,FALSE)=BX77,1,0)</f>
        <v>#N/A</v>
      </c>
      <c r="FK77" s="138" t="e">
        <f>IF(VLOOKUP(CONCATENATE(H77,F77,FK$2),Ciencias!$A:$H,7,FALSE)=BY77,1,0)</f>
        <v>#N/A</v>
      </c>
      <c r="FL77" s="138" t="e">
        <f>IF(VLOOKUP(CONCATENATE(H77,F77,FL$2),Ciencias!$A:$H,7,FALSE)=BZ77,1,0)</f>
        <v>#N/A</v>
      </c>
      <c r="FM77" s="138" t="e">
        <f>IF(VLOOKUP(CONCATENATE(H77,F77,FM$2),Ciencias!$A:$H,7,FALSE)=CA77,1,0)</f>
        <v>#N/A</v>
      </c>
      <c r="FN77" s="138" t="e">
        <f>IF(VLOOKUP(CONCATENATE(H77,F77,FN$2),Ciencias!$A:$H,7,FALSE)=CB77,1,0)</f>
        <v>#N/A</v>
      </c>
      <c r="FO77" s="138" t="e">
        <f>IF(VLOOKUP(CONCATENATE(H77,F77,FO$2),Ciencias!$A:$H,7,FALSE)=CC77,1,0)</f>
        <v>#N/A</v>
      </c>
      <c r="FP77" s="138" t="e">
        <f>IF(VLOOKUP(CONCATENATE(H77,F77,FP$2),GeoHis!$A:$H,7,FALSE)=CD77,1,0)</f>
        <v>#N/A</v>
      </c>
      <c r="FQ77" s="138" t="e">
        <f>IF(VLOOKUP(CONCATENATE(H77,F77,FQ$2),GeoHis!$A:$H,7,FALSE)=CE77,1,0)</f>
        <v>#N/A</v>
      </c>
      <c r="FR77" s="138" t="e">
        <f>IF(VLOOKUP(CONCATENATE(H77,F77,FR$2),GeoHis!$A:$H,7,FALSE)=CF77,1,0)</f>
        <v>#N/A</v>
      </c>
      <c r="FS77" s="138" t="e">
        <f>IF(VLOOKUP(CONCATENATE(H77,F77,FS$2),GeoHis!$A:$H,7,FALSE)=CG77,1,0)</f>
        <v>#N/A</v>
      </c>
      <c r="FT77" s="138" t="e">
        <f>IF(VLOOKUP(CONCATENATE(H77,F77,FT$2),GeoHis!$A:$H,7,FALSE)=CH77,1,0)</f>
        <v>#N/A</v>
      </c>
      <c r="FU77" s="138" t="e">
        <f>IF(VLOOKUP(CONCATENATE(H77,F77,FU$2),GeoHis!$A:$H,7,FALSE)=CI77,1,0)</f>
        <v>#N/A</v>
      </c>
      <c r="FV77" s="138" t="e">
        <f>IF(VLOOKUP(CONCATENATE(H77,F77,FV$2),GeoHis!$A:$H,7,FALSE)=CJ77,1,0)</f>
        <v>#N/A</v>
      </c>
      <c r="FW77" s="138" t="e">
        <f>IF(VLOOKUP(CONCATENATE(H77,F77,FW$2),GeoHis!$A:$H,7,FALSE)=CK77,1,0)</f>
        <v>#N/A</v>
      </c>
      <c r="FX77" s="138" t="e">
        <f>IF(VLOOKUP(CONCATENATE(H77,F77,FX$2),GeoHis!$A:$H,7,FALSE)=CL77,1,0)</f>
        <v>#N/A</v>
      </c>
      <c r="FY77" s="138" t="e">
        <f>IF(VLOOKUP(CONCATENATE(H77,F77,FY$2),GeoHis!$A:$H,7,FALSE)=CM77,1,0)</f>
        <v>#N/A</v>
      </c>
      <c r="FZ77" s="138" t="e">
        <f>IF(VLOOKUP(CONCATENATE(H77,F77,FZ$2),GeoHis!$A:$H,7,FALSE)=CN77,1,0)</f>
        <v>#N/A</v>
      </c>
      <c r="GA77" s="138" t="e">
        <f>IF(VLOOKUP(CONCATENATE(H77,F77,GA$2),GeoHis!$A:$H,7,FALSE)=CO77,1,0)</f>
        <v>#N/A</v>
      </c>
      <c r="GB77" s="138" t="e">
        <f>IF(VLOOKUP(CONCATENATE(H77,F77,GB$2),GeoHis!$A:$H,7,FALSE)=CP77,1,0)</f>
        <v>#N/A</v>
      </c>
      <c r="GC77" s="138" t="e">
        <f>IF(VLOOKUP(CONCATENATE(H77,F77,GC$2),GeoHis!$A:$H,7,FALSE)=CQ77,1,0)</f>
        <v>#N/A</v>
      </c>
      <c r="GD77" s="138" t="e">
        <f>IF(VLOOKUP(CONCATENATE(H77,F77,GD$2),GeoHis!$A:$H,7,FALSE)=CR77,1,0)</f>
        <v>#N/A</v>
      </c>
      <c r="GE77" s="135" t="str">
        <f t="shared" si="15"/>
        <v/>
      </c>
    </row>
    <row r="78" spans="1:187" x14ac:dyDescent="0.25">
      <c r="A78" s="127" t="str">
        <f>IF(C78="","",'Datos Generales'!$A$25)</f>
        <v/>
      </c>
      <c r="D78" s="126" t="str">
        <f t="shared" si="8"/>
        <v/>
      </c>
      <c r="E78" s="126">
        <f t="shared" si="9"/>
        <v>0</v>
      </c>
      <c r="F78" s="126" t="str">
        <f t="shared" si="10"/>
        <v/>
      </c>
      <c r="G78" s="126" t="str">
        <f>IF(C78="","",'Datos Generales'!$D$19)</f>
        <v/>
      </c>
      <c r="H78" s="21" t="str">
        <f>IF(C78="","",'Datos Generales'!$A$19)</f>
        <v/>
      </c>
      <c r="I78" s="126" t="str">
        <f>IF(C78="","",'Datos Generales'!$A$7)</f>
        <v/>
      </c>
      <c r="J78" s="21" t="str">
        <f>IF(C78="","",'Datos Generales'!$A$13)</f>
        <v/>
      </c>
      <c r="K78" s="21" t="str">
        <f>IF(C78="","",'Datos Generales'!$A$10)</f>
        <v/>
      </c>
      <c r="CS78" s="142" t="str">
        <f t="shared" si="11"/>
        <v/>
      </c>
      <c r="CT78" s="142" t="str">
        <f t="shared" si="12"/>
        <v/>
      </c>
      <c r="CU78" s="142" t="str">
        <f t="shared" si="13"/>
        <v/>
      </c>
      <c r="CV78" s="142" t="str">
        <f t="shared" si="14"/>
        <v/>
      </c>
      <c r="CW78" s="142" t="str">
        <f>IF(C78="","",IF('Datos Generales'!$A$19=1,AVERAGE(FP78:GD78),AVERAGE(Captura!FP78:FY78)))</f>
        <v/>
      </c>
      <c r="CX78" s="138" t="e">
        <f>IF(VLOOKUP(CONCATENATE($H$4,$F$4,CX$2),Español!$A:$H,7,FALSE)=L78,1,0)</f>
        <v>#N/A</v>
      </c>
      <c r="CY78" s="138" t="e">
        <f>IF(VLOOKUP(CONCATENATE(H78,F78,CY$2),Español!$A:$H,7,FALSE)=M78,1,0)</f>
        <v>#N/A</v>
      </c>
      <c r="CZ78" s="138" t="e">
        <f>IF(VLOOKUP(CONCATENATE(H78,F78,CZ$2),Español!$A:$H,7,FALSE)=N78,1,0)</f>
        <v>#N/A</v>
      </c>
      <c r="DA78" s="138" t="e">
        <f>IF(VLOOKUP(CONCATENATE(H78,F78,DA$2),Español!$A:$H,7,FALSE)=O78,1,0)</f>
        <v>#N/A</v>
      </c>
      <c r="DB78" s="138" t="e">
        <f>IF(VLOOKUP(CONCATENATE(H78,F78,DB$2),Español!$A:$H,7,FALSE)=P78,1,0)</f>
        <v>#N/A</v>
      </c>
      <c r="DC78" s="138" t="e">
        <f>IF(VLOOKUP(CONCATENATE(H78,F78,DC$2),Español!$A:$H,7,FALSE)=Q78,1,0)</f>
        <v>#N/A</v>
      </c>
      <c r="DD78" s="138" t="e">
        <f>IF(VLOOKUP(CONCATENATE(H78,F78,DD$2),Español!$A:$H,7,FALSE)=R78,1,0)</f>
        <v>#N/A</v>
      </c>
      <c r="DE78" s="138" t="e">
        <f>IF(VLOOKUP(CONCATENATE(H78,F78,DE$2),Español!$A:$H,7,FALSE)=S78,1,0)</f>
        <v>#N/A</v>
      </c>
      <c r="DF78" s="138" t="e">
        <f>IF(VLOOKUP(CONCATENATE(H78,F78,DF$2),Español!$A:$H,7,FALSE)=T78,1,0)</f>
        <v>#N/A</v>
      </c>
      <c r="DG78" s="138" t="e">
        <f>IF(VLOOKUP(CONCATENATE(H78,F78,DG$2),Español!$A:$H,7,FALSE)=U78,1,0)</f>
        <v>#N/A</v>
      </c>
      <c r="DH78" s="138" t="e">
        <f>IF(VLOOKUP(CONCATENATE(H78,F78,DH$2),Español!$A:$H,7,FALSE)=V78,1,0)</f>
        <v>#N/A</v>
      </c>
      <c r="DI78" s="138" t="e">
        <f>IF(VLOOKUP(CONCATENATE(H78,F78,DI$2),Español!$A:$H,7,FALSE)=W78,1,0)</f>
        <v>#N/A</v>
      </c>
      <c r="DJ78" s="138" t="e">
        <f>IF(VLOOKUP(CONCATENATE(H78,F78,DJ$2),Español!$A:$H,7,FALSE)=X78,1,0)</f>
        <v>#N/A</v>
      </c>
      <c r="DK78" s="138" t="e">
        <f>IF(VLOOKUP(CONCATENATE(H78,F78,DK$2),Español!$A:$H,7,FALSE)=Y78,1,0)</f>
        <v>#N/A</v>
      </c>
      <c r="DL78" s="138" t="e">
        <f>IF(VLOOKUP(CONCATENATE(H78,F78,DL$2),Español!$A:$H,7,FALSE)=Z78,1,0)</f>
        <v>#N/A</v>
      </c>
      <c r="DM78" s="138" t="e">
        <f>IF(VLOOKUP(CONCATENATE(H78,F78,DM$2),Español!$A:$H,7,FALSE)=AA78,1,0)</f>
        <v>#N/A</v>
      </c>
      <c r="DN78" s="138" t="e">
        <f>IF(VLOOKUP(CONCATENATE(H78,F78,DN$2),Español!$A:$H,7,FALSE)=AB78,1,0)</f>
        <v>#N/A</v>
      </c>
      <c r="DO78" s="138" t="e">
        <f>IF(VLOOKUP(CONCATENATE(H78,F78,DO$2),Español!$A:$H,7,FALSE)=AC78,1,0)</f>
        <v>#N/A</v>
      </c>
      <c r="DP78" s="138" t="e">
        <f>IF(VLOOKUP(CONCATENATE(H78,F78,DP$2),Español!$A:$H,7,FALSE)=AD78,1,0)</f>
        <v>#N/A</v>
      </c>
      <c r="DQ78" s="138" t="e">
        <f>IF(VLOOKUP(CONCATENATE(H78,F78,DQ$2),Español!$A:$H,7,FALSE)=AE78,1,0)</f>
        <v>#N/A</v>
      </c>
      <c r="DR78" s="138" t="e">
        <f>IF(VLOOKUP(CONCATENATE(H78,F78,DR$2),Inglés!$A:$H,7,FALSE)=AF78,1,0)</f>
        <v>#N/A</v>
      </c>
      <c r="DS78" s="138" t="e">
        <f>IF(VLOOKUP(CONCATENATE(H78,F78,DS$2),Inglés!$A:$H,7,FALSE)=AG78,1,0)</f>
        <v>#N/A</v>
      </c>
      <c r="DT78" s="138" t="e">
        <f>IF(VLOOKUP(CONCATENATE(H78,F78,DT$2),Inglés!$A:$H,7,FALSE)=AH78,1,0)</f>
        <v>#N/A</v>
      </c>
      <c r="DU78" s="138" t="e">
        <f>IF(VLOOKUP(CONCATENATE(H78,F78,DU$2),Inglés!$A:$H,7,FALSE)=AI78,1,0)</f>
        <v>#N/A</v>
      </c>
      <c r="DV78" s="138" t="e">
        <f>IF(VLOOKUP(CONCATENATE(H78,F78,DV$2),Inglés!$A:$H,7,FALSE)=AJ78,1,0)</f>
        <v>#N/A</v>
      </c>
      <c r="DW78" s="138" t="e">
        <f>IF(VLOOKUP(CONCATENATE(H78,F78,DW$2),Inglés!$A:$H,7,FALSE)=AK78,1,0)</f>
        <v>#N/A</v>
      </c>
      <c r="DX78" s="138" t="e">
        <f>IF(VLOOKUP(CONCATENATE(H78,F78,DX$2),Inglés!$A:$H,7,FALSE)=AL78,1,0)</f>
        <v>#N/A</v>
      </c>
      <c r="DY78" s="138" t="e">
        <f>IF(VLOOKUP(CONCATENATE(H78,F78,DY$2),Inglés!$A:$H,7,FALSE)=AM78,1,0)</f>
        <v>#N/A</v>
      </c>
      <c r="DZ78" s="138" t="e">
        <f>IF(VLOOKUP(CONCATENATE(H78,F78,DZ$2),Inglés!$A:$H,7,FALSE)=AN78,1,0)</f>
        <v>#N/A</v>
      </c>
      <c r="EA78" s="138" t="e">
        <f>IF(VLOOKUP(CONCATENATE(H78,F78,EA$2),Inglés!$A:$H,7,FALSE)=AO78,1,0)</f>
        <v>#N/A</v>
      </c>
      <c r="EB78" s="138" t="e">
        <f>IF(VLOOKUP(CONCATENATE(H78,F78,EB$2),Matemáticas!$A:$H,7,FALSE)=AP78,1,0)</f>
        <v>#N/A</v>
      </c>
      <c r="EC78" s="138" t="e">
        <f>IF(VLOOKUP(CONCATENATE(H78,F78,EC$2),Matemáticas!$A:$H,7,FALSE)=AQ78,1,0)</f>
        <v>#N/A</v>
      </c>
      <c r="ED78" s="138" t="e">
        <f>IF(VLOOKUP(CONCATENATE(H78,F78,ED$2),Matemáticas!$A:$H,7,FALSE)=AR78,1,0)</f>
        <v>#N/A</v>
      </c>
      <c r="EE78" s="138" t="e">
        <f>IF(VLOOKUP(CONCATENATE(H78,F78,EE$2),Matemáticas!$A:$H,7,FALSE)=AS78,1,0)</f>
        <v>#N/A</v>
      </c>
      <c r="EF78" s="138" t="e">
        <f>IF(VLOOKUP(CONCATENATE(H78,F78,EF$2),Matemáticas!$A:$H,7,FALSE)=AT78,1,0)</f>
        <v>#N/A</v>
      </c>
      <c r="EG78" s="138" t="e">
        <f>IF(VLOOKUP(CONCATENATE(H78,F78,EG$2),Matemáticas!$A:$H,7,FALSE)=AU78,1,0)</f>
        <v>#N/A</v>
      </c>
      <c r="EH78" s="138" t="e">
        <f>IF(VLOOKUP(CONCATENATE(H78,F78,EH$2),Matemáticas!$A:$H,7,FALSE)=AV78,1,0)</f>
        <v>#N/A</v>
      </c>
      <c r="EI78" s="138" t="e">
        <f>IF(VLOOKUP(CONCATENATE(H78,F78,EI$2),Matemáticas!$A:$H,7,FALSE)=AW78,1,0)</f>
        <v>#N/A</v>
      </c>
      <c r="EJ78" s="138" t="e">
        <f>IF(VLOOKUP(CONCATENATE(H78,F78,EJ$2),Matemáticas!$A:$H,7,FALSE)=AX78,1,0)</f>
        <v>#N/A</v>
      </c>
      <c r="EK78" s="138" t="e">
        <f>IF(VLOOKUP(CONCATENATE(H78,F78,EK$2),Matemáticas!$A:$H,7,FALSE)=AY78,1,0)</f>
        <v>#N/A</v>
      </c>
      <c r="EL78" s="138" t="e">
        <f>IF(VLOOKUP(CONCATENATE(H78,F78,EL$2),Matemáticas!$A:$H,7,FALSE)=AZ78,1,0)</f>
        <v>#N/A</v>
      </c>
      <c r="EM78" s="138" t="e">
        <f>IF(VLOOKUP(CONCATENATE(H78,F78,EM$2),Matemáticas!$A:$H,7,FALSE)=BA78,1,0)</f>
        <v>#N/A</v>
      </c>
      <c r="EN78" s="138" t="e">
        <f>IF(VLOOKUP(CONCATENATE(H78,F78,EN$2),Matemáticas!$A:$H,7,FALSE)=BB78,1,0)</f>
        <v>#N/A</v>
      </c>
      <c r="EO78" s="138" t="e">
        <f>IF(VLOOKUP(CONCATENATE(H78,F78,EO$2),Matemáticas!$A:$H,7,FALSE)=BC78,1,0)</f>
        <v>#N/A</v>
      </c>
      <c r="EP78" s="138" t="e">
        <f>IF(VLOOKUP(CONCATENATE(H78,F78,EP$2),Matemáticas!$A:$H,7,FALSE)=BD78,1,0)</f>
        <v>#N/A</v>
      </c>
      <c r="EQ78" s="138" t="e">
        <f>IF(VLOOKUP(CONCATENATE(H78,F78,EQ$2),Matemáticas!$A:$H,7,FALSE)=BE78,1,0)</f>
        <v>#N/A</v>
      </c>
      <c r="ER78" s="138" t="e">
        <f>IF(VLOOKUP(CONCATENATE(H78,F78,ER$2),Matemáticas!$A:$H,7,FALSE)=BF78,1,0)</f>
        <v>#N/A</v>
      </c>
      <c r="ES78" s="138" t="e">
        <f>IF(VLOOKUP(CONCATENATE(H78,F78,ES$2),Matemáticas!$A:$H,7,FALSE)=BG78,1,0)</f>
        <v>#N/A</v>
      </c>
      <c r="ET78" s="138" t="e">
        <f>IF(VLOOKUP(CONCATENATE(H78,F78,ET$2),Matemáticas!$A:$H,7,FALSE)=BH78,1,0)</f>
        <v>#N/A</v>
      </c>
      <c r="EU78" s="138" t="e">
        <f>IF(VLOOKUP(CONCATENATE(H78,F78,EU$2),Matemáticas!$A:$H,7,FALSE)=BI78,1,0)</f>
        <v>#N/A</v>
      </c>
      <c r="EV78" s="138" t="e">
        <f>IF(VLOOKUP(CONCATENATE(H78,F78,EV$2),Ciencias!$A:$H,7,FALSE)=BJ78,1,0)</f>
        <v>#N/A</v>
      </c>
      <c r="EW78" s="138" t="e">
        <f>IF(VLOOKUP(CONCATENATE(H78,F78,EW$2),Ciencias!$A:$H,7,FALSE)=BK78,1,0)</f>
        <v>#N/A</v>
      </c>
      <c r="EX78" s="138" t="e">
        <f>IF(VLOOKUP(CONCATENATE(H78,F78,EX$2),Ciencias!$A:$H,7,FALSE)=BL78,1,0)</f>
        <v>#N/A</v>
      </c>
      <c r="EY78" s="138" t="e">
        <f>IF(VLOOKUP(CONCATENATE(H78,F78,EY$2),Ciencias!$A:$H,7,FALSE)=BM78,1,0)</f>
        <v>#N/A</v>
      </c>
      <c r="EZ78" s="138" t="e">
        <f>IF(VLOOKUP(CONCATENATE(H78,F78,EZ$2),Ciencias!$A:$H,7,FALSE)=BN78,1,0)</f>
        <v>#N/A</v>
      </c>
      <c r="FA78" s="138" t="e">
        <f>IF(VLOOKUP(CONCATENATE(H78,F78,FA$2),Ciencias!$A:$H,7,FALSE)=BO78,1,0)</f>
        <v>#N/A</v>
      </c>
      <c r="FB78" s="138" t="e">
        <f>IF(VLOOKUP(CONCATENATE(H78,F78,FB$2),Ciencias!$A:$H,7,FALSE)=BP78,1,0)</f>
        <v>#N/A</v>
      </c>
      <c r="FC78" s="138" t="e">
        <f>IF(VLOOKUP(CONCATENATE(H78,F78,FC$2),Ciencias!$A:$H,7,FALSE)=BQ78,1,0)</f>
        <v>#N/A</v>
      </c>
      <c r="FD78" s="138" t="e">
        <f>IF(VLOOKUP(CONCATENATE(H78,F78,FD$2),Ciencias!$A:$H,7,FALSE)=BR78,1,0)</f>
        <v>#N/A</v>
      </c>
      <c r="FE78" s="138" t="e">
        <f>IF(VLOOKUP(CONCATENATE(H78,F78,FE$2),Ciencias!$A:$H,7,FALSE)=BS78,1,0)</f>
        <v>#N/A</v>
      </c>
      <c r="FF78" s="138" t="e">
        <f>IF(VLOOKUP(CONCATENATE(H78,F78,FF$2),Ciencias!$A:$H,7,FALSE)=BT78,1,0)</f>
        <v>#N/A</v>
      </c>
      <c r="FG78" s="138" t="e">
        <f>IF(VLOOKUP(CONCATENATE(H78,F78,FG$2),Ciencias!$A:$H,7,FALSE)=BU78,1,0)</f>
        <v>#N/A</v>
      </c>
      <c r="FH78" s="138" t="e">
        <f>IF(VLOOKUP(CONCATENATE(H78,F78,FH$2),Ciencias!$A:$H,7,FALSE)=BV78,1,0)</f>
        <v>#N/A</v>
      </c>
      <c r="FI78" s="138" t="e">
        <f>IF(VLOOKUP(CONCATENATE(H78,F78,FI$2),Ciencias!$A:$H,7,FALSE)=BW78,1,0)</f>
        <v>#N/A</v>
      </c>
      <c r="FJ78" s="138" t="e">
        <f>IF(VLOOKUP(CONCATENATE(H78,F78,FJ$2),Ciencias!$A:$H,7,FALSE)=BX78,1,0)</f>
        <v>#N/A</v>
      </c>
      <c r="FK78" s="138" t="e">
        <f>IF(VLOOKUP(CONCATENATE(H78,F78,FK$2),Ciencias!$A:$H,7,FALSE)=BY78,1,0)</f>
        <v>#N/A</v>
      </c>
      <c r="FL78" s="138" t="e">
        <f>IF(VLOOKUP(CONCATENATE(H78,F78,FL$2),Ciencias!$A:$H,7,FALSE)=BZ78,1,0)</f>
        <v>#N/A</v>
      </c>
      <c r="FM78" s="138" t="e">
        <f>IF(VLOOKUP(CONCATENATE(H78,F78,FM$2),Ciencias!$A:$H,7,FALSE)=CA78,1,0)</f>
        <v>#N/A</v>
      </c>
      <c r="FN78" s="138" t="e">
        <f>IF(VLOOKUP(CONCATENATE(H78,F78,FN$2),Ciencias!$A:$H,7,FALSE)=CB78,1,0)</f>
        <v>#N/A</v>
      </c>
      <c r="FO78" s="138" t="e">
        <f>IF(VLOOKUP(CONCATENATE(H78,F78,FO$2),Ciencias!$A:$H,7,FALSE)=CC78,1,0)</f>
        <v>#N/A</v>
      </c>
      <c r="FP78" s="138" t="e">
        <f>IF(VLOOKUP(CONCATENATE(H78,F78,FP$2),GeoHis!$A:$H,7,FALSE)=CD78,1,0)</f>
        <v>#N/A</v>
      </c>
      <c r="FQ78" s="138" t="e">
        <f>IF(VLOOKUP(CONCATENATE(H78,F78,FQ$2),GeoHis!$A:$H,7,FALSE)=CE78,1,0)</f>
        <v>#N/A</v>
      </c>
      <c r="FR78" s="138" t="e">
        <f>IF(VLOOKUP(CONCATENATE(H78,F78,FR$2),GeoHis!$A:$H,7,FALSE)=CF78,1,0)</f>
        <v>#N/A</v>
      </c>
      <c r="FS78" s="138" t="e">
        <f>IF(VLOOKUP(CONCATENATE(H78,F78,FS$2),GeoHis!$A:$H,7,FALSE)=CG78,1,0)</f>
        <v>#N/A</v>
      </c>
      <c r="FT78" s="138" t="e">
        <f>IF(VLOOKUP(CONCATENATE(H78,F78,FT$2),GeoHis!$A:$H,7,FALSE)=CH78,1,0)</f>
        <v>#N/A</v>
      </c>
      <c r="FU78" s="138" t="e">
        <f>IF(VLOOKUP(CONCATENATE(H78,F78,FU$2),GeoHis!$A:$H,7,FALSE)=CI78,1,0)</f>
        <v>#N/A</v>
      </c>
      <c r="FV78" s="138" t="e">
        <f>IF(VLOOKUP(CONCATENATE(H78,F78,FV$2),GeoHis!$A:$H,7,FALSE)=CJ78,1,0)</f>
        <v>#N/A</v>
      </c>
      <c r="FW78" s="138" t="e">
        <f>IF(VLOOKUP(CONCATENATE(H78,F78,FW$2),GeoHis!$A:$H,7,FALSE)=CK78,1,0)</f>
        <v>#N/A</v>
      </c>
      <c r="FX78" s="138" t="e">
        <f>IF(VLOOKUP(CONCATENATE(H78,F78,FX$2),GeoHis!$A:$H,7,FALSE)=CL78,1,0)</f>
        <v>#N/A</v>
      </c>
      <c r="FY78" s="138" t="e">
        <f>IF(VLOOKUP(CONCATENATE(H78,F78,FY$2),GeoHis!$A:$H,7,FALSE)=CM78,1,0)</f>
        <v>#N/A</v>
      </c>
      <c r="FZ78" s="138" t="e">
        <f>IF(VLOOKUP(CONCATENATE(H78,F78,FZ$2),GeoHis!$A:$H,7,FALSE)=CN78,1,0)</f>
        <v>#N/A</v>
      </c>
      <c r="GA78" s="138" t="e">
        <f>IF(VLOOKUP(CONCATENATE(H78,F78,GA$2),GeoHis!$A:$H,7,FALSE)=CO78,1,0)</f>
        <v>#N/A</v>
      </c>
      <c r="GB78" s="138" t="e">
        <f>IF(VLOOKUP(CONCATENATE(H78,F78,GB$2),GeoHis!$A:$H,7,FALSE)=CP78,1,0)</f>
        <v>#N/A</v>
      </c>
      <c r="GC78" s="138" t="e">
        <f>IF(VLOOKUP(CONCATENATE(H78,F78,GC$2),GeoHis!$A:$H,7,FALSE)=CQ78,1,0)</f>
        <v>#N/A</v>
      </c>
      <c r="GD78" s="138" t="e">
        <f>IF(VLOOKUP(CONCATENATE(H78,F78,GD$2),GeoHis!$A:$H,7,FALSE)=CR78,1,0)</f>
        <v>#N/A</v>
      </c>
      <c r="GE78" s="135" t="str">
        <f t="shared" si="15"/>
        <v/>
      </c>
    </row>
    <row r="79" spans="1:187" x14ac:dyDescent="0.25">
      <c r="A79" s="127" t="str">
        <f>IF(C79="","",'Datos Generales'!$A$25)</f>
        <v/>
      </c>
      <c r="D79" s="126" t="str">
        <f t="shared" si="8"/>
        <v/>
      </c>
      <c r="E79" s="126">
        <f t="shared" si="9"/>
        <v>0</v>
      </c>
      <c r="F79" s="126" t="str">
        <f t="shared" si="10"/>
        <v/>
      </c>
      <c r="G79" s="126" t="str">
        <f>IF(C79="","",'Datos Generales'!$D$19)</f>
        <v/>
      </c>
      <c r="H79" s="21" t="str">
        <f>IF(C79="","",'Datos Generales'!$A$19)</f>
        <v/>
      </c>
      <c r="I79" s="126" t="str">
        <f>IF(C79="","",'Datos Generales'!$A$7)</f>
        <v/>
      </c>
      <c r="J79" s="21" t="str">
        <f>IF(C79="","",'Datos Generales'!$A$13)</f>
        <v/>
      </c>
      <c r="K79" s="21" t="str">
        <f>IF(C79="","",'Datos Generales'!$A$10)</f>
        <v/>
      </c>
      <c r="CS79" s="142" t="str">
        <f t="shared" si="11"/>
        <v/>
      </c>
      <c r="CT79" s="142" t="str">
        <f t="shared" si="12"/>
        <v/>
      </c>
      <c r="CU79" s="142" t="str">
        <f t="shared" si="13"/>
        <v/>
      </c>
      <c r="CV79" s="142" t="str">
        <f t="shared" si="14"/>
        <v/>
      </c>
      <c r="CW79" s="142" t="str">
        <f>IF(C79="","",IF('Datos Generales'!$A$19=1,AVERAGE(FP79:GD79),AVERAGE(Captura!FP79:FY79)))</f>
        <v/>
      </c>
      <c r="CX79" s="138" t="e">
        <f>IF(VLOOKUP(CONCATENATE($H$4,$F$4,CX$2),Español!$A:$H,7,FALSE)=L79,1,0)</f>
        <v>#N/A</v>
      </c>
      <c r="CY79" s="138" t="e">
        <f>IF(VLOOKUP(CONCATENATE(H79,F79,CY$2),Español!$A:$H,7,FALSE)=M79,1,0)</f>
        <v>#N/A</v>
      </c>
      <c r="CZ79" s="138" t="e">
        <f>IF(VLOOKUP(CONCATENATE(H79,F79,CZ$2),Español!$A:$H,7,FALSE)=N79,1,0)</f>
        <v>#N/A</v>
      </c>
      <c r="DA79" s="138" t="e">
        <f>IF(VLOOKUP(CONCATENATE(H79,F79,DA$2),Español!$A:$H,7,FALSE)=O79,1,0)</f>
        <v>#N/A</v>
      </c>
      <c r="DB79" s="138" t="e">
        <f>IF(VLOOKUP(CONCATENATE(H79,F79,DB$2),Español!$A:$H,7,FALSE)=P79,1,0)</f>
        <v>#N/A</v>
      </c>
      <c r="DC79" s="138" t="e">
        <f>IF(VLOOKUP(CONCATENATE(H79,F79,DC$2),Español!$A:$H,7,FALSE)=Q79,1,0)</f>
        <v>#N/A</v>
      </c>
      <c r="DD79" s="138" t="e">
        <f>IF(VLOOKUP(CONCATENATE(H79,F79,DD$2),Español!$A:$H,7,FALSE)=R79,1,0)</f>
        <v>#N/A</v>
      </c>
      <c r="DE79" s="138" t="e">
        <f>IF(VLOOKUP(CONCATENATE(H79,F79,DE$2),Español!$A:$H,7,FALSE)=S79,1,0)</f>
        <v>#N/A</v>
      </c>
      <c r="DF79" s="138" t="e">
        <f>IF(VLOOKUP(CONCATENATE(H79,F79,DF$2),Español!$A:$H,7,FALSE)=T79,1,0)</f>
        <v>#N/A</v>
      </c>
      <c r="DG79" s="138" t="e">
        <f>IF(VLOOKUP(CONCATENATE(H79,F79,DG$2),Español!$A:$H,7,FALSE)=U79,1,0)</f>
        <v>#N/A</v>
      </c>
      <c r="DH79" s="138" t="e">
        <f>IF(VLOOKUP(CONCATENATE(H79,F79,DH$2),Español!$A:$H,7,FALSE)=V79,1,0)</f>
        <v>#N/A</v>
      </c>
      <c r="DI79" s="138" t="e">
        <f>IF(VLOOKUP(CONCATENATE(H79,F79,DI$2),Español!$A:$H,7,FALSE)=W79,1,0)</f>
        <v>#N/A</v>
      </c>
      <c r="DJ79" s="138" t="e">
        <f>IF(VLOOKUP(CONCATENATE(H79,F79,DJ$2),Español!$A:$H,7,FALSE)=X79,1,0)</f>
        <v>#N/A</v>
      </c>
      <c r="DK79" s="138" t="e">
        <f>IF(VLOOKUP(CONCATENATE(H79,F79,DK$2),Español!$A:$H,7,FALSE)=Y79,1,0)</f>
        <v>#N/A</v>
      </c>
      <c r="DL79" s="138" t="e">
        <f>IF(VLOOKUP(CONCATENATE(H79,F79,DL$2),Español!$A:$H,7,FALSE)=Z79,1,0)</f>
        <v>#N/A</v>
      </c>
      <c r="DM79" s="138" t="e">
        <f>IF(VLOOKUP(CONCATENATE(H79,F79,DM$2),Español!$A:$H,7,FALSE)=AA79,1,0)</f>
        <v>#N/A</v>
      </c>
      <c r="DN79" s="138" t="e">
        <f>IF(VLOOKUP(CONCATENATE(H79,F79,DN$2),Español!$A:$H,7,FALSE)=AB79,1,0)</f>
        <v>#N/A</v>
      </c>
      <c r="DO79" s="138" t="e">
        <f>IF(VLOOKUP(CONCATENATE(H79,F79,DO$2),Español!$A:$H,7,FALSE)=AC79,1,0)</f>
        <v>#N/A</v>
      </c>
      <c r="DP79" s="138" t="e">
        <f>IF(VLOOKUP(CONCATENATE(H79,F79,DP$2),Español!$A:$H,7,FALSE)=AD79,1,0)</f>
        <v>#N/A</v>
      </c>
      <c r="DQ79" s="138" t="e">
        <f>IF(VLOOKUP(CONCATENATE(H79,F79,DQ$2),Español!$A:$H,7,FALSE)=AE79,1,0)</f>
        <v>#N/A</v>
      </c>
      <c r="DR79" s="138" t="e">
        <f>IF(VLOOKUP(CONCATENATE(H79,F79,DR$2),Inglés!$A:$H,7,FALSE)=AF79,1,0)</f>
        <v>#N/A</v>
      </c>
      <c r="DS79" s="138" t="e">
        <f>IF(VLOOKUP(CONCATENATE(H79,F79,DS$2),Inglés!$A:$H,7,FALSE)=AG79,1,0)</f>
        <v>#N/A</v>
      </c>
      <c r="DT79" s="138" t="e">
        <f>IF(VLOOKUP(CONCATENATE(H79,F79,DT$2),Inglés!$A:$H,7,FALSE)=AH79,1,0)</f>
        <v>#N/A</v>
      </c>
      <c r="DU79" s="138" t="e">
        <f>IF(VLOOKUP(CONCATENATE(H79,F79,DU$2),Inglés!$A:$H,7,FALSE)=AI79,1,0)</f>
        <v>#N/A</v>
      </c>
      <c r="DV79" s="138" t="e">
        <f>IF(VLOOKUP(CONCATENATE(H79,F79,DV$2),Inglés!$A:$H,7,FALSE)=AJ79,1,0)</f>
        <v>#N/A</v>
      </c>
      <c r="DW79" s="138" t="e">
        <f>IF(VLOOKUP(CONCATENATE(H79,F79,DW$2),Inglés!$A:$H,7,FALSE)=AK79,1,0)</f>
        <v>#N/A</v>
      </c>
      <c r="DX79" s="138" t="e">
        <f>IF(VLOOKUP(CONCATENATE(H79,F79,DX$2),Inglés!$A:$H,7,FALSE)=AL79,1,0)</f>
        <v>#N/A</v>
      </c>
      <c r="DY79" s="138" t="e">
        <f>IF(VLOOKUP(CONCATENATE(H79,F79,DY$2),Inglés!$A:$H,7,FALSE)=AM79,1,0)</f>
        <v>#N/A</v>
      </c>
      <c r="DZ79" s="138" t="e">
        <f>IF(VLOOKUP(CONCATENATE(H79,F79,DZ$2),Inglés!$A:$H,7,FALSE)=AN79,1,0)</f>
        <v>#N/A</v>
      </c>
      <c r="EA79" s="138" t="e">
        <f>IF(VLOOKUP(CONCATENATE(H79,F79,EA$2),Inglés!$A:$H,7,FALSE)=AO79,1,0)</f>
        <v>#N/A</v>
      </c>
      <c r="EB79" s="138" t="e">
        <f>IF(VLOOKUP(CONCATENATE(H79,F79,EB$2),Matemáticas!$A:$H,7,FALSE)=AP79,1,0)</f>
        <v>#N/A</v>
      </c>
      <c r="EC79" s="138" t="e">
        <f>IF(VLOOKUP(CONCATENATE(H79,F79,EC$2),Matemáticas!$A:$H,7,FALSE)=AQ79,1,0)</f>
        <v>#N/A</v>
      </c>
      <c r="ED79" s="138" t="e">
        <f>IF(VLOOKUP(CONCATENATE(H79,F79,ED$2),Matemáticas!$A:$H,7,FALSE)=AR79,1,0)</f>
        <v>#N/A</v>
      </c>
      <c r="EE79" s="138" t="e">
        <f>IF(VLOOKUP(CONCATENATE(H79,F79,EE$2),Matemáticas!$A:$H,7,FALSE)=AS79,1,0)</f>
        <v>#N/A</v>
      </c>
      <c r="EF79" s="138" t="e">
        <f>IF(VLOOKUP(CONCATENATE(H79,F79,EF$2),Matemáticas!$A:$H,7,FALSE)=AT79,1,0)</f>
        <v>#N/A</v>
      </c>
      <c r="EG79" s="138" t="e">
        <f>IF(VLOOKUP(CONCATENATE(H79,F79,EG$2),Matemáticas!$A:$H,7,FALSE)=AU79,1,0)</f>
        <v>#N/A</v>
      </c>
      <c r="EH79" s="138" t="e">
        <f>IF(VLOOKUP(CONCATENATE(H79,F79,EH$2),Matemáticas!$A:$H,7,FALSE)=AV79,1,0)</f>
        <v>#N/A</v>
      </c>
      <c r="EI79" s="138" t="e">
        <f>IF(VLOOKUP(CONCATENATE(H79,F79,EI$2),Matemáticas!$A:$H,7,FALSE)=AW79,1,0)</f>
        <v>#N/A</v>
      </c>
      <c r="EJ79" s="138" t="e">
        <f>IF(VLOOKUP(CONCATENATE(H79,F79,EJ$2),Matemáticas!$A:$H,7,FALSE)=AX79,1,0)</f>
        <v>#N/A</v>
      </c>
      <c r="EK79" s="138" t="e">
        <f>IF(VLOOKUP(CONCATENATE(H79,F79,EK$2),Matemáticas!$A:$H,7,FALSE)=AY79,1,0)</f>
        <v>#N/A</v>
      </c>
      <c r="EL79" s="138" t="e">
        <f>IF(VLOOKUP(CONCATENATE(H79,F79,EL$2),Matemáticas!$A:$H,7,FALSE)=AZ79,1,0)</f>
        <v>#N/A</v>
      </c>
      <c r="EM79" s="138" t="e">
        <f>IF(VLOOKUP(CONCATENATE(H79,F79,EM$2),Matemáticas!$A:$H,7,FALSE)=BA79,1,0)</f>
        <v>#N/A</v>
      </c>
      <c r="EN79" s="138" t="e">
        <f>IF(VLOOKUP(CONCATENATE(H79,F79,EN$2),Matemáticas!$A:$H,7,FALSE)=BB79,1,0)</f>
        <v>#N/A</v>
      </c>
      <c r="EO79" s="138" t="e">
        <f>IF(VLOOKUP(CONCATENATE(H79,F79,EO$2),Matemáticas!$A:$H,7,FALSE)=BC79,1,0)</f>
        <v>#N/A</v>
      </c>
      <c r="EP79" s="138" t="e">
        <f>IF(VLOOKUP(CONCATENATE(H79,F79,EP$2),Matemáticas!$A:$H,7,FALSE)=BD79,1,0)</f>
        <v>#N/A</v>
      </c>
      <c r="EQ79" s="138" t="e">
        <f>IF(VLOOKUP(CONCATENATE(H79,F79,EQ$2),Matemáticas!$A:$H,7,FALSE)=BE79,1,0)</f>
        <v>#N/A</v>
      </c>
      <c r="ER79" s="138" t="e">
        <f>IF(VLOOKUP(CONCATENATE(H79,F79,ER$2),Matemáticas!$A:$H,7,FALSE)=BF79,1,0)</f>
        <v>#N/A</v>
      </c>
      <c r="ES79" s="138" t="e">
        <f>IF(VLOOKUP(CONCATENATE(H79,F79,ES$2),Matemáticas!$A:$H,7,FALSE)=BG79,1,0)</f>
        <v>#N/A</v>
      </c>
      <c r="ET79" s="138" t="e">
        <f>IF(VLOOKUP(CONCATENATE(H79,F79,ET$2),Matemáticas!$A:$H,7,FALSE)=BH79,1,0)</f>
        <v>#N/A</v>
      </c>
      <c r="EU79" s="138" t="e">
        <f>IF(VLOOKUP(CONCATENATE(H79,F79,EU$2),Matemáticas!$A:$H,7,FALSE)=BI79,1,0)</f>
        <v>#N/A</v>
      </c>
      <c r="EV79" s="138" t="e">
        <f>IF(VLOOKUP(CONCATENATE(H79,F79,EV$2),Ciencias!$A:$H,7,FALSE)=BJ79,1,0)</f>
        <v>#N/A</v>
      </c>
      <c r="EW79" s="138" t="e">
        <f>IF(VLOOKUP(CONCATENATE(H79,F79,EW$2),Ciencias!$A:$H,7,FALSE)=BK79,1,0)</f>
        <v>#N/A</v>
      </c>
      <c r="EX79" s="138" t="e">
        <f>IF(VLOOKUP(CONCATENATE(H79,F79,EX$2),Ciencias!$A:$H,7,FALSE)=BL79,1,0)</f>
        <v>#N/A</v>
      </c>
      <c r="EY79" s="138" t="e">
        <f>IF(VLOOKUP(CONCATENATE(H79,F79,EY$2),Ciencias!$A:$H,7,FALSE)=BM79,1,0)</f>
        <v>#N/A</v>
      </c>
      <c r="EZ79" s="138" t="e">
        <f>IF(VLOOKUP(CONCATENATE(H79,F79,EZ$2),Ciencias!$A:$H,7,FALSE)=BN79,1,0)</f>
        <v>#N/A</v>
      </c>
      <c r="FA79" s="138" t="e">
        <f>IF(VLOOKUP(CONCATENATE(H79,F79,FA$2),Ciencias!$A:$H,7,FALSE)=BO79,1,0)</f>
        <v>#N/A</v>
      </c>
      <c r="FB79" s="138" t="e">
        <f>IF(VLOOKUP(CONCATENATE(H79,F79,FB$2),Ciencias!$A:$H,7,FALSE)=BP79,1,0)</f>
        <v>#N/A</v>
      </c>
      <c r="FC79" s="138" t="e">
        <f>IF(VLOOKUP(CONCATENATE(H79,F79,FC$2),Ciencias!$A:$H,7,FALSE)=BQ79,1,0)</f>
        <v>#N/A</v>
      </c>
      <c r="FD79" s="138" t="e">
        <f>IF(VLOOKUP(CONCATENATE(H79,F79,FD$2),Ciencias!$A:$H,7,FALSE)=BR79,1,0)</f>
        <v>#N/A</v>
      </c>
      <c r="FE79" s="138" t="e">
        <f>IF(VLOOKUP(CONCATENATE(H79,F79,FE$2),Ciencias!$A:$H,7,FALSE)=BS79,1,0)</f>
        <v>#N/A</v>
      </c>
      <c r="FF79" s="138" t="e">
        <f>IF(VLOOKUP(CONCATENATE(H79,F79,FF$2),Ciencias!$A:$H,7,FALSE)=BT79,1,0)</f>
        <v>#N/A</v>
      </c>
      <c r="FG79" s="138" t="e">
        <f>IF(VLOOKUP(CONCATENATE(H79,F79,FG$2),Ciencias!$A:$H,7,FALSE)=BU79,1,0)</f>
        <v>#N/A</v>
      </c>
      <c r="FH79" s="138" t="e">
        <f>IF(VLOOKUP(CONCATENATE(H79,F79,FH$2),Ciencias!$A:$H,7,FALSE)=BV79,1,0)</f>
        <v>#N/A</v>
      </c>
      <c r="FI79" s="138" t="e">
        <f>IF(VLOOKUP(CONCATENATE(H79,F79,FI$2),Ciencias!$A:$H,7,FALSE)=BW79,1,0)</f>
        <v>#N/A</v>
      </c>
      <c r="FJ79" s="138" t="e">
        <f>IF(VLOOKUP(CONCATENATE(H79,F79,FJ$2),Ciencias!$A:$H,7,FALSE)=BX79,1,0)</f>
        <v>#N/A</v>
      </c>
      <c r="FK79" s="138" t="e">
        <f>IF(VLOOKUP(CONCATENATE(H79,F79,FK$2),Ciencias!$A:$H,7,FALSE)=BY79,1,0)</f>
        <v>#N/A</v>
      </c>
      <c r="FL79" s="138" t="e">
        <f>IF(VLOOKUP(CONCATENATE(H79,F79,FL$2),Ciencias!$A:$H,7,FALSE)=BZ79,1,0)</f>
        <v>#N/A</v>
      </c>
      <c r="FM79" s="138" t="e">
        <f>IF(VLOOKUP(CONCATENATE(H79,F79,FM$2),Ciencias!$A:$H,7,FALSE)=CA79,1,0)</f>
        <v>#N/A</v>
      </c>
      <c r="FN79" s="138" t="e">
        <f>IF(VLOOKUP(CONCATENATE(H79,F79,FN$2),Ciencias!$A:$H,7,FALSE)=CB79,1,0)</f>
        <v>#N/A</v>
      </c>
      <c r="FO79" s="138" t="e">
        <f>IF(VLOOKUP(CONCATENATE(H79,F79,FO$2),Ciencias!$A:$H,7,FALSE)=CC79,1,0)</f>
        <v>#N/A</v>
      </c>
      <c r="FP79" s="138" t="e">
        <f>IF(VLOOKUP(CONCATENATE(H79,F79,FP$2),GeoHis!$A:$H,7,FALSE)=CD79,1,0)</f>
        <v>#N/A</v>
      </c>
      <c r="FQ79" s="138" t="e">
        <f>IF(VLOOKUP(CONCATENATE(H79,F79,FQ$2),GeoHis!$A:$H,7,FALSE)=CE79,1,0)</f>
        <v>#N/A</v>
      </c>
      <c r="FR79" s="138" t="e">
        <f>IF(VLOOKUP(CONCATENATE(H79,F79,FR$2),GeoHis!$A:$H,7,FALSE)=CF79,1,0)</f>
        <v>#N/A</v>
      </c>
      <c r="FS79" s="138" t="e">
        <f>IF(VLOOKUP(CONCATENATE(H79,F79,FS$2),GeoHis!$A:$H,7,FALSE)=CG79,1,0)</f>
        <v>#N/A</v>
      </c>
      <c r="FT79" s="138" t="e">
        <f>IF(VLOOKUP(CONCATENATE(H79,F79,FT$2),GeoHis!$A:$H,7,FALSE)=CH79,1,0)</f>
        <v>#N/A</v>
      </c>
      <c r="FU79" s="138" t="e">
        <f>IF(VLOOKUP(CONCATENATE(H79,F79,FU$2),GeoHis!$A:$H,7,FALSE)=CI79,1,0)</f>
        <v>#N/A</v>
      </c>
      <c r="FV79" s="138" t="e">
        <f>IF(VLOOKUP(CONCATENATE(H79,F79,FV$2),GeoHis!$A:$H,7,FALSE)=CJ79,1,0)</f>
        <v>#N/A</v>
      </c>
      <c r="FW79" s="138" t="e">
        <f>IF(VLOOKUP(CONCATENATE(H79,F79,FW$2),GeoHis!$A:$H,7,FALSE)=CK79,1,0)</f>
        <v>#N/A</v>
      </c>
      <c r="FX79" s="138" t="e">
        <f>IF(VLOOKUP(CONCATENATE(H79,F79,FX$2),GeoHis!$A:$H,7,FALSE)=CL79,1,0)</f>
        <v>#N/A</v>
      </c>
      <c r="FY79" s="138" t="e">
        <f>IF(VLOOKUP(CONCATENATE(H79,F79,FY$2),GeoHis!$A:$H,7,FALSE)=CM79,1,0)</f>
        <v>#N/A</v>
      </c>
      <c r="FZ79" s="138" t="e">
        <f>IF(VLOOKUP(CONCATENATE(H79,F79,FZ$2),GeoHis!$A:$H,7,FALSE)=CN79,1,0)</f>
        <v>#N/A</v>
      </c>
      <c r="GA79" s="138" t="e">
        <f>IF(VLOOKUP(CONCATENATE(H79,F79,GA$2),GeoHis!$A:$H,7,FALSE)=CO79,1,0)</f>
        <v>#N/A</v>
      </c>
      <c r="GB79" s="138" t="e">
        <f>IF(VLOOKUP(CONCATENATE(H79,F79,GB$2),GeoHis!$A:$H,7,FALSE)=CP79,1,0)</f>
        <v>#N/A</v>
      </c>
      <c r="GC79" s="138" t="e">
        <f>IF(VLOOKUP(CONCATENATE(H79,F79,GC$2),GeoHis!$A:$H,7,FALSE)=CQ79,1,0)</f>
        <v>#N/A</v>
      </c>
      <c r="GD79" s="138" t="e">
        <f>IF(VLOOKUP(CONCATENATE(H79,F79,GD$2),GeoHis!$A:$H,7,FALSE)=CR79,1,0)</f>
        <v>#N/A</v>
      </c>
      <c r="GE79" s="135" t="str">
        <f t="shared" si="15"/>
        <v/>
      </c>
    </row>
    <row r="80" spans="1:187" x14ac:dyDescent="0.25">
      <c r="A80" s="127" t="str">
        <f>IF(C80="","",'Datos Generales'!$A$25)</f>
        <v/>
      </c>
      <c r="D80" s="126" t="str">
        <f t="shared" si="8"/>
        <v/>
      </c>
      <c r="E80" s="126">
        <f t="shared" si="9"/>
        <v>0</v>
      </c>
      <c r="F80" s="126" t="str">
        <f t="shared" si="10"/>
        <v/>
      </c>
      <c r="G80" s="126" t="str">
        <f>IF(C80="","",'Datos Generales'!$D$19)</f>
        <v/>
      </c>
      <c r="H80" s="21" t="str">
        <f>IF(C80="","",'Datos Generales'!$A$19)</f>
        <v/>
      </c>
      <c r="I80" s="126" t="str">
        <f>IF(C80="","",'Datos Generales'!$A$7)</f>
        <v/>
      </c>
      <c r="J80" s="21" t="str">
        <f>IF(C80="","",'Datos Generales'!$A$13)</f>
        <v/>
      </c>
      <c r="K80" s="21" t="str">
        <f>IF(C80="","",'Datos Generales'!$A$10)</f>
        <v/>
      </c>
      <c r="CS80" s="142" t="str">
        <f t="shared" si="11"/>
        <v/>
      </c>
      <c r="CT80" s="142" t="str">
        <f t="shared" si="12"/>
        <v/>
      </c>
      <c r="CU80" s="142" t="str">
        <f t="shared" si="13"/>
        <v/>
      </c>
      <c r="CV80" s="142" t="str">
        <f t="shared" si="14"/>
        <v/>
      </c>
      <c r="CW80" s="142" t="str">
        <f>IF(C80="","",IF('Datos Generales'!$A$19=1,AVERAGE(FP80:GD80),AVERAGE(Captura!FP80:FY80)))</f>
        <v/>
      </c>
      <c r="CX80" s="138" t="e">
        <f>IF(VLOOKUP(CONCATENATE($H$4,$F$4,CX$2),Español!$A:$H,7,FALSE)=L80,1,0)</f>
        <v>#N/A</v>
      </c>
      <c r="CY80" s="138" t="e">
        <f>IF(VLOOKUP(CONCATENATE(H80,F80,CY$2),Español!$A:$H,7,FALSE)=M80,1,0)</f>
        <v>#N/A</v>
      </c>
      <c r="CZ80" s="138" t="e">
        <f>IF(VLOOKUP(CONCATENATE(H80,F80,CZ$2),Español!$A:$H,7,FALSE)=N80,1,0)</f>
        <v>#N/A</v>
      </c>
      <c r="DA80" s="138" t="e">
        <f>IF(VLOOKUP(CONCATENATE(H80,F80,DA$2),Español!$A:$H,7,FALSE)=O80,1,0)</f>
        <v>#N/A</v>
      </c>
      <c r="DB80" s="138" t="e">
        <f>IF(VLOOKUP(CONCATENATE(H80,F80,DB$2),Español!$A:$H,7,FALSE)=P80,1,0)</f>
        <v>#N/A</v>
      </c>
      <c r="DC80" s="138" t="e">
        <f>IF(VLOOKUP(CONCATENATE(H80,F80,DC$2),Español!$A:$H,7,FALSE)=Q80,1,0)</f>
        <v>#N/A</v>
      </c>
      <c r="DD80" s="138" t="e">
        <f>IF(VLOOKUP(CONCATENATE(H80,F80,DD$2),Español!$A:$H,7,FALSE)=R80,1,0)</f>
        <v>#N/A</v>
      </c>
      <c r="DE80" s="138" t="e">
        <f>IF(VLOOKUP(CONCATENATE(H80,F80,DE$2),Español!$A:$H,7,FALSE)=S80,1,0)</f>
        <v>#N/A</v>
      </c>
      <c r="DF80" s="138" t="e">
        <f>IF(VLOOKUP(CONCATENATE(H80,F80,DF$2),Español!$A:$H,7,FALSE)=T80,1,0)</f>
        <v>#N/A</v>
      </c>
      <c r="DG80" s="138" t="e">
        <f>IF(VLOOKUP(CONCATENATE(H80,F80,DG$2),Español!$A:$H,7,FALSE)=U80,1,0)</f>
        <v>#N/A</v>
      </c>
      <c r="DH80" s="138" t="e">
        <f>IF(VLOOKUP(CONCATENATE(H80,F80,DH$2),Español!$A:$H,7,FALSE)=V80,1,0)</f>
        <v>#N/A</v>
      </c>
      <c r="DI80" s="138" t="e">
        <f>IF(VLOOKUP(CONCATENATE(H80,F80,DI$2),Español!$A:$H,7,FALSE)=W80,1,0)</f>
        <v>#N/A</v>
      </c>
      <c r="DJ80" s="138" t="e">
        <f>IF(VLOOKUP(CONCATENATE(H80,F80,DJ$2),Español!$A:$H,7,FALSE)=X80,1,0)</f>
        <v>#N/A</v>
      </c>
      <c r="DK80" s="138" t="e">
        <f>IF(VLOOKUP(CONCATENATE(H80,F80,DK$2),Español!$A:$H,7,FALSE)=Y80,1,0)</f>
        <v>#N/A</v>
      </c>
      <c r="DL80" s="138" t="e">
        <f>IF(VLOOKUP(CONCATENATE(H80,F80,DL$2),Español!$A:$H,7,FALSE)=Z80,1,0)</f>
        <v>#N/A</v>
      </c>
      <c r="DM80" s="138" t="e">
        <f>IF(VLOOKUP(CONCATENATE(H80,F80,DM$2),Español!$A:$H,7,FALSE)=AA80,1,0)</f>
        <v>#N/A</v>
      </c>
      <c r="DN80" s="138" t="e">
        <f>IF(VLOOKUP(CONCATENATE(H80,F80,DN$2),Español!$A:$H,7,FALSE)=AB80,1,0)</f>
        <v>#N/A</v>
      </c>
      <c r="DO80" s="138" t="e">
        <f>IF(VLOOKUP(CONCATENATE(H80,F80,DO$2),Español!$A:$H,7,FALSE)=AC80,1,0)</f>
        <v>#N/A</v>
      </c>
      <c r="DP80" s="138" t="e">
        <f>IF(VLOOKUP(CONCATENATE(H80,F80,DP$2),Español!$A:$H,7,FALSE)=AD80,1,0)</f>
        <v>#N/A</v>
      </c>
      <c r="DQ80" s="138" t="e">
        <f>IF(VLOOKUP(CONCATENATE(H80,F80,DQ$2),Español!$A:$H,7,FALSE)=AE80,1,0)</f>
        <v>#N/A</v>
      </c>
      <c r="DR80" s="138" t="e">
        <f>IF(VLOOKUP(CONCATENATE(H80,F80,DR$2),Inglés!$A:$H,7,FALSE)=AF80,1,0)</f>
        <v>#N/A</v>
      </c>
      <c r="DS80" s="138" t="e">
        <f>IF(VLOOKUP(CONCATENATE(H80,F80,DS$2),Inglés!$A:$H,7,FALSE)=AG80,1,0)</f>
        <v>#N/A</v>
      </c>
      <c r="DT80" s="138" t="e">
        <f>IF(VLOOKUP(CONCATENATE(H80,F80,DT$2),Inglés!$A:$H,7,FALSE)=AH80,1,0)</f>
        <v>#N/A</v>
      </c>
      <c r="DU80" s="138" t="e">
        <f>IF(VLOOKUP(CONCATENATE(H80,F80,DU$2),Inglés!$A:$H,7,FALSE)=AI80,1,0)</f>
        <v>#N/A</v>
      </c>
      <c r="DV80" s="138" t="e">
        <f>IF(VLOOKUP(CONCATENATE(H80,F80,DV$2),Inglés!$A:$H,7,FALSE)=AJ80,1,0)</f>
        <v>#N/A</v>
      </c>
      <c r="DW80" s="138" t="e">
        <f>IF(VLOOKUP(CONCATENATE(H80,F80,DW$2),Inglés!$A:$H,7,FALSE)=AK80,1,0)</f>
        <v>#N/A</v>
      </c>
      <c r="DX80" s="138" t="e">
        <f>IF(VLOOKUP(CONCATENATE(H80,F80,DX$2),Inglés!$A:$H,7,FALSE)=AL80,1,0)</f>
        <v>#N/A</v>
      </c>
      <c r="DY80" s="138" t="e">
        <f>IF(VLOOKUP(CONCATENATE(H80,F80,DY$2),Inglés!$A:$H,7,FALSE)=AM80,1,0)</f>
        <v>#N/A</v>
      </c>
      <c r="DZ80" s="138" t="e">
        <f>IF(VLOOKUP(CONCATENATE(H80,F80,DZ$2),Inglés!$A:$H,7,FALSE)=AN80,1,0)</f>
        <v>#N/A</v>
      </c>
      <c r="EA80" s="138" t="e">
        <f>IF(VLOOKUP(CONCATENATE(H80,F80,EA$2),Inglés!$A:$H,7,FALSE)=AO80,1,0)</f>
        <v>#N/A</v>
      </c>
      <c r="EB80" s="138" t="e">
        <f>IF(VLOOKUP(CONCATENATE(H80,F80,EB$2),Matemáticas!$A:$H,7,FALSE)=AP80,1,0)</f>
        <v>#N/A</v>
      </c>
      <c r="EC80" s="138" t="e">
        <f>IF(VLOOKUP(CONCATENATE(H80,F80,EC$2),Matemáticas!$A:$H,7,FALSE)=AQ80,1,0)</f>
        <v>#N/A</v>
      </c>
      <c r="ED80" s="138" t="e">
        <f>IF(VLOOKUP(CONCATENATE(H80,F80,ED$2),Matemáticas!$A:$H,7,FALSE)=AR80,1,0)</f>
        <v>#N/A</v>
      </c>
      <c r="EE80" s="138" t="e">
        <f>IF(VLOOKUP(CONCATENATE(H80,F80,EE$2),Matemáticas!$A:$H,7,FALSE)=AS80,1,0)</f>
        <v>#N/A</v>
      </c>
      <c r="EF80" s="138" t="e">
        <f>IF(VLOOKUP(CONCATENATE(H80,F80,EF$2),Matemáticas!$A:$H,7,FALSE)=AT80,1,0)</f>
        <v>#N/A</v>
      </c>
      <c r="EG80" s="138" t="e">
        <f>IF(VLOOKUP(CONCATENATE(H80,F80,EG$2),Matemáticas!$A:$H,7,FALSE)=AU80,1,0)</f>
        <v>#N/A</v>
      </c>
      <c r="EH80" s="138" t="e">
        <f>IF(VLOOKUP(CONCATENATE(H80,F80,EH$2),Matemáticas!$A:$H,7,FALSE)=AV80,1,0)</f>
        <v>#N/A</v>
      </c>
      <c r="EI80" s="138" t="e">
        <f>IF(VLOOKUP(CONCATENATE(H80,F80,EI$2),Matemáticas!$A:$H,7,FALSE)=AW80,1,0)</f>
        <v>#N/A</v>
      </c>
      <c r="EJ80" s="138" t="e">
        <f>IF(VLOOKUP(CONCATENATE(H80,F80,EJ$2),Matemáticas!$A:$H,7,FALSE)=AX80,1,0)</f>
        <v>#N/A</v>
      </c>
      <c r="EK80" s="138" t="e">
        <f>IF(VLOOKUP(CONCATENATE(H80,F80,EK$2),Matemáticas!$A:$H,7,FALSE)=AY80,1,0)</f>
        <v>#N/A</v>
      </c>
      <c r="EL80" s="138" t="e">
        <f>IF(VLOOKUP(CONCATENATE(H80,F80,EL$2),Matemáticas!$A:$H,7,FALSE)=AZ80,1,0)</f>
        <v>#N/A</v>
      </c>
      <c r="EM80" s="138" t="e">
        <f>IF(VLOOKUP(CONCATENATE(H80,F80,EM$2),Matemáticas!$A:$H,7,FALSE)=BA80,1,0)</f>
        <v>#N/A</v>
      </c>
      <c r="EN80" s="138" t="e">
        <f>IF(VLOOKUP(CONCATENATE(H80,F80,EN$2),Matemáticas!$A:$H,7,FALSE)=BB80,1,0)</f>
        <v>#N/A</v>
      </c>
      <c r="EO80" s="138" t="e">
        <f>IF(VLOOKUP(CONCATENATE(H80,F80,EO$2),Matemáticas!$A:$H,7,FALSE)=BC80,1,0)</f>
        <v>#N/A</v>
      </c>
      <c r="EP80" s="138" t="e">
        <f>IF(VLOOKUP(CONCATENATE(H80,F80,EP$2),Matemáticas!$A:$H,7,FALSE)=BD80,1,0)</f>
        <v>#N/A</v>
      </c>
      <c r="EQ80" s="138" t="e">
        <f>IF(VLOOKUP(CONCATENATE(H80,F80,EQ$2),Matemáticas!$A:$H,7,FALSE)=BE80,1,0)</f>
        <v>#N/A</v>
      </c>
      <c r="ER80" s="138" t="e">
        <f>IF(VLOOKUP(CONCATENATE(H80,F80,ER$2),Matemáticas!$A:$H,7,FALSE)=BF80,1,0)</f>
        <v>#N/A</v>
      </c>
      <c r="ES80" s="138" t="e">
        <f>IF(VLOOKUP(CONCATENATE(H80,F80,ES$2),Matemáticas!$A:$H,7,FALSE)=BG80,1,0)</f>
        <v>#N/A</v>
      </c>
      <c r="ET80" s="138" t="e">
        <f>IF(VLOOKUP(CONCATENATE(H80,F80,ET$2),Matemáticas!$A:$H,7,FALSE)=BH80,1,0)</f>
        <v>#N/A</v>
      </c>
      <c r="EU80" s="138" t="e">
        <f>IF(VLOOKUP(CONCATENATE(H80,F80,EU$2),Matemáticas!$A:$H,7,FALSE)=BI80,1,0)</f>
        <v>#N/A</v>
      </c>
      <c r="EV80" s="138" t="e">
        <f>IF(VLOOKUP(CONCATENATE(H80,F80,EV$2),Ciencias!$A:$H,7,FALSE)=BJ80,1,0)</f>
        <v>#N/A</v>
      </c>
      <c r="EW80" s="138" t="e">
        <f>IF(VLOOKUP(CONCATENATE(H80,F80,EW$2),Ciencias!$A:$H,7,FALSE)=BK80,1,0)</f>
        <v>#N/A</v>
      </c>
      <c r="EX80" s="138" t="e">
        <f>IF(VLOOKUP(CONCATENATE(H80,F80,EX$2),Ciencias!$A:$H,7,FALSE)=BL80,1,0)</f>
        <v>#N/A</v>
      </c>
      <c r="EY80" s="138" t="e">
        <f>IF(VLOOKUP(CONCATENATE(H80,F80,EY$2),Ciencias!$A:$H,7,FALSE)=BM80,1,0)</f>
        <v>#N/A</v>
      </c>
      <c r="EZ80" s="138" t="e">
        <f>IF(VLOOKUP(CONCATENATE(H80,F80,EZ$2),Ciencias!$A:$H,7,FALSE)=BN80,1,0)</f>
        <v>#N/A</v>
      </c>
      <c r="FA80" s="138" t="e">
        <f>IF(VLOOKUP(CONCATENATE(H80,F80,FA$2),Ciencias!$A:$H,7,FALSE)=BO80,1,0)</f>
        <v>#N/A</v>
      </c>
      <c r="FB80" s="138" t="e">
        <f>IF(VLOOKUP(CONCATENATE(H80,F80,FB$2),Ciencias!$A:$H,7,FALSE)=BP80,1,0)</f>
        <v>#N/A</v>
      </c>
      <c r="FC80" s="138" t="e">
        <f>IF(VLOOKUP(CONCATENATE(H80,F80,FC$2),Ciencias!$A:$H,7,FALSE)=BQ80,1,0)</f>
        <v>#N/A</v>
      </c>
      <c r="FD80" s="138" t="e">
        <f>IF(VLOOKUP(CONCATENATE(H80,F80,FD$2),Ciencias!$A:$H,7,FALSE)=BR80,1,0)</f>
        <v>#N/A</v>
      </c>
      <c r="FE80" s="138" t="e">
        <f>IF(VLOOKUP(CONCATENATE(H80,F80,FE$2),Ciencias!$A:$H,7,FALSE)=BS80,1,0)</f>
        <v>#N/A</v>
      </c>
      <c r="FF80" s="138" t="e">
        <f>IF(VLOOKUP(CONCATENATE(H80,F80,FF$2),Ciencias!$A:$H,7,FALSE)=BT80,1,0)</f>
        <v>#N/A</v>
      </c>
      <c r="FG80" s="138" t="e">
        <f>IF(VLOOKUP(CONCATENATE(H80,F80,FG$2),Ciencias!$A:$H,7,FALSE)=BU80,1,0)</f>
        <v>#N/A</v>
      </c>
      <c r="FH80" s="138" t="e">
        <f>IF(VLOOKUP(CONCATENATE(H80,F80,FH$2),Ciencias!$A:$H,7,FALSE)=BV80,1,0)</f>
        <v>#N/A</v>
      </c>
      <c r="FI80" s="138" t="e">
        <f>IF(VLOOKUP(CONCATENATE(H80,F80,FI$2),Ciencias!$A:$H,7,FALSE)=BW80,1,0)</f>
        <v>#N/A</v>
      </c>
      <c r="FJ80" s="138" t="e">
        <f>IF(VLOOKUP(CONCATENATE(H80,F80,FJ$2),Ciencias!$A:$H,7,FALSE)=BX80,1,0)</f>
        <v>#N/A</v>
      </c>
      <c r="FK80" s="138" t="e">
        <f>IF(VLOOKUP(CONCATENATE(H80,F80,FK$2),Ciencias!$A:$H,7,FALSE)=BY80,1,0)</f>
        <v>#N/A</v>
      </c>
      <c r="FL80" s="138" t="e">
        <f>IF(VLOOKUP(CONCATENATE(H80,F80,FL$2),Ciencias!$A:$H,7,FALSE)=BZ80,1,0)</f>
        <v>#N/A</v>
      </c>
      <c r="FM80" s="138" t="e">
        <f>IF(VLOOKUP(CONCATENATE(H80,F80,FM$2),Ciencias!$A:$H,7,FALSE)=CA80,1,0)</f>
        <v>#N/A</v>
      </c>
      <c r="FN80" s="138" t="e">
        <f>IF(VLOOKUP(CONCATENATE(H80,F80,FN$2),Ciencias!$A:$H,7,FALSE)=CB80,1,0)</f>
        <v>#N/A</v>
      </c>
      <c r="FO80" s="138" t="e">
        <f>IF(VLOOKUP(CONCATENATE(H80,F80,FO$2),Ciencias!$A:$H,7,FALSE)=CC80,1,0)</f>
        <v>#N/A</v>
      </c>
      <c r="FP80" s="138" t="e">
        <f>IF(VLOOKUP(CONCATENATE(H80,F80,FP$2),GeoHis!$A:$H,7,FALSE)=CD80,1,0)</f>
        <v>#N/A</v>
      </c>
      <c r="FQ80" s="138" t="e">
        <f>IF(VLOOKUP(CONCATENATE(H80,F80,FQ$2),GeoHis!$A:$H,7,FALSE)=CE80,1,0)</f>
        <v>#N/A</v>
      </c>
      <c r="FR80" s="138" t="e">
        <f>IF(VLOOKUP(CONCATENATE(H80,F80,FR$2),GeoHis!$A:$H,7,FALSE)=CF80,1,0)</f>
        <v>#N/A</v>
      </c>
      <c r="FS80" s="138" t="e">
        <f>IF(VLOOKUP(CONCATENATE(H80,F80,FS$2),GeoHis!$A:$H,7,FALSE)=CG80,1,0)</f>
        <v>#N/A</v>
      </c>
      <c r="FT80" s="138" t="e">
        <f>IF(VLOOKUP(CONCATENATE(H80,F80,FT$2),GeoHis!$A:$H,7,FALSE)=CH80,1,0)</f>
        <v>#N/A</v>
      </c>
      <c r="FU80" s="138" t="e">
        <f>IF(VLOOKUP(CONCATENATE(H80,F80,FU$2),GeoHis!$A:$H,7,FALSE)=CI80,1,0)</f>
        <v>#N/A</v>
      </c>
      <c r="FV80" s="138" t="e">
        <f>IF(VLOOKUP(CONCATENATE(H80,F80,FV$2),GeoHis!$A:$H,7,FALSE)=CJ80,1,0)</f>
        <v>#N/A</v>
      </c>
      <c r="FW80" s="138" t="e">
        <f>IF(VLOOKUP(CONCATENATE(H80,F80,FW$2),GeoHis!$A:$H,7,FALSE)=CK80,1,0)</f>
        <v>#N/A</v>
      </c>
      <c r="FX80" s="138" t="e">
        <f>IF(VLOOKUP(CONCATENATE(H80,F80,FX$2),GeoHis!$A:$H,7,FALSE)=CL80,1,0)</f>
        <v>#N/A</v>
      </c>
      <c r="FY80" s="138" t="e">
        <f>IF(VLOOKUP(CONCATENATE(H80,F80,FY$2),GeoHis!$A:$H,7,FALSE)=CM80,1,0)</f>
        <v>#N/A</v>
      </c>
      <c r="FZ80" s="138" t="e">
        <f>IF(VLOOKUP(CONCATENATE(H80,F80,FZ$2),GeoHis!$A:$H,7,FALSE)=CN80,1,0)</f>
        <v>#N/A</v>
      </c>
      <c r="GA80" s="138" t="e">
        <f>IF(VLOOKUP(CONCATENATE(H80,F80,GA$2),GeoHis!$A:$H,7,FALSE)=CO80,1,0)</f>
        <v>#N/A</v>
      </c>
      <c r="GB80" s="138" t="e">
        <f>IF(VLOOKUP(CONCATENATE(H80,F80,GB$2),GeoHis!$A:$H,7,FALSE)=CP80,1,0)</f>
        <v>#N/A</v>
      </c>
      <c r="GC80" s="138" t="e">
        <f>IF(VLOOKUP(CONCATENATE(H80,F80,GC$2),GeoHis!$A:$H,7,FALSE)=CQ80,1,0)</f>
        <v>#N/A</v>
      </c>
      <c r="GD80" s="138" t="e">
        <f>IF(VLOOKUP(CONCATENATE(H80,F80,GD$2),GeoHis!$A:$H,7,FALSE)=CR80,1,0)</f>
        <v>#N/A</v>
      </c>
      <c r="GE80" s="135" t="str">
        <f t="shared" si="15"/>
        <v/>
      </c>
    </row>
    <row r="81" spans="1:187" x14ac:dyDescent="0.25">
      <c r="A81" s="127" t="str">
        <f>IF(C81="","",'Datos Generales'!$A$25)</f>
        <v/>
      </c>
      <c r="D81" s="126" t="str">
        <f t="shared" si="8"/>
        <v/>
      </c>
      <c r="E81" s="126">
        <f t="shared" si="9"/>
        <v>0</v>
      </c>
      <c r="F81" s="126" t="str">
        <f t="shared" si="10"/>
        <v/>
      </c>
      <c r="G81" s="126" t="str">
        <f>IF(C81="","",'Datos Generales'!$D$19)</f>
        <v/>
      </c>
      <c r="H81" s="21" t="str">
        <f>IF(C81="","",'Datos Generales'!$A$19)</f>
        <v/>
      </c>
      <c r="I81" s="126" t="str">
        <f>IF(C81="","",'Datos Generales'!$A$7)</f>
        <v/>
      </c>
      <c r="J81" s="21" t="str">
        <f>IF(C81="","",'Datos Generales'!$A$13)</f>
        <v/>
      </c>
      <c r="K81" s="21" t="str">
        <f>IF(C81="","",'Datos Generales'!$A$10)</f>
        <v/>
      </c>
      <c r="CS81" s="142" t="str">
        <f t="shared" si="11"/>
        <v/>
      </c>
      <c r="CT81" s="142" t="str">
        <f t="shared" si="12"/>
        <v/>
      </c>
      <c r="CU81" s="142" t="str">
        <f t="shared" si="13"/>
        <v/>
      </c>
      <c r="CV81" s="142" t="str">
        <f t="shared" si="14"/>
        <v/>
      </c>
      <c r="CW81" s="142" t="str">
        <f>IF(C81="","",IF('Datos Generales'!$A$19=1,AVERAGE(FP81:GD81),AVERAGE(Captura!FP81:FY81)))</f>
        <v/>
      </c>
      <c r="CX81" s="138" t="e">
        <f>IF(VLOOKUP(CONCATENATE($H$4,$F$4,CX$2),Español!$A:$H,7,FALSE)=L81,1,0)</f>
        <v>#N/A</v>
      </c>
      <c r="CY81" s="138" t="e">
        <f>IF(VLOOKUP(CONCATENATE(H81,F81,CY$2),Español!$A:$H,7,FALSE)=M81,1,0)</f>
        <v>#N/A</v>
      </c>
      <c r="CZ81" s="138" t="e">
        <f>IF(VLOOKUP(CONCATENATE(H81,F81,CZ$2),Español!$A:$H,7,FALSE)=N81,1,0)</f>
        <v>#N/A</v>
      </c>
      <c r="DA81" s="138" t="e">
        <f>IF(VLOOKUP(CONCATENATE(H81,F81,DA$2),Español!$A:$H,7,FALSE)=O81,1,0)</f>
        <v>#N/A</v>
      </c>
      <c r="DB81" s="138" t="e">
        <f>IF(VLOOKUP(CONCATENATE(H81,F81,DB$2),Español!$A:$H,7,FALSE)=P81,1,0)</f>
        <v>#N/A</v>
      </c>
      <c r="DC81" s="138" t="e">
        <f>IF(VLOOKUP(CONCATENATE(H81,F81,DC$2),Español!$A:$H,7,FALSE)=Q81,1,0)</f>
        <v>#N/A</v>
      </c>
      <c r="DD81" s="138" t="e">
        <f>IF(VLOOKUP(CONCATENATE(H81,F81,DD$2),Español!$A:$H,7,FALSE)=R81,1,0)</f>
        <v>#N/A</v>
      </c>
      <c r="DE81" s="138" t="e">
        <f>IF(VLOOKUP(CONCATENATE(H81,F81,DE$2),Español!$A:$H,7,FALSE)=S81,1,0)</f>
        <v>#N/A</v>
      </c>
      <c r="DF81" s="138" t="e">
        <f>IF(VLOOKUP(CONCATENATE(H81,F81,DF$2),Español!$A:$H,7,FALSE)=T81,1,0)</f>
        <v>#N/A</v>
      </c>
      <c r="DG81" s="138" t="e">
        <f>IF(VLOOKUP(CONCATENATE(H81,F81,DG$2),Español!$A:$H,7,FALSE)=U81,1,0)</f>
        <v>#N/A</v>
      </c>
      <c r="DH81" s="138" t="e">
        <f>IF(VLOOKUP(CONCATENATE(H81,F81,DH$2),Español!$A:$H,7,FALSE)=V81,1,0)</f>
        <v>#N/A</v>
      </c>
      <c r="DI81" s="138" t="e">
        <f>IF(VLOOKUP(CONCATENATE(H81,F81,DI$2),Español!$A:$H,7,FALSE)=W81,1,0)</f>
        <v>#N/A</v>
      </c>
      <c r="DJ81" s="138" t="e">
        <f>IF(VLOOKUP(CONCATENATE(H81,F81,DJ$2),Español!$A:$H,7,FALSE)=X81,1,0)</f>
        <v>#N/A</v>
      </c>
      <c r="DK81" s="138" t="e">
        <f>IF(VLOOKUP(CONCATENATE(H81,F81,DK$2),Español!$A:$H,7,FALSE)=Y81,1,0)</f>
        <v>#N/A</v>
      </c>
      <c r="DL81" s="138" t="e">
        <f>IF(VLOOKUP(CONCATENATE(H81,F81,DL$2),Español!$A:$H,7,FALSE)=Z81,1,0)</f>
        <v>#N/A</v>
      </c>
      <c r="DM81" s="138" t="e">
        <f>IF(VLOOKUP(CONCATENATE(H81,F81,DM$2),Español!$A:$H,7,FALSE)=AA81,1,0)</f>
        <v>#N/A</v>
      </c>
      <c r="DN81" s="138" t="e">
        <f>IF(VLOOKUP(CONCATENATE(H81,F81,DN$2),Español!$A:$H,7,FALSE)=AB81,1,0)</f>
        <v>#N/A</v>
      </c>
      <c r="DO81" s="138" t="e">
        <f>IF(VLOOKUP(CONCATENATE(H81,F81,DO$2),Español!$A:$H,7,FALSE)=AC81,1,0)</f>
        <v>#N/A</v>
      </c>
      <c r="DP81" s="138" t="e">
        <f>IF(VLOOKUP(CONCATENATE(H81,F81,DP$2),Español!$A:$H,7,FALSE)=AD81,1,0)</f>
        <v>#N/A</v>
      </c>
      <c r="DQ81" s="138" t="e">
        <f>IF(VLOOKUP(CONCATENATE(H81,F81,DQ$2),Español!$A:$H,7,FALSE)=AE81,1,0)</f>
        <v>#N/A</v>
      </c>
      <c r="DR81" s="138" t="e">
        <f>IF(VLOOKUP(CONCATENATE(H81,F81,DR$2),Inglés!$A:$H,7,FALSE)=AF81,1,0)</f>
        <v>#N/A</v>
      </c>
      <c r="DS81" s="138" t="e">
        <f>IF(VLOOKUP(CONCATENATE(H81,F81,DS$2),Inglés!$A:$H,7,FALSE)=AG81,1,0)</f>
        <v>#N/A</v>
      </c>
      <c r="DT81" s="138" t="e">
        <f>IF(VLOOKUP(CONCATENATE(H81,F81,DT$2),Inglés!$A:$H,7,FALSE)=AH81,1,0)</f>
        <v>#N/A</v>
      </c>
      <c r="DU81" s="138" t="e">
        <f>IF(VLOOKUP(CONCATENATE(H81,F81,DU$2),Inglés!$A:$H,7,FALSE)=AI81,1,0)</f>
        <v>#N/A</v>
      </c>
      <c r="DV81" s="138" t="e">
        <f>IF(VLOOKUP(CONCATENATE(H81,F81,DV$2),Inglés!$A:$H,7,FALSE)=AJ81,1,0)</f>
        <v>#N/A</v>
      </c>
      <c r="DW81" s="138" t="e">
        <f>IF(VLOOKUP(CONCATENATE(H81,F81,DW$2),Inglés!$A:$H,7,FALSE)=AK81,1,0)</f>
        <v>#N/A</v>
      </c>
      <c r="DX81" s="138" t="e">
        <f>IF(VLOOKUP(CONCATENATE(H81,F81,DX$2),Inglés!$A:$H,7,FALSE)=AL81,1,0)</f>
        <v>#N/A</v>
      </c>
      <c r="DY81" s="138" t="e">
        <f>IF(VLOOKUP(CONCATENATE(H81,F81,DY$2),Inglés!$A:$H,7,FALSE)=AM81,1,0)</f>
        <v>#N/A</v>
      </c>
      <c r="DZ81" s="138" t="e">
        <f>IF(VLOOKUP(CONCATENATE(H81,F81,DZ$2),Inglés!$A:$H,7,FALSE)=AN81,1,0)</f>
        <v>#N/A</v>
      </c>
      <c r="EA81" s="138" t="e">
        <f>IF(VLOOKUP(CONCATENATE(H81,F81,EA$2),Inglés!$A:$H,7,FALSE)=AO81,1,0)</f>
        <v>#N/A</v>
      </c>
      <c r="EB81" s="138" t="e">
        <f>IF(VLOOKUP(CONCATENATE(H81,F81,EB$2),Matemáticas!$A:$H,7,FALSE)=AP81,1,0)</f>
        <v>#N/A</v>
      </c>
      <c r="EC81" s="138" t="e">
        <f>IF(VLOOKUP(CONCATENATE(H81,F81,EC$2),Matemáticas!$A:$H,7,FALSE)=AQ81,1,0)</f>
        <v>#N/A</v>
      </c>
      <c r="ED81" s="138" t="e">
        <f>IF(VLOOKUP(CONCATENATE(H81,F81,ED$2),Matemáticas!$A:$H,7,FALSE)=AR81,1,0)</f>
        <v>#N/A</v>
      </c>
      <c r="EE81" s="138" t="e">
        <f>IF(VLOOKUP(CONCATENATE(H81,F81,EE$2),Matemáticas!$A:$H,7,FALSE)=AS81,1,0)</f>
        <v>#N/A</v>
      </c>
      <c r="EF81" s="138" t="e">
        <f>IF(VLOOKUP(CONCATENATE(H81,F81,EF$2),Matemáticas!$A:$H,7,FALSE)=AT81,1,0)</f>
        <v>#N/A</v>
      </c>
      <c r="EG81" s="138" t="e">
        <f>IF(VLOOKUP(CONCATENATE(H81,F81,EG$2),Matemáticas!$A:$H,7,FALSE)=AU81,1,0)</f>
        <v>#N/A</v>
      </c>
      <c r="EH81" s="138" t="e">
        <f>IF(VLOOKUP(CONCATENATE(H81,F81,EH$2),Matemáticas!$A:$H,7,FALSE)=AV81,1,0)</f>
        <v>#N/A</v>
      </c>
      <c r="EI81" s="138" t="e">
        <f>IF(VLOOKUP(CONCATENATE(H81,F81,EI$2),Matemáticas!$A:$H,7,FALSE)=AW81,1,0)</f>
        <v>#N/A</v>
      </c>
      <c r="EJ81" s="138" t="e">
        <f>IF(VLOOKUP(CONCATENATE(H81,F81,EJ$2),Matemáticas!$A:$H,7,FALSE)=AX81,1,0)</f>
        <v>#N/A</v>
      </c>
      <c r="EK81" s="138" t="e">
        <f>IF(VLOOKUP(CONCATENATE(H81,F81,EK$2),Matemáticas!$A:$H,7,FALSE)=AY81,1,0)</f>
        <v>#N/A</v>
      </c>
      <c r="EL81" s="138" t="e">
        <f>IF(VLOOKUP(CONCATENATE(H81,F81,EL$2),Matemáticas!$A:$H,7,FALSE)=AZ81,1,0)</f>
        <v>#N/A</v>
      </c>
      <c r="EM81" s="138" t="e">
        <f>IF(VLOOKUP(CONCATENATE(H81,F81,EM$2),Matemáticas!$A:$H,7,FALSE)=BA81,1,0)</f>
        <v>#N/A</v>
      </c>
      <c r="EN81" s="138" t="e">
        <f>IF(VLOOKUP(CONCATENATE(H81,F81,EN$2),Matemáticas!$A:$H,7,FALSE)=BB81,1,0)</f>
        <v>#N/A</v>
      </c>
      <c r="EO81" s="138" t="e">
        <f>IF(VLOOKUP(CONCATENATE(H81,F81,EO$2),Matemáticas!$A:$H,7,FALSE)=BC81,1,0)</f>
        <v>#N/A</v>
      </c>
      <c r="EP81" s="138" t="e">
        <f>IF(VLOOKUP(CONCATENATE(H81,F81,EP$2),Matemáticas!$A:$H,7,FALSE)=BD81,1,0)</f>
        <v>#N/A</v>
      </c>
      <c r="EQ81" s="138" t="e">
        <f>IF(VLOOKUP(CONCATENATE(H81,F81,EQ$2),Matemáticas!$A:$H,7,FALSE)=BE81,1,0)</f>
        <v>#N/A</v>
      </c>
      <c r="ER81" s="138" t="e">
        <f>IF(VLOOKUP(CONCATENATE(H81,F81,ER$2),Matemáticas!$A:$H,7,FALSE)=BF81,1,0)</f>
        <v>#N/A</v>
      </c>
      <c r="ES81" s="138" t="e">
        <f>IF(VLOOKUP(CONCATENATE(H81,F81,ES$2),Matemáticas!$A:$H,7,FALSE)=BG81,1,0)</f>
        <v>#N/A</v>
      </c>
      <c r="ET81" s="138" t="e">
        <f>IF(VLOOKUP(CONCATENATE(H81,F81,ET$2),Matemáticas!$A:$H,7,FALSE)=BH81,1,0)</f>
        <v>#N/A</v>
      </c>
      <c r="EU81" s="138" t="e">
        <f>IF(VLOOKUP(CONCATENATE(H81,F81,EU$2),Matemáticas!$A:$H,7,FALSE)=BI81,1,0)</f>
        <v>#N/A</v>
      </c>
      <c r="EV81" s="138" t="e">
        <f>IF(VLOOKUP(CONCATENATE(H81,F81,EV$2),Ciencias!$A:$H,7,FALSE)=BJ81,1,0)</f>
        <v>#N/A</v>
      </c>
      <c r="EW81" s="138" t="e">
        <f>IF(VLOOKUP(CONCATENATE(H81,F81,EW$2),Ciencias!$A:$H,7,FALSE)=BK81,1,0)</f>
        <v>#N/A</v>
      </c>
      <c r="EX81" s="138" t="e">
        <f>IF(VLOOKUP(CONCATENATE(H81,F81,EX$2),Ciencias!$A:$H,7,FALSE)=BL81,1,0)</f>
        <v>#N/A</v>
      </c>
      <c r="EY81" s="138" t="e">
        <f>IF(VLOOKUP(CONCATENATE(H81,F81,EY$2),Ciencias!$A:$H,7,FALSE)=BM81,1,0)</f>
        <v>#N/A</v>
      </c>
      <c r="EZ81" s="138" t="e">
        <f>IF(VLOOKUP(CONCATENATE(H81,F81,EZ$2),Ciencias!$A:$H,7,FALSE)=BN81,1,0)</f>
        <v>#N/A</v>
      </c>
      <c r="FA81" s="138" t="e">
        <f>IF(VLOOKUP(CONCATENATE(H81,F81,FA$2),Ciencias!$A:$H,7,FALSE)=BO81,1,0)</f>
        <v>#N/A</v>
      </c>
      <c r="FB81" s="138" t="e">
        <f>IF(VLOOKUP(CONCATENATE(H81,F81,FB$2),Ciencias!$A:$H,7,FALSE)=BP81,1,0)</f>
        <v>#N/A</v>
      </c>
      <c r="FC81" s="138" t="e">
        <f>IF(VLOOKUP(CONCATENATE(H81,F81,FC$2),Ciencias!$A:$H,7,FALSE)=BQ81,1,0)</f>
        <v>#N/A</v>
      </c>
      <c r="FD81" s="138" t="e">
        <f>IF(VLOOKUP(CONCATENATE(H81,F81,FD$2),Ciencias!$A:$H,7,FALSE)=BR81,1,0)</f>
        <v>#N/A</v>
      </c>
      <c r="FE81" s="138" t="e">
        <f>IF(VLOOKUP(CONCATENATE(H81,F81,FE$2),Ciencias!$A:$H,7,FALSE)=BS81,1,0)</f>
        <v>#N/A</v>
      </c>
      <c r="FF81" s="138" t="e">
        <f>IF(VLOOKUP(CONCATENATE(H81,F81,FF$2),Ciencias!$A:$H,7,FALSE)=BT81,1,0)</f>
        <v>#N/A</v>
      </c>
      <c r="FG81" s="138" t="e">
        <f>IF(VLOOKUP(CONCATENATE(H81,F81,FG$2),Ciencias!$A:$H,7,FALSE)=BU81,1,0)</f>
        <v>#N/A</v>
      </c>
      <c r="FH81" s="138" t="e">
        <f>IF(VLOOKUP(CONCATENATE(H81,F81,FH$2),Ciencias!$A:$H,7,FALSE)=BV81,1,0)</f>
        <v>#N/A</v>
      </c>
      <c r="FI81" s="138" t="e">
        <f>IF(VLOOKUP(CONCATENATE(H81,F81,FI$2),Ciencias!$A:$H,7,FALSE)=BW81,1,0)</f>
        <v>#N/A</v>
      </c>
      <c r="FJ81" s="138" t="e">
        <f>IF(VLOOKUP(CONCATENATE(H81,F81,FJ$2),Ciencias!$A:$H,7,FALSE)=BX81,1,0)</f>
        <v>#N/A</v>
      </c>
      <c r="FK81" s="138" t="e">
        <f>IF(VLOOKUP(CONCATENATE(H81,F81,FK$2),Ciencias!$A:$H,7,FALSE)=BY81,1,0)</f>
        <v>#N/A</v>
      </c>
      <c r="FL81" s="138" t="e">
        <f>IF(VLOOKUP(CONCATENATE(H81,F81,FL$2),Ciencias!$A:$H,7,FALSE)=BZ81,1,0)</f>
        <v>#N/A</v>
      </c>
      <c r="FM81" s="138" t="e">
        <f>IF(VLOOKUP(CONCATENATE(H81,F81,FM$2),Ciencias!$A:$H,7,FALSE)=CA81,1,0)</f>
        <v>#N/A</v>
      </c>
      <c r="FN81" s="138" t="e">
        <f>IF(VLOOKUP(CONCATENATE(H81,F81,FN$2),Ciencias!$A:$H,7,FALSE)=CB81,1,0)</f>
        <v>#N/A</v>
      </c>
      <c r="FO81" s="138" t="e">
        <f>IF(VLOOKUP(CONCATENATE(H81,F81,FO$2),Ciencias!$A:$H,7,FALSE)=CC81,1,0)</f>
        <v>#N/A</v>
      </c>
      <c r="FP81" s="138" t="e">
        <f>IF(VLOOKUP(CONCATENATE(H81,F81,FP$2),GeoHis!$A:$H,7,FALSE)=CD81,1,0)</f>
        <v>#N/A</v>
      </c>
      <c r="FQ81" s="138" t="e">
        <f>IF(VLOOKUP(CONCATENATE(H81,F81,FQ$2),GeoHis!$A:$H,7,FALSE)=CE81,1,0)</f>
        <v>#N/A</v>
      </c>
      <c r="FR81" s="138" t="e">
        <f>IF(VLOOKUP(CONCATENATE(H81,F81,FR$2),GeoHis!$A:$H,7,FALSE)=CF81,1,0)</f>
        <v>#N/A</v>
      </c>
      <c r="FS81" s="138" t="e">
        <f>IF(VLOOKUP(CONCATENATE(H81,F81,FS$2),GeoHis!$A:$H,7,FALSE)=CG81,1,0)</f>
        <v>#N/A</v>
      </c>
      <c r="FT81" s="138" t="e">
        <f>IF(VLOOKUP(CONCATENATE(H81,F81,FT$2),GeoHis!$A:$H,7,FALSE)=CH81,1,0)</f>
        <v>#N/A</v>
      </c>
      <c r="FU81" s="138" t="e">
        <f>IF(VLOOKUP(CONCATENATE(H81,F81,FU$2),GeoHis!$A:$H,7,FALSE)=CI81,1,0)</f>
        <v>#N/A</v>
      </c>
      <c r="FV81" s="138" t="e">
        <f>IF(VLOOKUP(CONCATENATE(H81,F81,FV$2),GeoHis!$A:$H,7,FALSE)=CJ81,1,0)</f>
        <v>#N/A</v>
      </c>
      <c r="FW81" s="138" t="e">
        <f>IF(VLOOKUP(CONCATENATE(H81,F81,FW$2),GeoHis!$A:$H,7,FALSE)=CK81,1,0)</f>
        <v>#N/A</v>
      </c>
      <c r="FX81" s="138" t="e">
        <f>IF(VLOOKUP(CONCATENATE(H81,F81,FX$2),GeoHis!$A:$H,7,FALSE)=CL81,1,0)</f>
        <v>#N/A</v>
      </c>
      <c r="FY81" s="138" t="e">
        <f>IF(VLOOKUP(CONCATENATE(H81,F81,FY$2),GeoHis!$A:$H,7,FALSE)=CM81,1,0)</f>
        <v>#N/A</v>
      </c>
      <c r="FZ81" s="138" t="e">
        <f>IF(VLOOKUP(CONCATENATE(H81,F81,FZ$2),GeoHis!$A:$H,7,FALSE)=CN81,1,0)</f>
        <v>#N/A</v>
      </c>
      <c r="GA81" s="138" t="e">
        <f>IF(VLOOKUP(CONCATENATE(H81,F81,GA$2),GeoHis!$A:$H,7,FALSE)=CO81,1,0)</f>
        <v>#N/A</v>
      </c>
      <c r="GB81" s="138" t="e">
        <f>IF(VLOOKUP(CONCATENATE(H81,F81,GB$2),GeoHis!$A:$H,7,FALSE)=CP81,1,0)</f>
        <v>#N/A</v>
      </c>
      <c r="GC81" s="138" t="e">
        <f>IF(VLOOKUP(CONCATENATE(H81,F81,GC$2),GeoHis!$A:$H,7,FALSE)=CQ81,1,0)</f>
        <v>#N/A</v>
      </c>
      <c r="GD81" s="138" t="e">
        <f>IF(VLOOKUP(CONCATENATE(H81,F81,GD$2),GeoHis!$A:$H,7,FALSE)=CR81,1,0)</f>
        <v>#N/A</v>
      </c>
      <c r="GE81" s="135" t="str">
        <f t="shared" si="15"/>
        <v/>
      </c>
    </row>
    <row r="82" spans="1:187" x14ac:dyDescent="0.25">
      <c r="A82" s="127" t="str">
        <f>IF(C82="","",'Datos Generales'!$A$25)</f>
        <v/>
      </c>
      <c r="D82" s="126" t="str">
        <f t="shared" si="8"/>
        <v/>
      </c>
      <c r="E82" s="126">
        <f t="shared" si="9"/>
        <v>0</v>
      </c>
      <c r="F82" s="126" t="str">
        <f t="shared" si="10"/>
        <v/>
      </c>
      <c r="G82" s="126" t="str">
        <f>IF(C82="","",'Datos Generales'!$D$19)</f>
        <v/>
      </c>
      <c r="H82" s="21" t="str">
        <f>IF(C82="","",'Datos Generales'!$A$19)</f>
        <v/>
      </c>
      <c r="I82" s="126" t="str">
        <f>IF(C82="","",'Datos Generales'!$A$7)</f>
        <v/>
      </c>
      <c r="J82" s="21" t="str">
        <f>IF(C82="","",'Datos Generales'!$A$13)</f>
        <v/>
      </c>
      <c r="K82" s="21" t="str">
        <f>IF(C82="","",'Datos Generales'!$A$10)</f>
        <v/>
      </c>
      <c r="CS82" s="142" t="str">
        <f t="shared" si="11"/>
        <v/>
      </c>
      <c r="CT82" s="142" t="str">
        <f t="shared" si="12"/>
        <v/>
      </c>
      <c r="CU82" s="142" t="str">
        <f t="shared" si="13"/>
        <v/>
      </c>
      <c r="CV82" s="142" t="str">
        <f t="shared" si="14"/>
        <v/>
      </c>
      <c r="CW82" s="142" t="str">
        <f>IF(C82="","",IF('Datos Generales'!$A$19=1,AVERAGE(FP82:GD82),AVERAGE(Captura!FP82:FY82)))</f>
        <v/>
      </c>
      <c r="CX82" s="138" t="e">
        <f>IF(VLOOKUP(CONCATENATE($H$4,$F$4,CX$2),Español!$A:$H,7,FALSE)=L82,1,0)</f>
        <v>#N/A</v>
      </c>
      <c r="CY82" s="138" t="e">
        <f>IF(VLOOKUP(CONCATENATE(H82,F82,CY$2),Español!$A:$H,7,FALSE)=M82,1,0)</f>
        <v>#N/A</v>
      </c>
      <c r="CZ82" s="138" t="e">
        <f>IF(VLOOKUP(CONCATENATE(H82,F82,CZ$2),Español!$A:$H,7,FALSE)=N82,1,0)</f>
        <v>#N/A</v>
      </c>
      <c r="DA82" s="138" t="e">
        <f>IF(VLOOKUP(CONCATENATE(H82,F82,DA$2),Español!$A:$H,7,FALSE)=O82,1,0)</f>
        <v>#N/A</v>
      </c>
      <c r="DB82" s="138" t="e">
        <f>IF(VLOOKUP(CONCATENATE(H82,F82,DB$2),Español!$A:$H,7,FALSE)=P82,1,0)</f>
        <v>#N/A</v>
      </c>
      <c r="DC82" s="138" t="e">
        <f>IF(VLOOKUP(CONCATENATE(H82,F82,DC$2),Español!$A:$H,7,FALSE)=Q82,1,0)</f>
        <v>#N/A</v>
      </c>
      <c r="DD82" s="138" t="e">
        <f>IF(VLOOKUP(CONCATENATE(H82,F82,DD$2),Español!$A:$H,7,FALSE)=R82,1,0)</f>
        <v>#N/A</v>
      </c>
      <c r="DE82" s="138" t="e">
        <f>IF(VLOOKUP(CONCATENATE(H82,F82,DE$2),Español!$A:$H,7,FALSE)=S82,1,0)</f>
        <v>#N/A</v>
      </c>
      <c r="DF82" s="138" t="e">
        <f>IF(VLOOKUP(CONCATENATE(H82,F82,DF$2),Español!$A:$H,7,FALSE)=T82,1,0)</f>
        <v>#N/A</v>
      </c>
      <c r="DG82" s="138" t="e">
        <f>IF(VLOOKUP(CONCATENATE(H82,F82,DG$2),Español!$A:$H,7,FALSE)=U82,1,0)</f>
        <v>#N/A</v>
      </c>
      <c r="DH82" s="138" t="e">
        <f>IF(VLOOKUP(CONCATENATE(H82,F82,DH$2),Español!$A:$H,7,FALSE)=V82,1,0)</f>
        <v>#N/A</v>
      </c>
      <c r="DI82" s="138" t="e">
        <f>IF(VLOOKUP(CONCATENATE(H82,F82,DI$2),Español!$A:$H,7,FALSE)=W82,1,0)</f>
        <v>#N/A</v>
      </c>
      <c r="DJ82" s="138" t="e">
        <f>IF(VLOOKUP(CONCATENATE(H82,F82,DJ$2),Español!$A:$H,7,FALSE)=X82,1,0)</f>
        <v>#N/A</v>
      </c>
      <c r="DK82" s="138" t="e">
        <f>IF(VLOOKUP(CONCATENATE(H82,F82,DK$2),Español!$A:$H,7,FALSE)=Y82,1,0)</f>
        <v>#N/A</v>
      </c>
      <c r="DL82" s="138" t="e">
        <f>IF(VLOOKUP(CONCATENATE(H82,F82,DL$2),Español!$A:$H,7,FALSE)=Z82,1,0)</f>
        <v>#N/A</v>
      </c>
      <c r="DM82" s="138" t="e">
        <f>IF(VLOOKUP(CONCATENATE(H82,F82,DM$2),Español!$A:$H,7,FALSE)=AA82,1,0)</f>
        <v>#N/A</v>
      </c>
      <c r="DN82" s="138" t="e">
        <f>IF(VLOOKUP(CONCATENATE(H82,F82,DN$2),Español!$A:$H,7,FALSE)=AB82,1,0)</f>
        <v>#N/A</v>
      </c>
      <c r="DO82" s="138" t="e">
        <f>IF(VLOOKUP(CONCATENATE(H82,F82,DO$2),Español!$A:$H,7,FALSE)=AC82,1,0)</f>
        <v>#N/A</v>
      </c>
      <c r="DP82" s="138" t="e">
        <f>IF(VLOOKUP(CONCATENATE(H82,F82,DP$2),Español!$A:$H,7,FALSE)=AD82,1,0)</f>
        <v>#N/A</v>
      </c>
      <c r="DQ82" s="138" t="e">
        <f>IF(VLOOKUP(CONCATENATE(H82,F82,DQ$2),Español!$A:$H,7,FALSE)=AE82,1,0)</f>
        <v>#N/A</v>
      </c>
      <c r="DR82" s="138" t="e">
        <f>IF(VLOOKUP(CONCATENATE(H82,F82,DR$2),Inglés!$A:$H,7,FALSE)=AF82,1,0)</f>
        <v>#N/A</v>
      </c>
      <c r="DS82" s="138" t="e">
        <f>IF(VLOOKUP(CONCATENATE(H82,F82,DS$2),Inglés!$A:$H,7,FALSE)=AG82,1,0)</f>
        <v>#N/A</v>
      </c>
      <c r="DT82" s="138" t="e">
        <f>IF(VLOOKUP(CONCATENATE(H82,F82,DT$2),Inglés!$A:$H,7,FALSE)=AH82,1,0)</f>
        <v>#N/A</v>
      </c>
      <c r="DU82" s="138" t="e">
        <f>IF(VLOOKUP(CONCATENATE(H82,F82,DU$2),Inglés!$A:$H,7,FALSE)=AI82,1,0)</f>
        <v>#N/A</v>
      </c>
      <c r="DV82" s="138" t="e">
        <f>IF(VLOOKUP(CONCATENATE(H82,F82,DV$2),Inglés!$A:$H,7,FALSE)=AJ82,1,0)</f>
        <v>#N/A</v>
      </c>
      <c r="DW82" s="138" t="e">
        <f>IF(VLOOKUP(CONCATENATE(H82,F82,DW$2),Inglés!$A:$H,7,FALSE)=AK82,1,0)</f>
        <v>#N/A</v>
      </c>
      <c r="DX82" s="138" t="e">
        <f>IF(VLOOKUP(CONCATENATE(H82,F82,DX$2),Inglés!$A:$H,7,FALSE)=AL82,1,0)</f>
        <v>#N/A</v>
      </c>
      <c r="DY82" s="138" t="e">
        <f>IF(VLOOKUP(CONCATENATE(H82,F82,DY$2),Inglés!$A:$H,7,FALSE)=AM82,1,0)</f>
        <v>#N/A</v>
      </c>
      <c r="DZ82" s="138" t="e">
        <f>IF(VLOOKUP(CONCATENATE(H82,F82,DZ$2),Inglés!$A:$H,7,FALSE)=AN82,1,0)</f>
        <v>#N/A</v>
      </c>
      <c r="EA82" s="138" t="e">
        <f>IF(VLOOKUP(CONCATENATE(H82,F82,EA$2),Inglés!$A:$H,7,FALSE)=AO82,1,0)</f>
        <v>#N/A</v>
      </c>
      <c r="EB82" s="138" t="e">
        <f>IF(VLOOKUP(CONCATENATE(H82,F82,EB$2),Matemáticas!$A:$H,7,FALSE)=AP82,1,0)</f>
        <v>#N/A</v>
      </c>
      <c r="EC82" s="138" t="e">
        <f>IF(VLOOKUP(CONCATENATE(H82,F82,EC$2),Matemáticas!$A:$H,7,FALSE)=AQ82,1,0)</f>
        <v>#N/A</v>
      </c>
      <c r="ED82" s="138" t="e">
        <f>IF(VLOOKUP(CONCATENATE(H82,F82,ED$2),Matemáticas!$A:$H,7,FALSE)=AR82,1,0)</f>
        <v>#N/A</v>
      </c>
      <c r="EE82" s="138" t="e">
        <f>IF(VLOOKUP(CONCATENATE(H82,F82,EE$2),Matemáticas!$A:$H,7,FALSE)=AS82,1,0)</f>
        <v>#N/A</v>
      </c>
      <c r="EF82" s="138" t="e">
        <f>IF(VLOOKUP(CONCATENATE(H82,F82,EF$2),Matemáticas!$A:$H,7,FALSE)=AT82,1,0)</f>
        <v>#N/A</v>
      </c>
      <c r="EG82" s="138" t="e">
        <f>IF(VLOOKUP(CONCATENATE(H82,F82,EG$2),Matemáticas!$A:$H,7,FALSE)=AU82,1,0)</f>
        <v>#N/A</v>
      </c>
      <c r="EH82" s="138" t="e">
        <f>IF(VLOOKUP(CONCATENATE(H82,F82,EH$2),Matemáticas!$A:$H,7,FALSE)=AV82,1,0)</f>
        <v>#N/A</v>
      </c>
      <c r="EI82" s="138" t="e">
        <f>IF(VLOOKUP(CONCATENATE(H82,F82,EI$2),Matemáticas!$A:$H,7,FALSE)=AW82,1,0)</f>
        <v>#N/A</v>
      </c>
      <c r="EJ82" s="138" t="e">
        <f>IF(VLOOKUP(CONCATENATE(H82,F82,EJ$2),Matemáticas!$A:$H,7,FALSE)=AX82,1,0)</f>
        <v>#N/A</v>
      </c>
      <c r="EK82" s="138" t="e">
        <f>IF(VLOOKUP(CONCATENATE(H82,F82,EK$2),Matemáticas!$A:$H,7,FALSE)=AY82,1,0)</f>
        <v>#N/A</v>
      </c>
      <c r="EL82" s="138" t="e">
        <f>IF(VLOOKUP(CONCATENATE(H82,F82,EL$2),Matemáticas!$A:$H,7,FALSE)=AZ82,1,0)</f>
        <v>#N/A</v>
      </c>
      <c r="EM82" s="138" t="e">
        <f>IF(VLOOKUP(CONCATENATE(H82,F82,EM$2),Matemáticas!$A:$H,7,FALSE)=BA82,1,0)</f>
        <v>#N/A</v>
      </c>
      <c r="EN82" s="138" t="e">
        <f>IF(VLOOKUP(CONCATENATE(H82,F82,EN$2),Matemáticas!$A:$H,7,FALSE)=BB82,1,0)</f>
        <v>#N/A</v>
      </c>
      <c r="EO82" s="138" t="e">
        <f>IF(VLOOKUP(CONCATENATE(H82,F82,EO$2),Matemáticas!$A:$H,7,FALSE)=BC82,1,0)</f>
        <v>#N/A</v>
      </c>
      <c r="EP82" s="138" t="e">
        <f>IF(VLOOKUP(CONCATENATE(H82,F82,EP$2),Matemáticas!$A:$H,7,FALSE)=BD82,1,0)</f>
        <v>#N/A</v>
      </c>
      <c r="EQ82" s="138" t="e">
        <f>IF(VLOOKUP(CONCATENATE(H82,F82,EQ$2),Matemáticas!$A:$H,7,FALSE)=BE82,1,0)</f>
        <v>#N/A</v>
      </c>
      <c r="ER82" s="138" t="e">
        <f>IF(VLOOKUP(CONCATENATE(H82,F82,ER$2),Matemáticas!$A:$H,7,FALSE)=BF82,1,0)</f>
        <v>#N/A</v>
      </c>
      <c r="ES82" s="138" t="e">
        <f>IF(VLOOKUP(CONCATENATE(H82,F82,ES$2),Matemáticas!$A:$H,7,FALSE)=BG82,1,0)</f>
        <v>#N/A</v>
      </c>
      <c r="ET82" s="138" t="e">
        <f>IF(VLOOKUP(CONCATENATE(H82,F82,ET$2),Matemáticas!$A:$H,7,FALSE)=BH82,1,0)</f>
        <v>#N/A</v>
      </c>
      <c r="EU82" s="138" t="e">
        <f>IF(VLOOKUP(CONCATENATE(H82,F82,EU$2),Matemáticas!$A:$H,7,FALSE)=BI82,1,0)</f>
        <v>#N/A</v>
      </c>
      <c r="EV82" s="138" t="e">
        <f>IF(VLOOKUP(CONCATENATE(H82,F82,EV$2),Ciencias!$A:$H,7,FALSE)=BJ82,1,0)</f>
        <v>#N/A</v>
      </c>
      <c r="EW82" s="138" t="e">
        <f>IF(VLOOKUP(CONCATENATE(H82,F82,EW$2),Ciencias!$A:$H,7,FALSE)=BK82,1,0)</f>
        <v>#N/A</v>
      </c>
      <c r="EX82" s="138" t="e">
        <f>IF(VLOOKUP(CONCATENATE(H82,F82,EX$2),Ciencias!$A:$H,7,FALSE)=BL82,1,0)</f>
        <v>#N/A</v>
      </c>
      <c r="EY82" s="138" t="e">
        <f>IF(VLOOKUP(CONCATENATE(H82,F82,EY$2),Ciencias!$A:$H,7,FALSE)=BM82,1,0)</f>
        <v>#N/A</v>
      </c>
      <c r="EZ82" s="138" t="e">
        <f>IF(VLOOKUP(CONCATENATE(H82,F82,EZ$2),Ciencias!$A:$H,7,FALSE)=BN82,1,0)</f>
        <v>#N/A</v>
      </c>
      <c r="FA82" s="138" t="e">
        <f>IF(VLOOKUP(CONCATENATE(H82,F82,FA$2),Ciencias!$A:$H,7,FALSE)=BO82,1,0)</f>
        <v>#N/A</v>
      </c>
      <c r="FB82" s="138" t="e">
        <f>IF(VLOOKUP(CONCATENATE(H82,F82,FB$2),Ciencias!$A:$H,7,FALSE)=BP82,1,0)</f>
        <v>#N/A</v>
      </c>
      <c r="FC82" s="138" t="e">
        <f>IF(VLOOKUP(CONCATENATE(H82,F82,FC$2),Ciencias!$A:$H,7,FALSE)=BQ82,1,0)</f>
        <v>#N/A</v>
      </c>
      <c r="FD82" s="138" t="e">
        <f>IF(VLOOKUP(CONCATENATE(H82,F82,FD$2),Ciencias!$A:$H,7,FALSE)=BR82,1,0)</f>
        <v>#N/A</v>
      </c>
      <c r="FE82" s="138" t="e">
        <f>IF(VLOOKUP(CONCATENATE(H82,F82,FE$2),Ciencias!$A:$H,7,FALSE)=BS82,1,0)</f>
        <v>#N/A</v>
      </c>
      <c r="FF82" s="138" t="e">
        <f>IF(VLOOKUP(CONCATENATE(H82,F82,FF$2),Ciencias!$A:$H,7,FALSE)=BT82,1,0)</f>
        <v>#N/A</v>
      </c>
      <c r="FG82" s="138" t="e">
        <f>IF(VLOOKUP(CONCATENATE(H82,F82,FG$2),Ciencias!$A:$H,7,FALSE)=BU82,1,0)</f>
        <v>#N/A</v>
      </c>
      <c r="FH82" s="138" t="e">
        <f>IF(VLOOKUP(CONCATENATE(H82,F82,FH$2),Ciencias!$A:$H,7,FALSE)=BV82,1,0)</f>
        <v>#N/A</v>
      </c>
      <c r="FI82" s="138" t="e">
        <f>IF(VLOOKUP(CONCATENATE(H82,F82,FI$2),Ciencias!$A:$H,7,FALSE)=BW82,1,0)</f>
        <v>#N/A</v>
      </c>
      <c r="FJ82" s="138" t="e">
        <f>IF(VLOOKUP(CONCATENATE(H82,F82,FJ$2),Ciencias!$A:$H,7,FALSE)=BX82,1,0)</f>
        <v>#N/A</v>
      </c>
      <c r="FK82" s="138" t="e">
        <f>IF(VLOOKUP(CONCATENATE(H82,F82,FK$2),Ciencias!$A:$H,7,FALSE)=BY82,1,0)</f>
        <v>#N/A</v>
      </c>
      <c r="FL82" s="138" t="e">
        <f>IF(VLOOKUP(CONCATENATE(H82,F82,FL$2),Ciencias!$A:$H,7,FALSE)=BZ82,1,0)</f>
        <v>#N/A</v>
      </c>
      <c r="FM82" s="138" t="e">
        <f>IF(VLOOKUP(CONCATENATE(H82,F82,FM$2),Ciencias!$A:$H,7,FALSE)=CA82,1,0)</f>
        <v>#N/A</v>
      </c>
      <c r="FN82" s="138" t="e">
        <f>IF(VLOOKUP(CONCATENATE(H82,F82,FN$2),Ciencias!$A:$H,7,FALSE)=CB82,1,0)</f>
        <v>#N/A</v>
      </c>
      <c r="FO82" s="138" t="e">
        <f>IF(VLOOKUP(CONCATENATE(H82,F82,FO$2),Ciencias!$A:$H,7,FALSE)=CC82,1,0)</f>
        <v>#N/A</v>
      </c>
      <c r="FP82" s="138" t="e">
        <f>IF(VLOOKUP(CONCATENATE(H82,F82,FP$2),GeoHis!$A:$H,7,FALSE)=CD82,1,0)</f>
        <v>#N/A</v>
      </c>
      <c r="FQ82" s="138" t="e">
        <f>IF(VLOOKUP(CONCATENATE(H82,F82,FQ$2),GeoHis!$A:$H,7,FALSE)=CE82,1,0)</f>
        <v>#N/A</v>
      </c>
      <c r="FR82" s="138" t="e">
        <f>IF(VLOOKUP(CONCATENATE(H82,F82,FR$2),GeoHis!$A:$H,7,FALSE)=CF82,1,0)</f>
        <v>#N/A</v>
      </c>
      <c r="FS82" s="138" t="e">
        <f>IF(VLOOKUP(CONCATENATE(H82,F82,FS$2),GeoHis!$A:$H,7,FALSE)=CG82,1,0)</f>
        <v>#N/A</v>
      </c>
      <c r="FT82" s="138" t="e">
        <f>IF(VLOOKUP(CONCATENATE(H82,F82,FT$2),GeoHis!$A:$H,7,FALSE)=CH82,1,0)</f>
        <v>#N/A</v>
      </c>
      <c r="FU82" s="138" t="e">
        <f>IF(VLOOKUP(CONCATENATE(H82,F82,FU$2),GeoHis!$A:$H,7,FALSE)=CI82,1,0)</f>
        <v>#N/A</v>
      </c>
      <c r="FV82" s="138" t="e">
        <f>IF(VLOOKUP(CONCATENATE(H82,F82,FV$2),GeoHis!$A:$H,7,FALSE)=CJ82,1,0)</f>
        <v>#N/A</v>
      </c>
      <c r="FW82" s="138" t="e">
        <f>IF(VLOOKUP(CONCATENATE(H82,F82,FW$2),GeoHis!$A:$H,7,FALSE)=CK82,1,0)</f>
        <v>#N/A</v>
      </c>
      <c r="FX82" s="138" t="e">
        <f>IF(VLOOKUP(CONCATENATE(H82,F82,FX$2),GeoHis!$A:$H,7,FALSE)=CL82,1,0)</f>
        <v>#N/A</v>
      </c>
      <c r="FY82" s="138" t="e">
        <f>IF(VLOOKUP(CONCATENATE(H82,F82,FY$2),GeoHis!$A:$H,7,FALSE)=CM82,1,0)</f>
        <v>#N/A</v>
      </c>
      <c r="FZ82" s="138" t="e">
        <f>IF(VLOOKUP(CONCATENATE(H82,F82,FZ$2),GeoHis!$A:$H,7,FALSE)=CN82,1,0)</f>
        <v>#N/A</v>
      </c>
      <c r="GA82" s="138" t="e">
        <f>IF(VLOOKUP(CONCATENATE(H82,F82,GA$2),GeoHis!$A:$H,7,FALSE)=CO82,1,0)</f>
        <v>#N/A</v>
      </c>
      <c r="GB82" s="138" t="e">
        <f>IF(VLOOKUP(CONCATENATE(H82,F82,GB$2),GeoHis!$A:$H,7,FALSE)=CP82,1,0)</f>
        <v>#N/A</v>
      </c>
      <c r="GC82" s="138" t="e">
        <f>IF(VLOOKUP(CONCATENATE(H82,F82,GC$2),GeoHis!$A:$H,7,FALSE)=CQ82,1,0)</f>
        <v>#N/A</v>
      </c>
      <c r="GD82" s="138" t="e">
        <f>IF(VLOOKUP(CONCATENATE(H82,F82,GD$2),GeoHis!$A:$H,7,FALSE)=CR82,1,0)</f>
        <v>#N/A</v>
      </c>
      <c r="GE82" s="135" t="str">
        <f t="shared" si="15"/>
        <v/>
      </c>
    </row>
    <row r="83" spans="1:187" x14ac:dyDescent="0.25">
      <c r="A83" s="127" t="str">
        <f>IF(C83="","",'Datos Generales'!$A$25)</f>
        <v/>
      </c>
      <c r="D83" s="126" t="str">
        <f t="shared" si="8"/>
        <v/>
      </c>
      <c r="E83" s="126">
        <f t="shared" si="9"/>
        <v>0</v>
      </c>
      <c r="F83" s="126" t="str">
        <f t="shared" si="10"/>
        <v/>
      </c>
      <c r="G83" s="126" t="str">
        <f>IF(C83="","",'Datos Generales'!$D$19)</f>
        <v/>
      </c>
      <c r="H83" s="21" t="str">
        <f>IF(C83="","",'Datos Generales'!$A$19)</f>
        <v/>
      </c>
      <c r="I83" s="126" t="str">
        <f>IF(C83="","",'Datos Generales'!$A$7)</f>
        <v/>
      </c>
      <c r="J83" s="21" t="str">
        <f>IF(C83="","",'Datos Generales'!$A$13)</f>
        <v/>
      </c>
      <c r="K83" s="21" t="str">
        <f>IF(C83="","",'Datos Generales'!$A$10)</f>
        <v/>
      </c>
      <c r="CS83" s="142" t="str">
        <f t="shared" si="11"/>
        <v/>
      </c>
      <c r="CT83" s="142" t="str">
        <f t="shared" si="12"/>
        <v/>
      </c>
      <c r="CU83" s="142" t="str">
        <f t="shared" si="13"/>
        <v/>
      </c>
      <c r="CV83" s="142" t="str">
        <f t="shared" si="14"/>
        <v/>
      </c>
      <c r="CW83" s="142" t="str">
        <f>IF(C83="","",IF('Datos Generales'!$A$19=1,AVERAGE(FP83:GD83),AVERAGE(Captura!FP83:FY83)))</f>
        <v/>
      </c>
      <c r="CX83" s="138" t="e">
        <f>IF(VLOOKUP(CONCATENATE($H$4,$F$4,CX$2),Español!$A:$H,7,FALSE)=L83,1,0)</f>
        <v>#N/A</v>
      </c>
      <c r="CY83" s="138" t="e">
        <f>IF(VLOOKUP(CONCATENATE(H83,F83,CY$2),Español!$A:$H,7,FALSE)=M83,1,0)</f>
        <v>#N/A</v>
      </c>
      <c r="CZ83" s="138" t="e">
        <f>IF(VLOOKUP(CONCATENATE(H83,F83,CZ$2),Español!$A:$H,7,FALSE)=N83,1,0)</f>
        <v>#N/A</v>
      </c>
      <c r="DA83" s="138" t="e">
        <f>IF(VLOOKUP(CONCATENATE(H83,F83,DA$2),Español!$A:$H,7,FALSE)=O83,1,0)</f>
        <v>#N/A</v>
      </c>
      <c r="DB83" s="138" t="e">
        <f>IF(VLOOKUP(CONCATENATE(H83,F83,DB$2),Español!$A:$H,7,FALSE)=P83,1,0)</f>
        <v>#N/A</v>
      </c>
      <c r="DC83" s="138" t="e">
        <f>IF(VLOOKUP(CONCATENATE(H83,F83,DC$2),Español!$A:$H,7,FALSE)=Q83,1,0)</f>
        <v>#N/A</v>
      </c>
      <c r="DD83" s="138" t="e">
        <f>IF(VLOOKUP(CONCATENATE(H83,F83,DD$2),Español!$A:$H,7,FALSE)=R83,1,0)</f>
        <v>#N/A</v>
      </c>
      <c r="DE83" s="138" t="e">
        <f>IF(VLOOKUP(CONCATENATE(H83,F83,DE$2),Español!$A:$H,7,FALSE)=S83,1,0)</f>
        <v>#N/A</v>
      </c>
      <c r="DF83" s="138" t="e">
        <f>IF(VLOOKUP(CONCATENATE(H83,F83,DF$2),Español!$A:$H,7,FALSE)=T83,1,0)</f>
        <v>#N/A</v>
      </c>
      <c r="DG83" s="138" t="e">
        <f>IF(VLOOKUP(CONCATENATE(H83,F83,DG$2),Español!$A:$H,7,FALSE)=U83,1,0)</f>
        <v>#N/A</v>
      </c>
      <c r="DH83" s="138" t="e">
        <f>IF(VLOOKUP(CONCATENATE(H83,F83,DH$2),Español!$A:$H,7,FALSE)=V83,1,0)</f>
        <v>#N/A</v>
      </c>
      <c r="DI83" s="138" t="e">
        <f>IF(VLOOKUP(CONCATENATE(H83,F83,DI$2),Español!$A:$H,7,FALSE)=W83,1,0)</f>
        <v>#N/A</v>
      </c>
      <c r="DJ83" s="138" t="e">
        <f>IF(VLOOKUP(CONCATENATE(H83,F83,DJ$2),Español!$A:$H,7,FALSE)=X83,1,0)</f>
        <v>#N/A</v>
      </c>
      <c r="DK83" s="138" t="e">
        <f>IF(VLOOKUP(CONCATENATE(H83,F83,DK$2),Español!$A:$H,7,FALSE)=Y83,1,0)</f>
        <v>#N/A</v>
      </c>
      <c r="DL83" s="138" t="e">
        <f>IF(VLOOKUP(CONCATENATE(H83,F83,DL$2),Español!$A:$H,7,FALSE)=Z83,1,0)</f>
        <v>#N/A</v>
      </c>
      <c r="DM83" s="138" t="e">
        <f>IF(VLOOKUP(CONCATENATE(H83,F83,DM$2),Español!$A:$H,7,FALSE)=AA83,1,0)</f>
        <v>#N/A</v>
      </c>
      <c r="DN83" s="138" t="e">
        <f>IF(VLOOKUP(CONCATENATE(H83,F83,DN$2),Español!$A:$H,7,FALSE)=AB83,1,0)</f>
        <v>#N/A</v>
      </c>
      <c r="DO83" s="138" t="e">
        <f>IF(VLOOKUP(CONCATENATE(H83,F83,DO$2),Español!$A:$H,7,FALSE)=AC83,1,0)</f>
        <v>#N/A</v>
      </c>
      <c r="DP83" s="138" t="e">
        <f>IF(VLOOKUP(CONCATENATE(H83,F83,DP$2),Español!$A:$H,7,FALSE)=AD83,1,0)</f>
        <v>#N/A</v>
      </c>
      <c r="DQ83" s="138" t="e">
        <f>IF(VLOOKUP(CONCATENATE(H83,F83,DQ$2),Español!$A:$H,7,FALSE)=AE83,1,0)</f>
        <v>#N/A</v>
      </c>
      <c r="DR83" s="138" t="e">
        <f>IF(VLOOKUP(CONCATENATE(H83,F83,DR$2),Inglés!$A:$H,7,FALSE)=AF83,1,0)</f>
        <v>#N/A</v>
      </c>
      <c r="DS83" s="138" t="e">
        <f>IF(VLOOKUP(CONCATENATE(H83,F83,DS$2),Inglés!$A:$H,7,FALSE)=AG83,1,0)</f>
        <v>#N/A</v>
      </c>
      <c r="DT83" s="138" t="e">
        <f>IF(VLOOKUP(CONCATENATE(H83,F83,DT$2),Inglés!$A:$H,7,FALSE)=AH83,1,0)</f>
        <v>#N/A</v>
      </c>
      <c r="DU83" s="138" t="e">
        <f>IF(VLOOKUP(CONCATENATE(H83,F83,DU$2),Inglés!$A:$H,7,FALSE)=AI83,1,0)</f>
        <v>#N/A</v>
      </c>
      <c r="DV83" s="138" t="e">
        <f>IF(VLOOKUP(CONCATENATE(H83,F83,DV$2),Inglés!$A:$H,7,FALSE)=AJ83,1,0)</f>
        <v>#N/A</v>
      </c>
      <c r="DW83" s="138" t="e">
        <f>IF(VLOOKUP(CONCATENATE(H83,F83,DW$2),Inglés!$A:$H,7,FALSE)=AK83,1,0)</f>
        <v>#N/A</v>
      </c>
      <c r="DX83" s="138" t="e">
        <f>IF(VLOOKUP(CONCATENATE(H83,F83,DX$2),Inglés!$A:$H,7,FALSE)=AL83,1,0)</f>
        <v>#N/A</v>
      </c>
      <c r="DY83" s="138" t="e">
        <f>IF(VLOOKUP(CONCATENATE(H83,F83,DY$2),Inglés!$A:$H,7,FALSE)=AM83,1,0)</f>
        <v>#N/A</v>
      </c>
      <c r="DZ83" s="138" t="e">
        <f>IF(VLOOKUP(CONCATENATE(H83,F83,DZ$2),Inglés!$A:$H,7,FALSE)=AN83,1,0)</f>
        <v>#N/A</v>
      </c>
      <c r="EA83" s="138" t="e">
        <f>IF(VLOOKUP(CONCATENATE(H83,F83,EA$2),Inglés!$A:$H,7,FALSE)=AO83,1,0)</f>
        <v>#N/A</v>
      </c>
      <c r="EB83" s="138" t="e">
        <f>IF(VLOOKUP(CONCATENATE(H83,F83,EB$2),Matemáticas!$A:$H,7,FALSE)=AP83,1,0)</f>
        <v>#N/A</v>
      </c>
      <c r="EC83" s="138" t="e">
        <f>IF(VLOOKUP(CONCATENATE(H83,F83,EC$2),Matemáticas!$A:$H,7,FALSE)=AQ83,1,0)</f>
        <v>#N/A</v>
      </c>
      <c r="ED83" s="138" t="e">
        <f>IF(VLOOKUP(CONCATENATE(H83,F83,ED$2),Matemáticas!$A:$H,7,FALSE)=AR83,1,0)</f>
        <v>#N/A</v>
      </c>
      <c r="EE83" s="138" t="e">
        <f>IF(VLOOKUP(CONCATENATE(H83,F83,EE$2),Matemáticas!$A:$H,7,FALSE)=AS83,1,0)</f>
        <v>#N/A</v>
      </c>
      <c r="EF83" s="138" t="e">
        <f>IF(VLOOKUP(CONCATENATE(H83,F83,EF$2),Matemáticas!$A:$H,7,FALSE)=AT83,1,0)</f>
        <v>#N/A</v>
      </c>
      <c r="EG83" s="138" t="e">
        <f>IF(VLOOKUP(CONCATENATE(H83,F83,EG$2),Matemáticas!$A:$H,7,FALSE)=AU83,1,0)</f>
        <v>#N/A</v>
      </c>
      <c r="EH83" s="138" t="e">
        <f>IF(VLOOKUP(CONCATENATE(H83,F83,EH$2),Matemáticas!$A:$H,7,FALSE)=AV83,1,0)</f>
        <v>#N/A</v>
      </c>
      <c r="EI83" s="138" t="e">
        <f>IF(VLOOKUP(CONCATENATE(H83,F83,EI$2),Matemáticas!$A:$H,7,FALSE)=AW83,1,0)</f>
        <v>#N/A</v>
      </c>
      <c r="EJ83" s="138" t="e">
        <f>IF(VLOOKUP(CONCATENATE(H83,F83,EJ$2),Matemáticas!$A:$H,7,FALSE)=AX83,1,0)</f>
        <v>#N/A</v>
      </c>
      <c r="EK83" s="138" t="e">
        <f>IF(VLOOKUP(CONCATENATE(H83,F83,EK$2),Matemáticas!$A:$H,7,FALSE)=AY83,1,0)</f>
        <v>#N/A</v>
      </c>
      <c r="EL83" s="138" t="e">
        <f>IF(VLOOKUP(CONCATENATE(H83,F83,EL$2),Matemáticas!$A:$H,7,FALSE)=AZ83,1,0)</f>
        <v>#N/A</v>
      </c>
      <c r="EM83" s="138" t="e">
        <f>IF(VLOOKUP(CONCATENATE(H83,F83,EM$2),Matemáticas!$A:$H,7,FALSE)=BA83,1,0)</f>
        <v>#N/A</v>
      </c>
      <c r="EN83" s="138" t="e">
        <f>IF(VLOOKUP(CONCATENATE(H83,F83,EN$2),Matemáticas!$A:$H,7,FALSE)=BB83,1,0)</f>
        <v>#N/A</v>
      </c>
      <c r="EO83" s="138" t="e">
        <f>IF(VLOOKUP(CONCATENATE(H83,F83,EO$2),Matemáticas!$A:$H,7,FALSE)=BC83,1,0)</f>
        <v>#N/A</v>
      </c>
      <c r="EP83" s="138" t="e">
        <f>IF(VLOOKUP(CONCATENATE(H83,F83,EP$2),Matemáticas!$A:$H,7,FALSE)=BD83,1,0)</f>
        <v>#N/A</v>
      </c>
      <c r="EQ83" s="138" t="e">
        <f>IF(VLOOKUP(CONCATENATE(H83,F83,EQ$2),Matemáticas!$A:$H,7,FALSE)=BE83,1,0)</f>
        <v>#N/A</v>
      </c>
      <c r="ER83" s="138" t="e">
        <f>IF(VLOOKUP(CONCATENATE(H83,F83,ER$2),Matemáticas!$A:$H,7,FALSE)=BF83,1,0)</f>
        <v>#N/A</v>
      </c>
      <c r="ES83" s="138" t="e">
        <f>IF(VLOOKUP(CONCATENATE(H83,F83,ES$2),Matemáticas!$A:$H,7,FALSE)=BG83,1,0)</f>
        <v>#N/A</v>
      </c>
      <c r="ET83" s="138" t="e">
        <f>IF(VLOOKUP(CONCATENATE(H83,F83,ET$2),Matemáticas!$A:$H,7,FALSE)=BH83,1,0)</f>
        <v>#N/A</v>
      </c>
      <c r="EU83" s="138" t="e">
        <f>IF(VLOOKUP(CONCATENATE(H83,F83,EU$2),Matemáticas!$A:$H,7,FALSE)=BI83,1,0)</f>
        <v>#N/A</v>
      </c>
      <c r="EV83" s="138" t="e">
        <f>IF(VLOOKUP(CONCATENATE(H83,F83,EV$2),Ciencias!$A:$H,7,FALSE)=BJ83,1,0)</f>
        <v>#N/A</v>
      </c>
      <c r="EW83" s="138" t="e">
        <f>IF(VLOOKUP(CONCATENATE(H83,F83,EW$2),Ciencias!$A:$H,7,FALSE)=BK83,1,0)</f>
        <v>#N/A</v>
      </c>
      <c r="EX83" s="138" t="e">
        <f>IF(VLOOKUP(CONCATENATE(H83,F83,EX$2),Ciencias!$A:$H,7,FALSE)=BL83,1,0)</f>
        <v>#N/A</v>
      </c>
      <c r="EY83" s="138" t="e">
        <f>IF(VLOOKUP(CONCATENATE(H83,F83,EY$2),Ciencias!$A:$H,7,FALSE)=BM83,1,0)</f>
        <v>#N/A</v>
      </c>
      <c r="EZ83" s="138" t="e">
        <f>IF(VLOOKUP(CONCATENATE(H83,F83,EZ$2),Ciencias!$A:$H,7,FALSE)=BN83,1,0)</f>
        <v>#N/A</v>
      </c>
      <c r="FA83" s="138" t="e">
        <f>IF(VLOOKUP(CONCATENATE(H83,F83,FA$2),Ciencias!$A:$H,7,FALSE)=BO83,1,0)</f>
        <v>#N/A</v>
      </c>
      <c r="FB83" s="138" t="e">
        <f>IF(VLOOKUP(CONCATENATE(H83,F83,FB$2),Ciencias!$A:$H,7,FALSE)=BP83,1,0)</f>
        <v>#N/A</v>
      </c>
      <c r="FC83" s="138" t="e">
        <f>IF(VLOOKUP(CONCATENATE(H83,F83,FC$2),Ciencias!$A:$H,7,FALSE)=BQ83,1,0)</f>
        <v>#N/A</v>
      </c>
      <c r="FD83" s="138" t="e">
        <f>IF(VLOOKUP(CONCATENATE(H83,F83,FD$2),Ciencias!$A:$H,7,FALSE)=BR83,1,0)</f>
        <v>#N/A</v>
      </c>
      <c r="FE83" s="138" t="e">
        <f>IF(VLOOKUP(CONCATENATE(H83,F83,FE$2),Ciencias!$A:$H,7,FALSE)=BS83,1,0)</f>
        <v>#N/A</v>
      </c>
      <c r="FF83" s="138" t="e">
        <f>IF(VLOOKUP(CONCATENATE(H83,F83,FF$2),Ciencias!$A:$H,7,FALSE)=BT83,1,0)</f>
        <v>#N/A</v>
      </c>
      <c r="FG83" s="138" t="e">
        <f>IF(VLOOKUP(CONCATENATE(H83,F83,FG$2),Ciencias!$A:$H,7,FALSE)=BU83,1,0)</f>
        <v>#N/A</v>
      </c>
      <c r="FH83" s="138" t="e">
        <f>IF(VLOOKUP(CONCATENATE(H83,F83,FH$2),Ciencias!$A:$H,7,FALSE)=BV83,1,0)</f>
        <v>#N/A</v>
      </c>
      <c r="FI83" s="138" t="e">
        <f>IF(VLOOKUP(CONCATENATE(H83,F83,FI$2),Ciencias!$A:$H,7,FALSE)=BW83,1,0)</f>
        <v>#N/A</v>
      </c>
      <c r="FJ83" s="138" t="e">
        <f>IF(VLOOKUP(CONCATENATE(H83,F83,FJ$2),Ciencias!$A:$H,7,FALSE)=BX83,1,0)</f>
        <v>#N/A</v>
      </c>
      <c r="FK83" s="138" t="e">
        <f>IF(VLOOKUP(CONCATENATE(H83,F83,FK$2),Ciencias!$A:$H,7,FALSE)=BY83,1,0)</f>
        <v>#N/A</v>
      </c>
      <c r="FL83" s="138" t="e">
        <f>IF(VLOOKUP(CONCATENATE(H83,F83,FL$2),Ciencias!$A:$H,7,FALSE)=BZ83,1,0)</f>
        <v>#N/A</v>
      </c>
      <c r="FM83" s="138" t="e">
        <f>IF(VLOOKUP(CONCATENATE(H83,F83,FM$2),Ciencias!$A:$H,7,FALSE)=CA83,1,0)</f>
        <v>#N/A</v>
      </c>
      <c r="FN83" s="138" t="e">
        <f>IF(VLOOKUP(CONCATENATE(H83,F83,FN$2),Ciencias!$A:$H,7,FALSE)=CB83,1,0)</f>
        <v>#N/A</v>
      </c>
      <c r="FO83" s="138" t="e">
        <f>IF(VLOOKUP(CONCATENATE(H83,F83,FO$2),Ciencias!$A:$H,7,FALSE)=CC83,1,0)</f>
        <v>#N/A</v>
      </c>
      <c r="FP83" s="138" t="e">
        <f>IF(VLOOKUP(CONCATENATE(H83,F83,FP$2),GeoHis!$A:$H,7,FALSE)=CD83,1,0)</f>
        <v>#N/A</v>
      </c>
      <c r="FQ83" s="138" t="e">
        <f>IF(VLOOKUP(CONCATENATE(H83,F83,FQ$2),GeoHis!$A:$H,7,FALSE)=CE83,1,0)</f>
        <v>#N/A</v>
      </c>
      <c r="FR83" s="138" t="e">
        <f>IF(VLOOKUP(CONCATENATE(H83,F83,FR$2),GeoHis!$A:$H,7,FALSE)=CF83,1,0)</f>
        <v>#N/A</v>
      </c>
      <c r="FS83" s="138" t="e">
        <f>IF(VLOOKUP(CONCATENATE(H83,F83,FS$2),GeoHis!$A:$H,7,FALSE)=CG83,1,0)</f>
        <v>#N/A</v>
      </c>
      <c r="FT83" s="138" t="e">
        <f>IF(VLOOKUP(CONCATENATE(H83,F83,FT$2),GeoHis!$A:$H,7,FALSE)=CH83,1,0)</f>
        <v>#N/A</v>
      </c>
      <c r="FU83" s="138" t="e">
        <f>IF(VLOOKUP(CONCATENATE(H83,F83,FU$2),GeoHis!$A:$H,7,FALSE)=CI83,1,0)</f>
        <v>#N/A</v>
      </c>
      <c r="FV83" s="138" t="e">
        <f>IF(VLOOKUP(CONCATENATE(H83,F83,FV$2),GeoHis!$A:$H,7,FALSE)=CJ83,1,0)</f>
        <v>#N/A</v>
      </c>
      <c r="FW83" s="138" t="e">
        <f>IF(VLOOKUP(CONCATENATE(H83,F83,FW$2),GeoHis!$A:$H,7,FALSE)=CK83,1,0)</f>
        <v>#N/A</v>
      </c>
      <c r="FX83" s="138" t="e">
        <f>IF(VLOOKUP(CONCATENATE(H83,F83,FX$2),GeoHis!$A:$H,7,FALSE)=CL83,1,0)</f>
        <v>#N/A</v>
      </c>
      <c r="FY83" s="138" t="e">
        <f>IF(VLOOKUP(CONCATENATE(H83,F83,FY$2),GeoHis!$A:$H,7,FALSE)=CM83,1,0)</f>
        <v>#N/A</v>
      </c>
      <c r="FZ83" s="138" t="e">
        <f>IF(VLOOKUP(CONCATENATE(H83,F83,FZ$2),GeoHis!$A:$H,7,FALSE)=CN83,1,0)</f>
        <v>#N/A</v>
      </c>
      <c r="GA83" s="138" t="e">
        <f>IF(VLOOKUP(CONCATENATE(H83,F83,GA$2),GeoHis!$A:$H,7,FALSE)=CO83,1,0)</f>
        <v>#N/A</v>
      </c>
      <c r="GB83" s="138" t="e">
        <f>IF(VLOOKUP(CONCATENATE(H83,F83,GB$2),GeoHis!$A:$H,7,FALSE)=CP83,1,0)</f>
        <v>#N/A</v>
      </c>
      <c r="GC83" s="138" t="e">
        <f>IF(VLOOKUP(CONCATENATE(H83,F83,GC$2),GeoHis!$A:$H,7,FALSE)=CQ83,1,0)</f>
        <v>#N/A</v>
      </c>
      <c r="GD83" s="138" t="e">
        <f>IF(VLOOKUP(CONCATENATE(H83,F83,GD$2),GeoHis!$A:$H,7,FALSE)=CR83,1,0)</f>
        <v>#N/A</v>
      </c>
      <c r="GE83" s="135" t="str">
        <f t="shared" si="15"/>
        <v/>
      </c>
    </row>
    <row r="84" spans="1:187" x14ac:dyDescent="0.25">
      <c r="A84" s="127" t="str">
        <f>IF(C84="","",'Datos Generales'!$A$25)</f>
        <v/>
      </c>
      <c r="D84" s="126" t="str">
        <f t="shared" si="8"/>
        <v/>
      </c>
      <c r="E84" s="126">
        <f t="shared" si="9"/>
        <v>0</v>
      </c>
      <c r="F84" s="126" t="str">
        <f t="shared" si="10"/>
        <v/>
      </c>
      <c r="G84" s="126" t="str">
        <f>IF(C84="","",'Datos Generales'!$D$19)</f>
        <v/>
      </c>
      <c r="H84" s="21" t="str">
        <f>IF(C84="","",'Datos Generales'!$A$19)</f>
        <v/>
      </c>
      <c r="I84" s="126" t="str">
        <f>IF(C84="","",'Datos Generales'!$A$7)</f>
        <v/>
      </c>
      <c r="J84" s="21" t="str">
        <f>IF(C84="","",'Datos Generales'!$A$13)</f>
        <v/>
      </c>
      <c r="K84" s="21" t="str">
        <f>IF(C84="","",'Datos Generales'!$A$10)</f>
        <v/>
      </c>
      <c r="CS84" s="142" t="str">
        <f t="shared" si="11"/>
        <v/>
      </c>
      <c r="CT84" s="142" t="str">
        <f t="shared" si="12"/>
        <v/>
      </c>
      <c r="CU84" s="142" t="str">
        <f t="shared" si="13"/>
        <v/>
      </c>
      <c r="CV84" s="142" t="str">
        <f t="shared" si="14"/>
        <v/>
      </c>
      <c r="CW84" s="142" t="str">
        <f>IF(C84="","",IF('Datos Generales'!$A$19=1,AVERAGE(FP84:GD84),AVERAGE(Captura!FP84:FY84)))</f>
        <v/>
      </c>
      <c r="CX84" s="138" t="e">
        <f>IF(VLOOKUP(CONCATENATE($H$4,$F$4,CX$2),Español!$A:$H,7,FALSE)=L84,1,0)</f>
        <v>#N/A</v>
      </c>
      <c r="CY84" s="138" t="e">
        <f>IF(VLOOKUP(CONCATENATE(H84,F84,CY$2),Español!$A:$H,7,FALSE)=M84,1,0)</f>
        <v>#N/A</v>
      </c>
      <c r="CZ84" s="138" t="e">
        <f>IF(VLOOKUP(CONCATENATE(H84,F84,CZ$2),Español!$A:$H,7,FALSE)=N84,1,0)</f>
        <v>#N/A</v>
      </c>
      <c r="DA84" s="138" t="e">
        <f>IF(VLOOKUP(CONCATENATE(H84,F84,DA$2),Español!$A:$H,7,FALSE)=O84,1,0)</f>
        <v>#N/A</v>
      </c>
      <c r="DB84" s="138" t="e">
        <f>IF(VLOOKUP(CONCATENATE(H84,F84,DB$2),Español!$A:$H,7,FALSE)=P84,1,0)</f>
        <v>#N/A</v>
      </c>
      <c r="DC84" s="138" t="e">
        <f>IF(VLOOKUP(CONCATENATE(H84,F84,DC$2),Español!$A:$H,7,FALSE)=Q84,1,0)</f>
        <v>#N/A</v>
      </c>
      <c r="DD84" s="138" t="e">
        <f>IF(VLOOKUP(CONCATENATE(H84,F84,DD$2),Español!$A:$H,7,FALSE)=R84,1,0)</f>
        <v>#N/A</v>
      </c>
      <c r="DE84" s="138" t="e">
        <f>IF(VLOOKUP(CONCATENATE(H84,F84,DE$2),Español!$A:$H,7,FALSE)=S84,1,0)</f>
        <v>#N/A</v>
      </c>
      <c r="DF84" s="138" t="e">
        <f>IF(VLOOKUP(CONCATENATE(H84,F84,DF$2),Español!$A:$H,7,FALSE)=T84,1,0)</f>
        <v>#N/A</v>
      </c>
      <c r="DG84" s="138" t="e">
        <f>IF(VLOOKUP(CONCATENATE(H84,F84,DG$2),Español!$A:$H,7,FALSE)=U84,1,0)</f>
        <v>#N/A</v>
      </c>
      <c r="DH84" s="138" t="e">
        <f>IF(VLOOKUP(CONCATENATE(H84,F84,DH$2),Español!$A:$H,7,FALSE)=V84,1,0)</f>
        <v>#N/A</v>
      </c>
      <c r="DI84" s="138" t="e">
        <f>IF(VLOOKUP(CONCATENATE(H84,F84,DI$2),Español!$A:$H,7,FALSE)=W84,1,0)</f>
        <v>#N/A</v>
      </c>
      <c r="DJ84" s="138" t="e">
        <f>IF(VLOOKUP(CONCATENATE(H84,F84,DJ$2),Español!$A:$H,7,FALSE)=X84,1,0)</f>
        <v>#N/A</v>
      </c>
      <c r="DK84" s="138" t="e">
        <f>IF(VLOOKUP(CONCATENATE(H84,F84,DK$2),Español!$A:$H,7,FALSE)=Y84,1,0)</f>
        <v>#N/A</v>
      </c>
      <c r="DL84" s="138" t="e">
        <f>IF(VLOOKUP(CONCATENATE(H84,F84,DL$2),Español!$A:$H,7,FALSE)=Z84,1,0)</f>
        <v>#N/A</v>
      </c>
      <c r="DM84" s="138" t="e">
        <f>IF(VLOOKUP(CONCATENATE(H84,F84,DM$2),Español!$A:$H,7,FALSE)=AA84,1,0)</f>
        <v>#N/A</v>
      </c>
      <c r="DN84" s="138" t="e">
        <f>IF(VLOOKUP(CONCATENATE(H84,F84,DN$2),Español!$A:$H,7,FALSE)=AB84,1,0)</f>
        <v>#N/A</v>
      </c>
      <c r="DO84" s="138" t="e">
        <f>IF(VLOOKUP(CONCATENATE(H84,F84,DO$2),Español!$A:$H,7,FALSE)=AC84,1,0)</f>
        <v>#N/A</v>
      </c>
      <c r="DP84" s="138" t="e">
        <f>IF(VLOOKUP(CONCATENATE(H84,F84,DP$2),Español!$A:$H,7,FALSE)=AD84,1,0)</f>
        <v>#N/A</v>
      </c>
      <c r="DQ84" s="138" t="e">
        <f>IF(VLOOKUP(CONCATENATE(H84,F84,DQ$2),Español!$A:$H,7,FALSE)=AE84,1,0)</f>
        <v>#N/A</v>
      </c>
      <c r="DR84" s="138" t="e">
        <f>IF(VLOOKUP(CONCATENATE(H84,F84,DR$2),Inglés!$A:$H,7,FALSE)=AF84,1,0)</f>
        <v>#N/A</v>
      </c>
      <c r="DS84" s="138" t="e">
        <f>IF(VLOOKUP(CONCATENATE(H84,F84,DS$2),Inglés!$A:$H,7,FALSE)=AG84,1,0)</f>
        <v>#N/A</v>
      </c>
      <c r="DT84" s="138" t="e">
        <f>IF(VLOOKUP(CONCATENATE(H84,F84,DT$2),Inglés!$A:$H,7,FALSE)=AH84,1,0)</f>
        <v>#N/A</v>
      </c>
      <c r="DU84" s="138" t="e">
        <f>IF(VLOOKUP(CONCATENATE(H84,F84,DU$2),Inglés!$A:$H,7,FALSE)=AI84,1,0)</f>
        <v>#N/A</v>
      </c>
      <c r="DV84" s="138" t="e">
        <f>IF(VLOOKUP(CONCATENATE(H84,F84,DV$2),Inglés!$A:$H,7,FALSE)=AJ84,1,0)</f>
        <v>#N/A</v>
      </c>
      <c r="DW84" s="138" t="e">
        <f>IF(VLOOKUP(CONCATENATE(H84,F84,DW$2),Inglés!$A:$H,7,FALSE)=AK84,1,0)</f>
        <v>#N/A</v>
      </c>
      <c r="DX84" s="138" t="e">
        <f>IF(VLOOKUP(CONCATENATE(H84,F84,DX$2),Inglés!$A:$H,7,FALSE)=AL84,1,0)</f>
        <v>#N/A</v>
      </c>
      <c r="DY84" s="138" t="e">
        <f>IF(VLOOKUP(CONCATENATE(H84,F84,DY$2),Inglés!$A:$H,7,FALSE)=AM84,1,0)</f>
        <v>#N/A</v>
      </c>
      <c r="DZ84" s="138" t="e">
        <f>IF(VLOOKUP(CONCATENATE(H84,F84,DZ$2),Inglés!$A:$H,7,FALSE)=AN84,1,0)</f>
        <v>#N/A</v>
      </c>
      <c r="EA84" s="138" t="e">
        <f>IF(VLOOKUP(CONCATENATE(H84,F84,EA$2),Inglés!$A:$H,7,FALSE)=AO84,1,0)</f>
        <v>#N/A</v>
      </c>
      <c r="EB84" s="138" t="e">
        <f>IF(VLOOKUP(CONCATENATE(H84,F84,EB$2),Matemáticas!$A:$H,7,FALSE)=AP84,1,0)</f>
        <v>#N/A</v>
      </c>
      <c r="EC84" s="138" t="e">
        <f>IF(VLOOKUP(CONCATENATE(H84,F84,EC$2),Matemáticas!$A:$H,7,FALSE)=AQ84,1,0)</f>
        <v>#N/A</v>
      </c>
      <c r="ED84" s="138" t="e">
        <f>IF(VLOOKUP(CONCATENATE(H84,F84,ED$2),Matemáticas!$A:$H,7,FALSE)=AR84,1,0)</f>
        <v>#N/A</v>
      </c>
      <c r="EE84" s="138" t="e">
        <f>IF(VLOOKUP(CONCATENATE(H84,F84,EE$2),Matemáticas!$A:$H,7,FALSE)=AS84,1,0)</f>
        <v>#N/A</v>
      </c>
      <c r="EF84" s="138" t="e">
        <f>IF(VLOOKUP(CONCATENATE(H84,F84,EF$2),Matemáticas!$A:$H,7,FALSE)=AT84,1,0)</f>
        <v>#N/A</v>
      </c>
      <c r="EG84" s="138" t="e">
        <f>IF(VLOOKUP(CONCATENATE(H84,F84,EG$2),Matemáticas!$A:$H,7,FALSE)=AU84,1,0)</f>
        <v>#N/A</v>
      </c>
      <c r="EH84" s="138" t="e">
        <f>IF(VLOOKUP(CONCATENATE(H84,F84,EH$2),Matemáticas!$A:$H,7,FALSE)=AV84,1,0)</f>
        <v>#N/A</v>
      </c>
      <c r="EI84" s="138" t="e">
        <f>IF(VLOOKUP(CONCATENATE(H84,F84,EI$2),Matemáticas!$A:$H,7,FALSE)=AW84,1,0)</f>
        <v>#N/A</v>
      </c>
      <c r="EJ84" s="138" t="e">
        <f>IF(VLOOKUP(CONCATENATE(H84,F84,EJ$2),Matemáticas!$A:$H,7,FALSE)=AX84,1,0)</f>
        <v>#N/A</v>
      </c>
      <c r="EK84" s="138" t="e">
        <f>IF(VLOOKUP(CONCATENATE(H84,F84,EK$2),Matemáticas!$A:$H,7,FALSE)=AY84,1,0)</f>
        <v>#N/A</v>
      </c>
      <c r="EL84" s="138" t="e">
        <f>IF(VLOOKUP(CONCATENATE(H84,F84,EL$2),Matemáticas!$A:$H,7,FALSE)=AZ84,1,0)</f>
        <v>#N/A</v>
      </c>
      <c r="EM84" s="138" t="e">
        <f>IF(VLOOKUP(CONCATENATE(H84,F84,EM$2),Matemáticas!$A:$H,7,FALSE)=BA84,1,0)</f>
        <v>#N/A</v>
      </c>
      <c r="EN84" s="138" t="e">
        <f>IF(VLOOKUP(CONCATENATE(H84,F84,EN$2),Matemáticas!$A:$H,7,FALSE)=BB84,1,0)</f>
        <v>#N/A</v>
      </c>
      <c r="EO84" s="138" t="e">
        <f>IF(VLOOKUP(CONCATENATE(H84,F84,EO$2),Matemáticas!$A:$H,7,FALSE)=BC84,1,0)</f>
        <v>#N/A</v>
      </c>
      <c r="EP84" s="138" t="e">
        <f>IF(VLOOKUP(CONCATENATE(H84,F84,EP$2),Matemáticas!$A:$H,7,FALSE)=BD84,1,0)</f>
        <v>#N/A</v>
      </c>
      <c r="EQ84" s="138" t="e">
        <f>IF(VLOOKUP(CONCATENATE(H84,F84,EQ$2),Matemáticas!$A:$H,7,FALSE)=BE84,1,0)</f>
        <v>#N/A</v>
      </c>
      <c r="ER84" s="138" t="e">
        <f>IF(VLOOKUP(CONCATENATE(H84,F84,ER$2),Matemáticas!$A:$H,7,FALSE)=BF84,1,0)</f>
        <v>#N/A</v>
      </c>
      <c r="ES84" s="138" t="e">
        <f>IF(VLOOKUP(CONCATENATE(H84,F84,ES$2),Matemáticas!$A:$H,7,FALSE)=BG84,1,0)</f>
        <v>#N/A</v>
      </c>
      <c r="ET84" s="138" t="e">
        <f>IF(VLOOKUP(CONCATENATE(H84,F84,ET$2),Matemáticas!$A:$H,7,FALSE)=BH84,1,0)</f>
        <v>#N/A</v>
      </c>
      <c r="EU84" s="138" t="e">
        <f>IF(VLOOKUP(CONCATENATE(H84,F84,EU$2),Matemáticas!$A:$H,7,FALSE)=BI84,1,0)</f>
        <v>#N/A</v>
      </c>
      <c r="EV84" s="138" t="e">
        <f>IF(VLOOKUP(CONCATENATE(H84,F84,EV$2),Ciencias!$A:$H,7,FALSE)=BJ84,1,0)</f>
        <v>#N/A</v>
      </c>
      <c r="EW84" s="138" t="e">
        <f>IF(VLOOKUP(CONCATENATE(H84,F84,EW$2),Ciencias!$A:$H,7,FALSE)=BK84,1,0)</f>
        <v>#N/A</v>
      </c>
      <c r="EX84" s="138" t="e">
        <f>IF(VLOOKUP(CONCATENATE(H84,F84,EX$2),Ciencias!$A:$H,7,FALSE)=BL84,1,0)</f>
        <v>#N/A</v>
      </c>
      <c r="EY84" s="138" t="e">
        <f>IF(VLOOKUP(CONCATENATE(H84,F84,EY$2),Ciencias!$A:$H,7,FALSE)=BM84,1,0)</f>
        <v>#N/A</v>
      </c>
      <c r="EZ84" s="138" t="e">
        <f>IF(VLOOKUP(CONCATENATE(H84,F84,EZ$2),Ciencias!$A:$H,7,FALSE)=BN84,1,0)</f>
        <v>#N/A</v>
      </c>
      <c r="FA84" s="138" t="e">
        <f>IF(VLOOKUP(CONCATENATE(H84,F84,FA$2),Ciencias!$A:$H,7,FALSE)=BO84,1,0)</f>
        <v>#N/A</v>
      </c>
      <c r="FB84" s="138" t="e">
        <f>IF(VLOOKUP(CONCATENATE(H84,F84,FB$2),Ciencias!$A:$H,7,FALSE)=BP84,1,0)</f>
        <v>#N/A</v>
      </c>
      <c r="FC84" s="138" t="e">
        <f>IF(VLOOKUP(CONCATENATE(H84,F84,FC$2),Ciencias!$A:$H,7,FALSE)=BQ84,1,0)</f>
        <v>#N/A</v>
      </c>
      <c r="FD84" s="138" t="e">
        <f>IF(VLOOKUP(CONCATENATE(H84,F84,FD$2),Ciencias!$A:$H,7,FALSE)=BR84,1,0)</f>
        <v>#N/A</v>
      </c>
      <c r="FE84" s="138" t="e">
        <f>IF(VLOOKUP(CONCATENATE(H84,F84,FE$2),Ciencias!$A:$H,7,FALSE)=BS84,1,0)</f>
        <v>#N/A</v>
      </c>
      <c r="FF84" s="138" t="e">
        <f>IF(VLOOKUP(CONCATENATE(H84,F84,FF$2),Ciencias!$A:$H,7,FALSE)=BT84,1,0)</f>
        <v>#N/A</v>
      </c>
      <c r="FG84" s="138" t="e">
        <f>IF(VLOOKUP(CONCATENATE(H84,F84,FG$2),Ciencias!$A:$H,7,FALSE)=BU84,1,0)</f>
        <v>#N/A</v>
      </c>
      <c r="FH84" s="138" t="e">
        <f>IF(VLOOKUP(CONCATENATE(H84,F84,FH$2),Ciencias!$A:$H,7,FALSE)=BV84,1,0)</f>
        <v>#N/A</v>
      </c>
      <c r="FI84" s="138" t="e">
        <f>IF(VLOOKUP(CONCATENATE(H84,F84,FI$2),Ciencias!$A:$H,7,FALSE)=BW84,1,0)</f>
        <v>#N/A</v>
      </c>
      <c r="FJ84" s="138" t="e">
        <f>IF(VLOOKUP(CONCATENATE(H84,F84,FJ$2),Ciencias!$A:$H,7,FALSE)=BX84,1,0)</f>
        <v>#N/A</v>
      </c>
      <c r="FK84" s="138" t="e">
        <f>IF(VLOOKUP(CONCATENATE(H84,F84,FK$2),Ciencias!$A:$H,7,FALSE)=BY84,1,0)</f>
        <v>#N/A</v>
      </c>
      <c r="FL84" s="138" t="e">
        <f>IF(VLOOKUP(CONCATENATE(H84,F84,FL$2),Ciencias!$A:$H,7,FALSE)=BZ84,1,0)</f>
        <v>#N/A</v>
      </c>
      <c r="FM84" s="138" t="e">
        <f>IF(VLOOKUP(CONCATENATE(H84,F84,FM$2),Ciencias!$A:$H,7,FALSE)=CA84,1,0)</f>
        <v>#N/A</v>
      </c>
      <c r="FN84" s="138" t="e">
        <f>IF(VLOOKUP(CONCATENATE(H84,F84,FN$2),Ciencias!$A:$H,7,FALSE)=CB84,1,0)</f>
        <v>#N/A</v>
      </c>
      <c r="FO84" s="138" t="e">
        <f>IF(VLOOKUP(CONCATENATE(H84,F84,FO$2),Ciencias!$A:$H,7,FALSE)=CC84,1,0)</f>
        <v>#N/A</v>
      </c>
      <c r="FP84" s="138" t="e">
        <f>IF(VLOOKUP(CONCATENATE(H84,F84,FP$2),GeoHis!$A:$H,7,FALSE)=CD84,1,0)</f>
        <v>#N/A</v>
      </c>
      <c r="FQ84" s="138" t="e">
        <f>IF(VLOOKUP(CONCATENATE(H84,F84,FQ$2),GeoHis!$A:$H,7,FALSE)=CE84,1,0)</f>
        <v>#N/A</v>
      </c>
      <c r="FR84" s="138" t="e">
        <f>IF(VLOOKUP(CONCATENATE(H84,F84,FR$2),GeoHis!$A:$H,7,FALSE)=CF84,1,0)</f>
        <v>#N/A</v>
      </c>
      <c r="FS84" s="138" t="e">
        <f>IF(VLOOKUP(CONCATENATE(H84,F84,FS$2),GeoHis!$A:$H,7,FALSE)=CG84,1,0)</f>
        <v>#N/A</v>
      </c>
      <c r="FT84" s="138" t="e">
        <f>IF(VLOOKUP(CONCATENATE(H84,F84,FT$2),GeoHis!$A:$H,7,FALSE)=CH84,1,0)</f>
        <v>#N/A</v>
      </c>
      <c r="FU84" s="138" t="e">
        <f>IF(VLOOKUP(CONCATENATE(H84,F84,FU$2),GeoHis!$A:$H,7,FALSE)=CI84,1,0)</f>
        <v>#N/A</v>
      </c>
      <c r="FV84" s="138" t="e">
        <f>IF(VLOOKUP(CONCATENATE(H84,F84,FV$2),GeoHis!$A:$H,7,FALSE)=CJ84,1,0)</f>
        <v>#N/A</v>
      </c>
      <c r="FW84" s="138" t="e">
        <f>IF(VLOOKUP(CONCATENATE(H84,F84,FW$2),GeoHis!$A:$H,7,FALSE)=CK84,1,0)</f>
        <v>#N/A</v>
      </c>
      <c r="FX84" s="138" t="e">
        <f>IF(VLOOKUP(CONCATENATE(H84,F84,FX$2),GeoHis!$A:$H,7,FALSE)=CL84,1,0)</f>
        <v>#N/A</v>
      </c>
      <c r="FY84" s="138" t="e">
        <f>IF(VLOOKUP(CONCATENATE(H84,F84,FY$2),GeoHis!$A:$H,7,FALSE)=CM84,1,0)</f>
        <v>#N/A</v>
      </c>
      <c r="FZ84" s="138" t="e">
        <f>IF(VLOOKUP(CONCATENATE(H84,F84,FZ$2),GeoHis!$A:$H,7,FALSE)=CN84,1,0)</f>
        <v>#N/A</v>
      </c>
      <c r="GA84" s="138" t="e">
        <f>IF(VLOOKUP(CONCATENATE(H84,F84,GA$2),GeoHis!$A:$H,7,FALSE)=CO84,1,0)</f>
        <v>#N/A</v>
      </c>
      <c r="GB84" s="138" t="e">
        <f>IF(VLOOKUP(CONCATENATE(H84,F84,GB$2),GeoHis!$A:$H,7,FALSE)=CP84,1,0)</f>
        <v>#N/A</v>
      </c>
      <c r="GC84" s="138" t="e">
        <f>IF(VLOOKUP(CONCATENATE(H84,F84,GC$2),GeoHis!$A:$H,7,FALSE)=CQ84,1,0)</f>
        <v>#N/A</v>
      </c>
      <c r="GD84" s="138" t="e">
        <f>IF(VLOOKUP(CONCATENATE(H84,F84,GD$2),GeoHis!$A:$H,7,FALSE)=CR84,1,0)</f>
        <v>#N/A</v>
      </c>
      <c r="GE84" s="135" t="str">
        <f t="shared" si="15"/>
        <v/>
      </c>
    </row>
    <row r="85" spans="1:187" x14ac:dyDescent="0.25">
      <c r="A85" s="127" t="str">
        <f>IF(C85="","",'Datos Generales'!$A$25)</f>
        <v/>
      </c>
      <c r="D85" s="126" t="str">
        <f t="shared" si="8"/>
        <v/>
      </c>
      <c r="E85" s="126">
        <f t="shared" si="9"/>
        <v>0</v>
      </c>
      <c r="F85" s="126" t="str">
        <f t="shared" si="10"/>
        <v/>
      </c>
      <c r="G85" s="126" t="str">
        <f>IF(C85="","",'Datos Generales'!$D$19)</f>
        <v/>
      </c>
      <c r="H85" s="21" t="str">
        <f>IF(C85="","",'Datos Generales'!$A$19)</f>
        <v/>
      </c>
      <c r="I85" s="126" t="str">
        <f>IF(C85="","",'Datos Generales'!$A$7)</f>
        <v/>
      </c>
      <c r="J85" s="21" t="str">
        <f>IF(C85="","",'Datos Generales'!$A$13)</f>
        <v/>
      </c>
      <c r="K85" s="21" t="str">
        <f>IF(C85="","",'Datos Generales'!$A$10)</f>
        <v/>
      </c>
      <c r="CS85" s="142" t="str">
        <f t="shared" si="11"/>
        <v/>
      </c>
      <c r="CT85" s="142" t="str">
        <f t="shared" si="12"/>
        <v/>
      </c>
      <c r="CU85" s="142" t="str">
        <f t="shared" si="13"/>
        <v/>
      </c>
      <c r="CV85" s="142" t="str">
        <f t="shared" si="14"/>
        <v/>
      </c>
      <c r="CW85" s="142" t="str">
        <f>IF(C85="","",IF('Datos Generales'!$A$19=1,AVERAGE(FP85:GD85),AVERAGE(Captura!FP85:FY85)))</f>
        <v/>
      </c>
      <c r="CX85" s="138" t="e">
        <f>IF(VLOOKUP(CONCATENATE($H$4,$F$4,CX$2),Español!$A:$H,7,FALSE)=L85,1,0)</f>
        <v>#N/A</v>
      </c>
      <c r="CY85" s="138" t="e">
        <f>IF(VLOOKUP(CONCATENATE(H85,F85,CY$2),Español!$A:$H,7,FALSE)=M85,1,0)</f>
        <v>#N/A</v>
      </c>
      <c r="CZ85" s="138" t="e">
        <f>IF(VLOOKUP(CONCATENATE(H85,F85,CZ$2),Español!$A:$H,7,FALSE)=N85,1,0)</f>
        <v>#N/A</v>
      </c>
      <c r="DA85" s="138" t="e">
        <f>IF(VLOOKUP(CONCATENATE(H85,F85,DA$2),Español!$A:$H,7,FALSE)=O85,1,0)</f>
        <v>#N/A</v>
      </c>
      <c r="DB85" s="138" t="e">
        <f>IF(VLOOKUP(CONCATENATE(H85,F85,DB$2),Español!$A:$H,7,FALSE)=P85,1,0)</f>
        <v>#N/A</v>
      </c>
      <c r="DC85" s="138" t="e">
        <f>IF(VLOOKUP(CONCATENATE(H85,F85,DC$2),Español!$A:$H,7,FALSE)=Q85,1,0)</f>
        <v>#N/A</v>
      </c>
      <c r="DD85" s="138" t="e">
        <f>IF(VLOOKUP(CONCATENATE(H85,F85,DD$2),Español!$A:$H,7,FALSE)=R85,1,0)</f>
        <v>#N/A</v>
      </c>
      <c r="DE85" s="138" t="e">
        <f>IF(VLOOKUP(CONCATENATE(H85,F85,DE$2),Español!$A:$H,7,FALSE)=S85,1,0)</f>
        <v>#N/A</v>
      </c>
      <c r="DF85" s="138" t="e">
        <f>IF(VLOOKUP(CONCATENATE(H85,F85,DF$2),Español!$A:$H,7,FALSE)=T85,1,0)</f>
        <v>#N/A</v>
      </c>
      <c r="DG85" s="138" t="e">
        <f>IF(VLOOKUP(CONCATENATE(H85,F85,DG$2),Español!$A:$H,7,FALSE)=U85,1,0)</f>
        <v>#N/A</v>
      </c>
      <c r="DH85" s="138" t="e">
        <f>IF(VLOOKUP(CONCATENATE(H85,F85,DH$2),Español!$A:$H,7,FALSE)=V85,1,0)</f>
        <v>#N/A</v>
      </c>
      <c r="DI85" s="138" t="e">
        <f>IF(VLOOKUP(CONCATENATE(H85,F85,DI$2),Español!$A:$H,7,FALSE)=W85,1,0)</f>
        <v>#N/A</v>
      </c>
      <c r="DJ85" s="138" t="e">
        <f>IF(VLOOKUP(CONCATENATE(H85,F85,DJ$2),Español!$A:$H,7,FALSE)=X85,1,0)</f>
        <v>#N/A</v>
      </c>
      <c r="DK85" s="138" t="e">
        <f>IF(VLOOKUP(CONCATENATE(H85,F85,DK$2),Español!$A:$H,7,FALSE)=Y85,1,0)</f>
        <v>#N/A</v>
      </c>
      <c r="DL85" s="138" t="e">
        <f>IF(VLOOKUP(CONCATENATE(H85,F85,DL$2),Español!$A:$H,7,FALSE)=Z85,1,0)</f>
        <v>#N/A</v>
      </c>
      <c r="DM85" s="138" t="e">
        <f>IF(VLOOKUP(CONCATENATE(H85,F85,DM$2),Español!$A:$H,7,FALSE)=AA85,1,0)</f>
        <v>#N/A</v>
      </c>
      <c r="DN85" s="138" t="e">
        <f>IF(VLOOKUP(CONCATENATE(H85,F85,DN$2),Español!$A:$H,7,FALSE)=AB85,1,0)</f>
        <v>#N/A</v>
      </c>
      <c r="DO85" s="138" t="e">
        <f>IF(VLOOKUP(CONCATENATE(H85,F85,DO$2),Español!$A:$H,7,FALSE)=AC85,1,0)</f>
        <v>#N/A</v>
      </c>
      <c r="DP85" s="138" t="e">
        <f>IF(VLOOKUP(CONCATENATE(H85,F85,DP$2),Español!$A:$H,7,FALSE)=AD85,1,0)</f>
        <v>#N/A</v>
      </c>
      <c r="DQ85" s="138" t="e">
        <f>IF(VLOOKUP(CONCATENATE(H85,F85,DQ$2),Español!$A:$H,7,FALSE)=AE85,1,0)</f>
        <v>#N/A</v>
      </c>
      <c r="DR85" s="138" t="e">
        <f>IF(VLOOKUP(CONCATENATE(H85,F85,DR$2),Inglés!$A:$H,7,FALSE)=AF85,1,0)</f>
        <v>#N/A</v>
      </c>
      <c r="DS85" s="138" t="e">
        <f>IF(VLOOKUP(CONCATENATE(H85,F85,DS$2),Inglés!$A:$H,7,FALSE)=AG85,1,0)</f>
        <v>#N/A</v>
      </c>
      <c r="DT85" s="138" t="e">
        <f>IF(VLOOKUP(CONCATENATE(H85,F85,DT$2),Inglés!$A:$H,7,FALSE)=AH85,1,0)</f>
        <v>#N/A</v>
      </c>
      <c r="DU85" s="138" t="e">
        <f>IF(VLOOKUP(CONCATENATE(H85,F85,DU$2),Inglés!$A:$H,7,FALSE)=AI85,1,0)</f>
        <v>#N/A</v>
      </c>
      <c r="DV85" s="138" t="e">
        <f>IF(VLOOKUP(CONCATENATE(H85,F85,DV$2),Inglés!$A:$H,7,FALSE)=AJ85,1,0)</f>
        <v>#N/A</v>
      </c>
      <c r="DW85" s="138" t="e">
        <f>IF(VLOOKUP(CONCATENATE(H85,F85,DW$2),Inglés!$A:$H,7,FALSE)=AK85,1,0)</f>
        <v>#N/A</v>
      </c>
      <c r="DX85" s="138" t="e">
        <f>IF(VLOOKUP(CONCATENATE(H85,F85,DX$2),Inglés!$A:$H,7,FALSE)=AL85,1,0)</f>
        <v>#N/A</v>
      </c>
      <c r="DY85" s="138" t="e">
        <f>IF(VLOOKUP(CONCATENATE(H85,F85,DY$2),Inglés!$A:$H,7,FALSE)=AM85,1,0)</f>
        <v>#N/A</v>
      </c>
      <c r="DZ85" s="138" t="e">
        <f>IF(VLOOKUP(CONCATENATE(H85,F85,DZ$2),Inglés!$A:$H,7,FALSE)=AN85,1,0)</f>
        <v>#N/A</v>
      </c>
      <c r="EA85" s="138" t="e">
        <f>IF(VLOOKUP(CONCATENATE(H85,F85,EA$2),Inglés!$A:$H,7,FALSE)=AO85,1,0)</f>
        <v>#N/A</v>
      </c>
      <c r="EB85" s="138" t="e">
        <f>IF(VLOOKUP(CONCATENATE(H85,F85,EB$2),Matemáticas!$A:$H,7,FALSE)=AP85,1,0)</f>
        <v>#N/A</v>
      </c>
      <c r="EC85" s="138" t="e">
        <f>IF(VLOOKUP(CONCATENATE(H85,F85,EC$2),Matemáticas!$A:$H,7,FALSE)=AQ85,1,0)</f>
        <v>#N/A</v>
      </c>
      <c r="ED85" s="138" t="e">
        <f>IF(VLOOKUP(CONCATENATE(H85,F85,ED$2),Matemáticas!$A:$H,7,FALSE)=AR85,1,0)</f>
        <v>#N/A</v>
      </c>
      <c r="EE85" s="138" t="e">
        <f>IF(VLOOKUP(CONCATENATE(H85,F85,EE$2),Matemáticas!$A:$H,7,FALSE)=AS85,1,0)</f>
        <v>#N/A</v>
      </c>
      <c r="EF85" s="138" t="e">
        <f>IF(VLOOKUP(CONCATENATE(H85,F85,EF$2),Matemáticas!$A:$H,7,FALSE)=AT85,1,0)</f>
        <v>#N/A</v>
      </c>
      <c r="EG85" s="138" t="e">
        <f>IF(VLOOKUP(CONCATENATE(H85,F85,EG$2),Matemáticas!$A:$H,7,FALSE)=AU85,1,0)</f>
        <v>#N/A</v>
      </c>
      <c r="EH85" s="138" t="e">
        <f>IF(VLOOKUP(CONCATENATE(H85,F85,EH$2),Matemáticas!$A:$H,7,FALSE)=AV85,1,0)</f>
        <v>#N/A</v>
      </c>
      <c r="EI85" s="138" t="e">
        <f>IF(VLOOKUP(CONCATENATE(H85,F85,EI$2),Matemáticas!$A:$H,7,FALSE)=AW85,1,0)</f>
        <v>#N/A</v>
      </c>
      <c r="EJ85" s="138" t="e">
        <f>IF(VLOOKUP(CONCATENATE(H85,F85,EJ$2),Matemáticas!$A:$H,7,FALSE)=AX85,1,0)</f>
        <v>#N/A</v>
      </c>
      <c r="EK85" s="138" t="e">
        <f>IF(VLOOKUP(CONCATENATE(H85,F85,EK$2),Matemáticas!$A:$H,7,FALSE)=AY85,1,0)</f>
        <v>#N/A</v>
      </c>
      <c r="EL85" s="138" t="e">
        <f>IF(VLOOKUP(CONCATENATE(H85,F85,EL$2),Matemáticas!$A:$H,7,FALSE)=AZ85,1,0)</f>
        <v>#N/A</v>
      </c>
      <c r="EM85" s="138" t="e">
        <f>IF(VLOOKUP(CONCATENATE(H85,F85,EM$2),Matemáticas!$A:$H,7,FALSE)=BA85,1,0)</f>
        <v>#N/A</v>
      </c>
      <c r="EN85" s="138" t="e">
        <f>IF(VLOOKUP(CONCATENATE(H85,F85,EN$2),Matemáticas!$A:$H,7,FALSE)=BB85,1,0)</f>
        <v>#N/A</v>
      </c>
      <c r="EO85" s="138" t="e">
        <f>IF(VLOOKUP(CONCATENATE(H85,F85,EO$2),Matemáticas!$A:$H,7,FALSE)=BC85,1,0)</f>
        <v>#N/A</v>
      </c>
      <c r="EP85" s="138" t="e">
        <f>IF(VLOOKUP(CONCATENATE(H85,F85,EP$2),Matemáticas!$A:$H,7,FALSE)=BD85,1,0)</f>
        <v>#N/A</v>
      </c>
      <c r="EQ85" s="138" t="e">
        <f>IF(VLOOKUP(CONCATENATE(H85,F85,EQ$2),Matemáticas!$A:$H,7,FALSE)=BE85,1,0)</f>
        <v>#N/A</v>
      </c>
      <c r="ER85" s="138" t="e">
        <f>IF(VLOOKUP(CONCATENATE(H85,F85,ER$2),Matemáticas!$A:$H,7,FALSE)=BF85,1,0)</f>
        <v>#N/A</v>
      </c>
      <c r="ES85" s="138" t="e">
        <f>IF(VLOOKUP(CONCATENATE(H85,F85,ES$2),Matemáticas!$A:$H,7,FALSE)=BG85,1,0)</f>
        <v>#N/A</v>
      </c>
      <c r="ET85" s="138" t="e">
        <f>IF(VLOOKUP(CONCATENATE(H85,F85,ET$2),Matemáticas!$A:$H,7,FALSE)=BH85,1,0)</f>
        <v>#N/A</v>
      </c>
      <c r="EU85" s="138" t="e">
        <f>IF(VLOOKUP(CONCATENATE(H85,F85,EU$2),Matemáticas!$A:$H,7,FALSE)=BI85,1,0)</f>
        <v>#N/A</v>
      </c>
      <c r="EV85" s="138" t="e">
        <f>IF(VLOOKUP(CONCATENATE(H85,F85,EV$2),Ciencias!$A:$H,7,FALSE)=BJ85,1,0)</f>
        <v>#N/A</v>
      </c>
      <c r="EW85" s="138" t="e">
        <f>IF(VLOOKUP(CONCATENATE(H85,F85,EW$2),Ciencias!$A:$H,7,FALSE)=BK85,1,0)</f>
        <v>#N/A</v>
      </c>
      <c r="EX85" s="138" t="e">
        <f>IF(VLOOKUP(CONCATENATE(H85,F85,EX$2),Ciencias!$A:$H,7,FALSE)=BL85,1,0)</f>
        <v>#N/A</v>
      </c>
      <c r="EY85" s="138" t="e">
        <f>IF(VLOOKUP(CONCATENATE(H85,F85,EY$2),Ciencias!$A:$H,7,FALSE)=BM85,1,0)</f>
        <v>#N/A</v>
      </c>
      <c r="EZ85" s="138" t="e">
        <f>IF(VLOOKUP(CONCATENATE(H85,F85,EZ$2),Ciencias!$A:$H,7,FALSE)=BN85,1,0)</f>
        <v>#N/A</v>
      </c>
      <c r="FA85" s="138" t="e">
        <f>IF(VLOOKUP(CONCATENATE(H85,F85,FA$2),Ciencias!$A:$H,7,FALSE)=BO85,1,0)</f>
        <v>#N/A</v>
      </c>
      <c r="FB85" s="138" t="e">
        <f>IF(VLOOKUP(CONCATENATE(H85,F85,FB$2),Ciencias!$A:$H,7,FALSE)=BP85,1,0)</f>
        <v>#N/A</v>
      </c>
      <c r="FC85" s="138" t="e">
        <f>IF(VLOOKUP(CONCATENATE(H85,F85,FC$2),Ciencias!$A:$H,7,FALSE)=BQ85,1,0)</f>
        <v>#N/A</v>
      </c>
      <c r="FD85" s="138" t="e">
        <f>IF(VLOOKUP(CONCATENATE(H85,F85,FD$2),Ciencias!$A:$H,7,FALSE)=BR85,1,0)</f>
        <v>#N/A</v>
      </c>
      <c r="FE85" s="138" t="e">
        <f>IF(VLOOKUP(CONCATENATE(H85,F85,FE$2),Ciencias!$A:$H,7,FALSE)=BS85,1,0)</f>
        <v>#N/A</v>
      </c>
      <c r="FF85" s="138" t="e">
        <f>IF(VLOOKUP(CONCATENATE(H85,F85,FF$2),Ciencias!$A:$H,7,FALSE)=BT85,1,0)</f>
        <v>#N/A</v>
      </c>
      <c r="FG85" s="138" t="e">
        <f>IF(VLOOKUP(CONCATENATE(H85,F85,FG$2),Ciencias!$A:$H,7,FALSE)=BU85,1,0)</f>
        <v>#N/A</v>
      </c>
      <c r="FH85" s="138" t="e">
        <f>IF(VLOOKUP(CONCATENATE(H85,F85,FH$2),Ciencias!$A:$H,7,FALSE)=BV85,1,0)</f>
        <v>#N/A</v>
      </c>
      <c r="FI85" s="138" t="e">
        <f>IF(VLOOKUP(CONCATENATE(H85,F85,FI$2),Ciencias!$A:$H,7,FALSE)=BW85,1,0)</f>
        <v>#N/A</v>
      </c>
      <c r="FJ85" s="138" t="e">
        <f>IF(VLOOKUP(CONCATENATE(H85,F85,FJ$2),Ciencias!$A:$H,7,FALSE)=BX85,1,0)</f>
        <v>#N/A</v>
      </c>
      <c r="FK85" s="138" t="e">
        <f>IF(VLOOKUP(CONCATENATE(H85,F85,FK$2),Ciencias!$A:$H,7,FALSE)=BY85,1,0)</f>
        <v>#N/A</v>
      </c>
      <c r="FL85" s="138" t="e">
        <f>IF(VLOOKUP(CONCATENATE(H85,F85,FL$2),Ciencias!$A:$H,7,FALSE)=BZ85,1,0)</f>
        <v>#N/A</v>
      </c>
      <c r="FM85" s="138" t="e">
        <f>IF(VLOOKUP(CONCATENATE(H85,F85,FM$2),Ciencias!$A:$H,7,FALSE)=CA85,1,0)</f>
        <v>#N/A</v>
      </c>
      <c r="FN85" s="138" t="e">
        <f>IF(VLOOKUP(CONCATENATE(H85,F85,FN$2),Ciencias!$A:$H,7,FALSE)=CB85,1,0)</f>
        <v>#N/A</v>
      </c>
      <c r="FO85" s="138" t="e">
        <f>IF(VLOOKUP(CONCATENATE(H85,F85,FO$2),Ciencias!$A:$H,7,FALSE)=CC85,1,0)</f>
        <v>#N/A</v>
      </c>
      <c r="FP85" s="138" t="e">
        <f>IF(VLOOKUP(CONCATENATE(H85,F85,FP$2),GeoHis!$A:$H,7,FALSE)=CD85,1,0)</f>
        <v>#N/A</v>
      </c>
      <c r="FQ85" s="138" t="e">
        <f>IF(VLOOKUP(CONCATENATE(H85,F85,FQ$2),GeoHis!$A:$H,7,FALSE)=CE85,1,0)</f>
        <v>#N/A</v>
      </c>
      <c r="FR85" s="138" t="e">
        <f>IF(VLOOKUP(CONCATENATE(H85,F85,FR$2),GeoHis!$A:$H,7,FALSE)=CF85,1,0)</f>
        <v>#N/A</v>
      </c>
      <c r="FS85" s="138" t="e">
        <f>IF(VLOOKUP(CONCATENATE(H85,F85,FS$2),GeoHis!$A:$H,7,FALSE)=CG85,1,0)</f>
        <v>#N/A</v>
      </c>
      <c r="FT85" s="138" t="e">
        <f>IF(VLOOKUP(CONCATENATE(H85,F85,FT$2),GeoHis!$A:$H,7,FALSE)=CH85,1,0)</f>
        <v>#N/A</v>
      </c>
      <c r="FU85" s="138" t="e">
        <f>IF(VLOOKUP(CONCATENATE(H85,F85,FU$2),GeoHis!$A:$H,7,FALSE)=CI85,1,0)</f>
        <v>#N/A</v>
      </c>
      <c r="FV85" s="138" t="e">
        <f>IF(VLOOKUP(CONCATENATE(H85,F85,FV$2),GeoHis!$A:$H,7,FALSE)=CJ85,1,0)</f>
        <v>#N/A</v>
      </c>
      <c r="FW85" s="138" t="e">
        <f>IF(VLOOKUP(CONCATENATE(H85,F85,FW$2),GeoHis!$A:$H,7,FALSE)=CK85,1,0)</f>
        <v>#N/A</v>
      </c>
      <c r="FX85" s="138" t="e">
        <f>IF(VLOOKUP(CONCATENATE(H85,F85,FX$2),GeoHis!$A:$H,7,FALSE)=CL85,1,0)</f>
        <v>#N/A</v>
      </c>
      <c r="FY85" s="138" t="e">
        <f>IF(VLOOKUP(CONCATENATE(H85,F85,FY$2),GeoHis!$A:$H,7,FALSE)=CM85,1,0)</f>
        <v>#N/A</v>
      </c>
      <c r="FZ85" s="138" t="e">
        <f>IF(VLOOKUP(CONCATENATE(H85,F85,FZ$2),GeoHis!$A:$H,7,FALSE)=CN85,1,0)</f>
        <v>#N/A</v>
      </c>
      <c r="GA85" s="138" t="e">
        <f>IF(VLOOKUP(CONCATENATE(H85,F85,GA$2),GeoHis!$A:$H,7,FALSE)=CO85,1,0)</f>
        <v>#N/A</v>
      </c>
      <c r="GB85" s="138" t="e">
        <f>IF(VLOOKUP(CONCATENATE(H85,F85,GB$2),GeoHis!$A:$H,7,FALSE)=CP85,1,0)</f>
        <v>#N/A</v>
      </c>
      <c r="GC85" s="138" t="e">
        <f>IF(VLOOKUP(CONCATENATE(H85,F85,GC$2),GeoHis!$A:$H,7,FALSE)=CQ85,1,0)</f>
        <v>#N/A</v>
      </c>
      <c r="GD85" s="138" t="e">
        <f>IF(VLOOKUP(CONCATENATE(H85,F85,GD$2),GeoHis!$A:$H,7,FALSE)=CR85,1,0)</f>
        <v>#N/A</v>
      </c>
      <c r="GE85" s="135" t="str">
        <f t="shared" si="15"/>
        <v/>
      </c>
    </row>
    <row r="86" spans="1:187" x14ac:dyDescent="0.25">
      <c r="A86" s="127" t="str">
        <f>IF(C86="","",'Datos Generales'!$A$25)</f>
        <v/>
      </c>
      <c r="D86" s="126" t="str">
        <f t="shared" si="8"/>
        <v/>
      </c>
      <c r="E86" s="126">
        <f t="shared" si="9"/>
        <v>0</v>
      </c>
      <c r="F86" s="126" t="str">
        <f t="shared" si="10"/>
        <v/>
      </c>
      <c r="G86" s="126" t="str">
        <f>IF(C86="","",'Datos Generales'!$D$19)</f>
        <v/>
      </c>
      <c r="H86" s="21" t="str">
        <f>IF(C86="","",'Datos Generales'!$A$19)</f>
        <v/>
      </c>
      <c r="I86" s="126" t="str">
        <f>IF(C86="","",'Datos Generales'!$A$7)</f>
        <v/>
      </c>
      <c r="J86" s="21" t="str">
        <f>IF(C86="","",'Datos Generales'!$A$13)</f>
        <v/>
      </c>
      <c r="K86" s="21" t="str">
        <f>IF(C86="","",'Datos Generales'!$A$10)</f>
        <v/>
      </c>
      <c r="CS86" s="142" t="str">
        <f t="shared" si="11"/>
        <v/>
      </c>
      <c r="CT86" s="142" t="str">
        <f t="shared" si="12"/>
        <v/>
      </c>
      <c r="CU86" s="142" t="str">
        <f t="shared" si="13"/>
        <v/>
      </c>
      <c r="CV86" s="142" t="str">
        <f t="shared" si="14"/>
        <v/>
      </c>
      <c r="CW86" s="142" t="str">
        <f>IF(C86="","",IF('Datos Generales'!$A$19=1,AVERAGE(FP86:GD86),AVERAGE(Captura!FP86:FY86)))</f>
        <v/>
      </c>
      <c r="CX86" s="138" t="e">
        <f>IF(VLOOKUP(CONCATENATE($H$4,$F$4,CX$2),Español!$A:$H,7,FALSE)=L86,1,0)</f>
        <v>#N/A</v>
      </c>
      <c r="CY86" s="138" t="e">
        <f>IF(VLOOKUP(CONCATENATE(H86,F86,CY$2),Español!$A:$H,7,FALSE)=M86,1,0)</f>
        <v>#N/A</v>
      </c>
      <c r="CZ86" s="138" t="e">
        <f>IF(VLOOKUP(CONCATENATE(H86,F86,CZ$2),Español!$A:$H,7,FALSE)=N86,1,0)</f>
        <v>#N/A</v>
      </c>
      <c r="DA86" s="138" t="e">
        <f>IF(VLOOKUP(CONCATENATE(H86,F86,DA$2),Español!$A:$H,7,FALSE)=O86,1,0)</f>
        <v>#N/A</v>
      </c>
      <c r="DB86" s="138" t="e">
        <f>IF(VLOOKUP(CONCATENATE(H86,F86,DB$2),Español!$A:$H,7,FALSE)=P86,1,0)</f>
        <v>#N/A</v>
      </c>
      <c r="DC86" s="138" t="e">
        <f>IF(VLOOKUP(CONCATENATE(H86,F86,DC$2),Español!$A:$H,7,FALSE)=Q86,1,0)</f>
        <v>#N/A</v>
      </c>
      <c r="DD86" s="138" t="e">
        <f>IF(VLOOKUP(CONCATENATE(H86,F86,DD$2),Español!$A:$H,7,FALSE)=R86,1,0)</f>
        <v>#N/A</v>
      </c>
      <c r="DE86" s="138" t="e">
        <f>IF(VLOOKUP(CONCATENATE(H86,F86,DE$2),Español!$A:$H,7,FALSE)=S86,1,0)</f>
        <v>#N/A</v>
      </c>
      <c r="DF86" s="138" t="e">
        <f>IF(VLOOKUP(CONCATENATE(H86,F86,DF$2),Español!$A:$H,7,FALSE)=T86,1,0)</f>
        <v>#N/A</v>
      </c>
      <c r="DG86" s="138" t="e">
        <f>IF(VLOOKUP(CONCATENATE(H86,F86,DG$2),Español!$A:$H,7,FALSE)=U86,1,0)</f>
        <v>#N/A</v>
      </c>
      <c r="DH86" s="138" t="e">
        <f>IF(VLOOKUP(CONCATENATE(H86,F86,DH$2),Español!$A:$H,7,FALSE)=V86,1,0)</f>
        <v>#N/A</v>
      </c>
      <c r="DI86" s="138" t="e">
        <f>IF(VLOOKUP(CONCATENATE(H86,F86,DI$2),Español!$A:$H,7,FALSE)=W86,1,0)</f>
        <v>#N/A</v>
      </c>
      <c r="DJ86" s="138" t="e">
        <f>IF(VLOOKUP(CONCATENATE(H86,F86,DJ$2),Español!$A:$H,7,FALSE)=X86,1,0)</f>
        <v>#N/A</v>
      </c>
      <c r="DK86" s="138" t="e">
        <f>IF(VLOOKUP(CONCATENATE(H86,F86,DK$2),Español!$A:$H,7,FALSE)=Y86,1,0)</f>
        <v>#N/A</v>
      </c>
      <c r="DL86" s="138" t="e">
        <f>IF(VLOOKUP(CONCATENATE(H86,F86,DL$2),Español!$A:$H,7,FALSE)=Z86,1,0)</f>
        <v>#N/A</v>
      </c>
      <c r="DM86" s="138" t="e">
        <f>IF(VLOOKUP(CONCATENATE(H86,F86,DM$2),Español!$A:$H,7,FALSE)=AA86,1,0)</f>
        <v>#N/A</v>
      </c>
      <c r="DN86" s="138" t="e">
        <f>IF(VLOOKUP(CONCATENATE(H86,F86,DN$2),Español!$A:$H,7,FALSE)=AB86,1,0)</f>
        <v>#N/A</v>
      </c>
      <c r="DO86" s="138" t="e">
        <f>IF(VLOOKUP(CONCATENATE(H86,F86,DO$2),Español!$A:$H,7,FALSE)=AC86,1,0)</f>
        <v>#N/A</v>
      </c>
      <c r="DP86" s="138" t="e">
        <f>IF(VLOOKUP(CONCATENATE(H86,F86,DP$2),Español!$A:$H,7,FALSE)=AD86,1,0)</f>
        <v>#N/A</v>
      </c>
      <c r="DQ86" s="138" t="e">
        <f>IF(VLOOKUP(CONCATENATE(H86,F86,DQ$2),Español!$A:$H,7,FALSE)=AE86,1,0)</f>
        <v>#N/A</v>
      </c>
      <c r="DR86" s="138" t="e">
        <f>IF(VLOOKUP(CONCATENATE(H86,F86,DR$2),Inglés!$A:$H,7,FALSE)=AF86,1,0)</f>
        <v>#N/A</v>
      </c>
      <c r="DS86" s="138" t="e">
        <f>IF(VLOOKUP(CONCATENATE(H86,F86,DS$2),Inglés!$A:$H,7,FALSE)=AG86,1,0)</f>
        <v>#N/A</v>
      </c>
      <c r="DT86" s="138" t="e">
        <f>IF(VLOOKUP(CONCATENATE(H86,F86,DT$2),Inglés!$A:$H,7,FALSE)=AH86,1,0)</f>
        <v>#N/A</v>
      </c>
      <c r="DU86" s="138" t="e">
        <f>IF(VLOOKUP(CONCATENATE(H86,F86,DU$2),Inglés!$A:$H,7,FALSE)=AI86,1,0)</f>
        <v>#N/A</v>
      </c>
      <c r="DV86" s="138" t="e">
        <f>IF(VLOOKUP(CONCATENATE(H86,F86,DV$2),Inglés!$A:$H,7,FALSE)=AJ86,1,0)</f>
        <v>#N/A</v>
      </c>
      <c r="DW86" s="138" t="e">
        <f>IF(VLOOKUP(CONCATENATE(H86,F86,DW$2),Inglés!$A:$H,7,FALSE)=AK86,1,0)</f>
        <v>#N/A</v>
      </c>
      <c r="DX86" s="138" t="e">
        <f>IF(VLOOKUP(CONCATENATE(H86,F86,DX$2),Inglés!$A:$H,7,FALSE)=AL86,1,0)</f>
        <v>#N/A</v>
      </c>
      <c r="DY86" s="138" t="e">
        <f>IF(VLOOKUP(CONCATENATE(H86,F86,DY$2),Inglés!$A:$H,7,FALSE)=AM86,1,0)</f>
        <v>#N/A</v>
      </c>
      <c r="DZ86" s="138" t="e">
        <f>IF(VLOOKUP(CONCATENATE(H86,F86,DZ$2),Inglés!$A:$H,7,FALSE)=AN86,1,0)</f>
        <v>#N/A</v>
      </c>
      <c r="EA86" s="138" t="e">
        <f>IF(VLOOKUP(CONCATENATE(H86,F86,EA$2),Inglés!$A:$H,7,FALSE)=AO86,1,0)</f>
        <v>#N/A</v>
      </c>
      <c r="EB86" s="138" t="e">
        <f>IF(VLOOKUP(CONCATENATE(H86,F86,EB$2),Matemáticas!$A:$H,7,FALSE)=AP86,1,0)</f>
        <v>#N/A</v>
      </c>
      <c r="EC86" s="138" t="e">
        <f>IF(VLOOKUP(CONCATENATE(H86,F86,EC$2),Matemáticas!$A:$H,7,FALSE)=AQ86,1,0)</f>
        <v>#N/A</v>
      </c>
      <c r="ED86" s="138" t="e">
        <f>IF(VLOOKUP(CONCATENATE(H86,F86,ED$2),Matemáticas!$A:$H,7,FALSE)=AR86,1,0)</f>
        <v>#N/A</v>
      </c>
      <c r="EE86" s="138" t="e">
        <f>IF(VLOOKUP(CONCATENATE(H86,F86,EE$2),Matemáticas!$A:$H,7,FALSE)=AS86,1,0)</f>
        <v>#N/A</v>
      </c>
      <c r="EF86" s="138" t="e">
        <f>IF(VLOOKUP(CONCATENATE(H86,F86,EF$2),Matemáticas!$A:$H,7,FALSE)=AT86,1,0)</f>
        <v>#N/A</v>
      </c>
      <c r="EG86" s="138" t="e">
        <f>IF(VLOOKUP(CONCATENATE(H86,F86,EG$2),Matemáticas!$A:$H,7,FALSE)=AU86,1,0)</f>
        <v>#N/A</v>
      </c>
      <c r="EH86" s="138" t="e">
        <f>IF(VLOOKUP(CONCATENATE(H86,F86,EH$2),Matemáticas!$A:$H,7,FALSE)=AV86,1,0)</f>
        <v>#N/A</v>
      </c>
      <c r="EI86" s="138" t="e">
        <f>IF(VLOOKUP(CONCATENATE(H86,F86,EI$2),Matemáticas!$A:$H,7,FALSE)=AW86,1,0)</f>
        <v>#N/A</v>
      </c>
      <c r="EJ86" s="138" t="e">
        <f>IF(VLOOKUP(CONCATENATE(H86,F86,EJ$2),Matemáticas!$A:$H,7,FALSE)=AX86,1,0)</f>
        <v>#N/A</v>
      </c>
      <c r="EK86" s="138" t="e">
        <f>IF(VLOOKUP(CONCATENATE(H86,F86,EK$2),Matemáticas!$A:$H,7,FALSE)=AY86,1,0)</f>
        <v>#N/A</v>
      </c>
      <c r="EL86" s="138" t="e">
        <f>IF(VLOOKUP(CONCATENATE(H86,F86,EL$2),Matemáticas!$A:$H,7,FALSE)=AZ86,1,0)</f>
        <v>#N/A</v>
      </c>
      <c r="EM86" s="138" t="e">
        <f>IF(VLOOKUP(CONCATENATE(H86,F86,EM$2),Matemáticas!$A:$H,7,FALSE)=BA86,1,0)</f>
        <v>#N/A</v>
      </c>
      <c r="EN86" s="138" t="e">
        <f>IF(VLOOKUP(CONCATENATE(H86,F86,EN$2),Matemáticas!$A:$H,7,FALSE)=BB86,1,0)</f>
        <v>#N/A</v>
      </c>
      <c r="EO86" s="138" t="e">
        <f>IF(VLOOKUP(CONCATENATE(H86,F86,EO$2),Matemáticas!$A:$H,7,FALSE)=BC86,1,0)</f>
        <v>#N/A</v>
      </c>
      <c r="EP86" s="138" t="e">
        <f>IF(VLOOKUP(CONCATENATE(H86,F86,EP$2),Matemáticas!$A:$H,7,FALSE)=BD86,1,0)</f>
        <v>#N/A</v>
      </c>
      <c r="EQ86" s="138" t="e">
        <f>IF(VLOOKUP(CONCATENATE(H86,F86,EQ$2),Matemáticas!$A:$H,7,FALSE)=BE86,1,0)</f>
        <v>#N/A</v>
      </c>
      <c r="ER86" s="138" t="e">
        <f>IF(VLOOKUP(CONCATENATE(H86,F86,ER$2),Matemáticas!$A:$H,7,FALSE)=BF86,1,0)</f>
        <v>#N/A</v>
      </c>
      <c r="ES86" s="138" t="e">
        <f>IF(VLOOKUP(CONCATENATE(H86,F86,ES$2),Matemáticas!$A:$H,7,FALSE)=BG86,1,0)</f>
        <v>#N/A</v>
      </c>
      <c r="ET86" s="138" t="e">
        <f>IF(VLOOKUP(CONCATENATE(H86,F86,ET$2),Matemáticas!$A:$H,7,FALSE)=BH86,1,0)</f>
        <v>#N/A</v>
      </c>
      <c r="EU86" s="138" t="e">
        <f>IF(VLOOKUP(CONCATENATE(H86,F86,EU$2),Matemáticas!$A:$H,7,FALSE)=BI86,1,0)</f>
        <v>#N/A</v>
      </c>
      <c r="EV86" s="138" t="e">
        <f>IF(VLOOKUP(CONCATENATE(H86,F86,EV$2),Ciencias!$A:$H,7,FALSE)=BJ86,1,0)</f>
        <v>#N/A</v>
      </c>
      <c r="EW86" s="138" t="e">
        <f>IF(VLOOKUP(CONCATENATE(H86,F86,EW$2),Ciencias!$A:$H,7,FALSE)=BK86,1,0)</f>
        <v>#N/A</v>
      </c>
      <c r="EX86" s="138" t="e">
        <f>IF(VLOOKUP(CONCATENATE(H86,F86,EX$2),Ciencias!$A:$H,7,FALSE)=BL86,1,0)</f>
        <v>#N/A</v>
      </c>
      <c r="EY86" s="138" t="e">
        <f>IF(VLOOKUP(CONCATENATE(H86,F86,EY$2),Ciencias!$A:$H,7,FALSE)=BM86,1,0)</f>
        <v>#N/A</v>
      </c>
      <c r="EZ86" s="138" t="e">
        <f>IF(VLOOKUP(CONCATENATE(H86,F86,EZ$2),Ciencias!$A:$H,7,FALSE)=BN86,1,0)</f>
        <v>#N/A</v>
      </c>
      <c r="FA86" s="138" t="e">
        <f>IF(VLOOKUP(CONCATENATE(H86,F86,FA$2),Ciencias!$A:$H,7,FALSE)=BO86,1,0)</f>
        <v>#N/A</v>
      </c>
      <c r="FB86" s="138" t="e">
        <f>IF(VLOOKUP(CONCATENATE(H86,F86,FB$2),Ciencias!$A:$H,7,FALSE)=BP86,1,0)</f>
        <v>#N/A</v>
      </c>
      <c r="FC86" s="138" t="e">
        <f>IF(VLOOKUP(CONCATENATE(H86,F86,FC$2),Ciencias!$A:$H,7,FALSE)=BQ86,1,0)</f>
        <v>#N/A</v>
      </c>
      <c r="FD86" s="138" t="e">
        <f>IF(VLOOKUP(CONCATENATE(H86,F86,FD$2),Ciencias!$A:$H,7,FALSE)=BR86,1,0)</f>
        <v>#N/A</v>
      </c>
      <c r="FE86" s="138" t="e">
        <f>IF(VLOOKUP(CONCATENATE(H86,F86,FE$2),Ciencias!$A:$H,7,FALSE)=BS86,1,0)</f>
        <v>#N/A</v>
      </c>
      <c r="FF86" s="138" t="e">
        <f>IF(VLOOKUP(CONCATENATE(H86,F86,FF$2),Ciencias!$A:$H,7,FALSE)=BT86,1,0)</f>
        <v>#N/A</v>
      </c>
      <c r="FG86" s="138" t="e">
        <f>IF(VLOOKUP(CONCATENATE(H86,F86,FG$2),Ciencias!$A:$H,7,FALSE)=BU86,1,0)</f>
        <v>#N/A</v>
      </c>
      <c r="FH86" s="138" t="e">
        <f>IF(VLOOKUP(CONCATENATE(H86,F86,FH$2),Ciencias!$A:$H,7,FALSE)=BV86,1,0)</f>
        <v>#N/A</v>
      </c>
      <c r="FI86" s="138" t="e">
        <f>IF(VLOOKUP(CONCATENATE(H86,F86,FI$2),Ciencias!$A:$H,7,FALSE)=BW86,1,0)</f>
        <v>#N/A</v>
      </c>
      <c r="FJ86" s="138" t="e">
        <f>IF(VLOOKUP(CONCATENATE(H86,F86,FJ$2),Ciencias!$A:$H,7,FALSE)=BX86,1,0)</f>
        <v>#N/A</v>
      </c>
      <c r="FK86" s="138" t="e">
        <f>IF(VLOOKUP(CONCATENATE(H86,F86,FK$2),Ciencias!$A:$H,7,FALSE)=BY86,1,0)</f>
        <v>#N/A</v>
      </c>
      <c r="FL86" s="138" t="e">
        <f>IF(VLOOKUP(CONCATENATE(H86,F86,FL$2),Ciencias!$A:$H,7,FALSE)=BZ86,1,0)</f>
        <v>#N/A</v>
      </c>
      <c r="FM86" s="138" t="e">
        <f>IF(VLOOKUP(CONCATENATE(H86,F86,FM$2),Ciencias!$A:$H,7,FALSE)=CA86,1,0)</f>
        <v>#N/A</v>
      </c>
      <c r="FN86" s="138" t="e">
        <f>IF(VLOOKUP(CONCATENATE(H86,F86,FN$2),Ciencias!$A:$H,7,FALSE)=CB86,1,0)</f>
        <v>#N/A</v>
      </c>
      <c r="FO86" s="138" t="e">
        <f>IF(VLOOKUP(CONCATENATE(H86,F86,FO$2),Ciencias!$A:$H,7,FALSE)=CC86,1,0)</f>
        <v>#N/A</v>
      </c>
      <c r="FP86" s="138" t="e">
        <f>IF(VLOOKUP(CONCATENATE(H86,F86,FP$2),GeoHis!$A:$H,7,FALSE)=CD86,1,0)</f>
        <v>#N/A</v>
      </c>
      <c r="FQ86" s="138" t="e">
        <f>IF(VLOOKUP(CONCATENATE(H86,F86,FQ$2),GeoHis!$A:$H,7,FALSE)=CE86,1,0)</f>
        <v>#N/A</v>
      </c>
      <c r="FR86" s="138" t="e">
        <f>IF(VLOOKUP(CONCATENATE(H86,F86,FR$2),GeoHis!$A:$H,7,FALSE)=CF86,1,0)</f>
        <v>#N/A</v>
      </c>
      <c r="FS86" s="138" t="e">
        <f>IF(VLOOKUP(CONCATENATE(H86,F86,FS$2),GeoHis!$A:$H,7,FALSE)=CG86,1,0)</f>
        <v>#N/A</v>
      </c>
      <c r="FT86" s="138" t="e">
        <f>IF(VLOOKUP(CONCATENATE(H86,F86,FT$2),GeoHis!$A:$H,7,FALSE)=CH86,1,0)</f>
        <v>#N/A</v>
      </c>
      <c r="FU86" s="138" t="e">
        <f>IF(VLOOKUP(CONCATENATE(H86,F86,FU$2),GeoHis!$A:$H,7,FALSE)=CI86,1,0)</f>
        <v>#N/A</v>
      </c>
      <c r="FV86" s="138" t="e">
        <f>IF(VLOOKUP(CONCATENATE(H86,F86,FV$2),GeoHis!$A:$H,7,FALSE)=CJ86,1,0)</f>
        <v>#N/A</v>
      </c>
      <c r="FW86" s="138" t="e">
        <f>IF(VLOOKUP(CONCATENATE(H86,F86,FW$2),GeoHis!$A:$H,7,FALSE)=CK86,1,0)</f>
        <v>#N/A</v>
      </c>
      <c r="FX86" s="138" t="e">
        <f>IF(VLOOKUP(CONCATENATE(H86,F86,FX$2),GeoHis!$A:$H,7,FALSE)=CL86,1,0)</f>
        <v>#N/A</v>
      </c>
      <c r="FY86" s="138" t="e">
        <f>IF(VLOOKUP(CONCATENATE(H86,F86,FY$2),GeoHis!$A:$H,7,FALSE)=CM86,1,0)</f>
        <v>#N/A</v>
      </c>
      <c r="FZ86" s="138" t="e">
        <f>IF(VLOOKUP(CONCATENATE(H86,F86,FZ$2),GeoHis!$A:$H,7,FALSE)=CN86,1,0)</f>
        <v>#N/A</v>
      </c>
      <c r="GA86" s="138" t="e">
        <f>IF(VLOOKUP(CONCATENATE(H86,F86,GA$2),GeoHis!$A:$H,7,FALSE)=CO86,1,0)</f>
        <v>#N/A</v>
      </c>
      <c r="GB86" s="138" t="e">
        <f>IF(VLOOKUP(CONCATENATE(H86,F86,GB$2),GeoHis!$A:$H,7,FALSE)=CP86,1,0)</f>
        <v>#N/A</v>
      </c>
      <c r="GC86" s="138" t="e">
        <f>IF(VLOOKUP(CONCATENATE(H86,F86,GC$2),GeoHis!$A:$H,7,FALSE)=CQ86,1,0)</f>
        <v>#N/A</v>
      </c>
      <c r="GD86" s="138" t="e">
        <f>IF(VLOOKUP(CONCATENATE(H86,F86,GD$2),GeoHis!$A:$H,7,FALSE)=CR86,1,0)</f>
        <v>#N/A</v>
      </c>
      <c r="GE86" s="135" t="str">
        <f t="shared" si="15"/>
        <v/>
      </c>
    </row>
    <row r="87" spans="1:187" x14ac:dyDescent="0.25">
      <c r="A87" s="127" t="str">
        <f>IF(C87="","",'Datos Generales'!$A$25)</f>
        <v/>
      </c>
      <c r="D87" s="126" t="str">
        <f t="shared" si="8"/>
        <v/>
      </c>
      <c r="E87" s="126">
        <f t="shared" si="9"/>
        <v>0</v>
      </c>
      <c r="F87" s="126" t="str">
        <f t="shared" si="10"/>
        <v/>
      </c>
      <c r="G87" s="126" t="str">
        <f>IF(C87="","",'Datos Generales'!$D$19)</f>
        <v/>
      </c>
      <c r="H87" s="21" t="str">
        <f>IF(C87="","",'Datos Generales'!$A$19)</f>
        <v/>
      </c>
      <c r="I87" s="126" t="str">
        <f>IF(C87="","",'Datos Generales'!$A$7)</f>
        <v/>
      </c>
      <c r="J87" s="21" t="str">
        <f>IF(C87="","",'Datos Generales'!$A$13)</f>
        <v/>
      </c>
      <c r="K87" s="21" t="str">
        <f>IF(C87="","",'Datos Generales'!$A$10)</f>
        <v/>
      </c>
      <c r="CS87" s="142" t="str">
        <f t="shared" si="11"/>
        <v/>
      </c>
      <c r="CT87" s="142" t="str">
        <f t="shared" si="12"/>
        <v/>
      </c>
      <c r="CU87" s="142" t="str">
        <f t="shared" si="13"/>
        <v/>
      </c>
      <c r="CV87" s="142" t="str">
        <f t="shared" si="14"/>
        <v/>
      </c>
      <c r="CW87" s="142" t="str">
        <f>IF(C87="","",IF('Datos Generales'!$A$19=1,AVERAGE(FP87:GD87),AVERAGE(Captura!FP87:FY87)))</f>
        <v/>
      </c>
      <c r="CX87" s="138" t="e">
        <f>IF(VLOOKUP(CONCATENATE($H$4,$F$4,CX$2),Español!$A:$H,7,FALSE)=L87,1,0)</f>
        <v>#N/A</v>
      </c>
      <c r="CY87" s="138" t="e">
        <f>IF(VLOOKUP(CONCATENATE(H87,F87,CY$2),Español!$A:$H,7,FALSE)=M87,1,0)</f>
        <v>#N/A</v>
      </c>
      <c r="CZ87" s="138" t="e">
        <f>IF(VLOOKUP(CONCATENATE(H87,F87,CZ$2),Español!$A:$H,7,FALSE)=N87,1,0)</f>
        <v>#N/A</v>
      </c>
      <c r="DA87" s="138" t="e">
        <f>IF(VLOOKUP(CONCATENATE(H87,F87,DA$2),Español!$A:$H,7,FALSE)=O87,1,0)</f>
        <v>#N/A</v>
      </c>
      <c r="DB87" s="138" t="e">
        <f>IF(VLOOKUP(CONCATENATE(H87,F87,DB$2),Español!$A:$H,7,FALSE)=P87,1,0)</f>
        <v>#N/A</v>
      </c>
      <c r="DC87" s="138" t="e">
        <f>IF(VLOOKUP(CONCATENATE(H87,F87,DC$2),Español!$A:$H,7,FALSE)=Q87,1,0)</f>
        <v>#N/A</v>
      </c>
      <c r="DD87" s="138" t="e">
        <f>IF(VLOOKUP(CONCATENATE(H87,F87,DD$2),Español!$A:$H,7,FALSE)=R87,1,0)</f>
        <v>#N/A</v>
      </c>
      <c r="DE87" s="138" t="e">
        <f>IF(VLOOKUP(CONCATENATE(H87,F87,DE$2),Español!$A:$H,7,FALSE)=S87,1,0)</f>
        <v>#N/A</v>
      </c>
      <c r="DF87" s="138" t="e">
        <f>IF(VLOOKUP(CONCATENATE(H87,F87,DF$2),Español!$A:$H,7,FALSE)=T87,1,0)</f>
        <v>#N/A</v>
      </c>
      <c r="DG87" s="138" t="e">
        <f>IF(VLOOKUP(CONCATENATE(H87,F87,DG$2),Español!$A:$H,7,FALSE)=U87,1,0)</f>
        <v>#N/A</v>
      </c>
      <c r="DH87" s="138" t="e">
        <f>IF(VLOOKUP(CONCATENATE(H87,F87,DH$2),Español!$A:$H,7,FALSE)=V87,1,0)</f>
        <v>#N/A</v>
      </c>
      <c r="DI87" s="138" t="e">
        <f>IF(VLOOKUP(CONCATENATE(H87,F87,DI$2),Español!$A:$H,7,FALSE)=W87,1,0)</f>
        <v>#N/A</v>
      </c>
      <c r="DJ87" s="138" t="e">
        <f>IF(VLOOKUP(CONCATENATE(H87,F87,DJ$2),Español!$A:$H,7,FALSE)=X87,1,0)</f>
        <v>#N/A</v>
      </c>
      <c r="DK87" s="138" t="e">
        <f>IF(VLOOKUP(CONCATENATE(H87,F87,DK$2),Español!$A:$H,7,FALSE)=Y87,1,0)</f>
        <v>#N/A</v>
      </c>
      <c r="DL87" s="138" t="e">
        <f>IF(VLOOKUP(CONCATENATE(H87,F87,DL$2),Español!$A:$H,7,FALSE)=Z87,1,0)</f>
        <v>#N/A</v>
      </c>
      <c r="DM87" s="138" t="e">
        <f>IF(VLOOKUP(CONCATENATE(H87,F87,DM$2),Español!$A:$H,7,FALSE)=AA87,1,0)</f>
        <v>#N/A</v>
      </c>
      <c r="DN87" s="138" t="e">
        <f>IF(VLOOKUP(CONCATENATE(H87,F87,DN$2),Español!$A:$H,7,FALSE)=AB87,1,0)</f>
        <v>#N/A</v>
      </c>
      <c r="DO87" s="138" t="e">
        <f>IF(VLOOKUP(CONCATENATE(H87,F87,DO$2),Español!$A:$H,7,FALSE)=AC87,1,0)</f>
        <v>#N/A</v>
      </c>
      <c r="DP87" s="138" t="e">
        <f>IF(VLOOKUP(CONCATENATE(H87,F87,DP$2),Español!$A:$H,7,FALSE)=AD87,1,0)</f>
        <v>#N/A</v>
      </c>
      <c r="DQ87" s="138" t="e">
        <f>IF(VLOOKUP(CONCATENATE(H87,F87,DQ$2),Español!$A:$H,7,FALSE)=AE87,1,0)</f>
        <v>#N/A</v>
      </c>
      <c r="DR87" s="138" t="e">
        <f>IF(VLOOKUP(CONCATENATE(H87,F87,DR$2),Inglés!$A:$H,7,FALSE)=AF87,1,0)</f>
        <v>#N/A</v>
      </c>
      <c r="DS87" s="138" t="e">
        <f>IF(VLOOKUP(CONCATENATE(H87,F87,DS$2),Inglés!$A:$H,7,FALSE)=AG87,1,0)</f>
        <v>#N/A</v>
      </c>
      <c r="DT87" s="138" t="e">
        <f>IF(VLOOKUP(CONCATENATE(H87,F87,DT$2),Inglés!$A:$H,7,FALSE)=AH87,1,0)</f>
        <v>#N/A</v>
      </c>
      <c r="DU87" s="138" t="e">
        <f>IF(VLOOKUP(CONCATENATE(H87,F87,DU$2),Inglés!$A:$H,7,FALSE)=AI87,1,0)</f>
        <v>#N/A</v>
      </c>
      <c r="DV87" s="138" t="e">
        <f>IF(VLOOKUP(CONCATENATE(H87,F87,DV$2),Inglés!$A:$H,7,FALSE)=AJ87,1,0)</f>
        <v>#N/A</v>
      </c>
      <c r="DW87" s="138" t="e">
        <f>IF(VLOOKUP(CONCATENATE(H87,F87,DW$2),Inglés!$A:$H,7,FALSE)=AK87,1,0)</f>
        <v>#N/A</v>
      </c>
      <c r="DX87" s="138" t="e">
        <f>IF(VLOOKUP(CONCATENATE(H87,F87,DX$2),Inglés!$A:$H,7,FALSE)=AL87,1,0)</f>
        <v>#N/A</v>
      </c>
      <c r="DY87" s="138" t="e">
        <f>IF(VLOOKUP(CONCATENATE(H87,F87,DY$2),Inglés!$A:$H,7,FALSE)=AM87,1,0)</f>
        <v>#N/A</v>
      </c>
      <c r="DZ87" s="138" t="e">
        <f>IF(VLOOKUP(CONCATENATE(H87,F87,DZ$2),Inglés!$A:$H,7,FALSE)=AN87,1,0)</f>
        <v>#N/A</v>
      </c>
      <c r="EA87" s="138" t="e">
        <f>IF(VLOOKUP(CONCATENATE(H87,F87,EA$2),Inglés!$A:$H,7,FALSE)=AO87,1,0)</f>
        <v>#N/A</v>
      </c>
      <c r="EB87" s="138" t="e">
        <f>IF(VLOOKUP(CONCATENATE(H87,F87,EB$2),Matemáticas!$A:$H,7,FALSE)=AP87,1,0)</f>
        <v>#N/A</v>
      </c>
      <c r="EC87" s="138" t="e">
        <f>IF(VLOOKUP(CONCATENATE(H87,F87,EC$2),Matemáticas!$A:$H,7,FALSE)=AQ87,1,0)</f>
        <v>#N/A</v>
      </c>
      <c r="ED87" s="138" t="e">
        <f>IF(VLOOKUP(CONCATENATE(H87,F87,ED$2),Matemáticas!$A:$H,7,FALSE)=AR87,1,0)</f>
        <v>#N/A</v>
      </c>
      <c r="EE87" s="138" t="e">
        <f>IF(VLOOKUP(CONCATENATE(H87,F87,EE$2),Matemáticas!$A:$H,7,FALSE)=AS87,1,0)</f>
        <v>#N/A</v>
      </c>
      <c r="EF87" s="138" t="e">
        <f>IF(VLOOKUP(CONCATENATE(H87,F87,EF$2),Matemáticas!$A:$H,7,FALSE)=AT87,1,0)</f>
        <v>#N/A</v>
      </c>
      <c r="EG87" s="138" t="e">
        <f>IF(VLOOKUP(CONCATENATE(H87,F87,EG$2),Matemáticas!$A:$H,7,FALSE)=AU87,1,0)</f>
        <v>#N/A</v>
      </c>
      <c r="EH87" s="138" t="e">
        <f>IF(VLOOKUP(CONCATENATE(H87,F87,EH$2),Matemáticas!$A:$H,7,FALSE)=AV87,1,0)</f>
        <v>#N/A</v>
      </c>
      <c r="EI87" s="138" t="e">
        <f>IF(VLOOKUP(CONCATENATE(H87,F87,EI$2),Matemáticas!$A:$H,7,FALSE)=AW87,1,0)</f>
        <v>#N/A</v>
      </c>
      <c r="EJ87" s="138" t="e">
        <f>IF(VLOOKUP(CONCATENATE(H87,F87,EJ$2),Matemáticas!$A:$H,7,FALSE)=AX87,1,0)</f>
        <v>#N/A</v>
      </c>
      <c r="EK87" s="138" t="e">
        <f>IF(VLOOKUP(CONCATENATE(H87,F87,EK$2),Matemáticas!$A:$H,7,FALSE)=AY87,1,0)</f>
        <v>#N/A</v>
      </c>
      <c r="EL87" s="138" t="e">
        <f>IF(VLOOKUP(CONCATENATE(H87,F87,EL$2),Matemáticas!$A:$H,7,FALSE)=AZ87,1,0)</f>
        <v>#N/A</v>
      </c>
      <c r="EM87" s="138" t="e">
        <f>IF(VLOOKUP(CONCATENATE(H87,F87,EM$2),Matemáticas!$A:$H,7,FALSE)=BA87,1,0)</f>
        <v>#N/A</v>
      </c>
      <c r="EN87" s="138" t="e">
        <f>IF(VLOOKUP(CONCATENATE(H87,F87,EN$2),Matemáticas!$A:$H,7,FALSE)=BB87,1,0)</f>
        <v>#N/A</v>
      </c>
      <c r="EO87" s="138" t="e">
        <f>IF(VLOOKUP(CONCATENATE(H87,F87,EO$2),Matemáticas!$A:$H,7,FALSE)=BC87,1,0)</f>
        <v>#N/A</v>
      </c>
      <c r="EP87" s="138" t="e">
        <f>IF(VLOOKUP(CONCATENATE(H87,F87,EP$2),Matemáticas!$A:$H,7,FALSE)=BD87,1,0)</f>
        <v>#N/A</v>
      </c>
      <c r="EQ87" s="138" t="e">
        <f>IF(VLOOKUP(CONCATENATE(H87,F87,EQ$2),Matemáticas!$A:$H,7,FALSE)=BE87,1,0)</f>
        <v>#N/A</v>
      </c>
      <c r="ER87" s="138" t="e">
        <f>IF(VLOOKUP(CONCATENATE(H87,F87,ER$2),Matemáticas!$A:$H,7,FALSE)=BF87,1,0)</f>
        <v>#N/A</v>
      </c>
      <c r="ES87" s="138" t="e">
        <f>IF(VLOOKUP(CONCATENATE(H87,F87,ES$2),Matemáticas!$A:$H,7,FALSE)=BG87,1,0)</f>
        <v>#N/A</v>
      </c>
      <c r="ET87" s="138" t="e">
        <f>IF(VLOOKUP(CONCATENATE(H87,F87,ET$2),Matemáticas!$A:$H,7,FALSE)=BH87,1,0)</f>
        <v>#N/A</v>
      </c>
      <c r="EU87" s="138" t="e">
        <f>IF(VLOOKUP(CONCATENATE(H87,F87,EU$2),Matemáticas!$A:$H,7,FALSE)=BI87,1,0)</f>
        <v>#N/A</v>
      </c>
      <c r="EV87" s="138" t="e">
        <f>IF(VLOOKUP(CONCATENATE(H87,F87,EV$2),Ciencias!$A:$H,7,FALSE)=BJ87,1,0)</f>
        <v>#N/A</v>
      </c>
      <c r="EW87" s="138" t="e">
        <f>IF(VLOOKUP(CONCATENATE(H87,F87,EW$2),Ciencias!$A:$H,7,FALSE)=BK87,1,0)</f>
        <v>#N/A</v>
      </c>
      <c r="EX87" s="138" t="e">
        <f>IF(VLOOKUP(CONCATENATE(H87,F87,EX$2),Ciencias!$A:$H,7,FALSE)=BL87,1,0)</f>
        <v>#N/A</v>
      </c>
      <c r="EY87" s="138" t="e">
        <f>IF(VLOOKUP(CONCATENATE(H87,F87,EY$2),Ciencias!$A:$H,7,FALSE)=BM87,1,0)</f>
        <v>#N/A</v>
      </c>
      <c r="EZ87" s="138" t="e">
        <f>IF(VLOOKUP(CONCATENATE(H87,F87,EZ$2),Ciencias!$A:$H,7,FALSE)=BN87,1,0)</f>
        <v>#N/A</v>
      </c>
      <c r="FA87" s="138" t="e">
        <f>IF(VLOOKUP(CONCATENATE(H87,F87,FA$2),Ciencias!$A:$H,7,FALSE)=BO87,1,0)</f>
        <v>#N/A</v>
      </c>
      <c r="FB87" s="138" t="e">
        <f>IF(VLOOKUP(CONCATENATE(H87,F87,FB$2),Ciencias!$A:$H,7,FALSE)=BP87,1,0)</f>
        <v>#N/A</v>
      </c>
      <c r="FC87" s="138" t="e">
        <f>IF(VLOOKUP(CONCATENATE(H87,F87,FC$2),Ciencias!$A:$H,7,FALSE)=BQ87,1,0)</f>
        <v>#N/A</v>
      </c>
      <c r="FD87" s="138" t="e">
        <f>IF(VLOOKUP(CONCATENATE(H87,F87,FD$2),Ciencias!$A:$H,7,FALSE)=BR87,1,0)</f>
        <v>#N/A</v>
      </c>
      <c r="FE87" s="138" t="e">
        <f>IF(VLOOKUP(CONCATENATE(H87,F87,FE$2),Ciencias!$A:$H,7,FALSE)=BS87,1,0)</f>
        <v>#N/A</v>
      </c>
      <c r="FF87" s="138" t="e">
        <f>IF(VLOOKUP(CONCATENATE(H87,F87,FF$2),Ciencias!$A:$H,7,FALSE)=BT87,1,0)</f>
        <v>#N/A</v>
      </c>
      <c r="FG87" s="138" t="e">
        <f>IF(VLOOKUP(CONCATENATE(H87,F87,FG$2),Ciencias!$A:$H,7,FALSE)=BU87,1,0)</f>
        <v>#N/A</v>
      </c>
      <c r="FH87" s="138" t="e">
        <f>IF(VLOOKUP(CONCATENATE(H87,F87,FH$2),Ciencias!$A:$H,7,FALSE)=BV87,1,0)</f>
        <v>#N/A</v>
      </c>
      <c r="FI87" s="138" t="e">
        <f>IF(VLOOKUP(CONCATENATE(H87,F87,FI$2),Ciencias!$A:$H,7,FALSE)=BW87,1,0)</f>
        <v>#N/A</v>
      </c>
      <c r="FJ87" s="138" t="e">
        <f>IF(VLOOKUP(CONCATENATE(H87,F87,FJ$2),Ciencias!$A:$H,7,FALSE)=BX87,1,0)</f>
        <v>#N/A</v>
      </c>
      <c r="FK87" s="138" t="e">
        <f>IF(VLOOKUP(CONCATENATE(H87,F87,FK$2),Ciencias!$A:$H,7,FALSE)=BY87,1,0)</f>
        <v>#N/A</v>
      </c>
      <c r="FL87" s="138" t="e">
        <f>IF(VLOOKUP(CONCATENATE(H87,F87,FL$2),Ciencias!$A:$H,7,FALSE)=BZ87,1,0)</f>
        <v>#N/A</v>
      </c>
      <c r="FM87" s="138" t="e">
        <f>IF(VLOOKUP(CONCATENATE(H87,F87,FM$2),Ciencias!$A:$H,7,FALSE)=CA87,1,0)</f>
        <v>#N/A</v>
      </c>
      <c r="FN87" s="138" t="e">
        <f>IF(VLOOKUP(CONCATENATE(H87,F87,FN$2),Ciencias!$A:$H,7,FALSE)=CB87,1,0)</f>
        <v>#N/A</v>
      </c>
      <c r="FO87" s="138" t="e">
        <f>IF(VLOOKUP(CONCATENATE(H87,F87,FO$2),Ciencias!$A:$H,7,FALSE)=CC87,1,0)</f>
        <v>#N/A</v>
      </c>
      <c r="FP87" s="138" t="e">
        <f>IF(VLOOKUP(CONCATENATE(H87,F87,FP$2),GeoHis!$A:$H,7,FALSE)=CD87,1,0)</f>
        <v>#N/A</v>
      </c>
      <c r="FQ87" s="138" t="e">
        <f>IF(VLOOKUP(CONCATENATE(H87,F87,FQ$2),GeoHis!$A:$H,7,FALSE)=CE87,1,0)</f>
        <v>#N/A</v>
      </c>
      <c r="FR87" s="138" t="e">
        <f>IF(VLOOKUP(CONCATENATE(H87,F87,FR$2),GeoHis!$A:$H,7,FALSE)=CF87,1,0)</f>
        <v>#N/A</v>
      </c>
      <c r="FS87" s="138" t="e">
        <f>IF(VLOOKUP(CONCATENATE(H87,F87,FS$2),GeoHis!$A:$H,7,FALSE)=CG87,1,0)</f>
        <v>#N/A</v>
      </c>
      <c r="FT87" s="138" t="e">
        <f>IF(VLOOKUP(CONCATENATE(H87,F87,FT$2),GeoHis!$A:$H,7,FALSE)=CH87,1,0)</f>
        <v>#N/A</v>
      </c>
      <c r="FU87" s="138" t="e">
        <f>IF(VLOOKUP(CONCATENATE(H87,F87,FU$2),GeoHis!$A:$H,7,FALSE)=CI87,1,0)</f>
        <v>#N/A</v>
      </c>
      <c r="FV87" s="138" t="e">
        <f>IF(VLOOKUP(CONCATENATE(H87,F87,FV$2),GeoHis!$A:$H,7,FALSE)=CJ87,1,0)</f>
        <v>#N/A</v>
      </c>
      <c r="FW87" s="138" t="e">
        <f>IF(VLOOKUP(CONCATENATE(H87,F87,FW$2),GeoHis!$A:$H,7,FALSE)=CK87,1,0)</f>
        <v>#N/A</v>
      </c>
      <c r="FX87" s="138" t="e">
        <f>IF(VLOOKUP(CONCATENATE(H87,F87,FX$2),GeoHis!$A:$H,7,FALSE)=CL87,1,0)</f>
        <v>#N/A</v>
      </c>
      <c r="FY87" s="138" t="e">
        <f>IF(VLOOKUP(CONCATENATE(H87,F87,FY$2),GeoHis!$A:$H,7,FALSE)=CM87,1,0)</f>
        <v>#N/A</v>
      </c>
      <c r="FZ87" s="138" t="e">
        <f>IF(VLOOKUP(CONCATENATE(H87,F87,FZ$2),GeoHis!$A:$H,7,FALSE)=CN87,1,0)</f>
        <v>#N/A</v>
      </c>
      <c r="GA87" s="138" t="e">
        <f>IF(VLOOKUP(CONCATENATE(H87,F87,GA$2),GeoHis!$A:$H,7,FALSE)=CO87,1,0)</f>
        <v>#N/A</v>
      </c>
      <c r="GB87" s="138" t="e">
        <f>IF(VLOOKUP(CONCATENATE(H87,F87,GB$2),GeoHis!$A:$H,7,FALSE)=CP87,1,0)</f>
        <v>#N/A</v>
      </c>
      <c r="GC87" s="138" t="e">
        <f>IF(VLOOKUP(CONCATENATE(H87,F87,GC$2),GeoHis!$A:$H,7,FALSE)=CQ87,1,0)</f>
        <v>#N/A</v>
      </c>
      <c r="GD87" s="138" t="e">
        <f>IF(VLOOKUP(CONCATENATE(H87,F87,GD$2),GeoHis!$A:$H,7,FALSE)=CR87,1,0)</f>
        <v>#N/A</v>
      </c>
      <c r="GE87" s="135" t="str">
        <f t="shared" si="15"/>
        <v/>
      </c>
    </row>
    <row r="88" spans="1:187" x14ac:dyDescent="0.25">
      <c r="A88" s="127" t="str">
        <f>IF(C88="","",'Datos Generales'!$A$25)</f>
        <v/>
      </c>
      <c r="D88" s="126" t="str">
        <f t="shared" si="8"/>
        <v/>
      </c>
      <c r="E88" s="126">
        <f t="shared" si="9"/>
        <v>0</v>
      </c>
      <c r="F88" s="126" t="str">
        <f t="shared" si="10"/>
        <v/>
      </c>
      <c r="G88" s="126" t="str">
        <f>IF(C88="","",'Datos Generales'!$D$19)</f>
        <v/>
      </c>
      <c r="H88" s="21" t="str">
        <f>IF(C88="","",'Datos Generales'!$A$19)</f>
        <v/>
      </c>
      <c r="I88" s="126" t="str">
        <f>IF(C88="","",'Datos Generales'!$A$7)</f>
        <v/>
      </c>
      <c r="J88" s="21" t="str">
        <f>IF(C88="","",'Datos Generales'!$A$13)</f>
        <v/>
      </c>
      <c r="K88" s="21" t="str">
        <f>IF(C88="","",'Datos Generales'!$A$10)</f>
        <v/>
      </c>
      <c r="CS88" s="142" t="str">
        <f t="shared" si="11"/>
        <v/>
      </c>
      <c r="CT88" s="142" t="str">
        <f t="shared" si="12"/>
        <v/>
      </c>
      <c r="CU88" s="142" t="str">
        <f t="shared" si="13"/>
        <v/>
      </c>
      <c r="CV88" s="142" t="str">
        <f t="shared" si="14"/>
        <v/>
      </c>
      <c r="CW88" s="142" t="str">
        <f>IF(C88="","",IF('Datos Generales'!$A$19=1,AVERAGE(FP88:GD88),AVERAGE(Captura!FP88:FY88)))</f>
        <v/>
      </c>
      <c r="CX88" s="138" t="e">
        <f>IF(VLOOKUP(CONCATENATE($H$4,$F$4,CX$2),Español!$A:$H,7,FALSE)=L88,1,0)</f>
        <v>#N/A</v>
      </c>
      <c r="CY88" s="138" t="e">
        <f>IF(VLOOKUP(CONCATENATE(H88,F88,CY$2),Español!$A:$H,7,FALSE)=M88,1,0)</f>
        <v>#N/A</v>
      </c>
      <c r="CZ88" s="138" t="e">
        <f>IF(VLOOKUP(CONCATENATE(H88,F88,CZ$2),Español!$A:$H,7,FALSE)=N88,1,0)</f>
        <v>#N/A</v>
      </c>
      <c r="DA88" s="138" t="e">
        <f>IF(VLOOKUP(CONCATENATE(H88,F88,DA$2),Español!$A:$H,7,FALSE)=O88,1,0)</f>
        <v>#N/A</v>
      </c>
      <c r="DB88" s="138" t="e">
        <f>IF(VLOOKUP(CONCATENATE(H88,F88,DB$2),Español!$A:$H,7,FALSE)=P88,1,0)</f>
        <v>#N/A</v>
      </c>
      <c r="DC88" s="138" t="e">
        <f>IF(VLOOKUP(CONCATENATE(H88,F88,DC$2),Español!$A:$H,7,FALSE)=Q88,1,0)</f>
        <v>#N/A</v>
      </c>
      <c r="DD88" s="138" t="e">
        <f>IF(VLOOKUP(CONCATENATE(H88,F88,DD$2),Español!$A:$H,7,FALSE)=R88,1,0)</f>
        <v>#N/A</v>
      </c>
      <c r="DE88" s="138" t="e">
        <f>IF(VLOOKUP(CONCATENATE(H88,F88,DE$2),Español!$A:$H,7,FALSE)=S88,1,0)</f>
        <v>#N/A</v>
      </c>
      <c r="DF88" s="138" t="e">
        <f>IF(VLOOKUP(CONCATENATE(H88,F88,DF$2),Español!$A:$H,7,FALSE)=T88,1,0)</f>
        <v>#N/A</v>
      </c>
      <c r="DG88" s="138" t="e">
        <f>IF(VLOOKUP(CONCATENATE(H88,F88,DG$2),Español!$A:$H,7,FALSE)=U88,1,0)</f>
        <v>#N/A</v>
      </c>
      <c r="DH88" s="138" t="e">
        <f>IF(VLOOKUP(CONCATENATE(H88,F88,DH$2),Español!$A:$H,7,FALSE)=V88,1,0)</f>
        <v>#N/A</v>
      </c>
      <c r="DI88" s="138" t="e">
        <f>IF(VLOOKUP(CONCATENATE(H88,F88,DI$2),Español!$A:$H,7,FALSE)=W88,1,0)</f>
        <v>#N/A</v>
      </c>
      <c r="DJ88" s="138" t="e">
        <f>IF(VLOOKUP(CONCATENATE(H88,F88,DJ$2),Español!$A:$H,7,FALSE)=X88,1,0)</f>
        <v>#N/A</v>
      </c>
      <c r="DK88" s="138" t="e">
        <f>IF(VLOOKUP(CONCATENATE(H88,F88,DK$2),Español!$A:$H,7,FALSE)=Y88,1,0)</f>
        <v>#N/A</v>
      </c>
      <c r="DL88" s="138" t="e">
        <f>IF(VLOOKUP(CONCATENATE(H88,F88,DL$2),Español!$A:$H,7,FALSE)=Z88,1,0)</f>
        <v>#N/A</v>
      </c>
      <c r="DM88" s="138" t="e">
        <f>IF(VLOOKUP(CONCATENATE(H88,F88,DM$2),Español!$A:$H,7,FALSE)=AA88,1,0)</f>
        <v>#N/A</v>
      </c>
      <c r="DN88" s="138" t="e">
        <f>IF(VLOOKUP(CONCATENATE(H88,F88,DN$2),Español!$A:$H,7,FALSE)=AB88,1,0)</f>
        <v>#N/A</v>
      </c>
      <c r="DO88" s="138" t="e">
        <f>IF(VLOOKUP(CONCATENATE(H88,F88,DO$2),Español!$A:$H,7,FALSE)=AC88,1,0)</f>
        <v>#N/A</v>
      </c>
      <c r="DP88" s="138" t="e">
        <f>IF(VLOOKUP(CONCATENATE(H88,F88,DP$2),Español!$A:$H,7,FALSE)=AD88,1,0)</f>
        <v>#N/A</v>
      </c>
      <c r="DQ88" s="138" t="e">
        <f>IF(VLOOKUP(CONCATENATE(H88,F88,DQ$2),Español!$A:$H,7,FALSE)=AE88,1,0)</f>
        <v>#N/A</v>
      </c>
      <c r="DR88" s="138" t="e">
        <f>IF(VLOOKUP(CONCATENATE(H88,F88,DR$2),Inglés!$A:$H,7,FALSE)=AF88,1,0)</f>
        <v>#N/A</v>
      </c>
      <c r="DS88" s="138" t="e">
        <f>IF(VLOOKUP(CONCATENATE(H88,F88,DS$2),Inglés!$A:$H,7,FALSE)=AG88,1,0)</f>
        <v>#N/A</v>
      </c>
      <c r="DT88" s="138" t="e">
        <f>IF(VLOOKUP(CONCATENATE(H88,F88,DT$2),Inglés!$A:$H,7,FALSE)=AH88,1,0)</f>
        <v>#N/A</v>
      </c>
      <c r="DU88" s="138" t="e">
        <f>IF(VLOOKUP(CONCATENATE(H88,F88,DU$2),Inglés!$A:$H,7,FALSE)=AI88,1,0)</f>
        <v>#N/A</v>
      </c>
      <c r="DV88" s="138" t="e">
        <f>IF(VLOOKUP(CONCATENATE(H88,F88,DV$2),Inglés!$A:$H,7,FALSE)=AJ88,1,0)</f>
        <v>#N/A</v>
      </c>
      <c r="DW88" s="138" t="e">
        <f>IF(VLOOKUP(CONCATENATE(H88,F88,DW$2),Inglés!$A:$H,7,FALSE)=AK88,1,0)</f>
        <v>#N/A</v>
      </c>
      <c r="DX88" s="138" t="e">
        <f>IF(VLOOKUP(CONCATENATE(H88,F88,DX$2),Inglés!$A:$H,7,FALSE)=AL88,1,0)</f>
        <v>#N/A</v>
      </c>
      <c r="DY88" s="138" t="e">
        <f>IF(VLOOKUP(CONCATENATE(H88,F88,DY$2),Inglés!$A:$H,7,FALSE)=AM88,1,0)</f>
        <v>#N/A</v>
      </c>
      <c r="DZ88" s="138" t="e">
        <f>IF(VLOOKUP(CONCATENATE(H88,F88,DZ$2),Inglés!$A:$H,7,FALSE)=AN88,1,0)</f>
        <v>#N/A</v>
      </c>
      <c r="EA88" s="138" t="e">
        <f>IF(VLOOKUP(CONCATENATE(H88,F88,EA$2),Inglés!$A:$H,7,FALSE)=AO88,1,0)</f>
        <v>#N/A</v>
      </c>
      <c r="EB88" s="138" t="e">
        <f>IF(VLOOKUP(CONCATENATE(H88,F88,EB$2),Matemáticas!$A:$H,7,FALSE)=AP88,1,0)</f>
        <v>#N/A</v>
      </c>
      <c r="EC88" s="138" t="e">
        <f>IF(VLOOKUP(CONCATENATE(H88,F88,EC$2),Matemáticas!$A:$H,7,FALSE)=AQ88,1,0)</f>
        <v>#N/A</v>
      </c>
      <c r="ED88" s="138" t="e">
        <f>IF(VLOOKUP(CONCATENATE(H88,F88,ED$2),Matemáticas!$A:$H,7,FALSE)=AR88,1,0)</f>
        <v>#N/A</v>
      </c>
      <c r="EE88" s="138" t="e">
        <f>IF(VLOOKUP(CONCATENATE(H88,F88,EE$2),Matemáticas!$A:$H,7,FALSE)=AS88,1,0)</f>
        <v>#N/A</v>
      </c>
      <c r="EF88" s="138" t="e">
        <f>IF(VLOOKUP(CONCATENATE(H88,F88,EF$2),Matemáticas!$A:$H,7,FALSE)=AT88,1,0)</f>
        <v>#N/A</v>
      </c>
      <c r="EG88" s="138" t="e">
        <f>IF(VLOOKUP(CONCATENATE(H88,F88,EG$2),Matemáticas!$A:$H,7,FALSE)=AU88,1,0)</f>
        <v>#N/A</v>
      </c>
      <c r="EH88" s="138" t="e">
        <f>IF(VLOOKUP(CONCATENATE(H88,F88,EH$2),Matemáticas!$A:$H,7,FALSE)=AV88,1,0)</f>
        <v>#N/A</v>
      </c>
      <c r="EI88" s="138" t="e">
        <f>IF(VLOOKUP(CONCATENATE(H88,F88,EI$2),Matemáticas!$A:$H,7,FALSE)=AW88,1,0)</f>
        <v>#N/A</v>
      </c>
      <c r="EJ88" s="138" t="e">
        <f>IF(VLOOKUP(CONCATENATE(H88,F88,EJ$2),Matemáticas!$A:$H,7,FALSE)=AX88,1,0)</f>
        <v>#N/A</v>
      </c>
      <c r="EK88" s="138" t="e">
        <f>IF(VLOOKUP(CONCATENATE(H88,F88,EK$2),Matemáticas!$A:$H,7,FALSE)=AY88,1,0)</f>
        <v>#N/A</v>
      </c>
      <c r="EL88" s="138" t="e">
        <f>IF(VLOOKUP(CONCATENATE(H88,F88,EL$2),Matemáticas!$A:$H,7,FALSE)=AZ88,1,0)</f>
        <v>#N/A</v>
      </c>
      <c r="EM88" s="138" t="e">
        <f>IF(VLOOKUP(CONCATENATE(H88,F88,EM$2),Matemáticas!$A:$H,7,FALSE)=BA88,1,0)</f>
        <v>#N/A</v>
      </c>
      <c r="EN88" s="138" t="e">
        <f>IF(VLOOKUP(CONCATENATE(H88,F88,EN$2),Matemáticas!$A:$H,7,FALSE)=BB88,1,0)</f>
        <v>#N/A</v>
      </c>
      <c r="EO88" s="138" t="e">
        <f>IF(VLOOKUP(CONCATENATE(H88,F88,EO$2),Matemáticas!$A:$H,7,FALSE)=BC88,1,0)</f>
        <v>#N/A</v>
      </c>
      <c r="EP88" s="138" t="e">
        <f>IF(VLOOKUP(CONCATENATE(H88,F88,EP$2),Matemáticas!$A:$H,7,FALSE)=BD88,1,0)</f>
        <v>#N/A</v>
      </c>
      <c r="EQ88" s="138" t="e">
        <f>IF(VLOOKUP(CONCATENATE(H88,F88,EQ$2),Matemáticas!$A:$H,7,FALSE)=BE88,1,0)</f>
        <v>#N/A</v>
      </c>
      <c r="ER88" s="138" t="e">
        <f>IF(VLOOKUP(CONCATENATE(H88,F88,ER$2),Matemáticas!$A:$H,7,FALSE)=BF88,1,0)</f>
        <v>#N/A</v>
      </c>
      <c r="ES88" s="138" t="e">
        <f>IF(VLOOKUP(CONCATENATE(H88,F88,ES$2),Matemáticas!$A:$H,7,FALSE)=BG88,1,0)</f>
        <v>#N/A</v>
      </c>
      <c r="ET88" s="138" t="e">
        <f>IF(VLOOKUP(CONCATENATE(H88,F88,ET$2),Matemáticas!$A:$H,7,FALSE)=BH88,1,0)</f>
        <v>#N/A</v>
      </c>
      <c r="EU88" s="138" t="e">
        <f>IF(VLOOKUP(CONCATENATE(H88,F88,EU$2),Matemáticas!$A:$H,7,FALSE)=BI88,1,0)</f>
        <v>#N/A</v>
      </c>
      <c r="EV88" s="138" t="e">
        <f>IF(VLOOKUP(CONCATENATE(H88,F88,EV$2),Ciencias!$A:$H,7,FALSE)=BJ88,1,0)</f>
        <v>#N/A</v>
      </c>
      <c r="EW88" s="138" t="e">
        <f>IF(VLOOKUP(CONCATENATE(H88,F88,EW$2),Ciencias!$A:$H,7,FALSE)=BK88,1,0)</f>
        <v>#N/A</v>
      </c>
      <c r="EX88" s="138" t="e">
        <f>IF(VLOOKUP(CONCATENATE(H88,F88,EX$2),Ciencias!$A:$H,7,FALSE)=BL88,1,0)</f>
        <v>#N/A</v>
      </c>
      <c r="EY88" s="138" t="e">
        <f>IF(VLOOKUP(CONCATENATE(H88,F88,EY$2),Ciencias!$A:$H,7,FALSE)=BM88,1,0)</f>
        <v>#N/A</v>
      </c>
      <c r="EZ88" s="138" t="e">
        <f>IF(VLOOKUP(CONCATENATE(H88,F88,EZ$2),Ciencias!$A:$H,7,FALSE)=BN88,1,0)</f>
        <v>#N/A</v>
      </c>
      <c r="FA88" s="138" t="e">
        <f>IF(VLOOKUP(CONCATENATE(H88,F88,FA$2),Ciencias!$A:$H,7,FALSE)=BO88,1,0)</f>
        <v>#N/A</v>
      </c>
      <c r="FB88" s="138" t="e">
        <f>IF(VLOOKUP(CONCATENATE(H88,F88,FB$2),Ciencias!$A:$H,7,FALSE)=BP88,1,0)</f>
        <v>#N/A</v>
      </c>
      <c r="FC88" s="138" t="e">
        <f>IF(VLOOKUP(CONCATENATE(H88,F88,FC$2),Ciencias!$A:$H,7,FALSE)=BQ88,1,0)</f>
        <v>#N/A</v>
      </c>
      <c r="FD88" s="138" t="e">
        <f>IF(VLOOKUP(CONCATENATE(H88,F88,FD$2),Ciencias!$A:$H,7,FALSE)=BR88,1,0)</f>
        <v>#N/A</v>
      </c>
      <c r="FE88" s="138" t="e">
        <f>IF(VLOOKUP(CONCATENATE(H88,F88,FE$2),Ciencias!$A:$H,7,FALSE)=BS88,1,0)</f>
        <v>#N/A</v>
      </c>
      <c r="FF88" s="138" t="e">
        <f>IF(VLOOKUP(CONCATENATE(H88,F88,FF$2),Ciencias!$A:$H,7,FALSE)=BT88,1,0)</f>
        <v>#N/A</v>
      </c>
      <c r="FG88" s="138" t="e">
        <f>IF(VLOOKUP(CONCATENATE(H88,F88,FG$2),Ciencias!$A:$H,7,FALSE)=BU88,1,0)</f>
        <v>#N/A</v>
      </c>
      <c r="FH88" s="138" t="e">
        <f>IF(VLOOKUP(CONCATENATE(H88,F88,FH$2),Ciencias!$A:$H,7,FALSE)=BV88,1,0)</f>
        <v>#N/A</v>
      </c>
      <c r="FI88" s="138" t="e">
        <f>IF(VLOOKUP(CONCATENATE(H88,F88,FI$2),Ciencias!$A:$H,7,FALSE)=BW88,1,0)</f>
        <v>#N/A</v>
      </c>
      <c r="FJ88" s="138" t="e">
        <f>IF(VLOOKUP(CONCATENATE(H88,F88,FJ$2),Ciencias!$A:$H,7,FALSE)=BX88,1,0)</f>
        <v>#N/A</v>
      </c>
      <c r="FK88" s="138" t="e">
        <f>IF(VLOOKUP(CONCATENATE(H88,F88,FK$2),Ciencias!$A:$H,7,FALSE)=BY88,1,0)</f>
        <v>#N/A</v>
      </c>
      <c r="FL88" s="138" t="e">
        <f>IF(VLOOKUP(CONCATENATE(H88,F88,FL$2),Ciencias!$A:$H,7,FALSE)=BZ88,1,0)</f>
        <v>#N/A</v>
      </c>
      <c r="FM88" s="138" t="e">
        <f>IF(VLOOKUP(CONCATENATE(H88,F88,FM$2),Ciencias!$A:$H,7,FALSE)=CA88,1,0)</f>
        <v>#N/A</v>
      </c>
      <c r="FN88" s="138" t="e">
        <f>IF(VLOOKUP(CONCATENATE(H88,F88,FN$2),Ciencias!$A:$H,7,FALSE)=CB88,1,0)</f>
        <v>#N/A</v>
      </c>
      <c r="FO88" s="138" t="e">
        <f>IF(VLOOKUP(CONCATENATE(H88,F88,FO$2),Ciencias!$A:$H,7,FALSE)=CC88,1,0)</f>
        <v>#N/A</v>
      </c>
      <c r="FP88" s="138" t="e">
        <f>IF(VLOOKUP(CONCATENATE(H88,F88,FP$2),GeoHis!$A:$H,7,FALSE)=CD88,1,0)</f>
        <v>#N/A</v>
      </c>
      <c r="FQ88" s="138" t="e">
        <f>IF(VLOOKUP(CONCATENATE(H88,F88,FQ$2),GeoHis!$A:$H,7,FALSE)=CE88,1,0)</f>
        <v>#N/A</v>
      </c>
      <c r="FR88" s="138" t="e">
        <f>IF(VLOOKUP(CONCATENATE(H88,F88,FR$2),GeoHis!$A:$H,7,FALSE)=CF88,1,0)</f>
        <v>#N/A</v>
      </c>
      <c r="FS88" s="138" t="e">
        <f>IF(VLOOKUP(CONCATENATE(H88,F88,FS$2),GeoHis!$A:$H,7,FALSE)=CG88,1,0)</f>
        <v>#N/A</v>
      </c>
      <c r="FT88" s="138" t="e">
        <f>IF(VLOOKUP(CONCATENATE(H88,F88,FT$2),GeoHis!$A:$H,7,FALSE)=CH88,1,0)</f>
        <v>#N/A</v>
      </c>
      <c r="FU88" s="138" t="e">
        <f>IF(VLOOKUP(CONCATENATE(H88,F88,FU$2),GeoHis!$A:$H,7,FALSE)=CI88,1,0)</f>
        <v>#N/A</v>
      </c>
      <c r="FV88" s="138" t="e">
        <f>IF(VLOOKUP(CONCATENATE(H88,F88,FV$2),GeoHis!$A:$H,7,FALSE)=CJ88,1,0)</f>
        <v>#N/A</v>
      </c>
      <c r="FW88" s="138" t="e">
        <f>IF(VLOOKUP(CONCATENATE(H88,F88,FW$2),GeoHis!$A:$H,7,FALSE)=CK88,1,0)</f>
        <v>#N/A</v>
      </c>
      <c r="FX88" s="138" t="e">
        <f>IF(VLOOKUP(CONCATENATE(H88,F88,FX$2),GeoHis!$A:$H,7,FALSE)=CL88,1,0)</f>
        <v>#N/A</v>
      </c>
      <c r="FY88" s="138" t="e">
        <f>IF(VLOOKUP(CONCATENATE(H88,F88,FY$2),GeoHis!$A:$H,7,FALSE)=CM88,1,0)</f>
        <v>#N/A</v>
      </c>
      <c r="FZ88" s="138" t="e">
        <f>IF(VLOOKUP(CONCATENATE(H88,F88,FZ$2),GeoHis!$A:$H,7,FALSE)=CN88,1,0)</f>
        <v>#N/A</v>
      </c>
      <c r="GA88" s="138" t="e">
        <f>IF(VLOOKUP(CONCATENATE(H88,F88,GA$2),GeoHis!$A:$H,7,FALSE)=CO88,1,0)</f>
        <v>#N/A</v>
      </c>
      <c r="GB88" s="138" t="e">
        <f>IF(VLOOKUP(CONCATENATE(H88,F88,GB$2),GeoHis!$A:$H,7,FALSE)=CP88,1,0)</f>
        <v>#N/A</v>
      </c>
      <c r="GC88" s="138" t="e">
        <f>IF(VLOOKUP(CONCATENATE(H88,F88,GC$2),GeoHis!$A:$H,7,FALSE)=CQ88,1,0)</f>
        <v>#N/A</v>
      </c>
      <c r="GD88" s="138" t="e">
        <f>IF(VLOOKUP(CONCATENATE(H88,F88,GD$2),GeoHis!$A:$H,7,FALSE)=CR88,1,0)</f>
        <v>#N/A</v>
      </c>
      <c r="GE88" s="135" t="str">
        <f t="shared" si="15"/>
        <v/>
      </c>
    </row>
    <row r="89" spans="1:187" x14ac:dyDescent="0.25">
      <c r="A89" s="127" t="str">
        <f>IF(C89="","",'Datos Generales'!$A$25)</f>
        <v/>
      </c>
      <c r="D89" s="126" t="str">
        <f t="shared" si="8"/>
        <v/>
      </c>
      <c r="E89" s="126">
        <f t="shared" si="9"/>
        <v>0</v>
      </c>
      <c r="F89" s="126" t="str">
        <f t="shared" si="10"/>
        <v/>
      </c>
      <c r="G89" s="126" t="str">
        <f>IF(C89="","",'Datos Generales'!$D$19)</f>
        <v/>
      </c>
      <c r="H89" s="21" t="str">
        <f>IF(C89="","",'Datos Generales'!$A$19)</f>
        <v/>
      </c>
      <c r="I89" s="126" t="str">
        <f>IF(C89="","",'Datos Generales'!$A$7)</f>
        <v/>
      </c>
      <c r="J89" s="21" t="str">
        <f>IF(C89="","",'Datos Generales'!$A$13)</f>
        <v/>
      </c>
      <c r="K89" s="21" t="str">
        <f>IF(C89="","",'Datos Generales'!$A$10)</f>
        <v/>
      </c>
      <c r="CS89" s="142" t="str">
        <f t="shared" si="11"/>
        <v/>
      </c>
      <c r="CT89" s="142" t="str">
        <f t="shared" si="12"/>
        <v/>
      </c>
      <c r="CU89" s="142" t="str">
        <f t="shared" si="13"/>
        <v/>
      </c>
      <c r="CV89" s="142" t="str">
        <f t="shared" si="14"/>
        <v/>
      </c>
      <c r="CW89" s="142" t="str">
        <f>IF(C89="","",IF('Datos Generales'!$A$19=1,AVERAGE(FP89:GD89),AVERAGE(Captura!FP89:FY89)))</f>
        <v/>
      </c>
      <c r="CX89" s="138" t="e">
        <f>IF(VLOOKUP(CONCATENATE($H$4,$F$4,CX$2),Español!$A:$H,7,FALSE)=L89,1,0)</f>
        <v>#N/A</v>
      </c>
      <c r="CY89" s="138" t="e">
        <f>IF(VLOOKUP(CONCATENATE(H89,F89,CY$2),Español!$A:$H,7,FALSE)=M89,1,0)</f>
        <v>#N/A</v>
      </c>
      <c r="CZ89" s="138" t="e">
        <f>IF(VLOOKUP(CONCATENATE(H89,F89,CZ$2),Español!$A:$H,7,FALSE)=N89,1,0)</f>
        <v>#N/A</v>
      </c>
      <c r="DA89" s="138" t="e">
        <f>IF(VLOOKUP(CONCATENATE(H89,F89,DA$2),Español!$A:$H,7,FALSE)=O89,1,0)</f>
        <v>#N/A</v>
      </c>
      <c r="DB89" s="138" t="e">
        <f>IF(VLOOKUP(CONCATENATE(H89,F89,DB$2),Español!$A:$H,7,FALSE)=P89,1,0)</f>
        <v>#N/A</v>
      </c>
      <c r="DC89" s="138" t="e">
        <f>IF(VLOOKUP(CONCATENATE(H89,F89,DC$2),Español!$A:$H,7,FALSE)=Q89,1,0)</f>
        <v>#N/A</v>
      </c>
      <c r="DD89" s="138" t="e">
        <f>IF(VLOOKUP(CONCATENATE(H89,F89,DD$2),Español!$A:$H,7,FALSE)=R89,1,0)</f>
        <v>#N/A</v>
      </c>
      <c r="DE89" s="138" t="e">
        <f>IF(VLOOKUP(CONCATENATE(H89,F89,DE$2),Español!$A:$H,7,FALSE)=S89,1,0)</f>
        <v>#N/A</v>
      </c>
      <c r="DF89" s="138" t="e">
        <f>IF(VLOOKUP(CONCATENATE(H89,F89,DF$2),Español!$A:$H,7,FALSE)=T89,1,0)</f>
        <v>#N/A</v>
      </c>
      <c r="DG89" s="138" t="e">
        <f>IF(VLOOKUP(CONCATENATE(H89,F89,DG$2),Español!$A:$H,7,FALSE)=U89,1,0)</f>
        <v>#N/A</v>
      </c>
      <c r="DH89" s="138" t="e">
        <f>IF(VLOOKUP(CONCATENATE(H89,F89,DH$2),Español!$A:$H,7,FALSE)=V89,1,0)</f>
        <v>#N/A</v>
      </c>
      <c r="DI89" s="138" t="e">
        <f>IF(VLOOKUP(CONCATENATE(H89,F89,DI$2),Español!$A:$H,7,FALSE)=W89,1,0)</f>
        <v>#N/A</v>
      </c>
      <c r="DJ89" s="138" t="e">
        <f>IF(VLOOKUP(CONCATENATE(H89,F89,DJ$2),Español!$A:$H,7,FALSE)=X89,1,0)</f>
        <v>#N/A</v>
      </c>
      <c r="DK89" s="138" t="e">
        <f>IF(VLOOKUP(CONCATENATE(H89,F89,DK$2),Español!$A:$H,7,FALSE)=Y89,1,0)</f>
        <v>#N/A</v>
      </c>
      <c r="DL89" s="138" t="e">
        <f>IF(VLOOKUP(CONCATENATE(H89,F89,DL$2),Español!$A:$H,7,FALSE)=Z89,1,0)</f>
        <v>#N/A</v>
      </c>
      <c r="DM89" s="138" t="e">
        <f>IF(VLOOKUP(CONCATENATE(H89,F89,DM$2),Español!$A:$H,7,FALSE)=AA89,1,0)</f>
        <v>#N/A</v>
      </c>
      <c r="DN89" s="138" t="e">
        <f>IF(VLOOKUP(CONCATENATE(H89,F89,DN$2),Español!$A:$H,7,FALSE)=AB89,1,0)</f>
        <v>#N/A</v>
      </c>
      <c r="DO89" s="138" t="e">
        <f>IF(VLOOKUP(CONCATENATE(H89,F89,DO$2),Español!$A:$H,7,FALSE)=AC89,1,0)</f>
        <v>#N/A</v>
      </c>
      <c r="DP89" s="138" t="e">
        <f>IF(VLOOKUP(CONCATENATE(H89,F89,DP$2),Español!$A:$H,7,FALSE)=AD89,1,0)</f>
        <v>#N/A</v>
      </c>
      <c r="DQ89" s="138" t="e">
        <f>IF(VLOOKUP(CONCATENATE(H89,F89,DQ$2),Español!$A:$H,7,FALSE)=AE89,1,0)</f>
        <v>#N/A</v>
      </c>
      <c r="DR89" s="138" t="e">
        <f>IF(VLOOKUP(CONCATENATE(H89,F89,DR$2),Inglés!$A:$H,7,FALSE)=AF89,1,0)</f>
        <v>#N/A</v>
      </c>
      <c r="DS89" s="138" t="e">
        <f>IF(VLOOKUP(CONCATENATE(H89,F89,DS$2),Inglés!$A:$H,7,FALSE)=AG89,1,0)</f>
        <v>#N/A</v>
      </c>
      <c r="DT89" s="138" t="e">
        <f>IF(VLOOKUP(CONCATENATE(H89,F89,DT$2),Inglés!$A:$H,7,FALSE)=AH89,1,0)</f>
        <v>#N/A</v>
      </c>
      <c r="DU89" s="138" t="e">
        <f>IF(VLOOKUP(CONCATENATE(H89,F89,DU$2),Inglés!$A:$H,7,FALSE)=AI89,1,0)</f>
        <v>#N/A</v>
      </c>
      <c r="DV89" s="138" t="e">
        <f>IF(VLOOKUP(CONCATENATE(H89,F89,DV$2),Inglés!$A:$H,7,FALSE)=AJ89,1,0)</f>
        <v>#N/A</v>
      </c>
      <c r="DW89" s="138" t="e">
        <f>IF(VLOOKUP(CONCATENATE(H89,F89,DW$2),Inglés!$A:$H,7,FALSE)=AK89,1,0)</f>
        <v>#N/A</v>
      </c>
      <c r="DX89" s="138" t="e">
        <f>IF(VLOOKUP(CONCATENATE(H89,F89,DX$2),Inglés!$A:$H,7,FALSE)=AL89,1,0)</f>
        <v>#N/A</v>
      </c>
      <c r="DY89" s="138" t="e">
        <f>IF(VLOOKUP(CONCATENATE(H89,F89,DY$2),Inglés!$A:$H,7,FALSE)=AM89,1,0)</f>
        <v>#N/A</v>
      </c>
      <c r="DZ89" s="138" t="e">
        <f>IF(VLOOKUP(CONCATENATE(H89,F89,DZ$2),Inglés!$A:$H,7,FALSE)=AN89,1,0)</f>
        <v>#N/A</v>
      </c>
      <c r="EA89" s="138" t="e">
        <f>IF(VLOOKUP(CONCATENATE(H89,F89,EA$2),Inglés!$A:$H,7,FALSE)=AO89,1,0)</f>
        <v>#N/A</v>
      </c>
      <c r="EB89" s="138" t="e">
        <f>IF(VLOOKUP(CONCATENATE(H89,F89,EB$2),Matemáticas!$A:$H,7,FALSE)=AP89,1,0)</f>
        <v>#N/A</v>
      </c>
      <c r="EC89" s="138" t="e">
        <f>IF(VLOOKUP(CONCATENATE(H89,F89,EC$2),Matemáticas!$A:$H,7,FALSE)=AQ89,1,0)</f>
        <v>#N/A</v>
      </c>
      <c r="ED89" s="138" t="e">
        <f>IF(VLOOKUP(CONCATENATE(H89,F89,ED$2),Matemáticas!$A:$H,7,FALSE)=AR89,1,0)</f>
        <v>#N/A</v>
      </c>
      <c r="EE89" s="138" t="e">
        <f>IF(VLOOKUP(CONCATENATE(H89,F89,EE$2),Matemáticas!$A:$H,7,FALSE)=AS89,1,0)</f>
        <v>#N/A</v>
      </c>
      <c r="EF89" s="138" t="e">
        <f>IF(VLOOKUP(CONCATENATE(H89,F89,EF$2),Matemáticas!$A:$H,7,FALSE)=AT89,1,0)</f>
        <v>#N/A</v>
      </c>
      <c r="EG89" s="138" t="e">
        <f>IF(VLOOKUP(CONCATENATE(H89,F89,EG$2),Matemáticas!$A:$H,7,FALSE)=AU89,1,0)</f>
        <v>#N/A</v>
      </c>
      <c r="EH89" s="138" t="e">
        <f>IF(VLOOKUP(CONCATENATE(H89,F89,EH$2),Matemáticas!$A:$H,7,FALSE)=AV89,1,0)</f>
        <v>#N/A</v>
      </c>
      <c r="EI89" s="138" t="e">
        <f>IF(VLOOKUP(CONCATENATE(H89,F89,EI$2),Matemáticas!$A:$H,7,FALSE)=AW89,1,0)</f>
        <v>#N/A</v>
      </c>
      <c r="EJ89" s="138" t="e">
        <f>IF(VLOOKUP(CONCATENATE(H89,F89,EJ$2),Matemáticas!$A:$H,7,FALSE)=AX89,1,0)</f>
        <v>#N/A</v>
      </c>
      <c r="EK89" s="138" t="e">
        <f>IF(VLOOKUP(CONCATENATE(H89,F89,EK$2),Matemáticas!$A:$H,7,FALSE)=AY89,1,0)</f>
        <v>#N/A</v>
      </c>
      <c r="EL89" s="138" t="e">
        <f>IF(VLOOKUP(CONCATENATE(H89,F89,EL$2),Matemáticas!$A:$H,7,FALSE)=AZ89,1,0)</f>
        <v>#N/A</v>
      </c>
      <c r="EM89" s="138" t="e">
        <f>IF(VLOOKUP(CONCATENATE(H89,F89,EM$2),Matemáticas!$A:$H,7,FALSE)=BA89,1,0)</f>
        <v>#N/A</v>
      </c>
      <c r="EN89" s="138" t="e">
        <f>IF(VLOOKUP(CONCATENATE(H89,F89,EN$2),Matemáticas!$A:$H,7,FALSE)=BB89,1,0)</f>
        <v>#N/A</v>
      </c>
      <c r="EO89" s="138" t="e">
        <f>IF(VLOOKUP(CONCATENATE(H89,F89,EO$2),Matemáticas!$A:$H,7,FALSE)=BC89,1,0)</f>
        <v>#N/A</v>
      </c>
      <c r="EP89" s="138" t="e">
        <f>IF(VLOOKUP(CONCATENATE(H89,F89,EP$2),Matemáticas!$A:$H,7,FALSE)=BD89,1,0)</f>
        <v>#N/A</v>
      </c>
      <c r="EQ89" s="138" t="e">
        <f>IF(VLOOKUP(CONCATENATE(H89,F89,EQ$2),Matemáticas!$A:$H,7,FALSE)=BE89,1,0)</f>
        <v>#N/A</v>
      </c>
      <c r="ER89" s="138" t="e">
        <f>IF(VLOOKUP(CONCATENATE(H89,F89,ER$2),Matemáticas!$A:$H,7,FALSE)=BF89,1,0)</f>
        <v>#N/A</v>
      </c>
      <c r="ES89" s="138" t="e">
        <f>IF(VLOOKUP(CONCATENATE(H89,F89,ES$2),Matemáticas!$A:$H,7,FALSE)=BG89,1,0)</f>
        <v>#N/A</v>
      </c>
      <c r="ET89" s="138" t="e">
        <f>IF(VLOOKUP(CONCATENATE(H89,F89,ET$2),Matemáticas!$A:$H,7,FALSE)=BH89,1,0)</f>
        <v>#N/A</v>
      </c>
      <c r="EU89" s="138" t="e">
        <f>IF(VLOOKUP(CONCATENATE(H89,F89,EU$2),Matemáticas!$A:$H,7,FALSE)=BI89,1,0)</f>
        <v>#N/A</v>
      </c>
      <c r="EV89" s="138" t="e">
        <f>IF(VLOOKUP(CONCATENATE(H89,F89,EV$2),Ciencias!$A:$H,7,FALSE)=BJ89,1,0)</f>
        <v>#N/A</v>
      </c>
      <c r="EW89" s="138" t="e">
        <f>IF(VLOOKUP(CONCATENATE(H89,F89,EW$2),Ciencias!$A:$H,7,FALSE)=BK89,1,0)</f>
        <v>#N/A</v>
      </c>
      <c r="EX89" s="138" t="e">
        <f>IF(VLOOKUP(CONCATENATE(H89,F89,EX$2),Ciencias!$A:$H,7,FALSE)=BL89,1,0)</f>
        <v>#N/A</v>
      </c>
      <c r="EY89" s="138" t="e">
        <f>IF(VLOOKUP(CONCATENATE(H89,F89,EY$2),Ciencias!$A:$H,7,FALSE)=BM89,1,0)</f>
        <v>#N/A</v>
      </c>
      <c r="EZ89" s="138" t="e">
        <f>IF(VLOOKUP(CONCATENATE(H89,F89,EZ$2),Ciencias!$A:$H,7,FALSE)=BN89,1,0)</f>
        <v>#N/A</v>
      </c>
      <c r="FA89" s="138" t="e">
        <f>IF(VLOOKUP(CONCATENATE(H89,F89,FA$2),Ciencias!$A:$H,7,FALSE)=BO89,1,0)</f>
        <v>#N/A</v>
      </c>
      <c r="FB89" s="138" t="e">
        <f>IF(VLOOKUP(CONCATENATE(H89,F89,FB$2),Ciencias!$A:$H,7,FALSE)=BP89,1,0)</f>
        <v>#N/A</v>
      </c>
      <c r="FC89" s="138" t="e">
        <f>IF(VLOOKUP(CONCATENATE(H89,F89,FC$2),Ciencias!$A:$H,7,FALSE)=BQ89,1,0)</f>
        <v>#N/A</v>
      </c>
      <c r="FD89" s="138" t="e">
        <f>IF(VLOOKUP(CONCATENATE(H89,F89,FD$2),Ciencias!$A:$H,7,FALSE)=BR89,1,0)</f>
        <v>#N/A</v>
      </c>
      <c r="FE89" s="138" t="e">
        <f>IF(VLOOKUP(CONCATENATE(H89,F89,FE$2),Ciencias!$A:$H,7,FALSE)=BS89,1,0)</f>
        <v>#N/A</v>
      </c>
      <c r="FF89" s="138" t="e">
        <f>IF(VLOOKUP(CONCATENATE(H89,F89,FF$2),Ciencias!$A:$H,7,FALSE)=BT89,1,0)</f>
        <v>#N/A</v>
      </c>
      <c r="FG89" s="138" t="e">
        <f>IF(VLOOKUP(CONCATENATE(H89,F89,FG$2),Ciencias!$A:$H,7,FALSE)=BU89,1,0)</f>
        <v>#N/A</v>
      </c>
      <c r="FH89" s="138" t="e">
        <f>IF(VLOOKUP(CONCATENATE(H89,F89,FH$2),Ciencias!$A:$H,7,FALSE)=BV89,1,0)</f>
        <v>#N/A</v>
      </c>
      <c r="FI89" s="138" t="e">
        <f>IF(VLOOKUP(CONCATENATE(H89,F89,FI$2),Ciencias!$A:$H,7,FALSE)=BW89,1,0)</f>
        <v>#N/A</v>
      </c>
      <c r="FJ89" s="138" t="e">
        <f>IF(VLOOKUP(CONCATENATE(H89,F89,FJ$2),Ciencias!$A:$H,7,FALSE)=BX89,1,0)</f>
        <v>#N/A</v>
      </c>
      <c r="FK89" s="138" t="e">
        <f>IF(VLOOKUP(CONCATENATE(H89,F89,FK$2),Ciencias!$A:$H,7,FALSE)=BY89,1,0)</f>
        <v>#N/A</v>
      </c>
      <c r="FL89" s="138" t="e">
        <f>IF(VLOOKUP(CONCATENATE(H89,F89,FL$2),Ciencias!$A:$H,7,FALSE)=BZ89,1,0)</f>
        <v>#N/A</v>
      </c>
      <c r="FM89" s="138" t="e">
        <f>IF(VLOOKUP(CONCATENATE(H89,F89,FM$2),Ciencias!$A:$H,7,FALSE)=CA89,1,0)</f>
        <v>#N/A</v>
      </c>
      <c r="FN89" s="138" t="e">
        <f>IF(VLOOKUP(CONCATENATE(H89,F89,FN$2),Ciencias!$A:$H,7,FALSE)=CB89,1,0)</f>
        <v>#N/A</v>
      </c>
      <c r="FO89" s="138" t="e">
        <f>IF(VLOOKUP(CONCATENATE(H89,F89,FO$2),Ciencias!$A:$H,7,FALSE)=CC89,1,0)</f>
        <v>#N/A</v>
      </c>
      <c r="FP89" s="138" t="e">
        <f>IF(VLOOKUP(CONCATENATE(H89,F89,FP$2),GeoHis!$A:$H,7,FALSE)=CD89,1,0)</f>
        <v>#N/A</v>
      </c>
      <c r="FQ89" s="138" t="e">
        <f>IF(VLOOKUP(CONCATENATE(H89,F89,FQ$2),GeoHis!$A:$H,7,FALSE)=CE89,1,0)</f>
        <v>#N/A</v>
      </c>
      <c r="FR89" s="138" t="e">
        <f>IF(VLOOKUP(CONCATENATE(H89,F89,FR$2),GeoHis!$A:$H,7,FALSE)=CF89,1,0)</f>
        <v>#N/A</v>
      </c>
      <c r="FS89" s="138" t="e">
        <f>IF(VLOOKUP(CONCATENATE(H89,F89,FS$2),GeoHis!$A:$H,7,FALSE)=CG89,1,0)</f>
        <v>#N/A</v>
      </c>
      <c r="FT89" s="138" t="e">
        <f>IF(VLOOKUP(CONCATENATE(H89,F89,FT$2),GeoHis!$A:$H,7,FALSE)=CH89,1,0)</f>
        <v>#N/A</v>
      </c>
      <c r="FU89" s="138" t="e">
        <f>IF(VLOOKUP(CONCATENATE(H89,F89,FU$2),GeoHis!$A:$H,7,FALSE)=CI89,1,0)</f>
        <v>#N/A</v>
      </c>
      <c r="FV89" s="138" t="e">
        <f>IF(VLOOKUP(CONCATENATE(H89,F89,FV$2),GeoHis!$A:$H,7,FALSE)=CJ89,1,0)</f>
        <v>#N/A</v>
      </c>
      <c r="FW89" s="138" t="e">
        <f>IF(VLOOKUP(CONCATENATE(H89,F89,FW$2),GeoHis!$A:$H,7,FALSE)=CK89,1,0)</f>
        <v>#N/A</v>
      </c>
      <c r="FX89" s="138" t="e">
        <f>IF(VLOOKUP(CONCATENATE(H89,F89,FX$2),GeoHis!$A:$H,7,FALSE)=CL89,1,0)</f>
        <v>#N/A</v>
      </c>
      <c r="FY89" s="138" t="e">
        <f>IF(VLOOKUP(CONCATENATE(H89,F89,FY$2),GeoHis!$A:$H,7,FALSE)=CM89,1,0)</f>
        <v>#N/A</v>
      </c>
      <c r="FZ89" s="138" t="e">
        <f>IF(VLOOKUP(CONCATENATE(H89,F89,FZ$2),GeoHis!$A:$H,7,FALSE)=CN89,1,0)</f>
        <v>#N/A</v>
      </c>
      <c r="GA89" s="138" t="e">
        <f>IF(VLOOKUP(CONCATENATE(H89,F89,GA$2),GeoHis!$A:$H,7,FALSE)=CO89,1,0)</f>
        <v>#N/A</v>
      </c>
      <c r="GB89" s="138" t="e">
        <f>IF(VLOOKUP(CONCATENATE(H89,F89,GB$2),GeoHis!$A:$H,7,FALSE)=CP89,1,0)</f>
        <v>#N/A</v>
      </c>
      <c r="GC89" s="138" t="e">
        <f>IF(VLOOKUP(CONCATENATE(H89,F89,GC$2),GeoHis!$A:$H,7,FALSE)=CQ89,1,0)</f>
        <v>#N/A</v>
      </c>
      <c r="GD89" s="138" t="e">
        <f>IF(VLOOKUP(CONCATENATE(H89,F89,GD$2),GeoHis!$A:$H,7,FALSE)=CR89,1,0)</f>
        <v>#N/A</v>
      </c>
      <c r="GE89" s="135" t="str">
        <f t="shared" si="15"/>
        <v/>
      </c>
    </row>
    <row r="90" spans="1:187" x14ac:dyDescent="0.25">
      <c r="A90" s="127" t="str">
        <f>IF(C90="","",'Datos Generales'!$A$25)</f>
        <v/>
      </c>
      <c r="D90" s="126" t="str">
        <f t="shared" si="8"/>
        <v/>
      </c>
      <c r="E90" s="126">
        <f t="shared" si="9"/>
        <v>0</v>
      </c>
      <c r="F90" s="126" t="str">
        <f t="shared" si="10"/>
        <v/>
      </c>
      <c r="G90" s="126" t="str">
        <f>IF(C90="","",'Datos Generales'!$D$19)</f>
        <v/>
      </c>
      <c r="H90" s="21" t="str">
        <f>IF(C90="","",'Datos Generales'!$A$19)</f>
        <v/>
      </c>
      <c r="I90" s="126" t="str">
        <f>IF(C90="","",'Datos Generales'!$A$7)</f>
        <v/>
      </c>
      <c r="J90" s="21" t="str">
        <f>IF(C90="","",'Datos Generales'!$A$13)</f>
        <v/>
      </c>
      <c r="K90" s="21" t="str">
        <f>IF(C90="","",'Datos Generales'!$A$10)</f>
        <v/>
      </c>
      <c r="CS90" s="142" t="str">
        <f t="shared" si="11"/>
        <v/>
      </c>
      <c r="CT90" s="142" t="str">
        <f t="shared" si="12"/>
        <v/>
      </c>
      <c r="CU90" s="142" t="str">
        <f t="shared" si="13"/>
        <v/>
      </c>
      <c r="CV90" s="142" t="str">
        <f t="shared" si="14"/>
        <v/>
      </c>
      <c r="CW90" s="142" t="str">
        <f>IF(C90="","",IF('Datos Generales'!$A$19=1,AVERAGE(FP90:GD90),AVERAGE(Captura!FP90:FY90)))</f>
        <v/>
      </c>
      <c r="CX90" s="138" t="e">
        <f>IF(VLOOKUP(CONCATENATE($H$4,$F$4,CX$2),Español!$A:$H,7,FALSE)=L90,1,0)</f>
        <v>#N/A</v>
      </c>
      <c r="CY90" s="138" t="e">
        <f>IF(VLOOKUP(CONCATENATE(H90,F90,CY$2),Español!$A:$H,7,FALSE)=M90,1,0)</f>
        <v>#N/A</v>
      </c>
      <c r="CZ90" s="138" t="e">
        <f>IF(VLOOKUP(CONCATENATE(H90,F90,CZ$2),Español!$A:$H,7,FALSE)=N90,1,0)</f>
        <v>#N/A</v>
      </c>
      <c r="DA90" s="138" t="e">
        <f>IF(VLOOKUP(CONCATENATE(H90,F90,DA$2),Español!$A:$H,7,FALSE)=O90,1,0)</f>
        <v>#N/A</v>
      </c>
      <c r="DB90" s="138" t="e">
        <f>IF(VLOOKUP(CONCATENATE(H90,F90,DB$2),Español!$A:$H,7,FALSE)=P90,1,0)</f>
        <v>#N/A</v>
      </c>
      <c r="DC90" s="138" t="e">
        <f>IF(VLOOKUP(CONCATENATE(H90,F90,DC$2),Español!$A:$H,7,FALSE)=Q90,1,0)</f>
        <v>#N/A</v>
      </c>
      <c r="DD90" s="138" t="e">
        <f>IF(VLOOKUP(CONCATENATE(H90,F90,DD$2),Español!$A:$H,7,FALSE)=R90,1,0)</f>
        <v>#N/A</v>
      </c>
      <c r="DE90" s="138" t="e">
        <f>IF(VLOOKUP(CONCATENATE(H90,F90,DE$2),Español!$A:$H,7,FALSE)=S90,1,0)</f>
        <v>#N/A</v>
      </c>
      <c r="DF90" s="138" t="e">
        <f>IF(VLOOKUP(CONCATENATE(H90,F90,DF$2),Español!$A:$H,7,FALSE)=T90,1,0)</f>
        <v>#N/A</v>
      </c>
      <c r="DG90" s="138" t="e">
        <f>IF(VLOOKUP(CONCATENATE(H90,F90,DG$2),Español!$A:$H,7,FALSE)=U90,1,0)</f>
        <v>#N/A</v>
      </c>
      <c r="DH90" s="138" t="e">
        <f>IF(VLOOKUP(CONCATENATE(H90,F90,DH$2),Español!$A:$H,7,FALSE)=V90,1,0)</f>
        <v>#N/A</v>
      </c>
      <c r="DI90" s="138" t="e">
        <f>IF(VLOOKUP(CONCATENATE(H90,F90,DI$2),Español!$A:$H,7,FALSE)=W90,1,0)</f>
        <v>#N/A</v>
      </c>
      <c r="DJ90" s="138" t="e">
        <f>IF(VLOOKUP(CONCATENATE(H90,F90,DJ$2),Español!$A:$H,7,FALSE)=X90,1,0)</f>
        <v>#N/A</v>
      </c>
      <c r="DK90" s="138" t="e">
        <f>IF(VLOOKUP(CONCATENATE(H90,F90,DK$2),Español!$A:$H,7,FALSE)=Y90,1,0)</f>
        <v>#N/A</v>
      </c>
      <c r="DL90" s="138" t="e">
        <f>IF(VLOOKUP(CONCATENATE(H90,F90,DL$2),Español!$A:$H,7,FALSE)=Z90,1,0)</f>
        <v>#N/A</v>
      </c>
      <c r="DM90" s="138" t="e">
        <f>IF(VLOOKUP(CONCATENATE(H90,F90,DM$2),Español!$A:$H,7,FALSE)=AA90,1,0)</f>
        <v>#N/A</v>
      </c>
      <c r="DN90" s="138" t="e">
        <f>IF(VLOOKUP(CONCATENATE(H90,F90,DN$2),Español!$A:$H,7,FALSE)=AB90,1,0)</f>
        <v>#N/A</v>
      </c>
      <c r="DO90" s="138" t="e">
        <f>IF(VLOOKUP(CONCATENATE(H90,F90,DO$2),Español!$A:$H,7,FALSE)=AC90,1,0)</f>
        <v>#N/A</v>
      </c>
      <c r="DP90" s="138" t="e">
        <f>IF(VLOOKUP(CONCATENATE(H90,F90,DP$2),Español!$A:$H,7,FALSE)=AD90,1,0)</f>
        <v>#N/A</v>
      </c>
      <c r="DQ90" s="138" t="e">
        <f>IF(VLOOKUP(CONCATENATE(H90,F90,DQ$2),Español!$A:$H,7,FALSE)=AE90,1,0)</f>
        <v>#N/A</v>
      </c>
      <c r="DR90" s="138" t="e">
        <f>IF(VLOOKUP(CONCATENATE(H90,F90,DR$2),Inglés!$A:$H,7,FALSE)=AF90,1,0)</f>
        <v>#N/A</v>
      </c>
      <c r="DS90" s="138" t="e">
        <f>IF(VLOOKUP(CONCATENATE(H90,F90,DS$2),Inglés!$A:$H,7,FALSE)=AG90,1,0)</f>
        <v>#N/A</v>
      </c>
      <c r="DT90" s="138" t="e">
        <f>IF(VLOOKUP(CONCATENATE(H90,F90,DT$2),Inglés!$A:$H,7,FALSE)=AH90,1,0)</f>
        <v>#N/A</v>
      </c>
      <c r="DU90" s="138" t="e">
        <f>IF(VLOOKUP(CONCATENATE(H90,F90,DU$2),Inglés!$A:$H,7,FALSE)=AI90,1,0)</f>
        <v>#N/A</v>
      </c>
      <c r="DV90" s="138" t="e">
        <f>IF(VLOOKUP(CONCATENATE(H90,F90,DV$2),Inglés!$A:$H,7,FALSE)=AJ90,1,0)</f>
        <v>#N/A</v>
      </c>
      <c r="DW90" s="138" t="e">
        <f>IF(VLOOKUP(CONCATENATE(H90,F90,DW$2),Inglés!$A:$H,7,FALSE)=AK90,1,0)</f>
        <v>#N/A</v>
      </c>
      <c r="DX90" s="138" t="e">
        <f>IF(VLOOKUP(CONCATENATE(H90,F90,DX$2),Inglés!$A:$H,7,FALSE)=AL90,1,0)</f>
        <v>#N/A</v>
      </c>
      <c r="DY90" s="138" t="e">
        <f>IF(VLOOKUP(CONCATENATE(H90,F90,DY$2),Inglés!$A:$H,7,FALSE)=AM90,1,0)</f>
        <v>#N/A</v>
      </c>
      <c r="DZ90" s="138" t="e">
        <f>IF(VLOOKUP(CONCATENATE(H90,F90,DZ$2),Inglés!$A:$H,7,FALSE)=AN90,1,0)</f>
        <v>#N/A</v>
      </c>
      <c r="EA90" s="138" t="e">
        <f>IF(VLOOKUP(CONCATENATE(H90,F90,EA$2),Inglés!$A:$H,7,FALSE)=AO90,1,0)</f>
        <v>#N/A</v>
      </c>
      <c r="EB90" s="138" t="e">
        <f>IF(VLOOKUP(CONCATENATE(H90,F90,EB$2),Matemáticas!$A:$H,7,FALSE)=AP90,1,0)</f>
        <v>#N/A</v>
      </c>
      <c r="EC90" s="138" t="e">
        <f>IF(VLOOKUP(CONCATENATE(H90,F90,EC$2),Matemáticas!$A:$H,7,FALSE)=AQ90,1,0)</f>
        <v>#N/A</v>
      </c>
      <c r="ED90" s="138" t="e">
        <f>IF(VLOOKUP(CONCATENATE(H90,F90,ED$2),Matemáticas!$A:$H,7,FALSE)=AR90,1,0)</f>
        <v>#N/A</v>
      </c>
      <c r="EE90" s="138" t="e">
        <f>IF(VLOOKUP(CONCATENATE(H90,F90,EE$2),Matemáticas!$A:$H,7,FALSE)=AS90,1,0)</f>
        <v>#N/A</v>
      </c>
      <c r="EF90" s="138" t="e">
        <f>IF(VLOOKUP(CONCATENATE(H90,F90,EF$2),Matemáticas!$A:$H,7,FALSE)=AT90,1,0)</f>
        <v>#N/A</v>
      </c>
      <c r="EG90" s="138" t="e">
        <f>IF(VLOOKUP(CONCATENATE(H90,F90,EG$2),Matemáticas!$A:$H,7,FALSE)=AU90,1,0)</f>
        <v>#N/A</v>
      </c>
      <c r="EH90" s="138" t="e">
        <f>IF(VLOOKUP(CONCATENATE(H90,F90,EH$2),Matemáticas!$A:$H,7,FALSE)=AV90,1,0)</f>
        <v>#N/A</v>
      </c>
      <c r="EI90" s="138" t="e">
        <f>IF(VLOOKUP(CONCATENATE(H90,F90,EI$2),Matemáticas!$A:$H,7,FALSE)=AW90,1,0)</f>
        <v>#N/A</v>
      </c>
      <c r="EJ90" s="138" t="e">
        <f>IF(VLOOKUP(CONCATENATE(H90,F90,EJ$2),Matemáticas!$A:$H,7,FALSE)=AX90,1,0)</f>
        <v>#N/A</v>
      </c>
      <c r="EK90" s="138" t="e">
        <f>IF(VLOOKUP(CONCATENATE(H90,F90,EK$2),Matemáticas!$A:$H,7,FALSE)=AY90,1,0)</f>
        <v>#N/A</v>
      </c>
      <c r="EL90" s="138" t="e">
        <f>IF(VLOOKUP(CONCATENATE(H90,F90,EL$2),Matemáticas!$A:$H,7,FALSE)=AZ90,1,0)</f>
        <v>#N/A</v>
      </c>
      <c r="EM90" s="138" t="e">
        <f>IF(VLOOKUP(CONCATENATE(H90,F90,EM$2),Matemáticas!$A:$H,7,FALSE)=BA90,1,0)</f>
        <v>#N/A</v>
      </c>
      <c r="EN90" s="138" t="e">
        <f>IF(VLOOKUP(CONCATENATE(H90,F90,EN$2),Matemáticas!$A:$H,7,FALSE)=BB90,1,0)</f>
        <v>#N/A</v>
      </c>
      <c r="EO90" s="138" t="e">
        <f>IF(VLOOKUP(CONCATENATE(H90,F90,EO$2),Matemáticas!$A:$H,7,FALSE)=BC90,1,0)</f>
        <v>#N/A</v>
      </c>
      <c r="EP90" s="138" t="e">
        <f>IF(VLOOKUP(CONCATENATE(H90,F90,EP$2),Matemáticas!$A:$H,7,FALSE)=BD90,1,0)</f>
        <v>#N/A</v>
      </c>
      <c r="EQ90" s="138" t="e">
        <f>IF(VLOOKUP(CONCATENATE(H90,F90,EQ$2),Matemáticas!$A:$H,7,FALSE)=BE90,1,0)</f>
        <v>#N/A</v>
      </c>
      <c r="ER90" s="138" t="e">
        <f>IF(VLOOKUP(CONCATENATE(H90,F90,ER$2),Matemáticas!$A:$H,7,FALSE)=BF90,1,0)</f>
        <v>#N/A</v>
      </c>
      <c r="ES90" s="138" t="e">
        <f>IF(VLOOKUP(CONCATENATE(H90,F90,ES$2),Matemáticas!$A:$H,7,FALSE)=BG90,1,0)</f>
        <v>#N/A</v>
      </c>
      <c r="ET90" s="138" t="e">
        <f>IF(VLOOKUP(CONCATENATE(H90,F90,ET$2),Matemáticas!$A:$H,7,FALSE)=BH90,1,0)</f>
        <v>#N/A</v>
      </c>
      <c r="EU90" s="138" t="e">
        <f>IF(VLOOKUP(CONCATENATE(H90,F90,EU$2),Matemáticas!$A:$H,7,FALSE)=BI90,1,0)</f>
        <v>#N/A</v>
      </c>
      <c r="EV90" s="138" t="e">
        <f>IF(VLOOKUP(CONCATENATE(H90,F90,EV$2),Ciencias!$A:$H,7,FALSE)=BJ90,1,0)</f>
        <v>#N/A</v>
      </c>
      <c r="EW90" s="138" t="e">
        <f>IF(VLOOKUP(CONCATENATE(H90,F90,EW$2),Ciencias!$A:$H,7,FALSE)=BK90,1,0)</f>
        <v>#N/A</v>
      </c>
      <c r="EX90" s="138" t="e">
        <f>IF(VLOOKUP(CONCATENATE(H90,F90,EX$2),Ciencias!$A:$H,7,FALSE)=BL90,1,0)</f>
        <v>#N/A</v>
      </c>
      <c r="EY90" s="138" t="e">
        <f>IF(VLOOKUP(CONCATENATE(H90,F90,EY$2),Ciencias!$A:$H,7,FALSE)=BM90,1,0)</f>
        <v>#N/A</v>
      </c>
      <c r="EZ90" s="138" t="e">
        <f>IF(VLOOKUP(CONCATENATE(H90,F90,EZ$2),Ciencias!$A:$H,7,FALSE)=BN90,1,0)</f>
        <v>#N/A</v>
      </c>
      <c r="FA90" s="138" t="e">
        <f>IF(VLOOKUP(CONCATENATE(H90,F90,FA$2),Ciencias!$A:$H,7,FALSE)=BO90,1,0)</f>
        <v>#N/A</v>
      </c>
      <c r="FB90" s="138" t="e">
        <f>IF(VLOOKUP(CONCATENATE(H90,F90,FB$2),Ciencias!$A:$H,7,FALSE)=BP90,1,0)</f>
        <v>#N/A</v>
      </c>
      <c r="FC90" s="138" t="e">
        <f>IF(VLOOKUP(CONCATENATE(H90,F90,FC$2),Ciencias!$A:$H,7,FALSE)=BQ90,1,0)</f>
        <v>#N/A</v>
      </c>
      <c r="FD90" s="138" t="e">
        <f>IF(VLOOKUP(CONCATENATE(H90,F90,FD$2),Ciencias!$A:$H,7,FALSE)=BR90,1,0)</f>
        <v>#N/A</v>
      </c>
      <c r="FE90" s="138" t="e">
        <f>IF(VLOOKUP(CONCATENATE(H90,F90,FE$2),Ciencias!$A:$H,7,FALSE)=BS90,1,0)</f>
        <v>#N/A</v>
      </c>
      <c r="FF90" s="138" t="e">
        <f>IF(VLOOKUP(CONCATENATE(H90,F90,FF$2),Ciencias!$A:$H,7,FALSE)=BT90,1,0)</f>
        <v>#N/A</v>
      </c>
      <c r="FG90" s="138" t="e">
        <f>IF(VLOOKUP(CONCATENATE(H90,F90,FG$2),Ciencias!$A:$H,7,FALSE)=BU90,1,0)</f>
        <v>#N/A</v>
      </c>
      <c r="FH90" s="138" t="e">
        <f>IF(VLOOKUP(CONCATENATE(H90,F90,FH$2),Ciencias!$A:$H,7,FALSE)=BV90,1,0)</f>
        <v>#N/A</v>
      </c>
      <c r="FI90" s="138" t="e">
        <f>IF(VLOOKUP(CONCATENATE(H90,F90,FI$2),Ciencias!$A:$H,7,FALSE)=BW90,1,0)</f>
        <v>#N/A</v>
      </c>
      <c r="FJ90" s="138" t="e">
        <f>IF(VLOOKUP(CONCATENATE(H90,F90,FJ$2),Ciencias!$A:$H,7,FALSE)=BX90,1,0)</f>
        <v>#N/A</v>
      </c>
      <c r="FK90" s="138" t="e">
        <f>IF(VLOOKUP(CONCATENATE(H90,F90,FK$2),Ciencias!$A:$H,7,FALSE)=BY90,1,0)</f>
        <v>#N/A</v>
      </c>
      <c r="FL90" s="138" t="e">
        <f>IF(VLOOKUP(CONCATENATE(H90,F90,FL$2),Ciencias!$A:$H,7,FALSE)=BZ90,1,0)</f>
        <v>#N/A</v>
      </c>
      <c r="FM90" s="138" t="e">
        <f>IF(VLOOKUP(CONCATENATE(H90,F90,FM$2),Ciencias!$A:$H,7,FALSE)=CA90,1,0)</f>
        <v>#N/A</v>
      </c>
      <c r="FN90" s="138" t="e">
        <f>IF(VLOOKUP(CONCATENATE(H90,F90,FN$2),Ciencias!$A:$H,7,FALSE)=CB90,1,0)</f>
        <v>#N/A</v>
      </c>
      <c r="FO90" s="138" t="e">
        <f>IF(VLOOKUP(CONCATENATE(H90,F90,FO$2),Ciencias!$A:$H,7,FALSE)=CC90,1,0)</f>
        <v>#N/A</v>
      </c>
      <c r="FP90" s="138" t="e">
        <f>IF(VLOOKUP(CONCATENATE(H90,F90,FP$2),GeoHis!$A:$H,7,FALSE)=CD90,1,0)</f>
        <v>#N/A</v>
      </c>
      <c r="FQ90" s="138" t="e">
        <f>IF(VLOOKUP(CONCATENATE(H90,F90,FQ$2),GeoHis!$A:$H,7,FALSE)=CE90,1,0)</f>
        <v>#N/A</v>
      </c>
      <c r="FR90" s="138" t="e">
        <f>IF(VLOOKUP(CONCATENATE(H90,F90,FR$2),GeoHis!$A:$H,7,FALSE)=CF90,1,0)</f>
        <v>#N/A</v>
      </c>
      <c r="FS90" s="138" t="e">
        <f>IF(VLOOKUP(CONCATENATE(H90,F90,FS$2),GeoHis!$A:$H,7,FALSE)=CG90,1,0)</f>
        <v>#N/A</v>
      </c>
      <c r="FT90" s="138" t="e">
        <f>IF(VLOOKUP(CONCATENATE(H90,F90,FT$2),GeoHis!$A:$H,7,FALSE)=CH90,1,0)</f>
        <v>#N/A</v>
      </c>
      <c r="FU90" s="138" t="e">
        <f>IF(VLOOKUP(CONCATENATE(H90,F90,FU$2),GeoHis!$A:$H,7,FALSE)=CI90,1,0)</f>
        <v>#N/A</v>
      </c>
      <c r="FV90" s="138" t="e">
        <f>IF(VLOOKUP(CONCATENATE(H90,F90,FV$2),GeoHis!$A:$H,7,FALSE)=CJ90,1,0)</f>
        <v>#N/A</v>
      </c>
      <c r="FW90" s="138" t="e">
        <f>IF(VLOOKUP(CONCATENATE(H90,F90,FW$2),GeoHis!$A:$H,7,FALSE)=CK90,1,0)</f>
        <v>#N/A</v>
      </c>
      <c r="FX90" s="138" t="e">
        <f>IF(VLOOKUP(CONCATENATE(H90,F90,FX$2),GeoHis!$A:$H,7,FALSE)=CL90,1,0)</f>
        <v>#N/A</v>
      </c>
      <c r="FY90" s="138" t="e">
        <f>IF(VLOOKUP(CONCATENATE(H90,F90,FY$2),GeoHis!$A:$H,7,FALSE)=CM90,1,0)</f>
        <v>#N/A</v>
      </c>
      <c r="FZ90" s="138" t="e">
        <f>IF(VLOOKUP(CONCATENATE(H90,F90,FZ$2),GeoHis!$A:$H,7,FALSE)=CN90,1,0)</f>
        <v>#N/A</v>
      </c>
      <c r="GA90" s="138" t="e">
        <f>IF(VLOOKUP(CONCATENATE(H90,F90,GA$2),GeoHis!$A:$H,7,FALSE)=CO90,1,0)</f>
        <v>#N/A</v>
      </c>
      <c r="GB90" s="138" t="e">
        <f>IF(VLOOKUP(CONCATENATE(H90,F90,GB$2),GeoHis!$A:$H,7,FALSE)=CP90,1,0)</f>
        <v>#N/A</v>
      </c>
      <c r="GC90" s="138" t="e">
        <f>IF(VLOOKUP(CONCATENATE(H90,F90,GC$2),GeoHis!$A:$H,7,FALSE)=CQ90,1,0)</f>
        <v>#N/A</v>
      </c>
      <c r="GD90" s="138" t="e">
        <f>IF(VLOOKUP(CONCATENATE(H90,F90,GD$2),GeoHis!$A:$H,7,FALSE)=CR90,1,0)</f>
        <v>#N/A</v>
      </c>
      <c r="GE90" s="135" t="str">
        <f t="shared" si="15"/>
        <v/>
      </c>
    </row>
    <row r="91" spans="1:187" x14ac:dyDescent="0.25">
      <c r="A91" s="127" t="str">
        <f>IF(C91="","",'Datos Generales'!$A$25)</f>
        <v/>
      </c>
      <c r="D91" s="126" t="str">
        <f t="shared" si="8"/>
        <v/>
      </c>
      <c r="E91" s="126">
        <f t="shared" si="9"/>
        <v>0</v>
      </c>
      <c r="F91" s="126" t="str">
        <f t="shared" si="10"/>
        <v/>
      </c>
      <c r="G91" s="126" t="str">
        <f>IF(C91="","",'Datos Generales'!$D$19)</f>
        <v/>
      </c>
      <c r="H91" s="21" t="str">
        <f>IF(C91="","",'Datos Generales'!$A$19)</f>
        <v/>
      </c>
      <c r="I91" s="126" t="str">
        <f>IF(C91="","",'Datos Generales'!$A$7)</f>
        <v/>
      </c>
      <c r="J91" s="21" t="str">
        <f>IF(C91="","",'Datos Generales'!$A$13)</f>
        <v/>
      </c>
      <c r="K91" s="21" t="str">
        <f>IF(C91="","",'Datos Generales'!$A$10)</f>
        <v/>
      </c>
      <c r="CS91" s="142" t="str">
        <f t="shared" si="11"/>
        <v/>
      </c>
      <c r="CT91" s="142" t="str">
        <f t="shared" si="12"/>
        <v/>
      </c>
      <c r="CU91" s="142" t="str">
        <f t="shared" si="13"/>
        <v/>
      </c>
      <c r="CV91" s="142" t="str">
        <f t="shared" si="14"/>
        <v/>
      </c>
      <c r="CW91" s="142" t="str">
        <f>IF(C91="","",IF('Datos Generales'!$A$19=1,AVERAGE(FP91:GD91),AVERAGE(Captura!FP91:FY91)))</f>
        <v/>
      </c>
      <c r="CX91" s="138" t="e">
        <f>IF(VLOOKUP(CONCATENATE($H$4,$F$4,CX$2),Español!$A:$H,7,FALSE)=L91,1,0)</f>
        <v>#N/A</v>
      </c>
      <c r="CY91" s="138" t="e">
        <f>IF(VLOOKUP(CONCATENATE(H91,F91,CY$2),Español!$A:$H,7,FALSE)=M91,1,0)</f>
        <v>#N/A</v>
      </c>
      <c r="CZ91" s="138" t="e">
        <f>IF(VLOOKUP(CONCATENATE(H91,F91,CZ$2),Español!$A:$H,7,FALSE)=N91,1,0)</f>
        <v>#N/A</v>
      </c>
      <c r="DA91" s="138" t="e">
        <f>IF(VLOOKUP(CONCATENATE(H91,F91,DA$2),Español!$A:$H,7,FALSE)=O91,1,0)</f>
        <v>#N/A</v>
      </c>
      <c r="DB91" s="138" t="e">
        <f>IF(VLOOKUP(CONCATENATE(H91,F91,DB$2),Español!$A:$H,7,FALSE)=P91,1,0)</f>
        <v>#N/A</v>
      </c>
      <c r="DC91" s="138" t="e">
        <f>IF(VLOOKUP(CONCATENATE(H91,F91,DC$2),Español!$A:$H,7,FALSE)=Q91,1,0)</f>
        <v>#N/A</v>
      </c>
      <c r="DD91" s="138" t="e">
        <f>IF(VLOOKUP(CONCATENATE(H91,F91,DD$2),Español!$A:$H,7,FALSE)=R91,1,0)</f>
        <v>#N/A</v>
      </c>
      <c r="DE91" s="138" t="e">
        <f>IF(VLOOKUP(CONCATENATE(H91,F91,DE$2),Español!$A:$H,7,FALSE)=S91,1,0)</f>
        <v>#N/A</v>
      </c>
      <c r="DF91" s="138" t="e">
        <f>IF(VLOOKUP(CONCATENATE(H91,F91,DF$2),Español!$A:$H,7,FALSE)=T91,1,0)</f>
        <v>#N/A</v>
      </c>
      <c r="DG91" s="138" t="e">
        <f>IF(VLOOKUP(CONCATENATE(H91,F91,DG$2),Español!$A:$H,7,FALSE)=U91,1,0)</f>
        <v>#N/A</v>
      </c>
      <c r="DH91" s="138" t="e">
        <f>IF(VLOOKUP(CONCATENATE(H91,F91,DH$2),Español!$A:$H,7,FALSE)=V91,1,0)</f>
        <v>#N/A</v>
      </c>
      <c r="DI91" s="138" t="e">
        <f>IF(VLOOKUP(CONCATENATE(H91,F91,DI$2),Español!$A:$H,7,FALSE)=W91,1,0)</f>
        <v>#N/A</v>
      </c>
      <c r="DJ91" s="138" t="e">
        <f>IF(VLOOKUP(CONCATENATE(H91,F91,DJ$2),Español!$A:$H,7,FALSE)=X91,1,0)</f>
        <v>#N/A</v>
      </c>
      <c r="DK91" s="138" t="e">
        <f>IF(VLOOKUP(CONCATENATE(H91,F91,DK$2),Español!$A:$H,7,FALSE)=Y91,1,0)</f>
        <v>#N/A</v>
      </c>
      <c r="DL91" s="138" t="e">
        <f>IF(VLOOKUP(CONCATENATE(H91,F91,DL$2),Español!$A:$H,7,FALSE)=Z91,1,0)</f>
        <v>#N/A</v>
      </c>
      <c r="DM91" s="138" t="e">
        <f>IF(VLOOKUP(CONCATENATE(H91,F91,DM$2),Español!$A:$H,7,FALSE)=AA91,1,0)</f>
        <v>#N/A</v>
      </c>
      <c r="DN91" s="138" t="e">
        <f>IF(VLOOKUP(CONCATENATE(H91,F91,DN$2),Español!$A:$H,7,FALSE)=AB91,1,0)</f>
        <v>#N/A</v>
      </c>
      <c r="DO91" s="138" t="e">
        <f>IF(VLOOKUP(CONCATENATE(H91,F91,DO$2),Español!$A:$H,7,FALSE)=AC91,1,0)</f>
        <v>#N/A</v>
      </c>
      <c r="DP91" s="138" t="e">
        <f>IF(VLOOKUP(CONCATENATE(H91,F91,DP$2),Español!$A:$H,7,FALSE)=AD91,1,0)</f>
        <v>#N/A</v>
      </c>
      <c r="DQ91" s="138" t="e">
        <f>IF(VLOOKUP(CONCATENATE(H91,F91,DQ$2),Español!$A:$H,7,FALSE)=AE91,1,0)</f>
        <v>#N/A</v>
      </c>
      <c r="DR91" s="138" t="e">
        <f>IF(VLOOKUP(CONCATENATE(H91,F91,DR$2),Inglés!$A:$H,7,FALSE)=AF91,1,0)</f>
        <v>#N/A</v>
      </c>
      <c r="DS91" s="138" t="e">
        <f>IF(VLOOKUP(CONCATENATE(H91,F91,DS$2),Inglés!$A:$H,7,FALSE)=AG91,1,0)</f>
        <v>#N/A</v>
      </c>
      <c r="DT91" s="138" t="e">
        <f>IF(VLOOKUP(CONCATENATE(H91,F91,DT$2),Inglés!$A:$H,7,FALSE)=AH91,1,0)</f>
        <v>#N/A</v>
      </c>
      <c r="DU91" s="138" t="e">
        <f>IF(VLOOKUP(CONCATENATE(H91,F91,DU$2),Inglés!$A:$H,7,FALSE)=AI91,1,0)</f>
        <v>#N/A</v>
      </c>
      <c r="DV91" s="138" t="e">
        <f>IF(VLOOKUP(CONCATENATE(H91,F91,DV$2),Inglés!$A:$H,7,FALSE)=AJ91,1,0)</f>
        <v>#N/A</v>
      </c>
      <c r="DW91" s="138" t="e">
        <f>IF(VLOOKUP(CONCATENATE(H91,F91,DW$2),Inglés!$A:$H,7,FALSE)=AK91,1,0)</f>
        <v>#N/A</v>
      </c>
      <c r="DX91" s="138" t="e">
        <f>IF(VLOOKUP(CONCATENATE(H91,F91,DX$2),Inglés!$A:$H,7,FALSE)=AL91,1,0)</f>
        <v>#N/A</v>
      </c>
      <c r="DY91" s="138" t="e">
        <f>IF(VLOOKUP(CONCATENATE(H91,F91,DY$2),Inglés!$A:$H,7,FALSE)=AM91,1,0)</f>
        <v>#N/A</v>
      </c>
      <c r="DZ91" s="138" t="e">
        <f>IF(VLOOKUP(CONCATENATE(H91,F91,DZ$2),Inglés!$A:$H,7,FALSE)=AN91,1,0)</f>
        <v>#N/A</v>
      </c>
      <c r="EA91" s="138" t="e">
        <f>IF(VLOOKUP(CONCATENATE(H91,F91,EA$2),Inglés!$A:$H,7,FALSE)=AO91,1,0)</f>
        <v>#N/A</v>
      </c>
      <c r="EB91" s="138" t="e">
        <f>IF(VLOOKUP(CONCATENATE(H91,F91,EB$2),Matemáticas!$A:$H,7,FALSE)=AP91,1,0)</f>
        <v>#N/A</v>
      </c>
      <c r="EC91" s="138" t="e">
        <f>IF(VLOOKUP(CONCATENATE(H91,F91,EC$2),Matemáticas!$A:$H,7,FALSE)=AQ91,1,0)</f>
        <v>#N/A</v>
      </c>
      <c r="ED91" s="138" t="e">
        <f>IF(VLOOKUP(CONCATENATE(H91,F91,ED$2),Matemáticas!$A:$H,7,FALSE)=AR91,1,0)</f>
        <v>#N/A</v>
      </c>
      <c r="EE91" s="138" t="e">
        <f>IF(VLOOKUP(CONCATENATE(H91,F91,EE$2),Matemáticas!$A:$H,7,FALSE)=AS91,1,0)</f>
        <v>#N/A</v>
      </c>
      <c r="EF91" s="138" t="e">
        <f>IF(VLOOKUP(CONCATENATE(H91,F91,EF$2),Matemáticas!$A:$H,7,FALSE)=AT91,1,0)</f>
        <v>#N/A</v>
      </c>
      <c r="EG91" s="138" t="e">
        <f>IF(VLOOKUP(CONCATENATE(H91,F91,EG$2),Matemáticas!$A:$H,7,FALSE)=AU91,1,0)</f>
        <v>#N/A</v>
      </c>
      <c r="EH91" s="138" t="e">
        <f>IF(VLOOKUP(CONCATENATE(H91,F91,EH$2),Matemáticas!$A:$H,7,FALSE)=AV91,1,0)</f>
        <v>#N/A</v>
      </c>
      <c r="EI91" s="138" t="e">
        <f>IF(VLOOKUP(CONCATENATE(H91,F91,EI$2),Matemáticas!$A:$H,7,FALSE)=AW91,1,0)</f>
        <v>#N/A</v>
      </c>
      <c r="EJ91" s="138" t="e">
        <f>IF(VLOOKUP(CONCATENATE(H91,F91,EJ$2),Matemáticas!$A:$H,7,FALSE)=AX91,1,0)</f>
        <v>#N/A</v>
      </c>
      <c r="EK91" s="138" t="e">
        <f>IF(VLOOKUP(CONCATENATE(H91,F91,EK$2),Matemáticas!$A:$H,7,FALSE)=AY91,1,0)</f>
        <v>#N/A</v>
      </c>
      <c r="EL91" s="138" t="e">
        <f>IF(VLOOKUP(CONCATENATE(H91,F91,EL$2),Matemáticas!$A:$H,7,FALSE)=AZ91,1,0)</f>
        <v>#N/A</v>
      </c>
      <c r="EM91" s="138" t="e">
        <f>IF(VLOOKUP(CONCATENATE(H91,F91,EM$2),Matemáticas!$A:$H,7,FALSE)=BA91,1,0)</f>
        <v>#N/A</v>
      </c>
      <c r="EN91" s="138" t="e">
        <f>IF(VLOOKUP(CONCATENATE(H91,F91,EN$2),Matemáticas!$A:$H,7,FALSE)=BB91,1,0)</f>
        <v>#N/A</v>
      </c>
      <c r="EO91" s="138" t="e">
        <f>IF(VLOOKUP(CONCATENATE(H91,F91,EO$2),Matemáticas!$A:$H,7,FALSE)=BC91,1,0)</f>
        <v>#N/A</v>
      </c>
      <c r="EP91" s="138" t="e">
        <f>IF(VLOOKUP(CONCATENATE(H91,F91,EP$2),Matemáticas!$A:$H,7,FALSE)=BD91,1,0)</f>
        <v>#N/A</v>
      </c>
      <c r="EQ91" s="138" t="e">
        <f>IF(VLOOKUP(CONCATENATE(H91,F91,EQ$2),Matemáticas!$A:$H,7,FALSE)=BE91,1,0)</f>
        <v>#N/A</v>
      </c>
      <c r="ER91" s="138" t="e">
        <f>IF(VLOOKUP(CONCATENATE(H91,F91,ER$2),Matemáticas!$A:$H,7,FALSE)=BF91,1,0)</f>
        <v>#N/A</v>
      </c>
      <c r="ES91" s="138" t="e">
        <f>IF(VLOOKUP(CONCATENATE(H91,F91,ES$2),Matemáticas!$A:$H,7,FALSE)=BG91,1,0)</f>
        <v>#N/A</v>
      </c>
      <c r="ET91" s="138" t="e">
        <f>IF(VLOOKUP(CONCATENATE(H91,F91,ET$2),Matemáticas!$A:$H,7,FALSE)=BH91,1,0)</f>
        <v>#N/A</v>
      </c>
      <c r="EU91" s="138" t="e">
        <f>IF(VLOOKUP(CONCATENATE(H91,F91,EU$2),Matemáticas!$A:$H,7,FALSE)=BI91,1,0)</f>
        <v>#N/A</v>
      </c>
      <c r="EV91" s="138" t="e">
        <f>IF(VLOOKUP(CONCATENATE(H91,F91,EV$2),Ciencias!$A:$H,7,FALSE)=BJ91,1,0)</f>
        <v>#N/A</v>
      </c>
      <c r="EW91" s="138" t="e">
        <f>IF(VLOOKUP(CONCATENATE(H91,F91,EW$2),Ciencias!$A:$H,7,FALSE)=BK91,1,0)</f>
        <v>#N/A</v>
      </c>
      <c r="EX91" s="138" t="e">
        <f>IF(VLOOKUP(CONCATENATE(H91,F91,EX$2),Ciencias!$A:$H,7,FALSE)=BL91,1,0)</f>
        <v>#N/A</v>
      </c>
      <c r="EY91" s="138" t="e">
        <f>IF(VLOOKUP(CONCATENATE(H91,F91,EY$2),Ciencias!$A:$H,7,FALSE)=BM91,1,0)</f>
        <v>#N/A</v>
      </c>
      <c r="EZ91" s="138" t="e">
        <f>IF(VLOOKUP(CONCATENATE(H91,F91,EZ$2),Ciencias!$A:$H,7,FALSE)=BN91,1,0)</f>
        <v>#N/A</v>
      </c>
      <c r="FA91" s="138" t="e">
        <f>IF(VLOOKUP(CONCATENATE(H91,F91,FA$2),Ciencias!$A:$H,7,FALSE)=BO91,1,0)</f>
        <v>#N/A</v>
      </c>
      <c r="FB91" s="138" t="e">
        <f>IF(VLOOKUP(CONCATENATE(H91,F91,FB$2),Ciencias!$A:$H,7,FALSE)=BP91,1,0)</f>
        <v>#N/A</v>
      </c>
      <c r="FC91" s="138" t="e">
        <f>IF(VLOOKUP(CONCATENATE(H91,F91,FC$2),Ciencias!$A:$H,7,FALSE)=BQ91,1,0)</f>
        <v>#N/A</v>
      </c>
      <c r="FD91" s="138" t="e">
        <f>IF(VLOOKUP(CONCATENATE(H91,F91,FD$2),Ciencias!$A:$H,7,FALSE)=BR91,1,0)</f>
        <v>#N/A</v>
      </c>
      <c r="FE91" s="138" t="e">
        <f>IF(VLOOKUP(CONCATENATE(H91,F91,FE$2),Ciencias!$A:$H,7,FALSE)=BS91,1,0)</f>
        <v>#N/A</v>
      </c>
      <c r="FF91" s="138" t="e">
        <f>IF(VLOOKUP(CONCATENATE(H91,F91,FF$2),Ciencias!$A:$H,7,FALSE)=BT91,1,0)</f>
        <v>#N/A</v>
      </c>
      <c r="FG91" s="138" t="e">
        <f>IF(VLOOKUP(CONCATENATE(H91,F91,FG$2),Ciencias!$A:$H,7,FALSE)=BU91,1,0)</f>
        <v>#N/A</v>
      </c>
      <c r="FH91" s="138" t="e">
        <f>IF(VLOOKUP(CONCATENATE(H91,F91,FH$2),Ciencias!$A:$H,7,FALSE)=BV91,1,0)</f>
        <v>#N/A</v>
      </c>
      <c r="FI91" s="138" t="e">
        <f>IF(VLOOKUP(CONCATENATE(H91,F91,FI$2),Ciencias!$A:$H,7,FALSE)=BW91,1,0)</f>
        <v>#N/A</v>
      </c>
      <c r="FJ91" s="138" t="e">
        <f>IF(VLOOKUP(CONCATENATE(H91,F91,FJ$2),Ciencias!$A:$H,7,FALSE)=BX91,1,0)</f>
        <v>#N/A</v>
      </c>
      <c r="FK91" s="138" t="e">
        <f>IF(VLOOKUP(CONCATENATE(H91,F91,FK$2),Ciencias!$A:$H,7,FALSE)=BY91,1,0)</f>
        <v>#N/A</v>
      </c>
      <c r="FL91" s="138" t="e">
        <f>IF(VLOOKUP(CONCATENATE(H91,F91,FL$2),Ciencias!$A:$H,7,FALSE)=BZ91,1,0)</f>
        <v>#N/A</v>
      </c>
      <c r="FM91" s="138" t="e">
        <f>IF(VLOOKUP(CONCATENATE(H91,F91,FM$2),Ciencias!$A:$H,7,FALSE)=CA91,1,0)</f>
        <v>#N/A</v>
      </c>
      <c r="FN91" s="138" t="e">
        <f>IF(VLOOKUP(CONCATENATE(H91,F91,FN$2),Ciencias!$A:$H,7,FALSE)=CB91,1,0)</f>
        <v>#N/A</v>
      </c>
      <c r="FO91" s="138" t="e">
        <f>IF(VLOOKUP(CONCATENATE(H91,F91,FO$2),Ciencias!$A:$H,7,FALSE)=CC91,1,0)</f>
        <v>#N/A</v>
      </c>
      <c r="FP91" s="138" t="e">
        <f>IF(VLOOKUP(CONCATENATE(H91,F91,FP$2),GeoHis!$A:$H,7,FALSE)=CD91,1,0)</f>
        <v>#N/A</v>
      </c>
      <c r="FQ91" s="138" t="e">
        <f>IF(VLOOKUP(CONCATENATE(H91,F91,FQ$2),GeoHis!$A:$H,7,FALSE)=CE91,1,0)</f>
        <v>#N/A</v>
      </c>
      <c r="FR91" s="138" t="e">
        <f>IF(VLOOKUP(CONCATENATE(H91,F91,FR$2),GeoHis!$A:$H,7,FALSE)=CF91,1,0)</f>
        <v>#N/A</v>
      </c>
      <c r="FS91" s="138" t="e">
        <f>IF(VLOOKUP(CONCATENATE(H91,F91,FS$2),GeoHis!$A:$H,7,FALSE)=CG91,1,0)</f>
        <v>#N/A</v>
      </c>
      <c r="FT91" s="138" t="e">
        <f>IF(VLOOKUP(CONCATENATE(H91,F91,FT$2),GeoHis!$A:$H,7,FALSE)=CH91,1,0)</f>
        <v>#N/A</v>
      </c>
      <c r="FU91" s="138" t="e">
        <f>IF(VLOOKUP(CONCATENATE(H91,F91,FU$2),GeoHis!$A:$H,7,FALSE)=CI91,1,0)</f>
        <v>#N/A</v>
      </c>
      <c r="FV91" s="138" t="e">
        <f>IF(VLOOKUP(CONCATENATE(H91,F91,FV$2),GeoHis!$A:$H,7,FALSE)=CJ91,1,0)</f>
        <v>#N/A</v>
      </c>
      <c r="FW91" s="138" t="e">
        <f>IF(VLOOKUP(CONCATENATE(H91,F91,FW$2),GeoHis!$A:$H,7,FALSE)=CK91,1,0)</f>
        <v>#N/A</v>
      </c>
      <c r="FX91" s="138" t="e">
        <f>IF(VLOOKUP(CONCATENATE(H91,F91,FX$2),GeoHis!$A:$H,7,FALSE)=CL91,1,0)</f>
        <v>#N/A</v>
      </c>
      <c r="FY91" s="138" t="e">
        <f>IF(VLOOKUP(CONCATENATE(H91,F91,FY$2),GeoHis!$A:$H,7,FALSE)=CM91,1,0)</f>
        <v>#N/A</v>
      </c>
      <c r="FZ91" s="138" t="e">
        <f>IF(VLOOKUP(CONCATENATE(H91,F91,FZ$2),GeoHis!$A:$H,7,FALSE)=CN91,1,0)</f>
        <v>#N/A</v>
      </c>
      <c r="GA91" s="138" t="e">
        <f>IF(VLOOKUP(CONCATENATE(H91,F91,GA$2),GeoHis!$A:$H,7,FALSE)=CO91,1,0)</f>
        <v>#N/A</v>
      </c>
      <c r="GB91" s="138" t="e">
        <f>IF(VLOOKUP(CONCATENATE(H91,F91,GB$2),GeoHis!$A:$H,7,FALSE)=CP91,1,0)</f>
        <v>#N/A</v>
      </c>
      <c r="GC91" s="138" t="e">
        <f>IF(VLOOKUP(CONCATENATE(H91,F91,GC$2),GeoHis!$A:$H,7,FALSE)=CQ91,1,0)</f>
        <v>#N/A</v>
      </c>
      <c r="GD91" s="138" t="e">
        <f>IF(VLOOKUP(CONCATENATE(H91,F91,GD$2),GeoHis!$A:$H,7,FALSE)=CR91,1,0)</f>
        <v>#N/A</v>
      </c>
      <c r="GE91" s="135" t="str">
        <f t="shared" si="15"/>
        <v/>
      </c>
    </row>
    <row r="92" spans="1:187" x14ac:dyDescent="0.25">
      <c r="A92" s="127" t="str">
        <f>IF(C92="","",'Datos Generales'!$A$25)</f>
        <v/>
      </c>
      <c r="D92" s="126" t="str">
        <f t="shared" si="8"/>
        <v/>
      </c>
      <c r="E92" s="126">
        <f t="shared" si="9"/>
        <v>0</v>
      </c>
      <c r="F92" s="126" t="str">
        <f t="shared" si="10"/>
        <v/>
      </c>
      <c r="G92" s="126" t="str">
        <f>IF(C92="","",'Datos Generales'!$D$19)</f>
        <v/>
      </c>
      <c r="H92" s="21" t="str">
        <f>IF(C92="","",'Datos Generales'!$A$19)</f>
        <v/>
      </c>
      <c r="I92" s="126" t="str">
        <f>IF(C92="","",'Datos Generales'!$A$7)</f>
        <v/>
      </c>
      <c r="J92" s="21" t="str">
        <f>IF(C92="","",'Datos Generales'!$A$13)</f>
        <v/>
      </c>
      <c r="K92" s="21" t="str">
        <f>IF(C92="","",'Datos Generales'!$A$10)</f>
        <v/>
      </c>
      <c r="CS92" s="142" t="str">
        <f t="shared" si="11"/>
        <v/>
      </c>
      <c r="CT92" s="142" t="str">
        <f t="shared" si="12"/>
        <v/>
      </c>
      <c r="CU92" s="142" t="str">
        <f t="shared" si="13"/>
        <v/>
      </c>
      <c r="CV92" s="142" t="str">
        <f t="shared" si="14"/>
        <v/>
      </c>
      <c r="CW92" s="142" t="str">
        <f>IF(C92="","",IF('Datos Generales'!$A$19=1,AVERAGE(FP92:GD92),AVERAGE(Captura!FP92:FY92)))</f>
        <v/>
      </c>
      <c r="CX92" s="138" t="e">
        <f>IF(VLOOKUP(CONCATENATE($H$4,$F$4,CX$2),Español!$A:$H,7,FALSE)=L92,1,0)</f>
        <v>#N/A</v>
      </c>
      <c r="CY92" s="138" t="e">
        <f>IF(VLOOKUP(CONCATENATE(H92,F92,CY$2),Español!$A:$H,7,FALSE)=M92,1,0)</f>
        <v>#N/A</v>
      </c>
      <c r="CZ92" s="138" t="e">
        <f>IF(VLOOKUP(CONCATENATE(H92,F92,CZ$2),Español!$A:$H,7,FALSE)=N92,1,0)</f>
        <v>#N/A</v>
      </c>
      <c r="DA92" s="138" t="e">
        <f>IF(VLOOKUP(CONCATENATE(H92,F92,DA$2),Español!$A:$H,7,FALSE)=O92,1,0)</f>
        <v>#N/A</v>
      </c>
      <c r="DB92" s="138" t="e">
        <f>IF(VLOOKUP(CONCATENATE(H92,F92,DB$2),Español!$A:$H,7,FALSE)=P92,1,0)</f>
        <v>#N/A</v>
      </c>
      <c r="DC92" s="138" t="e">
        <f>IF(VLOOKUP(CONCATENATE(H92,F92,DC$2),Español!$A:$H,7,FALSE)=Q92,1,0)</f>
        <v>#N/A</v>
      </c>
      <c r="DD92" s="138" t="e">
        <f>IF(VLOOKUP(CONCATENATE(H92,F92,DD$2),Español!$A:$H,7,FALSE)=R92,1,0)</f>
        <v>#N/A</v>
      </c>
      <c r="DE92" s="138" t="e">
        <f>IF(VLOOKUP(CONCATENATE(H92,F92,DE$2),Español!$A:$H,7,FALSE)=S92,1,0)</f>
        <v>#N/A</v>
      </c>
      <c r="DF92" s="138" t="e">
        <f>IF(VLOOKUP(CONCATENATE(H92,F92,DF$2),Español!$A:$H,7,FALSE)=T92,1,0)</f>
        <v>#N/A</v>
      </c>
      <c r="DG92" s="138" t="e">
        <f>IF(VLOOKUP(CONCATENATE(H92,F92,DG$2),Español!$A:$H,7,FALSE)=U92,1,0)</f>
        <v>#N/A</v>
      </c>
      <c r="DH92" s="138" t="e">
        <f>IF(VLOOKUP(CONCATENATE(H92,F92,DH$2),Español!$A:$H,7,FALSE)=V92,1,0)</f>
        <v>#N/A</v>
      </c>
      <c r="DI92" s="138" t="e">
        <f>IF(VLOOKUP(CONCATENATE(H92,F92,DI$2),Español!$A:$H,7,FALSE)=W92,1,0)</f>
        <v>#N/A</v>
      </c>
      <c r="DJ92" s="138" t="e">
        <f>IF(VLOOKUP(CONCATENATE(H92,F92,DJ$2),Español!$A:$H,7,FALSE)=X92,1,0)</f>
        <v>#N/A</v>
      </c>
      <c r="DK92" s="138" t="e">
        <f>IF(VLOOKUP(CONCATENATE(H92,F92,DK$2),Español!$A:$H,7,FALSE)=Y92,1,0)</f>
        <v>#N/A</v>
      </c>
      <c r="DL92" s="138" t="e">
        <f>IF(VLOOKUP(CONCATENATE(H92,F92,DL$2),Español!$A:$H,7,FALSE)=Z92,1,0)</f>
        <v>#N/A</v>
      </c>
      <c r="DM92" s="138" t="e">
        <f>IF(VLOOKUP(CONCATENATE(H92,F92,DM$2),Español!$A:$H,7,FALSE)=AA92,1,0)</f>
        <v>#N/A</v>
      </c>
      <c r="DN92" s="138" t="e">
        <f>IF(VLOOKUP(CONCATENATE(H92,F92,DN$2),Español!$A:$H,7,FALSE)=AB92,1,0)</f>
        <v>#N/A</v>
      </c>
      <c r="DO92" s="138" t="e">
        <f>IF(VLOOKUP(CONCATENATE(H92,F92,DO$2),Español!$A:$H,7,FALSE)=AC92,1,0)</f>
        <v>#N/A</v>
      </c>
      <c r="DP92" s="138" t="e">
        <f>IF(VLOOKUP(CONCATENATE(H92,F92,DP$2),Español!$A:$H,7,FALSE)=AD92,1,0)</f>
        <v>#N/A</v>
      </c>
      <c r="DQ92" s="138" t="e">
        <f>IF(VLOOKUP(CONCATENATE(H92,F92,DQ$2),Español!$A:$H,7,FALSE)=AE92,1,0)</f>
        <v>#N/A</v>
      </c>
      <c r="DR92" s="138" t="e">
        <f>IF(VLOOKUP(CONCATENATE(H92,F92,DR$2),Inglés!$A:$H,7,FALSE)=AF92,1,0)</f>
        <v>#N/A</v>
      </c>
      <c r="DS92" s="138" t="e">
        <f>IF(VLOOKUP(CONCATENATE(H92,F92,DS$2),Inglés!$A:$H,7,FALSE)=AG92,1,0)</f>
        <v>#N/A</v>
      </c>
      <c r="DT92" s="138" t="e">
        <f>IF(VLOOKUP(CONCATENATE(H92,F92,DT$2),Inglés!$A:$H,7,FALSE)=AH92,1,0)</f>
        <v>#N/A</v>
      </c>
      <c r="DU92" s="138" t="e">
        <f>IF(VLOOKUP(CONCATENATE(H92,F92,DU$2),Inglés!$A:$H,7,FALSE)=AI92,1,0)</f>
        <v>#N/A</v>
      </c>
      <c r="DV92" s="138" t="e">
        <f>IF(VLOOKUP(CONCATENATE(H92,F92,DV$2),Inglés!$A:$H,7,FALSE)=AJ92,1,0)</f>
        <v>#N/A</v>
      </c>
      <c r="DW92" s="138" t="e">
        <f>IF(VLOOKUP(CONCATENATE(H92,F92,DW$2),Inglés!$A:$H,7,FALSE)=AK92,1,0)</f>
        <v>#N/A</v>
      </c>
      <c r="DX92" s="138" t="e">
        <f>IF(VLOOKUP(CONCATENATE(H92,F92,DX$2),Inglés!$A:$H,7,FALSE)=AL92,1,0)</f>
        <v>#N/A</v>
      </c>
      <c r="DY92" s="138" t="e">
        <f>IF(VLOOKUP(CONCATENATE(H92,F92,DY$2),Inglés!$A:$H,7,FALSE)=AM92,1,0)</f>
        <v>#N/A</v>
      </c>
      <c r="DZ92" s="138" t="e">
        <f>IF(VLOOKUP(CONCATENATE(H92,F92,DZ$2),Inglés!$A:$H,7,FALSE)=AN92,1,0)</f>
        <v>#N/A</v>
      </c>
      <c r="EA92" s="138" t="e">
        <f>IF(VLOOKUP(CONCATENATE(H92,F92,EA$2),Inglés!$A:$H,7,FALSE)=AO92,1,0)</f>
        <v>#N/A</v>
      </c>
      <c r="EB92" s="138" t="e">
        <f>IF(VLOOKUP(CONCATENATE(H92,F92,EB$2),Matemáticas!$A:$H,7,FALSE)=AP92,1,0)</f>
        <v>#N/A</v>
      </c>
      <c r="EC92" s="138" t="e">
        <f>IF(VLOOKUP(CONCATENATE(H92,F92,EC$2),Matemáticas!$A:$H,7,FALSE)=AQ92,1,0)</f>
        <v>#N/A</v>
      </c>
      <c r="ED92" s="138" t="e">
        <f>IF(VLOOKUP(CONCATENATE(H92,F92,ED$2),Matemáticas!$A:$H,7,FALSE)=AR92,1,0)</f>
        <v>#N/A</v>
      </c>
      <c r="EE92" s="138" t="e">
        <f>IF(VLOOKUP(CONCATENATE(H92,F92,EE$2),Matemáticas!$A:$H,7,FALSE)=AS92,1,0)</f>
        <v>#N/A</v>
      </c>
      <c r="EF92" s="138" t="e">
        <f>IF(VLOOKUP(CONCATENATE(H92,F92,EF$2),Matemáticas!$A:$H,7,FALSE)=AT92,1,0)</f>
        <v>#N/A</v>
      </c>
      <c r="EG92" s="138" t="e">
        <f>IF(VLOOKUP(CONCATENATE(H92,F92,EG$2),Matemáticas!$A:$H,7,FALSE)=AU92,1,0)</f>
        <v>#N/A</v>
      </c>
      <c r="EH92" s="138" t="e">
        <f>IF(VLOOKUP(CONCATENATE(H92,F92,EH$2),Matemáticas!$A:$H,7,FALSE)=AV92,1,0)</f>
        <v>#N/A</v>
      </c>
      <c r="EI92" s="138" t="e">
        <f>IF(VLOOKUP(CONCATENATE(H92,F92,EI$2),Matemáticas!$A:$H,7,FALSE)=AW92,1,0)</f>
        <v>#N/A</v>
      </c>
      <c r="EJ92" s="138" t="e">
        <f>IF(VLOOKUP(CONCATENATE(H92,F92,EJ$2),Matemáticas!$A:$H,7,FALSE)=AX92,1,0)</f>
        <v>#N/A</v>
      </c>
      <c r="EK92" s="138" t="e">
        <f>IF(VLOOKUP(CONCATENATE(H92,F92,EK$2),Matemáticas!$A:$H,7,FALSE)=AY92,1,0)</f>
        <v>#N/A</v>
      </c>
      <c r="EL92" s="138" t="e">
        <f>IF(VLOOKUP(CONCATENATE(H92,F92,EL$2),Matemáticas!$A:$H,7,FALSE)=AZ92,1,0)</f>
        <v>#N/A</v>
      </c>
      <c r="EM92" s="138" t="e">
        <f>IF(VLOOKUP(CONCATENATE(H92,F92,EM$2),Matemáticas!$A:$H,7,FALSE)=BA92,1,0)</f>
        <v>#N/A</v>
      </c>
      <c r="EN92" s="138" t="e">
        <f>IF(VLOOKUP(CONCATENATE(H92,F92,EN$2),Matemáticas!$A:$H,7,FALSE)=BB92,1,0)</f>
        <v>#N/A</v>
      </c>
      <c r="EO92" s="138" t="e">
        <f>IF(VLOOKUP(CONCATENATE(H92,F92,EO$2),Matemáticas!$A:$H,7,FALSE)=BC92,1,0)</f>
        <v>#N/A</v>
      </c>
      <c r="EP92" s="138" t="e">
        <f>IF(VLOOKUP(CONCATENATE(H92,F92,EP$2),Matemáticas!$A:$H,7,FALSE)=BD92,1,0)</f>
        <v>#N/A</v>
      </c>
      <c r="EQ92" s="138" t="e">
        <f>IF(VLOOKUP(CONCATENATE(H92,F92,EQ$2),Matemáticas!$A:$H,7,FALSE)=BE92,1,0)</f>
        <v>#N/A</v>
      </c>
      <c r="ER92" s="138" t="e">
        <f>IF(VLOOKUP(CONCATENATE(H92,F92,ER$2),Matemáticas!$A:$H,7,FALSE)=BF92,1,0)</f>
        <v>#N/A</v>
      </c>
      <c r="ES92" s="138" t="e">
        <f>IF(VLOOKUP(CONCATENATE(H92,F92,ES$2),Matemáticas!$A:$H,7,FALSE)=BG92,1,0)</f>
        <v>#N/A</v>
      </c>
      <c r="ET92" s="138" t="e">
        <f>IF(VLOOKUP(CONCATENATE(H92,F92,ET$2),Matemáticas!$A:$H,7,FALSE)=BH92,1,0)</f>
        <v>#N/A</v>
      </c>
      <c r="EU92" s="138" t="e">
        <f>IF(VLOOKUP(CONCATENATE(H92,F92,EU$2),Matemáticas!$A:$H,7,FALSE)=BI92,1,0)</f>
        <v>#N/A</v>
      </c>
      <c r="EV92" s="138" t="e">
        <f>IF(VLOOKUP(CONCATENATE(H92,F92,EV$2),Ciencias!$A:$H,7,FALSE)=BJ92,1,0)</f>
        <v>#N/A</v>
      </c>
      <c r="EW92" s="138" t="e">
        <f>IF(VLOOKUP(CONCATENATE(H92,F92,EW$2),Ciencias!$A:$H,7,FALSE)=BK92,1,0)</f>
        <v>#N/A</v>
      </c>
      <c r="EX92" s="138" t="e">
        <f>IF(VLOOKUP(CONCATENATE(H92,F92,EX$2),Ciencias!$A:$H,7,FALSE)=BL92,1,0)</f>
        <v>#N/A</v>
      </c>
      <c r="EY92" s="138" t="e">
        <f>IF(VLOOKUP(CONCATENATE(H92,F92,EY$2),Ciencias!$A:$H,7,FALSE)=BM92,1,0)</f>
        <v>#N/A</v>
      </c>
      <c r="EZ92" s="138" t="e">
        <f>IF(VLOOKUP(CONCATENATE(H92,F92,EZ$2),Ciencias!$A:$H,7,FALSE)=BN92,1,0)</f>
        <v>#N/A</v>
      </c>
      <c r="FA92" s="138" t="e">
        <f>IF(VLOOKUP(CONCATENATE(H92,F92,FA$2),Ciencias!$A:$H,7,FALSE)=BO92,1,0)</f>
        <v>#N/A</v>
      </c>
      <c r="FB92" s="138" t="e">
        <f>IF(VLOOKUP(CONCATENATE(H92,F92,FB$2),Ciencias!$A:$H,7,FALSE)=BP92,1,0)</f>
        <v>#N/A</v>
      </c>
      <c r="FC92" s="138" t="e">
        <f>IF(VLOOKUP(CONCATENATE(H92,F92,FC$2),Ciencias!$A:$H,7,FALSE)=BQ92,1,0)</f>
        <v>#N/A</v>
      </c>
      <c r="FD92" s="138" t="e">
        <f>IF(VLOOKUP(CONCATENATE(H92,F92,FD$2),Ciencias!$A:$H,7,FALSE)=BR92,1,0)</f>
        <v>#N/A</v>
      </c>
      <c r="FE92" s="138" t="e">
        <f>IF(VLOOKUP(CONCATENATE(H92,F92,FE$2),Ciencias!$A:$H,7,FALSE)=BS92,1,0)</f>
        <v>#N/A</v>
      </c>
      <c r="FF92" s="138" t="e">
        <f>IF(VLOOKUP(CONCATENATE(H92,F92,FF$2),Ciencias!$A:$H,7,FALSE)=BT92,1,0)</f>
        <v>#N/A</v>
      </c>
      <c r="FG92" s="138" t="e">
        <f>IF(VLOOKUP(CONCATENATE(H92,F92,FG$2),Ciencias!$A:$H,7,FALSE)=BU92,1,0)</f>
        <v>#N/A</v>
      </c>
      <c r="FH92" s="138" t="e">
        <f>IF(VLOOKUP(CONCATENATE(H92,F92,FH$2),Ciencias!$A:$H,7,FALSE)=BV92,1,0)</f>
        <v>#N/A</v>
      </c>
      <c r="FI92" s="138" t="e">
        <f>IF(VLOOKUP(CONCATENATE(H92,F92,FI$2),Ciencias!$A:$H,7,FALSE)=BW92,1,0)</f>
        <v>#N/A</v>
      </c>
      <c r="FJ92" s="138" t="e">
        <f>IF(VLOOKUP(CONCATENATE(H92,F92,FJ$2),Ciencias!$A:$H,7,FALSE)=BX92,1,0)</f>
        <v>#N/A</v>
      </c>
      <c r="FK92" s="138" t="e">
        <f>IF(VLOOKUP(CONCATENATE(H92,F92,FK$2),Ciencias!$A:$H,7,FALSE)=BY92,1,0)</f>
        <v>#N/A</v>
      </c>
      <c r="FL92" s="138" t="e">
        <f>IF(VLOOKUP(CONCATENATE(H92,F92,FL$2),Ciencias!$A:$H,7,FALSE)=BZ92,1,0)</f>
        <v>#N/A</v>
      </c>
      <c r="FM92" s="138" t="e">
        <f>IF(VLOOKUP(CONCATENATE(H92,F92,FM$2),Ciencias!$A:$H,7,FALSE)=CA92,1,0)</f>
        <v>#N/A</v>
      </c>
      <c r="FN92" s="138" t="e">
        <f>IF(VLOOKUP(CONCATENATE(H92,F92,FN$2),Ciencias!$A:$H,7,FALSE)=CB92,1,0)</f>
        <v>#N/A</v>
      </c>
      <c r="FO92" s="138" t="e">
        <f>IF(VLOOKUP(CONCATENATE(H92,F92,FO$2),Ciencias!$A:$H,7,FALSE)=CC92,1,0)</f>
        <v>#N/A</v>
      </c>
      <c r="FP92" s="138" t="e">
        <f>IF(VLOOKUP(CONCATENATE(H92,F92,FP$2),GeoHis!$A:$H,7,FALSE)=CD92,1,0)</f>
        <v>#N/A</v>
      </c>
      <c r="FQ92" s="138" t="e">
        <f>IF(VLOOKUP(CONCATENATE(H92,F92,FQ$2),GeoHis!$A:$H,7,FALSE)=CE92,1,0)</f>
        <v>#N/A</v>
      </c>
      <c r="FR92" s="138" t="e">
        <f>IF(VLOOKUP(CONCATENATE(H92,F92,FR$2),GeoHis!$A:$H,7,FALSE)=CF92,1,0)</f>
        <v>#N/A</v>
      </c>
      <c r="FS92" s="138" t="e">
        <f>IF(VLOOKUP(CONCATENATE(H92,F92,FS$2),GeoHis!$A:$H,7,FALSE)=CG92,1,0)</f>
        <v>#N/A</v>
      </c>
      <c r="FT92" s="138" t="e">
        <f>IF(VLOOKUP(CONCATENATE(H92,F92,FT$2),GeoHis!$A:$H,7,FALSE)=CH92,1,0)</f>
        <v>#N/A</v>
      </c>
      <c r="FU92" s="138" t="e">
        <f>IF(VLOOKUP(CONCATENATE(H92,F92,FU$2),GeoHis!$A:$H,7,FALSE)=CI92,1,0)</f>
        <v>#N/A</v>
      </c>
      <c r="FV92" s="138" t="e">
        <f>IF(VLOOKUP(CONCATENATE(H92,F92,FV$2),GeoHis!$A:$H,7,FALSE)=CJ92,1,0)</f>
        <v>#N/A</v>
      </c>
      <c r="FW92" s="138" t="e">
        <f>IF(VLOOKUP(CONCATENATE(H92,F92,FW$2),GeoHis!$A:$H,7,FALSE)=CK92,1,0)</f>
        <v>#N/A</v>
      </c>
      <c r="FX92" s="138" t="e">
        <f>IF(VLOOKUP(CONCATENATE(H92,F92,FX$2),GeoHis!$A:$H,7,FALSE)=CL92,1,0)</f>
        <v>#N/A</v>
      </c>
      <c r="FY92" s="138" t="e">
        <f>IF(VLOOKUP(CONCATENATE(H92,F92,FY$2),GeoHis!$A:$H,7,FALSE)=CM92,1,0)</f>
        <v>#N/A</v>
      </c>
      <c r="FZ92" s="138" t="e">
        <f>IF(VLOOKUP(CONCATENATE(H92,F92,FZ$2),GeoHis!$A:$H,7,FALSE)=CN92,1,0)</f>
        <v>#N/A</v>
      </c>
      <c r="GA92" s="138" t="e">
        <f>IF(VLOOKUP(CONCATENATE(H92,F92,GA$2),GeoHis!$A:$H,7,FALSE)=CO92,1,0)</f>
        <v>#N/A</v>
      </c>
      <c r="GB92" s="138" t="e">
        <f>IF(VLOOKUP(CONCATENATE(H92,F92,GB$2),GeoHis!$A:$H,7,FALSE)=CP92,1,0)</f>
        <v>#N/A</v>
      </c>
      <c r="GC92" s="138" t="e">
        <f>IF(VLOOKUP(CONCATENATE(H92,F92,GC$2),GeoHis!$A:$H,7,FALSE)=CQ92,1,0)</f>
        <v>#N/A</v>
      </c>
      <c r="GD92" s="138" t="e">
        <f>IF(VLOOKUP(CONCATENATE(H92,F92,GD$2),GeoHis!$A:$H,7,FALSE)=CR92,1,0)</f>
        <v>#N/A</v>
      </c>
      <c r="GE92" s="135" t="str">
        <f t="shared" si="15"/>
        <v/>
      </c>
    </row>
    <row r="93" spans="1:187" x14ac:dyDescent="0.25">
      <c r="A93" s="127" t="str">
        <f>IF(C93="","",'Datos Generales'!$A$25)</f>
        <v/>
      </c>
      <c r="D93" s="126" t="str">
        <f t="shared" si="8"/>
        <v/>
      </c>
      <c r="E93" s="126">
        <f t="shared" si="9"/>
        <v>0</v>
      </c>
      <c r="F93" s="126" t="str">
        <f t="shared" si="10"/>
        <v/>
      </c>
      <c r="G93" s="126" t="str">
        <f>IF(C93="","",'Datos Generales'!$D$19)</f>
        <v/>
      </c>
      <c r="H93" s="21" t="str">
        <f>IF(C93="","",'Datos Generales'!$A$19)</f>
        <v/>
      </c>
      <c r="I93" s="126" t="str">
        <f>IF(C93="","",'Datos Generales'!$A$7)</f>
        <v/>
      </c>
      <c r="J93" s="21" t="str">
        <f>IF(C93="","",'Datos Generales'!$A$13)</f>
        <v/>
      </c>
      <c r="K93" s="21" t="str">
        <f>IF(C93="","",'Datos Generales'!$A$10)</f>
        <v/>
      </c>
      <c r="CS93" s="142" t="str">
        <f t="shared" si="11"/>
        <v/>
      </c>
      <c r="CT93" s="142" t="str">
        <f t="shared" si="12"/>
        <v/>
      </c>
      <c r="CU93" s="142" t="str">
        <f t="shared" si="13"/>
        <v/>
      </c>
      <c r="CV93" s="142" t="str">
        <f t="shared" si="14"/>
        <v/>
      </c>
      <c r="CW93" s="142" t="str">
        <f>IF(C93="","",IF('Datos Generales'!$A$19=1,AVERAGE(FP93:GD93),AVERAGE(Captura!FP93:FY93)))</f>
        <v/>
      </c>
      <c r="CX93" s="138" t="e">
        <f>IF(VLOOKUP(CONCATENATE($H$4,$F$4,CX$2),Español!$A:$H,7,FALSE)=L93,1,0)</f>
        <v>#N/A</v>
      </c>
      <c r="CY93" s="138" t="e">
        <f>IF(VLOOKUP(CONCATENATE(H93,F93,CY$2),Español!$A:$H,7,FALSE)=M93,1,0)</f>
        <v>#N/A</v>
      </c>
      <c r="CZ93" s="138" t="e">
        <f>IF(VLOOKUP(CONCATENATE(H93,F93,CZ$2),Español!$A:$H,7,FALSE)=N93,1,0)</f>
        <v>#N/A</v>
      </c>
      <c r="DA93" s="138" t="e">
        <f>IF(VLOOKUP(CONCATENATE(H93,F93,DA$2),Español!$A:$H,7,FALSE)=O93,1,0)</f>
        <v>#N/A</v>
      </c>
      <c r="DB93" s="138" t="e">
        <f>IF(VLOOKUP(CONCATENATE(H93,F93,DB$2),Español!$A:$H,7,FALSE)=P93,1,0)</f>
        <v>#N/A</v>
      </c>
      <c r="DC93" s="138" t="e">
        <f>IF(VLOOKUP(CONCATENATE(H93,F93,DC$2),Español!$A:$H,7,FALSE)=Q93,1,0)</f>
        <v>#N/A</v>
      </c>
      <c r="DD93" s="138" t="e">
        <f>IF(VLOOKUP(CONCATENATE(H93,F93,DD$2),Español!$A:$H,7,FALSE)=R93,1,0)</f>
        <v>#N/A</v>
      </c>
      <c r="DE93" s="138" t="e">
        <f>IF(VLOOKUP(CONCATENATE(H93,F93,DE$2),Español!$A:$H,7,FALSE)=S93,1,0)</f>
        <v>#N/A</v>
      </c>
      <c r="DF93" s="138" t="e">
        <f>IF(VLOOKUP(CONCATENATE(H93,F93,DF$2),Español!$A:$H,7,FALSE)=T93,1,0)</f>
        <v>#N/A</v>
      </c>
      <c r="DG93" s="138" t="e">
        <f>IF(VLOOKUP(CONCATENATE(H93,F93,DG$2),Español!$A:$H,7,FALSE)=U93,1,0)</f>
        <v>#N/A</v>
      </c>
      <c r="DH93" s="138" t="e">
        <f>IF(VLOOKUP(CONCATENATE(H93,F93,DH$2),Español!$A:$H,7,FALSE)=V93,1,0)</f>
        <v>#N/A</v>
      </c>
      <c r="DI93" s="138" t="e">
        <f>IF(VLOOKUP(CONCATENATE(H93,F93,DI$2),Español!$A:$H,7,FALSE)=W93,1,0)</f>
        <v>#N/A</v>
      </c>
      <c r="DJ93" s="138" t="e">
        <f>IF(VLOOKUP(CONCATENATE(H93,F93,DJ$2),Español!$A:$H,7,FALSE)=X93,1,0)</f>
        <v>#N/A</v>
      </c>
      <c r="DK93" s="138" t="e">
        <f>IF(VLOOKUP(CONCATENATE(H93,F93,DK$2),Español!$A:$H,7,FALSE)=Y93,1,0)</f>
        <v>#N/A</v>
      </c>
      <c r="DL93" s="138" t="e">
        <f>IF(VLOOKUP(CONCATENATE(H93,F93,DL$2),Español!$A:$H,7,FALSE)=Z93,1,0)</f>
        <v>#N/A</v>
      </c>
      <c r="DM93" s="138" t="e">
        <f>IF(VLOOKUP(CONCATENATE(H93,F93,DM$2),Español!$A:$H,7,FALSE)=AA93,1,0)</f>
        <v>#N/A</v>
      </c>
      <c r="DN93" s="138" t="e">
        <f>IF(VLOOKUP(CONCATENATE(H93,F93,DN$2),Español!$A:$H,7,FALSE)=AB93,1,0)</f>
        <v>#N/A</v>
      </c>
      <c r="DO93" s="138" t="e">
        <f>IF(VLOOKUP(CONCATENATE(H93,F93,DO$2),Español!$A:$H,7,FALSE)=AC93,1,0)</f>
        <v>#N/A</v>
      </c>
      <c r="DP93" s="138" t="e">
        <f>IF(VLOOKUP(CONCATENATE(H93,F93,DP$2),Español!$A:$H,7,FALSE)=AD93,1,0)</f>
        <v>#N/A</v>
      </c>
      <c r="DQ93" s="138" t="e">
        <f>IF(VLOOKUP(CONCATENATE(H93,F93,DQ$2),Español!$A:$H,7,FALSE)=AE93,1,0)</f>
        <v>#N/A</v>
      </c>
      <c r="DR93" s="138" t="e">
        <f>IF(VLOOKUP(CONCATENATE(H93,F93,DR$2),Inglés!$A:$H,7,FALSE)=AF93,1,0)</f>
        <v>#N/A</v>
      </c>
      <c r="DS93" s="138" t="e">
        <f>IF(VLOOKUP(CONCATENATE(H93,F93,DS$2),Inglés!$A:$H,7,FALSE)=AG93,1,0)</f>
        <v>#N/A</v>
      </c>
      <c r="DT93" s="138" t="e">
        <f>IF(VLOOKUP(CONCATENATE(H93,F93,DT$2),Inglés!$A:$H,7,FALSE)=AH93,1,0)</f>
        <v>#N/A</v>
      </c>
      <c r="DU93" s="138" t="e">
        <f>IF(VLOOKUP(CONCATENATE(H93,F93,DU$2),Inglés!$A:$H,7,FALSE)=AI93,1,0)</f>
        <v>#N/A</v>
      </c>
      <c r="DV93" s="138" t="e">
        <f>IF(VLOOKUP(CONCATENATE(H93,F93,DV$2),Inglés!$A:$H,7,FALSE)=AJ93,1,0)</f>
        <v>#N/A</v>
      </c>
      <c r="DW93" s="138" t="e">
        <f>IF(VLOOKUP(CONCATENATE(H93,F93,DW$2),Inglés!$A:$H,7,FALSE)=AK93,1,0)</f>
        <v>#N/A</v>
      </c>
      <c r="DX93" s="138" t="e">
        <f>IF(VLOOKUP(CONCATENATE(H93,F93,DX$2),Inglés!$A:$H,7,FALSE)=AL93,1,0)</f>
        <v>#N/A</v>
      </c>
      <c r="DY93" s="138" t="e">
        <f>IF(VLOOKUP(CONCATENATE(H93,F93,DY$2),Inglés!$A:$H,7,FALSE)=AM93,1,0)</f>
        <v>#N/A</v>
      </c>
      <c r="DZ93" s="138" t="e">
        <f>IF(VLOOKUP(CONCATENATE(H93,F93,DZ$2),Inglés!$A:$H,7,FALSE)=AN93,1,0)</f>
        <v>#N/A</v>
      </c>
      <c r="EA93" s="138" t="e">
        <f>IF(VLOOKUP(CONCATENATE(H93,F93,EA$2),Inglés!$A:$H,7,FALSE)=AO93,1,0)</f>
        <v>#N/A</v>
      </c>
      <c r="EB93" s="138" t="e">
        <f>IF(VLOOKUP(CONCATENATE(H93,F93,EB$2),Matemáticas!$A:$H,7,FALSE)=AP93,1,0)</f>
        <v>#N/A</v>
      </c>
      <c r="EC93" s="138" t="e">
        <f>IF(VLOOKUP(CONCATENATE(H93,F93,EC$2),Matemáticas!$A:$H,7,FALSE)=AQ93,1,0)</f>
        <v>#N/A</v>
      </c>
      <c r="ED93" s="138" t="e">
        <f>IF(VLOOKUP(CONCATENATE(H93,F93,ED$2),Matemáticas!$A:$H,7,FALSE)=AR93,1,0)</f>
        <v>#N/A</v>
      </c>
      <c r="EE93" s="138" t="e">
        <f>IF(VLOOKUP(CONCATENATE(H93,F93,EE$2),Matemáticas!$A:$H,7,FALSE)=AS93,1,0)</f>
        <v>#N/A</v>
      </c>
      <c r="EF93" s="138" t="e">
        <f>IF(VLOOKUP(CONCATENATE(H93,F93,EF$2),Matemáticas!$A:$H,7,FALSE)=AT93,1,0)</f>
        <v>#N/A</v>
      </c>
      <c r="EG93" s="138" t="e">
        <f>IF(VLOOKUP(CONCATENATE(H93,F93,EG$2),Matemáticas!$A:$H,7,FALSE)=AU93,1,0)</f>
        <v>#N/A</v>
      </c>
      <c r="EH93" s="138" t="e">
        <f>IF(VLOOKUP(CONCATENATE(H93,F93,EH$2),Matemáticas!$A:$H,7,FALSE)=AV93,1,0)</f>
        <v>#N/A</v>
      </c>
      <c r="EI93" s="138" t="e">
        <f>IF(VLOOKUP(CONCATENATE(H93,F93,EI$2),Matemáticas!$A:$H,7,FALSE)=AW93,1,0)</f>
        <v>#N/A</v>
      </c>
      <c r="EJ93" s="138" t="e">
        <f>IF(VLOOKUP(CONCATENATE(H93,F93,EJ$2),Matemáticas!$A:$H,7,FALSE)=AX93,1,0)</f>
        <v>#N/A</v>
      </c>
      <c r="EK93" s="138" t="e">
        <f>IF(VLOOKUP(CONCATENATE(H93,F93,EK$2),Matemáticas!$A:$H,7,FALSE)=AY93,1,0)</f>
        <v>#N/A</v>
      </c>
      <c r="EL93" s="138" t="e">
        <f>IF(VLOOKUP(CONCATENATE(H93,F93,EL$2),Matemáticas!$A:$H,7,FALSE)=AZ93,1,0)</f>
        <v>#N/A</v>
      </c>
      <c r="EM93" s="138" t="e">
        <f>IF(VLOOKUP(CONCATENATE(H93,F93,EM$2),Matemáticas!$A:$H,7,FALSE)=BA93,1,0)</f>
        <v>#N/A</v>
      </c>
      <c r="EN93" s="138" t="e">
        <f>IF(VLOOKUP(CONCATENATE(H93,F93,EN$2),Matemáticas!$A:$H,7,FALSE)=BB93,1,0)</f>
        <v>#N/A</v>
      </c>
      <c r="EO93" s="138" t="e">
        <f>IF(VLOOKUP(CONCATENATE(H93,F93,EO$2),Matemáticas!$A:$H,7,FALSE)=BC93,1,0)</f>
        <v>#N/A</v>
      </c>
      <c r="EP93" s="138" t="e">
        <f>IF(VLOOKUP(CONCATENATE(H93,F93,EP$2),Matemáticas!$A:$H,7,FALSE)=BD93,1,0)</f>
        <v>#N/A</v>
      </c>
      <c r="EQ93" s="138" t="e">
        <f>IF(VLOOKUP(CONCATENATE(H93,F93,EQ$2),Matemáticas!$A:$H,7,FALSE)=BE93,1,0)</f>
        <v>#N/A</v>
      </c>
      <c r="ER93" s="138" t="e">
        <f>IF(VLOOKUP(CONCATENATE(H93,F93,ER$2),Matemáticas!$A:$H,7,FALSE)=BF93,1,0)</f>
        <v>#N/A</v>
      </c>
      <c r="ES93" s="138" t="e">
        <f>IF(VLOOKUP(CONCATENATE(H93,F93,ES$2),Matemáticas!$A:$H,7,FALSE)=BG93,1,0)</f>
        <v>#N/A</v>
      </c>
      <c r="ET93" s="138" t="e">
        <f>IF(VLOOKUP(CONCATENATE(H93,F93,ET$2),Matemáticas!$A:$H,7,FALSE)=BH93,1,0)</f>
        <v>#N/A</v>
      </c>
      <c r="EU93" s="138" t="e">
        <f>IF(VLOOKUP(CONCATENATE(H93,F93,EU$2),Matemáticas!$A:$H,7,FALSE)=BI93,1,0)</f>
        <v>#N/A</v>
      </c>
      <c r="EV93" s="138" t="e">
        <f>IF(VLOOKUP(CONCATENATE(H93,F93,EV$2),Ciencias!$A:$H,7,FALSE)=BJ93,1,0)</f>
        <v>#N/A</v>
      </c>
      <c r="EW93" s="138" t="e">
        <f>IF(VLOOKUP(CONCATENATE(H93,F93,EW$2),Ciencias!$A:$H,7,FALSE)=BK93,1,0)</f>
        <v>#N/A</v>
      </c>
      <c r="EX93" s="138" t="e">
        <f>IF(VLOOKUP(CONCATENATE(H93,F93,EX$2),Ciencias!$A:$H,7,FALSE)=BL93,1,0)</f>
        <v>#N/A</v>
      </c>
      <c r="EY93" s="138" t="e">
        <f>IF(VLOOKUP(CONCATENATE(H93,F93,EY$2),Ciencias!$A:$H,7,FALSE)=BM93,1,0)</f>
        <v>#N/A</v>
      </c>
      <c r="EZ93" s="138" t="e">
        <f>IF(VLOOKUP(CONCATENATE(H93,F93,EZ$2),Ciencias!$A:$H,7,FALSE)=BN93,1,0)</f>
        <v>#N/A</v>
      </c>
      <c r="FA93" s="138" t="e">
        <f>IF(VLOOKUP(CONCATENATE(H93,F93,FA$2),Ciencias!$A:$H,7,FALSE)=BO93,1,0)</f>
        <v>#N/A</v>
      </c>
      <c r="FB93" s="138" t="e">
        <f>IF(VLOOKUP(CONCATENATE(H93,F93,FB$2),Ciencias!$A:$H,7,FALSE)=BP93,1,0)</f>
        <v>#N/A</v>
      </c>
      <c r="FC93" s="138" t="e">
        <f>IF(VLOOKUP(CONCATENATE(H93,F93,FC$2),Ciencias!$A:$H,7,FALSE)=BQ93,1,0)</f>
        <v>#N/A</v>
      </c>
      <c r="FD93" s="138" t="e">
        <f>IF(VLOOKUP(CONCATENATE(H93,F93,FD$2),Ciencias!$A:$H,7,FALSE)=BR93,1,0)</f>
        <v>#N/A</v>
      </c>
      <c r="FE93" s="138" t="e">
        <f>IF(VLOOKUP(CONCATENATE(H93,F93,FE$2),Ciencias!$A:$H,7,FALSE)=BS93,1,0)</f>
        <v>#N/A</v>
      </c>
      <c r="FF93" s="138" t="e">
        <f>IF(VLOOKUP(CONCATENATE(H93,F93,FF$2),Ciencias!$A:$H,7,FALSE)=BT93,1,0)</f>
        <v>#N/A</v>
      </c>
      <c r="FG93" s="138" t="e">
        <f>IF(VLOOKUP(CONCATENATE(H93,F93,FG$2),Ciencias!$A:$H,7,FALSE)=BU93,1,0)</f>
        <v>#N/A</v>
      </c>
      <c r="FH93" s="138" t="e">
        <f>IF(VLOOKUP(CONCATENATE(H93,F93,FH$2),Ciencias!$A:$H,7,FALSE)=BV93,1,0)</f>
        <v>#N/A</v>
      </c>
      <c r="FI93" s="138" t="e">
        <f>IF(VLOOKUP(CONCATENATE(H93,F93,FI$2),Ciencias!$A:$H,7,FALSE)=BW93,1,0)</f>
        <v>#N/A</v>
      </c>
      <c r="FJ93" s="138" t="e">
        <f>IF(VLOOKUP(CONCATENATE(H93,F93,FJ$2),Ciencias!$A:$H,7,FALSE)=BX93,1,0)</f>
        <v>#N/A</v>
      </c>
      <c r="FK93" s="138" t="e">
        <f>IF(VLOOKUP(CONCATENATE(H93,F93,FK$2),Ciencias!$A:$H,7,FALSE)=BY93,1,0)</f>
        <v>#N/A</v>
      </c>
      <c r="FL93" s="138" t="e">
        <f>IF(VLOOKUP(CONCATENATE(H93,F93,FL$2),Ciencias!$A:$H,7,FALSE)=BZ93,1,0)</f>
        <v>#N/A</v>
      </c>
      <c r="FM93" s="138" t="e">
        <f>IF(VLOOKUP(CONCATENATE(H93,F93,FM$2),Ciencias!$A:$H,7,FALSE)=CA93,1,0)</f>
        <v>#N/A</v>
      </c>
      <c r="FN93" s="138" t="e">
        <f>IF(VLOOKUP(CONCATENATE(H93,F93,FN$2),Ciencias!$A:$H,7,FALSE)=CB93,1,0)</f>
        <v>#N/A</v>
      </c>
      <c r="FO93" s="138" t="e">
        <f>IF(VLOOKUP(CONCATENATE(H93,F93,FO$2),Ciencias!$A:$H,7,FALSE)=CC93,1,0)</f>
        <v>#N/A</v>
      </c>
      <c r="FP93" s="138" t="e">
        <f>IF(VLOOKUP(CONCATENATE(H93,F93,FP$2),GeoHis!$A:$H,7,FALSE)=CD93,1,0)</f>
        <v>#N/A</v>
      </c>
      <c r="FQ93" s="138" t="e">
        <f>IF(VLOOKUP(CONCATENATE(H93,F93,FQ$2),GeoHis!$A:$H,7,FALSE)=CE93,1,0)</f>
        <v>#N/A</v>
      </c>
      <c r="FR93" s="138" t="e">
        <f>IF(VLOOKUP(CONCATENATE(H93,F93,FR$2),GeoHis!$A:$H,7,FALSE)=CF93,1,0)</f>
        <v>#N/A</v>
      </c>
      <c r="FS93" s="138" t="e">
        <f>IF(VLOOKUP(CONCATENATE(H93,F93,FS$2),GeoHis!$A:$H,7,FALSE)=CG93,1,0)</f>
        <v>#N/A</v>
      </c>
      <c r="FT93" s="138" t="e">
        <f>IF(VLOOKUP(CONCATENATE(H93,F93,FT$2),GeoHis!$A:$H,7,FALSE)=CH93,1,0)</f>
        <v>#N/A</v>
      </c>
      <c r="FU93" s="138" t="e">
        <f>IF(VLOOKUP(CONCATENATE(H93,F93,FU$2),GeoHis!$A:$H,7,FALSE)=CI93,1,0)</f>
        <v>#N/A</v>
      </c>
      <c r="FV93" s="138" t="e">
        <f>IF(VLOOKUP(CONCATENATE(H93,F93,FV$2),GeoHis!$A:$H,7,FALSE)=CJ93,1,0)</f>
        <v>#N/A</v>
      </c>
      <c r="FW93" s="138" t="e">
        <f>IF(VLOOKUP(CONCATENATE(H93,F93,FW$2),GeoHis!$A:$H,7,FALSE)=CK93,1,0)</f>
        <v>#N/A</v>
      </c>
      <c r="FX93" s="138" t="e">
        <f>IF(VLOOKUP(CONCATENATE(H93,F93,FX$2),GeoHis!$A:$H,7,FALSE)=CL93,1,0)</f>
        <v>#N/A</v>
      </c>
      <c r="FY93" s="138" t="e">
        <f>IF(VLOOKUP(CONCATENATE(H93,F93,FY$2),GeoHis!$A:$H,7,FALSE)=CM93,1,0)</f>
        <v>#N/A</v>
      </c>
      <c r="FZ93" s="138" t="e">
        <f>IF(VLOOKUP(CONCATENATE(H93,F93,FZ$2),GeoHis!$A:$H,7,FALSE)=CN93,1,0)</f>
        <v>#N/A</v>
      </c>
      <c r="GA93" s="138" t="e">
        <f>IF(VLOOKUP(CONCATENATE(H93,F93,GA$2),GeoHis!$A:$H,7,FALSE)=CO93,1,0)</f>
        <v>#N/A</v>
      </c>
      <c r="GB93" s="138" t="e">
        <f>IF(VLOOKUP(CONCATENATE(H93,F93,GB$2),GeoHis!$A:$H,7,FALSE)=CP93,1,0)</f>
        <v>#N/A</v>
      </c>
      <c r="GC93" s="138" t="e">
        <f>IF(VLOOKUP(CONCATENATE(H93,F93,GC$2),GeoHis!$A:$H,7,FALSE)=CQ93,1,0)</f>
        <v>#N/A</v>
      </c>
      <c r="GD93" s="138" t="e">
        <f>IF(VLOOKUP(CONCATENATE(H93,F93,GD$2),GeoHis!$A:$H,7,FALSE)=CR93,1,0)</f>
        <v>#N/A</v>
      </c>
      <c r="GE93" s="135" t="str">
        <f t="shared" si="15"/>
        <v/>
      </c>
    </row>
    <row r="94" spans="1:187" x14ac:dyDescent="0.25">
      <c r="A94" s="127" t="str">
        <f>IF(C94="","",'Datos Generales'!$A$25)</f>
        <v/>
      </c>
      <c r="D94" s="126" t="str">
        <f t="shared" si="8"/>
        <v/>
      </c>
      <c r="E94" s="126">
        <f t="shared" si="9"/>
        <v>0</v>
      </c>
      <c r="F94" s="126" t="str">
        <f t="shared" si="10"/>
        <v/>
      </c>
      <c r="G94" s="126" t="str">
        <f>IF(C94="","",'Datos Generales'!$D$19)</f>
        <v/>
      </c>
      <c r="H94" s="21" t="str">
        <f>IF(C94="","",'Datos Generales'!$A$19)</f>
        <v/>
      </c>
      <c r="I94" s="126" t="str">
        <f>IF(C94="","",'Datos Generales'!$A$7)</f>
        <v/>
      </c>
      <c r="J94" s="21" t="str">
        <f>IF(C94="","",'Datos Generales'!$A$13)</f>
        <v/>
      </c>
      <c r="K94" s="21" t="str">
        <f>IF(C94="","",'Datos Generales'!$A$10)</f>
        <v/>
      </c>
      <c r="CS94" s="142" t="str">
        <f t="shared" si="11"/>
        <v/>
      </c>
      <c r="CT94" s="142" t="str">
        <f t="shared" si="12"/>
        <v/>
      </c>
      <c r="CU94" s="142" t="str">
        <f t="shared" si="13"/>
        <v/>
      </c>
      <c r="CV94" s="142" t="str">
        <f t="shared" si="14"/>
        <v/>
      </c>
      <c r="CW94" s="142" t="str">
        <f>IF(C94="","",IF('Datos Generales'!$A$19=1,AVERAGE(FP94:GD94),AVERAGE(Captura!FP94:FY94)))</f>
        <v/>
      </c>
      <c r="CX94" s="138" t="e">
        <f>IF(VLOOKUP(CONCATENATE($H$4,$F$4,CX$2),Español!$A:$H,7,FALSE)=L94,1,0)</f>
        <v>#N/A</v>
      </c>
      <c r="CY94" s="138" t="e">
        <f>IF(VLOOKUP(CONCATENATE(H94,F94,CY$2),Español!$A:$H,7,FALSE)=M94,1,0)</f>
        <v>#N/A</v>
      </c>
      <c r="CZ94" s="138" t="e">
        <f>IF(VLOOKUP(CONCATENATE(H94,F94,CZ$2),Español!$A:$H,7,FALSE)=N94,1,0)</f>
        <v>#N/A</v>
      </c>
      <c r="DA94" s="138" t="e">
        <f>IF(VLOOKUP(CONCATENATE(H94,F94,DA$2),Español!$A:$H,7,FALSE)=O94,1,0)</f>
        <v>#N/A</v>
      </c>
      <c r="DB94" s="138" t="e">
        <f>IF(VLOOKUP(CONCATENATE(H94,F94,DB$2),Español!$A:$H,7,FALSE)=P94,1,0)</f>
        <v>#N/A</v>
      </c>
      <c r="DC94" s="138" t="e">
        <f>IF(VLOOKUP(CONCATENATE(H94,F94,DC$2),Español!$A:$H,7,FALSE)=Q94,1,0)</f>
        <v>#N/A</v>
      </c>
      <c r="DD94" s="138" t="e">
        <f>IF(VLOOKUP(CONCATENATE(H94,F94,DD$2),Español!$A:$H,7,FALSE)=R94,1,0)</f>
        <v>#N/A</v>
      </c>
      <c r="DE94" s="138" t="e">
        <f>IF(VLOOKUP(CONCATENATE(H94,F94,DE$2),Español!$A:$H,7,FALSE)=S94,1,0)</f>
        <v>#N/A</v>
      </c>
      <c r="DF94" s="138" t="e">
        <f>IF(VLOOKUP(CONCATENATE(H94,F94,DF$2),Español!$A:$H,7,FALSE)=T94,1,0)</f>
        <v>#N/A</v>
      </c>
      <c r="DG94" s="138" t="e">
        <f>IF(VLOOKUP(CONCATENATE(H94,F94,DG$2),Español!$A:$H,7,FALSE)=U94,1,0)</f>
        <v>#N/A</v>
      </c>
      <c r="DH94" s="138" t="e">
        <f>IF(VLOOKUP(CONCATENATE(H94,F94,DH$2),Español!$A:$H,7,FALSE)=V94,1,0)</f>
        <v>#N/A</v>
      </c>
      <c r="DI94" s="138" t="e">
        <f>IF(VLOOKUP(CONCATENATE(H94,F94,DI$2),Español!$A:$H,7,FALSE)=W94,1,0)</f>
        <v>#N/A</v>
      </c>
      <c r="DJ94" s="138" t="e">
        <f>IF(VLOOKUP(CONCATENATE(H94,F94,DJ$2),Español!$A:$H,7,FALSE)=X94,1,0)</f>
        <v>#N/A</v>
      </c>
      <c r="DK94" s="138" t="e">
        <f>IF(VLOOKUP(CONCATENATE(H94,F94,DK$2),Español!$A:$H,7,FALSE)=Y94,1,0)</f>
        <v>#N/A</v>
      </c>
      <c r="DL94" s="138" t="e">
        <f>IF(VLOOKUP(CONCATENATE(H94,F94,DL$2),Español!$A:$H,7,FALSE)=Z94,1,0)</f>
        <v>#N/A</v>
      </c>
      <c r="DM94" s="138" t="e">
        <f>IF(VLOOKUP(CONCATENATE(H94,F94,DM$2),Español!$A:$H,7,FALSE)=AA94,1,0)</f>
        <v>#N/A</v>
      </c>
      <c r="DN94" s="138" t="e">
        <f>IF(VLOOKUP(CONCATENATE(H94,F94,DN$2),Español!$A:$H,7,FALSE)=AB94,1,0)</f>
        <v>#N/A</v>
      </c>
      <c r="DO94" s="138" t="e">
        <f>IF(VLOOKUP(CONCATENATE(H94,F94,DO$2),Español!$A:$H,7,FALSE)=AC94,1,0)</f>
        <v>#N/A</v>
      </c>
      <c r="DP94" s="138" t="e">
        <f>IF(VLOOKUP(CONCATENATE(H94,F94,DP$2),Español!$A:$H,7,FALSE)=AD94,1,0)</f>
        <v>#N/A</v>
      </c>
      <c r="DQ94" s="138" t="e">
        <f>IF(VLOOKUP(CONCATENATE(H94,F94,DQ$2),Español!$A:$H,7,FALSE)=AE94,1,0)</f>
        <v>#N/A</v>
      </c>
      <c r="DR94" s="138" t="e">
        <f>IF(VLOOKUP(CONCATENATE(H94,F94,DR$2),Inglés!$A:$H,7,FALSE)=AF94,1,0)</f>
        <v>#N/A</v>
      </c>
      <c r="DS94" s="138" t="e">
        <f>IF(VLOOKUP(CONCATENATE(H94,F94,DS$2),Inglés!$A:$H,7,FALSE)=AG94,1,0)</f>
        <v>#N/A</v>
      </c>
      <c r="DT94" s="138" t="e">
        <f>IF(VLOOKUP(CONCATENATE(H94,F94,DT$2),Inglés!$A:$H,7,FALSE)=AH94,1,0)</f>
        <v>#N/A</v>
      </c>
      <c r="DU94" s="138" t="e">
        <f>IF(VLOOKUP(CONCATENATE(H94,F94,DU$2),Inglés!$A:$H,7,FALSE)=AI94,1,0)</f>
        <v>#N/A</v>
      </c>
      <c r="DV94" s="138" t="e">
        <f>IF(VLOOKUP(CONCATENATE(H94,F94,DV$2),Inglés!$A:$H,7,FALSE)=AJ94,1,0)</f>
        <v>#N/A</v>
      </c>
      <c r="DW94" s="138" t="e">
        <f>IF(VLOOKUP(CONCATENATE(H94,F94,DW$2),Inglés!$A:$H,7,FALSE)=AK94,1,0)</f>
        <v>#N/A</v>
      </c>
      <c r="DX94" s="138" t="e">
        <f>IF(VLOOKUP(CONCATENATE(H94,F94,DX$2),Inglés!$A:$H,7,FALSE)=AL94,1,0)</f>
        <v>#N/A</v>
      </c>
      <c r="DY94" s="138" t="e">
        <f>IF(VLOOKUP(CONCATENATE(H94,F94,DY$2),Inglés!$A:$H,7,FALSE)=AM94,1,0)</f>
        <v>#N/A</v>
      </c>
      <c r="DZ94" s="138" t="e">
        <f>IF(VLOOKUP(CONCATENATE(H94,F94,DZ$2),Inglés!$A:$H,7,FALSE)=AN94,1,0)</f>
        <v>#N/A</v>
      </c>
      <c r="EA94" s="138" t="e">
        <f>IF(VLOOKUP(CONCATENATE(H94,F94,EA$2),Inglés!$A:$H,7,FALSE)=AO94,1,0)</f>
        <v>#N/A</v>
      </c>
      <c r="EB94" s="138" t="e">
        <f>IF(VLOOKUP(CONCATENATE(H94,F94,EB$2),Matemáticas!$A:$H,7,FALSE)=AP94,1,0)</f>
        <v>#N/A</v>
      </c>
      <c r="EC94" s="138" t="e">
        <f>IF(VLOOKUP(CONCATENATE(H94,F94,EC$2),Matemáticas!$A:$H,7,FALSE)=AQ94,1,0)</f>
        <v>#N/A</v>
      </c>
      <c r="ED94" s="138" t="e">
        <f>IF(VLOOKUP(CONCATENATE(H94,F94,ED$2),Matemáticas!$A:$H,7,FALSE)=AR94,1,0)</f>
        <v>#N/A</v>
      </c>
      <c r="EE94" s="138" t="e">
        <f>IF(VLOOKUP(CONCATENATE(H94,F94,EE$2),Matemáticas!$A:$H,7,FALSE)=AS94,1,0)</f>
        <v>#N/A</v>
      </c>
      <c r="EF94" s="138" t="e">
        <f>IF(VLOOKUP(CONCATENATE(H94,F94,EF$2),Matemáticas!$A:$H,7,FALSE)=AT94,1,0)</f>
        <v>#N/A</v>
      </c>
      <c r="EG94" s="138" t="e">
        <f>IF(VLOOKUP(CONCATENATE(H94,F94,EG$2),Matemáticas!$A:$H,7,FALSE)=AU94,1,0)</f>
        <v>#N/A</v>
      </c>
      <c r="EH94" s="138" t="e">
        <f>IF(VLOOKUP(CONCATENATE(H94,F94,EH$2),Matemáticas!$A:$H,7,FALSE)=AV94,1,0)</f>
        <v>#N/A</v>
      </c>
      <c r="EI94" s="138" t="e">
        <f>IF(VLOOKUP(CONCATENATE(H94,F94,EI$2),Matemáticas!$A:$H,7,FALSE)=AW94,1,0)</f>
        <v>#N/A</v>
      </c>
      <c r="EJ94" s="138" t="e">
        <f>IF(VLOOKUP(CONCATENATE(H94,F94,EJ$2),Matemáticas!$A:$H,7,FALSE)=AX94,1,0)</f>
        <v>#N/A</v>
      </c>
      <c r="EK94" s="138" t="e">
        <f>IF(VLOOKUP(CONCATENATE(H94,F94,EK$2),Matemáticas!$A:$H,7,FALSE)=AY94,1,0)</f>
        <v>#N/A</v>
      </c>
      <c r="EL94" s="138" t="e">
        <f>IF(VLOOKUP(CONCATENATE(H94,F94,EL$2),Matemáticas!$A:$H,7,FALSE)=AZ94,1,0)</f>
        <v>#N/A</v>
      </c>
      <c r="EM94" s="138" t="e">
        <f>IF(VLOOKUP(CONCATENATE(H94,F94,EM$2),Matemáticas!$A:$H,7,FALSE)=BA94,1,0)</f>
        <v>#N/A</v>
      </c>
      <c r="EN94" s="138" t="e">
        <f>IF(VLOOKUP(CONCATENATE(H94,F94,EN$2),Matemáticas!$A:$H,7,FALSE)=BB94,1,0)</f>
        <v>#N/A</v>
      </c>
      <c r="EO94" s="138" t="e">
        <f>IF(VLOOKUP(CONCATENATE(H94,F94,EO$2),Matemáticas!$A:$H,7,FALSE)=BC94,1,0)</f>
        <v>#N/A</v>
      </c>
      <c r="EP94" s="138" t="e">
        <f>IF(VLOOKUP(CONCATENATE(H94,F94,EP$2),Matemáticas!$A:$H,7,FALSE)=BD94,1,0)</f>
        <v>#N/A</v>
      </c>
      <c r="EQ94" s="138" t="e">
        <f>IF(VLOOKUP(CONCATENATE(H94,F94,EQ$2),Matemáticas!$A:$H,7,FALSE)=BE94,1,0)</f>
        <v>#N/A</v>
      </c>
      <c r="ER94" s="138" t="e">
        <f>IF(VLOOKUP(CONCATENATE(H94,F94,ER$2),Matemáticas!$A:$H,7,FALSE)=BF94,1,0)</f>
        <v>#N/A</v>
      </c>
      <c r="ES94" s="138" t="e">
        <f>IF(VLOOKUP(CONCATENATE(H94,F94,ES$2),Matemáticas!$A:$H,7,FALSE)=BG94,1,0)</f>
        <v>#N/A</v>
      </c>
      <c r="ET94" s="138" t="e">
        <f>IF(VLOOKUP(CONCATENATE(H94,F94,ET$2),Matemáticas!$A:$H,7,FALSE)=BH94,1,0)</f>
        <v>#N/A</v>
      </c>
      <c r="EU94" s="138" t="e">
        <f>IF(VLOOKUP(CONCATENATE(H94,F94,EU$2),Matemáticas!$A:$H,7,FALSE)=BI94,1,0)</f>
        <v>#N/A</v>
      </c>
      <c r="EV94" s="138" t="e">
        <f>IF(VLOOKUP(CONCATENATE(H94,F94,EV$2),Ciencias!$A:$H,7,FALSE)=BJ94,1,0)</f>
        <v>#N/A</v>
      </c>
      <c r="EW94" s="138" t="e">
        <f>IF(VLOOKUP(CONCATENATE(H94,F94,EW$2),Ciencias!$A:$H,7,FALSE)=BK94,1,0)</f>
        <v>#N/A</v>
      </c>
      <c r="EX94" s="138" t="e">
        <f>IF(VLOOKUP(CONCATENATE(H94,F94,EX$2),Ciencias!$A:$H,7,FALSE)=BL94,1,0)</f>
        <v>#N/A</v>
      </c>
      <c r="EY94" s="138" t="e">
        <f>IF(VLOOKUP(CONCATENATE(H94,F94,EY$2),Ciencias!$A:$H,7,FALSE)=BM94,1,0)</f>
        <v>#N/A</v>
      </c>
      <c r="EZ94" s="138" t="e">
        <f>IF(VLOOKUP(CONCATENATE(H94,F94,EZ$2),Ciencias!$A:$H,7,FALSE)=BN94,1,0)</f>
        <v>#N/A</v>
      </c>
      <c r="FA94" s="138" t="e">
        <f>IF(VLOOKUP(CONCATENATE(H94,F94,FA$2),Ciencias!$A:$H,7,FALSE)=BO94,1,0)</f>
        <v>#N/A</v>
      </c>
      <c r="FB94" s="138" t="e">
        <f>IF(VLOOKUP(CONCATENATE(H94,F94,FB$2),Ciencias!$A:$H,7,FALSE)=BP94,1,0)</f>
        <v>#N/A</v>
      </c>
      <c r="FC94" s="138" t="e">
        <f>IF(VLOOKUP(CONCATENATE(H94,F94,FC$2),Ciencias!$A:$H,7,FALSE)=BQ94,1,0)</f>
        <v>#N/A</v>
      </c>
      <c r="FD94" s="138" t="e">
        <f>IF(VLOOKUP(CONCATENATE(H94,F94,FD$2),Ciencias!$A:$H,7,FALSE)=BR94,1,0)</f>
        <v>#N/A</v>
      </c>
      <c r="FE94" s="138" t="e">
        <f>IF(VLOOKUP(CONCATENATE(H94,F94,FE$2),Ciencias!$A:$H,7,FALSE)=BS94,1,0)</f>
        <v>#N/A</v>
      </c>
      <c r="FF94" s="138" t="e">
        <f>IF(VLOOKUP(CONCATENATE(H94,F94,FF$2),Ciencias!$A:$H,7,FALSE)=BT94,1,0)</f>
        <v>#N/A</v>
      </c>
      <c r="FG94" s="138" t="e">
        <f>IF(VLOOKUP(CONCATENATE(H94,F94,FG$2),Ciencias!$A:$H,7,FALSE)=BU94,1,0)</f>
        <v>#N/A</v>
      </c>
      <c r="FH94" s="138" t="e">
        <f>IF(VLOOKUP(CONCATENATE(H94,F94,FH$2),Ciencias!$A:$H,7,FALSE)=BV94,1,0)</f>
        <v>#N/A</v>
      </c>
      <c r="FI94" s="138" t="e">
        <f>IF(VLOOKUP(CONCATENATE(H94,F94,FI$2),Ciencias!$A:$H,7,FALSE)=BW94,1,0)</f>
        <v>#N/A</v>
      </c>
      <c r="FJ94" s="138" t="e">
        <f>IF(VLOOKUP(CONCATENATE(H94,F94,FJ$2),Ciencias!$A:$H,7,FALSE)=BX94,1,0)</f>
        <v>#N/A</v>
      </c>
      <c r="FK94" s="138" t="e">
        <f>IF(VLOOKUP(CONCATENATE(H94,F94,FK$2),Ciencias!$A:$H,7,FALSE)=BY94,1,0)</f>
        <v>#N/A</v>
      </c>
      <c r="FL94" s="138" t="e">
        <f>IF(VLOOKUP(CONCATENATE(H94,F94,FL$2),Ciencias!$A:$H,7,FALSE)=BZ94,1,0)</f>
        <v>#N/A</v>
      </c>
      <c r="FM94" s="138" t="e">
        <f>IF(VLOOKUP(CONCATENATE(H94,F94,FM$2),Ciencias!$A:$H,7,FALSE)=CA94,1,0)</f>
        <v>#N/A</v>
      </c>
      <c r="FN94" s="138" t="e">
        <f>IF(VLOOKUP(CONCATENATE(H94,F94,FN$2),Ciencias!$A:$H,7,FALSE)=CB94,1,0)</f>
        <v>#N/A</v>
      </c>
      <c r="FO94" s="138" t="e">
        <f>IF(VLOOKUP(CONCATENATE(H94,F94,FO$2),Ciencias!$A:$H,7,FALSE)=CC94,1,0)</f>
        <v>#N/A</v>
      </c>
      <c r="FP94" s="138" t="e">
        <f>IF(VLOOKUP(CONCATENATE(H94,F94,FP$2),GeoHis!$A:$H,7,FALSE)=CD94,1,0)</f>
        <v>#N/A</v>
      </c>
      <c r="FQ94" s="138" t="e">
        <f>IF(VLOOKUP(CONCATENATE(H94,F94,FQ$2),GeoHis!$A:$H,7,FALSE)=CE94,1,0)</f>
        <v>#N/A</v>
      </c>
      <c r="FR94" s="138" t="e">
        <f>IF(VLOOKUP(CONCATENATE(H94,F94,FR$2),GeoHis!$A:$H,7,FALSE)=CF94,1,0)</f>
        <v>#N/A</v>
      </c>
      <c r="FS94" s="138" t="e">
        <f>IF(VLOOKUP(CONCATENATE(H94,F94,FS$2),GeoHis!$A:$H,7,FALSE)=CG94,1,0)</f>
        <v>#N/A</v>
      </c>
      <c r="FT94" s="138" t="e">
        <f>IF(VLOOKUP(CONCATENATE(H94,F94,FT$2),GeoHis!$A:$H,7,FALSE)=CH94,1,0)</f>
        <v>#N/A</v>
      </c>
      <c r="FU94" s="138" t="e">
        <f>IF(VLOOKUP(CONCATENATE(H94,F94,FU$2),GeoHis!$A:$H,7,FALSE)=CI94,1,0)</f>
        <v>#N/A</v>
      </c>
      <c r="FV94" s="138" t="e">
        <f>IF(VLOOKUP(CONCATENATE(H94,F94,FV$2),GeoHis!$A:$H,7,FALSE)=CJ94,1,0)</f>
        <v>#N/A</v>
      </c>
      <c r="FW94" s="138" t="e">
        <f>IF(VLOOKUP(CONCATENATE(H94,F94,FW$2),GeoHis!$A:$H,7,FALSE)=CK94,1,0)</f>
        <v>#N/A</v>
      </c>
      <c r="FX94" s="138" t="e">
        <f>IF(VLOOKUP(CONCATENATE(H94,F94,FX$2),GeoHis!$A:$H,7,FALSE)=CL94,1,0)</f>
        <v>#N/A</v>
      </c>
      <c r="FY94" s="138" t="e">
        <f>IF(VLOOKUP(CONCATENATE(H94,F94,FY$2),GeoHis!$A:$H,7,FALSE)=CM94,1,0)</f>
        <v>#N/A</v>
      </c>
      <c r="FZ94" s="138" t="e">
        <f>IF(VLOOKUP(CONCATENATE(H94,F94,FZ$2),GeoHis!$A:$H,7,FALSE)=CN94,1,0)</f>
        <v>#N/A</v>
      </c>
      <c r="GA94" s="138" t="e">
        <f>IF(VLOOKUP(CONCATENATE(H94,F94,GA$2),GeoHis!$A:$H,7,FALSE)=CO94,1,0)</f>
        <v>#N/A</v>
      </c>
      <c r="GB94" s="138" t="e">
        <f>IF(VLOOKUP(CONCATENATE(H94,F94,GB$2),GeoHis!$A:$H,7,FALSE)=CP94,1,0)</f>
        <v>#N/A</v>
      </c>
      <c r="GC94" s="138" t="e">
        <f>IF(VLOOKUP(CONCATENATE(H94,F94,GC$2),GeoHis!$A:$H,7,FALSE)=CQ94,1,0)</f>
        <v>#N/A</v>
      </c>
      <c r="GD94" s="138" t="e">
        <f>IF(VLOOKUP(CONCATENATE(H94,F94,GD$2),GeoHis!$A:$H,7,FALSE)=CR94,1,0)</f>
        <v>#N/A</v>
      </c>
      <c r="GE94" s="135" t="str">
        <f t="shared" si="15"/>
        <v/>
      </c>
    </row>
    <row r="95" spans="1:187" x14ac:dyDescent="0.25">
      <c r="A95" s="127" t="str">
        <f>IF(C95="","",'Datos Generales'!$A$25)</f>
        <v/>
      </c>
      <c r="D95" s="126" t="str">
        <f t="shared" si="8"/>
        <v/>
      </c>
      <c r="E95" s="126">
        <f t="shared" si="9"/>
        <v>0</v>
      </c>
      <c r="F95" s="126" t="str">
        <f t="shared" si="10"/>
        <v/>
      </c>
      <c r="G95" s="126" t="str">
        <f>IF(C95="","",'Datos Generales'!$D$19)</f>
        <v/>
      </c>
      <c r="H95" s="21" t="str">
        <f>IF(C95="","",'Datos Generales'!$A$19)</f>
        <v/>
      </c>
      <c r="I95" s="126" t="str">
        <f>IF(C95="","",'Datos Generales'!$A$7)</f>
        <v/>
      </c>
      <c r="J95" s="21" t="str">
        <f>IF(C95="","",'Datos Generales'!$A$13)</f>
        <v/>
      </c>
      <c r="K95" s="21" t="str">
        <f>IF(C95="","",'Datos Generales'!$A$10)</f>
        <v/>
      </c>
      <c r="CS95" s="142" t="str">
        <f t="shared" si="11"/>
        <v/>
      </c>
      <c r="CT95" s="142" t="str">
        <f t="shared" si="12"/>
        <v/>
      </c>
      <c r="CU95" s="142" t="str">
        <f t="shared" si="13"/>
        <v/>
      </c>
      <c r="CV95" s="142" t="str">
        <f t="shared" si="14"/>
        <v/>
      </c>
      <c r="CW95" s="142" t="str">
        <f>IF(C95="","",IF('Datos Generales'!$A$19=1,AVERAGE(FP95:GD95),AVERAGE(Captura!FP95:FY95)))</f>
        <v/>
      </c>
      <c r="CX95" s="138" t="e">
        <f>IF(VLOOKUP(CONCATENATE($H$4,$F$4,CX$2),Español!$A:$H,7,FALSE)=L95,1,0)</f>
        <v>#N/A</v>
      </c>
      <c r="CY95" s="138" t="e">
        <f>IF(VLOOKUP(CONCATENATE(H95,F95,CY$2),Español!$A:$H,7,FALSE)=M95,1,0)</f>
        <v>#N/A</v>
      </c>
      <c r="CZ95" s="138" t="e">
        <f>IF(VLOOKUP(CONCATENATE(H95,F95,CZ$2),Español!$A:$H,7,FALSE)=N95,1,0)</f>
        <v>#N/A</v>
      </c>
      <c r="DA95" s="138" t="e">
        <f>IF(VLOOKUP(CONCATENATE(H95,F95,DA$2),Español!$A:$H,7,FALSE)=O95,1,0)</f>
        <v>#N/A</v>
      </c>
      <c r="DB95" s="138" t="e">
        <f>IF(VLOOKUP(CONCATENATE(H95,F95,DB$2),Español!$A:$H,7,FALSE)=P95,1,0)</f>
        <v>#N/A</v>
      </c>
      <c r="DC95" s="138" t="e">
        <f>IF(VLOOKUP(CONCATENATE(H95,F95,DC$2),Español!$A:$H,7,FALSE)=Q95,1,0)</f>
        <v>#N/A</v>
      </c>
      <c r="DD95" s="138" t="e">
        <f>IF(VLOOKUP(CONCATENATE(H95,F95,DD$2),Español!$A:$H,7,FALSE)=R95,1,0)</f>
        <v>#N/A</v>
      </c>
      <c r="DE95" s="138" t="e">
        <f>IF(VLOOKUP(CONCATENATE(H95,F95,DE$2),Español!$A:$H,7,FALSE)=S95,1,0)</f>
        <v>#N/A</v>
      </c>
      <c r="DF95" s="138" t="e">
        <f>IF(VLOOKUP(CONCATENATE(H95,F95,DF$2),Español!$A:$H,7,FALSE)=T95,1,0)</f>
        <v>#N/A</v>
      </c>
      <c r="DG95" s="138" t="e">
        <f>IF(VLOOKUP(CONCATENATE(H95,F95,DG$2),Español!$A:$H,7,FALSE)=U95,1,0)</f>
        <v>#N/A</v>
      </c>
      <c r="DH95" s="138" t="e">
        <f>IF(VLOOKUP(CONCATENATE(H95,F95,DH$2),Español!$A:$H,7,FALSE)=V95,1,0)</f>
        <v>#N/A</v>
      </c>
      <c r="DI95" s="138" t="e">
        <f>IF(VLOOKUP(CONCATENATE(H95,F95,DI$2),Español!$A:$H,7,FALSE)=W95,1,0)</f>
        <v>#N/A</v>
      </c>
      <c r="DJ95" s="138" t="e">
        <f>IF(VLOOKUP(CONCATENATE(H95,F95,DJ$2),Español!$A:$H,7,FALSE)=X95,1,0)</f>
        <v>#N/A</v>
      </c>
      <c r="DK95" s="138" t="e">
        <f>IF(VLOOKUP(CONCATENATE(H95,F95,DK$2),Español!$A:$H,7,FALSE)=Y95,1,0)</f>
        <v>#N/A</v>
      </c>
      <c r="DL95" s="138" t="e">
        <f>IF(VLOOKUP(CONCATENATE(H95,F95,DL$2),Español!$A:$H,7,FALSE)=Z95,1,0)</f>
        <v>#N/A</v>
      </c>
      <c r="DM95" s="138" t="e">
        <f>IF(VLOOKUP(CONCATENATE(H95,F95,DM$2),Español!$A:$H,7,FALSE)=AA95,1,0)</f>
        <v>#N/A</v>
      </c>
      <c r="DN95" s="138" t="e">
        <f>IF(VLOOKUP(CONCATENATE(H95,F95,DN$2),Español!$A:$H,7,FALSE)=AB95,1,0)</f>
        <v>#N/A</v>
      </c>
      <c r="DO95" s="138" t="e">
        <f>IF(VLOOKUP(CONCATENATE(H95,F95,DO$2),Español!$A:$H,7,FALSE)=AC95,1,0)</f>
        <v>#N/A</v>
      </c>
      <c r="DP95" s="138" t="e">
        <f>IF(VLOOKUP(CONCATENATE(H95,F95,DP$2),Español!$A:$H,7,FALSE)=AD95,1,0)</f>
        <v>#N/A</v>
      </c>
      <c r="DQ95" s="138" t="e">
        <f>IF(VLOOKUP(CONCATENATE(H95,F95,DQ$2),Español!$A:$H,7,FALSE)=AE95,1,0)</f>
        <v>#N/A</v>
      </c>
      <c r="DR95" s="138" t="e">
        <f>IF(VLOOKUP(CONCATENATE(H95,F95,DR$2),Inglés!$A:$H,7,FALSE)=AF95,1,0)</f>
        <v>#N/A</v>
      </c>
      <c r="DS95" s="138" t="e">
        <f>IF(VLOOKUP(CONCATENATE(H95,F95,DS$2),Inglés!$A:$H,7,FALSE)=AG95,1,0)</f>
        <v>#N/A</v>
      </c>
      <c r="DT95" s="138" t="e">
        <f>IF(VLOOKUP(CONCATENATE(H95,F95,DT$2),Inglés!$A:$H,7,FALSE)=AH95,1,0)</f>
        <v>#N/A</v>
      </c>
      <c r="DU95" s="138" t="e">
        <f>IF(VLOOKUP(CONCATENATE(H95,F95,DU$2),Inglés!$A:$H,7,FALSE)=AI95,1,0)</f>
        <v>#N/A</v>
      </c>
      <c r="DV95" s="138" t="e">
        <f>IF(VLOOKUP(CONCATENATE(H95,F95,DV$2),Inglés!$A:$H,7,FALSE)=AJ95,1,0)</f>
        <v>#N/A</v>
      </c>
      <c r="DW95" s="138" t="e">
        <f>IF(VLOOKUP(CONCATENATE(H95,F95,DW$2),Inglés!$A:$H,7,FALSE)=AK95,1,0)</f>
        <v>#N/A</v>
      </c>
      <c r="DX95" s="138" t="e">
        <f>IF(VLOOKUP(CONCATENATE(H95,F95,DX$2),Inglés!$A:$H,7,FALSE)=AL95,1,0)</f>
        <v>#N/A</v>
      </c>
      <c r="DY95" s="138" t="e">
        <f>IF(VLOOKUP(CONCATENATE(H95,F95,DY$2),Inglés!$A:$H,7,FALSE)=AM95,1,0)</f>
        <v>#N/A</v>
      </c>
      <c r="DZ95" s="138" t="e">
        <f>IF(VLOOKUP(CONCATENATE(H95,F95,DZ$2),Inglés!$A:$H,7,FALSE)=AN95,1,0)</f>
        <v>#N/A</v>
      </c>
      <c r="EA95" s="138" t="e">
        <f>IF(VLOOKUP(CONCATENATE(H95,F95,EA$2),Inglés!$A:$H,7,FALSE)=AO95,1,0)</f>
        <v>#N/A</v>
      </c>
      <c r="EB95" s="138" t="e">
        <f>IF(VLOOKUP(CONCATENATE(H95,F95,EB$2),Matemáticas!$A:$H,7,FALSE)=AP95,1,0)</f>
        <v>#N/A</v>
      </c>
      <c r="EC95" s="138" t="e">
        <f>IF(VLOOKUP(CONCATENATE(H95,F95,EC$2),Matemáticas!$A:$H,7,FALSE)=AQ95,1,0)</f>
        <v>#N/A</v>
      </c>
      <c r="ED95" s="138" t="e">
        <f>IF(VLOOKUP(CONCATENATE(H95,F95,ED$2),Matemáticas!$A:$H,7,FALSE)=AR95,1,0)</f>
        <v>#N/A</v>
      </c>
      <c r="EE95" s="138" t="e">
        <f>IF(VLOOKUP(CONCATENATE(H95,F95,EE$2),Matemáticas!$A:$H,7,FALSE)=AS95,1,0)</f>
        <v>#N/A</v>
      </c>
      <c r="EF95" s="138" t="e">
        <f>IF(VLOOKUP(CONCATENATE(H95,F95,EF$2),Matemáticas!$A:$H,7,FALSE)=AT95,1,0)</f>
        <v>#N/A</v>
      </c>
      <c r="EG95" s="138" t="e">
        <f>IF(VLOOKUP(CONCATENATE(H95,F95,EG$2),Matemáticas!$A:$H,7,FALSE)=AU95,1,0)</f>
        <v>#N/A</v>
      </c>
      <c r="EH95" s="138" t="e">
        <f>IF(VLOOKUP(CONCATENATE(H95,F95,EH$2),Matemáticas!$A:$H,7,FALSE)=AV95,1,0)</f>
        <v>#N/A</v>
      </c>
      <c r="EI95" s="138" t="e">
        <f>IF(VLOOKUP(CONCATENATE(H95,F95,EI$2),Matemáticas!$A:$H,7,FALSE)=AW95,1,0)</f>
        <v>#N/A</v>
      </c>
      <c r="EJ95" s="138" t="e">
        <f>IF(VLOOKUP(CONCATENATE(H95,F95,EJ$2),Matemáticas!$A:$H,7,FALSE)=AX95,1,0)</f>
        <v>#N/A</v>
      </c>
      <c r="EK95" s="138" t="e">
        <f>IF(VLOOKUP(CONCATENATE(H95,F95,EK$2),Matemáticas!$A:$H,7,FALSE)=AY95,1,0)</f>
        <v>#N/A</v>
      </c>
      <c r="EL95" s="138" t="e">
        <f>IF(VLOOKUP(CONCATENATE(H95,F95,EL$2),Matemáticas!$A:$H,7,FALSE)=AZ95,1,0)</f>
        <v>#N/A</v>
      </c>
      <c r="EM95" s="138" t="e">
        <f>IF(VLOOKUP(CONCATENATE(H95,F95,EM$2),Matemáticas!$A:$H,7,FALSE)=BA95,1,0)</f>
        <v>#N/A</v>
      </c>
      <c r="EN95" s="138" t="e">
        <f>IF(VLOOKUP(CONCATENATE(H95,F95,EN$2),Matemáticas!$A:$H,7,FALSE)=BB95,1,0)</f>
        <v>#N/A</v>
      </c>
      <c r="EO95" s="138" t="e">
        <f>IF(VLOOKUP(CONCATENATE(H95,F95,EO$2),Matemáticas!$A:$H,7,FALSE)=BC95,1,0)</f>
        <v>#N/A</v>
      </c>
      <c r="EP95" s="138" t="e">
        <f>IF(VLOOKUP(CONCATENATE(H95,F95,EP$2),Matemáticas!$A:$H,7,FALSE)=BD95,1,0)</f>
        <v>#N/A</v>
      </c>
      <c r="EQ95" s="138" t="e">
        <f>IF(VLOOKUP(CONCATENATE(H95,F95,EQ$2),Matemáticas!$A:$H,7,FALSE)=BE95,1,0)</f>
        <v>#N/A</v>
      </c>
      <c r="ER95" s="138" t="e">
        <f>IF(VLOOKUP(CONCATENATE(H95,F95,ER$2),Matemáticas!$A:$H,7,FALSE)=BF95,1,0)</f>
        <v>#N/A</v>
      </c>
      <c r="ES95" s="138" t="e">
        <f>IF(VLOOKUP(CONCATENATE(H95,F95,ES$2),Matemáticas!$A:$H,7,FALSE)=BG95,1,0)</f>
        <v>#N/A</v>
      </c>
      <c r="ET95" s="138" t="e">
        <f>IF(VLOOKUP(CONCATENATE(H95,F95,ET$2),Matemáticas!$A:$H,7,FALSE)=BH95,1,0)</f>
        <v>#N/A</v>
      </c>
      <c r="EU95" s="138" t="e">
        <f>IF(VLOOKUP(CONCATENATE(H95,F95,EU$2),Matemáticas!$A:$H,7,FALSE)=BI95,1,0)</f>
        <v>#N/A</v>
      </c>
      <c r="EV95" s="138" t="e">
        <f>IF(VLOOKUP(CONCATENATE(H95,F95,EV$2),Ciencias!$A:$H,7,FALSE)=BJ95,1,0)</f>
        <v>#N/A</v>
      </c>
      <c r="EW95" s="138" t="e">
        <f>IF(VLOOKUP(CONCATENATE(H95,F95,EW$2),Ciencias!$A:$H,7,FALSE)=BK95,1,0)</f>
        <v>#N/A</v>
      </c>
      <c r="EX95" s="138" t="e">
        <f>IF(VLOOKUP(CONCATENATE(H95,F95,EX$2),Ciencias!$A:$H,7,FALSE)=BL95,1,0)</f>
        <v>#N/A</v>
      </c>
      <c r="EY95" s="138" t="e">
        <f>IF(VLOOKUP(CONCATENATE(H95,F95,EY$2),Ciencias!$A:$H,7,FALSE)=BM95,1,0)</f>
        <v>#N/A</v>
      </c>
      <c r="EZ95" s="138" t="e">
        <f>IF(VLOOKUP(CONCATENATE(H95,F95,EZ$2),Ciencias!$A:$H,7,FALSE)=BN95,1,0)</f>
        <v>#N/A</v>
      </c>
      <c r="FA95" s="138" t="e">
        <f>IF(VLOOKUP(CONCATENATE(H95,F95,FA$2),Ciencias!$A:$H,7,FALSE)=BO95,1,0)</f>
        <v>#N/A</v>
      </c>
      <c r="FB95" s="138" t="e">
        <f>IF(VLOOKUP(CONCATENATE(H95,F95,FB$2),Ciencias!$A:$H,7,FALSE)=BP95,1,0)</f>
        <v>#N/A</v>
      </c>
      <c r="FC95" s="138" t="e">
        <f>IF(VLOOKUP(CONCATENATE(H95,F95,FC$2),Ciencias!$A:$H,7,FALSE)=BQ95,1,0)</f>
        <v>#N/A</v>
      </c>
      <c r="FD95" s="138" t="e">
        <f>IF(VLOOKUP(CONCATENATE(H95,F95,FD$2),Ciencias!$A:$H,7,FALSE)=BR95,1,0)</f>
        <v>#N/A</v>
      </c>
      <c r="FE95" s="138" t="e">
        <f>IF(VLOOKUP(CONCATENATE(H95,F95,FE$2),Ciencias!$A:$H,7,FALSE)=BS95,1,0)</f>
        <v>#N/A</v>
      </c>
      <c r="FF95" s="138" t="e">
        <f>IF(VLOOKUP(CONCATENATE(H95,F95,FF$2),Ciencias!$A:$H,7,FALSE)=BT95,1,0)</f>
        <v>#N/A</v>
      </c>
      <c r="FG95" s="138" t="e">
        <f>IF(VLOOKUP(CONCATENATE(H95,F95,FG$2),Ciencias!$A:$H,7,FALSE)=BU95,1,0)</f>
        <v>#N/A</v>
      </c>
      <c r="FH95" s="138" t="e">
        <f>IF(VLOOKUP(CONCATENATE(H95,F95,FH$2),Ciencias!$A:$H,7,FALSE)=BV95,1,0)</f>
        <v>#N/A</v>
      </c>
      <c r="FI95" s="138" t="e">
        <f>IF(VLOOKUP(CONCATENATE(H95,F95,FI$2),Ciencias!$A:$H,7,FALSE)=BW95,1,0)</f>
        <v>#N/A</v>
      </c>
      <c r="FJ95" s="138" t="e">
        <f>IF(VLOOKUP(CONCATENATE(H95,F95,FJ$2),Ciencias!$A:$H,7,FALSE)=BX95,1,0)</f>
        <v>#N/A</v>
      </c>
      <c r="FK95" s="138" t="e">
        <f>IF(VLOOKUP(CONCATENATE(H95,F95,FK$2),Ciencias!$A:$H,7,FALSE)=BY95,1,0)</f>
        <v>#N/A</v>
      </c>
      <c r="FL95" s="138" t="e">
        <f>IF(VLOOKUP(CONCATENATE(H95,F95,FL$2),Ciencias!$A:$H,7,FALSE)=BZ95,1,0)</f>
        <v>#N/A</v>
      </c>
      <c r="FM95" s="138" t="e">
        <f>IF(VLOOKUP(CONCATENATE(H95,F95,FM$2),Ciencias!$A:$H,7,FALSE)=CA95,1,0)</f>
        <v>#N/A</v>
      </c>
      <c r="FN95" s="138" t="e">
        <f>IF(VLOOKUP(CONCATENATE(H95,F95,FN$2),Ciencias!$A:$H,7,FALSE)=CB95,1,0)</f>
        <v>#N/A</v>
      </c>
      <c r="FO95" s="138" t="e">
        <f>IF(VLOOKUP(CONCATENATE(H95,F95,FO$2),Ciencias!$A:$H,7,FALSE)=CC95,1,0)</f>
        <v>#N/A</v>
      </c>
      <c r="FP95" s="138" t="e">
        <f>IF(VLOOKUP(CONCATENATE(H95,F95,FP$2),GeoHis!$A:$H,7,FALSE)=CD95,1,0)</f>
        <v>#N/A</v>
      </c>
      <c r="FQ95" s="138" t="e">
        <f>IF(VLOOKUP(CONCATENATE(H95,F95,FQ$2),GeoHis!$A:$H,7,FALSE)=CE95,1,0)</f>
        <v>#N/A</v>
      </c>
      <c r="FR95" s="138" t="e">
        <f>IF(VLOOKUP(CONCATENATE(H95,F95,FR$2),GeoHis!$A:$H,7,FALSE)=CF95,1,0)</f>
        <v>#N/A</v>
      </c>
      <c r="FS95" s="138" t="e">
        <f>IF(VLOOKUP(CONCATENATE(H95,F95,FS$2),GeoHis!$A:$H,7,FALSE)=CG95,1,0)</f>
        <v>#N/A</v>
      </c>
      <c r="FT95" s="138" t="e">
        <f>IF(VLOOKUP(CONCATENATE(H95,F95,FT$2),GeoHis!$A:$H,7,FALSE)=CH95,1,0)</f>
        <v>#N/A</v>
      </c>
      <c r="FU95" s="138" t="e">
        <f>IF(VLOOKUP(CONCATENATE(H95,F95,FU$2),GeoHis!$A:$H,7,FALSE)=CI95,1,0)</f>
        <v>#N/A</v>
      </c>
      <c r="FV95" s="138" t="e">
        <f>IF(VLOOKUP(CONCATENATE(H95,F95,FV$2),GeoHis!$A:$H,7,FALSE)=CJ95,1,0)</f>
        <v>#N/A</v>
      </c>
      <c r="FW95" s="138" t="e">
        <f>IF(VLOOKUP(CONCATENATE(H95,F95,FW$2),GeoHis!$A:$H,7,FALSE)=CK95,1,0)</f>
        <v>#N/A</v>
      </c>
      <c r="FX95" s="138" t="e">
        <f>IF(VLOOKUP(CONCATENATE(H95,F95,FX$2),GeoHis!$A:$H,7,FALSE)=CL95,1,0)</f>
        <v>#N/A</v>
      </c>
      <c r="FY95" s="138" t="e">
        <f>IF(VLOOKUP(CONCATENATE(H95,F95,FY$2),GeoHis!$A:$H,7,FALSE)=CM95,1,0)</f>
        <v>#N/A</v>
      </c>
      <c r="FZ95" s="138" t="e">
        <f>IF(VLOOKUP(CONCATENATE(H95,F95,FZ$2),GeoHis!$A:$H,7,FALSE)=CN95,1,0)</f>
        <v>#N/A</v>
      </c>
      <c r="GA95" s="138" t="e">
        <f>IF(VLOOKUP(CONCATENATE(H95,F95,GA$2),GeoHis!$A:$H,7,FALSE)=CO95,1,0)</f>
        <v>#N/A</v>
      </c>
      <c r="GB95" s="138" t="e">
        <f>IF(VLOOKUP(CONCATENATE(H95,F95,GB$2),GeoHis!$A:$H,7,FALSE)=CP95,1,0)</f>
        <v>#N/A</v>
      </c>
      <c r="GC95" s="138" t="e">
        <f>IF(VLOOKUP(CONCATENATE(H95,F95,GC$2),GeoHis!$A:$H,7,FALSE)=CQ95,1,0)</f>
        <v>#N/A</v>
      </c>
      <c r="GD95" s="138" t="e">
        <f>IF(VLOOKUP(CONCATENATE(H95,F95,GD$2),GeoHis!$A:$H,7,FALSE)=CR95,1,0)</f>
        <v>#N/A</v>
      </c>
      <c r="GE95" s="135" t="str">
        <f t="shared" si="15"/>
        <v/>
      </c>
    </row>
    <row r="96" spans="1:187" x14ac:dyDescent="0.25">
      <c r="A96" s="127" t="str">
        <f>IF(C96="","",'Datos Generales'!$A$25)</f>
        <v/>
      </c>
      <c r="D96" s="126" t="str">
        <f t="shared" si="8"/>
        <v/>
      </c>
      <c r="E96" s="126">
        <f t="shared" si="9"/>
        <v>0</v>
      </c>
      <c r="F96" s="126" t="str">
        <f t="shared" si="10"/>
        <v/>
      </c>
      <c r="G96" s="126" t="str">
        <f>IF(C96="","",'Datos Generales'!$D$19)</f>
        <v/>
      </c>
      <c r="H96" s="21" t="str">
        <f>IF(C96="","",'Datos Generales'!$A$19)</f>
        <v/>
      </c>
      <c r="I96" s="126" t="str">
        <f>IF(C96="","",'Datos Generales'!$A$7)</f>
        <v/>
      </c>
      <c r="J96" s="21" t="str">
        <f>IF(C96="","",'Datos Generales'!$A$13)</f>
        <v/>
      </c>
      <c r="K96" s="21" t="str">
        <f>IF(C96="","",'Datos Generales'!$A$10)</f>
        <v/>
      </c>
      <c r="CS96" s="142" t="str">
        <f t="shared" si="11"/>
        <v/>
      </c>
      <c r="CT96" s="142" t="str">
        <f t="shared" si="12"/>
        <v/>
      </c>
      <c r="CU96" s="142" t="str">
        <f t="shared" si="13"/>
        <v/>
      </c>
      <c r="CV96" s="142" t="str">
        <f t="shared" si="14"/>
        <v/>
      </c>
      <c r="CW96" s="142" t="str">
        <f>IF(C96="","",IF('Datos Generales'!$A$19=1,AVERAGE(FP96:GD96),AVERAGE(Captura!FP96:FY96)))</f>
        <v/>
      </c>
      <c r="CX96" s="138" t="e">
        <f>IF(VLOOKUP(CONCATENATE($H$4,$F$4,CX$2),Español!$A:$H,7,FALSE)=L96,1,0)</f>
        <v>#N/A</v>
      </c>
      <c r="CY96" s="138" t="e">
        <f>IF(VLOOKUP(CONCATENATE(H96,F96,CY$2),Español!$A:$H,7,FALSE)=M96,1,0)</f>
        <v>#N/A</v>
      </c>
      <c r="CZ96" s="138" t="e">
        <f>IF(VLOOKUP(CONCATENATE(H96,F96,CZ$2),Español!$A:$H,7,FALSE)=N96,1,0)</f>
        <v>#N/A</v>
      </c>
      <c r="DA96" s="138" t="e">
        <f>IF(VLOOKUP(CONCATENATE(H96,F96,DA$2),Español!$A:$H,7,FALSE)=O96,1,0)</f>
        <v>#N/A</v>
      </c>
      <c r="DB96" s="138" t="e">
        <f>IF(VLOOKUP(CONCATENATE(H96,F96,DB$2),Español!$A:$H,7,FALSE)=P96,1,0)</f>
        <v>#N/A</v>
      </c>
      <c r="DC96" s="138" t="e">
        <f>IF(VLOOKUP(CONCATENATE(H96,F96,DC$2),Español!$A:$H,7,FALSE)=Q96,1,0)</f>
        <v>#N/A</v>
      </c>
      <c r="DD96" s="138" t="e">
        <f>IF(VLOOKUP(CONCATENATE(H96,F96,DD$2),Español!$A:$H,7,FALSE)=R96,1,0)</f>
        <v>#N/A</v>
      </c>
      <c r="DE96" s="138" t="e">
        <f>IF(VLOOKUP(CONCATENATE(H96,F96,DE$2),Español!$A:$H,7,FALSE)=S96,1,0)</f>
        <v>#N/A</v>
      </c>
      <c r="DF96" s="138" t="e">
        <f>IF(VLOOKUP(CONCATENATE(H96,F96,DF$2),Español!$A:$H,7,FALSE)=T96,1,0)</f>
        <v>#N/A</v>
      </c>
      <c r="DG96" s="138" t="e">
        <f>IF(VLOOKUP(CONCATENATE(H96,F96,DG$2),Español!$A:$H,7,FALSE)=U96,1,0)</f>
        <v>#N/A</v>
      </c>
      <c r="DH96" s="138" t="e">
        <f>IF(VLOOKUP(CONCATENATE(H96,F96,DH$2),Español!$A:$H,7,FALSE)=V96,1,0)</f>
        <v>#N/A</v>
      </c>
      <c r="DI96" s="138" t="e">
        <f>IF(VLOOKUP(CONCATENATE(H96,F96,DI$2),Español!$A:$H,7,FALSE)=W96,1,0)</f>
        <v>#N/A</v>
      </c>
      <c r="DJ96" s="138" t="e">
        <f>IF(VLOOKUP(CONCATENATE(H96,F96,DJ$2),Español!$A:$H,7,FALSE)=X96,1,0)</f>
        <v>#N/A</v>
      </c>
      <c r="DK96" s="138" t="e">
        <f>IF(VLOOKUP(CONCATENATE(H96,F96,DK$2),Español!$A:$H,7,FALSE)=Y96,1,0)</f>
        <v>#N/A</v>
      </c>
      <c r="DL96" s="138" t="e">
        <f>IF(VLOOKUP(CONCATENATE(H96,F96,DL$2),Español!$A:$H,7,FALSE)=Z96,1,0)</f>
        <v>#N/A</v>
      </c>
      <c r="DM96" s="138" t="e">
        <f>IF(VLOOKUP(CONCATENATE(H96,F96,DM$2),Español!$A:$H,7,FALSE)=AA96,1,0)</f>
        <v>#N/A</v>
      </c>
      <c r="DN96" s="138" t="e">
        <f>IF(VLOOKUP(CONCATENATE(H96,F96,DN$2),Español!$A:$H,7,FALSE)=AB96,1,0)</f>
        <v>#N/A</v>
      </c>
      <c r="DO96" s="138" t="e">
        <f>IF(VLOOKUP(CONCATENATE(H96,F96,DO$2),Español!$A:$H,7,FALSE)=AC96,1,0)</f>
        <v>#N/A</v>
      </c>
      <c r="DP96" s="138" t="e">
        <f>IF(VLOOKUP(CONCATENATE(H96,F96,DP$2),Español!$A:$H,7,FALSE)=AD96,1,0)</f>
        <v>#N/A</v>
      </c>
      <c r="DQ96" s="138" t="e">
        <f>IF(VLOOKUP(CONCATENATE(H96,F96,DQ$2),Español!$A:$H,7,FALSE)=AE96,1,0)</f>
        <v>#N/A</v>
      </c>
      <c r="DR96" s="138" t="e">
        <f>IF(VLOOKUP(CONCATENATE(H96,F96,DR$2),Inglés!$A:$H,7,FALSE)=AF96,1,0)</f>
        <v>#N/A</v>
      </c>
      <c r="DS96" s="138" t="e">
        <f>IF(VLOOKUP(CONCATENATE(H96,F96,DS$2),Inglés!$A:$H,7,FALSE)=AG96,1,0)</f>
        <v>#N/A</v>
      </c>
      <c r="DT96" s="138" t="e">
        <f>IF(VLOOKUP(CONCATENATE(H96,F96,DT$2),Inglés!$A:$H,7,FALSE)=AH96,1,0)</f>
        <v>#N/A</v>
      </c>
      <c r="DU96" s="138" t="e">
        <f>IF(VLOOKUP(CONCATENATE(H96,F96,DU$2),Inglés!$A:$H,7,FALSE)=AI96,1,0)</f>
        <v>#N/A</v>
      </c>
      <c r="DV96" s="138" t="e">
        <f>IF(VLOOKUP(CONCATENATE(H96,F96,DV$2),Inglés!$A:$H,7,FALSE)=AJ96,1,0)</f>
        <v>#N/A</v>
      </c>
      <c r="DW96" s="138" t="e">
        <f>IF(VLOOKUP(CONCATENATE(H96,F96,DW$2),Inglés!$A:$H,7,FALSE)=AK96,1,0)</f>
        <v>#N/A</v>
      </c>
      <c r="DX96" s="138" t="e">
        <f>IF(VLOOKUP(CONCATENATE(H96,F96,DX$2),Inglés!$A:$H,7,FALSE)=AL96,1,0)</f>
        <v>#N/A</v>
      </c>
      <c r="DY96" s="138" t="e">
        <f>IF(VLOOKUP(CONCATENATE(H96,F96,DY$2),Inglés!$A:$H,7,FALSE)=AM96,1,0)</f>
        <v>#N/A</v>
      </c>
      <c r="DZ96" s="138" t="e">
        <f>IF(VLOOKUP(CONCATENATE(H96,F96,DZ$2),Inglés!$A:$H,7,FALSE)=AN96,1,0)</f>
        <v>#N/A</v>
      </c>
      <c r="EA96" s="138" t="e">
        <f>IF(VLOOKUP(CONCATENATE(H96,F96,EA$2),Inglés!$A:$H,7,FALSE)=AO96,1,0)</f>
        <v>#N/A</v>
      </c>
      <c r="EB96" s="138" t="e">
        <f>IF(VLOOKUP(CONCATENATE(H96,F96,EB$2),Matemáticas!$A:$H,7,FALSE)=AP96,1,0)</f>
        <v>#N/A</v>
      </c>
      <c r="EC96" s="138" t="e">
        <f>IF(VLOOKUP(CONCATENATE(H96,F96,EC$2),Matemáticas!$A:$H,7,FALSE)=AQ96,1,0)</f>
        <v>#N/A</v>
      </c>
      <c r="ED96" s="138" t="e">
        <f>IF(VLOOKUP(CONCATENATE(H96,F96,ED$2),Matemáticas!$A:$H,7,FALSE)=AR96,1,0)</f>
        <v>#N/A</v>
      </c>
      <c r="EE96" s="138" t="e">
        <f>IF(VLOOKUP(CONCATENATE(H96,F96,EE$2),Matemáticas!$A:$H,7,FALSE)=AS96,1,0)</f>
        <v>#N/A</v>
      </c>
      <c r="EF96" s="138" t="e">
        <f>IF(VLOOKUP(CONCATENATE(H96,F96,EF$2),Matemáticas!$A:$H,7,FALSE)=AT96,1,0)</f>
        <v>#N/A</v>
      </c>
      <c r="EG96" s="138" t="e">
        <f>IF(VLOOKUP(CONCATENATE(H96,F96,EG$2),Matemáticas!$A:$H,7,FALSE)=AU96,1,0)</f>
        <v>#N/A</v>
      </c>
      <c r="EH96" s="138" t="e">
        <f>IF(VLOOKUP(CONCATENATE(H96,F96,EH$2),Matemáticas!$A:$H,7,FALSE)=AV96,1,0)</f>
        <v>#N/A</v>
      </c>
      <c r="EI96" s="138" t="e">
        <f>IF(VLOOKUP(CONCATENATE(H96,F96,EI$2),Matemáticas!$A:$H,7,FALSE)=AW96,1,0)</f>
        <v>#N/A</v>
      </c>
      <c r="EJ96" s="138" t="e">
        <f>IF(VLOOKUP(CONCATENATE(H96,F96,EJ$2),Matemáticas!$A:$H,7,FALSE)=AX96,1,0)</f>
        <v>#N/A</v>
      </c>
      <c r="EK96" s="138" t="e">
        <f>IF(VLOOKUP(CONCATENATE(H96,F96,EK$2),Matemáticas!$A:$H,7,FALSE)=AY96,1,0)</f>
        <v>#N/A</v>
      </c>
      <c r="EL96" s="138" t="e">
        <f>IF(VLOOKUP(CONCATENATE(H96,F96,EL$2),Matemáticas!$A:$H,7,FALSE)=AZ96,1,0)</f>
        <v>#N/A</v>
      </c>
      <c r="EM96" s="138" t="e">
        <f>IF(VLOOKUP(CONCATENATE(H96,F96,EM$2),Matemáticas!$A:$H,7,FALSE)=BA96,1,0)</f>
        <v>#N/A</v>
      </c>
      <c r="EN96" s="138" t="e">
        <f>IF(VLOOKUP(CONCATENATE(H96,F96,EN$2),Matemáticas!$A:$H,7,FALSE)=BB96,1,0)</f>
        <v>#N/A</v>
      </c>
      <c r="EO96" s="138" t="e">
        <f>IF(VLOOKUP(CONCATENATE(H96,F96,EO$2),Matemáticas!$A:$H,7,FALSE)=BC96,1,0)</f>
        <v>#N/A</v>
      </c>
      <c r="EP96" s="138" t="e">
        <f>IF(VLOOKUP(CONCATENATE(H96,F96,EP$2),Matemáticas!$A:$H,7,FALSE)=BD96,1,0)</f>
        <v>#N/A</v>
      </c>
      <c r="EQ96" s="138" t="e">
        <f>IF(VLOOKUP(CONCATENATE(H96,F96,EQ$2),Matemáticas!$A:$H,7,FALSE)=BE96,1,0)</f>
        <v>#N/A</v>
      </c>
      <c r="ER96" s="138" t="e">
        <f>IF(VLOOKUP(CONCATENATE(H96,F96,ER$2),Matemáticas!$A:$H,7,FALSE)=BF96,1,0)</f>
        <v>#N/A</v>
      </c>
      <c r="ES96" s="138" t="e">
        <f>IF(VLOOKUP(CONCATENATE(H96,F96,ES$2),Matemáticas!$A:$H,7,FALSE)=BG96,1,0)</f>
        <v>#N/A</v>
      </c>
      <c r="ET96" s="138" t="e">
        <f>IF(VLOOKUP(CONCATENATE(H96,F96,ET$2),Matemáticas!$A:$H,7,FALSE)=BH96,1,0)</f>
        <v>#N/A</v>
      </c>
      <c r="EU96" s="138" t="e">
        <f>IF(VLOOKUP(CONCATENATE(H96,F96,EU$2),Matemáticas!$A:$H,7,FALSE)=BI96,1,0)</f>
        <v>#N/A</v>
      </c>
      <c r="EV96" s="138" t="e">
        <f>IF(VLOOKUP(CONCATENATE(H96,F96,EV$2),Ciencias!$A:$H,7,FALSE)=BJ96,1,0)</f>
        <v>#N/A</v>
      </c>
      <c r="EW96" s="138" t="e">
        <f>IF(VLOOKUP(CONCATENATE(H96,F96,EW$2),Ciencias!$A:$H,7,FALSE)=BK96,1,0)</f>
        <v>#N/A</v>
      </c>
      <c r="EX96" s="138" t="e">
        <f>IF(VLOOKUP(CONCATENATE(H96,F96,EX$2),Ciencias!$A:$H,7,FALSE)=BL96,1,0)</f>
        <v>#N/A</v>
      </c>
      <c r="EY96" s="138" t="e">
        <f>IF(VLOOKUP(CONCATENATE(H96,F96,EY$2),Ciencias!$A:$H,7,FALSE)=BM96,1,0)</f>
        <v>#N/A</v>
      </c>
      <c r="EZ96" s="138" t="e">
        <f>IF(VLOOKUP(CONCATENATE(H96,F96,EZ$2),Ciencias!$A:$H,7,FALSE)=BN96,1,0)</f>
        <v>#N/A</v>
      </c>
      <c r="FA96" s="138" t="e">
        <f>IF(VLOOKUP(CONCATENATE(H96,F96,FA$2),Ciencias!$A:$H,7,FALSE)=BO96,1,0)</f>
        <v>#N/A</v>
      </c>
      <c r="FB96" s="138" t="e">
        <f>IF(VLOOKUP(CONCATENATE(H96,F96,FB$2),Ciencias!$A:$H,7,FALSE)=BP96,1,0)</f>
        <v>#N/A</v>
      </c>
      <c r="FC96" s="138" t="e">
        <f>IF(VLOOKUP(CONCATENATE(H96,F96,FC$2),Ciencias!$A:$H,7,FALSE)=BQ96,1,0)</f>
        <v>#N/A</v>
      </c>
      <c r="FD96" s="138" t="e">
        <f>IF(VLOOKUP(CONCATENATE(H96,F96,FD$2),Ciencias!$A:$H,7,FALSE)=BR96,1,0)</f>
        <v>#N/A</v>
      </c>
      <c r="FE96" s="138" t="e">
        <f>IF(VLOOKUP(CONCATENATE(H96,F96,FE$2),Ciencias!$A:$H,7,FALSE)=BS96,1,0)</f>
        <v>#N/A</v>
      </c>
      <c r="FF96" s="138" t="e">
        <f>IF(VLOOKUP(CONCATENATE(H96,F96,FF$2),Ciencias!$A:$H,7,FALSE)=BT96,1,0)</f>
        <v>#N/A</v>
      </c>
      <c r="FG96" s="138" t="e">
        <f>IF(VLOOKUP(CONCATENATE(H96,F96,FG$2),Ciencias!$A:$H,7,FALSE)=BU96,1,0)</f>
        <v>#N/A</v>
      </c>
      <c r="FH96" s="138" t="e">
        <f>IF(VLOOKUP(CONCATENATE(H96,F96,FH$2),Ciencias!$A:$H,7,FALSE)=BV96,1,0)</f>
        <v>#N/A</v>
      </c>
      <c r="FI96" s="138" t="e">
        <f>IF(VLOOKUP(CONCATENATE(H96,F96,FI$2),Ciencias!$A:$H,7,FALSE)=BW96,1,0)</f>
        <v>#N/A</v>
      </c>
      <c r="FJ96" s="138" t="e">
        <f>IF(VLOOKUP(CONCATENATE(H96,F96,FJ$2),Ciencias!$A:$H,7,FALSE)=BX96,1,0)</f>
        <v>#N/A</v>
      </c>
      <c r="FK96" s="138" t="e">
        <f>IF(VLOOKUP(CONCATENATE(H96,F96,FK$2),Ciencias!$A:$H,7,FALSE)=BY96,1,0)</f>
        <v>#N/A</v>
      </c>
      <c r="FL96" s="138" t="e">
        <f>IF(VLOOKUP(CONCATENATE(H96,F96,FL$2),Ciencias!$A:$H,7,FALSE)=BZ96,1,0)</f>
        <v>#N/A</v>
      </c>
      <c r="FM96" s="138" t="e">
        <f>IF(VLOOKUP(CONCATENATE(H96,F96,FM$2),Ciencias!$A:$H,7,FALSE)=CA96,1,0)</f>
        <v>#N/A</v>
      </c>
      <c r="FN96" s="138" t="e">
        <f>IF(VLOOKUP(CONCATENATE(H96,F96,FN$2),Ciencias!$A:$H,7,FALSE)=CB96,1,0)</f>
        <v>#N/A</v>
      </c>
      <c r="FO96" s="138" t="e">
        <f>IF(VLOOKUP(CONCATENATE(H96,F96,FO$2),Ciencias!$A:$H,7,FALSE)=CC96,1,0)</f>
        <v>#N/A</v>
      </c>
      <c r="FP96" s="138" t="e">
        <f>IF(VLOOKUP(CONCATENATE(H96,F96,FP$2),GeoHis!$A:$H,7,FALSE)=CD96,1,0)</f>
        <v>#N/A</v>
      </c>
      <c r="FQ96" s="138" t="e">
        <f>IF(VLOOKUP(CONCATENATE(H96,F96,FQ$2),GeoHis!$A:$H,7,FALSE)=CE96,1,0)</f>
        <v>#N/A</v>
      </c>
      <c r="FR96" s="138" t="e">
        <f>IF(VLOOKUP(CONCATENATE(H96,F96,FR$2),GeoHis!$A:$H,7,FALSE)=CF96,1,0)</f>
        <v>#N/A</v>
      </c>
      <c r="FS96" s="138" t="e">
        <f>IF(VLOOKUP(CONCATENATE(H96,F96,FS$2),GeoHis!$A:$H,7,FALSE)=CG96,1,0)</f>
        <v>#N/A</v>
      </c>
      <c r="FT96" s="138" t="e">
        <f>IF(VLOOKUP(CONCATENATE(H96,F96,FT$2),GeoHis!$A:$H,7,FALSE)=CH96,1,0)</f>
        <v>#N/A</v>
      </c>
      <c r="FU96" s="138" t="e">
        <f>IF(VLOOKUP(CONCATENATE(H96,F96,FU$2),GeoHis!$A:$H,7,FALSE)=CI96,1,0)</f>
        <v>#N/A</v>
      </c>
      <c r="FV96" s="138" t="e">
        <f>IF(VLOOKUP(CONCATENATE(H96,F96,FV$2),GeoHis!$A:$H,7,FALSE)=CJ96,1,0)</f>
        <v>#N/A</v>
      </c>
      <c r="FW96" s="138" t="e">
        <f>IF(VLOOKUP(CONCATENATE(H96,F96,FW$2),GeoHis!$A:$H,7,FALSE)=CK96,1,0)</f>
        <v>#N/A</v>
      </c>
      <c r="FX96" s="138" t="e">
        <f>IF(VLOOKUP(CONCATENATE(H96,F96,FX$2),GeoHis!$A:$H,7,FALSE)=CL96,1,0)</f>
        <v>#N/A</v>
      </c>
      <c r="FY96" s="138" t="e">
        <f>IF(VLOOKUP(CONCATENATE(H96,F96,FY$2),GeoHis!$A:$H,7,FALSE)=CM96,1,0)</f>
        <v>#N/A</v>
      </c>
      <c r="FZ96" s="138" t="e">
        <f>IF(VLOOKUP(CONCATENATE(H96,F96,FZ$2),GeoHis!$A:$H,7,FALSE)=CN96,1,0)</f>
        <v>#N/A</v>
      </c>
      <c r="GA96" s="138" t="e">
        <f>IF(VLOOKUP(CONCATENATE(H96,F96,GA$2),GeoHis!$A:$H,7,FALSE)=CO96,1,0)</f>
        <v>#N/A</v>
      </c>
      <c r="GB96" s="138" t="e">
        <f>IF(VLOOKUP(CONCATENATE(H96,F96,GB$2),GeoHis!$A:$H,7,FALSE)=CP96,1,0)</f>
        <v>#N/A</v>
      </c>
      <c r="GC96" s="138" t="e">
        <f>IF(VLOOKUP(CONCATENATE(H96,F96,GC$2),GeoHis!$A:$H,7,FALSE)=CQ96,1,0)</f>
        <v>#N/A</v>
      </c>
      <c r="GD96" s="138" t="e">
        <f>IF(VLOOKUP(CONCATENATE(H96,F96,GD$2),GeoHis!$A:$H,7,FALSE)=CR96,1,0)</f>
        <v>#N/A</v>
      </c>
      <c r="GE96" s="135" t="str">
        <f t="shared" si="15"/>
        <v/>
      </c>
    </row>
    <row r="97" spans="1:187" x14ac:dyDescent="0.25">
      <c r="A97" s="127" t="str">
        <f>IF(C97="","",'Datos Generales'!$A$25)</f>
        <v/>
      </c>
      <c r="D97" s="126" t="str">
        <f t="shared" si="8"/>
        <v/>
      </c>
      <c r="E97" s="126">
        <f t="shared" si="9"/>
        <v>0</v>
      </c>
      <c r="F97" s="126" t="str">
        <f t="shared" si="10"/>
        <v/>
      </c>
      <c r="G97" s="126" t="str">
        <f>IF(C97="","",'Datos Generales'!$D$19)</f>
        <v/>
      </c>
      <c r="H97" s="21" t="str">
        <f>IF(C97="","",'Datos Generales'!$A$19)</f>
        <v/>
      </c>
      <c r="I97" s="126" t="str">
        <f>IF(C97="","",'Datos Generales'!$A$7)</f>
        <v/>
      </c>
      <c r="J97" s="21" t="str">
        <f>IF(C97="","",'Datos Generales'!$A$13)</f>
        <v/>
      </c>
      <c r="K97" s="21" t="str">
        <f>IF(C97="","",'Datos Generales'!$A$10)</f>
        <v/>
      </c>
      <c r="CS97" s="142" t="str">
        <f t="shared" si="11"/>
        <v/>
      </c>
      <c r="CT97" s="142" t="str">
        <f t="shared" si="12"/>
        <v/>
      </c>
      <c r="CU97" s="142" t="str">
        <f t="shared" si="13"/>
        <v/>
      </c>
      <c r="CV97" s="142" t="str">
        <f t="shared" si="14"/>
        <v/>
      </c>
      <c r="CW97" s="142" t="str">
        <f>IF(C97="","",IF('Datos Generales'!$A$19=1,AVERAGE(FP97:GD97),AVERAGE(Captura!FP97:FY97)))</f>
        <v/>
      </c>
      <c r="CX97" s="138" t="e">
        <f>IF(VLOOKUP(CONCATENATE($H$4,$F$4,CX$2),Español!$A:$H,7,FALSE)=L97,1,0)</f>
        <v>#N/A</v>
      </c>
      <c r="CY97" s="138" t="e">
        <f>IF(VLOOKUP(CONCATENATE(H97,F97,CY$2),Español!$A:$H,7,FALSE)=M97,1,0)</f>
        <v>#N/A</v>
      </c>
      <c r="CZ97" s="138" t="e">
        <f>IF(VLOOKUP(CONCATENATE(H97,F97,CZ$2),Español!$A:$H,7,FALSE)=N97,1,0)</f>
        <v>#N/A</v>
      </c>
      <c r="DA97" s="138" t="e">
        <f>IF(VLOOKUP(CONCATENATE(H97,F97,DA$2),Español!$A:$H,7,FALSE)=O97,1,0)</f>
        <v>#N/A</v>
      </c>
      <c r="DB97" s="138" t="e">
        <f>IF(VLOOKUP(CONCATENATE(H97,F97,DB$2),Español!$A:$H,7,FALSE)=P97,1,0)</f>
        <v>#N/A</v>
      </c>
      <c r="DC97" s="138" t="e">
        <f>IF(VLOOKUP(CONCATENATE(H97,F97,DC$2),Español!$A:$H,7,FALSE)=Q97,1,0)</f>
        <v>#N/A</v>
      </c>
      <c r="DD97" s="138" t="e">
        <f>IF(VLOOKUP(CONCATENATE(H97,F97,DD$2),Español!$A:$H,7,FALSE)=R97,1,0)</f>
        <v>#N/A</v>
      </c>
      <c r="DE97" s="138" t="e">
        <f>IF(VLOOKUP(CONCATENATE(H97,F97,DE$2),Español!$A:$H,7,FALSE)=S97,1,0)</f>
        <v>#N/A</v>
      </c>
      <c r="DF97" s="138" t="e">
        <f>IF(VLOOKUP(CONCATENATE(H97,F97,DF$2),Español!$A:$H,7,FALSE)=T97,1,0)</f>
        <v>#N/A</v>
      </c>
      <c r="DG97" s="138" t="e">
        <f>IF(VLOOKUP(CONCATENATE(H97,F97,DG$2),Español!$A:$H,7,FALSE)=U97,1,0)</f>
        <v>#N/A</v>
      </c>
      <c r="DH97" s="138" t="e">
        <f>IF(VLOOKUP(CONCATENATE(H97,F97,DH$2),Español!$A:$H,7,FALSE)=V97,1,0)</f>
        <v>#N/A</v>
      </c>
      <c r="DI97" s="138" t="e">
        <f>IF(VLOOKUP(CONCATENATE(H97,F97,DI$2),Español!$A:$H,7,FALSE)=W97,1,0)</f>
        <v>#N/A</v>
      </c>
      <c r="DJ97" s="138" t="e">
        <f>IF(VLOOKUP(CONCATENATE(H97,F97,DJ$2),Español!$A:$H,7,FALSE)=X97,1,0)</f>
        <v>#N/A</v>
      </c>
      <c r="DK97" s="138" t="e">
        <f>IF(VLOOKUP(CONCATENATE(H97,F97,DK$2),Español!$A:$H,7,FALSE)=Y97,1,0)</f>
        <v>#N/A</v>
      </c>
      <c r="DL97" s="138" t="e">
        <f>IF(VLOOKUP(CONCATENATE(H97,F97,DL$2),Español!$A:$H,7,FALSE)=Z97,1,0)</f>
        <v>#N/A</v>
      </c>
      <c r="DM97" s="138" t="e">
        <f>IF(VLOOKUP(CONCATENATE(H97,F97,DM$2),Español!$A:$H,7,FALSE)=AA97,1,0)</f>
        <v>#N/A</v>
      </c>
      <c r="DN97" s="138" t="e">
        <f>IF(VLOOKUP(CONCATENATE(H97,F97,DN$2),Español!$A:$H,7,FALSE)=AB97,1,0)</f>
        <v>#N/A</v>
      </c>
      <c r="DO97" s="138" t="e">
        <f>IF(VLOOKUP(CONCATENATE(H97,F97,DO$2),Español!$A:$H,7,FALSE)=AC97,1,0)</f>
        <v>#N/A</v>
      </c>
      <c r="DP97" s="138" t="e">
        <f>IF(VLOOKUP(CONCATENATE(H97,F97,DP$2),Español!$A:$H,7,FALSE)=AD97,1,0)</f>
        <v>#N/A</v>
      </c>
      <c r="DQ97" s="138" t="e">
        <f>IF(VLOOKUP(CONCATENATE(H97,F97,DQ$2),Español!$A:$H,7,FALSE)=AE97,1,0)</f>
        <v>#N/A</v>
      </c>
      <c r="DR97" s="138" t="e">
        <f>IF(VLOOKUP(CONCATENATE(H97,F97,DR$2),Inglés!$A:$H,7,FALSE)=AF97,1,0)</f>
        <v>#N/A</v>
      </c>
      <c r="DS97" s="138" t="e">
        <f>IF(VLOOKUP(CONCATENATE(H97,F97,DS$2),Inglés!$A:$H,7,FALSE)=AG97,1,0)</f>
        <v>#N/A</v>
      </c>
      <c r="DT97" s="138" t="e">
        <f>IF(VLOOKUP(CONCATENATE(H97,F97,DT$2),Inglés!$A:$H,7,FALSE)=AH97,1,0)</f>
        <v>#N/A</v>
      </c>
      <c r="DU97" s="138" t="e">
        <f>IF(VLOOKUP(CONCATENATE(H97,F97,DU$2),Inglés!$A:$H,7,FALSE)=AI97,1,0)</f>
        <v>#N/A</v>
      </c>
      <c r="DV97" s="138" t="e">
        <f>IF(VLOOKUP(CONCATENATE(H97,F97,DV$2),Inglés!$A:$H,7,FALSE)=AJ97,1,0)</f>
        <v>#N/A</v>
      </c>
      <c r="DW97" s="138" t="e">
        <f>IF(VLOOKUP(CONCATENATE(H97,F97,DW$2),Inglés!$A:$H,7,FALSE)=AK97,1,0)</f>
        <v>#N/A</v>
      </c>
      <c r="DX97" s="138" t="e">
        <f>IF(VLOOKUP(CONCATENATE(H97,F97,DX$2),Inglés!$A:$H,7,FALSE)=AL97,1,0)</f>
        <v>#N/A</v>
      </c>
      <c r="DY97" s="138" t="e">
        <f>IF(VLOOKUP(CONCATENATE(H97,F97,DY$2),Inglés!$A:$H,7,FALSE)=AM97,1,0)</f>
        <v>#N/A</v>
      </c>
      <c r="DZ97" s="138" t="e">
        <f>IF(VLOOKUP(CONCATENATE(H97,F97,DZ$2),Inglés!$A:$H,7,FALSE)=AN97,1,0)</f>
        <v>#N/A</v>
      </c>
      <c r="EA97" s="138" t="e">
        <f>IF(VLOOKUP(CONCATENATE(H97,F97,EA$2),Inglés!$A:$H,7,FALSE)=AO97,1,0)</f>
        <v>#N/A</v>
      </c>
      <c r="EB97" s="138" t="e">
        <f>IF(VLOOKUP(CONCATENATE(H97,F97,EB$2),Matemáticas!$A:$H,7,FALSE)=AP97,1,0)</f>
        <v>#N/A</v>
      </c>
      <c r="EC97" s="138" t="e">
        <f>IF(VLOOKUP(CONCATENATE(H97,F97,EC$2),Matemáticas!$A:$H,7,FALSE)=AQ97,1,0)</f>
        <v>#N/A</v>
      </c>
      <c r="ED97" s="138" t="e">
        <f>IF(VLOOKUP(CONCATENATE(H97,F97,ED$2),Matemáticas!$A:$H,7,FALSE)=AR97,1,0)</f>
        <v>#N/A</v>
      </c>
      <c r="EE97" s="138" t="e">
        <f>IF(VLOOKUP(CONCATENATE(H97,F97,EE$2),Matemáticas!$A:$H,7,FALSE)=AS97,1,0)</f>
        <v>#N/A</v>
      </c>
      <c r="EF97" s="138" t="e">
        <f>IF(VLOOKUP(CONCATENATE(H97,F97,EF$2),Matemáticas!$A:$H,7,FALSE)=AT97,1,0)</f>
        <v>#N/A</v>
      </c>
      <c r="EG97" s="138" t="e">
        <f>IF(VLOOKUP(CONCATENATE(H97,F97,EG$2),Matemáticas!$A:$H,7,FALSE)=AU97,1,0)</f>
        <v>#N/A</v>
      </c>
      <c r="EH97" s="138" t="e">
        <f>IF(VLOOKUP(CONCATENATE(H97,F97,EH$2),Matemáticas!$A:$H,7,FALSE)=AV97,1,0)</f>
        <v>#N/A</v>
      </c>
      <c r="EI97" s="138" t="e">
        <f>IF(VLOOKUP(CONCATENATE(H97,F97,EI$2),Matemáticas!$A:$H,7,FALSE)=AW97,1,0)</f>
        <v>#N/A</v>
      </c>
      <c r="EJ97" s="138" t="e">
        <f>IF(VLOOKUP(CONCATENATE(H97,F97,EJ$2),Matemáticas!$A:$H,7,FALSE)=AX97,1,0)</f>
        <v>#N/A</v>
      </c>
      <c r="EK97" s="138" t="e">
        <f>IF(VLOOKUP(CONCATENATE(H97,F97,EK$2),Matemáticas!$A:$H,7,FALSE)=AY97,1,0)</f>
        <v>#N/A</v>
      </c>
      <c r="EL97" s="138" t="e">
        <f>IF(VLOOKUP(CONCATENATE(H97,F97,EL$2),Matemáticas!$A:$H,7,FALSE)=AZ97,1,0)</f>
        <v>#N/A</v>
      </c>
      <c r="EM97" s="138" t="e">
        <f>IF(VLOOKUP(CONCATENATE(H97,F97,EM$2),Matemáticas!$A:$H,7,FALSE)=BA97,1,0)</f>
        <v>#N/A</v>
      </c>
      <c r="EN97" s="138" t="e">
        <f>IF(VLOOKUP(CONCATENATE(H97,F97,EN$2),Matemáticas!$A:$H,7,FALSE)=BB97,1,0)</f>
        <v>#N/A</v>
      </c>
      <c r="EO97" s="138" t="e">
        <f>IF(VLOOKUP(CONCATENATE(H97,F97,EO$2),Matemáticas!$A:$H,7,FALSE)=BC97,1,0)</f>
        <v>#N/A</v>
      </c>
      <c r="EP97" s="138" t="e">
        <f>IF(VLOOKUP(CONCATENATE(H97,F97,EP$2),Matemáticas!$A:$H,7,FALSE)=BD97,1,0)</f>
        <v>#N/A</v>
      </c>
      <c r="EQ97" s="138" t="e">
        <f>IF(VLOOKUP(CONCATENATE(H97,F97,EQ$2),Matemáticas!$A:$H,7,FALSE)=BE97,1,0)</f>
        <v>#N/A</v>
      </c>
      <c r="ER97" s="138" t="e">
        <f>IF(VLOOKUP(CONCATENATE(H97,F97,ER$2),Matemáticas!$A:$H,7,FALSE)=BF97,1,0)</f>
        <v>#N/A</v>
      </c>
      <c r="ES97" s="138" t="e">
        <f>IF(VLOOKUP(CONCATENATE(H97,F97,ES$2),Matemáticas!$A:$H,7,FALSE)=BG97,1,0)</f>
        <v>#N/A</v>
      </c>
      <c r="ET97" s="138" t="e">
        <f>IF(VLOOKUP(CONCATENATE(H97,F97,ET$2),Matemáticas!$A:$H,7,FALSE)=BH97,1,0)</f>
        <v>#N/A</v>
      </c>
      <c r="EU97" s="138" t="e">
        <f>IF(VLOOKUP(CONCATENATE(H97,F97,EU$2),Matemáticas!$A:$H,7,FALSE)=BI97,1,0)</f>
        <v>#N/A</v>
      </c>
      <c r="EV97" s="138" t="e">
        <f>IF(VLOOKUP(CONCATENATE(H97,F97,EV$2),Ciencias!$A:$H,7,FALSE)=BJ97,1,0)</f>
        <v>#N/A</v>
      </c>
      <c r="EW97" s="138" t="e">
        <f>IF(VLOOKUP(CONCATENATE(H97,F97,EW$2),Ciencias!$A:$H,7,FALSE)=BK97,1,0)</f>
        <v>#N/A</v>
      </c>
      <c r="EX97" s="138" t="e">
        <f>IF(VLOOKUP(CONCATENATE(H97,F97,EX$2),Ciencias!$A:$H,7,FALSE)=BL97,1,0)</f>
        <v>#N/A</v>
      </c>
      <c r="EY97" s="138" t="e">
        <f>IF(VLOOKUP(CONCATENATE(H97,F97,EY$2),Ciencias!$A:$H,7,FALSE)=BM97,1,0)</f>
        <v>#N/A</v>
      </c>
      <c r="EZ97" s="138" t="e">
        <f>IF(VLOOKUP(CONCATENATE(H97,F97,EZ$2),Ciencias!$A:$H,7,FALSE)=BN97,1,0)</f>
        <v>#N/A</v>
      </c>
      <c r="FA97" s="138" t="e">
        <f>IF(VLOOKUP(CONCATENATE(H97,F97,FA$2),Ciencias!$A:$H,7,FALSE)=BO97,1,0)</f>
        <v>#N/A</v>
      </c>
      <c r="FB97" s="138" t="e">
        <f>IF(VLOOKUP(CONCATENATE(H97,F97,FB$2),Ciencias!$A:$H,7,FALSE)=BP97,1,0)</f>
        <v>#N/A</v>
      </c>
      <c r="FC97" s="138" t="e">
        <f>IF(VLOOKUP(CONCATENATE(H97,F97,FC$2),Ciencias!$A:$H,7,FALSE)=BQ97,1,0)</f>
        <v>#N/A</v>
      </c>
      <c r="FD97" s="138" t="e">
        <f>IF(VLOOKUP(CONCATENATE(H97,F97,FD$2),Ciencias!$A:$H,7,FALSE)=BR97,1,0)</f>
        <v>#N/A</v>
      </c>
      <c r="FE97" s="138" t="e">
        <f>IF(VLOOKUP(CONCATENATE(H97,F97,FE$2),Ciencias!$A:$H,7,FALSE)=BS97,1,0)</f>
        <v>#N/A</v>
      </c>
      <c r="FF97" s="138" t="e">
        <f>IF(VLOOKUP(CONCATENATE(H97,F97,FF$2),Ciencias!$A:$H,7,FALSE)=BT97,1,0)</f>
        <v>#N/A</v>
      </c>
      <c r="FG97" s="138" t="e">
        <f>IF(VLOOKUP(CONCATENATE(H97,F97,FG$2),Ciencias!$A:$H,7,FALSE)=BU97,1,0)</f>
        <v>#N/A</v>
      </c>
      <c r="FH97" s="138" t="e">
        <f>IF(VLOOKUP(CONCATENATE(H97,F97,FH$2),Ciencias!$A:$H,7,FALSE)=BV97,1,0)</f>
        <v>#N/A</v>
      </c>
      <c r="FI97" s="138" t="e">
        <f>IF(VLOOKUP(CONCATENATE(H97,F97,FI$2),Ciencias!$A:$H,7,FALSE)=BW97,1,0)</f>
        <v>#N/A</v>
      </c>
      <c r="FJ97" s="138" t="e">
        <f>IF(VLOOKUP(CONCATENATE(H97,F97,FJ$2),Ciencias!$A:$H,7,FALSE)=BX97,1,0)</f>
        <v>#N/A</v>
      </c>
      <c r="FK97" s="138" t="e">
        <f>IF(VLOOKUP(CONCATENATE(H97,F97,FK$2),Ciencias!$A:$H,7,FALSE)=BY97,1,0)</f>
        <v>#N/A</v>
      </c>
      <c r="FL97" s="138" t="e">
        <f>IF(VLOOKUP(CONCATENATE(H97,F97,FL$2),Ciencias!$A:$H,7,FALSE)=BZ97,1,0)</f>
        <v>#N/A</v>
      </c>
      <c r="FM97" s="138" t="e">
        <f>IF(VLOOKUP(CONCATENATE(H97,F97,FM$2),Ciencias!$A:$H,7,FALSE)=CA97,1,0)</f>
        <v>#N/A</v>
      </c>
      <c r="FN97" s="138" t="e">
        <f>IF(VLOOKUP(CONCATENATE(H97,F97,FN$2),Ciencias!$A:$H,7,FALSE)=CB97,1,0)</f>
        <v>#N/A</v>
      </c>
      <c r="FO97" s="138" t="e">
        <f>IF(VLOOKUP(CONCATENATE(H97,F97,FO$2),Ciencias!$A:$H,7,FALSE)=CC97,1,0)</f>
        <v>#N/A</v>
      </c>
      <c r="FP97" s="138" t="e">
        <f>IF(VLOOKUP(CONCATENATE(H97,F97,FP$2),GeoHis!$A:$H,7,FALSE)=CD97,1,0)</f>
        <v>#N/A</v>
      </c>
      <c r="FQ97" s="138" t="e">
        <f>IF(VLOOKUP(CONCATENATE(H97,F97,FQ$2),GeoHis!$A:$H,7,FALSE)=CE97,1,0)</f>
        <v>#N/A</v>
      </c>
      <c r="FR97" s="138" t="e">
        <f>IF(VLOOKUP(CONCATENATE(H97,F97,FR$2),GeoHis!$A:$H,7,FALSE)=CF97,1,0)</f>
        <v>#N/A</v>
      </c>
      <c r="FS97" s="138" t="e">
        <f>IF(VLOOKUP(CONCATENATE(H97,F97,FS$2),GeoHis!$A:$H,7,FALSE)=CG97,1,0)</f>
        <v>#N/A</v>
      </c>
      <c r="FT97" s="138" t="e">
        <f>IF(VLOOKUP(CONCATENATE(H97,F97,FT$2),GeoHis!$A:$H,7,FALSE)=CH97,1,0)</f>
        <v>#N/A</v>
      </c>
      <c r="FU97" s="138" t="e">
        <f>IF(VLOOKUP(CONCATENATE(H97,F97,FU$2),GeoHis!$A:$H,7,FALSE)=CI97,1,0)</f>
        <v>#N/A</v>
      </c>
      <c r="FV97" s="138" t="e">
        <f>IF(VLOOKUP(CONCATENATE(H97,F97,FV$2),GeoHis!$A:$H,7,FALSE)=CJ97,1,0)</f>
        <v>#N/A</v>
      </c>
      <c r="FW97" s="138" t="e">
        <f>IF(VLOOKUP(CONCATENATE(H97,F97,FW$2),GeoHis!$A:$H,7,FALSE)=CK97,1,0)</f>
        <v>#N/A</v>
      </c>
      <c r="FX97" s="138" t="e">
        <f>IF(VLOOKUP(CONCATENATE(H97,F97,FX$2),GeoHis!$A:$H,7,FALSE)=CL97,1,0)</f>
        <v>#N/A</v>
      </c>
      <c r="FY97" s="138" t="e">
        <f>IF(VLOOKUP(CONCATENATE(H97,F97,FY$2),GeoHis!$A:$H,7,FALSE)=CM97,1,0)</f>
        <v>#N/A</v>
      </c>
      <c r="FZ97" s="138" t="e">
        <f>IF(VLOOKUP(CONCATENATE(H97,F97,FZ$2),GeoHis!$A:$H,7,FALSE)=CN97,1,0)</f>
        <v>#N/A</v>
      </c>
      <c r="GA97" s="138" t="e">
        <f>IF(VLOOKUP(CONCATENATE(H97,F97,GA$2),GeoHis!$A:$H,7,FALSE)=CO97,1,0)</f>
        <v>#N/A</v>
      </c>
      <c r="GB97" s="138" t="e">
        <f>IF(VLOOKUP(CONCATENATE(H97,F97,GB$2),GeoHis!$A:$H,7,FALSE)=CP97,1,0)</f>
        <v>#N/A</v>
      </c>
      <c r="GC97" s="138" t="e">
        <f>IF(VLOOKUP(CONCATENATE(H97,F97,GC$2),GeoHis!$A:$H,7,FALSE)=CQ97,1,0)</f>
        <v>#N/A</v>
      </c>
      <c r="GD97" s="138" t="e">
        <f>IF(VLOOKUP(CONCATENATE(H97,F97,GD$2),GeoHis!$A:$H,7,FALSE)=CR97,1,0)</f>
        <v>#N/A</v>
      </c>
      <c r="GE97" s="135" t="str">
        <f t="shared" si="15"/>
        <v/>
      </c>
    </row>
    <row r="98" spans="1:187" x14ac:dyDescent="0.25">
      <c r="A98" s="127" t="str">
        <f>IF(C98="","",'Datos Generales'!$A$25)</f>
        <v/>
      </c>
      <c r="D98" s="126" t="str">
        <f t="shared" si="8"/>
        <v/>
      </c>
      <c r="E98" s="126">
        <f t="shared" si="9"/>
        <v>0</v>
      </c>
      <c r="F98" s="126" t="str">
        <f t="shared" si="10"/>
        <v/>
      </c>
      <c r="G98" s="126" t="str">
        <f>IF(C98="","",'Datos Generales'!$D$19)</f>
        <v/>
      </c>
      <c r="H98" s="21" t="str">
        <f>IF(C98="","",'Datos Generales'!$A$19)</f>
        <v/>
      </c>
      <c r="I98" s="126" t="str">
        <f>IF(C98="","",'Datos Generales'!$A$7)</f>
        <v/>
      </c>
      <c r="J98" s="21" t="str">
        <f>IF(C98="","",'Datos Generales'!$A$13)</f>
        <v/>
      </c>
      <c r="K98" s="21" t="str">
        <f>IF(C98="","",'Datos Generales'!$A$10)</f>
        <v/>
      </c>
      <c r="CS98" s="142" t="str">
        <f t="shared" si="11"/>
        <v/>
      </c>
      <c r="CT98" s="142" t="str">
        <f t="shared" si="12"/>
        <v/>
      </c>
      <c r="CU98" s="142" t="str">
        <f t="shared" si="13"/>
        <v/>
      </c>
      <c r="CV98" s="142" t="str">
        <f t="shared" si="14"/>
        <v/>
      </c>
      <c r="CW98" s="142" t="str">
        <f>IF(C98="","",IF('Datos Generales'!$A$19=1,AVERAGE(FP98:GD98),AVERAGE(Captura!FP98:FY98)))</f>
        <v/>
      </c>
      <c r="CX98" s="138" t="e">
        <f>IF(VLOOKUP(CONCATENATE($H$4,$F$4,CX$2),Español!$A:$H,7,FALSE)=L98,1,0)</f>
        <v>#N/A</v>
      </c>
      <c r="CY98" s="138" t="e">
        <f>IF(VLOOKUP(CONCATENATE(H98,F98,CY$2),Español!$A:$H,7,FALSE)=M98,1,0)</f>
        <v>#N/A</v>
      </c>
      <c r="CZ98" s="138" t="e">
        <f>IF(VLOOKUP(CONCATENATE(H98,F98,CZ$2),Español!$A:$H,7,FALSE)=N98,1,0)</f>
        <v>#N/A</v>
      </c>
      <c r="DA98" s="138" t="e">
        <f>IF(VLOOKUP(CONCATENATE(H98,F98,DA$2),Español!$A:$H,7,FALSE)=O98,1,0)</f>
        <v>#N/A</v>
      </c>
      <c r="DB98" s="138" t="e">
        <f>IF(VLOOKUP(CONCATENATE(H98,F98,DB$2),Español!$A:$H,7,FALSE)=P98,1,0)</f>
        <v>#N/A</v>
      </c>
      <c r="DC98" s="138" t="e">
        <f>IF(VLOOKUP(CONCATENATE(H98,F98,DC$2),Español!$A:$H,7,FALSE)=Q98,1,0)</f>
        <v>#N/A</v>
      </c>
      <c r="DD98" s="138" t="e">
        <f>IF(VLOOKUP(CONCATENATE(H98,F98,DD$2),Español!$A:$H,7,FALSE)=R98,1,0)</f>
        <v>#N/A</v>
      </c>
      <c r="DE98" s="138" t="e">
        <f>IF(VLOOKUP(CONCATENATE(H98,F98,DE$2),Español!$A:$H,7,FALSE)=S98,1,0)</f>
        <v>#N/A</v>
      </c>
      <c r="DF98" s="138" t="e">
        <f>IF(VLOOKUP(CONCATENATE(H98,F98,DF$2),Español!$A:$H,7,FALSE)=T98,1,0)</f>
        <v>#N/A</v>
      </c>
      <c r="DG98" s="138" t="e">
        <f>IF(VLOOKUP(CONCATENATE(H98,F98,DG$2),Español!$A:$H,7,FALSE)=U98,1,0)</f>
        <v>#N/A</v>
      </c>
      <c r="DH98" s="138" t="e">
        <f>IF(VLOOKUP(CONCATENATE(H98,F98,DH$2),Español!$A:$H,7,FALSE)=V98,1,0)</f>
        <v>#N/A</v>
      </c>
      <c r="DI98" s="138" t="e">
        <f>IF(VLOOKUP(CONCATENATE(H98,F98,DI$2),Español!$A:$H,7,FALSE)=W98,1,0)</f>
        <v>#N/A</v>
      </c>
      <c r="DJ98" s="138" t="e">
        <f>IF(VLOOKUP(CONCATENATE(H98,F98,DJ$2),Español!$A:$H,7,FALSE)=X98,1,0)</f>
        <v>#N/A</v>
      </c>
      <c r="DK98" s="138" t="e">
        <f>IF(VLOOKUP(CONCATENATE(H98,F98,DK$2),Español!$A:$H,7,FALSE)=Y98,1,0)</f>
        <v>#N/A</v>
      </c>
      <c r="DL98" s="138" t="e">
        <f>IF(VLOOKUP(CONCATENATE(H98,F98,DL$2),Español!$A:$H,7,FALSE)=Z98,1,0)</f>
        <v>#N/A</v>
      </c>
      <c r="DM98" s="138" t="e">
        <f>IF(VLOOKUP(CONCATENATE(H98,F98,DM$2),Español!$A:$H,7,FALSE)=AA98,1,0)</f>
        <v>#N/A</v>
      </c>
      <c r="DN98" s="138" t="e">
        <f>IF(VLOOKUP(CONCATENATE(H98,F98,DN$2),Español!$A:$H,7,FALSE)=AB98,1,0)</f>
        <v>#N/A</v>
      </c>
      <c r="DO98" s="138" t="e">
        <f>IF(VLOOKUP(CONCATENATE(H98,F98,DO$2),Español!$A:$H,7,FALSE)=AC98,1,0)</f>
        <v>#N/A</v>
      </c>
      <c r="DP98" s="138" t="e">
        <f>IF(VLOOKUP(CONCATENATE(H98,F98,DP$2),Español!$A:$H,7,FALSE)=AD98,1,0)</f>
        <v>#N/A</v>
      </c>
      <c r="DQ98" s="138" t="e">
        <f>IF(VLOOKUP(CONCATENATE(H98,F98,DQ$2),Español!$A:$H,7,FALSE)=AE98,1,0)</f>
        <v>#N/A</v>
      </c>
      <c r="DR98" s="138" t="e">
        <f>IF(VLOOKUP(CONCATENATE(H98,F98,DR$2),Inglés!$A:$H,7,FALSE)=AF98,1,0)</f>
        <v>#N/A</v>
      </c>
      <c r="DS98" s="138" t="e">
        <f>IF(VLOOKUP(CONCATENATE(H98,F98,DS$2),Inglés!$A:$H,7,FALSE)=AG98,1,0)</f>
        <v>#N/A</v>
      </c>
      <c r="DT98" s="138" t="e">
        <f>IF(VLOOKUP(CONCATENATE(H98,F98,DT$2),Inglés!$A:$H,7,FALSE)=AH98,1,0)</f>
        <v>#N/A</v>
      </c>
      <c r="DU98" s="138" t="e">
        <f>IF(VLOOKUP(CONCATENATE(H98,F98,DU$2),Inglés!$A:$H,7,FALSE)=AI98,1,0)</f>
        <v>#N/A</v>
      </c>
      <c r="DV98" s="138" t="e">
        <f>IF(VLOOKUP(CONCATENATE(H98,F98,DV$2),Inglés!$A:$H,7,FALSE)=AJ98,1,0)</f>
        <v>#N/A</v>
      </c>
      <c r="DW98" s="138" t="e">
        <f>IF(VLOOKUP(CONCATENATE(H98,F98,DW$2),Inglés!$A:$H,7,FALSE)=AK98,1,0)</f>
        <v>#N/A</v>
      </c>
      <c r="DX98" s="138" t="e">
        <f>IF(VLOOKUP(CONCATENATE(H98,F98,DX$2),Inglés!$A:$H,7,FALSE)=AL98,1,0)</f>
        <v>#N/A</v>
      </c>
      <c r="DY98" s="138" t="e">
        <f>IF(VLOOKUP(CONCATENATE(H98,F98,DY$2),Inglés!$A:$H,7,FALSE)=AM98,1,0)</f>
        <v>#N/A</v>
      </c>
      <c r="DZ98" s="138" t="e">
        <f>IF(VLOOKUP(CONCATENATE(H98,F98,DZ$2),Inglés!$A:$H,7,FALSE)=AN98,1,0)</f>
        <v>#N/A</v>
      </c>
      <c r="EA98" s="138" t="e">
        <f>IF(VLOOKUP(CONCATENATE(H98,F98,EA$2),Inglés!$A:$H,7,FALSE)=AO98,1,0)</f>
        <v>#N/A</v>
      </c>
      <c r="EB98" s="138" t="e">
        <f>IF(VLOOKUP(CONCATENATE(H98,F98,EB$2),Matemáticas!$A:$H,7,FALSE)=AP98,1,0)</f>
        <v>#N/A</v>
      </c>
      <c r="EC98" s="138" t="e">
        <f>IF(VLOOKUP(CONCATENATE(H98,F98,EC$2),Matemáticas!$A:$H,7,FALSE)=AQ98,1,0)</f>
        <v>#N/A</v>
      </c>
      <c r="ED98" s="138" t="e">
        <f>IF(VLOOKUP(CONCATENATE(H98,F98,ED$2),Matemáticas!$A:$H,7,FALSE)=AR98,1,0)</f>
        <v>#N/A</v>
      </c>
      <c r="EE98" s="138" t="e">
        <f>IF(VLOOKUP(CONCATENATE(H98,F98,EE$2),Matemáticas!$A:$H,7,FALSE)=AS98,1,0)</f>
        <v>#N/A</v>
      </c>
      <c r="EF98" s="138" t="e">
        <f>IF(VLOOKUP(CONCATENATE(H98,F98,EF$2),Matemáticas!$A:$H,7,FALSE)=AT98,1,0)</f>
        <v>#N/A</v>
      </c>
      <c r="EG98" s="138" t="e">
        <f>IF(VLOOKUP(CONCATENATE(H98,F98,EG$2),Matemáticas!$A:$H,7,FALSE)=AU98,1,0)</f>
        <v>#N/A</v>
      </c>
      <c r="EH98" s="138" t="e">
        <f>IF(VLOOKUP(CONCATENATE(H98,F98,EH$2),Matemáticas!$A:$H,7,FALSE)=AV98,1,0)</f>
        <v>#N/A</v>
      </c>
      <c r="EI98" s="138" t="e">
        <f>IF(VLOOKUP(CONCATENATE(H98,F98,EI$2),Matemáticas!$A:$H,7,FALSE)=AW98,1,0)</f>
        <v>#N/A</v>
      </c>
      <c r="EJ98" s="138" t="e">
        <f>IF(VLOOKUP(CONCATENATE(H98,F98,EJ$2),Matemáticas!$A:$H,7,FALSE)=AX98,1,0)</f>
        <v>#N/A</v>
      </c>
      <c r="EK98" s="138" t="e">
        <f>IF(VLOOKUP(CONCATENATE(H98,F98,EK$2),Matemáticas!$A:$H,7,FALSE)=AY98,1,0)</f>
        <v>#N/A</v>
      </c>
      <c r="EL98" s="138" t="e">
        <f>IF(VLOOKUP(CONCATENATE(H98,F98,EL$2),Matemáticas!$A:$H,7,FALSE)=AZ98,1,0)</f>
        <v>#N/A</v>
      </c>
      <c r="EM98" s="138" t="e">
        <f>IF(VLOOKUP(CONCATENATE(H98,F98,EM$2),Matemáticas!$A:$H,7,FALSE)=BA98,1,0)</f>
        <v>#N/A</v>
      </c>
      <c r="EN98" s="138" t="e">
        <f>IF(VLOOKUP(CONCATENATE(H98,F98,EN$2),Matemáticas!$A:$H,7,FALSE)=BB98,1,0)</f>
        <v>#N/A</v>
      </c>
      <c r="EO98" s="138" t="e">
        <f>IF(VLOOKUP(CONCATENATE(H98,F98,EO$2),Matemáticas!$A:$H,7,FALSE)=BC98,1,0)</f>
        <v>#N/A</v>
      </c>
      <c r="EP98" s="138" t="e">
        <f>IF(VLOOKUP(CONCATENATE(H98,F98,EP$2),Matemáticas!$A:$H,7,FALSE)=BD98,1,0)</f>
        <v>#N/A</v>
      </c>
      <c r="EQ98" s="138" t="e">
        <f>IF(VLOOKUP(CONCATENATE(H98,F98,EQ$2),Matemáticas!$A:$H,7,FALSE)=BE98,1,0)</f>
        <v>#N/A</v>
      </c>
      <c r="ER98" s="138" t="e">
        <f>IF(VLOOKUP(CONCATENATE(H98,F98,ER$2),Matemáticas!$A:$H,7,FALSE)=BF98,1,0)</f>
        <v>#N/A</v>
      </c>
      <c r="ES98" s="138" t="e">
        <f>IF(VLOOKUP(CONCATENATE(H98,F98,ES$2),Matemáticas!$A:$H,7,FALSE)=BG98,1,0)</f>
        <v>#N/A</v>
      </c>
      <c r="ET98" s="138" t="e">
        <f>IF(VLOOKUP(CONCATENATE(H98,F98,ET$2),Matemáticas!$A:$H,7,FALSE)=BH98,1,0)</f>
        <v>#N/A</v>
      </c>
      <c r="EU98" s="138" t="e">
        <f>IF(VLOOKUP(CONCATENATE(H98,F98,EU$2),Matemáticas!$A:$H,7,FALSE)=BI98,1,0)</f>
        <v>#N/A</v>
      </c>
      <c r="EV98" s="138" t="e">
        <f>IF(VLOOKUP(CONCATENATE(H98,F98,EV$2),Ciencias!$A:$H,7,FALSE)=BJ98,1,0)</f>
        <v>#N/A</v>
      </c>
      <c r="EW98" s="138" t="e">
        <f>IF(VLOOKUP(CONCATENATE(H98,F98,EW$2),Ciencias!$A:$H,7,FALSE)=BK98,1,0)</f>
        <v>#N/A</v>
      </c>
      <c r="EX98" s="138" t="e">
        <f>IF(VLOOKUP(CONCATENATE(H98,F98,EX$2),Ciencias!$A:$H,7,FALSE)=BL98,1,0)</f>
        <v>#N/A</v>
      </c>
      <c r="EY98" s="138" t="e">
        <f>IF(VLOOKUP(CONCATENATE(H98,F98,EY$2),Ciencias!$A:$H,7,FALSE)=BM98,1,0)</f>
        <v>#N/A</v>
      </c>
      <c r="EZ98" s="138" t="e">
        <f>IF(VLOOKUP(CONCATENATE(H98,F98,EZ$2),Ciencias!$A:$H,7,FALSE)=BN98,1,0)</f>
        <v>#N/A</v>
      </c>
      <c r="FA98" s="138" t="e">
        <f>IF(VLOOKUP(CONCATENATE(H98,F98,FA$2),Ciencias!$A:$H,7,FALSE)=BO98,1,0)</f>
        <v>#N/A</v>
      </c>
      <c r="FB98" s="138" t="e">
        <f>IF(VLOOKUP(CONCATENATE(H98,F98,FB$2),Ciencias!$A:$H,7,FALSE)=BP98,1,0)</f>
        <v>#N/A</v>
      </c>
      <c r="FC98" s="138" t="e">
        <f>IF(VLOOKUP(CONCATENATE(H98,F98,FC$2),Ciencias!$A:$H,7,FALSE)=BQ98,1,0)</f>
        <v>#N/A</v>
      </c>
      <c r="FD98" s="138" t="e">
        <f>IF(VLOOKUP(CONCATENATE(H98,F98,FD$2),Ciencias!$A:$H,7,FALSE)=BR98,1,0)</f>
        <v>#N/A</v>
      </c>
      <c r="FE98" s="138" t="e">
        <f>IF(VLOOKUP(CONCATENATE(H98,F98,FE$2),Ciencias!$A:$H,7,FALSE)=BS98,1,0)</f>
        <v>#N/A</v>
      </c>
      <c r="FF98" s="138" t="e">
        <f>IF(VLOOKUP(CONCATENATE(H98,F98,FF$2),Ciencias!$A:$H,7,FALSE)=BT98,1,0)</f>
        <v>#N/A</v>
      </c>
      <c r="FG98" s="138" t="e">
        <f>IF(VLOOKUP(CONCATENATE(H98,F98,FG$2),Ciencias!$A:$H,7,FALSE)=BU98,1,0)</f>
        <v>#N/A</v>
      </c>
      <c r="FH98" s="138" t="e">
        <f>IF(VLOOKUP(CONCATENATE(H98,F98,FH$2),Ciencias!$A:$H,7,FALSE)=BV98,1,0)</f>
        <v>#N/A</v>
      </c>
      <c r="FI98" s="138" t="e">
        <f>IF(VLOOKUP(CONCATENATE(H98,F98,FI$2),Ciencias!$A:$H,7,FALSE)=BW98,1,0)</f>
        <v>#N/A</v>
      </c>
      <c r="FJ98" s="138" t="e">
        <f>IF(VLOOKUP(CONCATENATE(H98,F98,FJ$2),Ciencias!$A:$H,7,FALSE)=BX98,1,0)</f>
        <v>#N/A</v>
      </c>
      <c r="FK98" s="138" t="e">
        <f>IF(VLOOKUP(CONCATENATE(H98,F98,FK$2),Ciencias!$A:$H,7,FALSE)=BY98,1,0)</f>
        <v>#N/A</v>
      </c>
      <c r="FL98" s="138" t="e">
        <f>IF(VLOOKUP(CONCATENATE(H98,F98,FL$2),Ciencias!$A:$H,7,FALSE)=BZ98,1,0)</f>
        <v>#N/A</v>
      </c>
      <c r="FM98" s="138" t="e">
        <f>IF(VLOOKUP(CONCATENATE(H98,F98,FM$2),Ciencias!$A:$H,7,FALSE)=CA98,1,0)</f>
        <v>#N/A</v>
      </c>
      <c r="FN98" s="138" t="e">
        <f>IF(VLOOKUP(CONCATENATE(H98,F98,FN$2),Ciencias!$A:$H,7,FALSE)=CB98,1,0)</f>
        <v>#N/A</v>
      </c>
      <c r="FO98" s="138" t="e">
        <f>IF(VLOOKUP(CONCATENATE(H98,F98,FO$2),Ciencias!$A:$H,7,FALSE)=CC98,1,0)</f>
        <v>#N/A</v>
      </c>
      <c r="FP98" s="138" t="e">
        <f>IF(VLOOKUP(CONCATENATE(H98,F98,FP$2),GeoHis!$A:$H,7,FALSE)=CD98,1,0)</f>
        <v>#N/A</v>
      </c>
      <c r="FQ98" s="138" t="e">
        <f>IF(VLOOKUP(CONCATENATE(H98,F98,FQ$2),GeoHis!$A:$H,7,FALSE)=CE98,1,0)</f>
        <v>#N/A</v>
      </c>
      <c r="FR98" s="138" t="e">
        <f>IF(VLOOKUP(CONCATENATE(H98,F98,FR$2),GeoHis!$A:$H,7,FALSE)=CF98,1,0)</f>
        <v>#N/A</v>
      </c>
      <c r="FS98" s="138" t="e">
        <f>IF(VLOOKUP(CONCATENATE(H98,F98,FS$2),GeoHis!$A:$H,7,FALSE)=CG98,1,0)</f>
        <v>#N/A</v>
      </c>
      <c r="FT98" s="138" t="e">
        <f>IF(VLOOKUP(CONCATENATE(H98,F98,FT$2),GeoHis!$A:$H,7,FALSE)=CH98,1,0)</f>
        <v>#N/A</v>
      </c>
      <c r="FU98" s="138" t="e">
        <f>IF(VLOOKUP(CONCATENATE(H98,F98,FU$2),GeoHis!$A:$H,7,FALSE)=CI98,1,0)</f>
        <v>#N/A</v>
      </c>
      <c r="FV98" s="138" t="e">
        <f>IF(VLOOKUP(CONCATENATE(H98,F98,FV$2),GeoHis!$A:$H,7,FALSE)=CJ98,1,0)</f>
        <v>#N/A</v>
      </c>
      <c r="FW98" s="138" t="e">
        <f>IF(VLOOKUP(CONCATENATE(H98,F98,FW$2),GeoHis!$A:$H,7,FALSE)=CK98,1,0)</f>
        <v>#N/A</v>
      </c>
      <c r="FX98" s="138" t="e">
        <f>IF(VLOOKUP(CONCATENATE(H98,F98,FX$2),GeoHis!$A:$H,7,FALSE)=CL98,1,0)</f>
        <v>#N/A</v>
      </c>
      <c r="FY98" s="138" t="e">
        <f>IF(VLOOKUP(CONCATENATE(H98,F98,FY$2),GeoHis!$A:$H,7,FALSE)=CM98,1,0)</f>
        <v>#N/A</v>
      </c>
      <c r="FZ98" s="138" t="e">
        <f>IF(VLOOKUP(CONCATENATE(H98,F98,FZ$2),GeoHis!$A:$H,7,FALSE)=CN98,1,0)</f>
        <v>#N/A</v>
      </c>
      <c r="GA98" s="138" t="e">
        <f>IF(VLOOKUP(CONCATENATE(H98,F98,GA$2),GeoHis!$A:$H,7,FALSE)=CO98,1,0)</f>
        <v>#N/A</v>
      </c>
      <c r="GB98" s="138" t="e">
        <f>IF(VLOOKUP(CONCATENATE(H98,F98,GB$2),GeoHis!$A:$H,7,FALSE)=CP98,1,0)</f>
        <v>#N/A</v>
      </c>
      <c r="GC98" s="138" t="e">
        <f>IF(VLOOKUP(CONCATENATE(H98,F98,GC$2),GeoHis!$A:$H,7,FALSE)=CQ98,1,0)</f>
        <v>#N/A</v>
      </c>
      <c r="GD98" s="138" t="e">
        <f>IF(VLOOKUP(CONCATENATE(H98,F98,GD$2),GeoHis!$A:$H,7,FALSE)=CR98,1,0)</f>
        <v>#N/A</v>
      </c>
      <c r="GE98" s="135" t="str">
        <f t="shared" si="15"/>
        <v/>
      </c>
    </row>
    <row r="99" spans="1:187" x14ac:dyDescent="0.25">
      <c r="A99" s="127" t="str">
        <f>IF(C99="","",'Datos Generales'!$A$25)</f>
        <v/>
      </c>
      <c r="D99" s="126" t="str">
        <f t="shared" si="8"/>
        <v/>
      </c>
      <c r="E99" s="126">
        <f t="shared" si="9"/>
        <v>0</v>
      </c>
      <c r="F99" s="126" t="str">
        <f t="shared" si="10"/>
        <v/>
      </c>
      <c r="G99" s="126" t="str">
        <f>IF(C99="","",'Datos Generales'!$D$19)</f>
        <v/>
      </c>
      <c r="H99" s="21" t="str">
        <f>IF(C99="","",'Datos Generales'!$A$19)</f>
        <v/>
      </c>
      <c r="I99" s="126" t="str">
        <f>IF(C99="","",'Datos Generales'!$A$7)</f>
        <v/>
      </c>
      <c r="J99" s="21" t="str">
        <f>IF(C99="","",'Datos Generales'!$A$13)</f>
        <v/>
      </c>
      <c r="K99" s="21" t="str">
        <f>IF(C99="","",'Datos Generales'!$A$10)</f>
        <v/>
      </c>
      <c r="CS99" s="142" t="str">
        <f t="shared" si="11"/>
        <v/>
      </c>
      <c r="CT99" s="142" t="str">
        <f t="shared" si="12"/>
        <v/>
      </c>
      <c r="CU99" s="142" t="str">
        <f t="shared" si="13"/>
        <v/>
      </c>
      <c r="CV99" s="142" t="str">
        <f t="shared" si="14"/>
        <v/>
      </c>
      <c r="CW99" s="142" t="str">
        <f>IF(C99="","",IF('Datos Generales'!$A$19=1,AVERAGE(FP99:GD99),AVERAGE(Captura!FP99:FY99)))</f>
        <v/>
      </c>
      <c r="CX99" s="138" t="e">
        <f>IF(VLOOKUP(CONCATENATE($H$4,$F$4,CX$2),Español!$A:$H,7,FALSE)=L99,1,0)</f>
        <v>#N/A</v>
      </c>
      <c r="CY99" s="138" t="e">
        <f>IF(VLOOKUP(CONCATENATE(H99,F99,CY$2),Español!$A:$H,7,FALSE)=M99,1,0)</f>
        <v>#N/A</v>
      </c>
      <c r="CZ99" s="138" t="e">
        <f>IF(VLOOKUP(CONCATENATE(H99,F99,CZ$2),Español!$A:$H,7,FALSE)=N99,1,0)</f>
        <v>#N/A</v>
      </c>
      <c r="DA99" s="138" t="e">
        <f>IF(VLOOKUP(CONCATENATE(H99,F99,DA$2),Español!$A:$H,7,FALSE)=O99,1,0)</f>
        <v>#N/A</v>
      </c>
      <c r="DB99" s="138" t="e">
        <f>IF(VLOOKUP(CONCATENATE(H99,F99,DB$2),Español!$A:$H,7,FALSE)=P99,1,0)</f>
        <v>#N/A</v>
      </c>
      <c r="DC99" s="138" t="e">
        <f>IF(VLOOKUP(CONCATENATE(H99,F99,DC$2),Español!$A:$H,7,FALSE)=Q99,1,0)</f>
        <v>#N/A</v>
      </c>
      <c r="DD99" s="138" t="e">
        <f>IF(VLOOKUP(CONCATENATE(H99,F99,DD$2),Español!$A:$H,7,FALSE)=R99,1,0)</f>
        <v>#N/A</v>
      </c>
      <c r="DE99" s="138" t="e">
        <f>IF(VLOOKUP(CONCATENATE(H99,F99,DE$2),Español!$A:$H,7,FALSE)=S99,1,0)</f>
        <v>#N/A</v>
      </c>
      <c r="DF99" s="138" t="e">
        <f>IF(VLOOKUP(CONCATENATE(H99,F99,DF$2),Español!$A:$H,7,FALSE)=T99,1,0)</f>
        <v>#N/A</v>
      </c>
      <c r="DG99" s="138" t="e">
        <f>IF(VLOOKUP(CONCATENATE(H99,F99,DG$2),Español!$A:$H,7,FALSE)=U99,1,0)</f>
        <v>#N/A</v>
      </c>
      <c r="DH99" s="138" t="e">
        <f>IF(VLOOKUP(CONCATENATE(H99,F99,DH$2),Español!$A:$H,7,FALSE)=V99,1,0)</f>
        <v>#N/A</v>
      </c>
      <c r="DI99" s="138" t="e">
        <f>IF(VLOOKUP(CONCATENATE(H99,F99,DI$2),Español!$A:$H,7,FALSE)=W99,1,0)</f>
        <v>#N/A</v>
      </c>
      <c r="DJ99" s="138" t="e">
        <f>IF(VLOOKUP(CONCATENATE(H99,F99,DJ$2),Español!$A:$H,7,FALSE)=X99,1,0)</f>
        <v>#N/A</v>
      </c>
      <c r="DK99" s="138" t="e">
        <f>IF(VLOOKUP(CONCATENATE(H99,F99,DK$2),Español!$A:$H,7,FALSE)=Y99,1,0)</f>
        <v>#N/A</v>
      </c>
      <c r="DL99" s="138" t="e">
        <f>IF(VLOOKUP(CONCATENATE(H99,F99,DL$2),Español!$A:$H,7,FALSE)=Z99,1,0)</f>
        <v>#N/A</v>
      </c>
      <c r="DM99" s="138" t="e">
        <f>IF(VLOOKUP(CONCATENATE(H99,F99,DM$2),Español!$A:$H,7,FALSE)=AA99,1,0)</f>
        <v>#N/A</v>
      </c>
      <c r="DN99" s="138" t="e">
        <f>IF(VLOOKUP(CONCATENATE(H99,F99,DN$2),Español!$A:$H,7,FALSE)=AB99,1,0)</f>
        <v>#N/A</v>
      </c>
      <c r="DO99" s="138" t="e">
        <f>IF(VLOOKUP(CONCATENATE(H99,F99,DO$2),Español!$A:$H,7,FALSE)=AC99,1,0)</f>
        <v>#N/A</v>
      </c>
      <c r="DP99" s="138" t="e">
        <f>IF(VLOOKUP(CONCATENATE(H99,F99,DP$2),Español!$A:$H,7,FALSE)=AD99,1,0)</f>
        <v>#N/A</v>
      </c>
      <c r="DQ99" s="138" t="e">
        <f>IF(VLOOKUP(CONCATENATE(H99,F99,DQ$2),Español!$A:$H,7,FALSE)=AE99,1,0)</f>
        <v>#N/A</v>
      </c>
      <c r="DR99" s="138" t="e">
        <f>IF(VLOOKUP(CONCATENATE(H99,F99,DR$2),Inglés!$A:$H,7,FALSE)=AF99,1,0)</f>
        <v>#N/A</v>
      </c>
      <c r="DS99" s="138" t="e">
        <f>IF(VLOOKUP(CONCATENATE(H99,F99,DS$2),Inglés!$A:$H,7,FALSE)=AG99,1,0)</f>
        <v>#N/A</v>
      </c>
      <c r="DT99" s="138" t="e">
        <f>IF(VLOOKUP(CONCATENATE(H99,F99,DT$2),Inglés!$A:$H,7,FALSE)=AH99,1,0)</f>
        <v>#N/A</v>
      </c>
      <c r="DU99" s="138" t="e">
        <f>IF(VLOOKUP(CONCATENATE(H99,F99,DU$2),Inglés!$A:$H,7,FALSE)=AI99,1,0)</f>
        <v>#N/A</v>
      </c>
      <c r="DV99" s="138" t="e">
        <f>IF(VLOOKUP(CONCATENATE(H99,F99,DV$2),Inglés!$A:$H,7,FALSE)=AJ99,1,0)</f>
        <v>#N/A</v>
      </c>
      <c r="DW99" s="138" t="e">
        <f>IF(VLOOKUP(CONCATENATE(H99,F99,DW$2),Inglés!$A:$H,7,FALSE)=AK99,1,0)</f>
        <v>#N/A</v>
      </c>
      <c r="DX99" s="138" t="e">
        <f>IF(VLOOKUP(CONCATENATE(H99,F99,DX$2),Inglés!$A:$H,7,FALSE)=AL99,1,0)</f>
        <v>#N/A</v>
      </c>
      <c r="DY99" s="138" t="e">
        <f>IF(VLOOKUP(CONCATENATE(H99,F99,DY$2),Inglés!$A:$H,7,FALSE)=AM99,1,0)</f>
        <v>#N/A</v>
      </c>
      <c r="DZ99" s="138" t="e">
        <f>IF(VLOOKUP(CONCATENATE(H99,F99,DZ$2),Inglés!$A:$H,7,FALSE)=AN99,1,0)</f>
        <v>#N/A</v>
      </c>
      <c r="EA99" s="138" t="e">
        <f>IF(VLOOKUP(CONCATENATE(H99,F99,EA$2),Inglés!$A:$H,7,FALSE)=AO99,1,0)</f>
        <v>#N/A</v>
      </c>
      <c r="EB99" s="138" t="e">
        <f>IF(VLOOKUP(CONCATENATE(H99,F99,EB$2),Matemáticas!$A:$H,7,FALSE)=AP99,1,0)</f>
        <v>#N/A</v>
      </c>
      <c r="EC99" s="138" t="e">
        <f>IF(VLOOKUP(CONCATENATE(H99,F99,EC$2),Matemáticas!$A:$H,7,FALSE)=AQ99,1,0)</f>
        <v>#N/A</v>
      </c>
      <c r="ED99" s="138" t="e">
        <f>IF(VLOOKUP(CONCATENATE(H99,F99,ED$2),Matemáticas!$A:$H,7,FALSE)=AR99,1,0)</f>
        <v>#N/A</v>
      </c>
      <c r="EE99" s="138" t="e">
        <f>IF(VLOOKUP(CONCATENATE(H99,F99,EE$2),Matemáticas!$A:$H,7,FALSE)=AS99,1,0)</f>
        <v>#N/A</v>
      </c>
      <c r="EF99" s="138" t="e">
        <f>IF(VLOOKUP(CONCATENATE(H99,F99,EF$2),Matemáticas!$A:$H,7,FALSE)=AT99,1,0)</f>
        <v>#N/A</v>
      </c>
      <c r="EG99" s="138" t="e">
        <f>IF(VLOOKUP(CONCATENATE(H99,F99,EG$2),Matemáticas!$A:$H,7,FALSE)=AU99,1,0)</f>
        <v>#N/A</v>
      </c>
      <c r="EH99" s="138" t="e">
        <f>IF(VLOOKUP(CONCATENATE(H99,F99,EH$2),Matemáticas!$A:$H,7,FALSE)=AV99,1,0)</f>
        <v>#N/A</v>
      </c>
      <c r="EI99" s="138" t="e">
        <f>IF(VLOOKUP(CONCATENATE(H99,F99,EI$2),Matemáticas!$A:$H,7,FALSE)=AW99,1,0)</f>
        <v>#N/A</v>
      </c>
      <c r="EJ99" s="138" t="e">
        <f>IF(VLOOKUP(CONCATENATE(H99,F99,EJ$2),Matemáticas!$A:$H,7,FALSE)=AX99,1,0)</f>
        <v>#N/A</v>
      </c>
      <c r="EK99" s="138" t="e">
        <f>IF(VLOOKUP(CONCATENATE(H99,F99,EK$2),Matemáticas!$A:$H,7,FALSE)=AY99,1,0)</f>
        <v>#N/A</v>
      </c>
      <c r="EL99" s="138" t="e">
        <f>IF(VLOOKUP(CONCATENATE(H99,F99,EL$2),Matemáticas!$A:$H,7,FALSE)=AZ99,1,0)</f>
        <v>#N/A</v>
      </c>
      <c r="EM99" s="138" t="e">
        <f>IF(VLOOKUP(CONCATENATE(H99,F99,EM$2),Matemáticas!$A:$H,7,FALSE)=BA99,1,0)</f>
        <v>#N/A</v>
      </c>
      <c r="EN99" s="138" t="e">
        <f>IF(VLOOKUP(CONCATENATE(H99,F99,EN$2),Matemáticas!$A:$H,7,FALSE)=BB99,1,0)</f>
        <v>#N/A</v>
      </c>
      <c r="EO99" s="138" t="e">
        <f>IF(VLOOKUP(CONCATENATE(H99,F99,EO$2),Matemáticas!$A:$H,7,FALSE)=BC99,1,0)</f>
        <v>#N/A</v>
      </c>
      <c r="EP99" s="138" t="e">
        <f>IF(VLOOKUP(CONCATENATE(H99,F99,EP$2),Matemáticas!$A:$H,7,FALSE)=BD99,1,0)</f>
        <v>#N/A</v>
      </c>
      <c r="EQ99" s="138" t="e">
        <f>IF(VLOOKUP(CONCATENATE(H99,F99,EQ$2),Matemáticas!$A:$H,7,FALSE)=BE99,1,0)</f>
        <v>#N/A</v>
      </c>
      <c r="ER99" s="138" t="e">
        <f>IF(VLOOKUP(CONCATENATE(H99,F99,ER$2),Matemáticas!$A:$H,7,FALSE)=BF99,1,0)</f>
        <v>#N/A</v>
      </c>
      <c r="ES99" s="138" t="e">
        <f>IF(VLOOKUP(CONCATENATE(H99,F99,ES$2),Matemáticas!$A:$H,7,FALSE)=BG99,1,0)</f>
        <v>#N/A</v>
      </c>
      <c r="ET99" s="138" t="e">
        <f>IF(VLOOKUP(CONCATENATE(H99,F99,ET$2),Matemáticas!$A:$H,7,FALSE)=BH99,1,0)</f>
        <v>#N/A</v>
      </c>
      <c r="EU99" s="138" t="e">
        <f>IF(VLOOKUP(CONCATENATE(H99,F99,EU$2),Matemáticas!$A:$H,7,FALSE)=BI99,1,0)</f>
        <v>#N/A</v>
      </c>
      <c r="EV99" s="138" t="e">
        <f>IF(VLOOKUP(CONCATENATE(H99,F99,EV$2),Ciencias!$A:$H,7,FALSE)=BJ99,1,0)</f>
        <v>#N/A</v>
      </c>
      <c r="EW99" s="138" t="e">
        <f>IF(VLOOKUP(CONCATENATE(H99,F99,EW$2),Ciencias!$A:$H,7,FALSE)=BK99,1,0)</f>
        <v>#N/A</v>
      </c>
      <c r="EX99" s="138" t="e">
        <f>IF(VLOOKUP(CONCATENATE(H99,F99,EX$2),Ciencias!$A:$H,7,FALSE)=BL99,1,0)</f>
        <v>#N/A</v>
      </c>
      <c r="EY99" s="138" t="e">
        <f>IF(VLOOKUP(CONCATENATE(H99,F99,EY$2),Ciencias!$A:$H,7,FALSE)=BM99,1,0)</f>
        <v>#N/A</v>
      </c>
      <c r="EZ99" s="138" t="e">
        <f>IF(VLOOKUP(CONCATENATE(H99,F99,EZ$2),Ciencias!$A:$H,7,FALSE)=BN99,1,0)</f>
        <v>#N/A</v>
      </c>
      <c r="FA99" s="138" t="e">
        <f>IF(VLOOKUP(CONCATENATE(H99,F99,FA$2),Ciencias!$A:$H,7,FALSE)=BO99,1,0)</f>
        <v>#N/A</v>
      </c>
      <c r="FB99" s="138" t="e">
        <f>IF(VLOOKUP(CONCATENATE(H99,F99,FB$2),Ciencias!$A:$H,7,FALSE)=BP99,1,0)</f>
        <v>#N/A</v>
      </c>
      <c r="FC99" s="138" t="e">
        <f>IF(VLOOKUP(CONCATENATE(H99,F99,FC$2),Ciencias!$A:$H,7,FALSE)=BQ99,1,0)</f>
        <v>#N/A</v>
      </c>
      <c r="FD99" s="138" t="e">
        <f>IF(VLOOKUP(CONCATENATE(H99,F99,FD$2),Ciencias!$A:$H,7,FALSE)=BR99,1,0)</f>
        <v>#N/A</v>
      </c>
      <c r="FE99" s="138" t="e">
        <f>IF(VLOOKUP(CONCATENATE(H99,F99,FE$2),Ciencias!$A:$H,7,FALSE)=BS99,1,0)</f>
        <v>#N/A</v>
      </c>
      <c r="FF99" s="138" t="e">
        <f>IF(VLOOKUP(CONCATENATE(H99,F99,FF$2),Ciencias!$A:$H,7,FALSE)=BT99,1,0)</f>
        <v>#N/A</v>
      </c>
      <c r="FG99" s="138" t="e">
        <f>IF(VLOOKUP(CONCATENATE(H99,F99,FG$2),Ciencias!$A:$H,7,FALSE)=BU99,1,0)</f>
        <v>#N/A</v>
      </c>
      <c r="FH99" s="138" t="e">
        <f>IF(VLOOKUP(CONCATENATE(H99,F99,FH$2),Ciencias!$A:$H,7,FALSE)=BV99,1,0)</f>
        <v>#N/A</v>
      </c>
      <c r="FI99" s="138" t="e">
        <f>IF(VLOOKUP(CONCATENATE(H99,F99,FI$2),Ciencias!$A:$H,7,FALSE)=BW99,1,0)</f>
        <v>#N/A</v>
      </c>
      <c r="FJ99" s="138" t="e">
        <f>IF(VLOOKUP(CONCATENATE(H99,F99,FJ$2),Ciencias!$A:$H,7,FALSE)=BX99,1,0)</f>
        <v>#N/A</v>
      </c>
      <c r="FK99" s="138" t="e">
        <f>IF(VLOOKUP(CONCATENATE(H99,F99,FK$2),Ciencias!$A:$H,7,FALSE)=BY99,1,0)</f>
        <v>#N/A</v>
      </c>
      <c r="FL99" s="138" t="e">
        <f>IF(VLOOKUP(CONCATENATE(H99,F99,FL$2),Ciencias!$A:$H,7,FALSE)=BZ99,1,0)</f>
        <v>#N/A</v>
      </c>
      <c r="FM99" s="138" t="e">
        <f>IF(VLOOKUP(CONCATENATE(H99,F99,FM$2),Ciencias!$A:$H,7,FALSE)=CA99,1,0)</f>
        <v>#N/A</v>
      </c>
      <c r="FN99" s="138" t="e">
        <f>IF(VLOOKUP(CONCATENATE(H99,F99,FN$2),Ciencias!$A:$H,7,FALSE)=CB99,1,0)</f>
        <v>#N/A</v>
      </c>
      <c r="FO99" s="138" t="e">
        <f>IF(VLOOKUP(CONCATENATE(H99,F99,FO$2),Ciencias!$A:$H,7,FALSE)=CC99,1,0)</f>
        <v>#N/A</v>
      </c>
      <c r="FP99" s="138" t="e">
        <f>IF(VLOOKUP(CONCATENATE(H99,F99,FP$2),GeoHis!$A:$H,7,FALSE)=CD99,1,0)</f>
        <v>#N/A</v>
      </c>
      <c r="FQ99" s="138" t="e">
        <f>IF(VLOOKUP(CONCATENATE(H99,F99,FQ$2),GeoHis!$A:$H,7,FALSE)=CE99,1,0)</f>
        <v>#N/A</v>
      </c>
      <c r="FR99" s="138" t="e">
        <f>IF(VLOOKUP(CONCATENATE(H99,F99,FR$2),GeoHis!$A:$H,7,FALSE)=CF99,1,0)</f>
        <v>#N/A</v>
      </c>
      <c r="FS99" s="138" t="e">
        <f>IF(VLOOKUP(CONCATENATE(H99,F99,FS$2),GeoHis!$A:$H,7,FALSE)=CG99,1,0)</f>
        <v>#N/A</v>
      </c>
      <c r="FT99" s="138" t="e">
        <f>IF(VLOOKUP(CONCATENATE(H99,F99,FT$2),GeoHis!$A:$H,7,FALSE)=CH99,1,0)</f>
        <v>#N/A</v>
      </c>
      <c r="FU99" s="138" t="e">
        <f>IF(VLOOKUP(CONCATENATE(H99,F99,FU$2),GeoHis!$A:$H,7,FALSE)=CI99,1,0)</f>
        <v>#N/A</v>
      </c>
      <c r="FV99" s="138" t="e">
        <f>IF(VLOOKUP(CONCATENATE(H99,F99,FV$2),GeoHis!$A:$H,7,FALSE)=CJ99,1,0)</f>
        <v>#N/A</v>
      </c>
      <c r="FW99" s="138" t="e">
        <f>IF(VLOOKUP(CONCATENATE(H99,F99,FW$2),GeoHis!$A:$H,7,FALSE)=CK99,1,0)</f>
        <v>#N/A</v>
      </c>
      <c r="FX99" s="138" t="e">
        <f>IF(VLOOKUP(CONCATENATE(H99,F99,FX$2),GeoHis!$A:$H,7,FALSE)=CL99,1,0)</f>
        <v>#N/A</v>
      </c>
      <c r="FY99" s="138" t="e">
        <f>IF(VLOOKUP(CONCATENATE(H99,F99,FY$2),GeoHis!$A:$H,7,FALSE)=CM99,1,0)</f>
        <v>#N/A</v>
      </c>
      <c r="FZ99" s="138" t="e">
        <f>IF(VLOOKUP(CONCATENATE(H99,F99,FZ$2),GeoHis!$A:$H,7,FALSE)=CN99,1,0)</f>
        <v>#N/A</v>
      </c>
      <c r="GA99" s="138" t="e">
        <f>IF(VLOOKUP(CONCATENATE(H99,F99,GA$2),GeoHis!$A:$H,7,FALSE)=CO99,1,0)</f>
        <v>#N/A</v>
      </c>
      <c r="GB99" s="138" t="e">
        <f>IF(VLOOKUP(CONCATENATE(H99,F99,GB$2),GeoHis!$A:$H,7,FALSE)=CP99,1,0)</f>
        <v>#N/A</v>
      </c>
      <c r="GC99" s="138" t="e">
        <f>IF(VLOOKUP(CONCATENATE(H99,F99,GC$2),GeoHis!$A:$H,7,FALSE)=CQ99,1,0)</f>
        <v>#N/A</v>
      </c>
      <c r="GD99" s="138" t="e">
        <f>IF(VLOOKUP(CONCATENATE(H99,F99,GD$2),GeoHis!$A:$H,7,FALSE)=CR99,1,0)</f>
        <v>#N/A</v>
      </c>
      <c r="GE99" s="135" t="str">
        <f t="shared" si="15"/>
        <v/>
      </c>
    </row>
    <row r="100" spans="1:187" x14ac:dyDescent="0.25">
      <c r="A100" s="127" t="str">
        <f>IF(C100="","",'Datos Generales'!$A$25)</f>
        <v/>
      </c>
      <c r="D100" s="126" t="str">
        <f t="shared" si="8"/>
        <v/>
      </c>
      <c r="E100" s="126">
        <f t="shared" si="9"/>
        <v>0</v>
      </c>
      <c r="F100" s="126" t="str">
        <f t="shared" si="10"/>
        <v/>
      </c>
      <c r="G100" s="126" t="str">
        <f>IF(C100="","",'Datos Generales'!$D$19)</f>
        <v/>
      </c>
      <c r="H100" s="21" t="str">
        <f>IF(C100="","",'Datos Generales'!$A$19)</f>
        <v/>
      </c>
      <c r="I100" s="126" t="str">
        <f>IF(C100="","",'Datos Generales'!$A$7)</f>
        <v/>
      </c>
      <c r="J100" s="21" t="str">
        <f>IF(C100="","",'Datos Generales'!$A$13)</f>
        <v/>
      </c>
      <c r="K100" s="21" t="str">
        <f>IF(C100="","",'Datos Generales'!$A$10)</f>
        <v/>
      </c>
      <c r="CS100" s="142" t="str">
        <f t="shared" si="11"/>
        <v/>
      </c>
      <c r="CT100" s="142" t="str">
        <f t="shared" si="12"/>
        <v/>
      </c>
      <c r="CU100" s="142" t="str">
        <f t="shared" si="13"/>
        <v/>
      </c>
      <c r="CV100" s="142" t="str">
        <f t="shared" si="14"/>
        <v/>
      </c>
      <c r="CW100" s="142" t="str">
        <f>IF(C100="","",IF('Datos Generales'!$A$19=1,AVERAGE(FP100:GD100),AVERAGE(Captura!FP100:FY100)))</f>
        <v/>
      </c>
      <c r="CX100" s="138" t="e">
        <f>IF(VLOOKUP(CONCATENATE($H$4,$F$4,CX$2),Español!$A:$H,7,FALSE)=L100,1,0)</f>
        <v>#N/A</v>
      </c>
      <c r="CY100" s="138" t="e">
        <f>IF(VLOOKUP(CONCATENATE(H100,F100,CY$2),Español!$A:$H,7,FALSE)=M100,1,0)</f>
        <v>#N/A</v>
      </c>
      <c r="CZ100" s="138" t="e">
        <f>IF(VLOOKUP(CONCATENATE(H100,F100,CZ$2),Español!$A:$H,7,FALSE)=N100,1,0)</f>
        <v>#N/A</v>
      </c>
      <c r="DA100" s="138" t="e">
        <f>IF(VLOOKUP(CONCATENATE(H100,F100,DA$2),Español!$A:$H,7,FALSE)=O100,1,0)</f>
        <v>#N/A</v>
      </c>
      <c r="DB100" s="138" t="e">
        <f>IF(VLOOKUP(CONCATENATE(H100,F100,DB$2),Español!$A:$H,7,FALSE)=P100,1,0)</f>
        <v>#N/A</v>
      </c>
      <c r="DC100" s="138" t="e">
        <f>IF(VLOOKUP(CONCATENATE(H100,F100,DC$2),Español!$A:$H,7,FALSE)=Q100,1,0)</f>
        <v>#N/A</v>
      </c>
      <c r="DD100" s="138" t="e">
        <f>IF(VLOOKUP(CONCATENATE(H100,F100,DD$2),Español!$A:$H,7,FALSE)=R100,1,0)</f>
        <v>#N/A</v>
      </c>
      <c r="DE100" s="138" t="e">
        <f>IF(VLOOKUP(CONCATENATE(H100,F100,DE$2),Español!$A:$H,7,FALSE)=S100,1,0)</f>
        <v>#N/A</v>
      </c>
      <c r="DF100" s="138" t="e">
        <f>IF(VLOOKUP(CONCATENATE(H100,F100,DF$2),Español!$A:$H,7,FALSE)=T100,1,0)</f>
        <v>#N/A</v>
      </c>
      <c r="DG100" s="138" t="e">
        <f>IF(VLOOKUP(CONCATENATE(H100,F100,DG$2),Español!$A:$H,7,FALSE)=U100,1,0)</f>
        <v>#N/A</v>
      </c>
      <c r="DH100" s="138" t="e">
        <f>IF(VLOOKUP(CONCATENATE(H100,F100,DH$2),Español!$A:$H,7,FALSE)=V100,1,0)</f>
        <v>#N/A</v>
      </c>
      <c r="DI100" s="138" t="e">
        <f>IF(VLOOKUP(CONCATENATE(H100,F100,DI$2),Español!$A:$H,7,FALSE)=W100,1,0)</f>
        <v>#N/A</v>
      </c>
      <c r="DJ100" s="138" t="e">
        <f>IF(VLOOKUP(CONCATENATE(H100,F100,DJ$2),Español!$A:$H,7,FALSE)=X100,1,0)</f>
        <v>#N/A</v>
      </c>
      <c r="DK100" s="138" t="e">
        <f>IF(VLOOKUP(CONCATENATE(H100,F100,DK$2),Español!$A:$H,7,FALSE)=Y100,1,0)</f>
        <v>#N/A</v>
      </c>
      <c r="DL100" s="138" t="e">
        <f>IF(VLOOKUP(CONCATENATE(H100,F100,DL$2),Español!$A:$H,7,FALSE)=Z100,1,0)</f>
        <v>#N/A</v>
      </c>
      <c r="DM100" s="138" t="e">
        <f>IF(VLOOKUP(CONCATENATE(H100,F100,DM$2),Español!$A:$H,7,FALSE)=AA100,1,0)</f>
        <v>#N/A</v>
      </c>
      <c r="DN100" s="138" t="e">
        <f>IF(VLOOKUP(CONCATENATE(H100,F100,DN$2),Español!$A:$H,7,FALSE)=AB100,1,0)</f>
        <v>#N/A</v>
      </c>
      <c r="DO100" s="138" t="e">
        <f>IF(VLOOKUP(CONCATENATE(H100,F100,DO$2),Español!$A:$H,7,FALSE)=AC100,1,0)</f>
        <v>#N/A</v>
      </c>
      <c r="DP100" s="138" t="e">
        <f>IF(VLOOKUP(CONCATENATE(H100,F100,DP$2),Español!$A:$H,7,FALSE)=AD100,1,0)</f>
        <v>#N/A</v>
      </c>
      <c r="DQ100" s="138" t="e">
        <f>IF(VLOOKUP(CONCATENATE(H100,F100,DQ$2),Español!$A:$H,7,FALSE)=AE100,1,0)</f>
        <v>#N/A</v>
      </c>
      <c r="DR100" s="138" t="e">
        <f>IF(VLOOKUP(CONCATENATE(H100,F100,DR$2),Inglés!$A:$H,7,FALSE)=AF100,1,0)</f>
        <v>#N/A</v>
      </c>
      <c r="DS100" s="138" t="e">
        <f>IF(VLOOKUP(CONCATENATE(H100,F100,DS$2),Inglés!$A:$H,7,FALSE)=AG100,1,0)</f>
        <v>#N/A</v>
      </c>
      <c r="DT100" s="138" t="e">
        <f>IF(VLOOKUP(CONCATENATE(H100,F100,DT$2),Inglés!$A:$H,7,FALSE)=AH100,1,0)</f>
        <v>#N/A</v>
      </c>
      <c r="DU100" s="138" t="e">
        <f>IF(VLOOKUP(CONCATENATE(H100,F100,DU$2),Inglés!$A:$H,7,FALSE)=AI100,1,0)</f>
        <v>#N/A</v>
      </c>
      <c r="DV100" s="138" t="e">
        <f>IF(VLOOKUP(CONCATENATE(H100,F100,DV$2),Inglés!$A:$H,7,FALSE)=AJ100,1,0)</f>
        <v>#N/A</v>
      </c>
      <c r="DW100" s="138" t="e">
        <f>IF(VLOOKUP(CONCATENATE(H100,F100,DW$2),Inglés!$A:$H,7,FALSE)=AK100,1,0)</f>
        <v>#N/A</v>
      </c>
      <c r="DX100" s="138" t="e">
        <f>IF(VLOOKUP(CONCATENATE(H100,F100,DX$2),Inglés!$A:$H,7,FALSE)=AL100,1,0)</f>
        <v>#N/A</v>
      </c>
      <c r="DY100" s="138" t="e">
        <f>IF(VLOOKUP(CONCATENATE(H100,F100,DY$2),Inglés!$A:$H,7,FALSE)=AM100,1,0)</f>
        <v>#N/A</v>
      </c>
      <c r="DZ100" s="138" t="e">
        <f>IF(VLOOKUP(CONCATENATE(H100,F100,DZ$2),Inglés!$A:$H,7,FALSE)=AN100,1,0)</f>
        <v>#N/A</v>
      </c>
      <c r="EA100" s="138" t="e">
        <f>IF(VLOOKUP(CONCATENATE(H100,F100,EA$2),Inglés!$A:$H,7,FALSE)=AO100,1,0)</f>
        <v>#N/A</v>
      </c>
      <c r="EB100" s="138" t="e">
        <f>IF(VLOOKUP(CONCATENATE(H100,F100,EB$2),Matemáticas!$A:$H,7,FALSE)=AP100,1,0)</f>
        <v>#N/A</v>
      </c>
      <c r="EC100" s="138" t="e">
        <f>IF(VLOOKUP(CONCATENATE(H100,F100,EC$2),Matemáticas!$A:$H,7,FALSE)=AQ100,1,0)</f>
        <v>#N/A</v>
      </c>
      <c r="ED100" s="138" t="e">
        <f>IF(VLOOKUP(CONCATENATE(H100,F100,ED$2),Matemáticas!$A:$H,7,FALSE)=AR100,1,0)</f>
        <v>#N/A</v>
      </c>
      <c r="EE100" s="138" t="e">
        <f>IF(VLOOKUP(CONCATENATE(H100,F100,EE$2),Matemáticas!$A:$H,7,FALSE)=AS100,1,0)</f>
        <v>#N/A</v>
      </c>
      <c r="EF100" s="138" t="e">
        <f>IF(VLOOKUP(CONCATENATE(H100,F100,EF$2),Matemáticas!$A:$H,7,FALSE)=AT100,1,0)</f>
        <v>#N/A</v>
      </c>
      <c r="EG100" s="138" t="e">
        <f>IF(VLOOKUP(CONCATENATE(H100,F100,EG$2),Matemáticas!$A:$H,7,FALSE)=AU100,1,0)</f>
        <v>#N/A</v>
      </c>
      <c r="EH100" s="138" t="e">
        <f>IF(VLOOKUP(CONCATENATE(H100,F100,EH$2),Matemáticas!$A:$H,7,FALSE)=AV100,1,0)</f>
        <v>#N/A</v>
      </c>
      <c r="EI100" s="138" t="e">
        <f>IF(VLOOKUP(CONCATENATE(H100,F100,EI$2),Matemáticas!$A:$H,7,FALSE)=AW100,1,0)</f>
        <v>#N/A</v>
      </c>
      <c r="EJ100" s="138" t="e">
        <f>IF(VLOOKUP(CONCATENATE(H100,F100,EJ$2),Matemáticas!$A:$H,7,FALSE)=AX100,1,0)</f>
        <v>#N/A</v>
      </c>
      <c r="EK100" s="138" t="e">
        <f>IF(VLOOKUP(CONCATENATE(H100,F100,EK$2),Matemáticas!$A:$H,7,FALSE)=AY100,1,0)</f>
        <v>#N/A</v>
      </c>
      <c r="EL100" s="138" t="e">
        <f>IF(VLOOKUP(CONCATENATE(H100,F100,EL$2),Matemáticas!$A:$H,7,FALSE)=AZ100,1,0)</f>
        <v>#N/A</v>
      </c>
      <c r="EM100" s="138" t="e">
        <f>IF(VLOOKUP(CONCATENATE(H100,F100,EM$2),Matemáticas!$A:$H,7,FALSE)=BA100,1,0)</f>
        <v>#N/A</v>
      </c>
      <c r="EN100" s="138" t="e">
        <f>IF(VLOOKUP(CONCATENATE(H100,F100,EN$2),Matemáticas!$A:$H,7,FALSE)=BB100,1,0)</f>
        <v>#N/A</v>
      </c>
      <c r="EO100" s="138" t="e">
        <f>IF(VLOOKUP(CONCATENATE(H100,F100,EO$2),Matemáticas!$A:$H,7,FALSE)=BC100,1,0)</f>
        <v>#N/A</v>
      </c>
      <c r="EP100" s="138" t="e">
        <f>IF(VLOOKUP(CONCATENATE(H100,F100,EP$2),Matemáticas!$A:$H,7,FALSE)=BD100,1,0)</f>
        <v>#N/A</v>
      </c>
      <c r="EQ100" s="138" t="e">
        <f>IF(VLOOKUP(CONCATENATE(H100,F100,EQ$2),Matemáticas!$A:$H,7,FALSE)=BE100,1,0)</f>
        <v>#N/A</v>
      </c>
      <c r="ER100" s="138" t="e">
        <f>IF(VLOOKUP(CONCATENATE(H100,F100,ER$2),Matemáticas!$A:$H,7,FALSE)=BF100,1,0)</f>
        <v>#N/A</v>
      </c>
      <c r="ES100" s="138" t="e">
        <f>IF(VLOOKUP(CONCATENATE(H100,F100,ES$2),Matemáticas!$A:$H,7,FALSE)=BG100,1,0)</f>
        <v>#N/A</v>
      </c>
      <c r="ET100" s="138" t="e">
        <f>IF(VLOOKUP(CONCATENATE(H100,F100,ET$2),Matemáticas!$A:$H,7,FALSE)=BH100,1,0)</f>
        <v>#N/A</v>
      </c>
      <c r="EU100" s="138" t="e">
        <f>IF(VLOOKUP(CONCATENATE(H100,F100,EU$2),Matemáticas!$A:$H,7,FALSE)=BI100,1,0)</f>
        <v>#N/A</v>
      </c>
      <c r="EV100" s="138" t="e">
        <f>IF(VLOOKUP(CONCATENATE(H100,F100,EV$2),Ciencias!$A:$H,7,FALSE)=BJ100,1,0)</f>
        <v>#N/A</v>
      </c>
      <c r="EW100" s="138" t="e">
        <f>IF(VLOOKUP(CONCATENATE(H100,F100,EW$2),Ciencias!$A:$H,7,FALSE)=BK100,1,0)</f>
        <v>#N/A</v>
      </c>
      <c r="EX100" s="138" t="e">
        <f>IF(VLOOKUP(CONCATENATE(H100,F100,EX$2),Ciencias!$A:$H,7,FALSE)=BL100,1,0)</f>
        <v>#N/A</v>
      </c>
      <c r="EY100" s="138" t="e">
        <f>IF(VLOOKUP(CONCATENATE(H100,F100,EY$2),Ciencias!$A:$H,7,FALSE)=BM100,1,0)</f>
        <v>#N/A</v>
      </c>
      <c r="EZ100" s="138" t="e">
        <f>IF(VLOOKUP(CONCATENATE(H100,F100,EZ$2),Ciencias!$A:$H,7,FALSE)=BN100,1,0)</f>
        <v>#N/A</v>
      </c>
      <c r="FA100" s="138" t="e">
        <f>IF(VLOOKUP(CONCATENATE(H100,F100,FA$2),Ciencias!$A:$H,7,FALSE)=BO100,1,0)</f>
        <v>#N/A</v>
      </c>
      <c r="FB100" s="138" t="e">
        <f>IF(VLOOKUP(CONCATENATE(H100,F100,FB$2),Ciencias!$A:$H,7,FALSE)=BP100,1,0)</f>
        <v>#N/A</v>
      </c>
      <c r="FC100" s="138" t="e">
        <f>IF(VLOOKUP(CONCATENATE(H100,F100,FC$2),Ciencias!$A:$H,7,FALSE)=BQ100,1,0)</f>
        <v>#N/A</v>
      </c>
      <c r="FD100" s="138" t="e">
        <f>IF(VLOOKUP(CONCATENATE(H100,F100,FD$2),Ciencias!$A:$H,7,FALSE)=BR100,1,0)</f>
        <v>#N/A</v>
      </c>
      <c r="FE100" s="138" t="e">
        <f>IF(VLOOKUP(CONCATENATE(H100,F100,FE$2),Ciencias!$A:$H,7,FALSE)=BS100,1,0)</f>
        <v>#N/A</v>
      </c>
      <c r="FF100" s="138" t="e">
        <f>IF(VLOOKUP(CONCATENATE(H100,F100,FF$2),Ciencias!$A:$H,7,FALSE)=BT100,1,0)</f>
        <v>#N/A</v>
      </c>
      <c r="FG100" s="138" t="e">
        <f>IF(VLOOKUP(CONCATENATE(H100,F100,FG$2),Ciencias!$A:$H,7,FALSE)=BU100,1,0)</f>
        <v>#N/A</v>
      </c>
      <c r="FH100" s="138" t="e">
        <f>IF(VLOOKUP(CONCATENATE(H100,F100,FH$2),Ciencias!$A:$H,7,FALSE)=BV100,1,0)</f>
        <v>#N/A</v>
      </c>
      <c r="FI100" s="138" t="e">
        <f>IF(VLOOKUP(CONCATENATE(H100,F100,FI$2),Ciencias!$A:$H,7,FALSE)=BW100,1,0)</f>
        <v>#N/A</v>
      </c>
      <c r="FJ100" s="138" t="e">
        <f>IF(VLOOKUP(CONCATENATE(H100,F100,FJ$2),Ciencias!$A:$H,7,FALSE)=BX100,1,0)</f>
        <v>#N/A</v>
      </c>
      <c r="FK100" s="138" t="e">
        <f>IF(VLOOKUP(CONCATENATE(H100,F100,FK$2),Ciencias!$A:$H,7,FALSE)=BY100,1,0)</f>
        <v>#N/A</v>
      </c>
      <c r="FL100" s="138" t="e">
        <f>IF(VLOOKUP(CONCATENATE(H100,F100,FL$2),Ciencias!$A:$H,7,FALSE)=BZ100,1,0)</f>
        <v>#N/A</v>
      </c>
      <c r="FM100" s="138" t="e">
        <f>IF(VLOOKUP(CONCATENATE(H100,F100,FM$2),Ciencias!$A:$H,7,FALSE)=CA100,1,0)</f>
        <v>#N/A</v>
      </c>
      <c r="FN100" s="138" t="e">
        <f>IF(VLOOKUP(CONCATENATE(H100,F100,FN$2),Ciencias!$A:$H,7,FALSE)=CB100,1,0)</f>
        <v>#N/A</v>
      </c>
      <c r="FO100" s="138" t="e">
        <f>IF(VLOOKUP(CONCATENATE(H100,F100,FO$2),Ciencias!$A:$H,7,FALSE)=CC100,1,0)</f>
        <v>#N/A</v>
      </c>
      <c r="FP100" s="138" t="e">
        <f>IF(VLOOKUP(CONCATENATE(H100,F100,FP$2),GeoHis!$A:$H,7,FALSE)=CD100,1,0)</f>
        <v>#N/A</v>
      </c>
      <c r="FQ100" s="138" t="e">
        <f>IF(VLOOKUP(CONCATENATE(H100,F100,FQ$2),GeoHis!$A:$H,7,FALSE)=CE100,1,0)</f>
        <v>#N/A</v>
      </c>
      <c r="FR100" s="138" t="e">
        <f>IF(VLOOKUP(CONCATENATE(H100,F100,FR$2),GeoHis!$A:$H,7,FALSE)=CF100,1,0)</f>
        <v>#N/A</v>
      </c>
      <c r="FS100" s="138" t="e">
        <f>IF(VLOOKUP(CONCATENATE(H100,F100,FS$2),GeoHis!$A:$H,7,FALSE)=CG100,1,0)</f>
        <v>#N/A</v>
      </c>
      <c r="FT100" s="138" t="e">
        <f>IF(VLOOKUP(CONCATENATE(H100,F100,FT$2),GeoHis!$A:$H,7,FALSE)=CH100,1,0)</f>
        <v>#N/A</v>
      </c>
      <c r="FU100" s="138" t="e">
        <f>IF(VLOOKUP(CONCATENATE(H100,F100,FU$2),GeoHis!$A:$H,7,FALSE)=CI100,1,0)</f>
        <v>#N/A</v>
      </c>
      <c r="FV100" s="138" t="e">
        <f>IF(VLOOKUP(CONCATENATE(H100,F100,FV$2),GeoHis!$A:$H,7,FALSE)=CJ100,1,0)</f>
        <v>#N/A</v>
      </c>
      <c r="FW100" s="138" t="e">
        <f>IF(VLOOKUP(CONCATENATE(H100,F100,FW$2),GeoHis!$A:$H,7,FALSE)=CK100,1,0)</f>
        <v>#N/A</v>
      </c>
      <c r="FX100" s="138" t="e">
        <f>IF(VLOOKUP(CONCATENATE(H100,F100,FX$2),GeoHis!$A:$H,7,FALSE)=CL100,1,0)</f>
        <v>#N/A</v>
      </c>
      <c r="FY100" s="138" t="e">
        <f>IF(VLOOKUP(CONCATENATE(H100,F100,FY$2),GeoHis!$A:$H,7,FALSE)=CM100,1,0)</f>
        <v>#N/A</v>
      </c>
      <c r="FZ100" s="138" t="e">
        <f>IF(VLOOKUP(CONCATENATE(H100,F100,FZ$2),GeoHis!$A:$H,7,FALSE)=CN100,1,0)</f>
        <v>#N/A</v>
      </c>
      <c r="GA100" s="138" t="e">
        <f>IF(VLOOKUP(CONCATENATE(H100,F100,GA$2),GeoHis!$A:$H,7,FALSE)=CO100,1,0)</f>
        <v>#N/A</v>
      </c>
      <c r="GB100" s="138" t="e">
        <f>IF(VLOOKUP(CONCATENATE(H100,F100,GB$2),GeoHis!$A:$H,7,FALSE)=CP100,1,0)</f>
        <v>#N/A</v>
      </c>
      <c r="GC100" s="138" t="e">
        <f>IF(VLOOKUP(CONCATENATE(H100,F100,GC$2),GeoHis!$A:$H,7,FALSE)=CQ100,1,0)</f>
        <v>#N/A</v>
      </c>
      <c r="GD100" s="138" t="e">
        <f>IF(VLOOKUP(CONCATENATE(H100,F100,GD$2),GeoHis!$A:$H,7,FALSE)=CR100,1,0)</f>
        <v>#N/A</v>
      </c>
      <c r="GE100" s="135" t="str">
        <f t="shared" si="15"/>
        <v/>
      </c>
    </row>
    <row r="101" spans="1:187" x14ac:dyDescent="0.25">
      <c r="A101" s="127" t="str">
        <f>IF(C101="","",'Datos Generales'!$A$25)</f>
        <v/>
      </c>
      <c r="D101" s="126" t="str">
        <f t="shared" si="8"/>
        <v/>
      </c>
      <c r="E101" s="126">
        <f t="shared" si="9"/>
        <v>0</v>
      </c>
      <c r="F101" s="126" t="str">
        <f t="shared" si="10"/>
        <v/>
      </c>
      <c r="G101" s="126" t="str">
        <f>IF(C101="","",'Datos Generales'!$D$19)</f>
        <v/>
      </c>
      <c r="H101" s="21" t="str">
        <f>IF(C101="","",'Datos Generales'!$A$19)</f>
        <v/>
      </c>
      <c r="I101" s="126" t="str">
        <f>IF(C101="","",'Datos Generales'!$A$7)</f>
        <v/>
      </c>
      <c r="J101" s="21" t="str">
        <f>IF(C101="","",'Datos Generales'!$A$13)</f>
        <v/>
      </c>
      <c r="K101" s="21" t="str">
        <f>IF(C101="","",'Datos Generales'!$A$10)</f>
        <v/>
      </c>
      <c r="CS101" s="142" t="str">
        <f t="shared" si="11"/>
        <v/>
      </c>
      <c r="CT101" s="142" t="str">
        <f t="shared" si="12"/>
        <v/>
      </c>
      <c r="CU101" s="142" t="str">
        <f t="shared" si="13"/>
        <v/>
      </c>
      <c r="CV101" s="142" t="str">
        <f t="shared" si="14"/>
        <v/>
      </c>
      <c r="CW101" s="142" t="str">
        <f>IF(C101="","",IF('Datos Generales'!$A$19=1,AVERAGE(FP101:GD101),AVERAGE(Captura!FP101:FY101)))</f>
        <v/>
      </c>
      <c r="CX101" s="138" t="e">
        <f>IF(VLOOKUP(CONCATENATE($H$4,$F$4,CX$2),Español!$A:$H,7,FALSE)=L101,1,0)</f>
        <v>#N/A</v>
      </c>
      <c r="CY101" s="138" t="e">
        <f>IF(VLOOKUP(CONCATENATE(H101,F101,CY$2),Español!$A:$H,7,FALSE)=M101,1,0)</f>
        <v>#N/A</v>
      </c>
      <c r="CZ101" s="138" t="e">
        <f>IF(VLOOKUP(CONCATENATE(H101,F101,CZ$2),Español!$A:$H,7,FALSE)=N101,1,0)</f>
        <v>#N/A</v>
      </c>
      <c r="DA101" s="138" t="e">
        <f>IF(VLOOKUP(CONCATENATE(H101,F101,DA$2),Español!$A:$H,7,FALSE)=O101,1,0)</f>
        <v>#N/A</v>
      </c>
      <c r="DB101" s="138" t="e">
        <f>IF(VLOOKUP(CONCATENATE(H101,F101,DB$2),Español!$A:$H,7,FALSE)=P101,1,0)</f>
        <v>#N/A</v>
      </c>
      <c r="DC101" s="138" t="e">
        <f>IF(VLOOKUP(CONCATENATE(H101,F101,DC$2),Español!$A:$H,7,FALSE)=Q101,1,0)</f>
        <v>#N/A</v>
      </c>
      <c r="DD101" s="138" t="e">
        <f>IF(VLOOKUP(CONCATENATE(H101,F101,DD$2),Español!$A:$H,7,FALSE)=R101,1,0)</f>
        <v>#N/A</v>
      </c>
      <c r="DE101" s="138" t="e">
        <f>IF(VLOOKUP(CONCATENATE(H101,F101,DE$2),Español!$A:$H,7,FALSE)=S101,1,0)</f>
        <v>#N/A</v>
      </c>
      <c r="DF101" s="138" t="e">
        <f>IF(VLOOKUP(CONCATENATE(H101,F101,DF$2),Español!$A:$H,7,FALSE)=T101,1,0)</f>
        <v>#N/A</v>
      </c>
      <c r="DG101" s="138" t="e">
        <f>IF(VLOOKUP(CONCATENATE(H101,F101,DG$2),Español!$A:$H,7,FALSE)=U101,1,0)</f>
        <v>#N/A</v>
      </c>
      <c r="DH101" s="138" t="e">
        <f>IF(VLOOKUP(CONCATENATE(H101,F101,DH$2),Español!$A:$H,7,FALSE)=V101,1,0)</f>
        <v>#N/A</v>
      </c>
      <c r="DI101" s="138" t="e">
        <f>IF(VLOOKUP(CONCATENATE(H101,F101,DI$2),Español!$A:$H,7,FALSE)=W101,1,0)</f>
        <v>#N/A</v>
      </c>
      <c r="DJ101" s="138" t="e">
        <f>IF(VLOOKUP(CONCATENATE(H101,F101,DJ$2),Español!$A:$H,7,FALSE)=X101,1,0)</f>
        <v>#N/A</v>
      </c>
      <c r="DK101" s="138" t="e">
        <f>IF(VLOOKUP(CONCATENATE(H101,F101,DK$2),Español!$A:$H,7,FALSE)=Y101,1,0)</f>
        <v>#N/A</v>
      </c>
      <c r="DL101" s="138" t="e">
        <f>IF(VLOOKUP(CONCATENATE(H101,F101,DL$2),Español!$A:$H,7,FALSE)=Z101,1,0)</f>
        <v>#N/A</v>
      </c>
      <c r="DM101" s="138" t="e">
        <f>IF(VLOOKUP(CONCATENATE(H101,F101,DM$2),Español!$A:$H,7,FALSE)=AA101,1,0)</f>
        <v>#N/A</v>
      </c>
      <c r="DN101" s="138" t="e">
        <f>IF(VLOOKUP(CONCATENATE(H101,F101,DN$2),Español!$A:$H,7,FALSE)=AB101,1,0)</f>
        <v>#N/A</v>
      </c>
      <c r="DO101" s="138" t="e">
        <f>IF(VLOOKUP(CONCATENATE(H101,F101,DO$2),Español!$A:$H,7,FALSE)=AC101,1,0)</f>
        <v>#N/A</v>
      </c>
      <c r="DP101" s="138" t="e">
        <f>IF(VLOOKUP(CONCATENATE(H101,F101,DP$2),Español!$A:$H,7,FALSE)=AD101,1,0)</f>
        <v>#N/A</v>
      </c>
      <c r="DQ101" s="138" t="e">
        <f>IF(VLOOKUP(CONCATENATE(H101,F101,DQ$2),Español!$A:$H,7,FALSE)=AE101,1,0)</f>
        <v>#N/A</v>
      </c>
      <c r="DR101" s="138" t="e">
        <f>IF(VLOOKUP(CONCATENATE(H101,F101,DR$2),Inglés!$A:$H,7,FALSE)=AF101,1,0)</f>
        <v>#N/A</v>
      </c>
      <c r="DS101" s="138" t="e">
        <f>IF(VLOOKUP(CONCATENATE(H101,F101,DS$2),Inglés!$A:$H,7,FALSE)=AG101,1,0)</f>
        <v>#N/A</v>
      </c>
      <c r="DT101" s="138" t="e">
        <f>IF(VLOOKUP(CONCATENATE(H101,F101,DT$2),Inglés!$A:$H,7,FALSE)=AH101,1,0)</f>
        <v>#N/A</v>
      </c>
      <c r="DU101" s="138" t="e">
        <f>IF(VLOOKUP(CONCATENATE(H101,F101,DU$2),Inglés!$A:$H,7,FALSE)=AI101,1,0)</f>
        <v>#N/A</v>
      </c>
      <c r="DV101" s="138" t="e">
        <f>IF(VLOOKUP(CONCATENATE(H101,F101,DV$2),Inglés!$A:$H,7,FALSE)=AJ101,1,0)</f>
        <v>#N/A</v>
      </c>
      <c r="DW101" s="138" t="e">
        <f>IF(VLOOKUP(CONCATENATE(H101,F101,DW$2),Inglés!$A:$H,7,FALSE)=AK101,1,0)</f>
        <v>#N/A</v>
      </c>
      <c r="DX101" s="138" t="e">
        <f>IF(VLOOKUP(CONCATENATE(H101,F101,DX$2),Inglés!$A:$H,7,FALSE)=AL101,1,0)</f>
        <v>#N/A</v>
      </c>
      <c r="DY101" s="138" t="e">
        <f>IF(VLOOKUP(CONCATENATE(H101,F101,DY$2),Inglés!$A:$H,7,FALSE)=AM101,1,0)</f>
        <v>#N/A</v>
      </c>
      <c r="DZ101" s="138" t="e">
        <f>IF(VLOOKUP(CONCATENATE(H101,F101,DZ$2),Inglés!$A:$H,7,FALSE)=AN101,1,0)</f>
        <v>#N/A</v>
      </c>
      <c r="EA101" s="138" t="e">
        <f>IF(VLOOKUP(CONCATENATE(H101,F101,EA$2),Inglés!$A:$H,7,FALSE)=AO101,1,0)</f>
        <v>#N/A</v>
      </c>
      <c r="EB101" s="138" t="e">
        <f>IF(VLOOKUP(CONCATENATE(H101,F101,EB$2),Matemáticas!$A:$H,7,FALSE)=AP101,1,0)</f>
        <v>#N/A</v>
      </c>
      <c r="EC101" s="138" t="e">
        <f>IF(VLOOKUP(CONCATENATE(H101,F101,EC$2),Matemáticas!$A:$H,7,FALSE)=AQ101,1,0)</f>
        <v>#N/A</v>
      </c>
      <c r="ED101" s="138" t="e">
        <f>IF(VLOOKUP(CONCATENATE(H101,F101,ED$2),Matemáticas!$A:$H,7,FALSE)=AR101,1,0)</f>
        <v>#N/A</v>
      </c>
      <c r="EE101" s="138" t="e">
        <f>IF(VLOOKUP(CONCATENATE(H101,F101,EE$2),Matemáticas!$A:$H,7,FALSE)=AS101,1,0)</f>
        <v>#N/A</v>
      </c>
      <c r="EF101" s="138" t="e">
        <f>IF(VLOOKUP(CONCATENATE(H101,F101,EF$2),Matemáticas!$A:$H,7,FALSE)=AT101,1,0)</f>
        <v>#N/A</v>
      </c>
      <c r="EG101" s="138" t="e">
        <f>IF(VLOOKUP(CONCATENATE(H101,F101,EG$2),Matemáticas!$A:$H,7,FALSE)=AU101,1,0)</f>
        <v>#N/A</v>
      </c>
      <c r="EH101" s="138" t="e">
        <f>IF(VLOOKUP(CONCATENATE(H101,F101,EH$2),Matemáticas!$A:$H,7,FALSE)=AV101,1,0)</f>
        <v>#N/A</v>
      </c>
      <c r="EI101" s="138" t="e">
        <f>IF(VLOOKUP(CONCATENATE(H101,F101,EI$2),Matemáticas!$A:$H,7,FALSE)=AW101,1,0)</f>
        <v>#N/A</v>
      </c>
      <c r="EJ101" s="138" t="e">
        <f>IF(VLOOKUP(CONCATENATE(H101,F101,EJ$2),Matemáticas!$A:$H,7,FALSE)=AX101,1,0)</f>
        <v>#N/A</v>
      </c>
      <c r="EK101" s="138" t="e">
        <f>IF(VLOOKUP(CONCATENATE(H101,F101,EK$2),Matemáticas!$A:$H,7,FALSE)=AY101,1,0)</f>
        <v>#N/A</v>
      </c>
      <c r="EL101" s="138" t="e">
        <f>IF(VLOOKUP(CONCATENATE(H101,F101,EL$2),Matemáticas!$A:$H,7,FALSE)=AZ101,1,0)</f>
        <v>#N/A</v>
      </c>
      <c r="EM101" s="138" t="e">
        <f>IF(VLOOKUP(CONCATENATE(H101,F101,EM$2),Matemáticas!$A:$H,7,FALSE)=BA101,1,0)</f>
        <v>#N/A</v>
      </c>
      <c r="EN101" s="138" t="e">
        <f>IF(VLOOKUP(CONCATENATE(H101,F101,EN$2),Matemáticas!$A:$H,7,FALSE)=BB101,1,0)</f>
        <v>#N/A</v>
      </c>
      <c r="EO101" s="138" t="e">
        <f>IF(VLOOKUP(CONCATENATE(H101,F101,EO$2),Matemáticas!$A:$H,7,FALSE)=BC101,1,0)</f>
        <v>#N/A</v>
      </c>
      <c r="EP101" s="138" t="e">
        <f>IF(VLOOKUP(CONCATENATE(H101,F101,EP$2),Matemáticas!$A:$H,7,FALSE)=BD101,1,0)</f>
        <v>#N/A</v>
      </c>
      <c r="EQ101" s="138" t="e">
        <f>IF(VLOOKUP(CONCATENATE(H101,F101,EQ$2),Matemáticas!$A:$H,7,FALSE)=BE101,1,0)</f>
        <v>#N/A</v>
      </c>
      <c r="ER101" s="138" t="e">
        <f>IF(VLOOKUP(CONCATENATE(H101,F101,ER$2),Matemáticas!$A:$H,7,FALSE)=BF101,1,0)</f>
        <v>#N/A</v>
      </c>
      <c r="ES101" s="138" t="e">
        <f>IF(VLOOKUP(CONCATENATE(H101,F101,ES$2),Matemáticas!$A:$H,7,FALSE)=BG101,1,0)</f>
        <v>#N/A</v>
      </c>
      <c r="ET101" s="138" t="e">
        <f>IF(VLOOKUP(CONCATENATE(H101,F101,ET$2),Matemáticas!$A:$H,7,FALSE)=BH101,1,0)</f>
        <v>#N/A</v>
      </c>
      <c r="EU101" s="138" t="e">
        <f>IF(VLOOKUP(CONCATENATE(H101,F101,EU$2),Matemáticas!$A:$H,7,FALSE)=BI101,1,0)</f>
        <v>#N/A</v>
      </c>
      <c r="EV101" s="138" t="e">
        <f>IF(VLOOKUP(CONCATENATE(H101,F101,EV$2),Ciencias!$A:$H,7,FALSE)=BJ101,1,0)</f>
        <v>#N/A</v>
      </c>
      <c r="EW101" s="138" t="e">
        <f>IF(VLOOKUP(CONCATENATE(H101,F101,EW$2),Ciencias!$A:$H,7,FALSE)=BK101,1,0)</f>
        <v>#N/A</v>
      </c>
      <c r="EX101" s="138" t="e">
        <f>IF(VLOOKUP(CONCATENATE(H101,F101,EX$2),Ciencias!$A:$H,7,FALSE)=BL101,1,0)</f>
        <v>#N/A</v>
      </c>
      <c r="EY101" s="138" t="e">
        <f>IF(VLOOKUP(CONCATENATE(H101,F101,EY$2),Ciencias!$A:$H,7,FALSE)=BM101,1,0)</f>
        <v>#N/A</v>
      </c>
      <c r="EZ101" s="138" t="e">
        <f>IF(VLOOKUP(CONCATENATE(H101,F101,EZ$2),Ciencias!$A:$H,7,FALSE)=BN101,1,0)</f>
        <v>#N/A</v>
      </c>
      <c r="FA101" s="138" t="e">
        <f>IF(VLOOKUP(CONCATENATE(H101,F101,FA$2),Ciencias!$A:$H,7,FALSE)=BO101,1,0)</f>
        <v>#N/A</v>
      </c>
      <c r="FB101" s="138" t="e">
        <f>IF(VLOOKUP(CONCATENATE(H101,F101,FB$2),Ciencias!$A:$H,7,FALSE)=BP101,1,0)</f>
        <v>#N/A</v>
      </c>
      <c r="FC101" s="138" t="e">
        <f>IF(VLOOKUP(CONCATENATE(H101,F101,FC$2),Ciencias!$A:$H,7,FALSE)=BQ101,1,0)</f>
        <v>#N/A</v>
      </c>
      <c r="FD101" s="138" t="e">
        <f>IF(VLOOKUP(CONCATENATE(H101,F101,FD$2),Ciencias!$A:$H,7,FALSE)=BR101,1,0)</f>
        <v>#N/A</v>
      </c>
      <c r="FE101" s="138" t="e">
        <f>IF(VLOOKUP(CONCATENATE(H101,F101,FE$2),Ciencias!$A:$H,7,FALSE)=BS101,1,0)</f>
        <v>#N/A</v>
      </c>
      <c r="FF101" s="138" t="e">
        <f>IF(VLOOKUP(CONCATENATE(H101,F101,FF$2),Ciencias!$A:$H,7,FALSE)=BT101,1,0)</f>
        <v>#N/A</v>
      </c>
      <c r="FG101" s="138" t="e">
        <f>IF(VLOOKUP(CONCATENATE(H101,F101,FG$2),Ciencias!$A:$H,7,FALSE)=BU101,1,0)</f>
        <v>#N/A</v>
      </c>
      <c r="FH101" s="138" t="e">
        <f>IF(VLOOKUP(CONCATENATE(H101,F101,FH$2),Ciencias!$A:$H,7,FALSE)=BV101,1,0)</f>
        <v>#N/A</v>
      </c>
      <c r="FI101" s="138" t="e">
        <f>IF(VLOOKUP(CONCATENATE(H101,F101,FI$2),Ciencias!$A:$H,7,FALSE)=BW101,1,0)</f>
        <v>#N/A</v>
      </c>
      <c r="FJ101" s="138" t="e">
        <f>IF(VLOOKUP(CONCATENATE(H101,F101,FJ$2),Ciencias!$A:$H,7,FALSE)=BX101,1,0)</f>
        <v>#N/A</v>
      </c>
      <c r="FK101" s="138" t="e">
        <f>IF(VLOOKUP(CONCATENATE(H101,F101,FK$2),Ciencias!$A:$H,7,FALSE)=BY101,1,0)</f>
        <v>#N/A</v>
      </c>
      <c r="FL101" s="138" t="e">
        <f>IF(VLOOKUP(CONCATENATE(H101,F101,FL$2),Ciencias!$A:$H,7,FALSE)=BZ101,1,0)</f>
        <v>#N/A</v>
      </c>
      <c r="FM101" s="138" t="e">
        <f>IF(VLOOKUP(CONCATENATE(H101,F101,FM$2),Ciencias!$A:$H,7,FALSE)=CA101,1,0)</f>
        <v>#N/A</v>
      </c>
      <c r="FN101" s="138" t="e">
        <f>IF(VLOOKUP(CONCATENATE(H101,F101,FN$2),Ciencias!$A:$H,7,FALSE)=CB101,1,0)</f>
        <v>#N/A</v>
      </c>
      <c r="FO101" s="138" t="e">
        <f>IF(VLOOKUP(CONCATENATE(H101,F101,FO$2),Ciencias!$A:$H,7,FALSE)=CC101,1,0)</f>
        <v>#N/A</v>
      </c>
      <c r="FP101" s="138" t="e">
        <f>IF(VLOOKUP(CONCATENATE(H101,F101,FP$2),GeoHis!$A:$H,7,FALSE)=CD101,1,0)</f>
        <v>#N/A</v>
      </c>
      <c r="FQ101" s="138" t="e">
        <f>IF(VLOOKUP(CONCATENATE(H101,F101,FQ$2),GeoHis!$A:$H,7,FALSE)=CE101,1,0)</f>
        <v>#N/A</v>
      </c>
      <c r="FR101" s="138" t="e">
        <f>IF(VLOOKUP(CONCATENATE(H101,F101,FR$2),GeoHis!$A:$H,7,FALSE)=CF101,1,0)</f>
        <v>#N/A</v>
      </c>
      <c r="FS101" s="138" t="e">
        <f>IF(VLOOKUP(CONCATENATE(H101,F101,FS$2),GeoHis!$A:$H,7,FALSE)=CG101,1,0)</f>
        <v>#N/A</v>
      </c>
      <c r="FT101" s="138" t="e">
        <f>IF(VLOOKUP(CONCATENATE(H101,F101,FT$2),GeoHis!$A:$H,7,FALSE)=CH101,1,0)</f>
        <v>#N/A</v>
      </c>
      <c r="FU101" s="138" t="e">
        <f>IF(VLOOKUP(CONCATENATE(H101,F101,FU$2),GeoHis!$A:$H,7,FALSE)=CI101,1,0)</f>
        <v>#N/A</v>
      </c>
      <c r="FV101" s="138" t="e">
        <f>IF(VLOOKUP(CONCATENATE(H101,F101,FV$2),GeoHis!$A:$H,7,FALSE)=CJ101,1,0)</f>
        <v>#N/A</v>
      </c>
      <c r="FW101" s="138" t="e">
        <f>IF(VLOOKUP(CONCATENATE(H101,F101,FW$2),GeoHis!$A:$H,7,FALSE)=CK101,1,0)</f>
        <v>#N/A</v>
      </c>
      <c r="FX101" s="138" t="e">
        <f>IF(VLOOKUP(CONCATENATE(H101,F101,FX$2),GeoHis!$A:$H,7,FALSE)=CL101,1,0)</f>
        <v>#N/A</v>
      </c>
      <c r="FY101" s="138" t="e">
        <f>IF(VLOOKUP(CONCATENATE(H101,F101,FY$2),GeoHis!$A:$H,7,FALSE)=CM101,1,0)</f>
        <v>#N/A</v>
      </c>
      <c r="FZ101" s="138" t="e">
        <f>IF(VLOOKUP(CONCATENATE(H101,F101,FZ$2),GeoHis!$A:$H,7,FALSE)=CN101,1,0)</f>
        <v>#N/A</v>
      </c>
      <c r="GA101" s="138" t="e">
        <f>IF(VLOOKUP(CONCATENATE(H101,F101,GA$2),GeoHis!$A:$H,7,FALSE)=CO101,1,0)</f>
        <v>#N/A</v>
      </c>
      <c r="GB101" s="138" t="e">
        <f>IF(VLOOKUP(CONCATENATE(H101,F101,GB$2),GeoHis!$A:$H,7,FALSE)=CP101,1,0)</f>
        <v>#N/A</v>
      </c>
      <c r="GC101" s="138" t="e">
        <f>IF(VLOOKUP(CONCATENATE(H101,F101,GC$2),GeoHis!$A:$H,7,FALSE)=CQ101,1,0)</f>
        <v>#N/A</v>
      </c>
      <c r="GD101" s="138" t="e">
        <f>IF(VLOOKUP(CONCATENATE(H101,F101,GD$2),GeoHis!$A:$H,7,FALSE)=CR101,1,0)</f>
        <v>#N/A</v>
      </c>
      <c r="GE101" s="135" t="str">
        <f t="shared" si="15"/>
        <v/>
      </c>
    </row>
    <row r="102" spans="1:187" x14ac:dyDescent="0.25">
      <c r="A102" s="127" t="str">
        <f>IF(C102="","",'Datos Generales'!$A$25)</f>
        <v/>
      </c>
      <c r="D102" s="126" t="str">
        <f t="shared" si="8"/>
        <v/>
      </c>
      <c r="E102" s="126">
        <f t="shared" si="9"/>
        <v>0</v>
      </c>
      <c r="F102" s="126" t="str">
        <f t="shared" si="10"/>
        <v/>
      </c>
      <c r="G102" s="126" t="str">
        <f>IF(C102="","",'Datos Generales'!$D$19)</f>
        <v/>
      </c>
      <c r="H102" s="21" t="str">
        <f>IF(C102="","",'Datos Generales'!$A$19)</f>
        <v/>
      </c>
      <c r="I102" s="126" t="str">
        <f>IF(C102="","",'Datos Generales'!$A$7)</f>
        <v/>
      </c>
      <c r="J102" s="21" t="str">
        <f>IF(C102="","",'Datos Generales'!$A$13)</f>
        <v/>
      </c>
      <c r="K102" s="21" t="str">
        <f>IF(C102="","",'Datos Generales'!$A$10)</f>
        <v/>
      </c>
      <c r="CS102" s="142" t="str">
        <f t="shared" si="11"/>
        <v/>
      </c>
      <c r="CT102" s="142" t="str">
        <f t="shared" si="12"/>
        <v/>
      </c>
      <c r="CU102" s="142" t="str">
        <f t="shared" si="13"/>
        <v/>
      </c>
      <c r="CV102" s="142" t="str">
        <f t="shared" si="14"/>
        <v/>
      </c>
      <c r="CW102" s="142" t="str">
        <f>IF(C102="","",IF('Datos Generales'!$A$19=1,AVERAGE(FP102:GD102),AVERAGE(Captura!FP102:FY102)))</f>
        <v/>
      </c>
      <c r="CX102" s="138" t="e">
        <f>IF(VLOOKUP(CONCATENATE($H$4,$F$4,CX$2),Español!$A:$H,7,FALSE)=L102,1,0)</f>
        <v>#N/A</v>
      </c>
      <c r="CY102" s="138" t="e">
        <f>IF(VLOOKUP(CONCATENATE(H102,F102,CY$2),Español!$A:$H,7,FALSE)=M102,1,0)</f>
        <v>#N/A</v>
      </c>
      <c r="CZ102" s="138" t="e">
        <f>IF(VLOOKUP(CONCATENATE(H102,F102,CZ$2),Español!$A:$H,7,FALSE)=N102,1,0)</f>
        <v>#N/A</v>
      </c>
      <c r="DA102" s="138" t="e">
        <f>IF(VLOOKUP(CONCATENATE(H102,F102,DA$2),Español!$A:$H,7,FALSE)=O102,1,0)</f>
        <v>#N/A</v>
      </c>
      <c r="DB102" s="138" t="e">
        <f>IF(VLOOKUP(CONCATENATE(H102,F102,DB$2),Español!$A:$H,7,FALSE)=P102,1,0)</f>
        <v>#N/A</v>
      </c>
      <c r="DC102" s="138" t="e">
        <f>IF(VLOOKUP(CONCATENATE(H102,F102,DC$2),Español!$A:$H,7,FALSE)=Q102,1,0)</f>
        <v>#N/A</v>
      </c>
      <c r="DD102" s="138" t="e">
        <f>IF(VLOOKUP(CONCATENATE(H102,F102,DD$2),Español!$A:$H,7,FALSE)=R102,1,0)</f>
        <v>#N/A</v>
      </c>
      <c r="DE102" s="138" t="e">
        <f>IF(VLOOKUP(CONCATENATE(H102,F102,DE$2),Español!$A:$H,7,FALSE)=S102,1,0)</f>
        <v>#N/A</v>
      </c>
      <c r="DF102" s="138" t="e">
        <f>IF(VLOOKUP(CONCATENATE(H102,F102,DF$2),Español!$A:$H,7,FALSE)=T102,1,0)</f>
        <v>#N/A</v>
      </c>
      <c r="DG102" s="138" t="e">
        <f>IF(VLOOKUP(CONCATENATE(H102,F102,DG$2),Español!$A:$H,7,FALSE)=U102,1,0)</f>
        <v>#N/A</v>
      </c>
      <c r="DH102" s="138" t="e">
        <f>IF(VLOOKUP(CONCATENATE(H102,F102,DH$2),Español!$A:$H,7,FALSE)=V102,1,0)</f>
        <v>#N/A</v>
      </c>
      <c r="DI102" s="138" t="e">
        <f>IF(VLOOKUP(CONCATENATE(H102,F102,DI$2),Español!$A:$H,7,FALSE)=W102,1,0)</f>
        <v>#N/A</v>
      </c>
      <c r="DJ102" s="138" t="e">
        <f>IF(VLOOKUP(CONCATENATE(H102,F102,DJ$2),Español!$A:$H,7,FALSE)=X102,1,0)</f>
        <v>#N/A</v>
      </c>
      <c r="DK102" s="138" t="e">
        <f>IF(VLOOKUP(CONCATENATE(H102,F102,DK$2),Español!$A:$H,7,FALSE)=Y102,1,0)</f>
        <v>#N/A</v>
      </c>
      <c r="DL102" s="138" t="e">
        <f>IF(VLOOKUP(CONCATENATE(H102,F102,DL$2),Español!$A:$H,7,FALSE)=Z102,1,0)</f>
        <v>#N/A</v>
      </c>
      <c r="DM102" s="138" t="e">
        <f>IF(VLOOKUP(CONCATENATE(H102,F102,DM$2),Español!$A:$H,7,FALSE)=AA102,1,0)</f>
        <v>#N/A</v>
      </c>
      <c r="DN102" s="138" t="e">
        <f>IF(VLOOKUP(CONCATENATE(H102,F102,DN$2),Español!$A:$H,7,FALSE)=AB102,1,0)</f>
        <v>#N/A</v>
      </c>
      <c r="DO102" s="138" t="e">
        <f>IF(VLOOKUP(CONCATENATE(H102,F102,DO$2),Español!$A:$H,7,FALSE)=AC102,1,0)</f>
        <v>#N/A</v>
      </c>
      <c r="DP102" s="138" t="e">
        <f>IF(VLOOKUP(CONCATENATE(H102,F102,DP$2),Español!$A:$H,7,FALSE)=AD102,1,0)</f>
        <v>#N/A</v>
      </c>
      <c r="DQ102" s="138" t="e">
        <f>IF(VLOOKUP(CONCATENATE(H102,F102,DQ$2),Español!$A:$H,7,FALSE)=AE102,1,0)</f>
        <v>#N/A</v>
      </c>
      <c r="DR102" s="138" t="e">
        <f>IF(VLOOKUP(CONCATENATE(H102,F102,DR$2),Inglés!$A:$H,7,FALSE)=AF102,1,0)</f>
        <v>#N/A</v>
      </c>
      <c r="DS102" s="138" t="e">
        <f>IF(VLOOKUP(CONCATENATE(H102,F102,DS$2),Inglés!$A:$H,7,FALSE)=AG102,1,0)</f>
        <v>#N/A</v>
      </c>
      <c r="DT102" s="138" t="e">
        <f>IF(VLOOKUP(CONCATENATE(H102,F102,DT$2),Inglés!$A:$H,7,FALSE)=AH102,1,0)</f>
        <v>#N/A</v>
      </c>
      <c r="DU102" s="138" t="e">
        <f>IF(VLOOKUP(CONCATENATE(H102,F102,DU$2),Inglés!$A:$H,7,FALSE)=AI102,1,0)</f>
        <v>#N/A</v>
      </c>
      <c r="DV102" s="138" t="e">
        <f>IF(VLOOKUP(CONCATENATE(H102,F102,DV$2),Inglés!$A:$H,7,FALSE)=AJ102,1,0)</f>
        <v>#N/A</v>
      </c>
      <c r="DW102" s="138" t="e">
        <f>IF(VLOOKUP(CONCATENATE(H102,F102,DW$2),Inglés!$A:$H,7,FALSE)=AK102,1,0)</f>
        <v>#N/A</v>
      </c>
      <c r="DX102" s="138" t="e">
        <f>IF(VLOOKUP(CONCATENATE(H102,F102,DX$2),Inglés!$A:$H,7,FALSE)=AL102,1,0)</f>
        <v>#N/A</v>
      </c>
      <c r="DY102" s="138" t="e">
        <f>IF(VLOOKUP(CONCATENATE(H102,F102,DY$2),Inglés!$A:$H,7,FALSE)=AM102,1,0)</f>
        <v>#N/A</v>
      </c>
      <c r="DZ102" s="138" t="e">
        <f>IF(VLOOKUP(CONCATENATE(H102,F102,DZ$2),Inglés!$A:$H,7,FALSE)=AN102,1,0)</f>
        <v>#N/A</v>
      </c>
      <c r="EA102" s="138" t="e">
        <f>IF(VLOOKUP(CONCATENATE(H102,F102,EA$2),Inglés!$A:$H,7,FALSE)=AO102,1,0)</f>
        <v>#N/A</v>
      </c>
      <c r="EB102" s="138" t="e">
        <f>IF(VLOOKUP(CONCATENATE(H102,F102,EB$2),Matemáticas!$A:$H,7,FALSE)=AP102,1,0)</f>
        <v>#N/A</v>
      </c>
      <c r="EC102" s="138" t="e">
        <f>IF(VLOOKUP(CONCATENATE(H102,F102,EC$2),Matemáticas!$A:$H,7,FALSE)=AQ102,1,0)</f>
        <v>#N/A</v>
      </c>
      <c r="ED102" s="138" t="e">
        <f>IF(VLOOKUP(CONCATENATE(H102,F102,ED$2),Matemáticas!$A:$H,7,FALSE)=AR102,1,0)</f>
        <v>#N/A</v>
      </c>
      <c r="EE102" s="138" t="e">
        <f>IF(VLOOKUP(CONCATENATE(H102,F102,EE$2),Matemáticas!$A:$H,7,FALSE)=AS102,1,0)</f>
        <v>#N/A</v>
      </c>
      <c r="EF102" s="138" t="e">
        <f>IF(VLOOKUP(CONCATENATE(H102,F102,EF$2),Matemáticas!$A:$H,7,FALSE)=AT102,1,0)</f>
        <v>#N/A</v>
      </c>
      <c r="EG102" s="138" t="e">
        <f>IF(VLOOKUP(CONCATENATE(H102,F102,EG$2),Matemáticas!$A:$H,7,FALSE)=AU102,1,0)</f>
        <v>#N/A</v>
      </c>
      <c r="EH102" s="138" t="e">
        <f>IF(VLOOKUP(CONCATENATE(H102,F102,EH$2),Matemáticas!$A:$H,7,FALSE)=AV102,1,0)</f>
        <v>#N/A</v>
      </c>
      <c r="EI102" s="138" t="e">
        <f>IF(VLOOKUP(CONCATENATE(H102,F102,EI$2),Matemáticas!$A:$H,7,FALSE)=AW102,1,0)</f>
        <v>#N/A</v>
      </c>
      <c r="EJ102" s="138" t="e">
        <f>IF(VLOOKUP(CONCATENATE(H102,F102,EJ$2),Matemáticas!$A:$H,7,FALSE)=AX102,1,0)</f>
        <v>#N/A</v>
      </c>
      <c r="EK102" s="138" t="e">
        <f>IF(VLOOKUP(CONCATENATE(H102,F102,EK$2),Matemáticas!$A:$H,7,FALSE)=AY102,1,0)</f>
        <v>#N/A</v>
      </c>
      <c r="EL102" s="138" t="e">
        <f>IF(VLOOKUP(CONCATENATE(H102,F102,EL$2),Matemáticas!$A:$H,7,FALSE)=AZ102,1,0)</f>
        <v>#N/A</v>
      </c>
      <c r="EM102" s="138" t="e">
        <f>IF(VLOOKUP(CONCATENATE(H102,F102,EM$2),Matemáticas!$A:$H,7,FALSE)=BA102,1,0)</f>
        <v>#N/A</v>
      </c>
      <c r="EN102" s="138" t="e">
        <f>IF(VLOOKUP(CONCATENATE(H102,F102,EN$2),Matemáticas!$A:$H,7,FALSE)=BB102,1,0)</f>
        <v>#N/A</v>
      </c>
      <c r="EO102" s="138" t="e">
        <f>IF(VLOOKUP(CONCATENATE(H102,F102,EO$2),Matemáticas!$A:$H,7,FALSE)=BC102,1,0)</f>
        <v>#N/A</v>
      </c>
      <c r="EP102" s="138" t="e">
        <f>IF(VLOOKUP(CONCATENATE(H102,F102,EP$2),Matemáticas!$A:$H,7,FALSE)=BD102,1,0)</f>
        <v>#N/A</v>
      </c>
      <c r="EQ102" s="138" t="e">
        <f>IF(VLOOKUP(CONCATENATE(H102,F102,EQ$2),Matemáticas!$A:$H,7,FALSE)=BE102,1,0)</f>
        <v>#N/A</v>
      </c>
      <c r="ER102" s="138" t="e">
        <f>IF(VLOOKUP(CONCATENATE(H102,F102,ER$2),Matemáticas!$A:$H,7,FALSE)=BF102,1,0)</f>
        <v>#N/A</v>
      </c>
      <c r="ES102" s="138" t="e">
        <f>IF(VLOOKUP(CONCATENATE(H102,F102,ES$2),Matemáticas!$A:$H,7,FALSE)=BG102,1,0)</f>
        <v>#N/A</v>
      </c>
      <c r="ET102" s="138" t="e">
        <f>IF(VLOOKUP(CONCATENATE(H102,F102,ET$2),Matemáticas!$A:$H,7,FALSE)=BH102,1,0)</f>
        <v>#N/A</v>
      </c>
      <c r="EU102" s="138" t="e">
        <f>IF(VLOOKUP(CONCATENATE(H102,F102,EU$2),Matemáticas!$A:$H,7,FALSE)=BI102,1,0)</f>
        <v>#N/A</v>
      </c>
      <c r="EV102" s="138" t="e">
        <f>IF(VLOOKUP(CONCATENATE(H102,F102,EV$2),Ciencias!$A:$H,7,FALSE)=BJ102,1,0)</f>
        <v>#N/A</v>
      </c>
      <c r="EW102" s="138" t="e">
        <f>IF(VLOOKUP(CONCATENATE(H102,F102,EW$2),Ciencias!$A:$H,7,FALSE)=BK102,1,0)</f>
        <v>#N/A</v>
      </c>
      <c r="EX102" s="138" t="e">
        <f>IF(VLOOKUP(CONCATENATE(H102,F102,EX$2),Ciencias!$A:$H,7,FALSE)=BL102,1,0)</f>
        <v>#N/A</v>
      </c>
      <c r="EY102" s="138" t="e">
        <f>IF(VLOOKUP(CONCATENATE(H102,F102,EY$2),Ciencias!$A:$H,7,FALSE)=BM102,1,0)</f>
        <v>#N/A</v>
      </c>
      <c r="EZ102" s="138" t="e">
        <f>IF(VLOOKUP(CONCATENATE(H102,F102,EZ$2),Ciencias!$A:$H,7,FALSE)=BN102,1,0)</f>
        <v>#N/A</v>
      </c>
      <c r="FA102" s="138" t="e">
        <f>IF(VLOOKUP(CONCATENATE(H102,F102,FA$2),Ciencias!$A:$H,7,FALSE)=BO102,1,0)</f>
        <v>#N/A</v>
      </c>
      <c r="FB102" s="138" t="e">
        <f>IF(VLOOKUP(CONCATENATE(H102,F102,FB$2),Ciencias!$A:$H,7,FALSE)=BP102,1,0)</f>
        <v>#N/A</v>
      </c>
      <c r="FC102" s="138" t="e">
        <f>IF(VLOOKUP(CONCATENATE(H102,F102,FC$2),Ciencias!$A:$H,7,FALSE)=BQ102,1,0)</f>
        <v>#N/A</v>
      </c>
      <c r="FD102" s="138" t="e">
        <f>IF(VLOOKUP(CONCATENATE(H102,F102,FD$2),Ciencias!$A:$H,7,FALSE)=BR102,1,0)</f>
        <v>#N/A</v>
      </c>
      <c r="FE102" s="138" t="e">
        <f>IF(VLOOKUP(CONCATENATE(H102,F102,FE$2),Ciencias!$A:$H,7,FALSE)=BS102,1,0)</f>
        <v>#N/A</v>
      </c>
      <c r="FF102" s="138" t="e">
        <f>IF(VLOOKUP(CONCATENATE(H102,F102,FF$2),Ciencias!$A:$H,7,FALSE)=BT102,1,0)</f>
        <v>#N/A</v>
      </c>
      <c r="FG102" s="138" t="e">
        <f>IF(VLOOKUP(CONCATENATE(H102,F102,FG$2),Ciencias!$A:$H,7,FALSE)=BU102,1,0)</f>
        <v>#N/A</v>
      </c>
      <c r="FH102" s="138" t="e">
        <f>IF(VLOOKUP(CONCATENATE(H102,F102,FH$2),Ciencias!$A:$H,7,FALSE)=BV102,1,0)</f>
        <v>#N/A</v>
      </c>
      <c r="FI102" s="138" t="e">
        <f>IF(VLOOKUP(CONCATENATE(H102,F102,FI$2),Ciencias!$A:$H,7,FALSE)=BW102,1,0)</f>
        <v>#N/A</v>
      </c>
      <c r="FJ102" s="138" t="e">
        <f>IF(VLOOKUP(CONCATENATE(H102,F102,FJ$2),Ciencias!$A:$H,7,FALSE)=BX102,1,0)</f>
        <v>#N/A</v>
      </c>
      <c r="FK102" s="138" t="e">
        <f>IF(VLOOKUP(CONCATENATE(H102,F102,FK$2),Ciencias!$A:$H,7,FALSE)=BY102,1,0)</f>
        <v>#N/A</v>
      </c>
      <c r="FL102" s="138" t="e">
        <f>IF(VLOOKUP(CONCATENATE(H102,F102,FL$2),Ciencias!$A:$H,7,FALSE)=BZ102,1,0)</f>
        <v>#N/A</v>
      </c>
      <c r="FM102" s="138" t="e">
        <f>IF(VLOOKUP(CONCATENATE(H102,F102,FM$2),Ciencias!$A:$H,7,FALSE)=CA102,1,0)</f>
        <v>#N/A</v>
      </c>
      <c r="FN102" s="138" t="e">
        <f>IF(VLOOKUP(CONCATENATE(H102,F102,FN$2),Ciencias!$A:$H,7,FALSE)=CB102,1,0)</f>
        <v>#N/A</v>
      </c>
      <c r="FO102" s="138" t="e">
        <f>IF(VLOOKUP(CONCATENATE(H102,F102,FO$2),Ciencias!$A:$H,7,FALSE)=CC102,1,0)</f>
        <v>#N/A</v>
      </c>
      <c r="FP102" s="138" t="e">
        <f>IF(VLOOKUP(CONCATENATE(H102,F102,FP$2),GeoHis!$A:$H,7,FALSE)=CD102,1,0)</f>
        <v>#N/A</v>
      </c>
      <c r="FQ102" s="138" t="e">
        <f>IF(VLOOKUP(CONCATENATE(H102,F102,FQ$2),GeoHis!$A:$H,7,FALSE)=CE102,1,0)</f>
        <v>#N/A</v>
      </c>
      <c r="FR102" s="138" t="e">
        <f>IF(VLOOKUP(CONCATENATE(H102,F102,FR$2),GeoHis!$A:$H,7,FALSE)=CF102,1,0)</f>
        <v>#N/A</v>
      </c>
      <c r="FS102" s="138" t="e">
        <f>IF(VLOOKUP(CONCATENATE(H102,F102,FS$2),GeoHis!$A:$H,7,FALSE)=CG102,1,0)</f>
        <v>#N/A</v>
      </c>
      <c r="FT102" s="138" t="e">
        <f>IF(VLOOKUP(CONCATENATE(H102,F102,FT$2),GeoHis!$A:$H,7,FALSE)=CH102,1,0)</f>
        <v>#N/A</v>
      </c>
      <c r="FU102" s="138" t="e">
        <f>IF(VLOOKUP(CONCATENATE(H102,F102,FU$2),GeoHis!$A:$H,7,FALSE)=CI102,1,0)</f>
        <v>#N/A</v>
      </c>
      <c r="FV102" s="138" t="e">
        <f>IF(VLOOKUP(CONCATENATE(H102,F102,FV$2),GeoHis!$A:$H,7,FALSE)=CJ102,1,0)</f>
        <v>#N/A</v>
      </c>
      <c r="FW102" s="138" t="e">
        <f>IF(VLOOKUP(CONCATENATE(H102,F102,FW$2),GeoHis!$A:$H,7,FALSE)=CK102,1,0)</f>
        <v>#N/A</v>
      </c>
      <c r="FX102" s="138" t="e">
        <f>IF(VLOOKUP(CONCATENATE(H102,F102,FX$2),GeoHis!$A:$H,7,FALSE)=CL102,1,0)</f>
        <v>#N/A</v>
      </c>
      <c r="FY102" s="138" t="e">
        <f>IF(VLOOKUP(CONCATENATE(H102,F102,FY$2),GeoHis!$A:$H,7,FALSE)=CM102,1,0)</f>
        <v>#N/A</v>
      </c>
      <c r="FZ102" s="138" t="e">
        <f>IF(VLOOKUP(CONCATENATE(H102,F102,FZ$2),GeoHis!$A:$H,7,FALSE)=CN102,1,0)</f>
        <v>#N/A</v>
      </c>
      <c r="GA102" s="138" t="e">
        <f>IF(VLOOKUP(CONCATENATE(H102,F102,GA$2),GeoHis!$A:$H,7,FALSE)=CO102,1,0)</f>
        <v>#N/A</v>
      </c>
      <c r="GB102" s="138" t="e">
        <f>IF(VLOOKUP(CONCATENATE(H102,F102,GB$2),GeoHis!$A:$H,7,FALSE)=CP102,1,0)</f>
        <v>#N/A</v>
      </c>
      <c r="GC102" s="138" t="e">
        <f>IF(VLOOKUP(CONCATENATE(H102,F102,GC$2),GeoHis!$A:$H,7,FALSE)=CQ102,1,0)</f>
        <v>#N/A</v>
      </c>
      <c r="GD102" s="138" t="e">
        <f>IF(VLOOKUP(CONCATENATE(H102,F102,GD$2),GeoHis!$A:$H,7,FALSE)=CR102,1,0)</f>
        <v>#N/A</v>
      </c>
      <c r="GE102" s="135" t="str">
        <f t="shared" si="15"/>
        <v/>
      </c>
    </row>
    <row r="103" spans="1:187" x14ac:dyDescent="0.25">
      <c r="A103" s="127" t="str">
        <f>IF(C103="","",'Datos Generales'!$A$25)</f>
        <v/>
      </c>
      <c r="D103" s="126" t="str">
        <f t="shared" si="8"/>
        <v/>
      </c>
      <c r="E103" s="126">
        <f t="shared" si="9"/>
        <v>0</v>
      </c>
      <c r="F103" s="126" t="str">
        <f t="shared" si="10"/>
        <v/>
      </c>
      <c r="G103" s="126" t="str">
        <f>IF(C103="","",'Datos Generales'!$D$19)</f>
        <v/>
      </c>
      <c r="H103" s="21" t="str">
        <f>IF(C103="","",'Datos Generales'!$A$19)</f>
        <v/>
      </c>
      <c r="I103" s="126" t="str">
        <f>IF(C103="","",'Datos Generales'!$A$7)</f>
        <v/>
      </c>
      <c r="J103" s="21" t="str">
        <f>IF(C103="","",'Datos Generales'!$A$13)</f>
        <v/>
      </c>
      <c r="K103" s="21" t="str">
        <f>IF(C103="","",'Datos Generales'!$A$10)</f>
        <v/>
      </c>
      <c r="CS103" s="142" t="str">
        <f t="shared" si="11"/>
        <v/>
      </c>
      <c r="CT103" s="142" t="str">
        <f t="shared" si="12"/>
        <v/>
      </c>
      <c r="CU103" s="142" t="str">
        <f t="shared" si="13"/>
        <v/>
      </c>
      <c r="CV103" s="142" t="str">
        <f t="shared" si="14"/>
        <v/>
      </c>
      <c r="CW103" s="142" t="str">
        <f>IF(C103="","",IF('Datos Generales'!$A$19=1,AVERAGE(FP103:GD103),AVERAGE(Captura!FP103:FY103)))</f>
        <v/>
      </c>
      <c r="CX103" s="138" t="e">
        <f>IF(VLOOKUP(CONCATENATE($H$4,$F$4,CX$2),Español!$A:$H,7,FALSE)=L103,1,0)</f>
        <v>#N/A</v>
      </c>
      <c r="CY103" s="138" t="e">
        <f>IF(VLOOKUP(CONCATENATE(H103,F103,CY$2),Español!$A:$H,7,FALSE)=M103,1,0)</f>
        <v>#N/A</v>
      </c>
      <c r="CZ103" s="138" t="e">
        <f>IF(VLOOKUP(CONCATENATE(H103,F103,CZ$2),Español!$A:$H,7,FALSE)=N103,1,0)</f>
        <v>#N/A</v>
      </c>
      <c r="DA103" s="138" t="e">
        <f>IF(VLOOKUP(CONCATENATE(H103,F103,DA$2),Español!$A:$H,7,FALSE)=O103,1,0)</f>
        <v>#N/A</v>
      </c>
      <c r="DB103" s="138" t="e">
        <f>IF(VLOOKUP(CONCATENATE(H103,F103,DB$2),Español!$A:$H,7,FALSE)=P103,1,0)</f>
        <v>#N/A</v>
      </c>
      <c r="DC103" s="138" t="e">
        <f>IF(VLOOKUP(CONCATENATE(H103,F103,DC$2),Español!$A:$H,7,FALSE)=Q103,1,0)</f>
        <v>#N/A</v>
      </c>
      <c r="DD103" s="138" t="e">
        <f>IF(VLOOKUP(CONCATENATE(H103,F103,DD$2),Español!$A:$H,7,FALSE)=R103,1,0)</f>
        <v>#N/A</v>
      </c>
      <c r="DE103" s="138" t="e">
        <f>IF(VLOOKUP(CONCATENATE(H103,F103,DE$2),Español!$A:$H,7,FALSE)=S103,1,0)</f>
        <v>#N/A</v>
      </c>
      <c r="DF103" s="138" t="e">
        <f>IF(VLOOKUP(CONCATENATE(H103,F103,DF$2),Español!$A:$H,7,FALSE)=T103,1,0)</f>
        <v>#N/A</v>
      </c>
      <c r="DG103" s="138" t="e">
        <f>IF(VLOOKUP(CONCATENATE(H103,F103,DG$2),Español!$A:$H,7,FALSE)=U103,1,0)</f>
        <v>#N/A</v>
      </c>
      <c r="DH103" s="138" t="e">
        <f>IF(VLOOKUP(CONCATENATE(H103,F103,DH$2),Español!$A:$H,7,FALSE)=V103,1,0)</f>
        <v>#N/A</v>
      </c>
      <c r="DI103" s="138" t="e">
        <f>IF(VLOOKUP(CONCATENATE(H103,F103,DI$2),Español!$A:$H,7,FALSE)=W103,1,0)</f>
        <v>#N/A</v>
      </c>
      <c r="DJ103" s="138" t="e">
        <f>IF(VLOOKUP(CONCATENATE(H103,F103,DJ$2),Español!$A:$H,7,FALSE)=X103,1,0)</f>
        <v>#N/A</v>
      </c>
      <c r="DK103" s="138" t="e">
        <f>IF(VLOOKUP(CONCATENATE(H103,F103,DK$2),Español!$A:$H,7,FALSE)=Y103,1,0)</f>
        <v>#N/A</v>
      </c>
      <c r="DL103" s="138" t="e">
        <f>IF(VLOOKUP(CONCATENATE(H103,F103,DL$2),Español!$A:$H,7,FALSE)=Z103,1,0)</f>
        <v>#N/A</v>
      </c>
      <c r="DM103" s="138" t="e">
        <f>IF(VLOOKUP(CONCATENATE(H103,F103,DM$2),Español!$A:$H,7,FALSE)=AA103,1,0)</f>
        <v>#N/A</v>
      </c>
      <c r="DN103" s="138" t="e">
        <f>IF(VLOOKUP(CONCATENATE(H103,F103,DN$2),Español!$A:$H,7,FALSE)=AB103,1,0)</f>
        <v>#N/A</v>
      </c>
      <c r="DO103" s="138" t="e">
        <f>IF(VLOOKUP(CONCATENATE(H103,F103,DO$2),Español!$A:$H,7,FALSE)=AC103,1,0)</f>
        <v>#N/A</v>
      </c>
      <c r="DP103" s="138" t="e">
        <f>IF(VLOOKUP(CONCATENATE(H103,F103,DP$2),Español!$A:$H,7,FALSE)=AD103,1,0)</f>
        <v>#N/A</v>
      </c>
      <c r="DQ103" s="138" t="e">
        <f>IF(VLOOKUP(CONCATENATE(H103,F103,DQ$2),Español!$A:$H,7,FALSE)=AE103,1,0)</f>
        <v>#N/A</v>
      </c>
      <c r="DR103" s="138" t="e">
        <f>IF(VLOOKUP(CONCATENATE(H103,F103,DR$2),Inglés!$A:$H,7,FALSE)=AF103,1,0)</f>
        <v>#N/A</v>
      </c>
      <c r="DS103" s="138" t="e">
        <f>IF(VLOOKUP(CONCATENATE(H103,F103,DS$2),Inglés!$A:$H,7,FALSE)=AG103,1,0)</f>
        <v>#N/A</v>
      </c>
      <c r="DT103" s="138" t="e">
        <f>IF(VLOOKUP(CONCATENATE(H103,F103,DT$2),Inglés!$A:$H,7,FALSE)=AH103,1,0)</f>
        <v>#N/A</v>
      </c>
      <c r="DU103" s="138" t="e">
        <f>IF(VLOOKUP(CONCATENATE(H103,F103,DU$2),Inglés!$A:$H,7,FALSE)=AI103,1,0)</f>
        <v>#N/A</v>
      </c>
      <c r="DV103" s="138" t="e">
        <f>IF(VLOOKUP(CONCATENATE(H103,F103,DV$2),Inglés!$A:$H,7,FALSE)=AJ103,1,0)</f>
        <v>#N/A</v>
      </c>
      <c r="DW103" s="138" t="e">
        <f>IF(VLOOKUP(CONCATENATE(H103,F103,DW$2),Inglés!$A:$H,7,FALSE)=AK103,1,0)</f>
        <v>#N/A</v>
      </c>
      <c r="DX103" s="138" t="e">
        <f>IF(VLOOKUP(CONCATENATE(H103,F103,DX$2),Inglés!$A:$H,7,FALSE)=AL103,1,0)</f>
        <v>#N/A</v>
      </c>
      <c r="DY103" s="138" t="e">
        <f>IF(VLOOKUP(CONCATENATE(H103,F103,DY$2),Inglés!$A:$H,7,FALSE)=AM103,1,0)</f>
        <v>#N/A</v>
      </c>
      <c r="DZ103" s="138" t="e">
        <f>IF(VLOOKUP(CONCATENATE(H103,F103,DZ$2),Inglés!$A:$H,7,FALSE)=AN103,1,0)</f>
        <v>#N/A</v>
      </c>
      <c r="EA103" s="138" t="e">
        <f>IF(VLOOKUP(CONCATENATE(H103,F103,EA$2),Inglés!$A:$H,7,FALSE)=AO103,1,0)</f>
        <v>#N/A</v>
      </c>
      <c r="EB103" s="138" t="e">
        <f>IF(VLOOKUP(CONCATENATE(H103,F103,EB$2),Matemáticas!$A:$H,7,FALSE)=AP103,1,0)</f>
        <v>#N/A</v>
      </c>
      <c r="EC103" s="138" t="e">
        <f>IF(VLOOKUP(CONCATENATE(H103,F103,EC$2),Matemáticas!$A:$H,7,FALSE)=AQ103,1,0)</f>
        <v>#N/A</v>
      </c>
      <c r="ED103" s="138" t="e">
        <f>IF(VLOOKUP(CONCATENATE(H103,F103,ED$2),Matemáticas!$A:$H,7,FALSE)=AR103,1,0)</f>
        <v>#N/A</v>
      </c>
      <c r="EE103" s="138" t="e">
        <f>IF(VLOOKUP(CONCATENATE(H103,F103,EE$2),Matemáticas!$A:$H,7,FALSE)=AS103,1,0)</f>
        <v>#N/A</v>
      </c>
      <c r="EF103" s="138" t="e">
        <f>IF(VLOOKUP(CONCATENATE(H103,F103,EF$2),Matemáticas!$A:$H,7,FALSE)=AT103,1,0)</f>
        <v>#N/A</v>
      </c>
      <c r="EG103" s="138" t="e">
        <f>IF(VLOOKUP(CONCATENATE(H103,F103,EG$2),Matemáticas!$A:$H,7,FALSE)=AU103,1,0)</f>
        <v>#N/A</v>
      </c>
      <c r="EH103" s="138" t="e">
        <f>IF(VLOOKUP(CONCATENATE(H103,F103,EH$2),Matemáticas!$A:$H,7,FALSE)=AV103,1,0)</f>
        <v>#N/A</v>
      </c>
      <c r="EI103" s="138" t="e">
        <f>IF(VLOOKUP(CONCATENATE(H103,F103,EI$2),Matemáticas!$A:$H,7,FALSE)=AW103,1,0)</f>
        <v>#N/A</v>
      </c>
      <c r="EJ103" s="138" t="e">
        <f>IF(VLOOKUP(CONCATENATE(H103,F103,EJ$2),Matemáticas!$A:$H,7,FALSE)=AX103,1,0)</f>
        <v>#N/A</v>
      </c>
      <c r="EK103" s="138" t="e">
        <f>IF(VLOOKUP(CONCATENATE(H103,F103,EK$2),Matemáticas!$A:$H,7,FALSE)=AY103,1,0)</f>
        <v>#N/A</v>
      </c>
      <c r="EL103" s="138" t="e">
        <f>IF(VLOOKUP(CONCATENATE(H103,F103,EL$2),Matemáticas!$A:$H,7,FALSE)=AZ103,1,0)</f>
        <v>#N/A</v>
      </c>
      <c r="EM103" s="138" t="e">
        <f>IF(VLOOKUP(CONCATENATE(H103,F103,EM$2),Matemáticas!$A:$H,7,FALSE)=BA103,1,0)</f>
        <v>#N/A</v>
      </c>
      <c r="EN103" s="138" t="e">
        <f>IF(VLOOKUP(CONCATENATE(H103,F103,EN$2),Matemáticas!$A:$H,7,FALSE)=BB103,1,0)</f>
        <v>#N/A</v>
      </c>
      <c r="EO103" s="138" t="e">
        <f>IF(VLOOKUP(CONCATENATE(H103,F103,EO$2),Matemáticas!$A:$H,7,FALSE)=BC103,1,0)</f>
        <v>#N/A</v>
      </c>
      <c r="EP103" s="138" t="e">
        <f>IF(VLOOKUP(CONCATENATE(H103,F103,EP$2),Matemáticas!$A:$H,7,FALSE)=BD103,1,0)</f>
        <v>#N/A</v>
      </c>
      <c r="EQ103" s="138" t="e">
        <f>IF(VLOOKUP(CONCATENATE(H103,F103,EQ$2),Matemáticas!$A:$H,7,FALSE)=BE103,1,0)</f>
        <v>#N/A</v>
      </c>
      <c r="ER103" s="138" t="e">
        <f>IF(VLOOKUP(CONCATENATE(H103,F103,ER$2),Matemáticas!$A:$H,7,FALSE)=BF103,1,0)</f>
        <v>#N/A</v>
      </c>
      <c r="ES103" s="138" t="e">
        <f>IF(VLOOKUP(CONCATENATE(H103,F103,ES$2),Matemáticas!$A:$H,7,FALSE)=BG103,1,0)</f>
        <v>#N/A</v>
      </c>
      <c r="ET103" s="138" t="e">
        <f>IF(VLOOKUP(CONCATENATE(H103,F103,ET$2),Matemáticas!$A:$H,7,FALSE)=BH103,1,0)</f>
        <v>#N/A</v>
      </c>
      <c r="EU103" s="138" t="e">
        <f>IF(VLOOKUP(CONCATENATE(H103,F103,EU$2),Matemáticas!$A:$H,7,FALSE)=BI103,1,0)</f>
        <v>#N/A</v>
      </c>
      <c r="EV103" s="138" t="e">
        <f>IF(VLOOKUP(CONCATENATE(H103,F103,EV$2),Ciencias!$A:$H,7,FALSE)=BJ103,1,0)</f>
        <v>#N/A</v>
      </c>
      <c r="EW103" s="138" t="e">
        <f>IF(VLOOKUP(CONCATENATE(H103,F103,EW$2),Ciencias!$A:$H,7,FALSE)=BK103,1,0)</f>
        <v>#N/A</v>
      </c>
      <c r="EX103" s="138" t="e">
        <f>IF(VLOOKUP(CONCATENATE(H103,F103,EX$2),Ciencias!$A:$H,7,FALSE)=BL103,1,0)</f>
        <v>#N/A</v>
      </c>
      <c r="EY103" s="138" t="e">
        <f>IF(VLOOKUP(CONCATENATE(H103,F103,EY$2),Ciencias!$A:$H,7,FALSE)=BM103,1,0)</f>
        <v>#N/A</v>
      </c>
      <c r="EZ103" s="138" t="e">
        <f>IF(VLOOKUP(CONCATENATE(H103,F103,EZ$2),Ciencias!$A:$H,7,FALSE)=BN103,1,0)</f>
        <v>#N/A</v>
      </c>
      <c r="FA103" s="138" t="e">
        <f>IF(VLOOKUP(CONCATENATE(H103,F103,FA$2),Ciencias!$A:$H,7,FALSE)=BO103,1,0)</f>
        <v>#N/A</v>
      </c>
      <c r="FB103" s="138" t="e">
        <f>IF(VLOOKUP(CONCATENATE(H103,F103,FB$2),Ciencias!$A:$H,7,FALSE)=BP103,1,0)</f>
        <v>#N/A</v>
      </c>
      <c r="FC103" s="138" t="e">
        <f>IF(VLOOKUP(CONCATENATE(H103,F103,FC$2),Ciencias!$A:$H,7,FALSE)=BQ103,1,0)</f>
        <v>#N/A</v>
      </c>
      <c r="FD103" s="138" t="e">
        <f>IF(VLOOKUP(CONCATENATE(H103,F103,FD$2),Ciencias!$A:$H,7,FALSE)=BR103,1,0)</f>
        <v>#N/A</v>
      </c>
      <c r="FE103" s="138" t="e">
        <f>IF(VLOOKUP(CONCATENATE(H103,F103,FE$2),Ciencias!$A:$H,7,FALSE)=BS103,1,0)</f>
        <v>#N/A</v>
      </c>
      <c r="FF103" s="138" t="e">
        <f>IF(VLOOKUP(CONCATENATE(H103,F103,FF$2),Ciencias!$A:$H,7,FALSE)=BT103,1,0)</f>
        <v>#N/A</v>
      </c>
      <c r="FG103" s="138" t="e">
        <f>IF(VLOOKUP(CONCATENATE(H103,F103,FG$2),Ciencias!$A:$H,7,FALSE)=BU103,1,0)</f>
        <v>#N/A</v>
      </c>
      <c r="FH103" s="138" t="e">
        <f>IF(VLOOKUP(CONCATENATE(H103,F103,FH$2),Ciencias!$A:$H,7,FALSE)=BV103,1,0)</f>
        <v>#N/A</v>
      </c>
      <c r="FI103" s="138" t="e">
        <f>IF(VLOOKUP(CONCATENATE(H103,F103,FI$2),Ciencias!$A:$H,7,FALSE)=BW103,1,0)</f>
        <v>#N/A</v>
      </c>
      <c r="FJ103" s="138" t="e">
        <f>IF(VLOOKUP(CONCATENATE(H103,F103,FJ$2),Ciencias!$A:$H,7,FALSE)=BX103,1,0)</f>
        <v>#N/A</v>
      </c>
      <c r="FK103" s="138" t="e">
        <f>IF(VLOOKUP(CONCATENATE(H103,F103,FK$2),Ciencias!$A:$H,7,FALSE)=BY103,1,0)</f>
        <v>#N/A</v>
      </c>
      <c r="FL103" s="138" t="e">
        <f>IF(VLOOKUP(CONCATENATE(H103,F103,FL$2),Ciencias!$A:$H,7,FALSE)=BZ103,1,0)</f>
        <v>#N/A</v>
      </c>
      <c r="FM103" s="138" t="e">
        <f>IF(VLOOKUP(CONCATENATE(H103,F103,FM$2),Ciencias!$A:$H,7,FALSE)=CA103,1,0)</f>
        <v>#N/A</v>
      </c>
      <c r="FN103" s="138" t="e">
        <f>IF(VLOOKUP(CONCATENATE(H103,F103,FN$2),Ciencias!$A:$H,7,FALSE)=CB103,1,0)</f>
        <v>#N/A</v>
      </c>
      <c r="FO103" s="138" t="e">
        <f>IF(VLOOKUP(CONCATENATE(H103,F103,FO$2),Ciencias!$A:$H,7,FALSE)=CC103,1,0)</f>
        <v>#N/A</v>
      </c>
      <c r="FP103" s="138" t="e">
        <f>IF(VLOOKUP(CONCATENATE(H103,F103,FP$2),GeoHis!$A:$H,7,FALSE)=CD103,1,0)</f>
        <v>#N/A</v>
      </c>
      <c r="FQ103" s="138" t="e">
        <f>IF(VLOOKUP(CONCATENATE(H103,F103,FQ$2),GeoHis!$A:$H,7,FALSE)=CE103,1,0)</f>
        <v>#N/A</v>
      </c>
      <c r="FR103" s="138" t="e">
        <f>IF(VLOOKUP(CONCATENATE(H103,F103,FR$2),GeoHis!$A:$H,7,FALSE)=CF103,1,0)</f>
        <v>#N/A</v>
      </c>
      <c r="FS103" s="138" t="e">
        <f>IF(VLOOKUP(CONCATENATE(H103,F103,FS$2),GeoHis!$A:$H,7,FALSE)=CG103,1,0)</f>
        <v>#N/A</v>
      </c>
      <c r="FT103" s="138" t="e">
        <f>IF(VLOOKUP(CONCATENATE(H103,F103,FT$2),GeoHis!$A:$H,7,FALSE)=CH103,1,0)</f>
        <v>#N/A</v>
      </c>
      <c r="FU103" s="138" t="e">
        <f>IF(VLOOKUP(CONCATENATE(H103,F103,FU$2),GeoHis!$A:$H,7,FALSE)=CI103,1,0)</f>
        <v>#N/A</v>
      </c>
      <c r="FV103" s="138" t="e">
        <f>IF(VLOOKUP(CONCATENATE(H103,F103,FV$2),GeoHis!$A:$H,7,FALSE)=CJ103,1,0)</f>
        <v>#N/A</v>
      </c>
      <c r="FW103" s="138" t="e">
        <f>IF(VLOOKUP(CONCATENATE(H103,F103,FW$2),GeoHis!$A:$H,7,FALSE)=CK103,1,0)</f>
        <v>#N/A</v>
      </c>
      <c r="FX103" s="138" t="e">
        <f>IF(VLOOKUP(CONCATENATE(H103,F103,FX$2),GeoHis!$A:$H,7,FALSE)=CL103,1,0)</f>
        <v>#N/A</v>
      </c>
      <c r="FY103" s="138" t="e">
        <f>IF(VLOOKUP(CONCATENATE(H103,F103,FY$2),GeoHis!$A:$H,7,FALSE)=CM103,1,0)</f>
        <v>#N/A</v>
      </c>
      <c r="FZ103" s="138" t="e">
        <f>IF(VLOOKUP(CONCATENATE(H103,F103,FZ$2),GeoHis!$A:$H,7,FALSE)=CN103,1,0)</f>
        <v>#N/A</v>
      </c>
      <c r="GA103" s="138" t="e">
        <f>IF(VLOOKUP(CONCATENATE(H103,F103,GA$2),GeoHis!$A:$H,7,FALSE)=CO103,1,0)</f>
        <v>#N/A</v>
      </c>
      <c r="GB103" s="138" t="e">
        <f>IF(VLOOKUP(CONCATENATE(H103,F103,GB$2),GeoHis!$A:$H,7,FALSE)=CP103,1,0)</f>
        <v>#N/A</v>
      </c>
      <c r="GC103" s="138" t="e">
        <f>IF(VLOOKUP(CONCATENATE(H103,F103,GC$2),GeoHis!$A:$H,7,FALSE)=CQ103,1,0)</f>
        <v>#N/A</v>
      </c>
      <c r="GD103" s="138" t="e">
        <f>IF(VLOOKUP(CONCATENATE(H103,F103,GD$2),GeoHis!$A:$H,7,FALSE)=CR103,1,0)</f>
        <v>#N/A</v>
      </c>
      <c r="GE103" s="135" t="str">
        <f t="shared" si="15"/>
        <v/>
      </c>
    </row>
    <row r="104" spans="1:187" x14ac:dyDescent="0.25">
      <c r="A104" s="127" t="str">
        <f>IF(C104="","",'Datos Generales'!$A$25)</f>
        <v/>
      </c>
      <c r="D104" s="126" t="str">
        <f t="shared" si="8"/>
        <v/>
      </c>
      <c r="E104" s="126">
        <f t="shared" si="9"/>
        <v>0</v>
      </c>
      <c r="F104" s="126" t="str">
        <f t="shared" si="10"/>
        <v/>
      </c>
      <c r="G104" s="126" t="str">
        <f>IF(C104="","",'Datos Generales'!$D$19)</f>
        <v/>
      </c>
      <c r="H104" s="21" t="str">
        <f>IF(C104="","",'Datos Generales'!$A$19)</f>
        <v/>
      </c>
      <c r="I104" s="126" t="str">
        <f>IF(C104="","",'Datos Generales'!$A$7)</f>
        <v/>
      </c>
      <c r="J104" s="21" t="str">
        <f>IF(C104="","",'Datos Generales'!$A$13)</f>
        <v/>
      </c>
      <c r="K104" s="21" t="str">
        <f>IF(C104="","",'Datos Generales'!$A$10)</f>
        <v/>
      </c>
      <c r="CS104" s="142" t="str">
        <f t="shared" si="11"/>
        <v/>
      </c>
      <c r="CT104" s="142" t="str">
        <f t="shared" si="12"/>
        <v/>
      </c>
      <c r="CU104" s="142" t="str">
        <f t="shared" si="13"/>
        <v/>
      </c>
      <c r="CV104" s="142" t="str">
        <f t="shared" si="14"/>
        <v/>
      </c>
      <c r="CW104" s="142" t="str">
        <f>IF(C104="","",IF('Datos Generales'!$A$19=1,AVERAGE(FP104:GD104),AVERAGE(Captura!FP104:FY104)))</f>
        <v/>
      </c>
      <c r="CX104" s="138" t="e">
        <f>IF(VLOOKUP(CONCATENATE($H$4,$F$4,CX$2),Español!$A:$H,7,FALSE)=L104,1,0)</f>
        <v>#N/A</v>
      </c>
      <c r="CY104" s="138" t="e">
        <f>IF(VLOOKUP(CONCATENATE(H104,F104,CY$2),Español!$A:$H,7,FALSE)=M104,1,0)</f>
        <v>#N/A</v>
      </c>
      <c r="CZ104" s="138" t="e">
        <f>IF(VLOOKUP(CONCATENATE(H104,F104,CZ$2),Español!$A:$H,7,FALSE)=N104,1,0)</f>
        <v>#N/A</v>
      </c>
      <c r="DA104" s="138" t="e">
        <f>IF(VLOOKUP(CONCATENATE(H104,F104,DA$2),Español!$A:$H,7,FALSE)=O104,1,0)</f>
        <v>#N/A</v>
      </c>
      <c r="DB104" s="138" t="e">
        <f>IF(VLOOKUP(CONCATENATE(H104,F104,DB$2),Español!$A:$H,7,FALSE)=P104,1,0)</f>
        <v>#N/A</v>
      </c>
      <c r="DC104" s="138" t="e">
        <f>IF(VLOOKUP(CONCATENATE(H104,F104,DC$2),Español!$A:$H,7,FALSE)=Q104,1,0)</f>
        <v>#N/A</v>
      </c>
      <c r="DD104" s="138" t="e">
        <f>IF(VLOOKUP(CONCATENATE(H104,F104,DD$2),Español!$A:$H,7,FALSE)=R104,1,0)</f>
        <v>#N/A</v>
      </c>
      <c r="DE104" s="138" t="e">
        <f>IF(VLOOKUP(CONCATENATE(H104,F104,DE$2),Español!$A:$H,7,FALSE)=S104,1,0)</f>
        <v>#N/A</v>
      </c>
      <c r="DF104" s="138" t="e">
        <f>IF(VLOOKUP(CONCATENATE(H104,F104,DF$2),Español!$A:$H,7,FALSE)=T104,1,0)</f>
        <v>#N/A</v>
      </c>
      <c r="DG104" s="138" t="e">
        <f>IF(VLOOKUP(CONCATENATE(H104,F104,DG$2),Español!$A:$H,7,FALSE)=U104,1,0)</f>
        <v>#N/A</v>
      </c>
      <c r="DH104" s="138" t="e">
        <f>IF(VLOOKUP(CONCATENATE(H104,F104,DH$2),Español!$A:$H,7,FALSE)=V104,1,0)</f>
        <v>#N/A</v>
      </c>
      <c r="DI104" s="138" t="e">
        <f>IF(VLOOKUP(CONCATENATE(H104,F104,DI$2),Español!$A:$H,7,FALSE)=W104,1,0)</f>
        <v>#N/A</v>
      </c>
      <c r="DJ104" s="138" t="e">
        <f>IF(VLOOKUP(CONCATENATE(H104,F104,DJ$2),Español!$A:$H,7,FALSE)=X104,1,0)</f>
        <v>#N/A</v>
      </c>
      <c r="DK104" s="138" t="e">
        <f>IF(VLOOKUP(CONCATENATE(H104,F104,DK$2),Español!$A:$H,7,FALSE)=Y104,1,0)</f>
        <v>#N/A</v>
      </c>
      <c r="DL104" s="138" t="e">
        <f>IF(VLOOKUP(CONCATENATE(H104,F104,DL$2),Español!$A:$H,7,FALSE)=Z104,1,0)</f>
        <v>#N/A</v>
      </c>
      <c r="DM104" s="138" t="e">
        <f>IF(VLOOKUP(CONCATENATE(H104,F104,DM$2),Español!$A:$H,7,FALSE)=AA104,1,0)</f>
        <v>#N/A</v>
      </c>
      <c r="DN104" s="138" t="e">
        <f>IF(VLOOKUP(CONCATENATE(H104,F104,DN$2),Español!$A:$H,7,FALSE)=AB104,1,0)</f>
        <v>#N/A</v>
      </c>
      <c r="DO104" s="138" t="e">
        <f>IF(VLOOKUP(CONCATENATE(H104,F104,DO$2),Español!$A:$H,7,FALSE)=AC104,1,0)</f>
        <v>#N/A</v>
      </c>
      <c r="DP104" s="138" t="e">
        <f>IF(VLOOKUP(CONCATENATE(H104,F104,DP$2),Español!$A:$H,7,FALSE)=AD104,1,0)</f>
        <v>#N/A</v>
      </c>
      <c r="DQ104" s="138" t="e">
        <f>IF(VLOOKUP(CONCATENATE(H104,F104,DQ$2),Español!$A:$H,7,FALSE)=AE104,1,0)</f>
        <v>#N/A</v>
      </c>
      <c r="DR104" s="138" t="e">
        <f>IF(VLOOKUP(CONCATENATE(H104,F104,DR$2),Inglés!$A:$H,7,FALSE)=AF104,1,0)</f>
        <v>#N/A</v>
      </c>
      <c r="DS104" s="138" t="e">
        <f>IF(VLOOKUP(CONCATENATE(H104,F104,DS$2),Inglés!$A:$H,7,FALSE)=AG104,1,0)</f>
        <v>#N/A</v>
      </c>
      <c r="DT104" s="138" t="e">
        <f>IF(VLOOKUP(CONCATENATE(H104,F104,DT$2),Inglés!$A:$H,7,FALSE)=AH104,1,0)</f>
        <v>#N/A</v>
      </c>
      <c r="DU104" s="138" t="e">
        <f>IF(VLOOKUP(CONCATENATE(H104,F104,DU$2),Inglés!$A:$H,7,FALSE)=AI104,1,0)</f>
        <v>#N/A</v>
      </c>
      <c r="DV104" s="138" t="e">
        <f>IF(VLOOKUP(CONCATENATE(H104,F104,DV$2),Inglés!$A:$H,7,FALSE)=AJ104,1,0)</f>
        <v>#N/A</v>
      </c>
      <c r="DW104" s="138" t="e">
        <f>IF(VLOOKUP(CONCATENATE(H104,F104,DW$2),Inglés!$A:$H,7,FALSE)=AK104,1,0)</f>
        <v>#N/A</v>
      </c>
      <c r="DX104" s="138" t="e">
        <f>IF(VLOOKUP(CONCATENATE(H104,F104,DX$2),Inglés!$A:$H,7,FALSE)=AL104,1,0)</f>
        <v>#N/A</v>
      </c>
      <c r="DY104" s="138" t="e">
        <f>IF(VLOOKUP(CONCATENATE(H104,F104,DY$2),Inglés!$A:$H,7,FALSE)=AM104,1,0)</f>
        <v>#N/A</v>
      </c>
      <c r="DZ104" s="138" t="e">
        <f>IF(VLOOKUP(CONCATENATE(H104,F104,DZ$2),Inglés!$A:$H,7,FALSE)=AN104,1,0)</f>
        <v>#N/A</v>
      </c>
      <c r="EA104" s="138" t="e">
        <f>IF(VLOOKUP(CONCATENATE(H104,F104,EA$2),Inglés!$A:$H,7,FALSE)=AO104,1,0)</f>
        <v>#N/A</v>
      </c>
      <c r="EB104" s="138" t="e">
        <f>IF(VLOOKUP(CONCATENATE(H104,F104,EB$2),Matemáticas!$A:$H,7,FALSE)=AP104,1,0)</f>
        <v>#N/A</v>
      </c>
      <c r="EC104" s="138" t="e">
        <f>IF(VLOOKUP(CONCATENATE(H104,F104,EC$2),Matemáticas!$A:$H,7,FALSE)=AQ104,1,0)</f>
        <v>#N/A</v>
      </c>
      <c r="ED104" s="138" t="e">
        <f>IF(VLOOKUP(CONCATENATE(H104,F104,ED$2),Matemáticas!$A:$H,7,FALSE)=AR104,1,0)</f>
        <v>#N/A</v>
      </c>
      <c r="EE104" s="138" t="e">
        <f>IF(VLOOKUP(CONCATENATE(H104,F104,EE$2),Matemáticas!$A:$H,7,FALSE)=AS104,1,0)</f>
        <v>#N/A</v>
      </c>
      <c r="EF104" s="138" t="e">
        <f>IF(VLOOKUP(CONCATENATE(H104,F104,EF$2),Matemáticas!$A:$H,7,FALSE)=AT104,1,0)</f>
        <v>#N/A</v>
      </c>
      <c r="EG104" s="138" t="e">
        <f>IF(VLOOKUP(CONCATENATE(H104,F104,EG$2),Matemáticas!$A:$H,7,FALSE)=AU104,1,0)</f>
        <v>#N/A</v>
      </c>
      <c r="EH104" s="138" t="e">
        <f>IF(VLOOKUP(CONCATENATE(H104,F104,EH$2),Matemáticas!$A:$H,7,FALSE)=AV104,1,0)</f>
        <v>#N/A</v>
      </c>
      <c r="EI104" s="138" t="e">
        <f>IF(VLOOKUP(CONCATENATE(H104,F104,EI$2),Matemáticas!$A:$H,7,FALSE)=AW104,1,0)</f>
        <v>#N/A</v>
      </c>
      <c r="EJ104" s="138" t="e">
        <f>IF(VLOOKUP(CONCATENATE(H104,F104,EJ$2),Matemáticas!$A:$H,7,FALSE)=AX104,1,0)</f>
        <v>#N/A</v>
      </c>
      <c r="EK104" s="138" t="e">
        <f>IF(VLOOKUP(CONCATENATE(H104,F104,EK$2),Matemáticas!$A:$H,7,FALSE)=AY104,1,0)</f>
        <v>#N/A</v>
      </c>
      <c r="EL104" s="138" t="e">
        <f>IF(VLOOKUP(CONCATENATE(H104,F104,EL$2),Matemáticas!$A:$H,7,FALSE)=AZ104,1,0)</f>
        <v>#N/A</v>
      </c>
      <c r="EM104" s="138" t="e">
        <f>IF(VLOOKUP(CONCATENATE(H104,F104,EM$2),Matemáticas!$A:$H,7,FALSE)=BA104,1,0)</f>
        <v>#N/A</v>
      </c>
      <c r="EN104" s="138" t="e">
        <f>IF(VLOOKUP(CONCATENATE(H104,F104,EN$2),Matemáticas!$A:$H,7,FALSE)=BB104,1,0)</f>
        <v>#N/A</v>
      </c>
      <c r="EO104" s="138" t="e">
        <f>IF(VLOOKUP(CONCATENATE(H104,F104,EO$2),Matemáticas!$A:$H,7,FALSE)=BC104,1,0)</f>
        <v>#N/A</v>
      </c>
      <c r="EP104" s="138" t="e">
        <f>IF(VLOOKUP(CONCATENATE(H104,F104,EP$2),Matemáticas!$A:$H,7,FALSE)=BD104,1,0)</f>
        <v>#N/A</v>
      </c>
      <c r="EQ104" s="138" t="e">
        <f>IF(VLOOKUP(CONCATENATE(H104,F104,EQ$2),Matemáticas!$A:$H,7,FALSE)=BE104,1,0)</f>
        <v>#N/A</v>
      </c>
      <c r="ER104" s="138" t="e">
        <f>IF(VLOOKUP(CONCATENATE(H104,F104,ER$2),Matemáticas!$A:$H,7,FALSE)=BF104,1,0)</f>
        <v>#N/A</v>
      </c>
      <c r="ES104" s="138" t="e">
        <f>IF(VLOOKUP(CONCATENATE(H104,F104,ES$2),Matemáticas!$A:$H,7,FALSE)=BG104,1,0)</f>
        <v>#N/A</v>
      </c>
      <c r="ET104" s="138" t="e">
        <f>IF(VLOOKUP(CONCATENATE(H104,F104,ET$2),Matemáticas!$A:$H,7,FALSE)=BH104,1,0)</f>
        <v>#N/A</v>
      </c>
      <c r="EU104" s="138" t="e">
        <f>IF(VLOOKUP(CONCATENATE(H104,F104,EU$2),Matemáticas!$A:$H,7,FALSE)=BI104,1,0)</f>
        <v>#N/A</v>
      </c>
      <c r="EV104" s="138" t="e">
        <f>IF(VLOOKUP(CONCATENATE(H104,F104,EV$2),Ciencias!$A:$H,7,FALSE)=BJ104,1,0)</f>
        <v>#N/A</v>
      </c>
      <c r="EW104" s="138" t="e">
        <f>IF(VLOOKUP(CONCATENATE(H104,F104,EW$2),Ciencias!$A:$H,7,FALSE)=BK104,1,0)</f>
        <v>#N/A</v>
      </c>
      <c r="EX104" s="138" t="e">
        <f>IF(VLOOKUP(CONCATENATE(H104,F104,EX$2),Ciencias!$A:$H,7,FALSE)=BL104,1,0)</f>
        <v>#N/A</v>
      </c>
      <c r="EY104" s="138" t="e">
        <f>IF(VLOOKUP(CONCATENATE(H104,F104,EY$2),Ciencias!$A:$H,7,FALSE)=BM104,1,0)</f>
        <v>#N/A</v>
      </c>
      <c r="EZ104" s="138" t="e">
        <f>IF(VLOOKUP(CONCATENATE(H104,F104,EZ$2),Ciencias!$A:$H,7,FALSE)=BN104,1,0)</f>
        <v>#N/A</v>
      </c>
      <c r="FA104" s="138" t="e">
        <f>IF(VLOOKUP(CONCATENATE(H104,F104,FA$2),Ciencias!$A:$H,7,FALSE)=BO104,1,0)</f>
        <v>#N/A</v>
      </c>
      <c r="FB104" s="138" t="e">
        <f>IF(VLOOKUP(CONCATENATE(H104,F104,FB$2),Ciencias!$A:$H,7,FALSE)=BP104,1,0)</f>
        <v>#N/A</v>
      </c>
      <c r="FC104" s="138" t="e">
        <f>IF(VLOOKUP(CONCATENATE(H104,F104,FC$2),Ciencias!$A:$H,7,FALSE)=BQ104,1,0)</f>
        <v>#N/A</v>
      </c>
      <c r="FD104" s="138" t="e">
        <f>IF(VLOOKUP(CONCATENATE(H104,F104,FD$2),Ciencias!$A:$H,7,FALSE)=BR104,1,0)</f>
        <v>#N/A</v>
      </c>
      <c r="FE104" s="138" t="e">
        <f>IF(VLOOKUP(CONCATENATE(H104,F104,FE$2),Ciencias!$A:$H,7,FALSE)=BS104,1,0)</f>
        <v>#N/A</v>
      </c>
      <c r="FF104" s="138" t="e">
        <f>IF(VLOOKUP(CONCATENATE(H104,F104,FF$2),Ciencias!$A:$H,7,FALSE)=BT104,1,0)</f>
        <v>#N/A</v>
      </c>
      <c r="FG104" s="138" t="e">
        <f>IF(VLOOKUP(CONCATENATE(H104,F104,FG$2),Ciencias!$A:$H,7,FALSE)=BU104,1,0)</f>
        <v>#N/A</v>
      </c>
      <c r="FH104" s="138" t="e">
        <f>IF(VLOOKUP(CONCATENATE(H104,F104,FH$2),Ciencias!$A:$H,7,FALSE)=BV104,1,0)</f>
        <v>#N/A</v>
      </c>
      <c r="FI104" s="138" t="e">
        <f>IF(VLOOKUP(CONCATENATE(H104,F104,FI$2),Ciencias!$A:$H,7,FALSE)=BW104,1,0)</f>
        <v>#N/A</v>
      </c>
      <c r="FJ104" s="138" t="e">
        <f>IF(VLOOKUP(CONCATENATE(H104,F104,FJ$2),Ciencias!$A:$H,7,FALSE)=BX104,1,0)</f>
        <v>#N/A</v>
      </c>
      <c r="FK104" s="138" t="e">
        <f>IF(VLOOKUP(CONCATENATE(H104,F104,FK$2),Ciencias!$A:$H,7,FALSE)=BY104,1,0)</f>
        <v>#N/A</v>
      </c>
      <c r="FL104" s="138" t="e">
        <f>IF(VLOOKUP(CONCATENATE(H104,F104,FL$2),Ciencias!$A:$H,7,FALSE)=BZ104,1,0)</f>
        <v>#N/A</v>
      </c>
      <c r="FM104" s="138" t="e">
        <f>IF(VLOOKUP(CONCATENATE(H104,F104,FM$2),Ciencias!$A:$H,7,FALSE)=CA104,1,0)</f>
        <v>#N/A</v>
      </c>
      <c r="FN104" s="138" t="e">
        <f>IF(VLOOKUP(CONCATENATE(H104,F104,FN$2),Ciencias!$A:$H,7,FALSE)=CB104,1,0)</f>
        <v>#N/A</v>
      </c>
      <c r="FO104" s="138" t="e">
        <f>IF(VLOOKUP(CONCATENATE(H104,F104,FO$2),Ciencias!$A:$H,7,FALSE)=CC104,1,0)</f>
        <v>#N/A</v>
      </c>
      <c r="FP104" s="138" t="e">
        <f>IF(VLOOKUP(CONCATENATE(H104,F104,FP$2),GeoHis!$A:$H,7,FALSE)=CD104,1,0)</f>
        <v>#N/A</v>
      </c>
      <c r="FQ104" s="138" t="e">
        <f>IF(VLOOKUP(CONCATENATE(H104,F104,FQ$2),GeoHis!$A:$H,7,FALSE)=CE104,1,0)</f>
        <v>#N/A</v>
      </c>
      <c r="FR104" s="138" t="e">
        <f>IF(VLOOKUP(CONCATENATE(H104,F104,FR$2),GeoHis!$A:$H,7,FALSE)=CF104,1,0)</f>
        <v>#N/A</v>
      </c>
      <c r="FS104" s="138" t="e">
        <f>IF(VLOOKUP(CONCATENATE(H104,F104,FS$2),GeoHis!$A:$H,7,FALSE)=CG104,1,0)</f>
        <v>#N/A</v>
      </c>
      <c r="FT104" s="138" t="e">
        <f>IF(VLOOKUP(CONCATENATE(H104,F104,FT$2),GeoHis!$A:$H,7,FALSE)=CH104,1,0)</f>
        <v>#N/A</v>
      </c>
      <c r="FU104" s="138" t="e">
        <f>IF(VLOOKUP(CONCATENATE(H104,F104,FU$2),GeoHis!$A:$H,7,FALSE)=CI104,1,0)</f>
        <v>#N/A</v>
      </c>
      <c r="FV104" s="138" t="e">
        <f>IF(VLOOKUP(CONCATENATE(H104,F104,FV$2),GeoHis!$A:$H,7,FALSE)=CJ104,1,0)</f>
        <v>#N/A</v>
      </c>
      <c r="FW104" s="138" t="e">
        <f>IF(VLOOKUP(CONCATENATE(H104,F104,FW$2),GeoHis!$A:$H,7,FALSE)=CK104,1,0)</f>
        <v>#N/A</v>
      </c>
      <c r="FX104" s="138" t="e">
        <f>IF(VLOOKUP(CONCATENATE(H104,F104,FX$2),GeoHis!$A:$H,7,FALSE)=CL104,1,0)</f>
        <v>#N/A</v>
      </c>
      <c r="FY104" s="138" t="e">
        <f>IF(VLOOKUP(CONCATENATE(H104,F104,FY$2),GeoHis!$A:$H,7,FALSE)=CM104,1,0)</f>
        <v>#N/A</v>
      </c>
      <c r="FZ104" s="138" t="e">
        <f>IF(VLOOKUP(CONCATENATE(H104,F104,FZ$2),GeoHis!$A:$H,7,FALSE)=CN104,1,0)</f>
        <v>#N/A</v>
      </c>
      <c r="GA104" s="138" t="e">
        <f>IF(VLOOKUP(CONCATENATE(H104,F104,GA$2),GeoHis!$A:$H,7,FALSE)=CO104,1,0)</f>
        <v>#N/A</v>
      </c>
      <c r="GB104" s="138" t="e">
        <f>IF(VLOOKUP(CONCATENATE(H104,F104,GB$2),GeoHis!$A:$H,7,FALSE)=CP104,1,0)</f>
        <v>#N/A</v>
      </c>
      <c r="GC104" s="138" t="e">
        <f>IF(VLOOKUP(CONCATENATE(H104,F104,GC$2),GeoHis!$A:$H,7,FALSE)=CQ104,1,0)</f>
        <v>#N/A</v>
      </c>
      <c r="GD104" s="138" t="e">
        <f>IF(VLOOKUP(CONCATENATE(H104,F104,GD$2),GeoHis!$A:$H,7,FALSE)=CR104,1,0)</f>
        <v>#N/A</v>
      </c>
      <c r="GE104" s="135" t="str">
        <f t="shared" si="15"/>
        <v/>
      </c>
    </row>
    <row r="105" spans="1:187" x14ac:dyDescent="0.25">
      <c r="A105" s="127" t="str">
        <f>IF(C105="","",'Datos Generales'!$A$25)</f>
        <v/>
      </c>
      <c r="D105" s="126" t="str">
        <f t="shared" si="8"/>
        <v/>
      </c>
      <c r="E105" s="126">
        <f t="shared" si="9"/>
        <v>0</v>
      </c>
      <c r="F105" s="126" t="str">
        <f t="shared" si="10"/>
        <v/>
      </c>
      <c r="G105" s="126" t="str">
        <f>IF(C105="","",'Datos Generales'!$D$19)</f>
        <v/>
      </c>
      <c r="H105" s="21" t="str">
        <f>IF(C105="","",'Datos Generales'!$A$19)</f>
        <v/>
      </c>
      <c r="I105" s="126" t="str">
        <f>IF(C105="","",'Datos Generales'!$A$7)</f>
        <v/>
      </c>
      <c r="J105" s="21" t="str">
        <f>IF(C105="","",'Datos Generales'!$A$13)</f>
        <v/>
      </c>
      <c r="K105" s="21" t="str">
        <f>IF(C105="","",'Datos Generales'!$A$10)</f>
        <v/>
      </c>
      <c r="CS105" s="142" t="str">
        <f t="shared" si="11"/>
        <v/>
      </c>
      <c r="CT105" s="142" t="str">
        <f t="shared" si="12"/>
        <v/>
      </c>
      <c r="CU105" s="142" t="str">
        <f t="shared" si="13"/>
        <v/>
      </c>
      <c r="CV105" s="142" t="str">
        <f t="shared" si="14"/>
        <v/>
      </c>
      <c r="CW105" s="142" t="str">
        <f>IF(C105="","",IF('Datos Generales'!$A$19=1,AVERAGE(FP105:GD105),AVERAGE(Captura!FP105:FY105)))</f>
        <v/>
      </c>
      <c r="CX105" s="138" t="e">
        <f>IF(VLOOKUP(CONCATENATE($H$4,$F$4,CX$2),Español!$A:$H,7,FALSE)=L105,1,0)</f>
        <v>#N/A</v>
      </c>
      <c r="CY105" s="138" t="e">
        <f>IF(VLOOKUP(CONCATENATE(H105,F105,CY$2),Español!$A:$H,7,FALSE)=M105,1,0)</f>
        <v>#N/A</v>
      </c>
      <c r="CZ105" s="138" t="e">
        <f>IF(VLOOKUP(CONCATENATE(H105,F105,CZ$2),Español!$A:$H,7,FALSE)=N105,1,0)</f>
        <v>#N/A</v>
      </c>
      <c r="DA105" s="138" t="e">
        <f>IF(VLOOKUP(CONCATENATE(H105,F105,DA$2),Español!$A:$H,7,FALSE)=O105,1,0)</f>
        <v>#N/A</v>
      </c>
      <c r="DB105" s="138" t="e">
        <f>IF(VLOOKUP(CONCATENATE(H105,F105,DB$2),Español!$A:$H,7,FALSE)=P105,1,0)</f>
        <v>#N/A</v>
      </c>
      <c r="DC105" s="138" t="e">
        <f>IF(VLOOKUP(CONCATENATE(H105,F105,DC$2),Español!$A:$H,7,FALSE)=Q105,1,0)</f>
        <v>#N/A</v>
      </c>
      <c r="DD105" s="138" t="e">
        <f>IF(VLOOKUP(CONCATENATE(H105,F105,DD$2),Español!$A:$H,7,FALSE)=R105,1,0)</f>
        <v>#N/A</v>
      </c>
      <c r="DE105" s="138" t="e">
        <f>IF(VLOOKUP(CONCATENATE(H105,F105,DE$2),Español!$A:$H,7,FALSE)=S105,1,0)</f>
        <v>#N/A</v>
      </c>
      <c r="DF105" s="138" t="e">
        <f>IF(VLOOKUP(CONCATENATE(H105,F105,DF$2),Español!$A:$H,7,FALSE)=T105,1,0)</f>
        <v>#N/A</v>
      </c>
      <c r="DG105" s="138" t="e">
        <f>IF(VLOOKUP(CONCATENATE(H105,F105,DG$2),Español!$A:$H,7,FALSE)=U105,1,0)</f>
        <v>#N/A</v>
      </c>
      <c r="DH105" s="138" t="e">
        <f>IF(VLOOKUP(CONCATENATE(H105,F105,DH$2),Español!$A:$H,7,FALSE)=V105,1,0)</f>
        <v>#N/A</v>
      </c>
      <c r="DI105" s="138" t="e">
        <f>IF(VLOOKUP(CONCATENATE(H105,F105,DI$2),Español!$A:$H,7,FALSE)=W105,1,0)</f>
        <v>#N/A</v>
      </c>
      <c r="DJ105" s="138" t="e">
        <f>IF(VLOOKUP(CONCATENATE(H105,F105,DJ$2),Español!$A:$H,7,FALSE)=X105,1,0)</f>
        <v>#N/A</v>
      </c>
      <c r="DK105" s="138" t="e">
        <f>IF(VLOOKUP(CONCATENATE(H105,F105,DK$2),Español!$A:$H,7,FALSE)=Y105,1,0)</f>
        <v>#N/A</v>
      </c>
      <c r="DL105" s="138" t="e">
        <f>IF(VLOOKUP(CONCATENATE(H105,F105,DL$2),Español!$A:$H,7,FALSE)=Z105,1,0)</f>
        <v>#N/A</v>
      </c>
      <c r="DM105" s="138" t="e">
        <f>IF(VLOOKUP(CONCATENATE(H105,F105,DM$2),Español!$A:$H,7,FALSE)=AA105,1,0)</f>
        <v>#N/A</v>
      </c>
      <c r="DN105" s="138" t="e">
        <f>IF(VLOOKUP(CONCATENATE(H105,F105,DN$2),Español!$A:$H,7,FALSE)=AB105,1,0)</f>
        <v>#N/A</v>
      </c>
      <c r="DO105" s="138" t="e">
        <f>IF(VLOOKUP(CONCATENATE(H105,F105,DO$2),Español!$A:$H,7,FALSE)=AC105,1,0)</f>
        <v>#N/A</v>
      </c>
      <c r="DP105" s="138" t="e">
        <f>IF(VLOOKUP(CONCATENATE(H105,F105,DP$2),Español!$A:$H,7,FALSE)=AD105,1,0)</f>
        <v>#N/A</v>
      </c>
      <c r="DQ105" s="138" t="e">
        <f>IF(VLOOKUP(CONCATENATE(H105,F105,DQ$2),Español!$A:$H,7,FALSE)=AE105,1,0)</f>
        <v>#N/A</v>
      </c>
      <c r="DR105" s="138" t="e">
        <f>IF(VLOOKUP(CONCATENATE(H105,F105,DR$2),Inglés!$A:$H,7,FALSE)=AF105,1,0)</f>
        <v>#N/A</v>
      </c>
      <c r="DS105" s="138" t="e">
        <f>IF(VLOOKUP(CONCATENATE(H105,F105,DS$2),Inglés!$A:$H,7,FALSE)=AG105,1,0)</f>
        <v>#N/A</v>
      </c>
      <c r="DT105" s="138" t="e">
        <f>IF(VLOOKUP(CONCATENATE(H105,F105,DT$2),Inglés!$A:$H,7,FALSE)=AH105,1,0)</f>
        <v>#N/A</v>
      </c>
      <c r="DU105" s="138" t="e">
        <f>IF(VLOOKUP(CONCATENATE(H105,F105,DU$2),Inglés!$A:$H,7,FALSE)=AI105,1,0)</f>
        <v>#N/A</v>
      </c>
      <c r="DV105" s="138" t="e">
        <f>IF(VLOOKUP(CONCATENATE(H105,F105,DV$2),Inglés!$A:$H,7,FALSE)=AJ105,1,0)</f>
        <v>#N/A</v>
      </c>
      <c r="DW105" s="138" t="e">
        <f>IF(VLOOKUP(CONCATENATE(H105,F105,DW$2),Inglés!$A:$H,7,FALSE)=AK105,1,0)</f>
        <v>#N/A</v>
      </c>
      <c r="DX105" s="138" t="e">
        <f>IF(VLOOKUP(CONCATENATE(H105,F105,DX$2),Inglés!$A:$H,7,FALSE)=AL105,1,0)</f>
        <v>#N/A</v>
      </c>
      <c r="DY105" s="138" t="e">
        <f>IF(VLOOKUP(CONCATENATE(H105,F105,DY$2),Inglés!$A:$H,7,FALSE)=AM105,1,0)</f>
        <v>#N/A</v>
      </c>
      <c r="DZ105" s="138" t="e">
        <f>IF(VLOOKUP(CONCATENATE(H105,F105,DZ$2),Inglés!$A:$H,7,FALSE)=AN105,1,0)</f>
        <v>#N/A</v>
      </c>
      <c r="EA105" s="138" t="e">
        <f>IF(VLOOKUP(CONCATENATE(H105,F105,EA$2),Inglés!$A:$H,7,FALSE)=AO105,1,0)</f>
        <v>#N/A</v>
      </c>
      <c r="EB105" s="138" t="e">
        <f>IF(VLOOKUP(CONCATENATE(H105,F105,EB$2),Matemáticas!$A:$H,7,FALSE)=AP105,1,0)</f>
        <v>#N/A</v>
      </c>
      <c r="EC105" s="138" t="e">
        <f>IF(VLOOKUP(CONCATENATE(H105,F105,EC$2),Matemáticas!$A:$H,7,FALSE)=AQ105,1,0)</f>
        <v>#N/A</v>
      </c>
      <c r="ED105" s="138" t="e">
        <f>IF(VLOOKUP(CONCATENATE(H105,F105,ED$2),Matemáticas!$A:$H,7,FALSE)=AR105,1,0)</f>
        <v>#N/A</v>
      </c>
      <c r="EE105" s="138" t="e">
        <f>IF(VLOOKUP(CONCATENATE(H105,F105,EE$2),Matemáticas!$A:$H,7,FALSE)=AS105,1,0)</f>
        <v>#N/A</v>
      </c>
      <c r="EF105" s="138" t="e">
        <f>IF(VLOOKUP(CONCATENATE(H105,F105,EF$2),Matemáticas!$A:$H,7,FALSE)=AT105,1,0)</f>
        <v>#N/A</v>
      </c>
      <c r="EG105" s="138" t="e">
        <f>IF(VLOOKUP(CONCATENATE(H105,F105,EG$2),Matemáticas!$A:$H,7,FALSE)=AU105,1,0)</f>
        <v>#N/A</v>
      </c>
      <c r="EH105" s="138" t="e">
        <f>IF(VLOOKUP(CONCATENATE(H105,F105,EH$2),Matemáticas!$A:$H,7,FALSE)=AV105,1,0)</f>
        <v>#N/A</v>
      </c>
      <c r="EI105" s="138" t="e">
        <f>IF(VLOOKUP(CONCATENATE(H105,F105,EI$2),Matemáticas!$A:$H,7,FALSE)=AW105,1,0)</f>
        <v>#N/A</v>
      </c>
      <c r="EJ105" s="138" t="e">
        <f>IF(VLOOKUP(CONCATENATE(H105,F105,EJ$2),Matemáticas!$A:$H,7,FALSE)=AX105,1,0)</f>
        <v>#N/A</v>
      </c>
      <c r="EK105" s="138" t="e">
        <f>IF(VLOOKUP(CONCATENATE(H105,F105,EK$2),Matemáticas!$A:$H,7,FALSE)=AY105,1,0)</f>
        <v>#N/A</v>
      </c>
      <c r="EL105" s="138" t="e">
        <f>IF(VLOOKUP(CONCATENATE(H105,F105,EL$2),Matemáticas!$A:$H,7,FALSE)=AZ105,1,0)</f>
        <v>#N/A</v>
      </c>
      <c r="EM105" s="138" t="e">
        <f>IF(VLOOKUP(CONCATENATE(H105,F105,EM$2),Matemáticas!$A:$H,7,FALSE)=BA105,1,0)</f>
        <v>#N/A</v>
      </c>
      <c r="EN105" s="138" t="e">
        <f>IF(VLOOKUP(CONCATENATE(H105,F105,EN$2),Matemáticas!$A:$H,7,FALSE)=BB105,1,0)</f>
        <v>#N/A</v>
      </c>
      <c r="EO105" s="138" t="e">
        <f>IF(VLOOKUP(CONCATENATE(H105,F105,EO$2),Matemáticas!$A:$H,7,FALSE)=BC105,1,0)</f>
        <v>#N/A</v>
      </c>
      <c r="EP105" s="138" t="e">
        <f>IF(VLOOKUP(CONCATENATE(H105,F105,EP$2),Matemáticas!$A:$H,7,FALSE)=BD105,1,0)</f>
        <v>#N/A</v>
      </c>
      <c r="EQ105" s="138" t="e">
        <f>IF(VLOOKUP(CONCATENATE(H105,F105,EQ$2),Matemáticas!$A:$H,7,FALSE)=BE105,1,0)</f>
        <v>#N/A</v>
      </c>
      <c r="ER105" s="138" t="e">
        <f>IF(VLOOKUP(CONCATENATE(H105,F105,ER$2),Matemáticas!$A:$H,7,FALSE)=BF105,1,0)</f>
        <v>#N/A</v>
      </c>
      <c r="ES105" s="138" t="e">
        <f>IF(VLOOKUP(CONCATENATE(H105,F105,ES$2),Matemáticas!$A:$H,7,FALSE)=BG105,1,0)</f>
        <v>#N/A</v>
      </c>
      <c r="ET105" s="138" t="e">
        <f>IF(VLOOKUP(CONCATENATE(H105,F105,ET$2),Matemáticas!$A:$H,7,FALSE)=BH105,1,0)</f>
        <v>#N/A</v>
      </c>
      <c r="EU105" s="138" t="e">
        <f>IF(VLOOKUP(CONCATENATE(H105,F105,EU$2),Matemáticas!$A:$H,7,FALSE)=BI105,1,0)</f>
        <v>#N/A</v>
      </c>
      <c r="EV105" s="138" t="e">
        <f>IF(VLOOKUP(CONCATENATE(H105,F105,EV$2),Ciencias!$A:$H,7,FALSE)=BJ105,1,0)</f>
        <v>#N/A</v>
      </c>
      <c r="EW105" s="138" t="e">
        <f>IF(VLOOKUP(CONCATENATE(H105,F105,EW$2),Ciencias!$A:$H,7,FALSE)=BK105,1,0)</f>
        <v>#N/A</v>
      </c>
      <c r="EX105" s="138" t="e">
        <f>IF(VLOOKUP(CONCATENATE(H105,F105,EX$2),Ciencias!$A:$H,7,FALSE)=BL105,1,0)</f>
        <v>#N/A</v>
      </c>
      <c r="EY105" s="138" t="e">
        <f>IF(VLOOKUP(CONCATENATE(H105,F105,EY$2),Ciencias!$A:$H,7,FALSE)=BM105,1,0)</f>
        <v>#N/A</v>
      </c>
      <c r="EZ105" s="138" t="e">
        <f>IF(VLOOKUP(CONCATENATE(H105,F105,EZ$2),Ciencias!$A:$H,7,FALSE)=BN105,1,0)</f>
        <v>#N/A</v>
      </c>
      <c r="FA105" s="138" t="e">
        <f>IF(VLOOKUP(CONCATENATE(H105,F105,FA$2),Ciencias!$A:$H,7,FALSE)=BO105,1,0)</f>
        <v>#N/A</v>
      </c>
      <c r="FB105" s="138" t="e">
        <f>IF(VLOOKUP(CONCATENATE(H105,F105,FB$2),Ciencias!$A:$H,7,FALSE)=BP105,1,0)</f>
        <v>#N/A</v>
      </c>
      <c r="FC105" s="138" t="e">
        <f>IF(VLOOKUP(CONCATENATE(H105,F105,FC$2),Ciencias!$A:$H,7,FALSE)=BQ105,1,0)</f>
        <v>#N/A</v>
      </c>
      <c r="FD105" s="138" t="e">
        <f>IF(VLOOKUP(CONCATENATE(H105,F105,FD$2),Ciencias!$A:$H,7,FALSE)=BR105,1,0)</f>
        <v>#N/A</v>
      </c>
      <c r="FE105" s="138" t="e">
        <f>IF(VLOOKUP(CONCATENATE(H105,F105,FE$2),Ciencias!$A:$H,7,FALSE)=BS105,1,0)</f>
        <v>#N/A</v>
      </c>
      <c r="FF105" s="138" t="e">
        <f>IF(VLOOKUP(CONCATENATE(H105,F105,FF$2),Ciencias!$A:$H,7,FALSE)=BT105,1,0)</f>
        <v>#N/A</v>
      </c>
      <c r="FG105" s="138" t="e">
        <f>IF(VLOOKUP(CONCATENATE(H105,F105,FG$2),Ciencias!$A:$H,7,FALSE)=BU105,1,0)</f>
        <v>#N/A</v>
      </c>
      <c r="FH105" s="138" t="e">
        <f>IF(VLOOKUP(CONCATENATE(H105,F105,FH$2),Ciencias!$A:$H,7,FALSE)=BV105,1,0)</f>
        <v>#N/A</v>
      </c>
      <c r="FI105" s="138" t="e">
        <f>IF(VLOOKUP(CONCATENATE(H105,F105,FI$2),Ciencias!$A:$H,7,FALSE)=BW105,1,0)</f>
        <v>#N/A</v>
      </c>
      <c r="FJ105" s="138" t="e">
        <f>IF(VLOOKUP(CONCATENATE(H105,F105,FJ$2),Ciencias!$A:$H,7,FALSE)=BX105,1,0)</f>
        <v>#N/A</v>
      </c>
      <c r="FK105" s="138" t="e">
        <f>IF(VLOOKUP(CONCATENATE(H105,F105,FK$2),Ciencias!$A:$H,7,FALSE)=BY105,1,0)</f>
        <v>#N/A</v>
      </c>
      <c r="FL105" s="138" t="e">
        <f>IF(VLOOKUP(CONCATENATE(H105,F105,FL$2),Ciencias!$A:$H,7,FALSE)=BZ105,1,0)</f>
        <v>#N/A</v>
      </c>
      <c r="FM105" s="138" t="e">
        <f>IF(VLOOKUP(CONCATENATE(H105,F105,FM$2),Ciencias!$A:$H,7,FALSE)=CA105,1,0)</f>
        <v>#N/A</v>
      </c>
      <c r="FN105" s="138" t="e">
        <f>IF(VLOOKUP(CONCATENATE(H105,F105,FN$2),Ciencias!$A:$H,7,FALSE)=CB105,1,0)</f>
        <v>#N/A</v>
      </c>
      <c r="FO105" s="138" t="e">
        <f>IF(VLOOKUP(CONCATENATE(H105,F105,FO$2),Ciencias!$A:$H,7,FALSE)=CC105,1,0)</f>
        <v>#N/A</v>
      </c>
      <c r="FP105" s="138" t="e">
        <f>IF(VLOOKUP(CONCATENATE(H105,F105,FP$2),GeoHis!$A:$H,7,FALSE)=CD105,1,0)</f>
        <v>#N/A</v>
      </c>
      <c r="FQ105" s="138" t="e">
        <f>IF(VLOOKUP(CONCATENATE(H105,F105,FQ$2),GeoHis!$A:$H,7,FALSE)=CE105,1,0)</f>
        <v>#N/A</v>
      </c>
      <c r="FR105" s="138" t="e">
        <f>IF(VLOOKUP(CONCATENATE(H105,F105,FR$2),GeoHis!$A:$H,7,FALSE)=CF105,1,0)</f>
        <v>#N/A</v>
      </c>
      <c r="FS105" s="138" t="e">
        <f>IF(VLOOKUP(CONCATENATE(H105,F105,FS$2),GeoHis!$A:$H,7,FALSE)=CG105,1,0)</f>
        <v>#N/A</v>
      </c>
      <c r="FT105" s="138" t="e">
        <f>IF(VLOOKUP(CONCATENATE(H105,F105,FT$2),GeoHis!$A:$H,7,FALSE)=CH105,1,0)</f>
        <v>#N/A</v>
      </c>
      <c r="FU105" s="138" t="e">
        <f>IF(VLOOKUP(CONCATENATE(H105,F105,FU$2),GeoHis!$A:$H,7,FALSE)=CI105,1,0)</f>
        <v>#N/A</v>
      </c>
      <c r="FV105" s="138" t="e">
        <f>IF(VLOOKUP(CONCATENATE(H105,F105,FV$2),GeoHis!$A:$H,7,FALSE)=CJ105,1,0)</f>
        <v>#N/A</v>
      </c>
      <c r="FW105" s="138" t="e">
        <f>IF(VLOOKUP(CONCATENATE(H105,F105,FW$2),GeoHis!$A:$H,7,FALSE)=CK105,1,0)</f>
        <v>#N/A</v>
      </c>
      <c r="FX105" s="138" t="e">
        <f>IF(VLOOKUP(CONCATENATE(H105,F105,FX$2),GeoHis!$A:$H,7,FALSE)=CL105,1,0)</f>
        <v>#N/A</v>
      </c>
      <c r="FY105" s="138" t="e">
        <f>IF(VLOOKUP(CONCATENATE(H105,F105,FY$2),GeoHis!$A:$H,7,FALSE)=CM105,1,0)</f>
        <v>#N/A</v>
      </c>
      <c r="FZ105" s="138" t="e">
        <f>IF(VLOOKUP(CONCATENATE(H105,F105,FZ$2),GeoHis!$A:$H,7,FALSE)=CN105,1,0)</f>
        <v>#N/A</v>
      </c>
      <c r="GA105" s="138" t="e">
        <f>IF(VLOOKUP(CONCATENATE(H105,F105,GA$2),GeoHis!$A:$H,7,FALSE)=CO105,1,0)</f>
        <v>#N/A</v>
      </c>
      <c r="GB105" s="138" t="e">
        <f>IF(VLOOKUP(CONCATENATE(H105,F105,GB$2),GeoHis!$A:$H,7,FALSE)=CP105,1,0)</f>
        <v>#N/A</v>
      </c>
      <c r="GC105" s="138" t="e">
        <f>IF(VLOOKUP(CONCATENATE(H105,F105,GC$2),GeoHis!$A:$H,7,FALSE)=CQ105,1,0)</f>
        <v>#N/A</v>
      </c>
      <c r="GD105" s="138" t="e">
        <f>IF(VLOOKUP(CONCATENATE(H105,F105,GD$2),GeoHis!$A:$H,7,FALSE)=CR105,1,0)</f>
        <v>#N/A</v>
      </c>
      <c r="GE105" s="135" t="str">
        <f t="shared" si="15"/>
        <v/>
      </c>
    </row>
    <row r="106" spans="1:187" x14ac:dyDescent="0.25">
      <c r="A106" s="127" t="str">
        <f>IF(C106="","",'Datos Generales'!$A$25)</f>
        <v/>
      </c>
      <c r="D106" s="126" t="str">
        <f t="shared" si="8"/>
        <v/>
      </c>
      <c r="E106" s="126">
        <f t="shared" si="9"/>
        <v>0</v>
      </c>
      <c r="F106" s="126" t="str">
        <f t="shared" si="10"/>
        <v/>
      </c>
      <c r="G106" s="126" t="str">
        <f>IF(C106="","",'Datos Generales'!$D$19)</f>
        <v/>
      </c>
      <c r="H106" s="21" t="str">
        <f>IF(C106="","",'Datos Generales'!$A$19)</f>
        <v/>
      </c>
      <c r="I106" s="126" t="str">
        <f>IF(C106="","",'Datos Generales'!$A$7)</f>
        <v/>
      </c>
      <c r="J106" s="21" t="str">
        <f>IF(C106="","",'Datos Generales'!$A$13)</f>
        <v/>
      </c>
      <c r="K106" s="21" t="str">
        <f>IF(C106="","",'Datos Generales'!$A$10)</f>
        <v/>
      </c>
      <c r="CS106" s="142" t="str">
        <f t="shared" si="11"/>
        <v/>
      </c>
      <c r="CT106" s="142" t="str">
        <f t="shared" si="12"/>
        <v/>
      </c>
      <c r="CU106" s="142" t="str">
        <f t="shared" si="13"/>
        <v/>
      </c>
      <c r="CV106" s="142" t="str">
        <f t="shared" si="14"/>
        <v/>
      </c>
      <c r="CW106" s="142" t="str">
        <f>IF(C106="","",IF('Datos Generales'!$A$19=1,AVERAGE(FP106:GD106),AVERAGE(Captura!FP106:FY106)))</f>
        <v/>
      </c>
      <c r="CX106" s="138" t="e">
        <f>IF(VLOOKUP(CONCATENATE($H$4,$F$4,CX$2),Español!$A:$H,7,FALSE)=L106,1,0)</f>
        <v>#N/A</v>
      </c>
      <c r="CY106" s="138" t="e">
        <f>IF(VLOOKUP(CONCATENATE(H106,F106,CY$2),Español!$A:$H,7,FALSE)=M106,1,0)</f>
        <v>#N/A</v>
      </c>
      <c r="CZ106" s="138" t="e">
        <f>IF(VLOOKUP(CONCATENATE(H106,F106,CZ$2),Español!$A:$H,7,FALSE)=N106,1,0)</f>
        <v>#N/A</v>
      </c>
      <c r="DA106" s="138" t="e">
        <f>IF(VLOOKUP(CONCATENATE(H106,F106,DA$2),Español!$A:$H,7,FALSE)=O106,1,0)</f>
        <v>#N/A</v>
      </c>
      <c r="DB106" s="138" t="e">
        <f>IF(VLOOKUP(CONCATENATE(H106,F106,DB$2),Español!$A:$H,7,FALSE)=P106,1,0)</f>
        <v>#N/A</v>
      </c>
      <c r="DC106" s="138" t="e">
        <f>IF(VLOOKUP(CONCATENATE(H106,F106,DC$2),Español!$A:$H,7,FALSE)=Q106,1,0)</f>
        <v>#N/A</v>
      </c>
      <c r="DD106" s="138" t="e">
        <f>IF(VLOOKUP(CONCATENATE(H106,F106,DD$2),Español!$A:$H,7,FALSE)=R106,1,0)</f>
        <v>#N/A</v>
      </c>
      <c r="DE106" s="138" t="e">
        <f>IF(VLOOKUP(CONCATENATE(H106,F106,DE$2),Español!$A:$H,7,FALSE)=S106,1,0)</f>
        <v>#N/A</v>
      </c>
      <c r="DF106" s="138" t="e">
        <f>IF(VLOOKUP(CONCATENATE(H106,F106,DF$2),Español!$A:$H,7,FALSE)=T106,1,0)</f>
        <v>#N/A</v>
      </c>
      <c r="DG106" s="138" t="e">
        <f>IF(VLOOKUP(CONCATENATE(H106,F106,DG$2),Español!$A:$H,7,FALSE)=U106,1,0)</f>
        <v>#N/A</v>
      </c>
      <c r="DH106" s="138" t="e">
        <f>IF(VLOOKUP(CONCATENATE(H106,F106,DH$2),Español!$A:$H,7,FALSE)=V106,1,0)</f>
        <v>#N/A</v>
      </c>
      <c r="DI106" s="138" t="e">
        <f>IF(VLOOKUP(CONCATENATE(H106,F106,DI$2),Español!$A:$H,7,FALSE)=W106,1,0)</f>
        <v>#N/A</v>
      </c>
      <c r="DJ106" s="138" t="e">
        <f>IF(VLOOKUP(CONCATENATE(H106,F106,DJ$2),Español!$A:$H,7,FALSE)=X106,1,0)</f>
        <v>#N/A</v>
      </c>
      <c r="DK106" s="138" t="e">
        <f>IF(VLOOKUP(CONCATENATE(H106,F106,DK$2),Español!$A:$H,7,FALSE)=Y106,1,0)</f>
        <v>#N/A</v>
      </c>
      <c r="DL106" s="138" t="e">
        <f>IF(VLOOKUP(CONCATENATE(H106,F106,DL$2),Español!$A:$H,7,FALSE)=Z106,1,0)</f>
        <v>#N/A</v>
      </c>
      <c r="DM106" s="138" t="e">
        <f>IF(VLOOKUP(CONCATENATE(H106,F106,DM$2),Español!$A:$H,7,FALSE)=AA106,1,0)</f>
        <v>#N/A</v>
      </c>
      <c r="DN106" s="138" t="e">
        <f>IF(VLOOKUP(CONCATENATE(H106,F106,DN$2),Español!$A:$H,7,FALSE)=AB106,1,0)</f>
        <v>#N/A</v>
      </c>
      <c r="DO106" s="138" t="e">
        <f>IF(VLOOKUP(CONCATENATE(H106,F106,DO$2),Español!$A:$H,7,FALSE)=AC106,1,0)</f>
        <v>#N/A</v>
      </c>
      <c r="DP106" s="138" t="e">
        <f>IF(VLOOKUP(CONCATENATE(H106,F106,DP$2),Español!$A:$H,7,FALSE)=AD106,1,0)</f>
        <v>#N/A</v>
      </c>
      <c r="DQ106" s="138" t="e">
        <f>IF(VLOOKUP(CONCATENATE(H106,F106,DQ$2),Español!$A:$H,7,FALSE)=AE106,1,0)</f>
        <v>#N/A</v>
      </c>
      <c r="DR106" s="138" t="e">
        <f>IF(VLOOKUP(CONCATENATE(H106,F106,DR$2),Inglés!$A:$H,7,FALSE)=AF106,1,0)</f>
        <v>#N/A</v>
      </c>
      <c r="DS106" s="138" t="e">
        <f>IF(VLOOKUP(CONCATENATE(H106,F106,DS$2),Inglés!$A:$H,7,FALSE)=AG106,1,0)</f>
        <v>#N/A</v>
      </c>
      <c r="DT106" s="138" t="e">
        <f>IF(VLOOKUP(CONCATENATE(H106,F106,DT$2),Inglés!$A:$H,7,FALSE)=AH106,1,0)</f>
        <v>#N/A</v>
      </c>
      <c r="DU106" s="138" t="e">
        <f>IF(VLOOKUP(CONCATENATE(H106,F106,DU$2),Inglés!$A:$H,7,FALSE)=AI106,1,0)</f>
        <v>#N/A</v>
      </c>
      <c r="DV106" s="138" t="e">
        <f>IF(VLOOKUP(CONCATENATE(H106,F106,DV$2),Inglés!$A:$H,7,FALSE)=AJ106,1,0)</f>
        <v>#N/A</v>
      </c>
      <c r="DW106" s="138" t="e">
        <f>IF(VLOOKUP(CONCATENATE(H106,F106,DW$2),Inglés!$A:$H,7,FALSE)=AK106,1,0)</f>
        <v>#N/A</v>
      </c>
      <c r="DX106" s="138" t="e">
        <f>IF(VLOOKUP(CONCATENATE(H106,F106,DX$2),Inglés!$A:$H,7,FALSE)=AL106,1,0)</f>
        <v>#N/A</v>
      </c>
      <c r="DY106" s="138" t="e">
        <f>IF(VLOOKUP(CONCATENATE(H106,F106,DY$2),Inglés!$A:$H,7,FALSE)=AM106,1,0)</f>
        <v>#N/A</v>
      </c>
      <c r="DZ106" s="138" t="e">
        <f>IF(VLOOKUP(CONCATENATE(H106,F106,DZ$2),Inglés!$A:$H,7,FALSE)=AN106,1,0)</f>
        <v>#N/A</v>
      </c>
      <c r="EA106" s="138" t="e">
        <f>IF(VLOOKUP(CONCATENATE(H106,F106,EA$2),Inglés!$A:$H,7,FALSE)=AO106,1,0)</f>
        <v>#N/A</v>
      </c>
      <c r="EB106" s="138" t="e">
        <f>IF(VLOOKUP(CONCATENATE(H106,F106,EB$2),Matemáticas!$A:$H,7,FALSE)=AP106,1,0)</f>
        <v>#N/A</v>
      </c>
      <c r="EC106" s="138" t="e">
        <f>IF(VLOOKUP(CONCATENATE(H106,F106,EC$2),Matemáticas!$A:$H,7,FALSE)=AQ106,1,0)</f>
        <v>#N/A</v>
      </c>
      <c r="ED106" s="138" t="e">
        <f>IF(VLOOKUP(CONCATENATE(H106,F106,ED$2),Matemáticas!$A:$H,7,FALSE)=AR106,1,0)</f>
        <v>#N/A</v>
      </c>
      <c r="EE106" s="138" t="e">
        <f>IF(VLOOKUP(CONCATENATE(H106,F106,EE$2),Matemáticas!$A:$H,7,FALSE)=AS106,1,0)</f>
        <v>#N/A</v>
      </c>
      <c r="EF106" s="138" t="e">
        <f>IF(VLOOKUP(CONCATENATE(H106,F106,EF$2),Matemáticas!$A:$H,7,FALSE)=AT106,1,0)</f>
        <v>#N/A</v>
      </c>
      <c r="EG106" s="138" t="e">
        <f>IF(VLOOKUP(CONCATENATE(H106,F106,EG$2),Matemáticas!$A:$H,7,FALSE)=AU106,1,0)</f>
        <v>#N/A</v>
      </c>
      <c r="EH106" s="138" t="e">
        <f>IF(VLOOKUP(CONCATENATE(H106,F106,EH$2),Matemáticas!$A:$H,7,FALSE)=AV106,1,0)</f>
        <v>#N/A</v>
      </c>
      <c r="EI106" s="138" t="e">
        <f>IF(VLOOKUP(CONCATENATE(H106,F106,EI$2),Matemáticas!$A:$H,7,FALSE)=AW106,1,0)</f>
        <v>#N/A</v>
      </c>
      <c r="EJ106" s="138" t="e">
        <f>IF(VLOOKUP(CONCATENATE(H106,F106,EJ$2),Matemáticas!$A:$H,7,FALSE)=AX106,1,0)</f>
        <v>#N/A</v>
      </c>
      <c r="EK106" s="138" t="e">
        <f>IF(VLOOKUP(CONCATENATE(H106,F106,EK$2),Matemáticas!$A:$H,7,FALSE)=AY106,1,0)</f>
        <v>#N/A</v>
      </c>
      <c r="EL106" s="138" t="e">
        <f>IF(VLOOKUP(CONCATENATE(H106,F106,EL$2),Matemáticas!$A:$H,7,FALSE)=AZ106,1,0)</f>
        <v>#N/A</v>
      </c>
      <c r="EM106" s="138" t="e">
        <f>IF(VLOOKUP(CONCATENATE(H106,F106,EM$2),Matemáticas!$A:$H,7,FALSE)=BA106,1,0)</f>
        <v>#N/A</v>
      </c>
      <c r="EN106" s="138" t="e">
        <f>IF(VLOOKUP(CONCATENATE(H106,F106,EN$2),Matemáticas!$A:$H,7,FALSE)=BB106,1,0)</f>
        <v>#N/A</v>
      </c>
      <c r="EO106" s="138" t="e">
        <f>IF(VLOOKUP(CONCATENATE(H106,F106,EO$2),Matemáticas!$A:$H,7,FALSE)=BC106,1,0)</f>
        <v>#N/A</v>
      </c>
      <c r="EP106" s="138" t="e">
        <f>IF(VLOOKUP(CONCATENATE(H106,F106,EP$2),Matemáticas!$A:$H,7,FALSE)=BD106,1,0)</f>
        <v>#N/A</v>
      </c>
      <c r="EQ106" s="138" t="e">
        <f>IF(VLOOKUP(CONCATENATE(H106,F106,EQ$2),Matemáticas!$A:$H,7,FALSE)=BE106,1,0)</f>
        <v>#N/A</v>
      </c>
      <c r="ER106" s="138" t="e">
        <f>IF(VLOOKUP(CONCATENATE(H106,F106,ER$2),Matemáticas!$A:$H,7,FALSE)=BF106,1,0)</f>
        <v>#N/A</v>
      </c>
      <c r="ES106" s="138" t="e">
        <f>IF(VLOOKUP(CONCATENATE(H106,F106,ES$2),Matemáticas!$A:$H,7,FALSE)=BG106,1,0)</f>
        <v>#N/A</v>
      </c>
      <c r="ET106" s="138" t="e">
        <f>IF(VLOOKUP(CONCATENATE(H106,F106,ET$2),Matemáticas!$A:$H,7,FALSE)=BH106,1,0)</f>
        <v>#N/A</v>
      </c>
      <c r="EU106" s="138" t="e">
        <f>IF(VLOOKUP(CONCATENATE(H106,F106,EU$2),Matemáticas!$A:$H,7,FALSE)=BI106,1,0)</f>
        <v>#N/A</v>
      </c>
      <c r="EV106" s="138" t="e">
        <f>IF(VLOOKUP(CONCATENATE(H106,F106,EV$2),Ciencias!$A:$H,7,FALSE)=BJ106,1,0)</f>
        <v>#N/A</v>
      </c>
      <c r="EW106" s="138" t="e">
        <f>IF(VLOOKUP(CONCATENATE(H106,F106,EW$2),Ciencias!$A:$H,7,FALSE)=BK106,1,0)</f>
        <v>#N/A</v>
      </c>
      <c r="EX106" s="138" t="e">
        <f>IF(VLOOKUP(CONCATENATE(H106,F106,EX$2),Ciencias!$A:$H,7,FALSE)=BL106,1,0)</f>
        <v>#N/A</v>
      </c>
      <c r="EY106" s="138" t="e">
        <f>IF(VLOOKUP(CONCATENATE(H106,F106,EY$2),Ciencias!$A:$H,7,FALSE)=BM106,1,0)</f>
        <v>#N/A</v>
      </c>
      <c r="EZ106" s="138" t="e">
        <f>IF(VLOOKUP(CONCATENATE(H106,F106,EZ$2),Ciencias!$A:$H,7,FALSE)=BN106,1,0)</f>
        <v>#N/A</v>
      </c>
      <c r="FA106" s="138" t="e">
        <f>IF(VLOOKUP(CONCATENATE(H106,F106,FA$2),Ciencias!$A:$H,7,FALSE)=BO106,1,0)</f>
        <v>#N/A</v>
      </c>
      <c r="FB106" s="138" t="e">
        <f>IF(VLOOKUP(CONCATENATE(H106,F106,FB$2),Ciencias!$A:$H,7,FALSE)=BP106,1,0)</f>
        <v>#N/A</v>
      </c>
      <c r="FC106" s="138" t="e">
        <f>IF(VLOOKUP(CONCATENATE(H106,F106,FC$2),Ciencias!$A:$H,7,FALSE)=BQ106,1,0)</f>
        <v>#N/A</v>
      </c>
      <c r="FD106" s="138" t="e">
        <f>IF(VLOOKUP(CONCATENATE(H106,F106,FD$2),Ciencias!$A:$H,7,FALSE)=BR106,1,0)</f>
        <v>#N/A</v>
      </c>
      <c r="FE106" s="138" t="e">
        <f>IF(VLOOKUP(CONCATENATE(H106,F106,FE$2),Ciencias!$A:$H,7,FALSE)=BS106,1,0)</f>
        <v>#N/A</v>
      </c>
      <c r="FF106" s="138" t="e">
        <f>IF(VLOOKUP(CONCATENATE(H106,F106,FF$2),Ciencias!$A:$H,7,FALSE)=BT106,1,0)</f>
        <v>#N/A</v>
      </c>
      <c r="FG106" s="138" t="e">
        <f>IF(VLOOKUP(CONCATENATE(H106,F106,FG$2),Ciencias!$A:$H,7,FALSE)=BU106,1,0)</f>
        <v>#N/A</v>
      </c>
      <c r="FH106" s="138" t="e">
        <f>IF(VLOOKUP(CONCATENATE(H106,F106,FH$2),Ciencias!$A:$H,7,FALSE)=BV106,1,0)</f>
        <v>#N/A</v>
      </c>
      <c r="FI106" s="138" t="e">
        <f>IF(VLOOKUP(CONCATENATE(H106,F106,FI$2),Ciencias!$A:$H,7,FALSE)=BW106,1,0)</f>
        <v>#N/A</v>
      </c>
      <c r="FJ106" s="138" t="e">
        <f>IF(VLOOKUP(CONCATENATE(H106,F106,FJ$2),Ciencias!$A:$H,7,FALSE)=BX106,1,0)</f>
        <v>#N/A</v>
      </c>
      <c r="FK106" s="138" t="e">
        <f>IF(VLOOKUP(CONCATENATE(H106,F106,FK$2),Ciencias!$A:$H,7,FALSE)=BY106,1,0)</f>
        <v>#N/A</v>
      </c>
      <c r="FL106" s="138" t="e">
        <f>IF(VLOOKUP(CONCATENATE(H106,F106,FL$2),Ciencias!$A:$H,7,FALSE)=BZ106,1,0)</f>
        <v>#N/A</v>
      </c>
      <c r="FM106" s="138" t="e">
        <f>IF(VLOOKUP(CONCATENATE(H106,F106,FM$2),Ciencias!$A:$H,7,FALSE)=CA106,1,0)</f>
        <v>#N/A</v>
      </c>
      <c r="FN106" s="138" t="e">
        <f>IF(VLOOKUP(CONCATENATE(H106,F106,FN$2),Ciencias!$A:$H,7,FALSE)=CB106,1,0)</f>
        <v>#N/A</v>
      </c>
      <c r="FO106" s="138" t="e">
        <f>IF(VLOOKUP(CONCATENATE(H106,F106,FO$2),Ciencias!$A:$H,7,FALSE)=CC106,1,0)</f>
        <v>#N/A</v>
      </c>
      <c r="FP106" s="138" t="e">
        <f>IF(VLOOKUP(CONCATENATE(H106,F106,FP$2),GeoHis!$A:$H,7,FALSE)=CD106,1,0)</f>
        <v>#N/A</v>
      </c>
      <c r="FQ106" s="138" t="e">
        <f>IF(VLOOKUP(CONCATENATE(H106,F106,FQ$2),GeoHis!$A:$H,7,FALSE)=CE106,1,0)</f>
        <v>#N/A</v>
      </c>
      <c r="FR106" s="138" t="e">
        <f>IF(VLOOKUP(CONCATENATE(H106,F106,FR$2),GeoHis!$A:$H,7,FALSE)=CF106,1,0)</f>
        <v>#N/A</v>
      </c>
      <c r="FS106" s="138" t="e">
        <f>IF(VLOOKUP(CONCATENATE(H106,F106,FS$2),GeoHis!$A:$H,7,FALSE)=CG106,1,0)</f>
        <v>#N/A</v>
      </c>
      <c r="FT106" s="138" t="e">
        <f>IF(VLOOKUP(CONCATENATE(H106,F106,FT$2),GeoHis!$A:$H,7,FALSE)=CH106,1,0)</f>
        <v>#N/A</v>
      </c>
      <c r="FU106" s="138" t="e">
        <f>IF(VLOOKUP(CONCATENATE(H106,F106,FU$2),GeoHis!$A:$H,7,FALSE)=CI106,1,0)</f>
        <v>#N/A</v>
      </c>
      <c r="FV106" s="138" t="e">
        <f>IF(VLOOKUP(CONCATENATE(H106,F106,FV$2),GeoHis!$A:$H,7,FALSE)=CJ106,1,0)</f>
        <v>#N/A</v>
      </c>
      <c r="FW106" s="138" t="e">
        <f>IF(VLOOKUP(CONCATENATE(H106,F106,FW$2),GeoHis!$A:$H,7,FALSE)=CK106,1,0)</f>
        <v>#N/A</v>
      </c>
      <c r="FX106" s="138" t="e">
        <f>IF(VLOOKUP(CONCATENATE(H106,F106,FX$2),GeoHis!$A:$H,7,FALSE)=CL106,1,0)</f>
        <v>#N/A</v>
      </c>
      <c r="FY106" s="138" t="e">
        <f>IF(VLOOKUP(CONCATENATE(H106,F106,FY$2),GeoHis!$A:$H,7,FALSE)=CM106,1,0)</f>
        <v>#N/A</v>
      </c>
      <c r="FZ106" s="138" t="e">
        <f>IF(VLOOKUP(CONCATENATE(H106,F106,FZ$2),GeoHis!$A:$H,7,FALSE)=CN106,1,0)</f>
        <v>#N/A</v>
      </c>
      <c r="GA106" s="138" t="e">
        <f>IF(VLOOKUP(CONCATENATE(H106,F106,GA$2),GeoHis!$A:$H,7,FALSE)=CO106,1,0)</f>
        <v>#N/A</v>
      </c>
      <c r="GB106" s="138" t="e">
        <f>IF(VLOOKUP(CONCATENATE(H106,F106,GB$2),GeoHis!$A:$H,7,FALSE)=CP106,1,0)</f>
        <v>#N/A</v>
      </c>
      <c r="GC106" s="138" t="e">
        <f>IF(VLOOKUP(CONCATENATE(H106,F106,GC$2),GeoHis!$A:$H,7,FALSE)=CQ106,1,0)</f>
        <v>#N/A</v>
      </c>
      <c r="GD106" s="138" t="e">
        <f>IF(VLOOKUP(CONCATENATE(H106,F106,GD$2),GeoHis!$A:$H,7,FALSE)=CR106,1,0)</f>
        <v>#N/A</v>
      </c>
      <c r="GE106" s="135" t="str">
        <f t="shared" si="15"/>
        <v/>
      </c>
    </row>
    <row r="107" spans="1:187" x14ac:dyDescent="0.25">
      <c r="A107" s="127" t="str">
        <f>IF(C107="","",'Datos Generales'!$A$25)</f>
        <v/>
      </c>
      <c r="D107" s="126" t="str">
        <f t="shared" si="8"/>
        <v/>
      </c>
      <c r="E107" s="126">
        <f t="shared" si="9"/>
        <v>0</v>
      </c>
      <c r="F107" s="126" t="str">
        <f t="shared" si="10"/>
        <v/>
      </c>
      <c r="G107" s="126" t="str">
        <f>IF(C107="","",'Datos Generales'!$D$19)</f>
        <v/>
      </c>
      <c r="H107" s="21" t="str">
        <f>IF(C107="","",'Datos Generales'!$A$19)</f>
        <v/>
      </c>
      <c r="I107" s="126" t="str">
        <f>IF(C107="","",'Datos Generales'!$A$7)</f>
        <v/>
      </c>
      <c r="J107" s="21" t="str">
        <f>IF(C107="","",'Datos Generales'!$A$13)</f>
        <v/>
      </c>
      <c r="K107" s="21" t="str">
        <f>IF(C107="","",'Datos Generales'!$A$10)</f>
        <v/>
      </c>
      <c r="CS107" s="142" t="str">
        <f t="shared" si="11"/>
        <v/>
      </c>
      <c r="CT107" s="142" t="str">
        <f t="shared" si="12"/>
        <v/>
      </c>
      <c r="CU107" s="142" t="str">
        <f t="shared" si="13"/>
        <v/>
      </c>
      <c r="CV107" s="142" t="str">
        <f t="shared" si="14"/>
        <v/>
      </c>
      <c r="CW107" s="142" t="str">
        <f>IF(C107="","",IF('Datos Generales'!$A$19=1,AVERAGE(FP107:GD107),AVERAGE(Captura!FP107:FY107)))</f>
        <v/>
      </c>
      <c r="CX107" s="138" t="e">
        <f>IF(VLOOKUP(CONCATENATE($H$4,$F$4,CX$2),Español!$A:$H,7,FALSE)=L107,1,0)</f>
        <v>#N/A</v>
      </c>
      <c r="CY107" s="138" t="e">
        <f>IF(VLOOKUP(CONCATENATE(H107,F107,CY$2),Español!$A:$H,7,FALSE)=M107,1,0)</f>
        <v>#N/A</v>
      </c>
      <c r="CZ107" s="138" t="e">
        <f>IF(VLOOKUP(CONCATENATE(H107,F107,CZ$2),Español!$A:$H,7,FALSE)=N107,1,0)</f>
        <v>#N/A</v>
      </c>
      <c r="DA107" s="138" t="e">
        <f>IF(VLOOKUP(CONCATENATE(H107,F107,DA$2),Español!$A:$H,7,FALSE)=O107,1,0)</f>
        <v>#N/A</v>
      </c>
      <c r="DB107" s="138" t="e">
        <f>IF(VLOOKUP(CONCATENATE(H107,F107,DB$2),Español!$A:$H,7,FALSE)=P107,1,0)</f>
        <v>#N/A</v>
      </c>
      <c r="DC107" s="138" t="e">
        <f>IF(VLOOKUP(CONCATENATE(H107,F107,DC$2),Español!$A:$H,7,FALSE)=Q107,1,0)</f>
        <v>#N/A</v>
      </c>
      <c r="DD107" s="138" t="e">
        <f>IF(VLOOKUP(CONCATENATE(H107,F107,DD$2),Español!$A:$H,7,FALSE)=R107,1,0)</f>
        <v>#N/A</v>
      </c>
      <c r="DE107" s="138" t="e">
        <f>IF(VLOOKUP(CONCATENATE(H107,F107,DE$2),Español!$A:$H,7,FALSE)=S107,1,0)</f>
        <v>#N/A</v>
      </c>
      <c r="DF107" s="138" t="e">
        <f>IF(VLOOKUP(CONCATENATE(H107,F107,DF$2),Español!$A:$H,7,FALSE)=T107,1,0)</f>
        <v>#N/A</v>
      </c>
      <c r="DG107" s="138" t="e">
        <f>IF(VLOOKUP(CONCATENATE(H107,F107,DG$2),Español!$A:$H,7,FALSE)=U107,1,0)</f>
        <v>#N/A</v>
      </c>
      <c r="DH107" s="138" t="e">
        <f>IF(VLOOKUP(CONCATENATE(H107,F107,DH$2),Español!$A:$H,7,FALSE)=V107,1,0)</f>
        <v>#N/A</v>
      </c>
      <c r="DI107" s="138" t="e">
        <f>IF(VLOOKUP(CONCATENATE(H107,F107,DI$2),Español!$A:$H,7,FALSE)=W107,1,0)</f>
        <v>#N/A</v>
      </c>
      <c r="DJ107" s="138" t="e">
        <f>IF(VLOOKUP(CONCATENATE(H107,F107,DJ$2),Español!$A:$H,7,FALSE)=X107,1,0)</f>
        <v>#N/A</v>
      </c>
      <c r="DK107" s="138" t="e">
        <f>IF(VLOOKUP(CONCATENATE(H107,F107,DK$2),Español!$A:$H,7,FALSE)=Y107,1,0)</f>
        <v>#N/A</v>
      </c>
      <c r="DL107" s="138" t="e">
        <f>IF(VLOOKUP(CONCATENATE(H107,F107,DL$2),Español!$A:$H,7,FALSE)=Z107,1,0)</f>
        <v>#N/A</v>
      </c>
      <c r="DM107" s="138" t="e">
        <f>IF(VLOOKUP(CONCATENATE(H107,F107,DM$2),Español!$A:$H,7,FALSE)=AA107,1,0)</f>
        <v>#N/A</v>
      </c>
      <c r="DN107" s="138" t="e">
        <f>IF(VLOOKUP(CONCATENATE(H107,F107,DN$2),Español!$A:$H,7,FALSE)=AB107,1,0)</f>
        <v>#N/A</v>
      </c>
      <c r="DO107" s="138" t="e">
        <f>IF(VLOOKUP(CONCATENATE(H107,F107,DO$2),Español!$A:$H,7,FALSE)=AC107,1,0)</f>
        <v>#N/A</v>
      </c>
      <c r="DP107" s="138" t="e">
        <f>IF(VLOOKUP(CONCATENATE(H107,F107,DP$2),Español!$A:$H,7,FALSE)=AD107,1,0)</f>
        <v>#N/A</v>
      </c>
      <c r="DQ107" s="138" t="e">
        <f>IF(VLOOKUP(CONCATENATE(H107,F107,DQ$2),Español!$A:$H,7,FALSE)=AE107,1,0)</f>
        <v>#N/A</v>
      </c>
      <c r="DR107" s="138" t="e">
        <f>IF(VLOOKUP(CONCATENATE(H107,F107,DR$2),Inglés!$A:$H,7,FALSE)=AF107,1,0)</f>
        <v>#N/A</v>
      </c>
      <c r="DS107" s="138" t="e">
        <f>IF(VLOOKUP(CONCATENATE(H107,F107,DS$2),Inglés!$A:$H,7,FALSE)=AG107,1,0)</f>
        <v>#N/A</v>
      </c>
      <c r="DT107" s="138" t="e">
        <f>IF(VLOOKUP(CONCATENATE(H107,F107,DT$2),Inglés!$A:$H,7,FALSE)=AH107,1,0)</f>
        <v>#N/A</v>
      </c>
      <c r="DU107" s="138" t="e">
        <f>IF(VLOOKUP(CONCATENATE(H107,F107,DU$2),Inglés!$A:$H,7,FALSE)=AI107,1,0)</f>
        <v>#N/A</v>
      </c>
      <c r="DV107" s="138" t="e">
        <f>IF(VLOOKUP(CONCATENATE(H107,F107,DV$2),Inglés!$A:$H,7,FALSE)=AJ107,1,0)</f>
        <v>#N/A</v>
      </c>
      <c r="DW107" s="138" t="e">
        <f>IF(VLOOKUP(CONCATENATE(H107,F107,DW$2),Inglés!$A:$H,7,FALSE)=AK107,1,0)</f>
        <v>#N/A</v>
      </c>
      <c r="DX107" s="138" t="e">
        <f>IF(VLOOKUP(CONCATENATE(H107,F107,DX$2),Inglés!$A:$H,7,FALSE)=AL107,1,0)</f>
        <v>#N/A</v>
      </c>
      <c r="DY107" s="138" t="e">
        <f>IF(VLOOKUP(CONCATENATE(H107,F107,DY$2),Inglés!$A:$H,7,FALSE)=AM107,1,0)</f>
        <v>#N/A</v>
      </c>
      <c r="DZ107" s="138" t="e">
        <f>IF(VLOOKUP(CONCATENATE(H107,F107,DZ$2),Inglés!$A:$H,7,FALSE)=AN107,1,0)</f>
        <v>#N/A</v>
      </c>
      <c r="EA107" s="138" t="e">
        <f>IF(VLOOKUP(CONCATENATE(H107,F107,EA$2),Inglés!$A:$H,7,FALSE)=AO107,1,0)</f>
        <v>#N/A</v>
      </c>
      <c r="EB107" s="138" t="e">
        <f>IF(VLOOKUP(CONCATENATE(H107,F107,EB$2),Matemáticas!$A:$H,7,FALSE)=AP107,1,0)</f>
        <v>#N/A</v>
      </c>
      <c r="EC107" s="138" t="e">
        <f>IF(VLOOKUP(CONCATENATE(H107,F107,EC$2),Matemáticas!$A:$H,7,FALSE)=AQ107,1,0)</f>
        <v>#N/A</v>
      </c>
      <c r="ED107" s="138" t="e">
        <f>IF(VLOOKUP(CONCATENATE(H107,F107,ED$2),Matemáticas!$A:$H,7,FALSE)=AR107,1,0)</f>
        <v>#N/A</v>
      </c>
      <c r="EE107" s="138" t="e">
        <f>IF(VLOOKUP(CONCATENATE(H107,F107,EE$2),Matemáticas!$A:$H,7,FALSE)=AS107,1,0)</f>
        <v>#N/A</v>
      </c>
      <c r="EF107" s="138" t="e">
        <f>IF(VLOOKUP(CONCATENATE(H107,F107,EF$2),Matemáticas!$A:$H,7,FALSE)=AT107,1,0)</f>
        <v>#N/A</v>
      </c>
      <c r="EG107" s="138" t="e">
        <f>IF(VLOOKUP(CONCATENATE(H107,F107,EG$2),Matemáticas!$A:$H,7,FALSE)=AU107,1,0)</f>
        <v>#N/A</v>
      </c>
      <c r="EH107" s="138" t="e">
        <f>IF(VLOOKUP(CONCATENATE(H107,F107,EH$2),Matemáticas!$A:$H,7,FALSE)=AV107,1,0)</f>
        <v>#N/A</v>
      </c>
      <c r="EI107" s="138" t="e">
        <f>IF(VLOOKUP(CONCATENATE(H107,F107,EI$2),Matemáticas!$A:$H,7,FALSE)=AW107,1,0)</f>
        <v>#N/A</v>
      </c>
      <c r="EJ107" s="138" t="e">
        <f>IF(VLOOKUP(CONCATENATE(H107,F107,EJ$2),Matemáticas!$A:$H,7,FALSE)=AX107,1,0)</f>
        <v>#N/A</v>
      </c>
      <c r="EK107" s="138" t="e">
        <f>IF(VLOOKUP(CONCATENATE(H107,F107,EK$2),Matemáticas!$A:$H,7,FALSE)=AY107,1,0)</f>
        <v>#N/A</v>
      </c>
      <c r="EL107" s="138" t="e">
        <f>IF(VLOOKUP(CONCATENATE(H107,F107,EL$2),Matemáticas!$A:$H,7,FALSE)=AZ107,1,0)</f>
        <v>#N/A</v>
      </c>
      <c r="EM107" s="138" t="e">
        <f>IF(VLOOKUP(CONCATENATE(H107,F107,EM$2),Matemáticas!$A:$H,7,FALSE)=BA107,1,0)</f>
        <v>#N/A</v>
      </c>
      <c r="EN107" s="138" t="e">
        <f>IF(VLOOKUP(CONCATENATE(H107,F107,EN$2),Matemáticas!$A:$H,7,FALSE)=BB107,1,0)</f>
        <v>#N/A</v>
      </c>
      <c r="EO107" s="138" t="e">
        <f>IF(VLOOKUP(CONCATENATE(H107,F107,EO$2),Matemáticas!$A:$H,7,FALSE)=BC107,1,0)</f>
        <v>#N/A</v>
      </c>
      <c r="EP107" s="138" t="e">
        <f>IF(VLOOKUP(CONCATENATE(H107,F107,EP$2),Matemáticas!$A:$H,7,FALSE)=BD107,1,0)</f>
        <v>#N/A</v>
      </c>
      <c r="EQ107" s="138" t="e">
        <f>IF(VLOOKUP(CONCATENATE(H107,F107,EQ$2),Matemáticas!$A:$H,7,FALSE)=BE107,1,0)</f>
        <v>#N/A</v>
      </c>
      <c r="ER107" s="138" t="e">
        <f>IF(VLOOKUP(CONCATENATE(H107,F107,ER$2),Matemáticas!$A:$H,7,FALSE)=BF107,1,0)</f>
        <v>#N/A</v>
      </c>
      <c r="ES107" s="138" t="e">
        <f>IF(VLOOKUP(CONCATENATE(H107,F107,ES$2),Matemáticas!$A:$H,7,FALSE)=BG107,1,0)</f>
        <v>#N/A</v>
      </c>
      <c r="ET107" s="138" t="e">
        <f>IF(VLOOKUP(CONCATENATE(H107,F107,ET$2),Matemáticas!$A:$H,7,FALSE)=BH107,1,0)</f>
        <v>#N/A</v>
      </c>
      <c r="EU107" s="138" t="e">
        <f>IF(VLOOKUP(CONCATENATE(H107,F107,EU$2),Matemáticas!$A:$H,7,FALSE)=BI107,1,0)</f>
        <v>#N/A</v>
      </c>
      <c r="EV107" s="138" t="e">
        <f>IF(VLOOKUP(CONCATENATE(H107,F107,EV$2),Ciencias!$A:$H,7,FALSE)=BJ107,1,0)</f>
        <v>#N/A</v>
      </c>
      <c r="EW107" s="138" t="e">
        <f>IF(VLOOKUP(CONCATENATE(H107,F107,EW$2),Ciencias!$A:$H,7,FALSE)=BK107,1,0)</f>
        <v>#N/A</v>
      </c>
      <c r="EX107" s="138" t="e">
        <f>IF(VLOOKUP(CONCATENATE(H107,F107,EX$2),Ciencias!$A:$H,7,FALSE)=BL107,1,0)</f>
        <v>#N/A</v>
      </c>
      <c r="EY107" s="138" t="e">
        <f>IF(VLOOKUP(CONCATENATE(H107,F107,EY$2),Ciencias!$A:$H,7,FALSE)=BM107,1,0)</f>
        <v>#N/A</v>
      </c>
      <c r="EZ107" s="138" t="e">
        <f>IF(VLOOKUP(CONCATENATE(H107,F107,EZ$2),Ciencias!$A:$H,7,FALSE)=BN107,1,0)</f>
        <v>#N/A</v>
      </c>
      <c r="FA107" s="138" t="e">
        <f>IF(VLOOKUP(CONCATENATE(H107,F107,FA$2),Ciencias!$A:$H,7,FALSE)=BO107,1,0)</f>
        <v>#N/A</v>
      </c>
      <c r="FB107" s="138" t="e">
        <f>IF(VLOOKUP(CONCATENATE(H107,F107,FB$2),Ciencias!$A:$H,7,FALSE)=BP107,1,0)</f>
        <v>#N/A</v>
      </c>
      <c r="FC107" s="138" t="e">
        <f>IF(VLOOKUP(CONCATENATE(H107,F107,FC$2),Ciencias!$A:$H,7,FALSE)=BQ107,1,0)</f>
        <v>#N/A</v>
      </c>
      <c r="FD107" s="138" t="e">
        <f>IF(VLOOKUP(CONCATENATE(H107,F107,FD$2),Ciencias!$A:$H,7,FALSE)=BR107,1,0)</f>
        <v>#N/A</v>
      </c>
      <c r="FE107" s="138" t="e">
        <f>IF(VLOOKUP(CONCATENATE(H107,F107,FE$2),Ciencias!$A:$H,7,FALSE)=BS107,1,0)</f>
        <v>#N/A</v>
      </c>
      <c r="FF107" s="138" t="e">
        <f>IF(VLOOKUP(CONCATENATE(H107,F107,FF$2),Ciencias!$A:$H,7,FALSE)=BT107,1,0)</f>
        <v>#N/A</v>
      </c>
      <c r="FG107" s="138" t="e">
        <f>IF(VLOOKUP(CONCATENATE(H107,F107,FG$2),Ciencias!$A:$H,7,FALSE)=BU107,1,0)</f>
        <v>#N/A</v>
      </c>
      <c r="FH107" s="138" t="e">
        <f>IF(VLOOKUP(CONCATENATE(H107,F107,FH$2),Ciencias!$A:$H,7,FALSE)=BV107,1,0)</f>
        <v>#N/A</v>
      </c>
      <c r="FI107" s="138" t="e">
        <f>IF(VLOOKUP(CONCATENATE(H107,F107,FI$2),Ciencias!$A:$H,7,FALSE)=BW107,1,0)</f>
        <v>#N/A</v>
      </c>
      <c r="FJ107" s="138" t="e">
        <f>IF(VLOOKUP(CONCATENATE(H107,F107,FJ$2),Ciencias!$A:$H,7,FALSE)=BX107,1,0)</f>
        <v>#N/A</v>
      </c>
      <c r="FK107" s="138" t="e">
        <f>IF(VLOOKUP(CONCATENATE(H107,F107,FK$2),Ciencias!$A:$H,7,FALSE)=BY107,1,0)</f>
        <v>#N/A</v>
      </c>
      <c r="FL107" s="138" t="e">
        <f>IF(VLOOKUP(CONCATENATE(H107,F107,FL$2),Ciencias!$A:$H,7,FALSE)=BZ107,1,0)</f>
        <v>#N/A</v>
      </c>
      <c r="FM107" s="138" t="e">
        <f>IF(VLOOKUP(CONCATENATE(H107,F107,FM$2),Ciencias!$A:$H,7,FALSE)=CA107,1,0)</f>
        <v>#N/A</v>
      </c>
      <c r="FN107" s="138" t="e">
        <f>IF(VLOOKUP(CONCATENATE(H107,F107,FN$2),Ciencias!$A:$H,7,FALSE)=CB107,1,0)</f>
        <v>#N/A</v>
      </c>
      <c r="FO107" s="138" t="e">
        <f>IF(VLOOKUP(CONCATENATE(H107,F107,FO$2),Ciencias!$A:$H,7,FALSE)=CC107,1,0)</f>
        <v>#N/A</v>
      </c>
      <c r="FP107" s="138" t="e">
        <f>IF(VLOOKUP(CONCATENATE(H107,F107,FP$2),GeoHis!$A:$H,7,FALSE)=CD107,1,0)</f>
        <v>#N/A</v>
      </c>
      <c r="FQ107" s="138" t="e">
        <f>IF(VLOOKUP(CONCATENATE(H107,F107,FQ$2),GeoHis!$A:$H,7,FALSE)=CE107,1,0)</f>
        <v>#N/A</v>
      </c>
      <c r="FR107" s="138" t="e">
        <f>IF(VLOOKUP(CONCATENATE(H107,F107,FR$2),GeoHis!$A:$H,7,FALSE)=CF107,1,0)</f>
        <v>#N/A</v>
      </c>
      <c r="FS107" s="138" t="e">
        <f>IF(VLOOKUP(CONCATENATE(H107,F107,FS$2),GeoHis!$A:$H,7,FALSE)=CG107,1,0)</f>
        <v>#N/A</v>
      </c>
      <c r="FT107" s="138" t="e">
        <f>IF(VLOOKUP(CONCATENATE(H107,F107,FT$2),GeoHis!$A:$H,7,FALSE)=CH107,1,0)</f>
        <v>#N/A</v>
      </c>
      <c r="FU107" s="138" t="e">
        <f>IF(VLOOKUP(CONCATENATE(H107,F107,FU$2),GeoHis!$A:$H,7,FALSE)=CI107,1,0)</f>
        <v>#N/A</v>
      </c>
      <c r="FV107" s="138" t="e">
        <f>IF(VLOOKUP(CONCATENATE(H107,F107,FV$2),GeoHis!$A:$H,7,FALSE)=CJ107,1,0)</f>
        <v>#N/A</v>
      </c>
      <c r="FW107" s="138" t="e">
        <f>IF(VLOOKUP(CONCATENATE(H107,F107,FW$2),GeoHis!$A:$H,7,FALSE)=CK107,1,0)</f>
        <v>#N/A</v>
      </c>
      <c r="FX107" s="138" t="e">
        <f>IF(VLOOKUP(CONCATENATE(H107,F107,FX$2),GeoHis!$A:$H,7,FALSE)=CL107,1,0)</f>
        <v>#N/A</v>
      </c>
      <c r="FY107" s="138" t="e">
        <f>IF(VLOOKUP(CONCATENATE(H107,F107,FY$2),GeoHis!$A:$H,7,FALSE)=CM107,1,0)</f>
        <v>#N/A</v>
      </c>
      <c r="FZ107" s="138" t="e">
        <f>IF(VLOOKUP(CONCATENATE(H107,F107,FZ$2),GeoHis!$A:$H,7,FALSE)=CN107,1,0)</f>
        <v>#N/A</v>
      </c>
      <c r="GA107" s="138" t="e">
        <f>IF(VLOOKUP(CONCATENATE(H107,F107,GA$2),GeoHis!$A:$H,7,FALSE)=CO107,1,0)</f>
        <v>#N/A</v>
      </c>
      <c r="GB107" s="138" t="e">
        <f>IF(VLOOKUP(CONCATENATE(H107,F107,GB$2),GeoHis!$A:$H,7,FALSE)=CP107,1,0)</f>
        <v>#N/A</v>
      </c>
      <c r="GC107" s="138" t="e">
        <f>IF(VLOOKUP(CONCATENATE(H107,F107,GC$2),GeoHis!$A:$H,7,FALSE)=CQ107,1,0)</f>
        <v>#N/A</v>
      </c>
      <c r="GD107" s="138" t="e">
        <f>IF(VLOOKUP(CONCATENATE(H107,F107,GD$2),GeoHis!$A:$H,7,FALSE)=CR107,1,0)</f>
        <v>#N/A</v>
      </c>
      <c r="GE107" s="135" t="str">
        <f t="shared" si="15"/>
        <v/>
      </c>
    </row>
    <row r="108" spans="1:187" x14ac:dyDescent="0.25">
      <c r="A108" s="127" t="str">
        <f>IF(C108="","",'Datos Generales'!$A$25)</f>
        <v/>
      </c>
      <c r="D108" s="126" t="str">
        <f t="shared" si="8"/>
        <v/>
      </c>
      <c r="E108" s="126">
        <f t="shared" si="9"/>
        <v>0</v>
      </c>
      <c r="F108" s="126" t="str">
        <f t="shared" si="10"/>
        <v/>
      </c>
      <c r="G108" s="126" t="str">
        <f>IF(C108="","",'Datos Generales'!$D$19)</f>
        <v/>
      </c>
      <c r="H108" s="21" t="str">
        <f>IF(C108="","",'Datos Generales'!$A$19)</f>
        <v/>
      </c>
      <c r="I108" s="126" t="str">
        <f>IF(C108="","",'Datos Generales'!$A$7)</f>
        <v/>
      </c>
      <c r="J108" s="21" t="str">
        <f>IF(C108="","",'Datos Generales'!$A$13)</f>
        <v/>
      </c>
      <c r="K108" s="21" t="str">
        <f>IF(C108="","",'Datos Generales'!$A$10)</f>
        <v/>
      </c>
      <c r="CS108" s="142" t="str">
        <f t="shared" si="11"/>
        <v/>
      </c>
      <c r="CT108" s="142" t="str">
        <f t="shared" si="12"/>
        <v/>
      </c>
      <c r="CU108" s="142" t="str">
        <f t="shared" si="13"/>
        <v/>
      </c>
      <c r="CV108" s="142" t="str">
        <f t="shared" si="14"/>
        <v/>
      </c>
      <c r="CW108" s="142" t="str">
        <f>IF(C108="","",IF('Datos Generales'!$A$19=1,AVERAGE(FP108:GD108),AVERAGE(Captura!FP108:FY108)))</f>
        <v/>
      </c>
      <c r="CX108" s="138" t="e">
        <f>IF(VLOOKUP(CONCATENATE($H$4,$F$4,CX$2),Español!$A:$H,7,FALSE)=L108,1,0)</f>
        <v>#N/A</v>
      </c>
      <c r="CY108" s="138" t="e">
        <f>IF(VLOOKUP(CONCATENATE(H108,F108,CY$2),Español!$A:$H,7,FALSE)=M108,1,0)</f>
        <v>#N/A</v>
      </c>
      <c r="CZ108" s="138" t="e">
        <f>IF(VLOOKUP(CONCATENATE(H108,F108,CZ$2),Español!$A:$H,7,FALSE)=N108,1,0)</f>
        <v>#N/A</v>
      </c>
      <c r="DA108" s="138" t="e">
        <f>IF(VLOOKUP(CONCATENATE(H108,F108,DA$2),Español!$A:$H,7,FALSE)=O108,1,0)</f>
        <v>#N/A</v>
      </c>
      <c r="DB108" s="138" t="e">
        <f>IF(VLOOKUP(CONCATENATE(H108,F108,DB$2),Español!$A:$H,7,FALSE)=P108,1,0)</f>
        <v>#N/A</v>
      </c>
      <c r="DC108" s="138" t="e">
        <f>IF(VLOOKUP(CONCATENATE(H108,F108,DC$2),Español!$A:$H,7,FALSE)=Q108,1,0)</f>
        <v>#N/A</v>
      </c>
      <c r="DD108" s="138" t="e">
        <f>IF(VLOOKUP(CONCATENATE(H108,F108,DD$2),Español!$A:$H,7,FALSE)=R108,1,0)</f>
        <v>#N/A</v>
      </c>
      <c r="DE108" s="138" t="e">
        <f>IF(VLOOKUP(CONCATENATE(H108,F108,DE$2),Español!$A:$H,7,FALSE)=S108,1,0)</f>
        <v>#N/A</v>
      </c>
      <c r="DF108" s="138" t="e">
        <f>IF(VLOOKUP(CONCATENATE(H108,F108,DF$2),Español!$A:$H,7,FALSE)=T108,1,0)</f>
        <v>#N/A</v>
      </c>
      <c r="DG108" s="138" t="e">
        <f>IF(VLOOKUP(CONCATENATE(H108,F108,DG$2),Español!$A:$H,7,FALSE)=U108,1,0)</f>
        <v>#N/A</v>
      </c>
      <c r="DH108" s="138" t="e">
        <f>IF(VLOOKUP(CONCATENATE(H108,F108,DH$2),Español!$A:$H,7,FALSE)=V108,1,0)</f>
        <v>#N/A</v>
      </c>
      <c r="DI108" s="138" t="e">
        <f>IF(VLOOKUP(CONCATENATE(H108,F108,DI$2),Español!$A:$H,7,FALSE)=W108,1,0)</f>
        <v>#N/A</v>
      </c>
      <c r="DJ108" s="138" t="e">
        <f>IF(VLOOKUP(CONCATENATE(H108,F108,DJ$2),Español!$A:$H,7,FALSE)=X108,1,0)</f>
        <v>#N/A</v>
      </c>
      <c r="DK108" s="138" t="e">
        <f>IF(VLOOKUP(CONCATENATE(H108,F108,DK$2),Español!$A:$H,7,FALSE)=Y108,1,0)</f>
        <v>#N/A</v>
      </c>
      <c r="DL108" s="138" t="e">
        <f>IF(VLOOKUP(CONCATENATE(H108,F108,DL$2),Español!$A:$H,7,FALSE)=Z108,1,0)</f>
        <v>#N/A</v>
      </c>
      <c r="DM108" s="138" t="e">
        <f>IF(VLOOKUP(CONCATENATE(H108,F108,DM$2),Español!$A:$H,7,FALSE)=AA108,1,0)</f>
        <v>#N/A</v>
      </c>
      <c r="DN108" s="138" t="e">
        <f>IF(VLOOKUP(CONCATENATE(H108,F108,DN$2),Español!$A:$H,7,FALSE)=AB108,1,0)</f>
        <v>#N/A</v>
      </c>
      <c r="DO108" s="138" t="e">
        <f>IF(VLOOKUP(CONCATENATE(H108,F108,DO$2),Español!$A:$H,7,FALSE)=AC108,1,0)</f>
        <v>#N/A</v>
      </c>
      <c r="DP108" s="138" t="e">
        <f>IF(VLOOKUP(CONCATENATE(H108,F108,DP$2),Español!$A:$H,7,FALSE)=AD108,1,0)</f>
        <v>#N/A</v>
      </c>
      <c r="DQ108" s="138" t="e">
        <f>IF(VLOOKUP(CONCATENATE(H108,F108,DQ$2),Español!$A:$H,7,FALSE)=AE108,1,0)</f>
        <v>#N/A</v>
      </c>
      <c r="DR108" s="138" t="e">
        <f>IF(VLOOKUP(CONCATENATE(H108,F108,DR$2),Inglés!$A:$H,7,FALSE)=AF108,1,0)</f>
        <v>#N/A</v>
      </c>
      <c r="DS108" s="138" t="e">
        <f>IF(VLOOKUP(CONCATENATE(H108,F108,DS$2),Inglés!$A:$H,7,FALSE)=AG108,1,0)</f>
        <v>#N/A</v>
      </c>
      <c r="DT108" s="138" t="e">
        <f>IF(VLOOKUP(CONCATENATE(H108,F108,DT$2),Inglés!$A:$H,7,FALSE)=AH108,1,0)</f>
        <v>#N/A</v>
      </c>
      <c r="DU108" s="138" t="e">
        <f>IF(VLOOKUP(CONCATENATE(H108,F108,DU$2),Inglés!$A:$H,7,FALSE)=AI108,1,0)</f>
        <v>#N/A</v>
      </c>
      <c r="DV108" s="138" t="e">
        <f>IF(VLOOKUP(CONCATENATE(H108,F108,DV$2),Inglés!$A:$H,7,FALSE)=AJ108,1,0)</f>
        <v>#N/A</v>
      </c>
      <c r="DW108" s="138" t="e">
        <f>IF(VLOOKUP(CONCATENATE(H108,F108,DW$2),Inglés!$A:$H,7,FALSE)=AK108,1,0)</f>
        <v>#N/A</v>
      </c>
      <c r="DX108" s="138" t="e">
        <f>IF(VLOOKUP(CONCATENATE(H108,F108,DX$2),Inglés!$A:$H,7,FALSE)=AL108,1,0)</f>
        <v>#N/A</v>
      </c>
      <c r="DY108" s="138" t="e">
        <f>IF(VLOOKUP(CONCATENATE(H108,F108,DY$2),Inglés!$A:$H,7,FALSE)=AM108,1,0)</f>
        <v>#N/A</v>
      </c>
      <c r="DZ108" s="138" t="e">
        <f>IF(VLOOKUP(CONCATENATE(H108,F108,DZ$2),Inglés!$A:$H,7,FALSE)=AN108,1,0)</f>
        <v>#N/A</v>
      </c>
      <c r="EA108" s="138" t="e">
        <f>IF(VLOOKUP(CONCATENATE(H108,F108,EA$2),Inglés!$A:$H,7,FALSE)=AO108,1,0)</f>
        <v>#N/A</v>
      </c>
      <c r="EB108" s="138" t="e">
        <f>IF(VLOOKUP(CONCATENATE(H108,F108,EB$2),Matemáticas!$A:$H,7,FALSE)=AP108,1,0)</f>
        <v>#N/A</v>
      </c>
      <c r="EC108" s="138" t="e">
        <f>IF(VLOOKUP(CONCATENATE(H108,F108,EC$2),Matemáticas!$A:$H,7,FALSE)=AQ108,1,0)</f>
        <v>#N/A</v>
      </c>
      <c r="ED108" s="138" t="e">
        <f>IF(VLOOKUP(CONCATENATE(H108,F108,ED$2),Matemáticas!$A:$H,7,FALSE)=AR108,1,0)</f>
        <v>#N/A</v>
      </c>
      <c r="EE108" s="138" t="e">
        <f>IF(VLOOKUP(CONCATENATE(H108,F108,EE$2),Matemáticas!$A:$H,7,FALSE)=AS108,1,0)</f>
        <v>#N/A</v>
      </c>
      <c r="EF108" s="138" t="e">
        <f>IF(VLOOKUP(CONCATENATE(H108,F108,EF$2),Matemáticas!$A:$H,7,FALSE)=AT108,1,0)</f>
        <v>#N/A</v>
      </c>
      <c r="EG108" s="138" t="e">
        <f>IF(VLOOKUP(CONCATENATE(H108,F108,EG$2),Matemáticas!$A:$H,7,FALSE)=AU108,1,0)</f>
        <v>#N/A</v>
      </c>
      <c r="EH108" s="138" t="e">
        <f>IF(VLOOKUP(CONCATENATE(H108,F108,EH$2),Matemáticas!$A:$H,7,FALSE)=AV108,1,0)</f>
        <v>#N/A</v>
      </c>
      <c r="EI108" s="138" t="e">
        <f>IF(VLOOKUP(CONCATENATE(H108,F108,EI$2),Matemáticas!$A:$H,7,FALSE)=AW108,1,0)</f>
        <v>#N/A</v>
      </c>
      <c r="EJ108" s="138" t="e">
        <f>IF(VLOOKUP(CONCATENATE(H108,F108,EJ$2),Matemáticas!$A:$H,7,FALSE)=AX108,1,0)</f>
        <v>#N/A</v>
      </c>
      <c r="EK108" s="138" t="e">
        <f>IF(VLOOKUP(CONCATENATE(H108,F108,EK$2),Matemáticas!$A:$H,7,FALSE)=AY108,1,0)</f>
        <v>#N/A</v>
      </c>
      <c r="EL108" s="138" t="e">
        <f>IF(VLOOKUP(CONCATENATE(H108,F108,EL$2),Matemáticas!$A:$H,7,FALSE)=AZ108,1,0)</f>
        <v>#N/A</v>
      </c>
      <c r="EM108" s="138" t="e">
        <f>IF(VLOOKUP(CONCATENATE(H108,F108,EM$2),Matemáticas!$A:$H,7,FALSE)=BA108,1,0)</f>
        <v>#N/A</v>
      </c>
      <c r="EN108" s="138" t="e">
        <f>IF(VLOOKUP(CONCATENATE(H108,F108,EN$2),Matemáticas!$A:$H,7,FALSE)=BB108,1,0)</f>
        <v>#N/A</v>
      </c>
      <c r="EO108" s="138" t="e">
        <f>IF(VLOOKUP(CONCATENATE(H108,F108,EO$2),Matemáticas!$A:$H,7,FALSE)=BC108,1,0)</f>
        <v>#N/A</v>
      </c>
      <c r="EP108" s="138" t="e">
        <f>IF(VLOOKUP(CONCATENATE(H108,F108,EP$2),Matemáticas!$A:$H,7,FALSE)=BD108,1,0)</f>
        <v>#N/A</v>
      </c>
      <c r="EQ108" s="138" t="e">
        <f>IF(VLOOKUP(CONCATENATE(H108,F108,EQ$2),Matemáticas!$A:$H,7,FALSE)=BE108,1,0)</f>
        <v>#N/A</v>
      </c>
      <c r="ER108" s="138" t="e">
        <f>IF(VLOOKUP(CONCATENATE(H108,F108,ER$2),Matemáticas!$A:$H,7,FALSE)=BF108,1,0)</f>
        <v>#N/A</v>
      </c>
      <c r="ES108" s="138" t="e">
        <f>IF(VLOOKUP(CONCATENATE(H108,F108,ES$2),Matemáticas!$A:$H,7,FALSE)=BG108,1,0)</f>
        <v>#N/A</v>
      </c>
      <c r="ET108" s="138" t="e">
        <f>IF(VLOOKUP(CONCATENATE(H108,F108,ET$2),Matemáticas!$A:$H,7,FALSE)=BH108,1,0)</f>
        <v>#N/A</v>
      </c>
      <c r="EU108" s="138" t="e">
        <f>IF(VLOOKUP(CONCATENATE(H108,F108,EU$2),Matemáticas!$A:$H,7,FALSE)=BI108,1,0)</f>
        <v>#N/A</v>
      </c>
      <c r="EV108" s="138" t="e">
        <f>IF(VLOOKUP(CONCATENATE(H108,F108,EV$2),Ciencias!$A:$H,7,FALSE)=BJ108,1,0)</f>
        <v>#N/A</v>
      </c>
      <c r="EW108" s="138" t="e">
        <f>IF(VLOOKUP(CONCATENATE(H108,F108,EW$2),Ciencias!$A:$H,7,FALSE)=BK108,1,0)</f>
        <v>#N/A</v>
      </c>
      <c r="EX108" s="138" t="e">
        <f>IF(VLOOKUP(CONCATENATE(H108,F108,EX$2),Ciencias!$A:$H,7,FALSE)=BL108,1,0)</f>
        <v>#N/A</v>
      </c>
      <c r="EY108" s="138" t="e">
        <f>IF(VLOOKUP(CONCATENATE(H108,F108,EY$2),Ciencias!$A:$H,7,FALSE)=BM108,1,0)</f>
        <v>#N/A</v>
      </c>
      <c r="EZ108" s="138" t="e">
        <f>IF(VLOOKUP(CONCATENATE(H108,F108,EZ$2),Ciencias!$A:$H,7,FALSE)=BN108,1,0)</f>
        <v>#N/A</v>
      </c>
      <c r="FA108" s="138" t="e">
        <f>IF(VLOOKUP(CONCATENATE(H108,F108,FA$2),Ciencias!$A:$H,7,FALSE)=BO108,1,0)</f>
        <v>#N/A</v>
      </c>
      <c r="FB108" s="138" t="e">
        <f>IF(VLOOKUP(CONCATENATE(H108,F108,FB$2),Ciencias!$A:$H,7,FALSE)=BP108,1,0)</f>
        <v>#N/A</v>
      </c>
      <c r="FC108" s="138" t="e">
        <f>IF(VLOOKUP(CONCATENATE(H108,F108,FC$2),Ciencias!$A:$H,7,FALSE)=BQ108,1,0)</f>
        <v>#N/A</v>
      </c>
      <c r="FD108" s="138" t="e">
        <f>IF(VLOOKUP(CONCATENATE(H108,F108,FD$2),Ciencias!$A:$H,7,FALSE)=BR108,1,0)</f>
        <v>#N/A</v>
      </c>
      <c r="FE108" s="138" t="e">
        <f>IF(VLOOKUP(CONCATENATE(H108,F108,FE$2),Ciencias!$A:$H,7,FALSE)=BS108,1,0)</f>
        <v>#N/A</v>
      </c>
      <c r="FF108" s="138" t="e">
        <f>IF(VLOOKUP(CONCATENATE(H108,F108,FF$2),Ciencias!$A:$H,7,FALSE)=BT108,1,0)</f>
        <v>#N/A</v>
      </c>
      <c r="FG108" s="138" t="e">
        <f>IF(VLOOKUP(CONCATENATE(H108,F108,FG$2),Ciencias!$A:$H,7,FALSE)=BU108,1,0)</f>
        <v>#N/A</v>
      </c>
      <c r="FH108" s="138" t="e">
        <f>IF(VLOOKUP(CONCATENATE(H108,F108,FH$2),Ciencias!$A:$H,7,FALSE)=BV108,1,0)</f>
        <v>#N/A</v>
      </c>
      <c r="FI108" s="138" t="e">
        <f>IF(VLOOKUP(CONCATENATE(H108,F108,FI$2),Ciencias!$A:$H,7,FALSE)=BW108,1,0)</f>
        <v>#N/A</v>
      </c>
      <c r="FJ108" s="138" t="e">
        <f>IF(VLOOKUP(CONCATENATE(H108,F108,FJ$2),Ciencias!$A:$H,7,FALSE)=BX108,1,0)</f>
        <v>#N/A</v>
      </c>
      <c r="FK108" s="138" t="e">
        <f>IF(VLOOKUP(CONCATENATE(H108,F108,FK$2),Ciencias!$A:$H,7,FALSE)=BY108,1,0)</f>
        <v>#N/A</v>
      </c>
      <c r="FL108" s="138" t="e">
        <f>IF(VLOOKUP(CONCATENATE(H108,F108,FL$2),Ciencias!$A:$H,7,FALSE)=BZ108,1,0)</f>
        <v>#N/A</v>
      </c>
      <c r="FM108" s="138" t="e">
        <f>IF(VLOOKUP(CONCATENATE(H108,F108,FM$2),Ciencias!$A:$H,7,FALSE)=CA108,1,0)</f>
        <v>#N/A</v>
      </c>
      <c r="FN108" s="138" t="e">
        <f>IF(VLOOKUP(CONCATENATE(H108,F108,FN$2),Ciencias!$A:$H,7,FALSE)=CB108,1,0)</f>
        <v>#N/A</v>
      </c>
      <c r="FO108" s="138" t="e">
        <f>IF(VLOOKUP(CONCATENATE(H108,F108,FO$2),Ciencias!$A:$H,7,FALSE)=CC108,1,0)</f>
        <v>#N/A</v>
      </c>
      <c r="FP108" s="138" t="e">
        <f>IF(VLOOKUP(CONCATENATE(H108,F108,FP$2),GeoHis!$A:$H,7,FALSE)=CD108,1,0)</f>
        <v>#N/A</v>
      </c>
      <c r="FQ108" s="138" t="e">
        <f>IF(VLOOKUP(CONCATENATE(H108,F108,FQ$2),GeoHis!$A:$H,7,FALSE)=CE108,1,0)</f>
        <v>#N/A</v>
      </c>
      <c r="FR108" s="138" t="e">
        <f>IF(VLOOKUP(CONCATENATE(H108,F108,FR$2),GeoHis!$A:$H,7,FALSE)=CF108,1,0)</f>
        <v>#N/A</v>
      </c>
      <c r="FS108" s="138" t="e">
        <f>IF(VLOOKUP(CONCATENATE(H108,F108,FS$2),GeoHis!$A:$H,7,FALSE)=CG108,1,0)</f>
        <v>#N/A</v>
      </c>
      <c r="FT108" s="138" t="e">
        <f>IF(VLOOKUP(CONCATENATE(H108,F108,FT$2),GeoHis!$A:$H,7,FALSE)=CH108,1,0)</f>
        <v>#N/A</v>
      </c>
      <c r="FU108" s="138" t="e">
        <f>IF(VLOOKUP(CONCATENATE(H108,F108,FU$2),GeoHis!$A:$H,7,FALSE)=CI108,1,0)</f>
        <v>#N/A</v>
      </c>
      <c r="FV108" s="138" t="e">
        <f>IF(VLOOKUP(CONCATENATE(H108,F108,FV$2),GeoHis!$A:$H,7,FALSE)=CJ108,1,0)</f>
        <v>#N/A</v>
      </c>
      <c r="FW108" s="138" t="e">
        <f>IF(VLOOKUP(CONCATENATE(H108,F108,FW$2),GeoHis!$A:$H,7,FALSE)=CK108,1,0)</f>
        <v>#N/A</v>
      </c>
      <c r="FX108" s="138" t="e">
        <f>IF(VLOOKUP(CONCATENATE(H108,F108,FX$2),GeoHis!$A:$H,7,FALSE)=CL108,1,0)</f>
        <v>#N/A</v>
      </c>
      <c r="FY108" s="138" t="e">
        <f>IF(VLOOKUP(CONCATENATE(H108,F108,FY$2),GeoHis!$A:$H,7,FALSE)=CM108,1,0)</f>
        <v>#N/A</v>
      </c>
      <c r="FZ108" s="138" t="e">
        <f>IF(VLOOKUP(CONCATENATE(H108,F108,FZ$2),GeoHis!$A:$H,7,FALSE)=CN108,1,0)</f>
        <v>#N/A</v>
      </c>
      <c r="GA108" s="138" t="e">
        <f>IF(VLOOKUP(CONCATENATE(H108,F108,GA$2),GeoHis!$A:$H,7,FALSE)=CO108,1,0)</f>
        <v>#N/A</v>
      </c>
      <c r="GB108" s="138" t="e">
        <f>IF(VLOOKUP(CONCATENATE(H108,F108,GB$2),GeoHis!$A:$H,7,FALSE)=CP108,1,0)</f>
        <v>#N/A</v>
      </c>
      <c r="GC108" s="138" t="e">
        <f>IF(VLOOKUP(CONCATENATE(H108,F108,GC$2),GeoHis!$A:$H,7,FALSE)=CQ108,1,0)</f>
        <v>#N/A</v>
      </c>
      <c r="GD108" s="138" t="e">
        <f>IF(VLOOKUP(CONCATENATE(H108,F108,GD$2),GeoHis!$A:$H,7,FALSE)=CR108,1,0)</f>
        <v>#N/A</v>
      </c>
      <c r="GE108" s="135" t="str">
        <f t="shared" si="15"/>
        <v/>
      </c>
    </row>
    <row r="109" spans="1:187" x14ac:dyDescent="0.25">
      <c r="A109" s="127" t="str">
        <f>IF(C109="","",'Datos Generales'!$A$25)</f>
        <v/>
      </c>
      <c r="D109" s="126" t="str">
        <f t="shared" si="8"/>
        <v/>
      </c>
      <c r="E109" s="126">
        <f t="shared" si="9"/>
        <v>0</v>
      </c>
      <c r="F109" s="126" t="str">
        <f t="shared" si="10"/>
        <v/>
      </c>
      <c r="G109" s="126" t="str">
        <f>IF(C109="","",'Datos Generales'!$D$19)</f>
        <v/>
      </c>
      <c r="H109" s="21" t="str">
        <f>IF(C109="","",'Datos Generales'!$A$19)</f>
        <v/>
      </c>
      <c r="I109" s="126" t="str">
        <f>IF(C109="","",'Datos Generales'!$A$7)</f>
        <v/>
      </c>
      <c r="J109" s="21" t="str">
        <f>IF(C109="","",'Datos Generales'!$A$13)</f>
        <v/>
      </c>
      <c r="K109" s="21" t="str">
        <f>IF(C109="","",'Datos Generales'!$A$10)</f>
        <v/>
      </c>
      <c r="CS109" s="142" t="str">
        <f t="shared" si="11"/>
        <v/>
      </c>
      <c r="CT109" s="142" t="str">
        <f t="shared" si="12"/>
        <v/>
      </c>
      <c r="CU109" s="142" t="str">
        <f t="shared" si="13"/>
        <v/>
      </c>
      <c r="CV109" s="142" t="str">
        <f t="shared" si="14"/>
        <v/>
      </c>
      <c r="CW109" s="142" t="str">
        <f>IF(C109="","",IF('Datos Generales'!$A$19=1,AVERAGE(FP109:GD109),AVERAGE(Captura!FP109:FY109)))</f>
        <v/>
      </c>
      <c r="CX109" s="138" t="e">
        <f>IF(VLOOKUP(CONCATENATE($H$4,$F$4,CX$2),Español!$A:$H,7,FALSE)=L109,1,0)</f>
        <v>#N/A</v>
      </c>
      <c r="CY109" s="138" t="e">
        <f>IF(VLOOKUP(CONCATENATE(H109,F109,CY$2),Español!$A:$H,7,FALSE)=M109,1,0)</f>
        <v>#N/A</v>
      </c>
      <c r="CZ109" s="138" t="e">
        <f>IF(VLOOKUP(CONCATENATE(H109,F109,CZ$2),Español!$A:$H,7,FALSE)=N109,1,0)</f>
        <v>#N/A</v>
      </c>
      <c r="DA109" s="138" t="e">
        <f>IF(VLOOKUP(CONCATENATE(H109,F109,DA$2),Español!$A:$H,7,FALSE)=O109,1,0)</f>
        <v>#N/A</v>
      </c>
      <c r="DB109" s="138" t="e">
        <f>IF(VLOOKUP(CONCATENATE(H109,F109,DB$2),Español!$A:$H,7,FALSE)=P109,1,0)</f>
        <v>#N/A</v>
      </c>
      <c r="DC109" s="138" t="e">
        <f>IF(VLOOKUP(CONCATENATE(H109,F109,DC$2),Español!$A:$H,7,FALSE)=Q109,1,0)</f>
        <v>#N/A</v>
      </c>
      <c r="DD109" s="138" t="e">
        <f>IF(VLOOKUP(CONCATENATE(H109,F109,DD$2),Español!$A:$H,7,FALSE)=R109,1,0)</f>
        <v>#N/A</v>
      </c>
      <c r="DE109" s="138" t="e">
        <f>IF(VLOOKUP(CONCATENATE(H109,F109,DE$2),Español!$A:$H,7,FALSE)=S109,1,0)</f>
        <v>#N/A</v>
      </c>
      <c r="DF109" s="138" t="e">
        <f>IF(VLOOKUP(CONCATENATE(H109,F109,DF$2),Español!$A:$H,7,FALSE)=T109,1,0)</f>
        <v>#N/A</v>
      </c>
      <c r="DG109" s="138" t="e">
        <f>IF(VLOOKUP(CONCATENATE(H109,F109,DG$2),Español!$A:$H,7,FALSE)=U109,1,0)</f>
        <v>#N/A</v>
      </c>
      <c r="DH109" s="138" t="e">
        <f>IF(VLOOKUP(CONCATENATE(H109,F109,DH$2),Español!$A:$H,7,FALSE)=V109,1,0)</f>
        <v>#N/A</v>
      </c>
      <c r="DI109" s="138" t="e">
        <f>IF(VLOOKUP(CONCATENATE(H109,F109,DI$2),Español!$A:$H,7,FALSE)=W109,1,0)</f>
        <v>#N/A</v>
      </c>
      <c r="DJ109" s="138" t="e">
        <f>IF(VLOOKUP(CONCATENATE(H109,F109,DJ$2),Español!$A:$H,7,FALSE)=X109,1,0)</f>
        <v>#N/A</v>
      </c>
      <c r="DK109" s="138" t="e">
        <f>IF(VLOOKUP(CONCATENATE(H109,F109,DK$2),Español!$A:$H,7,FALSE)=Y109,1,0)</f>
        <v>#N/A</v>
      </c>
      <c r="DL109" s="138" t="e">
        <f>IF(VLOOKUP(CONCATENATE(H109,F109,DL$2),Español!$A:$H,7,FALSE)=Z109,1,0)</f>
        <v>#N/A</v>
      </c>
      <c r="DM109" s="138" t="e">
        <f>IF(VLOOKUP(CONCATENATE(H109,F109,DM$2),Español!$A:$H,7,FALSE)=AA109,1,0)</f>
        <v>#N/A</v>
      </c>
      <c r="DN109" s="138" t="e">
        <f>IF(VLOOKUP(CONCATENATE(H109,F109,DN$2),Español!$A:$H,7,FALSE)=AB109,1,0)</f>
        <v>#N/A</v>
      </c>
      <c r="DO109" s="138" t="e">
        <f>IF(VLOOKUP(CONCATENATE(H109,F109,DO$2),Español!$A:$H,7,FALSE)=AC109,1,0)</f>
        <v>#N/A</v>
      </c>
      <c r="DP109" s="138" t="e">
        <f>IF(VLOOKUP(CONCATENATE(H109,F109,DP$2),Español!$A:$H,7,FALSE)=AD109,1,0)</f>
        <v>#N/A</v>
      </c>
      <c r="DQ109" s="138" t="e">
        <f>IF(VLOOKUP(CONCATENATE(H109,F109,DQ$2),Español!$A:$H,7,FALSE)=AE109,1,0)</f>
        <v>#N/A</v>
      </c>
      <c r="DR109" s="138" t="e">
        <f>IF(VLOOKUP(CONCATENATE(H109,F109,DR$2),Inglés!$A:$H,7,FALSE)=AF109,1,0)</f>
        <v>#N/A</v>
      </c>
      <c r="DS109" s="138" t="e">
        <f>IF(VLOOKUP(CONCATENATE(H109,F109,DS$2),Inglés!$A:$H,7,FALSE)=AG109,1,0)</f>
        <v>#N/A</v>
      </c>
      <c r="DT109" s="138" t="e">
        <f>IF(VLOOKUP(CONCATENATE(H109,F109,DT$2),Inglés!$A:$H,7,FALSE)=AH109,1,0)</f>
        <v>#N/A</v>
      </c>
      <c r="DU109" s="138" t="e">
        <f>IF(VLOOKUP(CONCATENATE(H109,F109,DU$2),Inglés!$A:$H,7,FALSE)=AI109,1,0)</f>
        <v>#N/A</v>
      </c>
      <c r="DV109" s="138" t="e">
        <f>IF(VLOOKUP(CONCATENATE(H109,F109,DV$2),Inglés!$A:$H,7,FALSE)=AJ109,1,0)</f>
        <v>#N/A</v>
      </c>
      <c r="DW109" s="138" t="e">
        <f>IF(VLOOKUP(CONCATENATE(H109,F109,DW$2),Inglés!$A:$H,7,FALSE)=AK109,1,0)</f>
        <v>#N/A</v>
      </c>
      <c r="DX109" s="138" t="e">
        <f>IF(VLOOKUP(CONCATENATE(H109,F109,DX$2),Inglés!$A:$H,7,FALSE)=AL109,1,0)</f>
        <v>#N/A</v>
      </c>
      <c r="DY109" s="138" t="e">
        <f>IF(VLOOKUP(CONCATENATE(H109,F109,DY$2),Inglés!$A:$H,7,FALSE)=AM109,1,0)</f>
        <v>#N/A</v>
      </c>
      <c r="DZ109" s="138" t="e">
        <f>IF(VLOOKUP(CONCATENATE(H109,F109,DZ$2),Inglés!$A:$H,7,FALSE)=AN109,1,0)</f>
        <v>#N/A</v>
      </c>
      <c r="EA109" s="138" t="e">
        <f>IF(VLOOKUP(CONCATENATE(H109,F109,EA$2),Inglés!$A:$H,7,FALSE)=AO109,1,0)</f>
        <v>#N/A</v>
      </c>
      <c r="EB109" s="138" t="e">
        <f>IF(VLOOKUP(CONCATENATE(H109,F109,EB$2),Matemáticas!$A:$H,7,FALSE)=AP109,1,0)</f>
        <v>#N/A</v>
      </c>
      <c r="EC109" s="138" t="e">
        <f>IF(VLOOKUP(CONCATENATE(H109,F109,EC$2),Matemáticas!$A:$H,7,FALSE)=AQ109,1,0)</f>
        <v>#N/A</v>
      </c>
      <c r="ED109" s="138" t="e">
        <f>IF(VLOOKUP(CONCATENATE(H109,F109,ED$2),Matemáticas!$A:$H,7,FALSE)=AR109,1,0)</f>
        <v>#N/A</v>
      </c>
      <c r="EE109" s="138" t="e">
        <f>IF(VLOOKUP(CONCATENATE(H109,F109,EE$2),Matemáticas!$A:$H,7,FALSE)=AS109,1,0)</f>
        <v>#N/A</v>
      </c>
      <c r="EF109" s="138" t="e">
        <f>IF(VLOOKUP(CONCATENATE(H109,F109,EF$2),Matemáticas!$A:$H,7,FALSE)=AT109,1,0)</f>
        <v>#N/A</v>
      </c>
      <c r="EG109" s="138" t="e">
        <f>IF(VLOOKUP(CONCATENATE(H109,F109,EG$2),Matemáticas!$A:$H,7,FALSE)=AU109,1,0)</f>
        <v>#N/A</v>
      </c>
      <c r="EH109" s="138" t="e">
        <f>IF(VLOOKUP(CONCATENATE(H109,F109,EH$2),Matemáticas!$A:$H,7,FALSE)=AV109,1,0)</f>
        <v>#N/A</v>
      </c>
      <c r="EI109" s="138" t="e">
        <f>IF(VLOOKUP(CONCATENATE(H109,F109,EI$2),Matemáticas!$A:$H,7,FALSE)=AW109,1,0)</f>
        <v>#N/A</v>
      </c>
      <c r="EJ109" s="138" t="e">
        <f>IF(VLOOKUP(CONCATENATE(H109,F109,EJ$2),Matemáticas!$A:$H,7,FALSE)=AX109,1,0)</f>
        <v>#N/A</v>
      </c>
      <c r="EK109" s="138" t="e">
        <f>IF(VLOOKUP(CONCATENATE(H109,F109,EK$2),Matemáticas!$A:$H,7,FALSE)=AY109,1,0)</f>
        <v>#N/A</v>
      </c>
      <c r="EL109" s="138" t="e">
        <f>IF(VLOOKUP(CONCATENATE(H109,F109,EL$2),Matemáticas!$A:$H,7,FALSE)=AZ109,1,0)</f>
        <v>#N/A</v>
      </c>
      <c r="EM109" s="138" t="e">
        <f>IF(VLOOKUP(CONCATENATE(H109,F109,EM$2),Matemáticas!$A:$H,7,FALSE)=BA109,1,0)</f>
        <v>#N/A</v>
      </c>
      <c r="EN109" s="138" t="e">
        <f>IF(VLOOKUP(CONCATENATE(H109,F109,EN$2),Matemáticas!$A:$H,7,FALSE)=BB109,1,0)</f>
        <v>#N/A</v>
      </c>
      <c r="EO109" s="138" t="e">
        <f>IF(VLOOKUP(CONCATENATE(H109,F109,EO$2),Matemáticas!$A:$H,7,FALSE)=BC109,1,0)</f>
        <v>#N/A</v>
      </c>
      <c r="EP109" s="138" t="e">
        <f>IF(VLOOKUP(CONCATENATE(H109,F109,EP$2),Matemáticas!$A:$H,7,FALSE)=BD109,1,0)</f>
        <v>#N/A</v>
      </c>
      <c r="EQ109" s="138" t="e">
        <f>IF(VLOOKUP(CONCATENATE(H109,F109,EQ$2),Matemáticas!$A:$H,7,FALSE)=BE109,1,0)</f>
        <v>#N/A</v>
      </c>
      <c r="ER109" s="138" t="e">
        <f>IF(VLOOKUP(CONCATENATE(H109,F109,ER$2),Matemáticas!$A:$H,7,FALSE)=BF109,1,0)</f>
        <v>#N/A</v>
      </c>
      <c r="ES109" s="138" t="e">
        <f>IF(VLOOKUP(CONCATENATE(H109,F109,ES$2),Matemáticas!$A:$H,7,FALSE)=BG109,1,0)</f>
        <v>#N/A</v>
      </c>
      <c r="ET109" s="138" t="e">
        <f>IF(VLOOKUP(CONCATENATE(H109,F109,ET$2),Matemáticas!$A:$H,7,FALSE)=BH109,1,0)</f>
        <v>#N/A</v>
      </c>
      <c r="EU109" s="138" t="e">
        <f>IF(VLOOKUP(CONCATENATE(H109,F109,EU$2),Matemáticas!$A:$H,7,FALSE)=BI109,1,0)</f>
        <v>#N/A</v>
      </c>
      <c r="EV109" s="138" t="e">
        <f>IF(VLOOKUP(CONCATENATE(H109,F109,EV$2),Ciencias!$A:$H,7,FALSE)=BJ109,1,0)</f>
        <v>#N/A</v>
      </c>
      <c r="EW109" s="138" t="e">
        <f>IF(VLOOKUP(CONCATENATE(H109,F109,EW$2),Ciencias!$A:$H,7,FALSE)=BK109,1,0)</f>
        <v>#N/A</v>
      </c>
      <c r="EX109" s="138" t="e">
        <f>IF(VLOOKUP(CONCATENATE(H109,F109,EX$2),Ciencias!$A:$H,7,FALSE)=BL109,1,0)</f>
        <v>#N/A</v>
      </c>
      <c r="EY109" s="138" t="e">
        <f>IF(VLOOKUP(CONCATENATE(H109,F109,EY$2),Ciencias!$A:$H,7,FALSE)=BM109,1,0)</f>
        <v>#N/A</v>
      </c>
      <c r="EZ109" s="138" t="e">
        <f>IF(VLOOKUP(CONCATENATE(H109,F109,EZ$2),Ciencias!$A:$H,7,FALSE)=BN109,1,0)</f>
        <v>#N/A</v>
      </c>
      <c r="FA109" s="138" t="e">
        <f>IF(VLOOKUP(CONCATENATE(H109,F109,FA$2),Ciencias!$A:$H,7,FALSE)=BO109,1,0)</f>
        <v>#N/A</v>
      </c>
      <c r="FB109" s="138" t="e">
        <f>IF(VLOOKUP(CONCATENATE(H109,F109,FB$2),Ciencias!$A:$H,7,FALSE)=BP109,1,0)</f>
        <v>#N/A</v>
      </c>
      <c r="FC109" s="138" t="e">
        <f>IF(VLOOKUP(CONCATENATE(H109,F109,FC$2),Ciencias!$A:$H,7,FALSE)=BQ109,1,0)</f>
        <v>#N/A</v>
      </c>
      <c r="FD109" s="138" t="e">
        <f>IF(VLOOKUP(CONCATENATE(H109,F109,FD$2),Ciencias!$A:$H,7,FALSE)=BR109,1,0)</f>
        <v>#N/A</v>
      </c>
      <c r="FE109" s="138" t="e">
        <f>IF(VLOOKUP(CONCATENATE(H109,F109,FE$2),Ciencias!$A:$H,7,FALSE)=BS109,1,0)</f>
        <v>#N/A</v>
      </c>
      <c r="FF109" s="138" t="e">
        <f>IF(VLOOKUP(CONCATENATE(H109,F109,FF$2),Ciencias!$A:$H,7,FALSE)=BT109,1,0)</f>
        <v>#N/A</v>
      </c>
      <c r="FG109" s="138" t="e">
        <f>IF(VLOOKUP(CONCATENATE(H109,F109,FG$2),Ciencias!$A:$H,7,FALSE)=BU109,1,0)</f>
        <v>#N/A</v>
      </c>
      <c r="FH109" s="138" t="e">
        <f>IF(VLOOKUP(CONCATENATE(H109,F109,FH$2),Ciencias!$A:$H,7,FALSE)=BV109,1,0)</f>
        <v>#N/A</v>
      </c>
      <c r="FI109" s="138" t="e">
        <f>IF(VLOOKUP(CONCATENATE(H109,F109,FI$2),Ciencias!$A:$H,7,FALSE)=BW109,1,0)</f>
        <v>#N/A</v>
      </c>
      <c r="FJ109" s="138" t="e">
        <f>IF(VLOOKUP(CONCATENATE(H109,F109,FJ$2),Ciencias!$A:$H,7,FALSE)=BX109,1,0)</f>
        <v>#N/A</v>
      </c>
      <c r="FK109" s="138" t="e">
        <f>IF(VLOOKUP(CONCATENATE(H109,F109,FK$2),Ciencias!$A:$H,7,FALSE)=BY109,1,0)</f>
        <v>#N/A</v>
      </c>
      <c r="FL109" s="138" t="e">
        <f>IF(VLOOKUP(CONCATENATE(H109,F109,FL$2),Ciencias!$A:$H,7,FALSE)=BZ109,1,0)</f>
        <v>#N/A</v>
      </c>
      <c r="FM109" s="138" t="e">
        <f>IF(VLOOKUP(CONCATENATE(H109,F109,FM$2),Ciencias!$A:$H,7,FALSE)=CA109,1,0)</f>
        <v>#N/A</v>
      </c>
      <c r="FN109" s="138" t="e">
        <f>IF(VLOOKUP(CONCATENATE(H109,F109,FN$2),Ciencias!$A:$H,7,FALSE)=CB109,1,0)</f>
        <v>#N/A</v>
      </c>
      <c r="FO109" s="138" t="e">
        <f>IF(VLOOKUP(CONCATENATE(H109,F109,FO$2),Ciencias!$A:$H,7,FALSE)=CC109,1,0)</f>
        <v>#N/A</v>
      </c>
      <c r="FP109" s="138" t="e">
        <f>IF(VLOOKUP(CONCATENATE(H109,F109,FP$2),GeoHis!$A:$H,7,FALSE)=CD109,1,0)</f>
        <v>#N/A</v>
      </c>
      <c r="FQ109" s="138" t="e">
        <f>IF(VLOOKUP(CONCATENATE(H109,F109,FQ$2),GeoHis!$A:$H,7,FALSE)=CE109,1,0)</f>
        <v>#N/A</v>
      </c>
      <c r="FR109" s="138" t="e">
        <f>IF(VLOOKUP(CONCATENATE(H109,F109,FR$2),GeoHis!$A:$H,7,FALSE)=CF109,1,0)</f>
        <v>#N/A</v>
      </c>
      <c r="FS109" s="138" t="e">
        <f>IF(VLOOKUP(CONCATENATE(H109,F109,FS$2),GeoHis!$A:$H,7,FALSE)=CG109,1,0)</f>
        <v>#N/A</v>
      </c>
      <c r="FT109" s="138" t="e">
        <f>IF(VLOOKUP(CONCATENATE(H109,F109,FT$2),GeoHis!$A:$H,7,FALSE)=CH109,1,0)</f>
        <v>#N/A</v>
      </c>
      <c r="FU109" s="138" t="e">
        <f>IF(VLOOKUP(CONCATENATE(H109,F109,FU$2),GeoHis!$A:$H,7,FALSE)=CI109,1,0)</f>
        <v>#N/A</v>
      </c>
      <c r="FV109" s="138" t="e">
        <f>IF(VLOOKUP(CONCATENATE(H109,F109,FV$2),GeoHis!$A:$H,7,FALSE)=CJ109,1,0)</f>
        <v>#N/A</v>
      </c>
      <c r="FW109" s="138" t="e">
        <f>IF(VLOOKUP(CONCATENATE(H109,F109,FW$2),GeoHis!$A:$H,7,FALSE)=CK109,1,0)</f>
        <v>#N/A</v>
      </c>
      <c r="FX109" s="138" t="e">
        <f>IF(VLOOKUP(CONCATENATE(H109,F109,FX$2),GeoHis!$A:$H,7,FALSE)=CL109,1,0)</f>
        <v>#N/A</v>
      </c>
      <c r="FY109" s="138" t="e">
        <f>IF(VLOOKUP(CONCATENATE(H109,F109,FY$2),GeoHis!$A:$H,7,FALSE)=CM109,1,0)</f>
        <v>#N/A</v>
      </c>
      <c r="FZ109" s="138" t="e">
        <f>IF(VLOOKUP(CONCATENATE(H109,F109,FZ$2),GeoHis!$A:$H,7,FALSE)=CN109,1,0)</f>
        <v>#N/A</v>
      </c>
      <c r="GA109" s="138" t="e">
        <f>IF(VLOOKUP(CONCATENATE(H109,F109,GA$2),GeoHis!$A:$H,7,FALSE)=CO109,1,0)</f>
        <v>#N/A</v>
      </c>
      <c r="GB109" s="138" t="e">
        <f>IF(VLOOKUP(CONCATENATE(H109,F109,GB$2),GeoHis!$A:$H,7,FALSE)=CP109,1,0)</f>
        <v>#N/A</v>
      </c>
      <c r="GC109" s="138" t="e">
        <f>IF(VLOOKUP(CONCATENATE(H109,F109,GC$2),GeoHis!$A:$H,7,FALSE)=CQ109,1,0)</f>
        <v>#N/A</v>
      </c>
      <c r="GD109" s="138" t="e">
        <f>IF(VLOOKUP(CONCATENATE(H109,F109,GD$2),GeoHis!$A:$H,7,FALSE)=CR109,1,0)</f>
        <v>#N/A</v>
      </c>
      <c r="GE109" s="135" t="str">
        <f t="shared" si="15"/>
        <v/>
      </c>
    </row>
    <row r="110" spans="1:187" x14ac:dyDescent="0.25">
      <c r="A110" s="127" t="str">
        <f>IF(C110="","",'Datos Generales'!$A$25)</f>
        <v/>
      </c>
      <c r="D110" s="126" t="str">
        <f t="shared" si="8"/>
        <v/>
      </c>
      <c r="E110" s="126">
        <f t="shared" si="9"/>
        <v>0</v>
      </c>
      <c r="F110" s="126" t="str">
        <f t="shared" si="10"/>
        <v/>
      </c>
      <c r="G110" s="126" t="str">
        <f>IF(C110="","",'Datos Generales'!$D$19)</f>
        <v/>
      </c>
      <c r="H110" s="21" t="str">
        <f>IF(C110="","",'Datos Generales'!$A$19)</f>
        <v/>
      </c>
      <c r="I110" s="126" t="str">
        <f>IF(C110="","",'Datos Generales'!$A$7)</f>
        <v/>
      </c>
      <c r="J110" s="21" t="str">
        <f>IF(C110="","",'Datos Generales'!$A$13)</f>
        <v/>
      </c>
      <c r="K110" s="21" t="str">
        <f>IF(C110="","",'Datos Generales'!$A$10)</f>
        <v/>
      </c>
      <c r="CS110" s="142" t="str">
        <f t="shared" si="11"/>
        <v/>
      </c>
      <c r="CT110" s="142" t="str">
        <f t="shared" si="12"/>
        <v/>
      </c>
      <c r="CU110" s="142" t="str">
        <f t="shared" si="13"/>
        <v/>
      </c>
      <c r="CV110" s="142" t="str">
        <f t="shared" si="14"/>
        <v/>
      </c>
      <c r="CW110" s="142" t="str">
        <f>IF(C110="","",IF('Datos Generales'!$A$19=1,AVERAGE(FP110:GD110),AVERAGE(Captura!FP110:FY110)))</f>
        <v/>
      </c>
      <c r="CX110" s="138" t="e">
        <f>IF(VLOOKUP(CONCATENATE($H$4,$F$4,CX$2),Español!$A:$H,7,FALSE)=L110,1,0)</f>
        <v>#N/A</v>
      </c>
      <c r="CY110" s="138" t="e">
        <f>IF(VLOOKUP(CONCATENATE(H110,F110,CY$2),Español!$A:$H,7,FALSE)=M110,1,0)</f>
        <v>#N/A</v>
      </c>
      <c r="CZ110" s="138" t="e">
        <f>IF(VLOOKUP(CONCATENATE(H110,F110,CZ$2),Español!$A:$H,7,FALSE)=N110,1,0)</f>
        <v>#N/A</v>
      </c>
      <c r="DA110" s="138" t="e">
        <f>IF(VLOOKUP(CONCATENATE(H110,F110,DA$2),Español!$A:$H,7,FALSE)=O110,1,0)</f>
        <v>#N/A</v>
      </c>
      <c r="DB110" s="138" t="e">
        <f>IF(VLOOKUP(CONCATENATE(H110,F110,DB$2),Español!$A:$H,7,FALSE)=P110,1,0)</f>
        <v>#N/A</v>
      </c>
      <c r="DC110" s="138" t="e">
        <f>IF(VLOOKUP(CONCATENATE(H110,F110,DC$2),Español!$A:$H,7,FALSE)=Q110,1,0)</f>
        <v>#N/A</v>
      </c>
      <c r="DD110" s="138" t="e">
        <f>IF(VLOOKUP(CONCATENATE(H110,F110,DD$2),Español!$A:$H,7,FALSE)=R110,1,0)</f>
        <v>#N/A</v>
      </c>
      <c r="DE110" s="138" t="e">
        <f>IF(VLOOKUP(CONCATENATE(H110,F110,DE$2),Español!$A:$H,7,FALSE)=S110,1,0)</f>
        <v>#N/A</v>
      </c>
      <c r="DF110" s="138" t="e">
        <f>IF(VLOOKUP(CONCATENATE(H110,F110,DF$2),Español!$A:$H,7,FALSE)=T110,1,0)</f>
        <v>#N/A</v>
      </c>
      <c r="DG110" s="138" t="e">
        <f>IF(VLOOKUP(CONCATENATE(H110,F110,DG$2),Español!$A:$H,7,FALSE)=U110,1,0)</f>
        <v>#N/A</v>
      </c>
      <c r="DH110" s="138" t="e">
        <f>IF(VLOOKUP(CONCATENATE(H110,F110,DH$2),Español!$A:$H,7,FALSE)=V110,1,0)</f>
        <v>#N/A</v>
      </c>
      <c r="DI110" s="138" t="e">
        <f>IF(VLOOKUP(CONCATENATE(H110,F110,DI$2),Español!$A:$H,7,FALSE)=W110,1,0)</f>
        <v>#N/A</v>
      </c>
      <c r="DJ110" s="138" t="e">
        <f>IF(VLOOKUP(CONCATENATE(H110,F110,DJ$2),Español!$A:$H,7,FALSE)=X110,1,0)</f>
        <v>#N/A</v>
      </c>
      <c r="DK110" s="138" t="e">
        <f>IF(VLOOKUP(CONCATENATE(H110,F110,DK$2),Español!$A:$H,7,FALSE)=Y110,1,0)</f>
        <v>#N/A</v>
      </c>
      <c r="DL110" s="138" t="e">
        <f>IF(VLOOKUP(CONCATENATE(H110,F110,DL$2),Español!$A:$H,7,FALSE)=Z110,1,0)</f>
        <v>#N/A</v>
      </c>
      <c r="DM110" s="138" t="e">
        <f>IF(VLOOKUP(CONCATENATE(H110,F110,DM$2),Español!$A:$H,7,FALSE)=AA110,1,0)</f>
        <v>#N/A</v>
      </c>
      <c r="DN110" s="138" t="e">
        <f>IF(VLOOKUP(CONCATENATE(H110,F110,DN$2),Español!$A:$H,7,FALSE)=AB110,1,0)</f>
        <v>#N/A</v>
      </c>
      <c r="DO110" s="138" t="e">
        <f>IF(VLOOKUP(CONCATENATE(H110,F110,DO$2),Español!$A:$H,7,FALSE)=AC110,1,0)</f>
        <v>#N/A</v>
      </c>
      <c r="DP110" s="138" t="e">
        <f>IF(VLOOKUP(CONCATENATE(H110,F110,DP$2),Español!$A:$H,7,FALSE)=AD110,1,0)</f>
        <v>#N/A</v>
      </c>
      <c r="DQ110" s="138" t="e">
        <f>IF(VLOOKUP(CONCATENATE(H110,F110,DQ$2),Español!$A:$H,7,FALSE)=AE110,1,0)</f>
        <v>#N/A</v>
      </c>
      <c r="DR110" s="138" t="e">
        <f>IF(VLOOKUP(CONCATENATE(H110,F110,DR$2),Inglés!$A:$H,7,FALSE)=AF110,1,0)</f>
        <v>#N/A</v>
      </c>
      <c r="DS110" s="138" t="e">
        <f>IF(VLOOKUP(CONCATENATE(H110,F110,DS$2),Inglés!$A:$H,7,FALSE)=AG110,1,0)</f>
        <v>#N/A</v>
      </c>
      <c r="DT110" s="138" t="e">
        <f>IF(VLOOKUP(CONCATENATE(H110,F110,DT$2),Inglés!$A:$H,7,FALSE)=AH110,1,0)</f>
        <v>#N/A</v>
      </c>
      <c r="DU110" s="138" t="e">
        <f>IF(VLOOKUP(CONCATENATE(H110,F110,DU$2),Inglés!$A:$H,7,FALSE)=AI110,1,0)</f>
        <v>#N/A</v>
      </c>
      <c r="DV110" s="138" t="e">
        <f>IF(VLOOKUP(CONCATENATE(H110,F110,DV$2),Inglés!$A:$H,7,FALSE)=AJ110,1,0)</f>
        <v>#N/A</v>
      </c>
      <c r="DW110" s="138" t="e">
        <f>IF(VLOOKUP(CONCATENATE(H110,F110,DW$2),Inglés!$A:$H,7,FALSE)=AK110,1,0)</f>
        <v>#N/A</v>
      </c>
      <c r="DX110" s="138" t="e">
        <f>IF(VLOOKUP(CONCATENATE(H110,F110,DX$2),Inglés!$A:$H,7,FALSE)=AL110,1,0)</f>
        <v>#N/A</v>
      </c>
      <c r="DY110" s="138" t="e">
        <f>IF(VLOOKUP(CONCATENATE(H110,F110,DY$2),Inglés!$A:$H,7,FALSE)=AM110,1,0)</f>
        <v>#N/A</v>
      </c>
      <c r="DZ110" s="138" t="e">
        <f>IF(VLOOKUP(CONCATENATE(H110,F110,DZ$2),Inglés!$A:$H,7,FALSE)=AN110,1,0)</f>
        <v>#N/A</v>
      </c>
      <c r="EA110" s="138" t="e">
        <f>IF(VLOOKUP(CONCATENATE(H110,F110,EA$2),Inglés!$A:$H,7,FALSE)=AO110,1,0)</f>
        <v>#N/A</v>
      </c>
      <c r="EB110" s="138" t="e">
        <f>IF(VLOOKUP(CONCATENATE(H110,F110,EB$2),Matemáticas!$A:$H,7,FALSE)=AP110,1,0)</f>
        <v>#N/A</v>
      </c>
      <c r="EC110" s="138" t="e">
        <f>IF(VLOOKUP(CONCATENATE(H110,F110,EC$2),Matemáticas!$A:$H,7,FALSE)=AQ110,1,0)</f>
        <v>#N/A</v>
      </c>
      <c r="ED110" s="138" t="e">
        <f>IF(VLOOKUP(CONCATENATE(H110,F110,ED$2),Matemáticas!$A:$H,7,FALSE)=AR110,1,0)</f>
        <v>#N/A</v>
      </c>
      <c r="EE110" s="138" t="e">
        <f>IF(VLOOKUP(CONCATENATE(H110,F110,EE$2),Matemáticas!$A:$H,7,FALSE)=AS110,1,0)</f>
        <v>#N/A</v>
      </c>
      <c r="EF110" s="138" t="e">
        <f>IF(VLOOKUP(CONCATENATE(H110,F110,EF$2),Matemáticas!$A:$H,7,FALSE)=AT110,1,0)</f>
        <v>#N/A</v>
      </c>
      <c r="EG110" s="138" t="e">
        <f>IF(VLOOKUP(CONCATENATE(H110,F110,EG$2),Matemáticas!$A:$H,7,FALSE)=AU110,1,0)</f>
        <v>#N/A</v>
      </c>
      <c r="EH110" s="138" t="e">
        <f>IF(VLOOKUP(CONCATENATE(H110,F110,EH$2),Matemáticas!$A:$H,7,FALSE)=AV110,1,0)</f>
        <v>#N/A</v>
      </c>
      <c r="EI110" s="138" t="e">
        <f>IF(VLOOKUP(CONCATENATE(H110,F110,EI$2),Matemáticas!$A:$H,7,FALSE)=AW110,1,0)</f>
        <v>#N/A</v>
      </c>
      <c r="EJ110" s="138" t="e">
        <f>IF(VLOOKUP(CONCATENATE(H110,F110,EJ$2),Matemáticas!$A:$H,7,FALSE)=AX110,1,0)</f>
        <v>#N/A</v>
      </c>
      <c r="EK110" s="138" t="e">
        <f>IF(VLOOKUP(CONCATENATE(H110,F110,EK$2),Matemáticas!$A:$H,7,FALSE)=AY110,1,0)</f>
        <v>#N/A</v>
      </c>
      <c r="EL110" s="138" t="e">
        <f>IF(VLOOKUP(CONCATENATE(H110,F110,EL$2),Matemáticas!$A:$H,7,FALSE)=AZ110,1,0)</f>
        <v>#N/A</v>
      </c>
      <c r="EM110" s="138" t="e">
        <f>IF(VLOOKUP(CONCATENATE(H110,F110,EM$2),Matemáticas!$A:$H,7,FALSE)=BA110,1,0)</f>
        <v>#N/A</v>
      </c>
      <c r="EN110" s="138" t="e">
        <f>IF(VLOOKUP(CONCATENATE(H110,F110,EN$2),Matemáticas!$A:$H,7,FALSE)=BB110,1,0)</f>
        <v>#N/A</v>
      </c>
      <c r="EO110" s="138" t="e">
        <f>IF(VLOOKUP(CONCATENATE(H110,F110,EO$2),Matemáticas!$A:$H,7,FALSE)=BC110,1,0)</f>
        <v>#N/A</v>
      </c>
      <c r="EP110" s="138" t="e">
        <f>IF(VLOOKUP(CONCATENATE(H110,F110,EP$2),Matemáticas!$A:$H,7,FALSE)=BD110,1,0)</f>
        <v>#N/A</v>
      </c>
      <c r="EQ110" s="138" t="e">
        <f>IF(VLOOKUP(CONCATENATE(H110,F110,EQ$2),Matemáticas!$A:$H,7,FALSE)=BE110,1,0)</f>
        <v>#N/A</v>
      </c>
      <c r="ER110" s="138" t="e">
        <f>IF(VLOOKUP(CONCATENATE(H110,F110,ER$2),Matemáticas!$A:$H,7,FALSE)=BF110,1,0)</f>
        <v>#N/A</v>
      </c>
      <c r="ES110" s="138" t="e">
        <f>IF(VLOOKUP(CONCATENATE(H110,F110,ES$2),Matemáticas!$A:$H,7,FALSE)=BG110,1,0)</f>
        <v>#N/A</v>
      </c>
      <c r="ET110" s="138" t="e">
        <f>IF(VLOOKUP(CONCATENATE(H110,F110,ET$2),Matemáticas!$A:$H,7,FALSE)=BH110,1,0)</f>
        <v>#N/A</v>
      </c>
      <c r="EU110" s="138" t="e">
        <f>IF(VLOOKUP(CONCATENATE(H110,F110,EU$2),Matemáticas!$A:$H,7,FALSE)=BI110,1,0)</f>
        <v>#N/A</v>
      </c>
      <c r="EV110" s="138" t="e">
        <f>IF(VLOOKUP(CONCATENATE(H110,F110,EV$2),Ciencias!$A:$H,7,FALSE)=BJ110,1,0)</f>
        <v>#N/A</v>
      </c>
      <c r="EW110" s="138" t="e">
        <f>IF(VLOOKUP(CONCATENATE(H110,F110,EW$2),Ciencias!$A:$H,7,FALSE)=BK110,1,0)</f>
        <v>#N/A</v>
      </c>
      <c r="EX110" s="138" t="e">
        <f>IF(VLOOKUP(CONCATENATE(H110,F110,EX$2),Ciencias!$A:$H,7,FALSE)=BL110,1,0)</f>
        <v>#N/A</v>
      </c>
      <c r="EY110" s="138" t="e">
        <f>IF(VLOOKUP(CONCATENATE(H110,F110,EY$2),Ciencias!$A:$H,7,FALSE)=BM110,1,0)</f>
        <v>#N/A</v>
      </c>
      <c r="EZ110" s="138" t="e">
        <f>IF(VLOOKUP(CONCATENATE(H110,F110,EZ$2),Ciencias!$A:$H,7,FALSE)=BN110,1,0)</f>
        <v>#N/A</v>
      </c>
      <c r="FA110" s="138" t="e">
        <f>IF(VLOOKUP(CONCATENATE(H110,F110,FA$2),Ciencias!$A:$H,7,FALSE)=BO110,1,0)</f>
        <v>#N/A</v>
      </c>
      <c r="FB110" s="138" t="e">
        <f>IF(VLOOKUP(CONCATENATE(H110,F110,FB$2),Ciencias!$A:$H,7,FALSE)=BP110,1,0)</f>
        <v>#N/A</v>
      </c>
      <c r="FC110" s="138" t="e">
        <f>IF(VLOOKUP(CONCATENATE(H110,F110,FC$2),Ciencias!$A:$H,7,FALSE)=BQ110,1,0)</f>
        <v>#N/A</v>
      </c>
      <c r="FD110" s="138" t="e">
        <f>IF(VLOOKUP(CONCATENATE(H110,F110,FD$2),Ciencias!$A:$H,7,FALSE)=BR110,1,0)</f>
        <v>#N/A</v>
      </c>
      <c r="FE110" s="138" t="e">
        <f>IF(VLOOKUP(CONCATENATE(H110,F110,FE$2),Ciencias!$A:$H,7,FALSE)=BS110,1,0)</f>
        <v>#N/A</v>
      </c>
      <c r="FF110" s="138" t="e">
        <f>IF(VLOOKUP(CONCATENATE(H110,F110,FF$2),Ciencias!$A:$H,7,FALSE)=BT110,1,0)</f>
        <v>#N/A</v>
      </c>
      <c r="FG110" s="138" t="e">
        <f>IF(VLOOKUP(CONCATENATE(H110,F110,FG$2),Ciencias!$A:$H,7,FALSE)=BU110,1,0)</f>
        <v>#N/A</v>
      </c>
      <c r="FH110" s="138" t="e">
        <f>IF(VLOOKUP(CONCATENATE(H110,F110,FH$2),Ciencias!$A:$H,7,FALSE)=BV110,1,0)</f>
        <v>#N/A</v>
      </c>
      <c r="FI110" s="138" t="e">
        <f>IF(VLOOKUP(CONCATENATE(H110,F110,FI$2),Ciencias!$A:$H,7,FALSE)=BW110,1,0)</f>
        <v>#N/A</v>
      </c>
      <c r="FJ110" s="138" t="e">
        <f>IF(VLOOKUP(CONCATENATE(H110,F110,FJ$2),Ciencias!$A:$H,7,FALSE)=BX110,1,0)</f>
        <v>#N/A</v>
      </c>
      <c r="FK110" s="138" t="e">
        <f>IF(VLOOKUP(CONCATENATE(H110,F110,FK$2),Ciencias!$A:$H,7,FALSE)=BY110,1,0)</f>
        <v>#N/A</v>
      </c>
      <c r="FL110" s="138" t="e">
        <f>IF(VLOOKUP(CONCATENATE(H110,F110,FL$2),Ciencias!$A:$H,7,FALSE)=BZ110,1,0)</f>
        <v>#N/A</v>
      </c>
      <c r="FM110" s="138" t="e">
        <f>IF(VLOOKUP(CONCATENATE(H110,F110,FM$2),Ciencias!$A:$H,7,FALSE)=CA110,1,0)</f>
        <v>#N/A</v>
      </c>
      <c r="FN110" s="138" t="e">
        <f>IF(VLOOKUP(CONCATENATE(H110,F110,FN$2),Ciencias!$A:$H,7,FALSE)=CB110,1,0)</f>
        <v>#N/A</v>
      </c>
      <c r="FO110" s="138" t="e">
        <f>IF(VLOOKUP(CONCATENATE(H110,F110,FO$2),Ciencias!$A:$H,7,FALSE)=CC110,1,0)</f>
        <v>#N/A</v>
      </c>
      <c r="FP110" s="138" t="e">
        <f>IF(VLOOKUP(CONCATENATE(H110,F110,FP$2),GeoHis!$A:$H,7,FALSE)=CD110,1,0)</f>
        <v>#N/A</v>
      </c>
      <c r="FQ110" s="138" t="e">
        <f>IF(VLOOKUP(CONCATENATE(H110,F110,FQ$2),GeoHis!$A:$H,7,FALSE)=CE110,1,0)</f>
        <v>#N/A</v>
      </c>
      <c r="FR110" s="138" t="e">
        <f>IF(VLOOKUP(CONCATENATE(H110,F110,FR$2),GeoHis!$A:$H,7,FALSE)=CF110,1,0)</f>
        <v>#N/A</v>
      </c>
      <c r="FS110" s="138" t="e">
        <f>IF(VLOOKUP(CONCATENATE(H110,F110,FS$2),GeoHis!$A:$H,7,FALSE)=CG110,1,0)</f>
        <v>#N/A</v>
      </c>
      <c r="FT110" s="138" t="e">
        <f>IF(VLOOKUP(CONCATENATE(H110,F110,FT$2),GeoHis!$A:$H,7,FALSE)=CH110,1,0)</f>
        <v>#N/A</v>
      </c>
      <c r="FU110" s="138" t="e">
        <f>IF(VLOOKUP(CONCATENATE(H110,F110,FU$2),GeoHis!$A:$H,7,FALSE)=CI110,1,0)</f>
        <v>#N/A</v>
      </c>
      <c r="FV110" s="138" t="e">
        <f>IF(VLOOKUP(CONCATENATE(H110,F110,FV$2),GeoHis!$A:$H,7,FALSE)=CJ110,1,0)</f>
        <v>#N/A</v>
      </c>
      <c r="FW110" s="138" t="e">
        <f>IF(VLOOKUP(CONCATENATE(H110,F110,FW$2),GeoHis!$A:$H,7,FALSE)=CK110,1,0)</f>
        <v>#N/A</v>
      </c>
      <c r="FX110" s="138" t="e">
        <f>IF(VLOOKUP(CONCATENATE(H110,F110,FX$2),GeoHis!$A:$H,7,FALSE)=CL110,1,0)</f>
        <v>#N/A</v>
      </c>
      <c r="FY110" s="138" t="e">
        <f>IF(VLOOKUP(CONCATENATE(H110,F110,FY$2),GeoHis!$A:$H,7,FALSE)=CM110,1,0)</f>
        <v>#N/A</v>
      </c>
      <c r="FZ110" s="138" t="e">
        <f>IF(VLOOKUP(CONCATENATE(H110,F110,FZ$2),GeoHis!$A:$H,7,FALSE)=CN110,1,0)</f>
        <v>#N/A</v>
      </c>
      <c r="GA110" s="138" t="e">
        <f>IF(VLOOKUP(CONCATENATE(H110,F110,GA$2),GeoHis!$A:$H,7,FALSE)=CO110,1,0)</f>
        <v>#N/A</v>
      </c>
      <c r="GB110" s="138" t="e">
        <f>IF(VLOOKUP(CONCATENATE(H110,F110,GB$2),GeoHis!$A:$H,7,FALSE)=CP110,1,0)</f>
        <v>#N/A</v>
      </c>
      <c r="GC110" s="138" t="e">
        <f>IF(VLOOKUP(CONCATENATE(H110,F110,GC$2),GeoHis!$A:$H,7,FALSE)=CQ110,1,0)</f>
        <v>#N/A</v>
      </c>
      <c r="GD110" s="138" t="e">
        <f>IF(VLOOKUP(CONCATENATE(H110,F110,GD$2),GeoHis!$A:$H,7,FALSE)=CR110,1,0)</f>
        <v>#N/A</v>
      </c>
      <c r="GE110" s="135" t="str">
        <f t="shared" si="15"/>
        <v/>
      </c>
    </row>
    <row r="111" spans="1:187" x14ac:dyDescent="0.25">
      <c r="A111" s="127" t="str">
        <f>IF(C111="","",'Datos Generales'!$A$25)</f>
        <v/>
      </c>
      <c r="D111" s="126" t="str">
        <f t="shared" si="8"/>
        <v/>
      </c>
      <c r="E111" s="126">
        <f t="shared" si="9"/>
        <v>0</v>
      </c>
      <c r="F111" s="126" t="str">
        <f t="shared" si="10"/>
        <v/>
      </c>
      <c r="G111" s="126" t="str">
        <f>IF(C111="","",'Datos Generales'!$D$19)</f>
        <v/>
      </c>
      <c r="H111" s="21" t="str">
        <f>IF(C111="","",'Datos Generales'!$A$19)</f>
        <v/>
      </c>
      <c r="I111" s="126" t="str">
        <f>IF(C111="","",'Datos Generales'!$A$7)</f>
        <v/>
      </c>
      <c r="J111" s="21" t="str">
        <f>IF(C111="","",'Datos Generales'!$A$13)</f>
        <v/>
      </c>
      <c r="K111" s="21" t="str">
        <f>IF(C111="","",'Datos Generales'!$A$10)</f>
        <v/>
      </c>
      <c r="CS111" s="142" t="str">
        <f t="shared" si="11"/>
        <v/>
      </c>
      <c r="CT111" s="142" t="str">
        <f t="shared" si="12"/>
        <v/>
      </c>
      <c r="CU111" s="142" t="str">
        <f t="shared" si="13"/>
        <v/>
      </c>
      <c r="CV111" s="142" t="str">
        <f t="shared" si="14"/>
        <v/>
      </c>
      <c r="CW111" s="142" t="str">
        <f>IF(C111="","",IF('Datos Generales'!$A$19=1,AVERAGE(FP111:GD111),AVERAGE(Captura!FP111:FY111)))</f>
        <v/>
      </c>
      <c r="CX111" s="138" t="e">
        <f>IF(VLOOKUP(CONCATENATE($H$4,$F$4,CX$2),Español!$A:$H,7,FALSE)=L111,1,0)</f>
        <v>#N/A</v>
      </c>
      <c r="CY111" s="138" t="e">
        <f>IF(VLOOKUP(CONCATENATE(H111,F111,CY$2),Español!$A:$H,7,FALSE)=M111,1,0)</f>
        <v>#N/A</v>
      </c>
      <c r="CZ111" s="138" t="e">
        <f>IF(VLOOKUP(CONCATENATE(H111,F111,CZ$2),Español!$A:$H,7,FALSE)=N111,1,0)</f>
        <v>#N/A</v>
      </c>
      <c r="DA111" s="138" t="e">
        <f>IF(VLOOKUP(CONCATENATE(H111,F111,DA$2),Español!$A:$H,7,FALSE)=O111,1,0)</f>
        <v>#N/A</v>
      </c>
      <c r="DB111" s="138" t="e">
        <f>IF(VLOOKUP(CONCATENATE(H111,F111,DB$2),Español!$A:$H,7,FALSE)=P111,1,0)</f>
        <v>#N/A</v>
      </c>
      <c r="DC111" s="138" t="e">
        <f>IF(VLOOKUP(CONCATENATE(H111,F111,DC$2),Español!$A:$H,7,FALSE)=Q111,1,0)</f>
        <v>#N/A</v>
      </c>
      <c r="DD111" s="138" t="e">
        <f>IF(VLOOKUP(CONCATENATE(H111,F111,DD$2),Español!$A:$H,7,FALSE)=R111,1,0)</f>
        <v>#N/A</v>
      </c>
      <c r="DE111" s="138" t="e">
        <f>IF(VLOOKUP(CONCATENATE(H111,F111,DE$2),Español!$A:$H,7,FALSE)=S111,1,0)</f>
        <v>#N/A</v>
      </c>
      <c r="DF111" s="138" t="e">
        <f>IF(VLOOKUP(CONCATENATE(H111,F111,DF$2),Español!$A:$H,7,FALSE)=T111,1,0)</f>
        <v>#N/A</v>
      </c>
      <c r="DG111" s="138" t="e">
        <f>IF(VLOOKUP(CONCATENATE(H111,F111,DG$2),Español!$A:$H,7,FALSE)=U111,1,0)</f>
        <v>#N/A</v>
      </c>
      <c r="DH111" s="138" t="e">
        <f>IF(VLOOKUP(CONCATENATE(H111,F111,DH$2),Español!$A:$H,7,FALSE)=V111,1,0)</f>
        <v>#N/A</v>
      </c>
      <c r="DI111" s="138" t="e">
        <f>IF(VLOOKUP(CONCATENATE(H111,F111,DI$2),Español!$A:$H,7,FALSE)=W111,1,0)</f>
        <v>#N/A</v>
      </c>
      <c r="DJ111" s="138" t="e">
        <f>IF(VLOOKUP(CONCATENATE(H111,F111,DJ$2),Español!$A:$H,7,FALSE)=X111,1,0)</f>
        <v>#N/A</v>
      </c>
      <c r="DK111" s="138" t="e">
        <f>IF(VLOOKUP(CONCATENATE(H111,F111,DK$2),Español!$A:$H,7,FALSE)=Y111,1,0)</f>
        <v>#N/A</v>
      </c>
      <c r="DL111" s="138" t="e">
        <f>IF(VLOOKUP(CONCATENATE(H111,F111,DL$2),Español!$A:$H,7,FALSE)=Z111,1,0)</f>
        <v>#N/A</v>
      </c>
      <c r="DM111" s="138" t="e">
        <f>IF(VLOOKUP(CONCATENATE(H111,F111,DM$2),Español!$A:$H,7,FALSE)=AA111,1,0)</f>
        <v>#N/A</v>
      </c>
      <c r="DN111" s="138" t="e">
        <f>IF(VLOOKUP(CONCATENATE(H111,F111,DN$2),Español!$A:$H,7,FALSE)=AB111,1,0)</f>
        <v>#N/A</v>
      </c>
      <c r="DO111" s="138" t="e">
        <f>IF(VLOOKUP(CONCATENATE(H111,F111,DO$2),Español!$A:$H,7,FALSE)=AC111,1,0)</f>
        <v>#N/A</v>
      </c>
      <c r="DP111" s="138" t="e">
        <f>IF(VLOOKUP(CONCATENATE(H111,F111,DP$2),Español!$A:$H,7,FALSE)=AD111,1,0)</f>
        <v>#N/A</v>
      </c>
      <c r="DQ111" s="138" t="e">
        <f>IF(VLOOKUP(CONCATENATE(H111,F111,DQ$2),Español!$A:$H,7,FALSE)=AE111,1,0)</f>
        <v>#N/A</v>
      </c>
      <c r="DR111" s="138" t="e">
        <f>IF(VLOOKUP(CONCATENATE(H111,F111,DR$2),Inglés!$A:$H,7,FALSE)=AF111,1,0)</f>
        <v>#N/A</v>
      </c>
      <c r="DS111" s="138" t="e">
        <f>IF(VLOOKUP(CONCATENATE(H111,F111,DS$2),Inglés!$A:$H,7,FALSE)=AG111,1,0)</f>
        <v>#N/A</v>
      </c>
      <c r="DT111" s="138" t="e">
        <f>IF(VLOOKUP(CONCATENATE(H111,F111,DT$2),Inglés!$A:$H,7,FALSE)=AH111,1,0)</f>
        <v>#N/A</v>
      </c>
      <c r="DU111" s="138" t="e">
        <f>IF(VLOOKUP(CONCATENATE(H111,F111,DU$2),Inglés!$A:$H,7,FALSE)=AI111,1,0)</f>
        <v>#N/A</v>
      </c>
      <c r="DV111" s="138" t="e">
        <f>IF(VLOOKUP(CONCATENATE(H111,F111,DV$2),Inglés!$A:$H,7,FALSE)=AJ111,1,0)</f>
        <v>#N/A</v>
      </c>
      <c r="DW111" s="138" t="e">
        <f>IF(VLOOKUP(CONCATENATE(H111,F111,DW$2),Inglés!$A:$H,7,FALSE)=AK111,1,0)</f>
        <v>#N/A</v>
      </c>
      <c r="DX111" s="138" t="e">
        <f>IF(VLOOKUP(CONCATENATE(H111,F111,DX$2),Inglés!$A:$H,7,FALSE)=AL111,1,0)</f>
        <v>#N/A</v>
      </c>
      <c r="DY111" s="138" t="e">
        <f>IF(VLOOKUP(CONCATENATE(H111,F111,DY$2),Inglés!$A:$H,7,FALSE)=AM111,1,0)</f>
        <v>#N/A</v>
      </c>
      <c r="DZ111" s="138" t="e">
        <f>IF(VLOOKUP(CONCATENATE(H111,F111,DZ$2),Inglés!$A:$H,7,FALSE)=AN111,1,0)</f>
        <v>#N/A</v>
      </c>
      <c r="EA111" s="138" t="e">
        <f>IF(VLOOKUP(CONCATENATE(H111,F111,EA$2),Inglés!$A:$H,7,FALSE)=AO111,1,0)</f>
        <v>#N/A</v>
      </c>
      <c r="EB111" s="138" t="e">
        <f>IF(VLOOKUP(CONCATENATE(H111,F111,EB$2),Matemáticas!$A:$H,7,FALSE)=AP111,1,0)</f>
        <v>#N/A</v>
      </c>
      <c r="EC111" s="138" t="e">
        <f>IF(VLOOKUP(CONCATENATE(H111,F111,EC$2),Matemáticas!$A:$H,7,FALSE)=AQ111,1,0)</f>
        <v>#N/A</v>
      </c>
      <c r="ED111" s="138" t="e">
        <f>IF(VLOOKUP(CONCATENATE(H111,F111,ED$2),Matemáticas!$A:$H,7,FALSE)=AR111,1,0)</f>
        <v>#N/A</v>
      </c>
      <c r="EE111" s="138" t="e">
        <f>IF(VLOOKUP(CONCATENATE(H111,F111,EE$2),Matemáticas!$A:$H,7,FALSE)=AS111,1,0)</f>
        <v>#N/A</v>
      </c>
      <c r="EF111" s="138" t="e">
        <f>IF(VLOOKUP(CONCATENATE(H111,F111,EF$2),Matemáticas!$A:$H,7,FALSE)=AT111,1,0)</f>
        <v>#N/A</v>
      </c>
      <c r="EG111" s="138" t="e">
        <f>IF(VLOOKUP(CONCATENATE(H111,F111,EG$2),Matemáticas!$A:$H,7,FALSE)=AU111,1,0)</f>
        <v>#N/A</v>
      </c>
      <c r="EH111" s="138" t="e">
        <f>IF(VLOOKUP(CONCATENATE(H111,F111,EH$2),Matemáticas!$A:$H,7,FALSE)=AV111,1,0)</f>
        <v>#N/A</v>
      </c>
      <c r="EI111" s="138" t="e">
        <f>IF(VLOOKUP(CONCATENATE(H111,F111,EI$2),Matemáticas!$A:$H,7,FALSE)=AW111,1,0)</f>
        <v>#N/A</v>
      </c>
      <c r="EJ111" s="138" t="e">
        <f>IF(VLOOKUP(CONCATENATE(H111,F111,EJ$2),Matemáticas!$A:$H,7,FALSE)=AX111,1,0)</f>
        <v>#N/A</v>
      </c>
      <c r="EK111" s="138" t="e">
        <f>IF(VLOOKUP(CONCATENATE(H111,F111,EK$2),Matemáticas!$A:$H,7,FALSE)=AY111,1,0)</f>
        <v>#N/A</v>
      </c>
      <c r="EL111" s="138" t="e">
        <f>IF(VLOOKUP(CONCATENATE(H111,F111,EL$2),Matemáticas!$A:$H,7,FALSE)=AZ111,1,0)</f>
        <v>#N/A</v>
      </c>
      <c r="EM111" s="138" t="e">
        <f>IF(VLOOKUP(CONCATENATE(H111,F111,EM$2),Matemáticas!$A:$H,7,FALSE)=BA111,1,0)</f>
        <v>#N/A</v>
      </c>
      <c r="EN111" s="138" t="e">
        <f>IF(VLOOKUP(CONCATENATE(H111,F111,EN$2),Matemáticas!$A:$H,7,FALSE)=BB111,1,0)</f>
        <v>#N/A</v>
      </c>
      <c r="EO111" s="138" t="e">
        <f>IF(VLOOKUP(CONCATENATE(H111,F111,EO$2),Matemáticas!$A:$H,7,FALSE)=BC111,1,0)</f>
        <v>#N/A</v>
      </c>
      <c r="EP111" s="138" t="e">
        <f>IF(VLOOKUP(CONCATENATE(H111,F111,EP$2),Matemáticas!$A:$H,7,FALSE)=BD111,1,0)</f>
        <v>#N/A</v>
      </c>
      <c r="EQ111" s="138" t="e">
        <f>IF(VLOOKUP(CONCATENATE(H111,F111,EQ$2),Matemáticas!$A:$H,7,FALSE)=BE111,1,0)</f>
        <v>#N/A</v>
      </c>
      <c r="ER111" s="138" t="e">
        <f>IF(VLOOKUP(CONCATENATE(H111,F111,ER$2),Matemáticas!$A:$H,7,FALSE)=BF111,1,0)</f>
        <v>#N/A</v>
      </c>
      <c r="ES111" s="138" t="e">
        <f>IF(VLOOKUP(CONCATENATE(H111,F111,ES$2),Matemáticas!$A:$H,7,FALSE)=BG111,1,0)</f>
        <v>#N/A</v>
      </c>
      <c r="ET111" s="138" t="e">
        <f>IF(VLOOKUP(CONCATENATE(H111,F111,ET$2),Matemáticas!$A:$H,7,FALSE)=BH111,1,0)</f>
        <v>#N/A</v>
      </c>
      <c r="EU111" s="138" t="e">
        <f>IF(VLOOKUP(CONCATENATE(H111,F111,EU$2),Matemáticas!$A:$H,7,FALSE)=BI111,1,0)</f>
        <v>#N/A</v>
      </c>
      <c r="EV111" s="138" t="e">
        <f>IF(VLOOKUP(CONCATENATE(H111,F111,EV$2),Ciencias!$A:$H,7,FALSE)=BJ111,1,0)</f>
        <v>#N/A</v>
      </c>
      <c r="EW111" s="138" t="e">
        <f>IF(VLOOKUP(CONCATENATE(H111,F111,EW$2),Ciencias!$A:$H,7,FALSE)=BK111,1,0)</f>
        <v>#N/A</v>
      </c>
      <c r="EX111" s="138" t="e">
        <f>IF(VLOOKUP(CONCATENATE(H111,F111,EX$2),Ciencias!$A:$H,7,FALSE)=BL111,1,0)</f>
        <v>#N/A</v>
      </c>
      <c r="EY111" s="138" t="e">
        <f>IF(VLOOKUP(CONCATENATE(H111,F111,EY$2),Ciencias!$A:$H,7,FALSE)=BM111,1,0)</f>
        <v>#N/A</v>
      </c>
      <c r="EZ111" s="138" t="e">
        <f>IF(VLOOKUP(CONCATENATE(H111,F111,EZ$2),Ciencias!$A:$H,7,FALSE)=BN111,1,0)</f>
        <v>#N/A</v>
      </c>
      <c r="FA111" s="138" t="e">
        <f>IF(VLOOKUP(CONCATENATE(H111,F111,FA$2),Ciencias!$A:$H,7,FALSE)=BO111,1,0)</f>
        <v>#N/A</v>
      </c>
      <c r="FB111" s="138" t="e">
        <f>IF(VLOOKUP(CONCATENATE(H111,F111,FB$2),Ciencias!$A:$H,7,FALSE)=BP111,1,0)</f>
        <v>#N/A</v>
      </c>
      <c r="FC111" s="138" t="e">
        <f>IF(VLOOKUP(CONCATENATE(H111,F111,FC$2),Ciencias!$A:$H,7,FALSE)=BQ111,1,0)</f>
        <v>#N/A</v>
      </c>
      <c r="FD111" s="138" t="e">
        <f>IF(VLOOKUP(CONCATENATE(H111,F111,FD$2),Ciencias!$A:$H,7,FALSE)=BR111,1,0)</f>
        <v>#N/A</v>
      </c>
      <c r="FE111" s="138" t="e">
        <f>IF(VLOOKUP(CONCATENATE(H111,F111,FE$2),Ciencias!$A:$H,7,FALSE)=BS111,1,0)</f>
        <v>#N/A</v>
      </c>
      <c r="FF111" s="138" t="e">
        <f>IF(VLOOKUP(CONCATENATE(H111,F111,FF$2),Ciencias!$A:$H,7,FALSE)=BT111,1,0)</f>
        <v>#N/A</v>
      </c>
      <c r="FG111" s="138" t="e">
        <f>IF(VLOOKUP(CONCATENATE(H111,F111,FG$2),Ciencias!$A:$H,7,FALSE)=BU111,1,0)</f>
        <v>#N/A</v>
      </c>
      <c r="FH111" s="138" t="e">
        <f>IF(VLOOKUP(CONCATENATE(H111,F111,FH$2),Ciencias!$A:$H,7,FALSE)=BV111,1,0)</f>
        <v>#N/A</v>
      </c>
      <c r="FI111" s="138" t="e">
        <f>IF(VLOOKUP(CONCATENATE(H111,F111,FI$2),Ciencias!$A:$H,7,FALSE)=BW111,1,0)</f>
        <v>#N/A</v>
      </c>
      <c r="FJ111" s="138" t="e">
        <f>IF(VLOOKUP(CONCATENATE(H111,F111,FJ$2),Ciencias!$A:$H,7,FALSE)=BX111,1,0)</f>
        <v>#N/A</v>
      </c>
      <c r="FK111" s="138" t="e">
        <f>IF(VLOOKUP(CONCATENATE(H111,F111,FK$2),Ciencias!$A:$H,7,FALSE)=BY111,1,0)</f>
        <v>#N/A</v>
      </c>
      <c r="FL111" s="138" t="e">
        <f>IF(VLOOKUP(CONCATENATE(H111,F111,FL$2),Ciencias!$A:$H,7,FALSE)=BZ111,1,0)</f>
        <v>#N/A</v>
      </c>
      <c r="FM111" s="138" t="e">
        <f>IF(VLOOKUP(CONCATENATE(H111,F111,FM$2),Ciencias!$A:$H,7,FALSE)=CA111,1,0)</f>
        <v>#N/A</v>
      </c>
      <c r="FN111" s="138" t="e">
        <f>IF(VLOOKUP(CONCATENATE(H111,F111,FN$2),Ciencias!$A:$H,7,FALSE)=CB111,1,0)</f>
        <v>#N/A</v>
      </c>
      <c r="FO111" s="138" t="e">
        <f>IF(VLOOKUP(CONCATENATE(H111,F111,FO$2),Ciencias!$A:$H,7,FALSE)=CC111,1,0)</f>
        <v>#N/A</v>
      </c>
      <c r="FP111" s="138" t="e">
        <f>IF(VLOOKUP(CONCATENATE(H111,F111,FP$2),GeoHis!$A:$H,7,FALSE)=CD111,1,0)</f>
        <v>#N/A</v>
      </c>
      <c r="FQ111" s="138" t="e">
        <f>IF(VLOOKUP(CONCATENATE(H111,F111,FQ$2),GeoHis!$A:$H,7,FALSE)=CE111,1,0)</f>
        <v>#N/A</v>
      </c>
      <c r="FR111" s="138" t="e">
        <f>IF(VLOOKUP(CONCATENATE(H111,F111,FR$2),GeoHis!$A:$H,7,FALSE)=CF111,1,0)</f>
        <v>#N/A</v>
      </c>
      <c r="FS111" s="138" t="e">
        <f>IF(VLOOKUP(CONCATENATE(H111,F111,FS$2),GeoHis!$A:$H,7,FALSE)=CG111,1,0)</f>
        <v>#N/A</v>
      </c>
      <c r="FT111" s="138" t="e">
        <f>IF(VLOOKUP(CONCATENATE(H111,F111,FT$2),GeoHis!$A:$H,7,FALSE)=CH111,1,0)</f>
        <v>#N/A</v>
      </c>
      <c r="FU111" s="138" t="e">
        <f>IF(VLOOKUP(CONCATENATE(H111,F111,FU$2),GeoHis!$A:$H,7,FALSE)=CI111,1,0)</f>
        <v>#N/A</v>
      </c>
      <c r="FV111" s="138" t="e">
        <f>IF(VLOOKUP(CONCATENATE(H111,F111,FV$2),GeoHis!$A:$H,7,FALSE)=CJ111,1,0)</f>
        <v>#N/A</v>
      </c>
      <c r="FW111" s="138" t="e">
        <f>IF(VLOOKUP(CONCATENATE(H111,F111,FW$2),GeoHis!$A:$H,7,FALSE)=CK111,1,0)</f>
        <v>#N/A</v>
      </c>
      <c r="FX111" s="138" t="e">
        <f>IF(VLOOKUP(CONCATENATE(H111,F111,FX$2),GeoHis!$A:$H,7,FALSE)=CL111,1,0)</f>
        <v>#N/A</v>
      </c>
      <c r="FY111" s="138" t="e">
        <f>IF(VLOOKUP(CONCATENATE(H111,F111,FY$2),GeoHis!$A:$H,7,FALSE)=CM111,1,0)</f>
        <v>#N/A</v>
      </c>
      <c r="FZ111" s="138" t="e">
        <f>IF(VLOOKUP(CONCATENATE(H111,F111,FZ$2),GeoHis!$A:$H,7,FALSE)=CN111,1,0)</f>
        <v>#N/A</v>
      </c>
      <c r="GA111" s="138" t="e">
        <f>IF(VLOOKUP(CONCATENATE(H111,F111,GA$2),GeoHis!$A:$H,7,FALSE)=CO111,1,0)</f>
        <v>#N/A</v>
      </c>
      <c r="GB111" s="138" t="e">
        <f>IF(VLOOKUP(CONCATENATE(H111,F111,GB$2),GeoHis!$A:$H,7,FALSE)=CP111,1,0)</f>
        <v>#N/A</v>
      </c>
      <c r="GC111" s="138" t="e">
        <f>IF(VLOOKUP(CONCATENATE(H111,F111,GC$2),GeoHis!$A:$H,7,FALSE)=CQ111,1,0)</f>
        <v>#N/A</v>
      </c>
      <c r="GD111" s="138" t="e">
        <f>IF(VLOOKUP(CONCATENATE(H111,F111,GD$2),GeoHis!$A:$H,7,FALSE)=CR111,1,0)</f>
        <v>#N/A</v>
      </c>
      <c r="GE111" s="135" t="str">
        <f t="shared" si="15"/>
        <v/>
      </c>
    </row>
    <row r="112" spans="1:187" x14ac:dyDescent="0.25">
      <c r="A112" s="127" t="str">
        <f>IF(C112="","",'Datos Generales'!$A$25)</f>
        <v/>
      </c>
      <c r="D112" s="126" t="str">
        <f t="shared" si="8"/>
        <v/>
      </c>
      <c r="E112" s="126">
        <f t="shared" si="9"/>
        <v>0</v>
      </c>
      <c r="F112" s="126" t="str">
        <f t="shared" si="10"/>
        <v/>
      </c>
      <c r="G112" s="126" t="str">
        <f>IF(C112="","",'Datos Generales'!$D$19)</f>
        <v/>
      </c>
      <c r="H112" s="21" t="str">
        <f>IF(C112="","",'Datos Generales'!$A$19)</f>
        <v/>
      </c>
      <c r="I112" s="126" t="str">
        <f>IF(C112="","",'Datos Generales'!$A$7)</f>
        <v/>
      </c>
      <c r="J112" s="21" t="str">
        <f>IF(C112="","",'Datos Generales'!$A$13)</f>
        <v/>
      </c>
      <c r="K112" s="21" t="str">
        <f>IF(C112="","",'Datos Generales'!$A$10)</f>
        <v/>
      </c>
      <c r="CS112" s="142" t="str">
        <f t="shared" si="11"/>
        <v/>
      </c>
      <c r="CT112" s="142" t="str">
        <f t="shared" si="12"/>
        <v/>
      </c>
      <c r="CU112" s="142" t="str">
        <f t="shared" si="13"/>
        <v/>
      </c>
      <c r="CV112" s="142" t="str">
        <f t="shared" si="14"/>
        <v/>
      </c>
      <c r="CW112" s="142" t="str">
        <f>IF(C112="","",IF('Datos Generales'!$A$19=1,AVERAGE(FP112:GD112),AVERAGE(Captura!FP112:FY112)))</f>
        <v/>
      </c>
      <c r="CX112" s="138" t="e">
        <f>IF(VLOOKUP(CONCATENATE($H$4,$F$4,CX$2),Español!$A:$H,7,FALSE)=L112,1,0)</f>
        <v>#N/A</v>
      </c>
      <c r="CY112" s="138" t="e">
        <f>IF(VLOOKUP(CONCATENATE(H112,F112,CY$2),Español!$A:$H,7,FALSE)=M112,1,0)</f>
        <v>#N/A</v>
      </c>
      <c r="CZ112" s="138" t="e">
        <f>IF(VLOOKUP(CONCATENATE(H112,F112,CZ$2),Español!$A:$H,7,FALSE)=N112,1,0)</f>
        <v>#N/A</v>
      </c>
      <c r="DA112" s="138" t="e">
        <f>IF(VLOOKUP(CONCATENATE(H112,F112,DA$2),Español!$A:$H,7,FALSE)=O112,1,0)</f>
        <v>#N/A</v>
      </c>
      <c r="DB112" s="138" t="e">
        <f>IF(VLOOKUP(CONCATENATE(H112,F112,DB$2),Español!$A:$H,7,FALSE)=P112,1,0)</f>
        <v>#N/A</v>
      </c>
      <c r="DC112" s="138" t="e">
        <f>IF(VLOOKUP(CONCATENATE(H112,F112,DC$2),Español!$A:$H,7,FALSE)=Q112,1,0)</f>
        <v>#N/A</v>
      </c>
      <c r="DD112" s="138" t="e">
        <f>IF(VLOOKUP(CONCATENATE(H112,F112,DD$2),Español!$A:$H,7,FALSE)=R112,1,0)</f>
        <v>#N/A</v>
      </c>
      <c r="DE112" s="138" t="e">
        <f>IF(VLOOKUP(CONCATENATE(H112,F112,DE$2),Español!$A:$H,7,FALSE)=S112,1,0)</f>
        <v>#N/A</v>
      </c>
      <c r="DF112" s="138" t="e">
        <f>IF(VLOOKUP(CONCATENATE(H112,F112,DF$2),Español!$A:$H,7,FALSE)=T112,1,0)</f>
        <v>#N/A</v>
      </c>
      <c r="DG112" s="138" t="e">
        <f>IF(VLOOKUP(CONCATENATE(H112,F112,DG$2),Español!$A:$H,7,FALSE)=U112,1,0)</f>
        <v>#N/A</v>
      </c>
      <c r="DH112" s="138" t="e">
        <f>IF(VLOOKUP(CONCATENATE(H112,F112,DH$2),Español!$A:$H,7,FALSE)=V112,1,0)</f>
        <v>#N/A</v>
      </c>
      <c r="DI112" s="138" t="e">
        <f>IF(VLOOKUP(CONCATENATE(H112,F112,DI$2),Español!$A:$H,7,FALSE)=W112,1,0)</f>
        <v>#N/A</v>
      </c>
      <c r="DJ112" s="138" t="e">
        <f>IF(VLOOKUP(CONCATENATE(H112,F112,DJ$2),Español!$A:$H,7,FALSE)=X112,1,0)</f>
        <v>#N/A</v>
      </c>
      <c r="DK112" s="138" t="e">
        <f>IF(VLOOKUP(CONCATENATE(H112,F112,DK$2),Español!$A:$H,7,FALSE)=Y112,1,0)</f>
        <v>#N/A</v>
      </c>
      <c r="DL112" s="138" t="e">
        <f>IF(VLOOKUP(CONCATENATE(H112,F112,DL$2),Español!$A:$H,7,FALSE)=Z112,1,0)</f>
        <v>#N/A</v>
      </c>
      <c r="DM112" s="138" t="e">
        <f>IF(VLOOKUP(CONCATENATE(H112,F112,DM$2),Español!$A:$H,7,FALSE)=AA112,1,0)</f>
        <v>#N/A</v>
      </c>
      <c r="DN112" s="138" t="e">
        <f>IF(VLOOKUP(CONCATENATE(H112,F112,DN$2),Español!$A:$H,7,FALSE)=AB112,1,0)</f>
        <v>#N/A</v>
      </c>
      <c r="DO112" s="138" t="e">
        <f>IF(VLOOKUP(CONCATENATE(H112,F112,DO$2),Español!$A:$H,7,FALSE)=AC112,1,0)</f>
        <v>#N/A</v>
      </c>
      <c r="DP112" s="138" t="e">
        <f>IF(VLOOKUP(CONCATENATE(H112,F112,DP$2),Español!$A:$H,7,FALSE)=AD112,1,0)</f>
        <v>#N/A</v>
      </c>
      <c r="DQ112" s="138" t="e">
        <f>IF(VLOOKUP(CONCATENATE(H112,F112,DQ$2),Español!$A:$H,7,FALSE)=AE112,1,0)</f>
        <v>#N/A</v>
      </c>
      <c r="DR112" s="138" t="e">
        <f>IF(VLOOKUP(CONCATENATE(H112,F112,DR$2),Inglés!$A:$H,7,FALSE)=AF112,1,0)</f>
        <v>#N/A</v>
      </c>
      <c r="DS112" s="138" t="e">
        <f>IF(VLOOKUP(CONCATENATE(H112,F112,DS$2),Inglés!$A:$H,7,FALSE)=AG112,1,0)</f>
        <v>#N/A</v>
      </c>
      <c r="DT112" s="138" t="e">
        <f>IF(VLOOKUP(CONCATENATE(H112,F112,DT$2),Inglés!$A:$H,7,FALSE)=AH112,1,0)</f>
        <v>#N/A</v>
      </c>
      <c r="DU112" s="138" t="e">
        <f>IF(VLOOKUP(CONCATENATE(H112,F112,DU$2),Inglés!$A:$H,7,FALSE)=AI112,1,0)</f>
        <v>#N/A</v>
      </c>
      <c r="DV112" s="138" t="e">
        <f>IF(VLOOKUP(CONCATENATE(H112,F112,DV$2),Inglés!$A:$H,7,FALSE)=AJ112,1,0)</f>
        <v>#N/A</v>
      </c>
      <c r="DW112" s="138" t="e">
        <f>IF(VLOOKUP(CONCATENATE(H112,F112,DW$2),Inglés!$A:$H,7,FALSE)=AK112,1,0)</f>
        <v>#N/A</v>
      </c>
      <c r="DX112" s="138" t="e">
        <f>IF(VLOOKUP(CONCATENATE(H112,F112,DX$2),Inglés!$A:$H,7,FALSE)=AL112,1,0)</f>
        <v>#N/A</v>
      </c>
      <c r="DY112" s="138" t="e">
        <f>IF(VLOOKUP(CONCATENATE(H112,F112,DY$2),Inglés!$A:$H,7,FALSE)=AM112,1,0)</f>
        <v>#N/A</v>
      </c>
      <c r="DZ112" s="138" t="e">
        <f>IF(VLOOKUP(CONCATENATE(H112,F112,DZ$2),Inglés!$A:$H,7,FALSE)=AN112,1,0)</f>
        <v>#N/A</v>
      </c>
      <c r="EA112" s="138" t="e">
        <f>IF(VLOOKUP(CONCATENATE(H112,F112,EA$2),Inglés!$A:$H,7,FALSE)=AO112,1,0)</f>
        <v>#N/A</v>
      </c>
      <c r="EB112" s="138" t="e">
        <f>IF(VLOOKUP(CONCATENATE(H112,F112,EB$2),Matemáticas!$A:$H,7,FALSE)=AP112,1,0)</f>
        <v>#N/A</v>
      </c>
      <c r="EC112" s="138" t="e">
        <f>IF(VLOOKUP(CONCATENATE(H112,F112,EC$2),Matemáticas!$A:$H,7,FALSE)=AQ112,1,0)</f>
        <v>#N/A</v>
      </c>
      <c r="ED112" s="138" t="e">
        <f>IF(VLOOKUP(CONCATENATE(H112,F112,ED$2),Matemáticas!$A:$H,7,FALSE)=AR112,1,0)</f>
        <v>#N/A</v>
      </c>
      <c r="EE112" s="138" t="e">
        <f>IF(VLOOKUP(CONCATENATE(H112,F112,EE$2),Matemáticas!$A:$H,7,FALSE)=AS112,1,0)</f>
        <v>#N/A</v>
      </c>
      <c r="EF112" s="138" t="e">
        <f>IF(VLOOKUP(CONCATENATE(H112,F112,EF$2),Matemáticas!$A:$H,7,FALSE)=AT112,1,0)</f>
        <v>#N/A</v>
      </c>
      <c r="EG112" s="138" t="e">
        <f>IF(VLOOKUP(CONCATENATE(H112,F112,EG$2),Matemáticas!$A:$H,7,FALSE)=AU112,1,0)</f>
        <v>#N/A</v>
      </c>
      <c r="EH112" s="138" t="e">
        <f>IF(VLOOKUP(CONCATENATE(H112,F112,EH$2),Matemáticas!$A:$H,7,FALSE)=AV112,1,0)</f>
        <v>#N/A</v>
      </c>
      <c r="EI112" s="138" t="e">
        <f>IF(VLOOKUP(CONCATENATE(H112,F112,EI$2),Matemáticas!$A:$H,7,FALSE)=AW112,1,0)</f>
        <v>#N/A</v>
      </c>
      <c r="EJ112" s="138" t="e">
        <f>IF(VLOOKUP(CONCATENATE(H112,F112,EJ$2),Matemáticas!$A:$H,7,FALSE)=AX112,1,0)</f>
        <v>#N/A</v>
      </c>
      <c r="EK112" s="138" t="e">
        <f>IF(VLOOKUP(CONCATENATE(H112,F112,EK$2),Matemáticas!$A:$H,7,FALSE)=AY112,1,0)</f>
        <v>#N/A</v>
      </c>
      <c r="EL112" s="138" t="e">
        <f>IF(VLOOKUP(CONCATENATE(H112,F112,EL$2),Matemáticas!$A:$H,7,FALSE)=AZ112,1,0)</f>
        <v>#N/A</v>
      </c>
      <c r="EM112" s="138" t="e">
        <f>IF(VLOOKUP(CONCATENATE(H112,F112,EM$2),Matemáticas!$A:$H,7,FALSE)=BA112,1,0)</f>
        <v>#N/A</v>
      </c>
      <c r="EN112" s="138" t="e">
        <f>IF(VLOOKUP(CONCATENATE(H112,F112,EN$2),Matemáticas!$A:$H,7,FALSE)=BB112,1,0)</f>
        <v>#N/A</v>
      </c>
      <c r="EO112" s="138" t="e">
        <f>IF(VLOOKUP(CONCATENATE(H112,F112,EO$2),Matemáticas!$A:$H,7,FALSE)=BC112,1,0)</f>
        <v>#N/A</v>
      </c>
      <c r="EP112" s="138" t="e">
        <f>IF(VLOOKUP(CONCATENATE(H112,F112,EP$2),Matemáticas!$A:$H,7,FALSE)=BD112,1,0)</f>
        <v>#N/A</v>
      </c>
      <c r="EQ112" s="138" t="e">
        <f>IF(VLOOKUP(CONCATENATE(H112,F112,EQ$2),Matemáticas!$A:$H,7,FALSE)=BE112,1,0)</f>
        <v>#N/A</v>
      </c>
      <c r="ER112" s="138" t="e">
        <f>IF(VLOOKUP(CONCATENATE(H112,F112,ER$2),Matemáticas!$A:$H,7,FALSE)=BF112,1,0)</f>
        <v>#N/A</v>
      </c>
      <c r="ES112" s="138" t="e">
        <f>IF(VLOOKUP(CONCATENATE(H112,F112,ES$2),Matemáticas!$A:$H,7,FALSE)=BG112,1,0)</f>
        <v>#N/A</v>
      </c>
      <c r="ET112" s="138" t="e">
        <f>IF(VLOOKUP(CONCATENATE(H112,F112,ET$2),Matemáticas!$A:$H,7,FALSE)=BH112,1,0)</f>
        <v>#N/A</v>
      </c>
      <c r="EU112" s="138" t="e">
        <f>IF(VLOOKUP(CONCATENATE(H112,F112,EU$2),Matemáticas!$A:$H,7,FALSE)=BI112,1,0)</f>
        <v>#N/A</v>
      </c>
      <c r="EV112" s="138" t="e">
        <f>IF(VLOOKUP(CONCATENATE(H112,F112,EV$2),Ciencias!$A:$H,7,FALSE)=BJ112,1,0)</f>
        <v>#N/A</v>
      </c>
      <c r="EW112" s="138" t="e">
        <f>IF(VLOOKUP(CONCATENATE(H112,F112,EW$2),Ciencias!$A:$H,7,FALSE)=BK112,1,0)</f>
        <v>#N/A</v>
      </c>
      <c r="EX112" s="138" t="e">
        <f>IF(VLOOKUP(CONCATENATE(H112,F112,EX$2),Ciencias!$A:$H,7,FALSE)=BL112,1,0)</f>
        <v>#N/A</v>
      </c>
      <c r="EY112" s="138" t="e">
        <f>IF(VLOOKUP(CONCATENATE(H112,F112,EY$2),Ciencias!$A:$H,7,FALSE)=BM112,1,0)</f>
        <v>#N/A</v>
      </c>
      <c r="EZ112" s="138" t="e">
        <f>IF(VLOOKUP(CONCATENATE(H112,F112,EZ$2),Ciencias!$A:$H,7,FALSE)=BN112,1,0)</f>
        <v>#N/A</v>
      </c>
      <c r="FA112" s="138" t="e">
        <f>IF(VLOOKUP(CONCATENATE(H112,F112,FA$2),Ciencias!$A:$H,7,FALSE)=BO112,1,0)</f>
        <v>#N/A</v>
      </c>
      <c r="FB112" s="138" t="e">
        <f>IF(VLOOKUP(CONCATENATE(H112,F112,FB$2),Ciencias!$A:$H,7,FALSE)=BP112,1,0)</f>
        <v>#N/A</v>
      </c>
      <c r="FC112" s="138" t="e">
        <f>IF(VLOOKUP(CONCATENATE(H112,F112,FC$2),Ciencias!$A:$H,7,FALSE)=BQ112,1,0)</f>
        <v>#N/A</v>
      </c>
      <c r="FD112" s="138" t="e">
        <f>IF(VLOOKUP(CONCATENATE(H112,F112,FD$2),Ciencias!$A:$H,7,FALSE)=BR112,1,0)</f>
        <v>#N/A</v>
      </c>
      <c r="FE112" s="138" t="e">
        <f>IF(VLOOKUP(CONCATENATE(H112,F112,FE$2),Ciencias!$A:$H,7,FALSE)=BS112,1,0)</f>
        <v>#N/A</v>
      </c>
      <c r="FF112" s="138" t="e">
        <f>IF(VLOOKUP(CONCATENATE(H112,F112,FF$2),Ciencias!$A:$H,7,FALSE)=BT112,1,0)</f>
        <v>#N/A</v>
      </c>
      <c r="FG112" s="138" t="e">
        <f>IF(VLOOKUP(CONCATENATE(H112,F112,FG$2),Ciencias!$A:$H,7,FALSE)=BU112,1,0)</f>
        <v>#N/A</v>
      </c>
      <c r="FH112" s="138" t="e">
        <f>IF(VLOOKUP(CONCATENATE(H112,F112,FH$2),Ciencias!$A:$H,7,FALSE)=BV112,1,0)</f>
        <v>#N/A</v>
      </c>
      <c r="FI112" s="138" t="e">
        <f>IF(VLOOKUP(CONCATENATE(H112,F112,FI$2),Ciencias!$A:$H,7,FALSE)=BW112,1,0)</f>
        <v>#N/A</v>
      </c>
      <c r="FJ112" s="138" t="e">
        <f>IF(VLOOKUP(CONCATENATE(H112,F112,FJ$2),Ciencias!$A:$H,7,FALSE)=BX112,1,0)</f>
        <v>#N/A</v>
      </c>
      <c r="FK112" s="138" t="e">
        <f>IF(VLOOKUP(CONCATENATE(H112,F112,FK$2),Ciencias!$A:$H,7,FALSE)=BY112,1,0)</f>
        <v>#N/A</v>
      </c>
      <c r="FL112" s="138" t="e">
        <f>IF(VLOOKUP(CONCATENATE(H112,F112,FL$2),Ciencias!$A:$H,7,FALSE)=BZ112,1,0)</f>
        <v>#N/A</v>
      </c>
      <c r="FM112" s="138" t="e">
        <f>IF(VLOOKUP(CONCATENATE(H112,F112,FM$2),Ciencias!$A:$H,7,FALSE)=CA112,1,0)</f>
        <v>#N/A</v>
      </c>
      <c r="FN112" s="138" t="e">
        <f>IF(VLOOKUP(CONCATENATE(H112,F112,FN$2),Ciencias!$A:$H,7,FALSE)=CB112,1,0)</f>
        <v>#N/A</v>
      </c>
      <c r="FO112" s="138" t="e">
        <f>IF(VLOOKUP(CONCATENATE(H112,F112,FO$2),Ciencias!$A:$H,7,FALSE)=CC112,1,0)</f>
        <v>#N/A</v>
      </c>
      <c r="FP112" s="138" t="e">
        <f>IF(VLOOKUP(CONCATENATE(H112,F112,FP$2),GeoHis!$A:$H,7,FALSE)=CD112,1,0)</f>
        <v>#N/A</v>
      </c>
      <c r="FQ112" s="138" t="e">
        <f>IF(VLOOKUP(CONCATENATE(H112,F112,FQ$2),GeoHis!$A:$H,7,FALSE)=CE112,1,0)</f>
        <v>#N/A</v>
      </c>
      <c r="FR112" s="138" t="e">
        <f>IF(VLOOKUP(CONCATENATE(H112,F112,FR$2),GeoHis!$A:$H,7,FALSE)=CF112,1,0)</f>
        <v>#N/A</v>
      </c>
      <c r="FS112" s="138" t="e">
        <f>IF(VLOOKUP(CONCATENATE(H112,F112,FS$2),GeoHis!$A:$H,7,FALSE)=CG112,1,0)</f>
        <v>#N/A</v>
      </c>
      <c r="FT112" s="138" t="e">
        <f>IF(VLOOKUP(CONCATENATE(H112,F112,FT$2),GeoHis!$A:$H,7,FALSE)=CH112,1,0)</f>
        <v>#N/A</v>
      </c>
      <c r="FU112" s="138" t="e">
        <f>IF(VLOOKUP(CONCATENATE(H112,F112,FU$2),GeoHis!$A:$H,7,FALSE)=CI112,1,0)</f>
        <v>#N/A</v>
      </c>
      <c r="FV112" s="138" t="e">
        <f>IF(VLOOKUP(CONCATENATE(H112,F112,FV$2),GeoHis!$A:$H,7,FALSE)=CJ112,1,0)</f>
        <v>#N/A</v>
      </c>
      <c r="FW112" s="138" t="e">
        <f>IF(VLOOKUP(CONCATENATE(H112,F112,FW$2),GeoHis!$A:$H,7,FALSE)=CK112,1,0)</f>
        <v>#N/A</v>
      </c>
      <c r="FX112" s="138" t="e">
        <f>IF(VLOOKUP(CONCATENATE(H112,F112,FX$2),GeoHis!$A:$H,7,FALSE)=CL112,1,0)</f>
        <v>#N/A</v>
      </c>
      <c r="FY112" s="138" t="e">
        <f>IF(VLOOKUP(CONCATENATE(H112,F112,FY$2),GeoHis!$A:$H,7,FALSE)=CM112,1,0)</f>
        <v>#N/A</v>
      </c>
      <c r="FZ112" s="138" t="e">
        <f>IF(VLOOKUP(CONCATENATE(H112,F112,FZ$2),GeoHis!$A:$H,7,FALSE)=CN112,1,0)</f>
        <v>#N/A</v>
      </c>
      <c r="GA112" s="138" t="e">
        <f>IF(VLOOKUP(CONCATENATE(H112,F112,GA$2),GeoHis!$A:$H,7,FALSE)=CO112,1,0)</f>
        <v>#N/A</v>
      </c>
      <c r="GB112" s="138" t="e">
        <f>IF(VLOOKUP(CONCATENATE(H112,F112,GB$2),GeoHis!$A:$H,7,FALSE)=CP112,1,0)</f>
        <v>#N/A</v>
      </c>
      <c r="GC112" s="138" t="e">
        <f>IF(VLOOKUP(CONCATENATE(H112,F112,GC$2),GeoHis!$A:$H,7,FALSE)=CQ112,1,0)</f>
        <v>#N/A</v>
      </c>
      <c r="GD112" s="138" t="e">
        <f>IF(VLOOKUP(CONCATENATE(H112,F112,GD$2),GeoHis!$A:$H,7,FALSE)=CR112,1,0)</f>
        <v>#N/A</v>
      </c>
      <c r="GE112" s="135" t="str">
        <f t="shared" si="15"/>
        <v/>
      </c>
    </row>
    <row r="113" spans="1:187" x14ac:dyDescent="0.25">
      <c r="A113" s="127" t="str">
        <f>IF(C113="","",'Datos Generales'!$A$25)</f>
        <v/>
      </c>
      <c r="D113" s="126" t="str">
        <f t="shared" si="8"/>
        <v/>
      </c>
      <c r="E113" s="126">
        <f t="shared" si="9"/>
        <v>0</v>
      </c>
      <c r="F113" s="126" t="str">
        <f t="shared" si="10"/>
        <v/>
      </c>
      <c r="G113" s="126" t="str">
        <f>IF(C113="","",'Datos Generales'!$D$19)</f>
        <v/>
      </c>
      <c r="H113" s="21" t="str">
        <f>IF(C113="","",'Datos Generales'!$A$19)</f>
        <v/>
      </c>
      <c r="I113" s="126" t="str">
        <f>IF(C113="","",'Datos Generales'!$A$7)</f>
        <v/>
      </c>
      <c r="J113" s="21" t="str">
        <f>IF(C113="","",'Datos Generales'!$A$13)</f>
        <v/>
      </c>
      <c r="K113" s="21" t="str">
        <f>IF(C113="","",'Datos Generales'!$A$10)</f>
        <v/>
      </c>
      <c r="CS113" s="142" t="str">
        <f t="shared" si="11"/>
        <v/>
      </c>
      <c r="CT113" s="142" t="str">
        <f t="shared" si="12"/>
        <v/>
      </c>
      <c r="CU113" s="142" t="str">
        <f t="shared" si="13"/>
        <v/>
      </c>
      <c r="CV113" s="142" t="str">
        <f t="shared" si="14"/>
        <v/>
      </c>
      <c r="CW113" s="142" t="str">
        <f>IF(C113="","",IF('Datos Generales'!$A$19=1,AVERAGE(FP113:GD113),AVERAGE(Captura!FP113:FY113)))</f>
        <v/>
      </c>
      <c r="CX113" s="138" t="e">
        <f>IF(VLOOKUP(CONCATENATE($H$4,$F$4,CX$2),Español!$A:$H,7,FALSE)=L113,1,0)</f>
        <v>#N/A</v>
      </c>
      <c r="CY113" s="138" t="e">
        <f>IF(VLOOKUP(CONCATENATE(H113,F113,CY$2),Español!$A:$H,7,FALSE)=M113,1,0)</f>
        <v>#N/A</v>
      </c>
      <c r="CZ113" s="138" t="e">
        <f>IF(VLOOKUP(CONCATENATE(H113,F113,CZ$2),Español!$A:$H,7,FALSE)=N113,1,0)</f>
        <v>#N/A</v>
      </c>
      <c r="DA113" s="138" t="e">
        <f>IF(VLOOKUP(CONCATENATE(H113,F113,DA$2),Español!$A:$H,7,FALSE)=O113,1,0)</f>
        <v>#N/A</v>
      </c>
      <c r="DB113" s="138" t="e">
        <f>IF(VLOOKUP(CONCATENATE(H113,F113,DB$2),Español!$A:$H,7,FALSE)=P113,1,0)</f>
        <v>#N/A</v>
      </c>
      <c r="DC113" s="138" t="e">
        <f>IF(VLOOKUP(CONCATENATE(H113,F113,DC$2),Español!$A:$H,7,FALSE)=Q113,1,0)</f>
        <v>#N/A</v>
      </c>
      <c r="DD113" s="138" t="e">
        <f>IF(VLOOKUP(CONCATENATE(H113,F113,DD$2),Español!$A:$H,7,FALSE)=R113,1,0)</f>
        <v>#N/A</v>
      </c>
      <c r="DE113" s="138" t="e">
        <f>IF(VLOOKUP(CONCATENATE(H113,F113,DE$2),Español!$A:$H,7,FALSE)=S113,1,0)</f>
        <v>#N/A</v>
      </c>
      <c r="DF113" s="138" t="e">
        <f>IF(VLOOKUP(CONCATENATE(H113,F113,DF$2),Español!$A:$H,7,FALSE)=T113,1,0)</f>
        <v>#N/A</v>
      </c>
      <c r="DG113" s="138" t="e">
        <f>IF(VLOOKUP(CONCATENATE(H113,F113,DG$2),Español!$A:$H,7,FALSE)=U113,1,0)</f>
        <v>#N/A</v>
      </c>
      <c r="DH113" s="138" t="e">
        <f>IF(VLOOKUP(CONCATENATE(H113,F113,DH$2),Español!$A:$H,7,FALSE)=V113,1,0)</f>
        <v>#N/A</v>
      </c>
      <c r="DI113" s="138" t="e">
        <f>IF(VLOOKUP(CONCATENATE(H113,F113,DI$2),Español!$A:$H,7,FALSE)=W113,1,0)</f>
        <v>#N/A</v>
      </c>
      <c r="DJ113" s="138" t="e">
        <f>IF(VLOOKUP(CONCATENATE(H113,F113,DJ$2),Español!$A:$H,7,FALSE)=X113,1,0)</f>
        <v>#N/A</v>
      </c>
      <c r="DK113" s="138" t="e">
        <f>IF(VLOOKUP(CONCATENATE(H113,F113,DK$2),Español!$A:$H,7,FALSE)=Y113,1,0)</f>
        <v>#N/A</v>
      </c>
      <c r="DL113" s="138" t="e">
        <f>IF(VLOOKUP(CONCATENATE(H113,F113,DL$2),Español!$A:$H,7,FALSE)=Z113,1,0)</f>
        <v>#N/A</v>
      </c>
      <c r="DM113" s="138" t="e">
        <f>IF(VLOOKUP(CONCATENATE(H113,F113,DM$2),Español!$A:$H,7,FALSE)=AA113,1,0)</f>
        <v>#N/A</v>
      </c>
      <c r="DN113" s="138" t="e">
        <f>IF(VLOOKUP(CONCATENATE(H113,F113,DN$2),Español!$A:$H,7,FALSE)=AB113,1,0)</f>
        <v>#N/A</v>
      </c>
      <c r="DO113" s="138" t="e">
        <f>IF(VLOOKUP(CONCATENATE(H113,F113,DO$2),Español!$A:$H,7,FALSE)=AC113,1,0)</f>
        <v>#N/A</v>
      </c>
      <c r="DP113" s="138" t="e">
        <f>IF(VLOOKUP(CONCATENATE(H113,F113,DP$2),Español!$A:$H,7,FALSE)=AD113,1,0)</f>
        <v>#N/A</v>
      </c>
      <c r="DQ113" s="138" t="e">
        <f>IF(VLOOKUP(CONCATENATE(H113,F113,DQ$2),Español!$A:$H,7,FALSE)=AE113,1,0)</f>
        <v>#N/A</v>
      </c>
      <c r="DR113" s="138" t="e">
        <f>IF(VLOOKUP(CONCATENATE(H113,F113,DR$2),Inglés!$A:$H,7,FALSE)=AF113,1,0)</f>
        <v>#N/A</v>
      </c>
      <c r="DS113" s="138" t="e">
        <f>IF(VLOOKUP(CONCATENATE(H113,F113,DS$2),Inglés!$A:$H,7,FALSE)=AG113,1,0)</f>
        <v>#N/A</v>
      </c>
      <c r="DT113" s="138" t="e">
        <f>IF(VLOOKUP(CONCATENATE(H113,F113,DT$2),Inglés!$A:$H,7,FALSE)=AH113,1,0)</f>
        <v>#N/A</v>
      </c>
      <c r="DU113" s="138" t="e">
        <f>IF(VLOOKUP(CONCATENATE(H113,F113,DU$2),Inglés!$A:$H,7,FALSE)=AI113,1,0)</f>
        <v>#N/A</v>
      </c>
      <c r="DV113" s="138" t="e">
        <f>IF(VLOOKUP(CONCATENATE(H113,F113,DV$2),Inglés!$A:$H,7,FALSE)=AJ113,1,0)</f>
        <v>#N/A</v>
      </c>
      <c r="DW113" s="138" t="e">
        <f>IF(VLOOKUP(CONCATENATE(H113,F113,DW$2),Inglés!$A:$H,7,FALSE)=AK113,1,0)</f>
        <v>#N/A</v>
      </c>
      <c r="DX113" s="138" t="e">
        <f>IF(VLOOKUP(CONCATENATE(H113,F113,DX$2),Inglés!$A:$H,7,FALSE)=AL113,1,0)</f>
        <v>#N/A</v>
      </c>
      <c r="DY113" s="138" t="e">
        <f>IF(VLOOKUP(CONCATENATE(H113,F113,DY$2),Inglés!$A:$H,7,FALSE)=AM113,1,0)</f>
        <v>#N/A</v>
      </c>
      <c r="DZ113" s="138" t="e">
        <f>IF(VLOOKUP(CONCATENATE(H113,F113,DZ$2),Inglés!$A:$H,7,FALSE)=AN113,1,0)</f>
        <v>#N/A</v>
      </c>
      <c r="EA113" s="138" t="e">
        <f>IF(VLOOKUP(CONCATENATE(H113,F113,EA$2),Inglés!$A:$H,7,FALSE)=AO113,1,0)</f>
        <v>#N/A</v>
      </c>
      <c r="EB113" s="138" t="e">
        <f>IF(VLOOKUP(CONCATENATE(H113,F113,EB$2),Matemáticas!$A:$H,7,FALSE)=AP113,1,0)</f>
        <v>#N/A</v>
      </c>
      <c r="EC113" s="138" t="e">
        <f>IF(VLOOKUP(CONCATENATE(H113,F113,EC$2),Matemáticas!$A:$H,7,FALSE)=AQ113,1,0)</f>
        <v>#N/A</v>
      </c>
      <c r="ED113" s="138" t="e">
        <f>IF(VLOOKUP(CONCATENATE(H113,F113,ED$2),Matemáticas!$A:$H,7,FALSE)=AR113,1,0)</f>
        <v>#N/A</v>
      </c>
      <c r="EE113" s="138" t="e">
        <f>IF(VLOOKUP(CONCATENATE(H113,F113,EE$2),Matemáticas!$A:$H,7,FALSE)=AS113,1,0)</f>
        <v>#N/A</v>
      </c>
      <c r="EF113" s="138" t="e">
        <f>IF(VLOOKUP(CONCATENATE(H113,F113,EF$2),Matemáticas!$A:$H,7,FALSE)=AT113,1,0)</f>
        <v>#N/A</v>
      </c>
      <c r="EG113" s="138" t="e">
        <f>IF(VLOOKUP(CONCATENATE(H113,F113,EG$2),Matemáticas!$A:$H,7,FALSE)=AU113,1,0)</f>
        <v>#N/A</v>
      </c>
      <c r="EH113" s="138" t="e">
        <f>IF(VLOOKUP(CONCATENATE(H113,F113,EH$2),Matemáticas!$A:$H,7,FALSE)=AV113,1,0)</f>
        <v>#N/A</v>
      </c>
      <c r="EI113" s="138" t="e">
        <f>IF(VLOOKUP(CONCATENATE(H113,F113,EI$2),Matemáticas!$A:$H,7,FALSE)=AW113,1,0)</f>
        <v>#N/A</v>
      </c>
      <c r="EJ113" s="138" t="e">
        <f>IF(VLOOKUP(CONCATENATE(H113,F113,EJ$2),Matemáticas!$A:$H,7,FALSE)=AX113,1,0)</f>
        <v>#N/A</v>
      </c>
      <c r="EK113" s="138" t="e">
        <f>IF(VLOOKUP(CONCATENATE(H113,F113,EK$2),Matemáticas!$A:$H,7,FALSE)=AY113,1,0)</f>
        <v>#N/A</v>
      </c>
      <c r="EL113" s="138" t="e">
        <f>IF(VLOOKUP(CONCATENATE(H113,F113,EL$2),Matemáticas!$A:$H,7,FALSE)=AZ113,1,0)</f>
        <v>#N/A</v>
      </c>
      <c r="EM113" s="138" t="e">
        <f>IF(VLOOKUP(CONCATENATE(H113,F113,EM$2),Matemáticas!$A:$H,7,FALSE)=BA113,1,0)</f>
        <v>#N/A</v>
      </c>
      <c r="EN113" s="138" t="e">
        <f>IF(VLOOKUP(CONCATENATE(H113,F113,EN$2),Matemáticas!$A:$H,7,FALSE)=BB113,1,0)</f>
        <v>#N/A</v>
      </c>
      <c r="EO113" s="138" t="e">
        <f>IF(VLOOKUP(CONCATENATE(H113,F113,EO$2),Matemáticas!$A:$H,7,FALSE)=BC113,1,0)</f>
        <v>#N/A</v>
      </c>
      <c r="EP113" s="138" t="e">
        <f>IF(VLOOKUP(CONCATENATE(H113,F113,EP$2),Matemáticas!$A:$H,7,FALSE)=BD113,1,0)</f>
        <v>#N/A</v>
      </c>
      <c r="EQ113" s="138" t="e">
        <f>IF(VLOOKUP(CONCATENATE(H113,F113,EQ$2),Matemáticas!$A:$H,7,FALSE)=BE113,1,0)</f>
        <v>#N/A</v>
      </c>
      <c r="ER113" s="138" t="e">
        <f>IF(VLOOKUP(CONCATENATE(H113,F113,ER$2),Matemáticas!$A:$H,7,FALSE)=BF113,1,0)</f>
        <v>#N/A</v>
      </c>
      <c r="ES113" s="138" t="e">
        <f>IF(VLOOKUP(CONCATENATE(H113,F113,ES$2),Matemáticas!$A:$H,7,FALSE)=BG113,1,0)</f>
        <v>#N/A</v>
      </c>
      <c r="ET113" s="138" t="e">
        <f>IF(VLOOKUP(CONCATENATE(H113,F113,ET$2),Matemáticas!$A:$H,7,FALSE)=BH113,1,0)</f>
        <v>#N/A</v>
      </c>
      <c r="EU113" s="138" t="e">
        <f>IF(VLOOKUP(CONCATENATE(H113,F113,EU$2),Matemáticas!$A:$H,7,FALSE)=BI113,1,0)</f>
        <v>#N/A</v>
      </c>
      <c r="EV113" s="138" t="e">
        <f>IF(VLOOKUP(CONCATENATE(H113,F113,EV$2),Ciencias!$A:$H,7,FALSE)=BJ113,1,0)</f>
        <v>#N/A</v>
      </c>
      <c r="EW113" s="138" t="e">
        <f>IF(VLOOKUP(CONCATENATE(H113,F113,EW$2),Ciencias!$A:$H,7,FALSE)=BK113,1,0)</f>
        <v>#N/A</v>
      </c>
      <c r="EX113" s="138" t="e">
        <f>IF(VLOOKUP(CONCATENATE(H113,F113,EX$2),Ciencias!$A:$H,7,FALSE)=BL113,1,0)</f>
        <v>#N/A</v>
      </c>
      <c r="EY113" s="138" t="e">
        <f>IF(VLOOKUP(CONCATENATE(H113,F113,EY$2),Ciencias!$A:$H,7,FALSE)=BM113,1,0)</f>
        <v>#N/A</v>
      </c>
      <c r="EZ113" s="138" t="e">
        <f>IF(VLOOKUP(CONCATENATE(H113,F113,EZ$2),Ciencias!$A:$H,7,FALSE)=BN113,1,0)</f>
        <v>#N/A</v>
      </c>
      <c r="FA113" s="138" t="e">
        <f>IF(VLOOKUP(CONCATENATE(H113,F113,FA$2),Ciencias!$A:$H,7,FALSE)=BO113,1,0)</f>
        <v>#N/A</v>
      </c>
      <c r="FB113" s="138" t="e">
        <f>IF(VLOOKUP(CONCATENATE(H113,F113,FB$2),Ciencias!$A:$H,7,FALSE)=BP113,1,0)</f>
        <v>#N/A</v>
      </c>
      <c r="FC113" s="138" t="e">
        <f>IF(VLOOKUP(CONCATENATE(H113,F113,FC$2),Ciencias!$A:$H,7,FALSE)=BQ113,1,0)</f>
        <v>#N/A</v>
      </c>
      <c r="FD113" s="138" t="e">
        <f>IF(VLOOKUP(CONCATENATE(H113,F113,FD$2),Ciencias!$A:$H,7,FALSE)=BR113,1,0)</f>
        <v>#N/A</v>
      </c>
      <c r="FE113" s="138" t="e">
        <f>IF(VLOOKUP(CONCATENATE(H113,F113,FE$2),Ciencias!$A:$H,7,FALSE)=BS113,1,0)</f>
        <v>#N/A</v>
      </c>
      <c r="FF113" s="138" t="e">
        <f>IF(VLOOKUP(CONCATENATE(H113,F113,FF$2),Ciencias!$A:$H,7,FALSE)=BT113,1,0)</f>
        <v>#N/A</v>
      </c>
      <c r="FG113" s="138" t="e">
        <f>IF(VLOOKUP(CONCATENATE(H113,F113,FG$2),Ciencias!$A:$H,7,FALSE)=BU113,1,0)</f>
        <v>#N/A</v>
      </c>
      <c r="FH113" s="138" t="e">
        <f>IF(VLOOKUP(CONCATENATE(H113,F113,FH$2),Ciencias!$A:$H,7,FALSE)=BV113,1,0)</f>
        <v>#N/A</v>
      </c>
      <c r="FI113" s="138" t="e">
        <f>IF(VLOOKUP(CONCATENATE(H113,F113,FI$2),Ciencias!$A:$H,7,FALSE)=BW113,1,0)</f>
        <v>#N/A</v>
      </c>
      <c r="FJ113" s="138" t="e">
        <f>IF(VLOOKUP(CONCATENATE(H113,F113,FJ$2),Ciencias!$A:$H,7,FALSE)=BX113,1,0)</f>
        <v>#N/A</v>
      </c>
      <c r="FK113" s="138" t="e">
        <f>IF(VLOOKUP(CONCATENATE(H113,F113,FK$2),Ciencias!$A:$H,7,FALSE)=BY113,1,0)</f>
        <v>#N/A</v>
      </c>
      <c r="FL113" s="138" t="e">
        <f>IF(VLOOKUP(CONCATENATE(H113,F113,FL$2),Ciencias!$A:$H,7,FALSE)=BZ113,1,0)</f>
        <v>#N/A</v>
      </c>
      <c r="FM113" s="138" t="e">
        <f>IF(VLOOKUP(CONCATENATE(H113,F113,FM$2),Ciencias!$A:$H,7,FALSE)=CA113,1,0)</f>
        <v>#N/A</v>
      </c>
      <c r="FN113" s="138" t="e">
        <f>IF(VLOOKUP(CONCATENATE(H113,F113,FN$2),Ciencias!$A:$H,7,FALSE)=CB113,1,0)</f>
        <v>#N/A</v>
      </c>
      <c r="FO113" s="138" t="e">
        <f>IF(VLOOKUP(CONCATENATE(H113,F113,FO$2),Ciencias!$A:$H,7,FALSE)=CC113,1,0)</f>
        <v>#N/A</v>
      </c>
      <c r="FP113" s="138" t="e">
        <f>IF(VLOOKUP(CONCATENATE(H113,F113,FP$2),GeoHis!$A:$H,7,FALSE)=CD113,1,0)</f>
        <v>#N/A</v>
      </c>
      <c r="FQ113" s="138" t="e">
        <f>IF(VLOOKUP(CONCATENATE(H113,F113,FQ$2),GeoHis!$A:$H,7,FALSE)=CE113,1,0)</f>
        <v>#N/A</v>
      </c>
      <c r="FR113" s="138" t="e">
        <f>IF(VLOOKUP(CONCATENATE(H113,F113,FR$2),GeoHis!$A:$H,7,FALSE)=CF113,1,0)</f>
        <v>#N/A</v>
      </c>
      <c r="FS113" s="138" t="e">
        <f>IF(VLOOKUP(CONCATENATE(H113,F113,FS$2),GeoHis!$A:$H,7,FALSE)=CG113,1,0)</f>
        <v>#N/A</v>
      </c>
      <c r="FT113" s="138" t="e">
        <f>IF(VLOOKUP(CONCATENATE(H113,F113,FT$2),GeoHis!$A:$H,7,FALSE)=CH113,1,0)</f>
        <v>#N/A</v>
      </c>
      <c r="FU113" s="138" t="e">
        <f>IF(VLOOKUP(CONCATENATE(H113,F113,FU$2),GeoHis!$A:$H,7,FALSE)=CI113,1,0)</f>
        <v>#N/A</v>
      </c>
      <c r="FV113" s="138" t="e">
        <f>IF(VLOOKUP(CONCATENATE(H113,F113,FV$2),GeoHis!$A:$H,7,FALSE)=CJ113,1,0)</f>
        <v>#N/A</v>
      </c>
      <c r="FW113" s="138" t="e">
        <f>IF(VLOOKUP(CONCATENATE(H113,F113,FW$2),GeoHis!$A:$H,7,FALSE)=CK113,1,0)</f>
        <v>#N/A</v>
      </c>
      <c r="FX113" s="138" t="e">
        <f>IF(VLOOKUP(CONCATENATE(H113,F113,FX$2),GeoHis!$A:$H,7,FALSE)=CL113,1,0)</f>
        <v>#N/A</v>
      </c>
      <c r="FY113" s="138" t="e">
        <f>IF(VLOOKUP(CONCATENATE(H113,F113,FY$2),GeoHis!$A:$H,7,FALSE)=CM113,1,0)</f>
        <v>#N/A</v>
      </c>
      <c r="FZ113" s="138" t="e">
        <f>IF(VLOOKUP(CONCATENATE(H113,F113,FZ$2),GeoHis!$A:$H,7,FALSE)=CN113,1,0)</f>
        <v>#N/A</v>
      </c>
      <c r="GA113" s="138" t="e">
        <f>IF(VLOOKUP(CONCATENATE(H113,F113,GA$2),GeoHis!$A:$H,7,FALSE)=CO113,1,0)</f>
        <v>#N/A</v>
      </c>
      <c r="GB113" s="138" t="e">
        <f>IF(VLOOKUP(CONCATENATE(H113,F113,GB$2),GeoHis!$A:$H,7,FALSE)=CP113,1,0)</f>
        <v>#N/A</v>
      </c>
      <c r="GC113" s="138" t="e">
        <f>IF(VLOOKUP(CONCATENATE(H113,F113,GC$2),GeoHis!$A:$H,7,FALSE)=CQ113,1,0)</f>
        <v>#N/A</v>
      </c>
      <c r="GD113" s="138" t="e">
        <f>IF(VLOOKUP(CONCATENATE(H113,F113,GD$2),GeoHis!$A:$H,7,FALSE)=CR113,1,0)</f>
        <v>#N/A</v>
      </c>
      <c r="GE113" s="135" t="str">
        <f t="shared" si="15"/>
        <v/>
      </c>
    </row>
    <row r="114" spans="1:187" x14ac:dyDescent="0.25">
      <c r="A114" s="127" t="str">
        <f>IF(C114="","",'Datos Generales'!$A$25)</f>
        <v/>
      </c>
      <c r="D114" s="126" t="str">
        <f t="shared" si="8"/>
        <v/>
      </c>
      <c r="E114" s="126">
        <f t="shared" si="9"/>
        <v>0</v>
      </c>
      <c r="F114" s="126" t="str">
        <f t="shared" si="10"/>
        <v/>
      </c>
      <c r="G114" s="126" t="str">
        <f>IF(C114="","",'Datos Generales'!$D$19)</f>
        <v/>
      </c>
      <c r="H114" s="21" t="str">
        <f>IF(C114="","",'Datos Generales'!$A$19)</f>
        <v/>
      </c>
      <c r="I114" s="126" t="str">
        <f>IF(C114="","",'Datos Generales'!$A$7)</f>
        <v/>
      </c>
      <c r="J114" s="21" t="str">
        <f>IF(C114="","",'Datos Generales'!$A$13)</f>
        <v/>
      </c>
      <c r="K114" s="21" t="str">
        <f>IF(C114="","",'Datos Generales'!$A$10)</f>
        <v/>
      </c>
      <c r="CS114" s="142" t="str">
        <f t="shared" si="11"/>
        <v/>
      </c>
      <c r="CT114" s="142" t="str">
        <f t="shared" si="12"/>
        <v/>
      </c>
      <c r="CU114" s="142" t="str">
        <f t="shared" si="13"/>
        <v/>
      </c>
      <c r="CV114" s="142" t="str">
        <f t="shared" si="14"/>
        <v/>
      </c>
      <c r="CW114" s="142" t="str">
        <f>IF(C114="","",IF('Datos Generales'!$A$19=1,AVERAGE(FP114:GD114),AVERAGE(Captura!FP114:FY114)))</f>
        <v/>
      </c>
      <c r="CX114" s="138" t="e">
        <f>IF(VLOOKUP(CONCATENATE($H$4,$F$4,CX$2),Español!$A:$H,7,FALSE)=L114,1,0)</f>
        <v>#N/A</v>
      </c>
      <c r="CY114" s="138" t="e">
        <f>IF(VLOOKUP(CONCATENATE(H114,F114,CY$2),Español!$A:$H,7,FALSE)=M114,1,0)</f>
        <v>#N/A</v>
      </c>
      <c r="CZ114" s="138" t="e">
        <f>IF(VLOOKUP(CONCATENATE(H114,F114,CZ$2),Español!$A:$H,7,FALSE)=N114,1,0)</f>
        <v>#N/A</v>
      </c>
      <c r="DA114" s="138" t="e">
        <f>IF(VLOOKUP(CONCATENATE(H114,F114,DA$2),Español!$A:$H,7,FALSE)=O114,1,0)</f>
        <v>#N/A</v>
      </c>
      <c r="DB114" s="138" t="e">
        <f>IF(VLOOKUP(CONCATENATE(H114,F114,DB$2),Español!$A:$H,7,FALSE)=P114,1,0)</f>
        <v>#N/A</v>
      </c>
      <c r="DC114" s="138" t="e">
        <f>IF(VLOOKUP(CONCATENATE(H114,F114,DC$2),Español!$A:$H,7,FALSE)=Q114,1,0)</f>
        <v>#N/A</v>
      </c>
      <c r="DD114" s="138" t="e">
        <f>IF(VLOOKUP(CONCATENATE(H114,F114,DD$2),Español!$A:$H,7,FALSE)=R114,1,0)</f>
        <v>#N/A</v>
      </c>
      <c r="DE114" s="138" t="e">
        <f>IF(VLOOKUP(CONCATENATE(H114,F114,DE$2),Español!$A:$H,7,FALSE)=S114,1,0)</f>
        <v>#N/A</v>
      </c>
      <c r="DF114" s="138" t="e">
        <f>IF(VLOOKUP(CONCATENATE(H114,F114,DF$2),Español!$A:$H,7,FALSE)=T114,1,0)</f>
        <v>#N/A</v>
      </c>
      <c r="DG114" s="138" t="e">
        <f>IF(VLOOKUP(CONCATENATE(H114,F114,DG$2),Español!$A:$H,7,FALSE)=U114,1,0)</f>
        <v>#N/A</v>
      </c>
      <c r="DH114" s="138" t="e">
        <f>IF(VLOOKUP(CONCATENATE(H114,F114,DH$2),Español!$A:$H,7,FALSE)=V114,1,0)</f>
        <v>#N/A</v>
      </c>
      <c r="DI114" s="138" t="e">
        <f>IF(VLOOKUP(CONCATENATE(H114,F114,DI$2),Español!$A:$H,7,FALSE)=W114,1,0)</f>
        <v>#N/A</v>
      </c>
      <c r="DJ114" s="138" t="e">
        <f>IF(VLOOKUP(CONCATENATE(H114,F114,DJ$2),Español!$A:$H,7,FALSE)=X114,1,0)</f>
        <v>#N/A</v>
      </c>
      <c r="DK114" s="138" t="e">
        <f>IF(VLOOKUP(CONCATENATE(H114,F114,DK$2),Español!$A:$H,7,FALSE)=Y114,1,0)</f>
        <v>#N/A</v>
      </c>
      <c r="DL114" s="138" t="e">
        <f>IF(VLOOKUP(CONCATENATE(H114,F114,DL$2),Español!$A:$H,7,FALSE)=Z114,1,0)</f>
        <v>#N/A</v>
      </c>
      <c r="DM114" s="138" t="e">
        <f>IF(VLOOKUP(CONCATENATE(H114,F114,DM$2),Español!$A:$H,7,FALSE)=AA114,1,0)</f>
        <v>#N/A</v>
      </c>
      <c r="DN114" s="138" t="e">
        <f>IF(VLOOKUP(CONCATENATE(H114,F114,DN$2),Español!$A:$H,7,FALSE)=AB114,1,0)</f>
        <v>#N/A</v>
      </c>
      <c r="DO114" s="138" t="e">
        <f>IF(VLOOKUP(CONCATENATE(H114,F114,DO$2),Español!$A:$H,7,FALSE)=AC114,1,0)</f>
        <v>#N/A</v>
      </c>
      <c r="DP114" s="138" t="e">
        <f>IF(VLOOKUP(CONCATENATE(H114,F114,DP$2),Español!$A:$H,7,FALSE)=AD114,1,0)</f>
        <v>#N/A</v>
      </c>
      <c r="DQ114" s="138" t="e">
        <f>IF(VLOOKUP(CONCATENATE(H114,F114,DQ$2),Español!$A:$H,7,FALSE)=AE114,1,0)</f>
        <v>#N/A</v>
      </c>
      <c r="DR114" s="138" t="e">
        <f>IF(VLOOKUP(CONCATENATE(H114,F114,DR$2),Inglés!$A:$H,7,FALSE)=AF114,1,0)</f>
        <v>#N/A</v>
      </c>
      <c r="DS114" s="138" t="e">
        <f>IF(VLOOKUP(CONCATENATE(H114,F114,DS$2),Inglés!$A:$H,7,FALSE)=AG114,1,0)</f>
        <v>#N/A</v>
      </c>
      <c r="DT114" s="138" t="e">
        <f>IF(VLOOKUP(CONCATENATE(H114,F114,DT$2),Inglés!$A:$H,7,FALSE)=AH114,1,0)</f>
        <v>#N/A</v>
      </c>
      <c r="DU114" s="138" t="e">
        <f>IF(VLOOKUP(CONCATENATE(H114,F114,DU$2),Inglés!$A:$H,7,FALSE)=AI114,1,0)</f>
        <v>#N/A</v>
      </c>
      <c r="DV114" s="138" t="e">
        <f>IF(VLOOKUP(CONCATENATE(H114,F114,DV$2),Inglés!$A:$H,7,FALSE)=AJ114,1,0)</f>
        <v>#N/A</v>
      </c>
      <c r="DW114" s="138" t="e">
        <f>IF(VLOOKUP(CONCATENATE(H114,F114,DW$2),Inglés!$A:$H,7,FALSE)=AK114,1,0)</f>
        <v>#N/A</v>
      </c>
      <c r="DX114" s="138" t="e">
        <f>IF(VLOOKUP(CONCATENATE(H114,F114,DX$2),Inglés!$A:$H,7,FALSE)=AL114,1,0)</f>
        <v>#N/A</v>
      </c>
      <c r="DY114" s="138" t="e">
        <f>IF(VLOOKUP(CONCATENATE(H114,F114,DY$2),Inglés!$A:$H,7,FALSE)=AM114,1,0)</f>
        <v>#N/A</v>
      </c>
      <c r="DZ114" s="138" t="e">
        <f>IF(VLOOKUP(CONCATENATE(H114,F114,DZ$2),Inglés!$A:$H,7,FALSE)=AN114,1,0)</f>
        <v>#N/A</v>
      </c>
      <c r="EA114" s="138" t="e">
        <f>IF(VLOOKUP(CONCATENATE(H114,F114,EA$2),Inglés!$A:$H,7,FALSE)=AO114,1,0)</f>
        <v>#N/A</v>
      </c>
      <c r="EB114" s="138" t="e">
        <f>IF(VLOOKUP(CONCATENATE(H114,F114,EB$2),Matemáticas!$A:$H,7,FALSE)=AP114,1,0)</f>
        <v>#N/A</v>
      </c>
      <c r="EC114" s="138" t="e">
        <f>IF(VLOOKUP(CONCATENATE(H114,F114,EC$2),Matemáticas!$A:$H,7,FALSE)=AQ114,1,0)</f>
        <v>#N/A</v>
      </c>
      <c r="ED114" s="138" t="e">
        <f>IF(VLOOKUP(CONCATENATE(H114,F114,ED$2),Matemáticas!$A:$H,7,FALSE)=AR114,1,0)</f>
        <v>#N/A</v>
      </c>
      <c r="EE114" s="138" t="e">
        <f>IF(VLOOKUP(CONCATENATE(H114,F114,EE$2),Matemáticas!$A:$H,7,FALSE)=AS114,1,0)</f>
        <v>#N/A</v>
      </c>
      <c r="EF114" s="138" t="e">
        <f>IF(VLOOKUP(CONCATENATE(H114,F114,EF$2),Matemáticas!$A:$H,7,FALSE)=AT114,1,0)</f>
        <v>#N/A</v>
      </c>
      <c r="EG114" s="138" t="e">
        <f>IF(VLOOKUP(CONCATENATE(H114,F114,EG$2),Matemáticas!$A:$H,7,FALSE)=AU114,1,0)</f>
        <v>#N/A</v>
      </c>
      <c r="EH114" s="138" t="e">
        <f>IF(VLOOKUP(CONCATENATE(H114,F114,EH$2),Matemáticas!$A:$H,7,FALSE)=AV114,1,0)</f>
        <v>#N/A</v>
      </c>
      <c r="EI114" s="138" t="e">
        <f>IF(VLOOKUP(CONCATENATE(H114,F114,EI$2),Matemáticas!$A:$H,7,FALSE)=AW114,1,0)</f>
        <v>#N/A</v>
      </c>
      <c r="EJ114" s="138" t="e">
        <f>IF(VLOOKUP(CONCATENATE(H114,F114,EJ$2),Matemáticas!$A:$H,7,FALSE)=AX114,1,0)</f>
        <v>#N/A</v>
      </c>
      <c r="EK114" s="138" t="e">
        <f>IF(VLOOKUP(CONCATENATE(H114,F114,EK$2),Matemáticas!$A:$H,7,FALSE)=AY114,1,0)</f>
        <v>#N/A</v>
      </c>
      <c r="EL114" s="138" t="e">
        <f>IF(VLOOKUP(CONCATENATE(H114,F114,EL$2),Matemáticas!$A:$H,7,FALSE)=AZ114,1,0)</f>
        <v>#N/A</v>
      </c>
      <c r="EM114" s="138" t="e">
        <f>IF(VLOOKUP(CONCATENATE(H114,F114,EM$2),Matemáticas!$A:$H,7,FALSE)=BA114,1,0)</f>
        <v>#N/A</v>
      </c>
      <c r="EN114" s="138" t="e">
        <f>IF(VLOOKUP(CONCATENATE(H114,F114,EN$2),Matemáticas!$A:$H,7,FALSE)=BB114,1,0)</f>
        <v>#N/A</v>
      </c>
      <c r="EO114" s="138" t="e">
        <f>IF(VLOOKUP(CONCATENATE(H114,F114,EO$2),Matemáticas!$A:$H,7,FALSE)=BC114,1,0)</f>
        <v>#N/A</v>
      </c>
      <c r="EP114" s="138" t="e">
        <f>IF(VLOOKUP(CONCATENATE(H114,F114,EP$2),Matemáticas!$A:$H,7,FALSE)=BD114,1,0)</f>
        <v>#N/A</v>
      </c>
      <c r="EQ114" s="138" t="e">
        <f>IF(VLOOKUP(CONCATENATE(H114,F114,EQ$2),Matemáticas!$A:$H,7,FALSE)=BE114,1,0)</f>
        <v>#N/A</v>
      </c>
      <c r="ER114" s="138" t="e">
        <f>IF(VLOOKUP(CONCATENATE(H114,F114,ER$2),Matemáticas!$A:$H,7,FALSE)=BF114,1,0)</f>
        <v>#N/A</v>
      </c>
      <c r="ES114" s="138" t="e">
        <f>IF(VLOOKUP(CONCATENATE(H114,F114,ES$2),Matemáticas!$A:$H,7,FALSE)=BG114,1,0)</f>
        <v>#N/A</v>
      </c>
      <c r="ET114" s="138" t="e">
        <f>IF(VLOOKUP(CONCATENATE(H114,F114,ET$2),Matemáticas!$A:$H,7,FALSE)=BH114,1,0)</f>
        <v>#N/A</v>
      </c>
      <c r="EU114" s="138" t="e">
        <f>IF(VLOOKUP(CONCATENATE(H114,F114,EU$2),Matemáticas!$A:$H,7,FALSE)=BI114,1,0)</f>
        <v>#N/A</v>
      </c>
      <c r="EV114" s="138" t="e">
        <f>IF(VLOOKUP(CONCATENATE(H114,F114,EV$2),Ciencias!$A:$H,7,FALSE)=BJ114,1,0)</f>
        <v>#N/A</v>
      </c>
      <c r="EW114" s="138" t="e">
        <f>IF(VLOOKUP(CONCATENATE(H114,F114,EW$2),Ciencias!$A:$H,7,FALSE)=BK114,1,0)</f>
        <v>#N/A</v>
      </c>
      <c r="EX114" s="138" t="e">
        <f>IF(VLOOKUP(CONCATENATE(H114,F114,EX$2),Ciencias!$A:$H,7,FALSE)=BL114,1,0)</f>
        <v>#N/A</v>
      </c>
      <c r="EY114" s="138" t="e">
        <f>IF(VLOOKUP(CONCATENATE(H114,F114,EY$2),Ciencias!$A:$H,7,FALSE)=BM114,1,0)</f>
        <v>#N/A</v>
      </c>
      <c r="EZ114" s="138" t="e">
        <f>IF(VLOOKUP(CONCATENATE(H114,F114,EZ$2),Ciencias!$A:$H,7,FALSE)=BN114,1,0)</f>
        <v>#N/A</v>
      </c>
      <c r="FA114" s="138" t="e">
        <f>IF(VLOOKUP(CONCATENATE(H114,F114,FA$2),Ciencias!$A:$H,7,FALSE)=BO114,1,0)</f>
        <v>#N/A</v>
      </c>
      <c r="FB114" s="138" t="e">
        <f>IF(VLOOKUP(CONCATENATE(H114,F114,FB$2),Ciencias!$A:$H,7,FALSE)=BP114,1,0)</f>
        <v>#N/A</v>
      </c>
      <c r="FC114" s="138" t="e">
        <f>IF(VLOOKUP(CONCATENATE(H114,F114,FC$2),Ciencias!$A:$H,7,FALSE)=BQ114,1,0)</f>
        <v>#N/A</v>
      </c>
      <c r="FD114" s="138" t="e">
        <f>IF(VLOOKUP(CONCATENATE(H114,F114,FD$2),Ciencias!$A:$H,7,FALSE)=BR114,1,0)</f>
        <v>#N/A</v>
      </c>
      <c r="FE114" s="138" t="e">
        <f>IF(VLOOKUP(CONCATENATE(H114,F114,FE$2),Ciencias!$A:$H,7,FALSE)=BS114,1,0)</f>
        <v>#N/A</v>
      </c>
      <c r="FF114" s="138" t="e">
        <f>IF(VLOOKUP(CONCATENATE(H114,F114,FF$2),Ciencias!$A:$H,7,FALSE)=BT114,1,0)</f>
        <v>#N/A</v>
      </c>
      <c r="FG114" s="138" t="e">
        <f>IF(VLOOKUP(CONCATENATE(H114,F114,FG$2),Ciencias!$A:$H,7,FALSE)=BU114,1,0)</f>
        <v>#N/A</v>
      </c>
      <c r="FH114" s="138" t="e">
        <f>IF(VLOOKUP(CONCATENATE(H114,F114,FH$2),Ciencias!$A:$H,7,FALSE)=BV114,1,0)</f>
        <v>#N/A</v>
      </c>
      <c r="FI114" s="138" t="e">
        <f>IF(VLOOKUP(CONCATENATE(H114,F114,FI$2),Ciencias!$A:$H,7,FALSE)=BW114,1,0)</f>
        <v>#N/A</v>
      </c>
      <c r="FJ114" s="138" t="e">
        <f>IF(VLOOKUP(CONCATENATE(H114,F114,FJ$2),Ciencias!$A:$H,7,FALSE)=BX114,1,0)</f>
        <v>#N/A</v>
      </c>
      <c r="FK114" s="138" t="e">
        <f>IF(VLOOKUP(CONCATENATE(H114,F114,FK$2),Ciencias!$A:$H,7,FALSE)=BY114,1,0)</f>
        <v>#N/A</v>
      </c>
      <c r="FL114" s="138" t="e">
        <f>IF(VLOOKUP(CONCATENATE(H114,F114,FL$2),Ciencias!$A:$H,7,FALSE)=BZ114,1,0)</f>
        <v>#N/A</v>
      </c>
      <c r="FM114" s="138" t="e">
        <f>IF(VLOOKUP(CONCATENATE(H114,F114,FM$2),Ciencias!$A:$H,7,FALSE)=CA114,1,0)</f>
        <v>#N/A</v>
      </c>
      <c r="FN114" s="138" t="e">
        <f>IF(VLOOKUP(CONCATENATE(H114,F114,FN$2),Ciencias!$A:$H,7,FALSE)=CB114,1,0)</f>
        <v>#N/A</v>
      </c>
      <c r="FO114" s="138" t="e">
        <f>IF(VLOOKUP(CONCATENATE(H114,F114,FO$2),Ciencias!$A:$H,7,FALSE)=CC114,1,0)</f>
        <v>#N/A</v>
      </c>
      <c r="FP114" s="138" t="e">
        <f>IF(VLOOKUP(CONCATENATE(H114,F114,FP$2),GeoHis!$A:$H,7,FALSE)=CD114,1,0)</f>
        <v>#N/A</v>
      </c>
      <c r="FQ114" s="138" t="e">
        <f>IF(VLOOKUP(CONCATENATE(H114,F114,FQ$2),GeoHis!$A:$H,7,FALSE)=CE114,1,0)</f>
        <v>#N/A</v>
      </c>
      <c r="FR114" s="138" t="e">
        <f>IF(VLOOKUP(CONCATENATE(H114,F114,FR$2),GeoHis!$A:$H,7,FALSE)=CF114,1,0)</f>
        <v>#N/A</v>
      </c>
      <c r="FS114" s="138" t="e">
        <f>IF(VLOOKUP(CONCATENATE(H114,F114,FS$2),GeoHis!$A:$H,7,FALSE)=CG114,1,0)</f>
        <v>#N/A</v>
      </c>
      <c r="FT114" s="138" t="e">
        <f>IF(VLOOKUP(CONCATENATE(H114,F114,FT$2),GeoHis!$A:$H,7,FALSE)=CH114,1,0)</f>
        <v>#N/A</v>
      </c>
      <c r="FU114" s="138" t="e">
        <f>IF(VLOOKUP(CONCATENATE(H114,F114,FU$2),GeoHis!$A:$H,7,FALSE)=CI114,1,0)</f>
        <v>#N/A</v>
      </c>
      <c r="FV114" s="138" t="e">
        <f>IF(VLOOKUP(CONCATENATE(H114,F114,FV$2),GeoHis!$A:$H,7,FALSE)=CJ114,1,0)</f>
        <v>#N/A</v>
      </c>
      <c r="FW114" s="138" t="e">
        <f>IF(VLOOKUP(CONCATENATE(H114,F114,FW$2),GeoHis!$A:$H,7,FALSE)=CK114,1,0)</f>
        <v>#N/A</v>
      </c>
      <c r="FX114" s="138" t="e">
        <f>IF(VLOOKUP(CONCATENATE(H114,F114,FX$2),GeoHis!$A:$H,7,FALSE)=CL114,1,0)</f>
        <v>#N/A</v>
      </c>
      <c r="FY114" s="138" t="e">
        <f>IF(VLOOKUP(CONCATENATE(H114,F114,FY$2),GeoHis!$A:$H,7,FALSE)=CM114,1,0)</f>
        <v>#N/A</v>
      </c>
      <c r="FZ114" s="138" t="e">
        <f>IF(VLOOKUP(CONCATENATE(H114,F114,FZ$2),GeoHis!$A:$H,7,FALSE)=CN114,1,0)</f>
        <v>#N/A</v>
      </c>
      <c r="GA114" s="138" t="e">
        <f>IF(VLOOKUP(CONCATENATE(H114,F114,GA$2),GeoHis!$A:$H,7,FALSE)=CO114,1,0)</f>
        <v>#N/A</v>
      </c>
      <c r="GB114" s="138" t="e">
        <f>IF(VLOOKUP(CONCATENATE(H114,F114,GB$2),GeoHis!$A:$H,7,FALSE)=CP114,1,0)</f>
        <v>#N/A</v>
      </c>
      <c r="GC114" s="138" t="e">
        <f>IF(VLOOKUP(CONCATENATE(H114,F114,GC$2),GeoHis!$A:$H,7,FALSE)=CQ114,1,0)</f>
        <v>#N/A</v>
      </c>
      <c r="GD114" s="138" t="e">
        <f>IF(VLOOKUP(CONCATENATE(H114,F114,GD$2),GeoHis!$A:$H,7,FALSE)=CR114,1,0)</f>
        <v>#N/A</v>
      </c>
      <c r="GE114" s="135" t="str">
        <f t="shared" si="15"/>
        <v/>
      </c>
    </row>
    <row r="115" spans="1:187" x14ac:dyDescent="0.25">
      <c r="A115" s="127" t="str">
        <f>IF(C115="","",'Datos Generales'!$A$25)</f>
        <v/>
      </c>
      <c r="D115" s="126" t="str">
        <f t="shared" si="8"/>
        <v/>
      </c>
      <c r="E115" s="126">
        <f t="shared" si="9"/>
        <v>0</v>
      </c>
      <c r="F115" s="126" t="str">
        <f t="shared" si="10"/>
        <v/>
      </c>
      <c r="G115" s="126" t="str">
        <f>IF(C115="","",'Datos Generales'!$D$19)</f>
        <v/>
      </c>
      <c r="H115" s="21" t="str">
        <f>IF(C115="","",'Datos Generales'!$A$19)</f>
        <v/>
      </c>
      <c r="I115" s="126" t="str">
        <f>IF(C115="","",'Datos Generales'!$A$7)</f>
        <v/>
      </c>
      <c r="J115" s="21" t="str">
        <f>IF(C115="","",'Datos Generales'!$A$13)</f>
        <v/>
      </c>
      <c r="K115" s="21" t="str">
        <f>IF(C115="","",'Datos Generales'!$A$10)</f>
        <v/>
      </c>
      <c r="CS115" s="142" t="str">
        <f t="shared" si="11"/>
        <v/>
      </c>
      <c r="CT115" s="142" t="str">
        <f t="shared" si="12"/>
        <v/>
      </c>
      <c r="CU115" s="142" t="str">
        <f t="shared" si="13"/>
        <v/>
      </c>
      <c r="CV115" s="142" t="str">
        <f t="shared" si="14"/>
        <v/>
      </c>
      <c r="CW115" s="142" t="str">
        <f>IF(C115="","",IF('Datos Generales'!$A$19=1,AVERAGE(FP115:GD115),AVERAGE(Captura!FP115:FY115)))</f>
        <v/>
      </c>
      <c r="CX115" s="138" t="e">
        <f>IF(VLOOKUP(CONCATENATE($H$4,$F$4,CX$2),Español!$A:$H,7,FALSE)=L115,1,0)</f>
        <v>#N/A</v>
      </c>
      <c r="CY115" s="138" t="e">
        <f>IF(VLOOKUP(CONCATENATE(H115,F115,CY$2),Español!$A:$H,7,FALSE)=M115,1,0)</f>
        <v>#N/A</v>
      </c>
      <c r="CZ115" s="138" t="e">
        <f>IF(VLOOKUP(CONCATENATE(H115,F115,CZ$2),Español!$A:$H,7,FALSE)=N115,1,0)</f>
        <v>#N/A</v>
      </c>
      <c r="DA115" s="138" t="e">
        <f>IF(VLOOKUP(CONCATENATE(H115,F115,DA$2),Español!$A:$H,7,FALSE)=O115,1,0)</f>
        <v>#N/A</v>
      </c>
      <c r="DB115" s="138" t="e">
        <f>IF(VLOOKUP(CONCATENATE(H115,F115,DB$2),Español!$A:$H,7,FALSE)=P115,1,0)</f>
        <v>#N/A</v>
      </c>
      <c r="DC115" s="138" t="e">
        <f>IF(VLOOKUP(CONCATENATE(H115,F115,DC$2),Español!$A:$H,7,FALSE)=Q115,1,0)</f>
        <v>#N/A</v>
      </c>
      <c r="DD115" s="138" t="e">
        <f>IF(VLOOKUP(CONCATENATE(H115,F115,DD$2),Español!$A:$H,7,FALSE)=R115,1,0)</f>
        <v>#N/A</v>
      </c>
      <c r="DE115" s="138" t="e">
        <f>IF(VLOOKUP(CONCATENATE(H115,F115,DE$2),Español!$A:$H,7,FALSE)=S115,1,0)</f>
        <v>#N/A</v>
      </c>
      <c r="DF115" s="138" t="e">
        <f>IF(VLOOKUP(CONCATENATE(H115,F115,DF$2),Español!$A:$H,7,FALSE)=T115,1,0)</f>
        <v>#N/A</v>
      </c>
      <c r="DG115" s="138" t="e">
        <f>IF(VLOOKUP(CONCATENATE(H115,F115,DG$2),Español!$A:$H,7,FALSE)=U115,1,0)</f>
        <v>#N/A</v>
      </c>
      <c r="DH115" s="138" t="e">
        <f>IF(VLOOKUP(CONCATENATE(H115,F115,DH$2),Español!$A:$H,7,FALSE)=V115,1,0)</f>
        <v>#N/A</v>
      </c>
      <c r="DI115" s="138" t="e">
        <f>IF(VLOOKUP(CONCATENATE(H115,F115,DI$2),Español!$A:$H,7,FALSE)=W115,1,0)</f>
        <v>#N/A</v>
      </c>
      <c r="DJ115" s="138" t="e">
        <f>IF(VLOOKUP(CONCATENATE(H115,F115,DJ$2),Español!$A:$H,7,FALSE)=X115,1,0)</f>
        <v>#N/A</v>
      </c>
      <c r="DK115" s="138" t="e">
        <f>IF(VLOOKUP(CONCATENATE(H115,F115,DK$2),Español!$A:$H,7,FALSE)=Y115,1,0)</f>
        <v>#N/A</v>
      </c>
      <c r="DL115" s="138" t="e">
        <f>IF(VLOOKUP(CONCATENATE(H115,F115,DL$2),Español!$A:$H,7,FALSE)=Z115,1,0)</f>
        <v>#N/A</v>
      </c>
      <c r="DM115" s="138" t="e">
        <f>IF(VLOOKUP(CONCATENATE(H115,F115,DM$2),Español!$A:$H,7,FALSE)=AA115,1,0)</f>
        <v>#N/A</v>
      </c>
      <c r="DN115" s="138" t="e">
        <f>IF(VLOOKUP(CONCATENATE(H115,F115,DN$2),Español!$A:$H,7,FALSE)=AB115,1,0)</f>
        <v>#N/A</v>
      </c>
      <c r="DO115" s="138" t="e">
        <f>IF(VLOOKUP(CONCATENATE(H115,F115,DO$2),Español!$A:$H,7,FALSE)=AC115,1,0)</f>
        <v>#N/A</v>
      </c>
      <c r="DP115" s="138" t="e">
        <f>IF(VLOOKUP(CONCATENATE(H115,F115,DP$2),Español!$A:$H,7,FALSE)=AD115,1,0)</f>
        <v>#N/A</v>
      </c>
      <c r="DQ115" s="138" t="e">
        <f>IF(VLOOKUP(CONCATENATE(H115,F115,DQ$2),Español!$A:$H,7,FALSE)=AE115,1,0)</f>
        <v>#N/A</v>
      </c>
      <c r="DR115" s="138" t="e">
        <f>IF(VLOOKUP(CONCATENATE(H115,F115,DR$2),Inglés!$A:$H,7,FALSE)=AF115,1,0)</f>
        <v>#N/A</v>
      </c>
      <c r="DS115" s="138" t="e">
        <f>IF(VLOOKUP(CONCATENATE(H115,F115,DS$2),Inglés!$A:$H,7,FALSE)=AG115,1,0)</f>
        <v>#N/A</v>
      </c>
      <c r="DT115" s="138" t="e">
        <f>IF(VLOOKUP(CONCATENATE(H115,F115,DT$2),Inglés!$A:$H,7,FALSE)=AH115,1,0)</f>
        <v>#N/A</v>
      </c>
      <c r="DU115" s="138" t="e">
        <f>IF(VLOOKUP(CONCATENATE(H115,F115,DU$2),Inglés!$A:$H,7,FALSE)=AI115,1,0)</f>
        <v>#N/A</v>
      </c>
      <c r="DV115" s="138" t="e">
        <f>IF(VLOOKUP(CONCATENATE(H115,F115,DV$2),Inglés!$A:$H,7,FALSE)=AJ115,1,0)</f>
        <v>#N/A</v>
      </c>
      <c r="DW115" s="138" t="e">
        <f>IF(VLOOKUP(CONCATENATE(H115,F115,DW$2),Inglés!$A:$H,7,FALSE)=AK115,1,0)</f>
        <v>#N/A</v>
      </c>
      <c r="DX115" s="138" t="e">
        <f>IF(VLOOKUP(CONCATENATE(H115,F115,DX$2),Inglés!$A:$H,7,FALSE)=AL115,1,0)</f>
        <v>#N/A</v>
      </c>
      <c r="DY115" s="138" t="e">
        <f>IF(VLOOKUP(CONCATENATE(H115,F115,DY$2),Inglés!$A:$H,7,FALSE)=AM115,1,0)</f>
        <v>#N/A</v>
      </c>
      <c r="DZ115" s="138" t="e">
        <f>IF(VLOOKUP(CONCATENATE(H115,F115,DZ$2),Inglés!$A:$H,7,FALSE)=AN115,1,0)</f>
        <v>#N/A</v>
      </c>
      <c r="EA115" s="138" t="e">
        <f>IF(VLOOKUP(CONCATENATE(H115,F115,EA$2),Inglés!$A:$H,7,FALSE)=AO115,1,0)</f>
        <v>#N/A</v>
      </c>
      <c r="EB115" s="138" t="e">
        <f>IF(VLOOKUP(CONCATENATE(H115,F115,EB$2),Matemáticas!$A:$H,7,FALSE)=AP115,1,0)</f>
        <v>#N/A</v>
      </c>
      <c r="EC115" s="138" t="e">
        <f>IF(VLOOKUP(CONCATENATE(H115,F115,EC$2),Matemáticas!$A:$H,7,FALSE)=AQ115,1,0)</f>
        <v>#N/A</v>
      </c>
      <c r="ED115" s="138" t="e">
        <f>IF(VLOOKUP(CONCATENATE(H115,F115,ED$2),Matemáticas!$A:$H,7,FALSE)=AR115,1,0)</f>
        <v>#N/A</v>
      </c>
      <c r="EE115" s="138" t="e">
        <f>IF(VLOOKUP(CONCATENATE(H115,F115,EE$2),Matemáticas!$A:$H,7,FALSE)=AS115,1,0)</f>
        <v>#N/A</v>
      </c>
      <c r="EF115" s="138" t="e">
        <f>IF(VLOOKUP(CONCATENATE(H115,F115,EF$2),Matemáticas!$A:$H,7,FALSE)=AT115,1,0)</f>
        <v>#N/A</v>
      </c>
      <c r="EG115" s="138" t="e">
        <f>IF(VLOOKUP(CONCATENATE(H115,F115,EG$2),Matemáticas!$A:$H,7,FALSE)=AU115,1,0)</f>
        <v>#N/A</v>
      </c>
      <c r="EH115" s="138" t="e">
        <f>IF(VLOOKUP(CONCATENATE(H115,F115,EH$2),Matemáticas!$A:$H,7,FALSE)=AV115,1,0)</f>
        <v>#N/A</v>
      </c>
      <c r="EI115" s="138" t="e">
        <f>IF(VLOOKUP(CONCATENATE(H115,F115,EI$2),Matemáticas!$A:$H,7,FALSE)=AW115,1,0)</f>
        <v>#N/A</v>
      </c>
      <c r="EJ115" s="138" t="e">
        <f>IF(VLOOKUP(CONCATENATE(H115,F115,EJ$2),Matemáticas!$A:$H,7,FALSE)=AX115,1,0)</f>
        <v>#N/A</v>
      </c>
      <c r="EK115" s="138" t="e">
        <f>IF(VLOOKUP(CONCATENATE(H115,F115,EK$2),Matemáticas!$A:$H,7,FALSE)=AY115,1,0)</f>
        <v>#N/A</v>
      </c>
      <c r="EL115" s="138" t="e">
        <f>IF(VLOOKUP(CONCATENATE(H115,F115,EL$2),Matemáticas!$A:$H,7,FALSE)=AZ115,1,0)</f>
        <v>#N/A</v>
      </c>
      <c r="EM115" s="138" t="e">
        <f>IF(VLOOKUP(CONCATENATE(H115,F115,EM$2),Matemáticas!$A:$H,7,FALSE)=BA115,1,0)</f>
        <v>#N/A</v>
      </c>
      <c r="EN115" s="138" t="e">
        <f>IF(VLOOKUP(CONCATENATE(H115,F115,EN$2),Matemáticas!$A:$H,7,FALSE)=BB115,1,0)</f>
        <v>#N/A</v>
      </c>
      <c r="EO115" s="138" t="e">
        <f>IF(VLOOKUP(CONCATENATE(H115,F115,EO$2),Matemáticas!$A:$H,7,FALSE)=BC115,1,0)</f>
        <v>#N/A</v>
      </c>
      <c r="EP115" s="138" t="e">
        <f>IF(VLOOKUP(CONCATENATE(H115,F115,EP$2),Matemáticas!$A:$H,7,FALSE)=BD115,1,0)</f>
        <v>#N/A</v>
      </c>
      <c r="EQ115" s="138" t="e">
        <f>IF(VLOOKUP(CONCATENATE(H115,F115,EQ$2),Matemáticas!$A:$H,7,FALSE)=BE115,1,0)</f>
        <v>#N/A</v>
      </c>
      <c r="ER115" s="138" t="e">
        <f>IF(VLOOKUP(CONCATENATE(H115,F115,ER$2),Matemáticas!$A:$H,7,FALSE)=BF115,1,0)</f>
        <v>#N/A</v>
      </c>
      <c r="ES115" s="138" t="e">
        <f>IF(VLOOKUP(CONCATENATE(H115,F115,ES$2),Matemáticas!$A:$H,7,FALSE)=BG115,1,0)</f>
        <v>#N/A</v>
      </c>
      <c r="ET115" s="138" t="e">
        <f>IF(VLOOKUP(CONCATENATE(H115,F115,ET$2),Matemáticas!$A:$H,7,FALSE)=BH115,1,0)</f>
        <v>#N/A</v>
      </c>
      <c r="EU115" s="138" t="e">
        <f>IF(VLOOKUP(CONCATENATE(H115,F115,EU$2),Matemáticas!$A:$H,7,FALSE)=BI115,1,0)</f>
        <v>#N/A</v>
      </c>
      <c r="EV115" s="138" t="e">
        <f>IF(VLOOKUP(CONCATENATE(H115,F115,EV$2),Ciencias!$A:$H,7,FALSE)=BJ115,1,0)</f>
        <v>#N/A</v>
      </c>
      <c r="EW115" s="138" t="e">
        <f>IF(VLOOKUP(CONCATENATE(H115,F115,EW$2),Ciencias!$A:$H,7,FALSE)=BK115,1,0)</f>
        <v>#N/A</v>
      </c>
      <c r="EX115" s="138" t="e">
        <f>IF(VLOOKUP(CONCATENATE(H115,F115,EX$2),Ciencias!$A:$H,7,FALSE)=BL115,1,0)</f>
        <v>#N/A</v>
      </c>
      <c r="EY115" s="138" t="e">
        <f>IF(VLOOKUP(CONCATENATE(H115,F115,EY$2),Ciencias!$A:$H,7,FALSE)=BM115,1,0)</f>
        <v>#N/A</v>
      </c>
      <c r="EZ115" s="138" t="e">
        <f>IF(VLOOKUP(CONCATENATE(H115,F115,EZ$2),Ciencias!$A:$H,7,FALSE)=BN115,1,0)</f>
        <v>#N/A</v>
      </c>
      <c r="FA115" s="138" t="e">
        <f>IF(VLOOKUP(CONCATENATE(H115,F115,FA$2),Ciencias!$A:$H,7,FALSE)=BO115,1,0)</f>
        <v>#N/A</v>
      </c>
      <c r="FB115" s="138" t="e">
        <f>IF(VLOOKUP(CONCATENATE(H115,F115,FB$2),Ciencias!$A:$H,7,FALSE)=BP115,1,0)</f>
        <v>#N/A</v>
      </c>
      <c r="FC115" s="138" t="e">
        <f>IF(VLOOKUP(CONCATENATE(H115,F115,FC$2),Ciencias!$A:$H,7,FALSE)=BQ115,1,0)</f>
        <v>#N/A</v>
      </c>
      <c r="FD115" s="138" t="e">
        <f>IF(VLOOKUP(CONCATENATE(H115,F115,FD$2),Ciencias!$A:$H,7,FALSE)=BR115,1,0)</f>
        <v>#N/A</v>
      </c>
      <c r="FE115" s="138" t="e">
        <f>IF(VLOOKUP(CONCATENATE(H115,F115,FE$2),Ciencias!$A:$H,7,FALSE)=BS115,1,0)</f>
        <v>#N/A</v>
      </c>
      <c r="FF115" s="138" t="e">
        <f>IF(VLOOKUP(CONCATENATE(H115,F115,FF$2),Ciencias!$A:$H,7,FALSE)=BT115,1,0)</f>
        <v>#N/A</v>
      </c>
      <c r="FG115" s="138" t="e">
        <f>IF(VLOOKUP(CONCATENATE(H115,F115,FG$2),Ciencias!$A:$H,7,FALSE)=BU115,1,0)</f>
        <v>#N/A</v>
      </c>
      <c r="FH115" s="138" t="e">
        <f>IF(VLOOKUP(CONCATENATE(H115,F115,FH$2),Ciencias!$A:$H,7,FALSE)=BV115,1,0)</f>
        <v>#N/A</v>
      </c>
      <c r="FI115" s="138" t="e">
        <f>IF(VLOOKUP(CONCATENATE(H115,F115,FI$2),Ciencias!$A:$H,7,FALSE)=BW115,1,0)</f>
        <v>#N/A</v>
      </c>
      <c r="FJ115" s="138" t="e">
        <f>IF(VLOOKUP(CONCATENATE(H115,F115,FJ$2),Ciencias!$A:$H,7,FALSE)=BX115,1,0)</f>
        <v>#N/A</v>
      </c>
      <c r="FK115" s="138" t="e">
        <f>IF(VLOOKUP(CONCATENATE(H115,F115,FK$2),Ciencias!$A:$H,7,FALSE)=BY115,1,0)</f>
        <v>#N/A</v>
      </c>
      <c r="FL115" s="138" t="e">
        <f>IF(VLOOKUP(CONCATENATE(H115,F115,FL$2),Ciencias!$A:$H,7,FALSE)=BZ115,1,0)</f>
        <v>#N/A</v>
      </c>
      <c r="FM115" s="138" t="e">
        <f>IF(VLOOKUP(CONCATENATE(H115,F115,FM$2),Ciencias!$A:$H,7,FALSE)=CA115,1,0)</f>
        <v>#N/A</v>
      </c>
      <c r="FN115" s="138" t="e">
        <f>IF(VLOOKUP(CONCATENATE(H115,F115,FN$2),Ciencias!$A:$H,7,FALSE)=CB115,1,0)</f>
        <v>#N/A</v>
      </c>
      <c r="FO115" s="138" t="e">
        <f>IF(VLOOKUP(CONCATENATE(H115,F115,FO$2),Ciencias!$A:$H,7,FALSE)=CC115,1,0)</f>
        <v>#N/A</v>
      </c>
      <c r="FP115" s="138" t="e">
        <f>IF(VLOOKUP(CONCATENATE(H115,F115,FP$2),GeoHis!$A:$H,7,FALSE)=CD115,1,0)</f>
        <v>#N/A</v>
      </c>
      <c r="FQ115" s="138" t="e">
        <f>IF(VLOOKUP(CONCATENATE(H115,F115,FQ$2),GeoHis!$A:$H,7,FALSE)=CE115,1,0)</f>
        <v>#N/A</v>
      </c>
      <c r="FR115" s="138" t="e">
        <f>IF(VLOOKUP(CONCATENATE(H115,F115,FR$2),GeoHis!$A:$H,7,FALSE)=CF115,1,0)</f>
        <v>#N/A</v>
      </c>
      <c r="FS115" s="138" t="e">
        <f>IF(VLOOKUP(CONCATENATE(H115,F115,FS$2),GeoHis!$A:$H,7,FALSE)=CG115,1,0)</f>
        <v>#N/A</v>
      </c>
      <c r="FT115" s="138" t="e">
        <f>IF(VLOOKUP(CONCATENATE(H115,F115,FT$2),GeoHis!$A:$H,7,FALSE)=CH115,1,0)</f>
        <v>#N/A</v>
      </c>
      <c r="FU115" s="138" t="e">
        <f>IF(VLOOKUP(CONCATENATE(H115,F115,FU$2),GeoHis!$A:$H,7,FALSE)=CI115,1,0)</f>
        <v>#N/A</v>
      </c>
      <c r="FV115" s="138" t="e">
        <f>IF(VLOOKUP(CONCATENATE(H115,F115,FV$2),GeoHis!$A:$H,7,FALSE)=CJ115,1,0)</f>
        <v>#N/A</v>
      </c>
      <c r="FW115" s="138" t="e">
        <f>IF(VLOOKUP(CONCATENATE(H115,F115,FW$2),GeoHis!$A:$H,7,FALSE)=CK115,1,0)</f>
        <v>#N/A</v>
      </c>
      <c r="FX115" s="138" t="e">
        <f>IF(VLOOKUP(CONCATENATE(H115,F115,FX$2),GeoHis!$A:$H,7,FALSE)=CL115,1,0)</f>
        <v>#N/A</v>
      </c>
      <c r="FY115" s="138" t="e">
        <f>IF(VLOOKUP(CONCATENATE(H115,F115,FY$2),GeoHis!$A:$H,7,FALSE)=CM115,1,0)</f>
        <v>#N/A</v>
      </c>
      <c r="FZ115" s="138" t="e">
        <f>IF(VLOOKUP(CONCATENATE(H115,F115,FZ$2),GeoHis!$A:$H,7,FALSE)=CN115,1,0)</f>
        <v>#N/A</v>
      </c>
      <c r="GA115" s="138" t="e">
        <f>IF(VLOOKUP(CONCATENATE(H115,F115,GA$2),GeoHis!$A:$H,7,FALSE)=CO115,1,0)</f>
        <v>#N/A</v>
      </c>
      <c r="GB115" s="138" t="e">
        <f>IF(VLOOKUP(CONCATENATE(H115,F115,GB$2),GeoHis!$A:$H,7,FALSE)=CP115,1,0)</f>
        <v>#N/A</v>
      </c>
      <c r="GC115" s="138" t="e">
        <f>IF(VLOOKUP(CONCATENATE(H115,F115,GC$2),GeoHis!$A:$H,7,FALSE)=CQ115,1,0)</f>
        <v>#N/A</v>
      </c>
      <c r="GD115" s="138" t="e">
        <f>IF(VLOOKUP(CONCATENATE(H115,F115,GD$2),GeoHis!$A:$H,7,FALSE)=CR115,1,0)</f>
        <v>#N/A</v>
      </c>
      <c r="GE115" s="135" t="str">
        <f t="shared" si="15"/>
        <v/>
      </c>
    </row>
    <row r="116" spans="1:187" x14ac:dyDescent="0.25">
      <c r="A116" s="127" t="str">
        <f>IF(C116="","",'Datos Generales'!$A$25)</f>
        <v/>
      </c>
      <c r="D116" s="126" t="str">
        <f t="shared" si="8"/>
        <v/>
      </c>
      <c r="E116" s="126">
        <f t="shared" si="9"/>
        <v>0</v>
      </c>
      <c r="F116" s="126" t="str">
        <f t="shared" si="10"/>
        <v/>
      </c>
      <c r="G116" s="126" t="str">
        <f>IF(C116="","",'Datos Generales'!$D$19)</f>
        <v/>
      </c>
      <c r="H116" s="21" t="str">
        <f>IF(C116="","",'Datos Generales'!$A$19)</f>
        <v/>
      </c>
      <c r="I116" s="126" t="str">
        <f>IF(C116="","",'Datos Generales'!$A$7)</f>
        <v/>
      </c>
      <c r="J116" s="21" t="str">
        <f>IF(C116="","",'Datos Generales'!$A$13)</f>
        <v/>
      </c>
      <c r="K116" s="21" t="str">
        <f>IF(C116="","",'Datos Generales'!$A$10)</f>
        <v/>
      </c>
      <c r="CS116" s="142" t="str">
        <f t="shared" si="11"/>
        <v/>
      </c>
      <c r="CT116" s="142" t="str">
        <f t="shared" si="12"/>
        <v/>
      </c>
      <c r="CU116" s="142" t="str">
        <f t="shared" si="13"/>
        <v/>
      </c>
      <c r="CV116" s="142" t="str">
        <f t="shared" si="14"/>
        <v/>
      </c>
      <c r="CW116" s="142" t="str">
        <f>IF(C116="","",IF('Datos Generales'!$A$19=1,AVERAGE(FP116:GD116),AVERAGE(Captura!FP116:FY116)))</f>
        <v/>
      </c>
      <c r="CX116" s="138" t="e">
        <f>IF(VLOOKUP(CONCATENATE($H$4,$F$4,CX$2),Español!$A:$H,7,FALSE)=L116,1,0)</f>
        <v>#N/A</v>
      </c>
      <c r="CY116" s="138" t="e">
        <f>IF(VLOOKUP(CONCATENATE(H116,F116,CY$2),Español!$A:$H,7,FALSE)=M116,1,0)</f>
        <v>#N/A</v>
      </c>
      <c r="CZ116" s="138" t="e">
        <f>IF(VLOOKUP(CONCATENATE(H116,F116,CZ$2),Español!$A:$H,7,FALSE)=N116,1,0)</f>
        <v>#N/A</v>
      </c>
      <c r="DA116" s="138" t="e">
        <f>IF(VLOOKUP(CONCATENATE(H116,F116,DA$2),Español!$A:$H,7,FALSE)=O116,1,0)</f>
        <v>#N/A</v>
      </c>
      <c r="DB116" s="138" t="e">
        <f>IF(VLOOKUP(CONCATENATE(H116,F116,DB$2),Español!$A:$H,7,FALSE)=P116,1,0)</f>
        <v>#N/A</v>
      </c>
      <c r="DC116" s="138" t="e">
        <f>IF(VLOOKUP(CONCATENATE(H116,F116,DC$2),Español!$A:$H,7,FALSE)=Q116,1,0)</f>
        <v>#N/A</v>
      </c>
      <c r="DD116" s="138" t="e">
        <f>IF(VLOOKUP(CONCATENATE(H116,F116,DD$2),Español!$A:$H,7,FALSE)=R116,1,0)</f>
        <v>#N/A</v>
      </c>
      <c r="DE116" s="138" t="e">
        <f>IF(VLOOKUP(CONCATENATE(H116,F116,DE$2),Español!$A:$H,7,FALSE)=S116,1,0)</f>
        <v>#N/A</v>
      </c>
      <c r="DF116" s="138" t="e">
        <f>IF(VLOOKUP(CONCATENATE(H116,F116,DF$2),Español!$A:$H,7,FALSE)=T116,1,0)</f>
        <v>#N/A</v>
      </c>
      <c r="DG116" s="138" t="e">
        <f>IF(VLOOKUP(CONCATENATE(H116,F116,DG$2),Español!$A:$H,7,FALSE)=U116,1,0)</f>
        <v>#N/A</v>
      </c>
      <c r="DH116" s="138" t="e">
        <f>IF(VLOOKUP(CONCATENATE(H116,F116,DH$2),Español!$A:$H,7,FALSE)=V116,1,0)</f>
        <v>#N/A</v>
      </c>
      <c r="DI116" s="138" t="e">
        <f>IF(VLOOKUP(CONCATENATE(H116,F116,DI$2),Español!$A:$H,7,FALSE)=W116,1,0)</f>
        <v>#N/A</v>
      </c>
      <c r="DJ116" s="138" t="e">
        <f>IF(VLOOKUP(CONCATENATE(H116,F116,DJ$2),Español!$A:$H,7,FALSE)=X116,1,0)</f>
        <v>#N/A</v>
      </c>
      <c r="DK116" s="138" t="e">
        <f>IF(VLOOKUP(CONCATENATE(H116,F116,DK$2),Español!$A:$H,7,FALSE)=Y116,1,0)</f>
        <v>#N/A</v>
      </c>
      <c r="DL116" s="138" t="e">
        <f>IF(VLOOKUP(CONCATENATE(H116,F116,DL$2),Español!$A:$H,7,FALSE)=Z116,1,0)</f>
        <v>#N/A</v>
      </c>
      <c r="DM116" s="138" t="e">
        <f>IF(VLOOKUP(CONCATENATE(H116,F116,DM$2),Español!$A:$H,7,FALSE)=AA116,1,0)</f>
        <v>#N/A</v>
      </c>
      <c r="DN116" s="138" t="e">
        <f>IF(VLOOKUP(CONCATENATE(H116,F116,DN$2),Español!$A:$H,7,FALSE)=AB116,1,0)</f>
        <v>#N/A</v>
      </c>
      <c r="DO116" s="138" t="e">
        <f>IF(VLOOKUP(CONCATENATE(H116,F116,DO$2),Español!$A:$H,7,FALSE)=AC116,1,0)</f>
        <v>#N/A</v>
      </c>
      <c r="DP116" s="138" t="e">
        <f>IF(VLOOKUP(CONCATENATE(H116,F116,DP$2),Español!$A:$H,7,FALSE)=AD116,1,0)</f>
        <v>#N/A</v>
      </c>
      <c r="DQ116" s="138" t="e">
        <f>IF(VLOOKUP(CONCATENATE(H116,F116,DQ$2),Español!$A:$H,7,FALSE)=AE116,1,0)</f>
        <v>#N/A</v>
      </c>
      <c r="DR116" s="138" t="e">
        <f>IF(VLOOKUP(CONCATENATE(H116,F116,DR$2),Inglés!$A:$H,7,FALSE)=AF116,1,0)</f>
        <v>#N/A</v>
      </c>
      <c r="DS116" s="138" t="e">
        <f>IF(VLOOKUP(CONCATENATE(H116,F116,DS$2),Inglés!$A:$H,7,FALSE)=AG116,1,0)</f>
        <v>#N/A</v>
      </c>
      <c r="DT116" s="138" t="e">
        <f>IF(VLOOKUP(CONCATENATE(H116,F116,DT$2),Inglés!$A:$H,7,FALSE)=AH116,1,0)</f>
        <v>#N/A</v>
      </c>
      <c r="DU116" s="138" t="e">
        <f>IF(VLOOKUP(CONCATENATE(H116,F116,DU$2),Inglés!$A:$H,7,FALSE)=AI116,1,0)</f>
        <v>#N/A</v>
      </c>
      <c r="DV116" s="138" t="e">
        <f>IF(VLOOKUP(CONCATENATE(H116,F116,DV$2),Inglés!$A:$H,7,FALSE)=AJ116,1,0)</f>
        <v>#N/A</v>
      </c>
      <c r="DW116" s="138" t="e">
        <f>IF(VLOOKUP(CONCATENATE(H116,F116,DW$2),Inglés!$A:$H,7,FALSE)=AK116,1,0)</f>
        <v>#N/A</v>
      </c>
      <c r="DX116" s="138" t="e">
        <f>IF(VLOOKUP(CONCATENATE(H116,F116,DX$2),Inglés!$A:$H,7,FALSE)=AL116,1,0)</f>
        <v>#N/A</v>
      </c>
      <c r="DY116" s="138" t="e">
        <f>IF(VLOOKUP(CONCATENATE(H116,F116,DY$2),Inglés!$A:$H,7,FALSE)=AM116,1,0)</f>
        <v>#N/A</v>
      </c>
      <c r="DZ116" s="138" t="e">
        <f>IF(VLOOKUP(CONCATENATE(H116,F116,DZ$2),Inglés!$A:$H,7,FALSE)=AN116,1,0)</f>
        <v>#N/A</v>
      </c>
      <c r="EA116" s="138" t="e">
        <f>IF(VLOOKUP(CONCATENATE(H116,F116,EA$2),Inglés!$A:$H,7,FALSE)=AO116,1,0)</f>
        <v>#N/A</v>
      </c>
      <c r="EB116" s="138" t="e">
        <f>IF(VLOOKUP(CONCATENATE(H116,F116,EB$2),Matemáticas!$A:$H,7,FALSE)=AP116,1,0)</f>
        <v>#N/A</v>
      </c>
      <c r="EC116" s="138" t="e">
        <f>IF(VLOOKUP(CONCATENATE(H116,F116,EC$2),Matemáticas!$A:$H,7,FALSE)=AQ116,1,0)</f>
        <v>#N/A</v>
      </c>
      <c r="ED116" s="138" t="e">
        <f>IF(VLOOKUP(CONCATENATE(H116,F116,ED$2),Matemáticas!$A:$H,7,FALSE)=AR116,1,0)</f>
        <v>#N/A</v>
      </c>
      <c r="EE116" s="138" t="e">
        <f>IF(VLOOKUP(CONCATENATE(H116,F116,EE$2),Matemáticas!$A:$H,7,FALSE)=AS116,1,0)</f>
        <v>#N/A</v>
      </c>
      <c r="EF116" s="138" t="e">
        <f>IF(VLOOKUP(CONCATENATE(H116,F116,EF$2),Matemáticas!$A:$H,7,FALSE)=AT116,1,0)</f>
        <v>#N/A</v>
      </c>
      <c r="EG116" s="138" t="e">
        <f>IF(VLOOKUP(CONCATENATE(H116,F116,EG$2),Matemáticas!$A:$H,7,FALSE)=AU116,1,0)</f>
        <v>#N/A</v>
      </c>
      <c r="EH116" s="138" t="e">
        <f>IF(VLOOKUP(CONCATENATE(H116,F116,EH$2),Matemáticas!$A:$H,7,FALSE)=AV116,1,0)</f>
        <v>#N/A</v>
      </c>
      <c r="EI116" s="138" t="e">
        <f>IF(VLOOKUP(CONCATENATE(H116,F116,EI$2),Matemáticas!$A:$H,7,FALSE)=AW116,1,0)</f>
        <v>#N/A</v>
      </c>
      <c r="EJ116" s="138" t="e">
        <f>IF(VLOOKUP(CONCATENATE(H116,F116,EJ$2),Matemáticas!$A:$H,7,FALSE)=AX116,1,0)</f>
        <v>#N/A</v>
      </c>
      <c r="EK116" s="138" t="e">
        <f>IF(VLOOKUP(CONCATENATE(H116,F116,EK$2),Matemáticas!$A:$H,7,FALSE)=AY116,1,0)</f>
        <v>#N/A</v>
      </c>
      <c r="EL116" s="138" t="e">
        <f>IF(VLOOKUP(CONCATENATE(H116,F116,EL$2),Matemáticas!$A:$H,7,FALSE)=AZ116,1,0)</f>
        <v>#N/A</v>
      </c>
      <c r="EM116" s="138" t="e">
        <f>IF(VLOOKUP(CONCATENATE(H116,F116,EM$2),Matemáticas!$A:$H,7,FALSE)=BA116,1,0)</f>
        <v>#N/A</v>
      </c>
      <c r="EN116" s="138" t="e">
        <f>IF(VLOOKUP(CONCATENATE(H116,F116,EN$2),Matemáticas!$A:$H,7,FALSE)=BB116,1,0)</f>
        <v>#N/A</v>
      </c>
      <c r="EO116" s="138" t="e">
        <f>IF(VLOOKUP(CONCATENATE(H116,F116,EO$2),Matemáticas!$A:$H,7,FALSE)=BC116,1,0)</f>
        <v>#N/A</v>
      </c>
      <c r="EP116" s="138" t="e">
        <f>IF(VLOOKUP(CONCATENATE(H116,F116,EP$2),Matemáticas!$A:$H,7,FALSE)=BD116,1,0)</f>
        <v>#N/A</v>
      </c>
      <c r="EQ116" s="138" t="e">
        <f>IF(VLOOKUP(CONCATENATE(H116,F116,EQ$2),Matemáticas!$A:$H,7,FALSE)=BE116,1,0)</f>
        <v>#N/A</v>
      </c>
      <c r="ER116" s="138" t="e">
        <f>IF(VLOOKUP(CONCATENATE(H116,F116,ER$2),Matemáticas!$A:$H,7,FALSE)=BF116,1,0)</f>
        <v>#N/A</v>
      </c>
      <c r="ES116" s="138" t="e">
        <f>IF(VLOOKUP(CONCATENATE(H116,F116,ES$2),Matemáticas!$A:$H,7,FALSE)=BG116,1,0)</f>
        <v>#N/A</v>
      </c>
      <c r="ET116" s="138" t="e">
        <f>IF(VLOOKUP(CONCATENATE(H116,F116,ET$2),Matemáticas!$A:$H,7,FALSE)=BH116,1,0)</f>
        <v>#N/A</v>
      </c>
      <c r="EU116" s="138" t="e">
        <f>IF(VLOOKUP(CONCATENATE(H116,F116,EU$2),Matemáticas!$A:$H,7,FALSE)=BI116,1,0)</f>
        <v>#N/A</v>
      </c>
      <c r="EV116" s="138" t="e">
        <f>IF(VLOOKUP(CONCATENATE(H116,F116,EV$2),Ciencias!$A:$H,7,FALSE)=BJ116,1,0)</f>
        <v>#N/A</v>
      </c>
      <c r="EW116" s="138" t="e">
        <f>IF(VLOOKUP(CONCATENATE(H116,F116,EW$2),Ciencias!$A:$H,7,FALSE)=BK116,1,0)</f>
        <v>#N/A</v>
      </c>
      <c r="EX116" s="138" t="e">
        <f>IF(VLOOKUP(CONCATENATE(H116,F116,EX$2),Ciencias!$A:$H,7,FALSE)=BL116,1,0)</f>
        <v>#N/A</v>
      </c>
      <c r="EY116" s="138" t="e">
        <f>IF(VLOOKUP(CONCATENATE(H116,F116,EY$2),Ciencias!$A:$H,7,FALSE)=BM116,1,0)</f>
        <v>#N/A</v>
      </c>
      <c r="EZ116" s="138" t="e">
        <f>IF(VLOOKUP(CONCATENATE(H116,F116,EZ$2),Ciencias!$A:$H,7,FALSE)=BN116,1,0)</f>
        <v>#N/A</v>
      </c>
      <c r="FA116" s="138" t="e">
        <f>IF(VLOOKUP(CONCATENATE(H116,F116,FA$2),Ciencias!$A:$H,7,FALSE)=BO116,1,0)</f>
        <v>#N/A</v>
      </c>
      <c r="FB116" s="138" t="e">
        <f>IF(VLOOKUP(CONCATENATE(H116,F116,FB$2),Ciencias!$A:$H,7,FALSE)=BP116,1,0)</f>
        <v>#N/A</v>
      </c>
      <c r="FC116" s="138" t="e">
        <f>IF(VLOOKUP(CONCATENATE(H116,F116,FC$2),Ciencias!$A:$H,7,FALSE)=BQ116,1,0)</f>
        <v>#N/A</v>
      </c>
      <c r="FD116" s="138" t="e">
        <f>IF(VLOOKUP(CONCATENATE(H116,F116,FD$2),Ciencias!$A:$H,7,FALSE)=BR116,1,0)</f>
        <v>#N/A</v>
      </c>
      <c r="FE116" s="138" t="e">
        <f>IF(VLOOKUP(CONCATENATE(H116,F116,FE$2),Ciencias!$A:$H,7,FALSE)=BS116,1,0)</f>
        <v>#N/A</v>
      </c>
      <c r="FF116" s="138" t="e">
        <f>IF(VLOOKUP(CONCATENATE(H116,F116,FF$2),Ciencias!$A:$H,7,FALSE)=BT116,1,0)</f>
        <v>#N/A</v>
      </c>
      <c r="FG116" s="138" t="e">
        <f>IF(VLOOKUP(CONCATENATE(H116,F116,FG$2),Ciencias!$A:$H,7,FALSE)=BU116,1,0)</f>
        <v>#N/A</v>
      </c>
      <c r="FH116" s="138" t="e">
        <f>IF(VLOOKUP(CONCATENATE(H116,F116,FH$2),Ciencias!$A:$H,7,FALSE)=BV116,1,0)</f>
        <v>#N/A</v>
      </c>
      <c r="FI116" s="138" t="e">
        <f>IF(VLOOKUP(CONCATENATE(H116,F116,FI$2),Ciencias!$A:$H,7,FALSE)=BW116,1,0)</f>
        <v>#N/A</v>
      </c>
      <c r="FJ116" s="138" t="e">
        <f>IF(VLOOKUP(CONCATENATE(H116,F116,FJ$2),Ciencias!$A:$H,7,FALSE)=BX116,1,0)</f>
        <v>#N/A</v>
      </c>
      <c r="FK116" s="138" t="e">
        <f>IF(VLOOKUP(CONCATENATE(H116,F116,FK$2),Ciencias!$A:$H,7,FALSE)=BY116,1,0)</f>
        <v>#N/A</v>
      </c>
      <c r="FL116" s="138" t="e">
        <f>IF(VLOOKUP(CONCATENATE(H116,F116,FL$2),Ciencias!$A:$H,7,FALSE)=BZ116,1,0)</f>
        <v>#N/A</v>
      </c>
      <c r="FM116" s="138" t="e">
        <f>IF(VLOOKUP(CONCATENATE(H116,F116,FM$2),Ciencias!$A:$H,7,FALSE)=CA116,1,0)</f>
        <v>#N/A</v>
      </c>
      <c r="FN116" s="138" t="e">
        <f>IF(VLOOKUP(CONCATENATE(H116,F116,FN$2),Ciencias!$A:$H,7,FALSE)=CB116,1,0)</f>
        <v>#N/A</v>
      </c>
      <c r="FO116" s="138" t="e">
        <f>IF(VLOOKUP(CONCATENATE(H116,F116,FO$2),Ciencias!$A:$H,7,FALSE)=CC116,1,0)</f>
        <v>#N/A</v>
      </c>
      <c r="FP116" s="138" t="e">
        <f>IF(VLOOKUP(CONCATENATE(H116,F116,FP$2),GeoHis!$A:$H,7,FALSE)=CD116,1,0)</f>
        <v>#N/A</v>
      </c>
      <c r="FQ116" s="138" t="e">
        <f>IF(VLOOKUP(CONCATENATE(H116,F116,FQ$2),GeoHis!$A:$H,7,FALSE)=CE116,1,0)</f>
        <v>#N/A</v>
      </c>
      <c r="FR116" s="138" t="e">
        <f>IF(VLOOKUP(CONCATENATE(H116,F116,FR$2),GeoHis!$A:$H,7,FALSE)=CF116,1,0)</f>
        <v>#N/A</v>
      </c>
      <c r="FS116" s="138" t="e">
        <f>IF(VLOOKUP(CONCATENATE(H116,F116,FS$2),GeoHis!$A:$H,7,FALSE)=CG116,1,0)</f>
        <v>#N/A</v>
      </c>
      <c r="FT116" s="138" t="e">
        <f>IF(VLOOKUP(CONCATENATE(H116,F116,FT$2),GeoHis!$A:$H,7,FALSE)=CH116,1,0)</f>
        <v>#N/A</v>
      </c>
      <c r="FU116" s="138" t="e">
        <f>IF(VLOOKUP(CONCATENATE(H116,F116,FU$2),GeoHis!$A:$H,7,FALSE)=CI116,1,0)</f>
        <v>#N/A</v>
      </c>
      <c r="FV116" s="138" t="e">
        <f>IF(VLOOKUP(CONCATENATE(H116,F116,FV$2),GeoHis!$A:$H,7,FALSE)=CJ116,1,0)</f>
        <v>#N/A</v>
      </c>
      <c r="FW116" s="138" t="e">
        <f>IF(VLOOKUP(CONCATENATE(H116,F116,FW$2),GeoHis!$A:$H,7,FALSE)=CK116,1,0)</f>
        <v>#N/A</v>
      </c>
      <c r="FX116" s="138" t="e">
        <f>IF(VLOOKUP(CONCATENATE(H116,F116,FX$2),GeoHis!$A:$H,7,FALSE)=CL116,1,0)</f>
        <v>#N/A</v>
      </c>
      <c r="FY116" s="138" t="e">
        <f>IF(VLOOKUP(CONCATENATE(H116,F116,FY$2),GeoHis!$A:$H,7,FALSE)=CM116,1,0)</f>
        <v>#N/A</v>
      </c>
      <c r="FZ116" s="138" t="e">
        <f>IF(VLOOKUP(CONCATENATE(H116,F116,FZ$2),GeoHis!$A:$H,7,FALSE)=CN116,1,0)</f>
        <v>#N/A</v>
      </c>
      <c r="GA116" s="138" t="e">
        <f>IF(VLOOKUP(CONCATENATE(H116,F116,GA$2),GeoHis!$A:$H,7,FALSE)=CO116,1,0)</f>
        <v>#N/A</v>
      </c>
      <c r="GB116" s="138" t="e">
        <f>IF(VLOOKUP(CONCATENATE(H116,F116,GB$2),GeoHis!$A:$H,7,FALSE)=CP116,1,0)</f>
        <v>#N/A</v>
      </c>
      <c r="GC116" s="138" t="e">
        <f>IF(VLOOKUP(CONCATENATE(H116,F116,GC$2),GeoHis!$A:$H,7,FALSE)=CQ116,1,0)</f>
        <v>#N/A</v>
      </c>
      <c r="GD116" s="138" t="e">
        <f>IF(VLOOKUP(CONCATENATE(H116,F116,GD$2),GeoHis!$A:$H,7,FALSE)=CR116,1,0)</f>
        <v>#N/A</v>
      </c>
      <c r="GE116" s="135" t="str">
        <f t="shared" si="15"/>
        <v/>
      </c>
    </row>
    <row r="117" spans="1:187" x14ac:dyDescent="0.25">
      <c r="A117" s="127" t="str">
        <f>IF(C117="","",'Datos Generales'!$A$25)</f>
        <v/>
      </c>
      <c r="D117" s="126" t="str">
        <f t="shared" si="8"/>
        <v/>
      </c>
      <c r="E117" s="126">
        <f t="shared" si="9"/>
        <v>0</v>
      </c>
      <c r="F117" s="126" t="str">
        <f t="shared" si="10"/>
        <v/>
      </c>
      <c r="G117" s="126" t="str">
        <f>IF(C117="","",'Datos Generales'!$D$19)</f>
        <v/>
      </c>
      <c r="H117" s="21" t="str">
        <f>IF(C117="","",'Datos Generales'!$A$19)</f>
        <v/>
      </c>
      <c r="I117" s="126" t="str">
        <f>IF(C117="","",'Datos Generales'!$A$7)</f>
        <v/>
      </c>
      <c r="J117" s="21" t="str">
        <f>IF(C117="","",'Datos Generales'!$A$13)</f>
        <v/>
      </c>
      <c r="K117" s="21" t="str">
        <f>IF(C117="","",'Datos Generales'!$A$10)</f>
        <v/>
      </c>
      <c r="CS117" s="142" t="str">
        <f t="shared" si="11"/>
        <v/>
      </c>
      <c r="CT117" s="142" t="str">
        <f t="shared" si="12"/>
        <v/>
      </c>
      <c r="CU117" s="142" t="str">
        <f t="shared" si="13"/>
        <v/>
      </c>
      <c r="CV117" s="142" t="str">
        <f t="shared" si="14"/>
        <v/>
      </c>
      <c r="CW117" s="142" t="str">
        <f>IF(C117="","",IF('Datos Generales'!$A$19=1,AVERAGE(FP117:GD117),AVERAGE(Captura!FP117:FY117)))</f>
        <v/>
      </c>
      <c r="CX117" s="138" t="e">
        <f>IF(VLOOKUP(CONCATENATE($H$4,$F$4,CX$2),Español!$A:$H,7,FALSE)=L117,1,0)</f>
        <v>#N/A</v>
      </c>
      <c r="CY117" s="138" t="e">
        <f>IF(VLOOKUP(CONCATENATE(H117,F117,CY$2),Español!$A:$H,7,FALSE)=M117,1,0)</f>
        <v>#N/A</v>
      </c>
      <c r="CZ117" s="138" t="e">
        <f>IF(VLOOKUP(CONCATENATE(H117,F117,CZ$2),Español!$A:$H,7,FALSE)=N117,1,0)</f>
        <v>#N/A</v>
      </c>
      <c r="DA117" s="138" t="e">
        <f>IF(VLOOKUP(CONCATENATE(H117,F117,DA$2),Español!$A:$H,7,FALSE)=O117,1,0)</f>
        <v>#N/A</v>
      </c>
      <c r="DB117" s="138" t="e">
        <f>IF(VLOOKUP(CONCATENATE(H117,F117,DB$2),Español!$A:$H,7,FALSE)=P117,1,0)</f>
        <v>#N/A</v>
      </c>
      <c r="DC117" s="138" t="e">
        <f>IF(VLOOKUP(CONCATENATE(H117,F117,DC$2),Español!$A:$H,7,FALSE)=Q117,1,0)</f>
        <v>#N/A</v>
      </c>
      <c r="DD117" s="138" t="e">
        <f>IF(VLOOKUP(CONCATENATE(H117,F117,DD$2),Español!$A:$H,7,FALSE)=R117,1,0)</f>
        <v>#N/A</v>
      </c>
      <c r="DE117" s="138" t="e">
        <f>IF(VLOOKUP(CONCATENATE(H117,F117,DE$2),Español!$A:$H,7,FALSE)=S117,1,0)</f>
        <v>#N/A</v>
      </c>
      <c r="DF117" s="138" t="e">
        <f>IF(VLOOKUP(CONCATENATE(H117,F117,DF$2),Español!$A:$H,7,FALSE)=T117,1,0)</f>
        <v>#N/A</v>
      </c>
      <c r="DG117" s="138" t="e">
        <f>IF(VLOOKUP(CONCATENATE(H117,F117,DG$2),Español!$A:$H,7,FALSE)=U117,1,0)</f>
        <v>#N/A</v>
      </c>
      <c r="DH117" s="138" t="e">
        <f>IF(VLOOKUP(CONCATENATE(H117,F117,DH$2),Español!$A:$H,7,FALSE)=V117,1,0)</f>
        <v>#N/A</v>
      </c>
      <c r="DI117" s="138" t="e">
        <f>IF(VLOOKUP(CONCATENATE(H117,F117,DI$2),Español!$A:$H,7,FALSE)=W117,1,0)</f>
        <v>#N/A</v>
      </c>
      <c r="DJ117" s="138" t="e">
        <f>IF(VLOOKUP(CONCATENATE(H117,F117,DJ$2),Español!$A:$H,7,FALSE)=X117,1,0)</f>
        <v>#N/A</v>
      </c>
      <c r="DK117" s="138" t="e">
        <f>IF(VLOOKUP(CONCATENATE(H117,F117,DK$2),Español!$A:$H,7,FALSE)=Y117,1,0)</f>
        <v>#N/A</v>
      </c>
      <c r="DL117" s="138" t="e">
        <f>IF(VLOOKUP(CONCATENATE(H117,F117,DL$2),Español!$A:$H,7,FALSE)=Z117,1,0)</f>
        <v>#N/A</v>
      </c>
      <c r="DM117" s="138" t="e">
        <f>IF(VLOOKUP(CONCATENATE(H117,F117,DM$2),Español!$A:$H,7,FALSE)=AA117,1,0)</f>
        <v>#N/A</v>
      </c>
      <c r="DN117" s="138" t="e">
        <f>IF(VLOOKUP(CONCATENATE(H117,F117,DN$2),Español!$A:$H,7,FALSE)=AB117,1,0)</f>
        <v>#N/A</v>
      </c>
      <c r="DO117" s="138" t="e">
        <f>IF(VLOOKUP(CONCATENATE(H117,F117,DO$2),Español!$A:$H,7,FALSE)=AC117,1,0)</f>
        <v>#N/A</v>
      </c>
      <c r="DP117" s="138" t="e">
        <f>IF(VLOOKUP(CONCATENATE(H117,F117,DP$2),Español!$A:$H,7,FALSE)=AD117,1,0)</f>
        <v>#N/A</v>
      </c>
      <c r="DQ117" s="138" t="e">
        <f>IF(VLOOKUP(CONCATENATE(H117,F117,DQ$2),Español!$A:$H,7,FALSE)=AE117,1,0)</f>
        <v>#N/A</v>
      </c>
      <c r="DR117" s="138" t="e">
        <f>IF(VLOOKUP(CONCATENATE(H117,F117,DR$2),Inglés!$A:$H,7,FALSE)=AF117,1,0)</f>
        <v>#N/A</v>
      </c>
      <c r="DS117" s="138" t="e">
        <f>IF(VLOOKUP(CONCATENATE(H117,F117,DS$2),Inglés!$A:$H,7,FALSE)=AG117,1,0)</f>
        <v>#N/A</v>
      </c>
      <c r="DT117" s="138" t="e">
        <f>IF(VLOOKUP(CONCATENATE(H117,F117,DT$2),Inglés!$A:$H,7,FALSE)=AH117,1,0)</f>
        <v>#N/A</v>
      </c>
      <c r="DU117" s="138" t="e">
        <f>IF(VLOOKUP(CONCATENATE(H117,F117,DU$2),Inglés!$A:$H,7,FALSE)=AI117,1,0)</f>
        <v>#N/A</v>
      </c>
      <c r="DV117" s="138" t="e">
        <f>IF(VLOOKUP(CONCATENATE(H117,F117,DV$2),Inglés!$A:$H,7,FALSE)=AJ117,1,0)</f>
        <v>#N/A</v>
      </c>
      <c r="DW117" s="138" t="e">
        <f>IF(VLOOKUP(CONCATENATE(H117,F117,DW$2),Inglés!$A:$H,7,FALSE)=AK117,1,0)</f>
        <v>#N/A</v>
      </c>
      <c r="DX117" s="138" t="e">
        <f>IF(VLOOKUP(CONCATENATE(H117,F117,DX$2),Inglés!$A:$H,7,FALSE)=AL117,1,0)</f>
        <v>#N/A</v>
      </c>
      <c r="DY117" s="138" t="e">
        <f>IF(VLOOKUP(CONCATENATE(H117,F117,DY$2),Inglés!$A:$H,7,FALSE)=AM117,1,0)</f>
        <v>#N/A</v>
      </c>
      <c r="DZ117" s="138" t="e">
        <f>IF(VLOOKUP(CONCATENATE(H117,F117,DZ$2),Inglés!$A:$H,7,FALSE)=AN117,1,0)</f>
        <v>#N/A</v>
      </c>
      <c r="EA117" s="138" t="e">
        <f>IF(VLOOKUP(CONCATENATE(H117,F117,EA$2),Inglés!$A:$H,7,FALSE)=AO117,1,0)</f>
        <v>#N/A</v>
      </c>
      <c r="EB117" s="138" t="e">
        <f>IF(VLOOKUP(CONCATENATE(H117,F117,EB$2),Matemáticas!$A:$H,7,FALSE)=AP117,1,0)</f>
        <v>#N/A</v>
      </c>
      <c r="EC117" s="138" t="e">
        <f>IF(VLOOKUP(CONCATENATE(H117,F117,EC$2),Matemáticas!$A:$H,7,FALSE)=AQ117,1,0)</f>
        <v>#N/A</v>
      </c>
      <c r="ED117" s="138" t="e">
        <f>IF(VLOOKUP(CONCATENATE(H117,F117,ED$2),Matemáticas!$A:$H,7,FALSE)=AR117,1,0)</f>
        <v>#N/A</v>
      </c>
      <c r="EE117" s="138" t="e">
        <f>IF(VLOOKUP(CONCATENATE(H117,F117,EE$2),Matemáticas!$A:$H,7,FALSE)=AS117,1,0)</f>
        <v>#N/A</v>
      </c>
      <c r="EF117" s="138" t="e">
        <f>IF(VLOOKUP(CONCATENATE(H117,F117,EF$2),Matemáticas!$A:$H,7,FALSE)=AT117,1,0)</f>
        <v>#N/A</v>
      </c>
      <c r="EG117" s="138" t="e">
        <f>IF(VLOOKUP(CONCATENATE(H117,F117,EG$2),Matemáticas!$A:$H,7,FALSE)=AU117,1,0)</f>
        <v>#N/A</v>
      </c>
      <c r="EH117" s="138" t="e">
        <f>IF(VLOOKUP(CONCATENATE(H117,F117,EH$2),Matemáticas!$A:$H,7,FALSE)=AV117,1,0)</f>
        <v>#N/A</v>
      </c>
      <c r="EI117" s="138" t="e">
        <f>IF(VLOOKUP(CONCATENATE(H117,F117,EI$2),Matemáticas!$A:$H,7,FALSE)=AW117,1,0)</f>
        <v>#N/A</v>
      </c>
      <c r="EJ117" s="138" t="e">
        <f>IF(VLOOKUP(CONCATENATE(H117,F117,EJ$2),Matemáticas!$A:$H,7,FALSE)=AX117,1,0)</f>
        <v>#N/A</v>
      </c>
      <c r="EK117" s="138" t="e">
        <f>IF(VLOOKUP(CONCATENATE(H117,F117,EK$2),Matemáticas!$A:$H,7,FALSE)=AY117,1,0)</f>
        <v>#N/A</v>
      </c>
      <c r="EL117" s="138" t="e">
        <f>IF(VLOOKUP(CONCATENATE(H117,F117,EL$2),Matemáticas!$A:$H,7,FALSE)=AZ117,1,0)</f>
        <v>#N/A</v>
      </c>
      <c r="EM117" s="138" t="e">
        <f>IF(VLOOKUP(CONCATENATE(H117,F117,EM$2),Matemáticas!$A:$H,7,FALSE)=BA117,1,0)</f>
        <v>#N/A</v>
      </c>
      <c r="EN117" s="138" t="e">
        <f>IF(VLOOKUP(CONCATENATE(H117,F117,EN$2),Matemáticas!$A:$H,7,FALSE)=BB117,1,0)</f>
        <v>#N/A</v>
      </c>
      <c r="EO117" s="138" t="e">
        <f>IF(VLOOKUP(CONCATENATE(H117,F117,EO$2),Matemáticas!$A:$H,7,FALSE)=BC117,1,0)</f>
        <v>#N/A</v>
      </c>
      <c r="EP117" s="138" t="e">
        <f>IF(VLOOKUP(CONCATENATE(H117,F117,EP$2),Matemáticas!$A:$H,7,FALSE)=BD117,1,0)</f>
        <v>#N/A</v>
      </c>
      <c r="EQ117" s="138" t="e">
        <f>IF(VLOOKUP(CONCATENATE(H117,F117,EQ$2),Matemáticas!$A:$H,7,FALSE)=BE117,1,0)</f>
        <v>#N/A</v>
      </c>
      <c r="ER117" s="138" t="e">
        <f>IF(VLOOKUP(CONCATENATE(H117,F117,ER$2),Matemáticas!$A:$H,7,FALSE)=BF117,1,0)</f>
        <v>#N/A</v>
      </c>
      <c r="ES117" s="138" t="e">
        <f>IF(VLOOKUP(CONCATENATE(H117,F117,ES$2),Matemáticas!$A:$H,7,FALSE)=BG117,1,0)</f>
        <v>#N/A</v>
      </c>
      <c r="ET117" s="138" t="e">
        <f>IF(VLOOKUP(CONCATENATE(H117,F117,ET$2),Matemáticas!$A:$H,7,FALSE)=BH117,1,0)</f>
        <v>#N/A</v>
      </c>
      <c r="EU117" s="138" t="e">
        <f>IF(VLOOKUP(CONCATENATE(H117,F117,EU$2),Matemáticas!$A:$H,7,FALSE)=BI117,1,0)</f>
        <v>#N/A</v>
      </c>
      <c r="EV117" s="138" t="e">
        <f>IF(VLOOKUP(CONCATENATE(H117,F117,EV$2),Ciencias!$A:$H,7,FALSE)=BJ117,1,0)</f>
        <v>#N/A</v>
      </c>
      <c r="EW117" s="138" t="e">
        <f>IF(VLOOKUP(CONCATENATE(H117,F117,EW$2),Ciencias!$A:$H,7,FALSE)=BK117,1,0)</f>
        <v>#N/A</v>
      </c>
      <c r="EX117" s="138" t="e">
        <f>IF(VLOOKUP(CONCATENATE(H117,F117,EX$2),Ciencias!$A:$H,7,FALSE)=BL117,1,0)</f>
        <v>#N/A</v>
      </c>
      <c r="EY117" s="138" t="e">
        <f>IF(VLOOKUP(CONCATENATE(H117,F117,EY$2),Ciencias!$A:$H,7,FALSE)=BM117,1,0)</f>
        <v>#N/A</v>
      </c>
      <c r="EZ117" s="138" t="e">
        <f>IF(VLOOKUP(CONCATENATE(H117,F117,EZ$2),Ciencias!$A:$H,7,FALSE)=BN117,1,0)</f>
        <v>#N/A</v>
      </c>
      <c r="FA117" s="138" t="e">
        <f>IF(VLOOKUP(CONCATENATE(H117,F117,FA$2),Ciencias!$A:$H,7,FALSE)=BO117,1,0)</f>
        <v>#N/A</v>
      </c>
      <c r="FB117" s="138" t="e">
        <f>IF(VLOOKUP(CONCATENATE(H117,F117,FB$2),Ciencias!$A:$H,7,FALSE)=BP117,1,0)</f>
        <v>#N/A</v>
      </c>
      <c r="FC117" s="138" t="e">
        <f>IF(VLOOKUP(CONCATENATE(H117,F117,FC$2),Ciencias!$A:$H,7,FALSE)=BQ117,1,0)</f>
        <v>#N/A</v>
      </c>
      <c r="FD117" s="138" t="e">
        <f>IF(VLOOKUP(CONCATENATE(H117,F117,FD$2),Ciencias!$A:$H,7,FALSE)=BR117,1,0)</f>
        <v>#N/A</v>
      </c>
      <c r="FE117" s="138" t="e">
        <f>IF(VLOOKUP(CONCATENATE(H117,F117,FE$2),Ciencias!$A:$H,7,FALSE)=BS117,1,0)</f>
        <v>#N/A</v>
      </c>
      <c r="FF117" s="138" t="e">
        <f>IF(VLOOKUP(CONCATENATE(H117,F117,FF$2),Ciencias!$A:$H,7,FALSE)=BT117,1,0)</f>
        <v>#N/A</v>
      </c>
      <c r="FG117" s="138" t="e">
        <f>IF(VLOOKUP(CONCATENATE(H117,F117,FG$2),Ciencias!$A:$H,7,FALSE)=BU117,1,0)</f>
        <v>#N/A</v>
      </c>
      <c r="FH117" s="138" t="e">
        <f>IF(VLOOKUP(CONCATENATE(H117,F117,FH$2),Ciencias!$A:$H,7,FALSE)=BV117,1,0)</f>
        <v>#N/A</v>
      </c>
      <c r="FI117" s="138" t="e">
        <f>IF(VLOOKUP(CONCATENATE(H117,F117,FI$2),Ciencias!$A:$H,7,FALSE)=BW117,1,0)</f>
        <v>#N/A</v>
      </c>
      <c r="FJ117" s="138" t="e">
        <f>IF(VLOOKUP(CONCATENATE(H117,F117,FJ$2),Ciencias!$A:$H,7,FALSE)=BX117,1,0)</f>
        <v>#N/A</v>
      </c>
      <c r="FK117" s="138" t="e">
        <f>IF(VLOOKUP(CONCATENATE(H117,F117,FK$2),Ciencias!$A:$H,7,FALSE)=BY117,1,0)</f>
        <v>#N/A</v>
      </c>
      <c r="FL117" s="138" t="e">
        <f>IF(VLOOKUP(CONCATENATE(H117,F117,FL$2),Ciencias!$A:$H,7,FALSE)=BZ117,1,0)</f>
        <v>#N/A</v>
      </c>
      <c r="FM117" s="138" t="e">
        <f>IF(VLOOKUP(CONCATENATE(H117,F117,FM$2),Ciencias!$A:$H,7,FALSE)=CA117,1,0)</f>
        <v>#N/A</v>
      </c>
      <c r="FN117" s="138" t="e">
        <f>IF(VLOOKUP(CONCATENATE(H117,F117,FN$2),Ciencias!$A:$H,7,FALSE)=CB117,1,0)</f>
        <v>#N/A</v>
      </c>
      <c r="FO117" s="138" t="e">
        <f>IF(VLOOKUP(CONCATENATE(H117,F117,FO$2),Ciencias!$A:$H,7,FALSE)=CC117,1,0)</f>
        <v>#N/A</v>
      </c>
      <c r="FP117" s="138" t="e">
        <f>IF(VLOOKUP(CONCATENATE(H117,F117,FP$2),GeoHis!$A:$H,7,FALSE)=CD117,1,0)</f>
        <v>#N/A</v>
      </c>
      <c r="FQ117" s="138" t="e">
        <f>IF(VLOOKUP(CONCATENATE(H117,F117,FQ$2),GeoHis!$A:$H,7,FALSE)=CE117,1,0)</f>
        <v>#N/A</v>
      </c>
      <c r="FR117" s="138" t="e">
        <f>IF(VLOOKUP(CONCATENATE(H117,F117,FR$2),GeoHis!$A:$H,7,FALSE)=CF117,1,0)</f>
        <v>#N/A</v>
      </c>
      <c r="FS117" s="138" t="e">
        <f>IF(VLOOKUP(CONCATENATE(H117,F117,FS$2),GeoHis!$A:$H,7,FALSE)=CG117,1,0)</f>
        <v>#N/A</v>
      </c>
      <c r="FT117" s="138" t="e">
        <f>IF(VLOOKUP(CONCATENATE(H117,F117,FT$2),GeoHis!$A:$H,7,FALSE)=CH117,1,0)</f>
        <v>#N/A</v>
      </c>
      <c r="FU117" s="138" t="e">
        <f>IF(VLOOKUP(CONCATENATE(H117,F117,FU$2),GeoHis!$A:$H,7,FALSE)=CI117,1,0)</f>
        <v>#N/A</v>
      </c>
      <c r="FV117" s="138" t="e">
        <f>IF(VLOOKUP(CONCATENATE(H117,F117,FV$2),GeoHis!$A:$H,7,FALSE)=CJ117,1,0)</f>
        <v>#N/A</v>
      </c>
      <c r="FW117" s="138" t="e">
        <f>IF(VLOOKUP(CONCATENATE(H117,F117,FW$2),GeoHis!$A:$H,7,FALSE)=CK117,1,0)</f>
        <v>#N/A</v>
      </c>
      <c r="FX117" s="138" t="e">
        <f>IF(VLOOKUP(CONCATENATE(H117,F117,FX$2),GeoHis!$A:$H,7,FALSE)=CL117,1,0)</f>
        <v>#N/A</v>
      </c>
      <c r="FY117" s="138" t="e">
        <f>IF(VLOOKUP(CONCATENATE(H117,F117,FY$2),GeoHis!$A:$H,7,FALSE)=CM117,1,0)</f>
        <v>#N/A</v>
      </c>
      <c r="FZ117" s="138" t="e">
        <f>IF(VLOOKUP(CONCATENATE(H117,F117,FZ$2),GeoHis!$A:$H,7,FALSE)=CN117,1,0)</f>
        <v>#N/A</v>
      </c>
      <c r="GA117" s="138" t="e">
        <f>IF(VLOOKUP(CONCATENATE(H117,F117,GA$2),GeoHis!$A:$H,7,FALSE)=CO117,1,0)</f>
        <v>#N/A</v>
      </c>
      <c r="GB117" s="138" t="e">
        <f>IF(VLOOKUP(CONCATENATE(H117,F117,GB$2),GeoHis!$A:$H,7,FALSE)=CP117,1,0)</f>
        <v>#N/A</v>
      </c>
      <c r="GC117" s="138" t="e">
        <f>IF(VLOOKUP(CONCATENATE(H117,F117,GC$2),GeoHis!$A:$H,7,FALSE)=CQ117,1,0)</f>
        <v>#N/A</v>
      </c>
      <c r="GD117" s="138" t="e">
        <f>IF(VLOOKUP(CONCATENATE(H117,F117,GD$2),GeoHis!$A:$H,7,FALSE)=CR117,1,0)</f>
        <v>#N/A</v>
      </c>
      <c r="GE117" s="135" t="str">
        <f t="shared" si="15"/>
        <v/>
      </c>
    </row>
    <row r="118" spans="1:187" x14ac:dyDescent="0.25">
      <c r="A118" s="127" t="str">
        <f>IF(C118="","",'Datos Generales'!$A$25)</f>
        <v/>
      </c>
      <c r="D118" s="126" t="str">
        <f t="shared" si="8"/>
        <v/>
      </c>
      <c r="E118" s="126">
        <f t="shared" si="9"/>
        <v>0</v>
      </c>
      <c r="F118" s="126" t="str">
        <f t="shared" si="10"/>
        <v/>
      </c>
      <c r="G118" s="126" t="str">
        <f>IF(C118="","",'Datos Generales'!$D$19)</f>
        <v/>
      </c>
      <c r="H118" s="21" t="str">
        <f>IF(C118="","",'Datos Generales'!$A$19)</f>
        <v/>
      </c>
      <c r="I118" s="126" t="str">
        <f>IF(C118="","",'Datos Generales'!$A$7)</f>
        <v/>
      </c>
      <c r="J118" s="21" t="str">
        <f>IF(C118="","",'Datos Generales'!$A$13)</f>
        <v/>
      </c>
      <c r="K118" s="21" t="str">
        <f>IF(C118="","",'Datos Generales'!$A$10)</f>
        <v/>
      </c>
      <c r="CS118" s="142" t="str">
        <f t="shared" si="11"/>
        <v/>
      </c>
      <c r="CT118" s="142" t="str">
        <f t="shared" si="12"/>
        <v/>
      </c>
      <c r="CU118" s="142" t="str">
        <f t="shared" si="13"/>
        <v/>
      </c>
      <c r="CV118" s="142" t="str">
        <f t="shared" si="14"/>
        <v/>
      </c>
      <c r="CW118" s="142" t="str">
        <f>IF(C118="","",IF('Datos Generales'!$A$19=1,AVERAGE(FP118:GD118),AVERAGE(Captura!FP118:FY118)))</f>
        <v/>
      </c>
      <c r="CX118" s="138" t="e">
        <f>IF(VLOOKUP(CONCATENATE($H$4,$F$4,CX$2),Español!$A:$H,7,FALSE)=L118,1,0)</f>
        <v>#N/A</v>
      </c>
      <c r="CY118" s="138" t="e">
        <f>IF(VLOOKUP(CONCATENATE(H118,F118,CY$2),Español!$A:$H,7,FALSE)=M118,1,0)</f>
        <v>#N/A</v>
      </c>
      <c r="CZ118" s="138" t="e">
        <f>IF(VLOOKUP(CONCATENATE(H118,F118,CZ$2),Español!$A:$H,7,FALSE)=N118,1,0)</f>
        <v>#N/A</v>
      </c>
      <c r="DA118" s="138" t="e">
        <f>IF(VLOOKUP(CONCATENATE(H118,F118,DA$2),Español!$A:$H,7,FALSE)=O118,1,0)</f>
        <v>#N/A</v>
      </c>
      <c r="DB118" s="138" t="e">
        <f>IF(VLOOKUP(CONCATENATE(H118,F118,DB$2),Español!$A:$H,7,FALSE)=P118,1,0)</f>
        <v>#N/A</v>
      </c>
      <c r="DC118" s="138" t="e">
        <f>IF(VLOOKUP(CONCATENATE(H118,F118,DC$2),Español!$A:$H,7,FALSE)=Q118,1,0)</f>
        <v>#N/A</v>
      </c>
      <c r="DD118" s="138" t="e">
        <f>IF(VLOOKUP(CONCATENATE(H118,F118,DD$2),Español!$A:$H,7,FALSE)=R118,1,0)</f>
        <v>#N/A</v>
      </c>
      <c r="DE118" s="138" t="e">
        <f>IF(VLOOKUP(CONCATENATE(H118,F118,DE$2),Español!$A:$H,7,FALSE)=S118,1,0)</f>
        <v>#N/A</v>
      </c>
      <c r="DF118" s="138" t="e">
        <f>IF(VLOOKUP(CONCATENATE(H118,F118,DF$2),Español!$A:$H,7,FALSE)=T118,1,0)</f>
        <v>#N/A</v>
      </c>
      <c r="DG118" s="138" t="e">
        <f>IF(VLOOKUP(CONCATENATE(H118,F118,DG$2),Español!$A:$H,7,FALSE)=U118,1,0)</f>
        <v>#N/A</v>
      </c>
      <c r="DH118" s="138" t="e">
        <f>IF(VLOOKUP(CONCATENATE(H118,F118,DH$2),Español!$A:$H,7,FALSE)=V118,1,0)</f>
        <v>#N/A</v>
      </c>
      <c r="DI118" s="138" t="e">
        <f>IF(VLOOKUP(CONCATENATE(H118,F118,DI$2),Español!$A:$H,7,FALSE)=W118,1,0)</f>
        <v>#N/A</v>
      </c>
      <c r="DJ118" s="138" t="e">
        <f>IF(VLOOKUP(CONCATENATE(H118,F118,DJ$2),Español!$A:$H,7,FALSE)=X118,1,0)</f>
        <v>#N/A</v>
      </c>
      <c r="DK118" s="138" t="e">
        <f>IF(VLOOKUP(CONCATENATE(H118,F118,DK$2),Español!$A:$H,7,FALSE)=Y118,1,0)</f>
        <v>#N/A</v>
      </c>
      <c r="DL118" s="138" t="e">
        <f>IF(VLOOKUP(CONCATENATE(H118,F118,DL$2),Español!$A:$H,7,FALSE)=Z118,1,0)</f>
        <v>#N/A</v>
      </c>
      <c r="DM118" s="138" t="e">
        <f>IF(VLOOKUP(CONCATENATE(H118,F118,DM$2),Español!$A:$H,7,FALSE)=AA118,1,0)</f>
        <v>#N/A</v>
      </c>
      <c r="DN118" s="138" t="e">
        <f>IF(VLOOKUP(CONCATENATE(H118,F118,DN$2),Español!$A:$H,7,FALSE)=AB118,1,0)</f>
        <v>#N/A</v>
      </c>
      <c r="DO118" s="138" t="e">
        <f>IF(VLOOKUP(CONCATENATE(H118,F118,DO$2),Español!$A:$H,7,FALSE)=AC118,1,0)</f>
        <v>#N/A</v>
      </c>
      <c r="DP118" s="138" t="e">
        <f>IF(VLOOKUP(CONCATENATE(H118,F118,DP$2),Español!$A:$H,7,FALSE)=AD118,1,0)</f>
        <v>#N/A</v>
      </c>
      <c r="DQ118" s="138" t="e">
        <f>IF(VLOOKUP(CONCATENATE(H118,F118,DQ$2),Español!$A:$H,7,FALSE)=AE118,1,0)</f>
        <v>#N/A</v>
      </c>
      <c r="DR118" s="138" t="e">
        <f>IF(VLOOKUP(CONCATENATE(H118,F118,DR$2),Inglés!$A:$H,7,FALSE)=AF118,1,0)</f>
        <v>#N/A</v>
      </c>
      <c r="DS118" s="138" t="e">
        <f>IF(VLOOKUP(CONCATENATE(H118,F118,DS$2),Inglés!$A:$H,7,FALSE)=AG118,1,0)</f>
        <v>#N/A</v>
      </c>
      <c r="DT118" s="138" t="e">
        <f>IF(VLOOKUP(CONCATENATE(H118,F118,DT$2),Inglés!$A:$H,7,FALSE)=AH118,1,0)</f>
        <v>#N/A</v>
      </c>
      <c r="DU118" s="138" t="e">
        <f>IF(VLOOKUP(CONCATENATE(H118,F118,DU$2),Inglés!$A:$H,7,FALSE)=AI118,1,0)</f>
        <v>#N/A</v>
      </c>
      <c r="DV118" s="138" t="e">
        <f>IF(VLOOKUP(CONCATENATE(H118,F118,DV$2),Inglés!$A:$H,7,FALSE)=AJ118,1,0)</f>
        <v>#N/A</v>
      </c>
      <c r="DW118" s="138" t="e">
        <f>IF(VLOOKUP(CONCATENATE(H118,F118,DW$2),Inglés!$A:$H,7,FALSE)=AK118,1,0)</f>
        <v>#N/A</v>
      </c>
      <c r="DX118" s="138" t="e">
        <f>IF(VLOOKUP(CONCATENATE(H118,F118,DX$2),Inglés!$A:$H,7,FALSE)=AL118,1,0)</f>
        <v>#N/A</v>
      </c>
      <c r="DY118" s="138" t="e">
        <f>IF(VLOOKUP(CONCATENATE(H118,F118,DY$2),Inglés!$A:$H,7,FALSE)=AM118,1,0)</f>
        <v>#N/A</v>
      </c>
      <c r="DZ118" s="138" t="e">
        <f>IF(VLOOKUP(CONCATENATE(H118,F118,DZ$2),Inglés!$A:$H,7,FALSE)=AN118,1,0)</f>
        <v>#N/A</v>
      </c>
      <c r="EA118" s="138" t="e">
        <f>IF(VLOOKUP(CONCATENATE(H118,F118,EA$2),Inglés!$A:$H,7,FALSE)=AO118,1,0)</f>
        <v>#N/A</v>
      </c>
      <c r="EB118" s="138" t="e">
        <f>IF(VLOOKUP(CONCATENATE(H118,F118,EB$2),Matemáticas!$A:$H,7,FALSE)=AP118,1,0)</f>
        <v>#N/A</v>
      </c>
      <c r="EC118" s="138" t="e">
        <f>IF(VLOOKUP(CONCATENATE(H118,F118,EC$2),Matemáticas!$A:$H,7,FALSE)=AQ118,1,0)</f>
        <v>#N/A</v>
      </c>
      <c r="ED118" s="138" t="e">
        <f>IF(VLOOKUP(CONCATENATE(H118,F118,ED$2),Matemáticas!$A:$H,7,FALSE)=AR118,1,0)</f>
        <v>#N/A</v>
      </c>
      <c r="EE118" s="138" t="e">
        <f>IF(VLOOKUP(CONCATENATE(H118,F118,EE$2),Matemáticas!$A:$H,7,FALSE)=AS118,1,0)</f>
        <v>#N/A</v>
      </c>
      <c r="EF118" s="138" t="e">
        <f>IF(VLOOKUP(CONCATENATE(H118,F118,EF$2),Matemáticas!$A:$H,7,FALSE)=AT118,1,0)</f>
        <v>#N/A</v>
      </c>
      <c r="EG118" s="138" t="e">
        <f>IF(VLOOKUP(CONCATENATE(H118,F118,EG$2),Matemáticas!$A:$H,7,FALSE)=AU118,1,0)</f>
        <v>#N/A</v>
      </c>
      <c r="EH118" s="138" t="e">
        <f>IF(VLOOKUP(CONCATENATE(H118,F118,EH$2),Matemáticas!$A:$H,7,FALSE)=AV118,1,0)</f>
        <v>#N/A</v>
      </c>
      <c r="EI118" s="138" t="e">
        <f>IF(VLOOKUP(CONCATENATE(H118,F118,EI$2),Matemáticas!$A:$H,7,FALSE)=AW118,1,0)</f>
        <v>#N/A</v>
      </c>
      <c r="EJ118" s="138" t="e">
        <f>IF(VLOOKUP(CONCATENATE(H118,F118,EJ$2),Matemáticas!$A:$H,7,FALSE)=AX118,1,0)</f>
        <v>#N/A</v>
      </c>
      <c r="EK118" s="138" t="e">
        <f>IF(VLOOKUP(CONCATENATE(H118,F118,EK$2),Matemáticas!$A:$H,7,FALSE)=AY118,1,0)</f>
        <v>#N/A</v>
      </c>
      <c r="EL118" s="138" t="e">
        <f>IF(VLOOKUP(CONCATENATE(H118,F118,EL$2),Matemáticas!$A:$H,7,FALSE)=AZ118,1,0)</f>
        <v>#N/A</v>
      </c>
      <c r="EM118" s="138" t="e">
        <f>IF(VLOOKUP(CONCATENATE(H118,F118,EM$2),Matemáticas!$A:$H,7,FALSE)=BA118,1,0)</f>
        <v>#N/A</v>
      </c>
      <c r="EN118" s="138" t="e">
        <f>IF(VLOOKUP(CONCATENATE(H118,F118,EN$2),Matemáticas!$A:$H,7,FALSE)=BB118,1,0)</f>
        <v>#N/A</v>
      </c>
      <c r="EO118" s="138" t="e">
        <f>IF(VLOOKUP(CONCATENATE(H118,F118,EO$2),Matemáticas!$A:$H,7,FALSE)=BC118,1,0)</f>
        <v>#N/A</v>
      </c>
      <c r="EP118" s="138" t="e">
        <f>IF(VLOOKUP(CONCATENATE(H118,F118,EP$2),Matemáticas!$A:$H,7,FALSE)=BD118,1,0)</f>
        <v>#N/A</v>
      </c>
      <c r="EQ118" s="138" t="e">
        <f>IF(VLOOKUP(CONCATENATE(H118,F118,EQ$2),Matemáticas!$A:$H,7,FALSE)=BE118,1,0)</f>
        <v>#N/A</v>
      </c>
      <c r="ER118" s="138" t="e">
        <f>IF(VLOOKUP(CONCATENATE(H118,F118,ER$2),Matemáticas!$A:$H,7,FALSE)=BF118,1,0)</f>
        <v>#N/A</v>
      </c>
      <c r="ES118" s="138" t="e">
        <f>IF(VLOOKUP(CONCATENATE(H118,F118,ES$2),Matemáticas!$A:$H,7,FALSE)=BG118,1,0)</f>
        <v>#N/A</v>
      </c>
      <c r="ET118" s="138" t="e">
        <f>IF(VLOOKUP(CONCATENATE(H118,F118,ET$2),Matemáticas!$A:$H,7,FALSE)=BH118,1,0)</f>
        <v>#N/A</v>
      </c>
      <c r="EU118" s="138" t="e">
        <f>IF(VLOOKUP(CONCATENATE(H118,F118,EU$2),Matemáticas!$A:$H,7,FALSE)=BI118,1,0)</f>
        <v>#N/A</v>
      </c>
      <c r="EV118" s="138" t="e">
        <f>IF(VLOOKUP(CONCATENATE(H118,F118,EV$2),Ciencias!$A:$H,7,FALSE)=BJ118,1,0)</f>
        <v>#N/A</v>
      </c>
      <c r="EW118" s="138" t="e">
        <f>IF(VLOOKUP(CONCATENATE(H118,F118,EW$2),Ciencias!$A:$H,7,FALSE)=BK118,1,0)</f>
        <v>#N/A</v>
      </c>
      <c r="EX118" s="138" t="e">
        <f>IF(VLOOKUP(CONCATENATE(H118,F118,EX$2),Ciencias!$A:$H,7,FALSE)=BL118,1,0)</f>
        <v>#N/A</v>
      </c>
      <c r="EY118" s="138" t="e">
        <f>IF(VLOOKUP(CONCATENATE(H118,F118,EY$2),Ciencias!$A:$H,7,FALSE)=BM118,1,0)</f>
        <v>#N/A</v>
      </c>
      <c r="EZ118" s="138" t="e">
        <f>IF(VLOOKUP(CONCATENATE(H118,F118,EZ$2),Ciencias!$A:$H,7,FALSE)=BN118,1,0)</f>
        <v>#N/A</v>
      </c>
      <c r="FA118" s="138" t="e">
        <f>IF(VLOOKUP(CONCATENATE(H118,F118,FA$2),Ciencias!$A:$H,7,FALSE)=BO118,1,0)</f>
        <v>#N/A</v>
      </c>
      <c r="FB118" s="138" t="e">
        <f>IF(VLOOKUP(CONCATENATE(H118,F118,FB$2),Ciencias!$A:$H,7,FALSE)=BP118,1,0)</f>
        <v>#N/A</v>
      </c>
      <c r="FC118" s="138" t="e">
        <f>IF(VLOOKUP(CONCATENATE(H118,F118,FC$2),Ciencias!$A:$H,7,FALSE)=BQ118,1,0)</f>
        <v>#N/A</v>
      </c>
      <c r="FD118" s="138" t="e">
        <f>IF(VLOOKUP(CONCATENATE(H118,F118,FD$2),Ciencias!$A:$H,7,FALSE)=BR118,1,0)</f>
        <v>#N/A</v>
      </c>
      <c r="FE118" s="138" t="e">
        <f>IF(VLOOKUP(CONCATENATE(H118,F118,FE$2),Ciencias!$A:$H,7,FALSE)=BS118,1,0)</f>
        <v>#N/A</v>
      </c>
      <c r="FF118" s="138" t="e">
        <f>IF(VLOOKUP(CONCATENATE(H118,F118,FF$2),Ciencias!$A:$H,7,FALSE)=BT118,1,0)</f>
        <v>#N/A</v>
      </c>
      <c r="FG118" s="138" t="e">
        <f>IF(VLOOKUP(CONCATENATE(H118,F118,FG$2),Ciencias!$A:$H,7,FALSE)=BU118,1,0)</f>
        <v>#N/A</v>
      </c>
      <c r="FH118" s="138" t="e">
        <f>IF(VLOOKUP(CONCATENATE(H118,F118,FH$2),Ciencias!$A:$H,7,FALSE)=BV118,1,0)</f>
        <v>#N/A</v>
      </c>
      <c r="FI118" s="138" t="e">
        <f>IF(VLOOKUP(CONCATENATE(H118,F118,FI$2),Ciencias!$A:$H,7,FALSE)=BW118,1,0)</f>
        <v>#N/A</v>
      </c>
      <c r="FJ118" s="138" t="e">
        <f>IF(VLOOKUP(CONCATENATE(H118,F118,FJ$2),Ciencias!$A:$H,7,FALSE)=BX118,1,0)</f>
        <v>#N/A</v>
      </c>
      <c r="FK118" s="138" t="e">
        <f>IF(VLOOKUP(CONCATENATE(H118,F118,FK$2),Ciencias!$A:$H,7,FALSE)=BY118,1,0)</f>
        <v>#N/A</v>
      </c>
      <c r="FL118" s="138" t="e">
        <f>IF(VLOOKUP(CONCATENATE(H118,F118,FL$2),Ciencias!$A:$H,7,FALSE)=BZ118,1,0)</f>
        <v>#N/A</v>
      </c>
      <c r="FM118" s="138" t="e">
        <f>IF(VLOOKUP(CONCATENATE(H118,F118,FM$2),Ciencias!$A:$H,7,FALSE)=CA118,1,0)</f>
        <v>#N/A</v>
      </c>
      <c r="FN118" s="138" t="e">
        <f>IF(VLOOKUP(CONCATENATE(H118,F118,FN$2),Ciencias!$A:$H,7,FALSE)=CB118,1,0)</f>
        <v>#N/A</v>
      </c>
      <c r="FO118" s="138" t="e">
        <f>IF(VLOOKUP(CONCATENATE(H118,F118,FO$2),Ciencias!$A:$H,7,FALSE)=CC118,1,0)</f>
        <v>#N/A</v>
      </c>
      <c r="FP118" s="138" t="e">
        <f>IF(VLOOKUP(CONCATENATE(H118,F118,FP$2),GeoHis!$A:$H,7,FALSE)=CD118,1,0)</f>
        <v>#N/A</v>
      </c>
      <c r="FQ118" s="138" t="e">
        <f>IF(VLOOKUP(CONCATENATE(H118,F118,FQ$2),GeoHis!$A:$H,7,FALSE)=CE118,1,0)</f>
        <v>#N/A</v>
      </c>
      <c r="FR118" s="138" t="e">
        <f>IF(VLOOKUP(CONCATENATE(H118,F118,FR$2),GeoHis!$A:$H,7,FALSE)=CF118,1,0)</f>
        <v>#N/A</v>
      </c>
      <c r="FS118" s="138" t="e">
        <f>IF(VLOOKUP(CONCATENATE(H118,F118,FS$2),GeoHis!$A:$H,7,FALSE)=CG118,1,0)</f>
        <v>#N/A</v>
      </c>
      <c r="FT118" s="138" t="e">
        <f>IF(VLOOKUP(CONCATENATE(H118,F118,FT$2),GeoHis!$A:$H,7,FALSE)=CH118,1,0)</f>
        <v>#N/A</v>
      </c>
      <c r="FU118" s="138" t="e">
        <f>IF(VLOOKUP(CONCATENATE(H118,F118,FU$2),GeoHis!$A:$H,7,FALSE)=CI118,1,0)</f>
        <v>#N/A</v>
      </c>
      <c r="FV118" s="138" t="e">
        <f>IF(VLOOKUP(CONCATENATE(H118,F118,FV$2),GeoHis!$A:$H,7,FALSE)=CJ118,1,0)</f>
        <v>#N/A</v>
      </c>
      <c r="FW118" s="138" t="e">
        <f>IF(VLOOKUP(CONCATENATE(H118,F118,FW$2),GeoHis!$A:$H,7,FALSE)=CK118,1,0)</f>
        <v>#N/A</v>
      </c>
      <c r="FX118" s="138" t="e">
        <f>IF(VLOOKUP(CONCATENATE(H118,F118,FX$2),GeoHis!$A:$H,7,FALSE)=CL118,1,0)</f>
        <v>#N/A</v>
      </c>
      <c r="FY118" s="138" t="e">
        <f>IF(VLOOKUP(CONCATENATE(H118,F118,FY$2),GeoHis!$A:$H,7,FALSE)=CM118,1,0)</f>
        <v>#N/A</v>
      </c>
      <c r="FZ118" s="138" t="e">
        <f>IF(VLOOKUP(CONCATENATE(H118,F118,FZ$2),GeoHis!$A:$H,7,FALSE)=CN118,1,0)</f>
        <v>#N/A</v>
      </c>
      <c r="GA118" s="138" t="e">
        <f>IF(VLOOKUP(CONCATENATE(H118,F118,GA$2),GeoHis!$A:$H,7,FALSE)=CO118,1,0)</f>
        <v>#N/A</v>
      </c>
      <c r="GB118" s="138" t="e">
        <f>IF(VLOOKUP(CONCATENATE(H118,F118,GB$2),GeoHis!$A:$H,7,FALSE)=CP118,1,0)</f>
        <v>#N/A</v>
      </c>
      <c r="GC118" s="138" t="e">
        <f>IF(VLOOKUP(CONCATENATE(H118,F118,GC$2),GeoHis!$A:$H,7,FALSE)=CQ118,1,0)</f>
        <v>#N/A</v>
      </c>
      <c r="GD118" s="138" t="e">
        <f>IF(VLOOKUP(CONCATENATE(H118,F118,GD$2),GeoHis!$A:$H,7,FALSE)=CR118,1,0)</f>
        <v>#N/A</v>
      </c>
      <c r="GE118" s="135" t="str">
        <f t="shared" si="15"/>
        <v/>
      </c>
    </row>
    <row r="119" spans="1:187" x14ac:dyDescent="0.25">
      <c r="A119" s="127" t="str">
        <f>IF(C119="","",'Datos Generales'!$A$25)</f>
        <v/>
      </c>
      <c r="D119" s="126" t="str">
        <f t="shared" si="8"/>
        <v/>
      </c>
      <c r="E119" s="126">
        <f t="shared" si="9"/>
        <v>0</v>
      </c>
      <c r="F119" s="126" t="str">
        <f t="shared" si="10"/>
        <v/>
      </c>
      <c r="G119" s="126" t="str">
        <f>IF(C119="","",'Datos Generales'!$D$19)</f>
        <v/>
      </c>
      <c r="H119" s="21" t="str">
        <f>IF(C119="","",'Datos Generales'!$A$19)</f>
        <v/>
      </c>
      <c r="I119" s="126" t="str">
        <f>IF(C119="","",'Datos Generales'!$A$7)</f>
        <v/>
      </c>
      <c r="J119" s="21" t="str">
        <f>IF(C119="","",'Datos Generales'!$A$13)</f>
        <v/>
      </c>
      <c r="K119" s="21" t="str">
        <f>IF(C119="","",'Datos Generales'!$A$10)</f>
        <v/>
      </c>
      <c r="CS119" s="142" t="str">
        <f t="shared" si="11"/>
        <v/>
      </c>
      <c r="CT119" s="142" t="str">
        <f t="shared" si="12"/>
        <v/>
      </c>
      <c r="CU119" s="142" t="str">
        <f t="shared" si="13"/>
        <v/>
      </c>
      <c r="CV119" s="142" t="str">
        <f t="shared" si="14"/>
        <v/>
      </c>
      <c r="CW119" s="142" t="str">
        <f>IF(C119="","",IF('Datos Generales'!$A$19=1,AVERAGE(FP119:GD119),AVERAGE(Captura!FP119:FY119)))</f>
        <v/>
      </c>
      <c r="CX119" s="138" t="e">
        <f>IF(VLOOKUP(CONCATENATE($H$4,$F$4,CX$2),Español!$A:$H,7,FALSE)=L119,1,0)</f>
        <v>#N/A</v>
      </c>
      <c r="CY119" s="138" t="e">
        <f>IF(VLOOKUP(CONCATENATE(H119,F119,CY$2),Español!$A:$H,7,FALSE)=M119,1,0)</f>
        <v>#N/A</v>
      </c>
      <c r="CZ119" s="138" t="e">
        <f>IF(VLOOKUP(CONCATENATE(H119,F119,CZ$2),Español!$A:$H,7,FALSE)=N119,1,0)</f>
        <v>#N/A</v>
      </c>
      <c r="DA119" s="138" t="e">
        <f>IF(VLOOKUP(CONCATENATE(H119,F119,DA$2),Español!$A:$H,7,FALSE)=O119,1,0)</f>
        <v>#N/A</v>
      </c>
      <c r="DB119" s="138" t="e">
        <f>IF(VLOOKUP(CONCATENATE(H119,F119,DB$2),Español!$A:$H,7,FALSE)=P119,1,0)</f>
        <v>#N/A</v>
      </c>
      <c r="DC119" s="138" t="e">
        <f>IF(VLOOKUP(CONCATENATE(H119,F119,DC$2),Español!$A:$H,7,FALSE)=Q119,1,0)</f>
        <v>#N/A</v>
      </c>
      <c r="DD119" s="138" t="e">
        <f>IF(VLOOKUP(CONCATENATE(H119,F119,DD$2),Español!$A:$H,7,FALSE)=R119,1,0)</f>
        <v>#N/A</v>
      </c>
      <c r="DE119" s="138" t="e">
        <f>IF(VLOOKUP(CONCATENATE(H119,F119,DE$2),Español!$A:$H,7,FALSE)=S119,1,0)</f>
        <v>#N/A</v>
      </c>
      <c r="DF119" s="138" t="e">
        <f>IF(VLOOKUP(CONCATENATE(H119,F119,DF$2),Español!$A:$H,7,FALSE)=T119,1,0)</f>
        <v>#N/A</v>
      </c>
      <c r="DG119" s="138" t="e">
        <f>IF(VLOOKUP(CONCATENATE(H119,F119,DG$2),Español!$A:$H,7,FALSE)=U119,1,0)</f>
        <v>#N/A</v>
      </c>
      <c r="DH119" s="138" t="e">
        <f>IF(VLOOKUP(CONCATENATE(H119,F119,DH$2),Español!$A:$H,7,FALSE)=V119,1,0)</f>
        <v>#N/A</v>
      </c>
      <c r="DI119" s="138" t="e">
        <f>IF(VLOOKUP(CONCATENATE(H119,F119,DI$2),Español!$A:$H,7,FALSE)=W119,1,0)</f>
        <v>#N/A</v>
      </c>
      <c r="DJ119" s="138" t="e">
        <f>IF(VLOOKUP(CONCATENATE(H119,F119,DJ$2),Español!$A:$H,7,FALSE)=X119,1,0)</f>
        <v>#N/A</v>
      </c>
      <c r="DK119" s="138" t="e">
        <f>IF(VLOOKUP(CONCATENATE(H119,F119,DK$2),Español!$A:$H,7,FALSE)=Y119,1,0)</f>
        <v>#N/A</v>
      </c>
      <c r="DL119" s="138" t="e">
        <f>IF(VLOOKUP(CONCATENATE(H119,F119,DL$2),Español!$A:$H,7,FALSE)=Z119,1,0)</f>
        <v>#N/A</v>
      </c>
      <c r="DM119" s="138" t="e">
        <f>IF(VLOOKUP(CONCATENATE(H119,F119,DM$2),Español!$A:$H,7,FALSE)=AA119,1,0)</f>
        <v>#N/A</v>
      </c>
      <c r="DN119" s="138" t="e">
        <f>IF(VLOOKUP(CONCATENATE(H119,F119,DN$2),Español!$A:$H,7,FALSE)=AB119,1,0)</f>
        <v>#N/A</v>
      </c>
      <c r="DO119" s="138" t="e">
        <f>IF(VLOOKUP(CONCATENATE(H119,F119,DO$2),Español!$A:$H,7,FALSE)=AC119,1,0)</f>
        <v>#N/A</v>
      </c>
      <c r="DP119" s="138" t="e">
        <f>IF(VLOOKUP(CONCATENATE(H119,F119,DP$2),Español!$A:$H,7,FALSE)=AD119,1,0)</f>
        <v>#N/A</v>
      </c>
      <c r="DQ119" s="138" t="e">
        <f>IF(VLOOKUP(CONCATENATE(H119,F119,DQ$2),Español!$A:$H,7,FALSE)=AE119,1,0)</f>
        <v>#N/A</v>
      </c>
      <c r="DR119" s="138" t="e">
        <f>IF(VLOOKUP(CONCATENATE(H119,F119,DR$2),Inglés!$A:$H,7,FALSE)=AF119,1,0)</f>
        <v>#N/A</v>
      </c>
      <c r="DS119" s="138" t="e">
        <f>IF(VLOOKUP(CONCATENATE(H119,F119,DS$2),Inglés!$A:$H,7,FALSE)=AG119,1,0)</f>
        <v>#N/A</v>
      </c>
      <c r="DT119" s="138" t="e">
        <f>IF(VLOOKUP(CONCATENATE(H119,F119,DT$2),Inglés!$A:$H,7,FALSE)=AH119,1,0)</f>
        <v>#N/A</v>
      </c>
      <c r="DU119" s="138" t="e">
        <f>IF(VLOOKUP(CONCATENATE(H119,F119,DU$2),Inglés!$A:$H,7,FALSE)=AI119,1,0)</f>
        <v>#N/A</v>
      </c>
      <c r="DV119" s="138" t="e">
        <f>IF(VLOOKUP(CONCATENATE(H119,F119,DV$2),Inglés!$A:$H,7,FALSE)=AJ119,1,0)</f>
        <v>#N/A</v>
      </c>
      <c r="DW119" s="138" t="e">
        <f>IF(VLOOKUP(CONCATENATE(H119,F119,DW$2),Inglés!$A:$H,7,FALSE)=AK119,1,0)</f>
        <v>#N/A</v>
      </c>
      <c r="DX119" s="138" t="e">
        <f>IF(VLOOKUP(CONCATENATE(H119,F119,DX$2),Inglés!$A:$H,7,FALSE)=AL119,1,0)</f>
        <v>#N/A</v>
      </c>
      <c r="DY119" s="138" t="e">
        <f>IF(VLOOKUP(CONCATENATE(H119,F119,DY$2),Inglés!$A:$H,7,FALSE)=AM119,1,0)</f>
        <v>#N/A</v>
      </c>
      <c r="DZ119" s="138" t="e">
        <f>IF(VLOOKUP(CONCATENATE(H119,F119,DZ$2),Inglés!$A:$H,7,FALSE)=AN119,1,0)</f>
        <v>#N/A</v>
      </c>
      <c r="EA119" s="138" t="e">
        <f>IF(VLOOKUP(CONCATENATE(H119,F119,EA$2),Inglés!$A:$H,7,FALSE)=AO119,1,0)</f>
        <v>#N/A</v>
      </c>
      <c r="EB119" s="138" t="e">
        <f>IF(VLOOKUP(CONCATENATE(H119,F119,EB$2),Matemáticas!$A:$H,7,FALSE)=AP119,1,0)</f>
        <v>#N/A</v>
      </c>
      <c r="EC119" s="138" t="e">
        <f>IF(VLOOKUP(CONCATENATE(H119,F119,EC$2),Matemáticas!$A:$H,7,FALSE)=AQ119,1,0)</f>
        <v>#N/A</v>
      </c>
      <c r="ED119" s="138" t="e">
        <f>IF(VLOOKUP(CONCATENATE(H119,F119,ED$2),Matemáticas!$A:$H,7,FALSE)=AR119,1,0)</f>
        <v>#N/A</v>
      </c>
      <c r="EE119" s="138" t="e">
        <f>IF(VLOOKUP(CONCATENATE(H119,F119,EE$2),Matemáticas!$A:$H,7,FALSE)=AS119,1,0)</f>
        <v>#N/A</v>
      </c>
      <c r="EF119" s="138" t="e">
        <f>IF(VLOOKUP(CONCATENATE(H119,F119,EF$2),Matemáticas!$A:$H,7,FALSE)=AT119,1,0)</f>
        <v>#N/A</v>
      </c>
      <c r="EG119" s="138" t="e">
        <f>IF(VLOOKUP(CONCATENATE(H119,F119,EG$2),Matemáticas!$A:$H,7,FALSE)=AU119,1,0)</f>
        <v>#N/A</v>
      </c>
      <c r="EH119" s="138" t="e">
        <f>IF(VLOOKUP(CONCATENATE(H119,F119,EH$2),Matemáticas!$A:$H,7,FALSE)=AV119,1,0)</f>
        <v>#N/A</v>
      </c>
      <c r="EI119" s="138" t="e">
        <f>IF(VLOOKUP(CONCATENATE(H119,F119,EI$2),Matemáticas!$A:$H,7,FALSE)=AW119,1,0)</f>
        <v>#N/A</v>
      </c>
      <c r="EJ119" s="138" t="e">
        <f>IF(VLOOKUP(CONCATENATE(H119,F119,EJ$2),Matemáticas!$A:$H,7,FALSE)=AX119,1,0)</f>
        <v>#N/A</v>
      </c>
      <c r="EK119" s="138" t="e">
        <f>IF(VLOOKUP(CONCATENATE(H119,F119,EK$2),Matemáticas!$A:$H,7,FALSE)=AY119,1,0)</f>
        <v>#N/A</v>
      </c>
      <c r="EL119" s="138" t="e">
        <f>IF(VLOOKUP(CONCATENATE(H119,F119,EL$2),Matemáticas!$A:$H,7,FALSE)=AZ119,1,0)</f>
        <v>#N/A</v>
      </c>
      <c r="EM119" s="138" t="e">
        <f>IF(VLOOKUP(CONCATENATE(H119,F119,EM$2),Matemáticas!$A:$H,7,FALSE)=BA119,1,0)</f>
        <v>#N/A</v>
      </c>
      <c r="EN119" s="138" t="e">
        <f>IF(VLOOKUP(CONCATENATE(H119,F119,EN$2),Matemáticas!$A:$H,7,FALSE)=BB119,1,0)</f>
        <v>#N/A</v>
      </c>
      <c r="EO119" s="138" t="e">
        <f>IF(VLOOKUP(CONCATENATE(H119,F119,EO$2),Matemáticas!$A:$H,7,FALSE)=BC119,1,0)</f>
        <v>#N/A</v>
      </c>
      <c r="EP119" s="138" t="e">
        <f>IF(VLOOKUP(CONCATENATE(H119,F119,EP$2),Matemáticas!$A:$H,7,FALSE)=BD119,1,0)</f>
        <v>#N/A</v>
      </c>
      <c r="EQ119" s="138" t="e">
        <f>IF(VLOOKUP(CONCATENATE(H119,F119,EQ$2),Matemáticas!$A:$H,7,FALSE)=BE119,1,0)</f>
        <v>#N/A</v>
      </c>
      <c r="ER119" s="138" t="e">
        <f>IF(VLOOKUP(CONCATENATE(H119,F119,ER$2),Matemáticas!$A:$H,7,FALSE)=BF119,1,0)</f>
        <v>#N/A</v>
      </c>
      <c r="ES119" s="138" t="e">
        <f>IF(VLOOKUP(CONCATENATE(H119,F119,ES$2),Matemáticas!$A:$H,7,FALSE)=BG119,1,0)</f>
        <v>#N/A</v>
      </c>
      <c r="ET119" s="138" t="e">
        <f>IF(VLOOKUP(CONCATENATE(H119,F119,ET$2),Matemáticas!$A:$H,7,FALSE)=BH119,1,0)</f>
        <v>#N/A</v>
      </c>
      <c r="EU119" s="138" t="e">
        <f>IF(VLOOKUP(CONCATENATE(H119,F119,EU$2),Matemáticas!$A:$H,7,FALSE)=BI119,1,0)</f>
        <v>#N/A</v>
      </c>
      <c r="EV119" s="138" t="e">
        <f>IF(VLOOKUP(CONCATENATE(H119,F119,EV$2),Ciencias!$A:$H,7,FALSE)=BJ119,1,0)</f>
        <v>#N/A</v>
      </c>
      <c r="EW119" s="138" t="e">
        <f>IF(VLOOKUP(CONCATENATE(H119,F119,EW$2),Ciencias!$A:$H,7,FALSE)=BK119,1,0)</f>
        <v>#N/A</v>
      </c>
      <c r="EX119" s="138" t="e">
        <f>IF(VLOOKUP(CONCATENATE(H119,F119,EX$2),Ciencias!$A:$H,7,FALSE)=BL119,1,0)</f>
        <v>#N/A</v>
      </c>
      <c r="EY119" s="138" t="e">
        <f>IF(VLOOKUP(CONCATENATE(H119,F119,EY$2),Ciencias!$A:$H,7,FALSE)=BM119,1,0)</f>
        <v>#N/A</v>
      </c>
      <c r="EZ119" s="138" t="e">
        <f>IF(VLOOKUP(CONCATENATE(H119,F119,EZ$2),Ciencias!$A:$H,7,FALSE)=BN119,1,0)</f>
        <v>#N/A</v>
      </c>
      <c r="FA119" s="138" t="e">
        <f>IF(VLOOKUP(CONCATENATE(H119,F119,FA$2),Ciencias!$A:$H,7,FALSE)=BO119,1,0)</f>
        <v>#N/A</v>
      </c>
      <c r="FB119" s="138" t="e">
        <f>IF(VLOOKUP(CONCATENATE(H119,F119,FB$2),Ciencias!$A:$H,7,FALSE)=BP119,1,0)</f>
        <v>#N/A</v>
      </c>
      <c r="FC119" s="138" t="e">
        <f>IF(VLOOKUP(CONCATENATE(H119,F119,FC$2),Ciencias!$A:$H,7,FALSE)=BQ119,1,0)</f>
        <v>#N/A</v>
      </c>
      <c r="FD119" s="138" t="e">
        <f>IF(VLOOKUP(CONCATENATE(H119,F119,FD$2),Ciencias!$A:$H,7,FALSE)=BR119,1,0)</f>
        <v>#N/A</v>
      </c>
      <c r="FE119" s="138" t="e">
        <f>IF(VLOOKUP(CONCATENATE(H119,F119,FE$2),Ciencias!$A:$H,7,FALSE)=BS119,1,0)</f>
        <v>#N/A</v>
      </c>
      <c r="FF119" s="138" t="e">
        <f>IF(VLOOKUP(CONCATENATE(H119,F119,FF$2),Ciencias!$A:$H,7,FALSE)=BT119,1,0)</f>
        <v>#N/A</v>
      </c>
      <c r="FG119" s="138" t="e">
        <f>IF(VLOOKUP(CONCATENATE(H119,F119,FG$2),Ciencias!$A:$H,7,FALSE)=BU119,1,0)</f>
        <v>#N/A</v>
      </c>
      <c r="FH119" s="138" t="e">
        <f>IF(VLOOKUP(CONCATENATE(H119,F119,FH$2),Ciencias!$A:$H,7,FALSE)=BV119,1,0)</f>
        <v>#N/A</v>
      </c>
      <c r="FI119" s="138" t="e">
        <f>IF(VLOOKUP(CONCATENATE(H119,F119,FI$2),Ciencias!$A:$H,7,FALSE)=BW119,1,0)</f>
        <v>#N/A</v>
      </c>
      <c r="FJ119" s="138" t="e">
        <f>IF(VLOOKUP(CONCATENATE(H119,F119,FJ$2),Ciencias!$A:$H,7,FALSE)=BX119,1,0)</f>
        <v>#N/A</v>
      </c>
      <c r="FK119" s="138" t="e">
        <f>IF(VLOOKUP(CONCATENATE(H119,F119,FK$2),Ciencias!$A:$H,7,FALSE)=BY119,1,0)</f>
        <v>#N/A</v>
      </c>
      <c r="FL119" s="138" t="e">
        <f>IF(VLOOKUP(CONCATENATE(H119,F119,FL$2),Ciencias!$A:$H,7,FALSE)=BZ119,1,0)</f>
        <v>#N/A</v>
      </c>
      <c r="FM119" s="138" t="e">
        <f>IF(VLOOKUP(CONCATENATE(H119,F119,FM$2),Ciencias!$A:$H,7,FALSE)=CA119,1,0)</f>
        <v>#N/A</v>
      </c>
      <c r="FN119" s="138" t="e">
        <f>IF(VLOOKUP(CONCATENATE(H119,F119,FN$2),Ciencias!$A:$H,7,FALSE)=CB119,1,0)</f>
        <v>#N/A</v>
      </c>
      <c r="FO119" s="138" t="e">
        <f>IF(VLOOKUP(CONCATENATE(H119,F119,FO$2),Ciencias!$A:$H,7,FALSE)=CC119,1,0)</f>
        <v>#N/A</v>
      </c>
      <c r="FP119" s="138" t="e">
        <f>IF(VLOOKUP(CONCATENATE(H119,F119,FP$2),GeoHis!$A:$H,7,FALSE)=CD119,1,0)</f>
        <v>#N/A</v>
      </c>
      <c r="FQ119" s="138" t="e">
        <f>IF(VLOOKUP(CONCATENATE(H119,F119,FQ$2),GeoHis!$A:$H,7,FALSE)=CE119,1,0)</f>
        <v>#N/A</v>
      </c>
      <c r="FR119" s="138" t="e">
        <f>IF(VLOOKUP(CONCATENATE(H119,F119,FR$2),GeoHis!$A:$H,7,FALSE)=CF119,1,0)</f>
        <v>#N/A</v>
      </c>
      <c r="FS119" s="138" t="e">
        <f>IF(VLOOKUP(CONCATENATE(H119,F119,FS$2),GeoHis!$A:$H,7,FALSE)=CG119,1,0)</f>
        <v>#N/A</v>
      </c>
      <c r="FT119" s="138" t="e">
        <f>IF(VLOOKUP(CONCATENATE(H119,F119,FT$2),GeoHis!$A:$H,7,FALSE)=CH119,1,0)</f>
        <v>#N/A</v>
      </c>
      <c r="FU119" s="138" t="e">
        <f>IF(VLOOKUP(CONCATENATE(H119,F119,FU$2),GeoHis!$A:$H,7,FALSE)=CI119,1,0)</f>
        <v>#N/A</v>
      </c>
      <c r="FV119" s="138" t="e">
        <f>IF(VLOOKUP(CONCATENATE(H119,F119,FV$2),GeoHis!$A:$H,7,FALSE)=CJ119,1,0)</f>
        <v>#N/A</v>
      </c>
      <c r="FW119" s="138" t="e">
        <f>IF(VLOOKUP(CONCATENATE(H119,F119,FW$2),GeoHis!$A:$H,7,FALSE)=CK119,1,0)</f>
        <v>#N/A</v>
      </c>
      <c r="FX119" s="138" t="e">
        <f>IF(VLOOKUP(CONCATENATE(H119,F119,FX$2),GeoHis!$A:$H,7,FALSE)=CL119,1,0)</f>
        <v>#N/A</v>
      </c>
      <c r="FY119" s="138" t="e">
        <f>IF(VLOOKUP(CONCATENATE(H119,F119,FY$2),GeoHis!$A:$H,7,FALSE)=CM119,1,0)</f>
        <v>#N/A</v>
      </c>
      <c r="FZ119" s="138" t="e">
        <f>IF(VLOOKUP(CONCATENATE(H119,F119,FZ$2),GeoHis!$A:$H,7,FALSE)=CN119,1,0)</f>
        <v>#N/A</v>
      </c>
      <c r="GA119" s="138" t="e">
        <f>IF(VLOOKUP(CONCATENATE(H119,F119,GA$2),GeoHis!$A:$H,7,FALSE)=CO119,1,0)</f>
        <v>#N/A</v>
      </c>
      <c r="GB119" s="138" t="e">
        <f>IF(VLOOKUP(CONCATENATE(H119,F119,GB$2),GeoHis!$A:$H,7,FALSE)=CP119,1,0)</f>
        <v>#N/A</v>
      </c>
      <c r="GC119" s="138" t="e">
        <f>IF(VLOOKUP(CONCATENATE(H119,F119,GC$2),GeoHis!$A:$H,7,FALSE)=CQ119,1,0)</f>
        <v>#N/A</v>
      </c>
      <c r="GD119" s="138" t="e">
        <f>IF(VLOOKUP(CONCATENATE(H119,F119,GD$2),GeoHis!$A:$H,7,FALSE)=CR119,1,0)</f>
        <v>#N/A</v>
      </c>
      <c r="GE119" s="135" t="str">
        <f t="shared" si="15"/>
        <v/>
      </c>
    </row>
    <row r="120" spans="1:187" x14ac:dyDescent="0.25">
      <c r="A120" s="127" t="str">
        <f>IF(C120="","",'Datos Generales'!$A$25)</f>
        <v/>
      </c>
      <c r="D120" s="126" t="str">
        <f t="shared" si="8"/>
        <v/>
      </c>
      <c r="E120" s="126">
        <f t="shared" si="9"/>
        <v>0</v>
      </c>
      <c r="F120" s="126" t="str">
        <f t="shared" si="10"/>
        <v/>
      </c>
      <c r="G120" s="126" t="str">
        <f>IF(C120="","",'Datos Generales'!$D$19)</f>
        <v/>
      </c>
      <c r="H120" s="21" t="str">
        <f>IF(C120="","",'Datos Generales'!$A$19)</f>
        <v/>
      </c>
      <c r="I120" s="126" t="str">
        <f>IF(C120="","",'Datos Generales'!$A$7)</f>
        <v/>
      </c>
      <c r="J120" s="21" t="str">
        <f>IF(C120="","",'Datos Generales'!$A$13)</f>
        <v/>
      </c>
      <c r="K120" s="21" t="str">
        <f>IF(C120="","",'Datos Generales'!$A$10)</f>
        <v/>
      </c>
      <c r="CS120" s="142" t="str">
        <f t="shared" si="11"/>
        <v/>
      </c>
      <c r="CT120" s="142" t="str">
        <f t="shared" si="12"/>
        <v/>
      </c>
      <c r="CU120" s="142" t="str">
        <f t="shared" si="13"/>
        <v/>
      </c>
      <c r="CV120" s="142" t="str">
        <f t="shared" si="14"/>
        <v/>
      </c>
      <c r="CW120" s="142" t="str">
        <f>IF(C120="","",IF('Datos Generales'!$A$19=1,AVERAGE(FP120:GD120),AVERAGE(Captura!FP120:FY120)))</f>
        <v/>
      </c>
      <c r="CX120" s="138" t="e">
        <f>IF(VLOOKUP(CONCATENATE($H$4,$F$4,CX$2),Español!$A:$H,7,FALSE)=L120,1,0)</f>
        <v>#N/A</v>
      </c>
      <c r="CY120" s="138" t="e">
        <f>IF(VLOOKUP(CONCATENATE(H120,F120,CY$2),Español!$A:$H,7,FALSE)=M120,1,0)</f>
        <v>#N/A</v>
      </c>
      <c r="CZ120" s="138" t="e">
        <f>IF(VLOOKUP(CONCATENATE(H120,F120,CZ$2),Español!$A:$H,7,FALSE)=N120,1,0)</f>
        <v>#N/A</v>
      </c>
      <c r="DA120" s="138" t="e">
        <f>IF(VLOOKUP(CONCATENATE(H120,F120,DA$2),Español!$A:$H,7,FALSE)=O120,1,0)</f>
        <v>#N/A</v>
      </c>
      <c r="DB120" s="138" t="e">
        <f>IF(VLOOKUP(CONCATENATE(H120,F120,DB$2),Español!$A:$H,7,FALSE)=P120,1,0)</f>
        <v>#N/A</v>
      </c>
      <c r="DC120" s="138" t="e">
        <f>IF(VLOOKUP(CONCATENATE(H120,F120,DC$2),Español!$A:$H,7,FALSE)=Q120,1,0)</f>
        <v>#N/A</v>
      </c>
      <c r="DD120" s="138" t="e">
        <f>IF(VLOOKUP(CONCATENATE(H120,F120,DD$2),Español!$A:$H,7,FALSE)=R120,1,0)</f>
        <v>#N/A</v>
      </c>
      <c r="DE120" s="138" t="e">
        <f>IF(VLOOKUP(CONCATENATE(H120,F120,DE$2),Español!$A:$H,7,FALSE)=S120,1,0)</f>
        <v>#N/A</v>
      </c>
      <c r="DF120" s="138" t="e">
        <f>IF(VLOOKUP(CONCATENATE(H120,F120,DF$2),Español!$A:$H,7,FALSE)=T120,1,0)</f>
        <v>#N/A</v>
      </c>
      <c r="DG120" s="138" t="e">
        <f>IF(VLOOKUP(CONCATENATE(H120,F120,DG$2),Español!$A:$H,7,FALSE)=U120,1,0)</f>
        <v>#N/A</v>
      </c>
      <c r="DH120" s="138" t="e">
        <f>IF(VLOOKUP(CONCATENATE(H120,F120,DH$2),Español!$A:$H,7,FALSE)=V120,1,0)</f>
        <v>#N/A</v>
      </c>
      <c r="DI120" s="138" t="e">
        <f>IF(VLOOKUP(CONCATENATE(H120,F120,DI$2),Español!$A:$H,7,FALSE)=W120,1,0)</f>
        <v>#N/A</v>
      </c>
      <c r="DJ120" s="138" t="e">
        <f>IF(VLOOKUP(CONCATENATE(H120,F120,DJ$2),Español!$A:$H,7,FALSE)=X120,1,0)</f>
        <v>#N/A</v>
      </c>
      <c r="DK120" s="138" t="e">
        <f>IF(VLOOKUP(CONCATENATE(H120,F120,DK$2),Español!$A:$H,7,FALSE)=Y120,1,0)</f>
        <v>#N/A</v>
      </c>
      <c r="DL120" s="138" t="e">
        <f>IF(VLOOKUP(CONCATENATE(H120,F120,DL$2),Español!$A:$H,7,FALSE)=Z120,1,0)</f>
        <v>#N/A</v>
      </c>
      <c r="DM120" s="138" t="e">
        <f>IF(VLOOKUP(CONCATENATE(H120,F120,DM$2),Español!$A:$H,7,FALSE)=AA120,1,0)</f>
        <v>#N/A</v>
      </c>
      <c r="DN120" s="138" t="e">
        <f>IF(VLOOKUP(CONCATENATE(H120,F120,DN$2),Español!$A:$H,7,FALSE)=AB120,1,0)</f>
        <v>#N/A</v>
      </c>
      <c r="DO120" s="138" t="e">
        <f>IF(VLOOKUP(CONCATENATE(H120,F120,DO$2),Español!$A:$H,7,FALSE)=AC120,1,0)</f>
        <v>#N/A</v>
      </c>
      <c r="DP120" s="138" t="e">
        <f>IF(VLOOKUP(CONCATENATE(H120,F120,DP$2),Español!$A:$H,7,FALSE)=AD120,1,0)</f>
        <v>#N/A</v>
      </c>
      <c r="DQ120" s="138" t="e">
        <f>IF(VLOOKUP(CONCATENATE(H120,F120,DQ$2),Español!$A:$H,7,FALSE)=AE120,1,0)</f>
        <v>#N/A</v>
      </c>
      <c r="DR120" s="138" t="e">
        <f>IF(VLOOKUP(CONCATENATE(H120,F120,DR$2),Inglés!$A:$H,7,FALSE)=AF120,1,0)</f>
        <v>#N/A</v>
      </c>
      <c r="DS120" s="138" t="e">
        <f>IF(VLOOKUP(CONCATENATE(H120,F120,DS$2),Inglés!$A:$H,7,FALSE)=AG120,1,0)</f>
        <v>#N/A</v>
      </c>
      <c r="DT120" s="138" t="e">
        <f>IF(VLOOKUP(CONCATENATE(H120,F120,DT$2),Inglés!$A:$H,7,FALSE)=AH120,1,0)</f>
        <v>#N/A</v>
      </c>
      <c r="DU120" s="138" t="e">
        <f>IF(VLOOKUP(CONCATENATE(H120,F120,DU$2),Inglés!$A:$H,7,FALSE)=AI120,1,0)</f>
        <v>#N/A</v>
      </c>
      <c r="DV120" s="138" t="e">
        <f>IF(VLOOKUP(CONCATENATE(H120,F120,DV$2),Inglés!$A:$H,7,FALSE)=AJ120,1,0)</f>
        <v>#N/A</v>
      </c>
      <c r="DW120" s="138" t="e">
        <f>IF(VLOOKUP(CONCATENATE(H120,F120,DW$2),Inglés!$A:$H,7,FALSE)=AK120,1,0)</f>
        <v>#N/A</v>
      </c>
      <c r="DX120" s="138" t="e">
        <f>IF(VLOOKUP(CONCATENATE(H120,F120,DX$2),Inglés!$A:$H,7,FALSE)=AL120,1,0)</f>
        <v>#N/A</v>
      </c>
      <c r="DY120" s="138" t="e">
        <f>IF(VLOOKUP(CONCATENATE(H120,F120,DY$2),Inglés!$A:$H,7,FALSE)=AM120,1,0)</f>
        <v>#N/A</v>
      </c>
      <c r="DZ120" s="138" t="e">
        <f>IF(VLOOKUP(CONCATENATE(H120,F120,DZ$2),Inglés!$A:$H,7,FALSE)=AN120,1,0)</f>
        <v>#N/A</v>
      </c>
      <c r="EA120" s="138" t="e">
        <f>IF(VLOOKUP(CONCATENATE(H120,F120,EA$2),Inglés!$A:$H,7,FALSE)=AO120,1,0)</f>
        <v>#N/A</v>
      </c>
      <c r="EB120" s="138" t="e">
        <f>IF(VLOOKUP(CONCATENATE(H120,F120,EB$2),Matemáticas!$A:$H,7,FALSE)=AP120,1,0)</f>
        <v>#N/A</v>
      </c>
      <c r="EC120" s="138" t="e">
        <f>IF(VLOOKUP(CONCATENATE(H120,F120,EC$2),Matemáticas!$A:$H,7,FALSE)=AQ120,1,0)</f>
        <v>#N/A</v>
      </c>
      <c r="ED120" s="138" t="e">
        <f>IF(VLOOKUP(CONCATENATE(H120,F120,ED$2),Matemáticas!$A:$H,7,FALSE)=AR120,1,0)</f>
        <v>#N/A</v>
      </c>
      <c r="EE120" s="138" t="e">
        <f>IF(VLOOKUP(CONCATENATE(H120,F120,EE$2),Matemáticas!$A:$H,7,FALSE)=AS120,1,0)</f>
        <v>#N/A</v>
      </c>
      <c r="EF120" s="138" t="e">
        <f>IF(VLOOKUP(CONCATENATE(H120,F120,EF$2),Matemáticas!$A:$H,7,FALSE)=AT120,1,0)</f>
        <v>#N/A</v>
      </c>
      <c r="EG120" s="138" t="e">
        <f>IF(VLOOKUP(CONCATENATE(H120,F120,EG$2),Matemáticas!$A:$H,7,FALSE)=AU120,1,0)</f>
        <v>#N/A</v>
      </c>
      <c r="EH120" s="138" t="e">
        <f>IF(VLOOKUP(CONCATENATE(H120,F120,EH$2),Matemáticas!$A:$H,7,FALSE)=AV120,1,0)</f>
        <v>#N/A</v>
      </c>
      <c r="EI120" s="138" t="e">
        <f>IF(VLOOKUP(CONCATENATE(H120,F120,EI$2),Matemáticas!$A:$H,7,FALSE)=AW120,1,0)</f>
        <v>#N/A</v>
      </c>
      <c r="EJ120" s="138" t="e">
        <f>IF(VLOOKUP(CONCATENATE(H120,F120,EJ$2),Matemáticas!$A:$H,7,FALSE)=AX120,1,0)</f>
        <v>#N/A</v>
      </c>
      <c r="EK120" s="138" t="e">
        <f>IF(VLOOKUP(CONCATENATE(H120,F120,EK$2),Matemáticas!$A:$H,7,FALSE)=AY120,1,0)</f>
        <v>#N/A</v>
      </c>
      <c r="EL120" s="138" t="e">
        <f>IF(VLOOKUP(CONCATENATE(H120,F120,EL$2),Matemáticas!$A:$H,7,FALSE)=AZ120,1,0)</f>
        <v>#N/A</v>
      </c>
      <c r="EM120" s="138" t="e">
        <f>IF(VLOOKUP(CONCATENATE(H120,F120,EM$2),Matemáticas!$A:$H,7,FALSE)=BA120,1,0)</f>
        <v>#N/A</v>
      </c>
      <c r="EN120" s="138" t="e">
        <f>IF(VLOOKUP(CONCATENATE(H120,F120,EN$2),Matemáticas!$A:$H,7,FALSE)=BB120,1,0)</f>
        <v>#N/A</v>
      </c>
      <c r="EO120" s="138" t="e">
        <f>IF(VLOOKUP(CONCATENATE(H120,F120,EO$2),Matemáticas!$A:$H,7,FALSE)=BC120,1,0)</f>
        <v>#N/A</v>
      </c>
      <c r="EP120" s="138" t="e">
        <f>IF(VLOOKUP(CONCATENATE(H120,F120,EP$2),Matemáticas!$A:$H,7,FALSE)=BD120,1,0)</f>
        <v>#N/A</v>
      </c>
      <c r="EQ120" s="138" t="e">
        <f>IF(VLOOKUP(CONCATENATE(H120,F120,EQ$2),Matemáticas!$A:$H,7,FALSE)=BE120,1,0)</f>
        <v>#N/A</v>
      </c>
      <c r="ER120" s="138" t="e">
        <f>IF(VLOOKUP(CONCATENATE(H120,F120,ER$2),Matemáticas!$A:$H,7,FALSE)=BF120,1,0)</f>
        <v>#N/A</v>
      </c>
      <c r="ES120" s="138" t="e">
        <f>IF(VLOOKUP(CONCATENATE(H120,F120,ES$2),Matemáticas!$A:$H,7,FALSE)=BG120,1,0)</f>
        <v>#N/A</v>
      </c>
      <c r="ET120" s="138" t="e">
        <f>IF(VLOOKUP(CONCATENATE(H120,F120,ET$2),Matemáticas!$A:$H,7,FALSE)=BH120,1,0)</f>
        <v>#N/A</v>
      </c>
      <c r="EU120" s="138" t="e">
        <f>IF(VLOOKUP(CONCATENATE(H120,F120,EU$2),Matemáticas!$A:$H,7,FALSE)=BI120,1,0)</f>
        <v>#N/A</v>
      </c>
      <c r="EV120" s="138" t="e">
        <f>IF(VLOOKUP(CONCATENATE(H120,F120,EV$2),Ciencias!$A:$H,7,FALSE)=BJ120,1,0)</f>
        <v>#N/A</v>
      </c>
      <c r="EW120" s="138" t="e">
        <f>IF(VLOOKUP(CONCATENATE(H120,F120,EW$2),Ciencias!$A:$H,7,FALSE)=BK120,1,0)</f>
        <v>#N/A</v>
      </c>
      <c r="EX120" s="138" t="e">
        <f>IF(VLOOKUP(CONCATENATE(H120,F120,EX$2),Ciencias!$A:$H,7,FALSE)=BL120,1,0)</f>
        <v>#N/A</v>
      </c>
      <c r="EY120" s="138" t="e">
        <f>IF(VLOOKUP(CONCATENATE(H120,F120,EY$2),Ciencias!$A:$H,7,FALSE)=BM120,1,0)</f>
        <v>#N/A</v>
      </c>
      <c r="EZ120" s="138" t="e">
        <f>IF(VLOOKUP(CONCATENATE(H120,F120,EZ$2),Ciencias!$A:$H,7,FALSE)=BN120,1,0)</f>
        <v>#N/A</v>
      </c>
      <c r="FA120" s="138" t="e">
        <f>IF(VLOOKUP(CONCATENATE(H120,F120,FA$2),Ciencias!$A:$H,7,FALSE)=BO120,1,0)</f>
        <v>#N/A</v>
      </c>
      <c r="FB120" s="138" t="e">
        <f>IF(VLOOKUP(CONCATENATE(H120,F120,FB$2),Ciencias!$A:$H,7,FALSE)=BP120,1,0)</f>
        <v>#N/A</v>
      </c>
      <c r="FC120" s="138" t="e">
        <f>IF(VLOOKUP(CONCATENATE(H120,F120,FC$2),Ciencias!$A:$H,7,FALSE)=BQ120,1,0)</f>
        <v>#N/A</v>
      </c>
      <c r="FD120" s="138" t="e">
        <f>IF(VLOOKUP(CONCATENATE(H120,F120,FD$2),Ciencias!$A:$H,7,FALSE)=BR120,1,0)</f>
        <v>#N/A</v>
      </c>
      <c r="FE120" s="138" t="e">
        <f>IF(VLOOKUP(CONCATENATE(H120,F120,FE$2),Ciencias!$A:$H,7,FALSE)=BS120,1,0)</f>
        <v>#N/A</v>
      </c>
      <c r="FF120" s="138" t="e">
        <f>IF(VLOOKUP(CONCATENATE(H120,F120,FF$2),Ciencias!$A:$H,7,FALSE)=BT120,1,0)</f>
        <v>#N/A</v>
      </c>
      <c r="FG120" s="138" t="e">
        <f>IF(VLOOKUP(CONCATENATE(H120,F120,FG$2),Ciencias!$A:$H,7,FALSE)=BU120,1,0)</f>
        <v>#N/A</v>
      </c>
      <c r="FH120" s="138" t="e">
        <f>IF(VLOOKUP(CONCATENATE(H120,F120,FH$2),Ciencias!$A:$H,7,FALSE)=BV120,1,0)</f>
        <v>#N/A</v>
      </c>
      <c r="FI120" s="138" t="e">
        <f>IF(VLOOKUP(CONCATENATE(H120,F120,FI$2),Ciencias!$A:$H,7,FALSE)=BW120,1,0)</f>
        <v>#N/A</v>
      </c>
      <c r="FJ120" s="138" t="e">
        <f>IF(VLOOKUP(CONCATENATE(H120,F120,FJ$2),Ciencias!$A:$H,7,FALSE)=BX120,1,0)</f>
        <v>#N/A</v>
      </c>
      <c r="FK120" s="138" t="e">
        <f>IF(VLOOKUP(CONCATENATE(H120,F120,FK$2),Ciencias!$A:$H,7,FALSE)=BY120,1,0)</f>
        <v>#N/A</v>
      </c>
      <c r="FL120" s="138" t="e">
        <f>IF(VLOOKUP(CONCATENATE(H120,F120,FL$2),Ciencias!$A:$H,7,FALSE)=BZ120,1,0)</f>
        <v>#N/A</v>
      </c>
      <c r="FM120" s="138" t="e">
        <f>IF(VLOOKUP(CONCATENATE(H120,F120,FM$2),Ciencias!$A:$H,7,FALSE)=CA120,1,0)</f>
        <v>#N/A</v>
      </c>
      <c r="FN120" s="138" t="e">
        <f>IF(VLOOKUP(CONCATENATE(H120,F120,FN$2),Ciencias!$A:$H,7,FALSE)=CB120,1,0)</f>
        <v>#N/A</v>
      </c>
      <c r="FO120" s="138" t="e">
        <f>IF(VLOOKUP(CONCATENATE(H120,F120,FO$2),Ciencias!$A:$H,7,FALSE)=CC120,1,0)</f>
        <v>#N/A</v>
      </c>
      <c r="FP120" s="138" t="e">
        <f>IF(VLOOKUP(CONCATENATE(H120,F120,FP$2),GeoHis!$A:$H,7,FALSE)=CD120,1,0)</f>
        <v>#N/A</v>
      </c>
      <c r="FQ120" s="138" t="e">
        <f>IF(VLOOKUP(CONCATENATE(H120,F120,FQ$2),GeoHis!$A:$H,7,FALSE)=CE120,1,0)</f>
        <v>#N/A</v>
      </c>
      <c r="FR120" s="138" t="e">
        <f>IF(VLOOKUP(CONCATENATE(H120,F120,FR$2),GeoHis!$A:$H,7,FALSE)=CF120,1,0)</f>
        <v>#N/A</v>
      </c>
      <c r="FS120" s="138" t="e">
        <f>IF(VLOOKUP(CONCATENATE(H120,F120,FS$2),GeoHis!$A:$H,7,FALSE)=CG120,1,0)</f>
        <v>#N/A</v>
      </c>
      <c r="FT120" s="138" t="e">
        <f>IF(VLOOKUP(CONCATENATE(H120,F120,FT$2),GeoHis!$A:$H,7,FALSE)=CH120,1,0)</f>
        <v>#N/A</v>
      </c>
      <c r="FU120" s="138" t="e">
        <f>IF(VLOOKUP(CONCATENATE(H120,F120,FU$2),GeoHis!$A:$H,7,FALSE)=CI120,1,0)</f>
        <v>#N/A</v>
      </c>
      <c r="FV120" s="138" t="e">
        <f>IF(VLOOKUP(CONCATENATE(H120,F120,FV$2),GeoHis!$A:$H,7,FALSE)=CJ120,1,0)</f>
        <v>#N/A</v>
      </c>
      <c r="FW120" s="138" t="e">
        <f>IF(VLOOKUP(CONCATENATE(H120,F120,FW$2),GeoHis!$A:$H,7,FALSE)=CK120,1,0)</f>
        <v>#N/A</v>
      </c>
      <c r="FX120" s="138" t="e">
        <f>IF(VLOOKUP(CONCATENATE(H120,F120,FX$2),GeoHis!$A:$H,7,FALSE)=CL120,1,0)</f>
        <v>#N/A</v>
      </c>
      <c r="FY120" s="138" t="e">
        <f>IF(VLOOKUP(CONCATENATE(H120,F120,FY$2),GeoHis!$A:$H,7,FALSE)=CM120,1,0)</f>
        <v>#N/A</v>
      </c>
      <c r="FZ120" s="138" t="e">
        <f>IF(VLOOKUP(CONCATENATE(H120,F120,FZ$2),GeoHis!$A:$H,7,FALSE)=CN120,1,0)</f>
        <v>#N/A</v>
      </c>
      <c r="GA120" s="138" t="e">
        <f>IF(VLOOKUP(CONCATENATE(H120,F120,GA$2),GeoHis!$A:$H,7,FALSE)=CO120,1,0)</f>
        <v>#N/A</v>
      </c>
      <c r="GB120" s="138" t="e">
        <f>IF(VLOOKUP(CONCATENATE(H120,F120,GB$2),GeoHis!$A:$H,7,FALSE)=CP120,1,0)</f>
        <v>#N/A</v>
      </c>
      <c r="GC120" s="138" t="e">
        <f>IF(VLOOKUP(CONCATENATE(H120,F120,GC$2),GeoHis!$A:$H,7,FALSE)=CQ120,1,0)</f>
        <v>#N/A</v>
      </c>
      <c r="GD120" s="138" t="e">
        <f>IF(VLOOKUP(CONCATENATE(H120,F120,GD$2),GeoHis!$A:$H,7,FALSE)=CR120,1,0)</f>
        <v>#N/A</v>
      </c>
      <c r="GE120" s="135" t="str">
        <f t="shared" si="15"/>
        <v/>
      </c>
    </row>
    <row r="121" spans="1:187" x14ac:dyDescent="0.25">
      <c r="A121" s="127" t="str">
        <f>IF(C121="","",'Datos Generales'!$A$25)</f>
        <v/>
      </c>
      <c r="D121" s="126" t="str">
        <f t="shared" si="8"/>
        <v/>
      </c>
      <c r="E121" s="126">
        <f t="shared" si="9"/>
        <v>0</v>
      </c>
      <c r="F121" s="126" t="str">
        <f t="shared" si="10"/>
        <v/>
      </c>
      <c r="G121" s="126" t="str">
        <f>IF(C121="","",'Datos Generales'!$D$19)</f>
        <v/>
      </c>
      <c r="H121" s="21" t="str">
        <f>IF(C121="","",'Datos Generales'!$A$19)</f>
        <v/>
      </c>
      <c r="I121" s="126" t="str">
        <f>IF(C121="","",'Datos Generales'!$A$7)</f>
        <v/>
      </c>
      <c r="J121" s="21" t="str">
        <f>IF(C121="","",'Datos Generales'!$A$13)</f>
        <v/>
      </c>
      <c r="K121" s="21" t="str">
        <f>IF(C121="","",'Datos Generales'!$A$10)</f>
        <v/>
      </c>
      <c r="CS121" s="142" t="str">
        <f t="shared" si="11"/>
        <v/>
      </c>
      <c r="CT121" s="142" t="str">
        <f t="shared" si="12"/>
        <v/>
      </c>
      <c r="CU121" s="142" t="str">
        <f t="shared" si="13"/>
        <v/>
      </c>
      <c r="CV121" s="142" t="str">
        <f t="shared" si="14"/>
        <v/>
      </c>
      <c r="CW121" s="142" t="str">
        <f>IF(C121="","",IF('Datos Generales'!$A$19=1,AVERAGE(FP121:GD121),AVERAGE(Captura!FP121:FY121)))</f>
        <v/>
      </c>
      <c r="CX121" s="138" t="e">
        <f>IF(VLOOKUP(CONCATENATE($H$4,$F$4,CX$2),Español!$A:$H,7,FALSE)=L121,1,0)</f>
        <v>#N/A</v>
      </c>
      <c r="CY121" s="138" t="e">
        <f>IF(VLOOKUP(CONCATENATE(H121,F121,CY$2),Español!$A:$H,7,FALSE)=M121,1,0)</f>
        <v>#N/A</v>
      </c>
      <c r="CZ121" s="138" t="e">
        <f>IF(VLOOKUP(CONCATENATE(H121,F121,CZ$2),Español!$A:$H,7,FALSE)=N121,1,0)</f>
        <v>#N/A</v>
      </c>
      <c r="DA121" s="138" t="e">
        <f>IF(VLOOKUP(CONCATENATE(H121,F121,DA$2),Español!$A:$H,7,FALSE)=O121,1,0)</f>
        <v>#N/A</v>
      </c>
      <c r="DB121" s="138" t="e">
        <f>IF(VLOOKUP(CONCATENATE(H121,F121,DB$2),Español!$A:$H,7,FALSE)=P121,1,0)</f>
        <v>#N/A</v>
      </c>
      <c r="DC121" s="138" t="e">
        <f>IF(VLOOKUP(CONCATENATE(H121,F121,DC$2),Español!$A:$H,7,FALSE)=Q121,1,0)</f>
        <v>#N/A</v>
      </c>
      <c r="DD121" s="138" t="e">
        <f>IF(VLOOKUP(CONCATENATE(H121,F121,DD$2),Español!$A:$H,7,FALSE)=R121,1,0)</f>
        <v>#N/A</v>
      </c>
      <c r="DE121" s="138" t="e">
        <f>IF(VLOOKUP(CONCATENATE(H121,F121,DE$2),Español!$A:$H,7,FALSE)=S121,1,0)</f>
        <v>#N/A</v>
      </c>
      <c r="DF121" s="138" t="e">
        <f>IF(VLOOKUP(CONCATENATE(H121,F121,DF$2),Español!$A:$H,7,FALSE)=T121,1,0)</f>
        <v>#N/A</v>
      </c>
      <c r="DG121" s="138" t="e">
        <f>IF(VLOOKUP(CONCATENATE(H121,F121,DG$2),Español!$A:$H,7,FALSE)=U121,1,0)</f>
        <v>#N/A</v>
      </c>
      <c r="DH121" s="138" t="e">
        <f>IF(VLOOKUP(CONCATENATE(H121,F121,DH$2),Español!$A:$H,7,FALSE)=V121,1,0)</f>
        <v>#N/A</v>
      </c>
      <c r="DI121" s="138" t="e">
        <f>IF(VLOOKUP(CONCATENATE(H121,F121,DI$2),Español!$A:$H,7,FALSE)=W121,1,0)</f>
        <v>#N/A</v>
      </c>
      <c r="DJ121" s="138" t="e">
        <f>IF(VLOOKUP(CONCATENATE(H121,F121,DJ$2),Español!$A:$H,7,FALSE)=X121,1,0)</f>
        <v>#N/A</v>
      </c>
      <c r="DK121" s="138" t="e">
        <f>IF(VLOOKUP(CONCATENATE(H121,F121,DK$2),Español!$A:$H,7,FALSE)=Y121,1,0)</f>
        <v>#N/A</v>
      </c>
      <c r="DL121" s="138" t="e">
        <f>IF(VLOOKUP(CONCATENATE(H121,F121,DL$2),Español!$A:$H,7,FALSE)=Z121,1,0)</f>
        <v>#N/A</v>
      </c>
      <c r="DM121" s="138" t="e">
        <f>IF(VLOOKUP(CONCATENATE(H121,F121,DM$2),Español!$A:$H,7,FALSE)=AA121,1,0)</f>
        <v>#N/A</v>
      </c>
      <c r="DN121" s="138" t="e">
        <f>IF(VLOOKUP(CONCATENATE(H121,F121,DN$2),Español!$A:$H,7,FALSE)=AB121,1,0)</f>
        <v>#N/A</v>
      </c>
      <c r="DO121" s="138" t="e">
        <f>IF(VLOOKUP(CONCATENATE(H121,F121,DO$2),Español!$A:$H,7,FALSE)=AC121,1,0)</f>
        <v>#N/A</v>
      </c>
      <c r="DP121" s="138" t="e">
        <f>IF(VLOOKUP(CONCATENATE(H121,F121,DP$2),Español!$A:$H,7,FALSE)=AD121,1,0)</f>
        <v>#N/A</v>
      </c>
      <c r="DQ121" s="138" t="e">
        <f>IF(VLOOKUP(CONCATENATE(H121,F121,DQ$2),Español!$A:$H,7,FALSE)=AE121,1,0)</f>
        <v>#N/A</v>
      </c>
      <c r="DR121" s="138" t="e">
        <f>IF(VLOOKUP(CONCATENATE(H121,F121,DR$2),Inglés!$A:$H,7,FALSE)=AF121,1,0)</f>
        <v>#N/A</v>
      </c>
      <c r="DS121" s="138" t="e">
        <f>IF(VLOOKUP(CONCATENATE(H121,F121,DS$2),Inglés!$A:$H,7,FALSE)=AG121,1,0)</f>
        <v>#N/A</v>
      </c>
      <c r="DT121" s="138" t="e">
        <f>IF(VLOOKUP(CONCATENATE(H121,F121,DT$2),Inglés!$A:$H,7,FALSE)=AH121,1,0)</f>
        <v>#N/A</v>
      </c>
      <c r="DU121" s="138" t="e">
        <f>IF(VLOOKUP(CONCATENATE(H121,F121,DU$2),Inglés!$A:$H,7,FALSE)=AI121,1,0)</f>
        <v>#N/A</v>
      </c>
      <c r="DV121" s="138" t="e">
        <f>IF(VLOOKUP(CONCATENATE(H121,F121,DV$2),Inglés!$A:$H,7,FALSE)=AJ121,1,0)</f>
        <v>#N/A</v>
      </c>
      <c r="DW121" s="138" t="e">
        <f>IF(VLOOKUP(CONCATENATE(H121,F121,DW$2),Inglés!$A:$H,7,FALSE)=AK121,1,0)</f>
        <v>#N/A</v>
      </c>
      <c r="DX121" s="138" t="e">
        <f>IF(VLOOKUP(CONCATENATE(H121,F121,DX$2),Inglés!$A:$H,7,FALSE)=AL121,1,0)</f>
        <v>#N/A</v>
      </c>
      <c r="DY121" s="138" t="e">
        <f>IF(VLOOKUP(CONCATENATE(H121,F121,DY$2),Inglés!$A:$H,7,FALSE)=AM121,1,0)</f>
        <v>#N/A</v>
      </c>
      <c r="DZ121" s="138" t="e">
        <f>IF(VLOOKUP(CONCATENATE(H121,F121,DZ$2),Inglés!$A:$H,7,FALSE)=AN121,1,0)</f>
        <v>#N/A</v>
      </c>
      <c r="EA121" s="138" t="e">
        <f>IF(VLOOKUP(CONCATENATE(H121,F121,EA$2),Inglés!$A:$H,7,FALSE)=AO121,1,0)</f>
        <v>#N/A</v>
      </c>
      <c r="EB121" s="138" t="e">
        <f>IF(VLOOKUP(CONCATENATE(H121,F121,EB$2),Matemáticas!$A:$H,7,FALSE)=AP121,1,0)</f>
        <v>#N/A</v>
      </c>
      <c r="EC121" s="138" t="e">
        <f>IF(VLOOKUP(CONCATENATE(H121,F121,EC$2),Matemáticas!$A:$H,7,FALSE)=AQ121,1,0)</f>
        <v>#N/A</v>
      </c>
      <c r="ED121" s="138" t="e">
        <f>IF(VLOOKUP(CONCATENATE(H121,F121,ED$2),Matemáticas!$A:$H,7,FALSE)=AR121,1,0)</f>
        <v>#N/A</v>
      </c>
      <c r="EE121" s="138" t="e">
        <f>IF(VLOOKUP(CONCATENATE(H121,F121,EE$2),Matemáticas!$A:$H,7,FALSE)=AS121,1,0)</f>
        <v>#N/A</v>
      </c>
      <c r="EF121" s="138" t="e">
        <f>IF(VLOOKUP(CONCATENATE(H121,F121,EF$2),Matemáticas!$A:$H,7,FALSE)=AT121,1,0)</f>
        <v>#N/A</v>
      </c>
      <c r="EG121" s="138" t="e">
        <f>IF(VLOOKUP(CONCATENATE(H121,F121,EG$2),Matemáticas!$A:$H,7,FALSE)=AU121,1,0)</f>
        <v>#N/A</v>
      </c>
      <c r="EH121" s="138" t="e">
        <f>IF(VLOOKUP(CONCATENATE(H121,F121,EH$2),Matemáticas!$A:$H,7,FALSE)=AV121,1,0)</f>
        <v>#N/A</v>
      </c>
      <c r="EI121" s="138" t="e">
        <f>IF(VLOOKUP(CONCATENATE(H121,F121,EI$2),Matemáticas!$A:$H,7,FALSE)=AW121,1,0)</f>
        <v>#N/A</v>
      </c>
      <c r="EJ121" s="138" t="e">
        <f>IF(VLOOKUP(CONCATENATE(H121,F121,EJ$2),Matemáticas!$A:$H,7,FALSE)=AX121,1,0)</f>
        <v>#N/A</v>
      </c>
      <c r="EK121" s="138" t="e">
        <f>IF(VLOOKUP(CONCATENATE(H121,F121,EK$2),Matemáticas!$A:$H,7,FALSE)=AY121,1,0)</f>
        <v>#N/A</v>
      </c>
      <c r="EL121" s="138" t="e">
        <f>IF(VLOOKUP(CONCATENATE(H121,F121,EL$2),Matemáticas!$A:$H,7,FALSE)=AZ121,1,0)</f>
        <v>#N/A</v>
      </c>
      <c r="EM121" s="138" t="e">
        <f>IF(VLOOKUP(CONCATENATE(H121,F121,EM$2),Matemáticas!$A:$H,7,FALSE)=BA121,1,0)</f>
        <v>#N/A</v>
      </c>
      <c r="EN121" s="138" t="e">
        <f>IF(VLOOKUP(CONCATENATE(H121,F121,EN$2),Matemáticas!$A:$H,7,FALSE)=BB121,1,0)</f>
        <v>#N/A</v>
      </c>
      <c r="EO121" s="138" t="e">
        <f>IF(VLOOKUP(CONCATENATE(H121,F121,EO$2),Matemáticas!$A:$H,7,FALSE)=BC121,1,0)</f>
        <v>#N/A</v>
      </c>
      <c r="EP121" s="138" t="e">
        <f>IF(VLOOKUP(CONCATENATE(H121,F121,EP$2),Matemáticas!$A:$H,7,FALSE)=BD121,1,0)</f>
        <v>#N/A</v>
      </c>
      <c r="EQ121" s="138" t="e">
        <f>IF(VLOOKUP(CONCATENATE(H121,F121,EQ$2),Matemáticas!$A:$H,7,FALSE)=BE121,1,0)</f>
        <v>#N/A</v>
      </c>
      <c r="ER121" s="138" t="e">
        <f>IF(VLOOKUP(CONCATENATE(H121,F121,ER$2),Matemáticas!$A:$H,7,FALSE)=BF121,1,0)</f>
        <v>#N/A</v>
      </c>
      <c r="ES121" s="138" t="e">
        <f>IF(VLOOKUP(CONCATENATE(H121,F121,ES$2),Matemáticas!$A:$H,7,FALSE)=BG121,1,0)</f>
        <v>#N/A</v>
      </c>
      <c r="ET121" s="138" t="e">
        <f>IF(VLOOKUP(CONCATENATE(H121,F121,ET$2),Matemáticas!$A:$H,7,FALSE)=BH121,1,0)</f>
        <v>#N/A</v>
      </c>
      <c r="EU121" s="138" t="e">
        <f>IF(VLOOKUP(CONCATENATE(H121,F121,EU$2),Matemáticas!$A:$H,7,FALSE)=BI121,1,0)</f>
        <v>#N/A</v>
      </c>
      <c r="EV121" s="138" t="e">
        <f>IF(VLOOKUP(CONCATENATE(H121,F121,EV$2),Ciencias!$A:$H,7,FALSE)=BJ121,1,0)</f>
        <v>#N/A</v>
      </c>
      <c r="EW121" s="138" t="e">
        <f>IF(VLOOKUP(CONCATENATE(H121,F121,EW$2),Ciencias!$A:$H,7,FALSE)=BK121,1,0)</f>
        <v>#N/A</v>
      </c>
      <c r="EX121" s="138" t="e">
        <f>IF(VLOOKUP(CONCATENATE(H121,F121,EX$2),Ciencias!$A:$H,7,FALSE)=BL121,1,0)</f>
        <v>#N/A</v>
      </c>
      <c r="EY121" s="138" t="e">
        <f>IF(VLOOKUP(CONCATENATE(H121,F121,EY$2),Ciencias!$A:$H,7,FALSE)=BM121,1,0)</f>
        <v>#N/A</v>
      </c>
      <c r="EZ121" s="138" t="e">
        <f>IF(VLOOKUP(CONCATENATE(H121,F121,EZ$2),Ciencias!$A:$H,7,FALSE)=BN121,1,0)</f>
        <v>#N/A</v>
      </c>
      <c r="FA121" s="138" t="e">
        <f>IF(VLOOKUP(CONCATENATE(H121,F121,FA$2),Ciencias!$A:$H,7,FALSE)=BO121,1,0)</f>
        <v>#N/A</v>
      </c>
      <c r="FB121" s="138" t="e">
        <f>IF(VLOOKUP(CONCATENATE(H121,F121,FB$2),Ciencias!$A:$H,7,FALSE)=BP121,1,0)</f>
        <v>#N/A</v>
      </c>
      <c r="FC121" s="138" t="e">
        <f>IF(VLOOKUP(CONCATENATE(H121,F121,FC$2),Ciencias!$A:$H,7,FALSE)=BQ121,1,0)</f>
        <v>#N/A</v>
      </c>
      <c r="FD121" s="138" t="e">
        <f>IF(VLOOKUP(CONCATENATE(H121,F121,FD$2),Ciencias!$A:$H,7,FALSE)=BR121,1,0)</f>
        <v>#N/A</v>
      </c>
      <c r="FE121" s="138" t="e">
        <f>IF(VLOOKUP(CONCATENATE(H121,F121,FE$2),Ciencias!$A:$H,7,FALSE)=BS121,1,0)</f>
        <v>#N/A</v>
      </c>
      <c r="FF121" s="138" t="e">
        <f>IF(VLOOKUP(CONCATENATE(H121,F121,FF$2),Ciencias!$A:$H,7,FALSE)=BT121,1,0)</f>
        <v>#N/A</v>
      </c>
      <c r="FG121" s="138" t="e">
        <f>IF(VLOOKUP(CONCATENATE(H121,F121,FG$2),Ciencias!$A:$H,7,FALSE)=BU121,1,0)</f>
        <v>#N/A</v>
      </c>
      <c r="FH121" s="138" t="e">
        <f>IF(VLOOKUP(CONCATENATE(H121,F121,FH$2),Ciencias!$A:$H,7,FALSE)=BV121,1,0)</f>
        <v>#N/A</v>
      </c>
      <c r="FI121" s="138" t="e">
        <f>IF(VLOOKUP(CONCATENATE(H121,F121,FI$2),Ciencias!$A:$H,7,FALSE)=BW121,1,0)</f>
        <v>#N/A</v>
      </c>
      <c r="FJ121" s="138" t="e">
        <f>IF(VLOOKUP(CONCATENATE(H121,F121,FJ$2),Ciencias!$A:$H,7,FALSE)=BX121,1,0)</f>
        <v>#N/A</v>
      </c>
      <c r="FK121" s="138" t="e">
        <f>IF(VLOOKUP(CONCATENATE(H121,F121,FK$2),Ciencias!$A:$H,7,FALSE)=BY121,1,0)</f>
        <v>#N/A</v>
      </c>
      <c r="FL121" s="138" t="e">
        <f>IF(VLOOKUP(CONCATENATE(H121,F121,FL$2),Ciencias!$A:$H,7,FALSE)=BZ121,1,0)</f>
        <v>#N/A</v>
      </c>
      <c r="FM121" s="138" t="e">
        <f>IF(VLOOKUP(CONCATENATE(H121,F121,FM$2),Ciencias!$A:$H,7,FALSE)=CA121,1,0)</f>
        <v>#N/A</v>
      </c>
      <c r="FN121" s="138" t="e">
        <f>IF(VLOOKUP(CONCATENATE(H121,F121,FN$2),Ciencias!$A:$H,7,FALSE)=CB121,1,0)</f>
        <v>#N/A</v>
      </c>
      <c r="FO121" s="138" t="e">
        <f>IF(VLOOKUP(CONCATENATE(H121,F121,FO$2),Ciencias!$A:$H,7,FALSE)=CC121,1,0)</f>
        <v>#N/A</v>
      </c>
      <c r="FP121" s="138" t="e">
        <f>IF(VLOOKUP(CONCATENATE(H121,F121,FP$2),GeoHis!$A:$H,7,FALSE)=CD121,1,0)</f>
        <v>#N/A</v>
      </c>
      <c r="FQ121" s="138" t="e">
        <f>IF(VLOOKUP(CONCATENATE(H121,F121,FQ$2),GeoHis!$A:$H,7,FALSE)=CE121,1,0)</f>
        <v>#N/A</v>
      </c>
      <c r="FR121" s="138" t="e">
        <f>IF(VLOOKUP(CONCATENATE(H121,F121,FR$2),GeoHis!$A:$H,7,FALSE)=CF121,1,0)</f>
        <v>#N/A</v>
      </c>
      <c r="FS121" s="138" t="e">
        <f>IF(VLOOKUP(CONCATENATE(H121,F121,FS$2),GeoHis!$A:$H,7,FALSE)=CG121,1,0)</f>
        <v>#N/A</v>
      </c>
      <c r="FT121" s="138" t="e">
        <f>IF(VLOOKUP(CONCATENATE(H121,F121,FT$2),GeoHis!$A:$H,7,FALSE)=CH121,1,0)</f>
        <v>#N/A</v>
      </c>
      <c r="FU121" s="138" t="e">
        <f>IF(VLOOKUP(CONCATENATE(H121,F121,FU$2),GeoHis!$A:$H,7,FALSE)=CI121,1,0)</f>
        <v>#N/A</v>
      </c>
      <c r="FV121" s="138" t="e">
        <f>IF(VLOOKUP(CONCATENATE(H121,F121,FV$2),GeoHis!$A:$H,7,FALSE)=CJ121,1,0)</f>
        <v>#N/A</v>
      </c>
      <c r="FW121" s="138" t="e">
        <f>IF(VLOOKUP(CONCATENATE(H121,F121,FW$2),GeoHis!$A:$H,7,FALSE)=CK121,1,0)</f>
        <v>#N/A</v>
      </c>
      <c r="FX121" s="138" t="e">
        <f>IF(VLOOKUP(CONCATENATE(H121,F121,FX$2),GeoHis!$A:$H,7,FALSE)=CL121,1,0)</f>
        <v>#N/A</v>
      </c>
      <c r="FY121" s="138" t="e">
        <f>IF(VLOOKUP(CONCATENATE(H121,F121,FY$2),GeoHis!$A:$H,7,FALSE)=CM121,1,0)</f>
        <v>#N/A</v>
      </c>
      <c r="FZ121" s="138" t="e">
        <f>IF(VLOOKUP(CONCATENATE(H121,F121,FZ$2),GeoHis!$A:$H,7,FALSE)=CN121,1,0)</f>
        <v>#N/A</v>
      </c>
      <c r="GA121" s="138" t="e">
        <f>IF(VLOOKUP(CONCATENATE(H121,F121,GA$2),GeoHis!$A:$H,7,FALSE)=CO121,1,0)</f>
        <v>#N/A</v>
      </c>
      <c r="GB121" s="138" t="e">
        <f>IF(VLOOKUP(CONCATENATE(H121,F121,GB$2),GeoHis!$A:$H,7,FALSE)=CP121,1,0)</f>
        <v>#N/A</v>
      </c>
      <c r="GC121" s="138" t="e">
        <f>IF(VLOOKUP(CONCATENATE(H121,F121,GC$2),GeoHis!$A:$H,7,FALSE)=CQ121,1,0)</f>
        <v>#N/A</v>
      </c>
      <c r="GD121" s="138" t="e">
        <f>IF(VLOOKUP(CONCATENATE(H121,F121,GD$2),GeoHis!$A:$H,7,FALSE)=CR121,1,0)</f>
        <v>#N/A</v>
      </c>
      <c r="GE121" s="135" t="str">
        <f t="shared" si="15"/>
        <v/>
      </c>
    </row>
    <row r="122" spans="1:187" x14ac:dyDescent="0.25">
      <c r="A122" s="127" t="str">
        <f>IF(C122="","",'Datos Generales'!$A$25)</f>
        <v/>
      </c>
      <c r="D122" s="126" t="str">
        <f t="shared" si="8"/>
        <v/>
      </c>
      <c r="E122" s="126">
        <f t="shared" si="9"/>
        <v>0</v>
      </c>
      <c r="F122" s="126" t="str">
        <f t="shared" si="10"/>
        <v/>
      </c>
      <c r="G122" s="126" t="str">
        <f>IF(C122="","",'Datos Generales'!$D$19)</f>
        <v/>
      </c>
      <c r="H122" s="21" t="str">
        <f>IF(C122="","",'Datos Generales'!$A$19)</f>
        <v/>
      </c>
      <c r="I122" s="126" t="str">
        <f>IF(C122="","",'Datos Generales'!$A$7)</f>
        <v/>
      </c>
      <c r="J122" s="21" t="str">
        <f>IF(C122="","",'Datos Generales'!$A$13)</f>
        <v/>
      </c>
      <c r="K122" s="21" t="str">
        <f>IF(C122="","",'Datos Generales'!$A$10)</f>
        <v/>
      </c>
      <c r="CS122" s="142" t="str">
        <f t="shared" si="11"/>
        <v/>
      </c>
      <c r="CT122" s="142" t="str">
        <f t="shared" si="12"/>
        <v/>
      </c>
      <c r="CU122" s="142" t="str">
        <f t="shared" si="13"/>
        <v/>
      </c>
      <c r="CV122" s="142" t="str">
        <f t="shared" si="14"/>
        <v/>
      </c>
      <c r="CW122" s="142" t="str">
        <f>IF(C122="","",IF('Datos Generales'!$A$19=1,AVERAGE(FP122:GD122),AVERAGE(Captura!FP122:FY122)))</f>
        <v/>
      </c>
      <c r="CX122" s="138" t="e">
        <f>IF(VLOOKUP(CONCATENATE($H$4,$F$4,CX$2),Español!$A:$H,7,FALSE)=L122,1,0)</f>
        <v>#N/A</v>
      </c>
      <c r="CY122" s="138" t="e">
        <f>IF(VLOOKUP(CONCATENATE(H122,F122,CY$2),Español!$A:$H,7,FALSE)=M122,1,0)</f>
        <v>#N/A</v>
      </c>
      <c r="CZ122" s="138" t="e">
        <f>IF(VLOOKUP(CONCATENATE(H122,F122,CZ$2),Español!$A:$H,7,FALSE)=N122,1,0)</f>
        <v>#N/A</v>
      </c>
      <c r="DA122" s="138" t="e">
        <f>IF(VLOOKUP(CONCATENATE(H122,F122,DA$2),Español!$A:$H,7,FALSE)=O122,1,0)</f>
        <v>#N/A</v>
      </c>
      <c r="DB122" s="138" t="e">
        <f>IF(VLOOKUP(CONCATENATE(H122,F122,DB$2),Español!$A:$H,7,FALSE)=P122,1,0)</f>
        <v>#N/A</v>
      </c>
      <c r="DC122" s="138" t="e">
        <f>IF(VLOOKUP(CONCATENATE(H122,F122,DC$2),Español!$A:$H,7,FALSE)=Q122,1,0)</f>
        <v>#N/A</v>
      </c>
      <c r="DD122" s="138" t="e">
        <f>IF(VLOOKUP(CONCATENATE(H122,F122,DD$2),Español!$A:$H,7,FALSE)=R122,1,0)</f>
        <v>#N/A</v>
      </c>
      <c r="DE122" s="138" t="e">
        <f>IF(VLOOKUP(CONCATENATE(H122,F122,DE$2),Español!$A:$H,7,FALSE)=S122,1,0)</f>
        <v>#N/A</v>
      </c>
      <c r="DF122" s="138" t="e">
        <f>IF(VLOOKUP(CONCATENATE(H122,F122,DF$2),Español!$A:$H,7,FALSE)=T122,1,0)</f>
        <v>#N/A</v>
      </c>
      <c r="DG122" s="138" t="e">
        <f>IF(VLOOKUP(CONCATENATE(H122,F122,DG$2),Español!$A:$H,7,FALSE)=U122,1,0)</f>
        <v>#N/A</v>
      </c>
      <c r="DH122" s="138" t="e">
        <f>IF(VLOOKUP(CONCATENATE(H122,F122,DH$2),Español!$A:$H,7,FALSE)=V122,1,0)</f>
        <v>#N/A</v>
      </c>
      <c r="DI122" s="138" t="e">
        <f>IF(VLOOKUP(CONCATENATE(H122,F122,DI$2),Español!$A:$H,7,FALSE)=W122,1,0)</f>
        <v>#N/A</v>
      </c>
      <c r="DJ122" s="138" t="e">
        <f>IF(VLOOKUP(CONCATENATE(H122,F122,DJ$2),Español!$A:$H,7,FALSE)=X122,1,0)</f>
        <v>#N/A</v>
      </c>
      <c r="DK122" s="138" t="e">
        <f>IF(VLOOKUP(CONCATENATE(H122,F122,DK$2),Español!$A:$H,7,FALSE)=Y122,1,0)</f>
        <v>#N/A</v>
      </c>
      <c r="DL122" s="138" t="e">
        <f>IF(VLOOKUP(CONCATENATE(H122,F122,DL$2),Español!$A:$H,7,FALSE)=Z122,1,0)</f>
        <v>#N/A</v>
      </c>
      <c r="DM122" s="138" t="e">
        <f>IF(VLOOKUP(CONCATENATE(H122,F122,DM$2),Español!$A:$H,7,FALSE)=AA122,1,0)</f>
        <v>#N/A</v>
      </c>
      <c r="DN122" s="138" t="e">
        <f>IF(VLOOKUP(CONCATENATE(H122,F122,DN$2),Español!$A:$H,7,FALSE)=AB122,1,0)</f>
        <v>#N/A</v>
      </c>
      <c r="DO122" s="138" t="e">
        <f>IF(VLOOKUP(CONCATENATE(H122,F122,DO$2),Español!$A:$H,7,FALSE)=AC122,1,0)</f>
        <v>#N/A</v>
      </c>
      <c r="DP122" s="138" t="e">
        <f>IF(VLOOKUP(CONCATENATE(H122,F122,DP$2),Español!$A:$H,7,FALSE)=AD122,1,0)</f>
        <v>#N/A</v>
      </c>
      <c r="DQ122" s="138" t="e">
        <f>IF(VLOOKUP(CONCATENATE(H122,F122,DQ$2),Español!$A:$H,7,FALSE)=AE122,1,0)</f>
        <v>#N/A</v>
      </c>
      <c r="DR122" s="138" t="e">
        <f>IF(VLOOKUP(CONCATENATE(H122,F122,DR$2),Inglés!$A:$H,7,FALSE)=AF122,1,0)</f>
        <v>#N/A</v>
      </c>
      <c r="DS122" s="138" t="e">
        <f>IF(VLOOKUP(CONCATENATE(H122,F122,DS$2),Inglés!$A:$H,7,FALSE)=AG122,1,0)</f>
        <v>#N/A</v>
      </c>
      <c r="DT122" s="138" t="e">
        <f>IF(VLOOKUP(CONCATENATE(H122,F122,DT$2),Inglés!$A:$H,7,FALSE)=AH122,1,0)</f>
        <v>#N/A</v>
      </c>
      <c r="DU122" s="138" t="e">
        <f>IF(VLOOKUP(CONCATENATE(H122,F122,DU$2),Inglés!$A:$H,7,FALSE)=AI122,1,0)</f>
        <v>#N/A</v>
      </c>
      <c r="DV122" s="138" t="e">
        <f>IF(VLOOKUP(CONCATENATE(H122,F122,DV$2),Inglés!$A:$H,7,FALSE)=AJ122,1,0)</f>
        <v>#N/A</v>
      </c>
      <c r="DW122" s="138" t="e">
        <f>IF(VLOOKUP(CONCATENATE(H122,F122,DW$2),Inglés!$A:$H,7,FALSE)=AK122,1,0)</f>
        <v>#N/A</v>
      </c>
      <c r="DX122" s="138" t="e">
        <f>IF(VLOOKUP(CONCATENATE(H122,F122,DX$2),Inglés!$A:$H,7,FALSE)=AL122,1,0)</f>
        <v>#N/A</v>
      </c>
      <c r="DY122" s="138" t="e">
        <f>IF(VLOOKUP(CONCATENATE(H122,F122,DY$2),Inglés!$A:$H,7,FALSE)=AM122,1,0)</f>
        <v>#N/A</v>
      </c>
      <c r="DZ122" s="138" t="e">
        <f>IF(VLOOKUP(CONCATENATE(H122,F122,DZ$2),Inglés!$A:$H,7,FALSE)=AN122,1,0)</f>
        <v>#N/A</v>
      </c>
      <c r="EA122" s="138" t="e">
        <f>IF(VLOOKUP(CONCATENATE(H122,F122,EA$2),Inglés!$A:$H,7,FALSE)=AO122,1,0)</f>
        <v>#N/A</v>
      </c>
      <c r="EB122" s="138" t="e">
        <f>IF(VLOOKUP(CONCATENATE(H122,F122,EB$2),Matemáticas!$A:$H,7,FALSE)=AP122,1,0)</f>
        <v>#N/A</v>
      </c>
      <c r="EC122" s="138" t="e">
        <f>IF(VLOOKUP(CONCATENATE(H122,F122,EC$2),Matemáticas!$A:$H,7,FALSE)=AQ122,1,0)</f>
        <v>#N/A</v>
      </c>
      <c r="ED122" s="138" t="e">
        <f>IF(VLOOKUP(CONCATENATE(H122,F122,ED$2),Matemáticas!$A:$H,7,FALSE)=AR122,1,0)</f>
        <v>#N/A</v>
      </c>
      <c r="EE122" s="138" t="e">
        <f>IF(VLOOKUP(CONCATENATE(H122,F122,EE$2),Matemáticas!$A:$H,7,FALSE)=AS122,1,0)</f>
        <v>#N/A</v>
      </c>
      <c r="EF122" s="138" t="e">
        <f>IF(VLOOKUP(CONCATENATE(H122,F122,EF$2),Matemáticas!$A:$H,7,FALSE)=AT122,1,0)</f>
        <v>#N/A</v>
      </c>
      <c r="EG122" s="138" t="e">
        <f>IF(VLOOKUP(CONCATENATE(H122,F122,EG$2),Matemáticas!$A:$H,7,FALSE)=AU122,1,0)</f>
        <v>#N/A</v>
      </c>
      <c r="EH122" s="138" t="e">
        <f>IF(VLOOKUP(CONCATENATE(H122,F122,EH$2),Matemáticas!$A:$H,7,FALSE)=AV122,1,0)</f>
        <v>#N/A</v>
      </c>
      <c r="EI122" s="138" t="e">
        <f>IF(VLOOKUP(CONCATENATE(H122,F122,EI$2),Matemáticas!$A:$H,7,FALSE)=AW122,1,0)</f>
        <v>#N/A</v>
      </c>
      <c r="EJ122" s="138" t="e">
        <f>IF(VLOOKUP(CONCATENATE(H122,F122,EJ$2),Matemáticas!$A:$H,7,FALSE)=AX122,1,0)</f>
        <v>#N/A</v>
      </c>
      <c r="EK122" s="138" t="e">
        <f>IF(VLOOKUP(CONCATENATE(H122,F122,EK$2),Matemáticas!$A:$H,7,FALSE)=AY122,1,0)</f>
        <v>#N/A</v>
      </c>
      <c r="EL122" s="138" t="e">
        <f>IF(VLOOKUP(CONCATENATE(H122,F122,EL$2),Matemáticas!$A:$H,7,FALSE)=AZ122,1,0)</f>
        <v>#N/A</v>
      </c>
      <c r="EM122" s="138" t="e">
        <f>IF(VLOOKUP(CONCATENATE(H122,F122,EM$2),Matemáticas!$A:$H,7,FALSE)=BA122,1,0)</f>
        <v>#N/A</v>
      </c>
      <c r="EN122" s="138" t="e">
        <f>IF(VLOOKUP(CONCATENATE(H122,F122,EN$2),Matemáticas!$A:$H,7,FALSE)=BB122,1,0)</f>
        <v>#N/A</v>
      </c>
      <c r="EO122" s="138" t="e">
        <f>IF(VLOOKUP(CONCATENATE(H122,F122,EO$2),Matemáticas!$A:$H,7,FALSE)=BC122,1,0)</f>
        <v>#N/A</v>
      </c>
      <c r="EP122" s="138" t="e">
        <f>IF(VLOOKUP(CONCATENATE(H122,F122,EP$2),Matemáticas!$A:$H,7,FALSE)=BD122,1,0)</f>
        <v>#N/A</v>
      </c>
      <c r="EQ122" s="138" t="e">
        <f>IF(VLOOKUP(CONCATENATE(H122,F122,EQ$2),Matemáticas!$A:$H,7,FALSE)=BE122,1,0)</f>
        <v>#N/A</v>
      </c>
      <c r="ER122" s="138" t="e">
        <f>IF(VLOOKUP(CONCATENATE(H122,F122,ER$2),Matemáticas!$A:$H,7,FALSE)=BF122,1,0)</f>
        <v>#N/A</v>
      </c>
      <c r="ES122" s="138" t="e">
        <f>IF(VLOOKUP(CONCATENATE(H122,F122,ES$2),Matemáticas!$A:$H,7,FALSE)=BG122,1,0)</f>
        <v>#N/A</v>
      </c>
      <c r="ET122" s="138" t="e">
        <f>IF(VLOOKUP(CONCATENATE(H122,F122,ET$2),Matemáticas!$A:$H,7,FALSE)=BH122,1,0)</f>
        <v>#N/A</v>
      </c>
      <c r="EU122" s="138" t="e">
        <f>IF(VLOOKUP(CONCATENATE(H122,F122,EU$2),Matemáticas!$A:$H,7,FALSE)=BI122,1,0)</f>
        <v>#N/A</v>
      </c>
      <c r="EV122" s="138" t="e">
        <f>IF(VLOOKUP(CONCATENATE(H122,F122,EV$2),Ciencias!$A:$H,7,FALSE)=BJ122,1,0)</f>
        <v>#N/A</v>
      </c>
      <c r="EW122" s="138" t="e">
        <f>IF(VLOOKUP(CONCATENATE(H122,F122,EW$2),Ciencias!$A:$H,7,FALSE)=BK122,1,0)</f>
        <v>#N/A</v>
      </c>
      <c r="EX122" s="138" t="e">
        <f>IF(VLOOKUP(CONCATENATE(H122,F122,EX$2),Ciencias!$A:$H,7,FALSE)=BL122,1,0)</f>
        <v>#N/A</v>
      </c>
      <c r="EY122" s="138" t="e">
        <f>IF(VLOOKUP(CONCATENATE(H122,F122,EY$2),Ciencias!$A:$H,7,FALSE)=BM122,1,0)</f>
        <v>#N/A</v>
      </c>
      <c r="EZ122" s="138" t="e">
        <f>IF(VLOOKUP(CONCATENATE(H122,F122,EZ$2),Ciencias!$A:$H,7,FALSE)=BN122,1,0)</f>
        <v>#N/A</v>
      </c>
      <c r="FA122" s="138" t="e">
        <f>IF(VLOOKUP(CONCATENATE(H122,F122,FA$2),Ciencias!$A:$H,7,FALSE)=BO122,1,0)</f>
        <v>#N/A</v>
      </c>
      <c r="FB122" s="138" t="e">
        <f>IF(VLOOKUP(CONCATENATE(H122,F122,FB$2),Ciencias!$A:$H,7,FALSE)=BP122,1,0)</f>
        <v>#N/A</v>
      </c>
      <c r="FC122" s="138" t="e">
        <f>IF(VLOOKUP(CONCATENATE(H122,F122,FC$2),Ciencias!$A:$H,7,FALSE)=BQ122,1,0)</f>
        <v>#N/A</v>
      </c>
      <c r="FD122" s="138" t="e">
        <f>IF(VLOOKUP(CONCATENATE(H122,F122,FD$2),Ciencias!$A:$H,7,FALSE)=BR122,1,0)</f>
        <v>#N/A</v>
      </c>
      <c r="FE122" s="138" t="e">
        <f>IF(VLOOKUP(CONCATENATE(H122,F122,FE$2),Ciencias!$A:$H,7,FALSE)=BS122,1,0)</f>
        <v>#N/A</v>
      </c>
      <c r="FF122" s="138" t="e">
        <f>IF(VLOOKUP(CONCATENATE(H122,F122,FF$2),Ciencias!$A:$H,7,FALSE)=BT122,1,0)</f>
        <v>#N/A</v>
      </c>
      <c r="FG122" s="138" t="e">
        <f>IF(VLOOKUP(CONCATENATE(H122,F122,FG$2),Ciencias!$A:$H,7,FALSE)=BU122,1,0)</f>
        <v>#N/A</v>
      </c>
      <c r="FH122" s="138" t="e">
        <f>IF(VLOOKUP(CONCATENATE(H122,F122,FH$2),Ciencias!$A:$H,7,FALSE)=BV122,1,0)</f>
        <v>#N/A</v>
      </c>
      <c r="FI122" s="138" t="e">
        <f>IF(VLOOKUP(CONCATENATE(H122,F122,FI$2),Ciencias!$A:$H,7,FALSE)=BW122,1,0)</f>
        <v>#N/A</v>
      </c>
      <c r="FJ122" s="138" t="e">
        <f>IF(VLOOKUP(CONCATENATE(H122,F122,FJ$2),Ciencias!$A:$H,7,FALSE)=BX122,1,0)</f>
        <v>#N/A</v>
      </c>
      <c r="FK122" s="138" t="e">
        <f>IF(VLOOKUP(CONCATENATE(H122,F122,FK$2),Ciencias!$A:$H,7,FALSE)=BY122,1,0)</f>
        <v>#N/A</v>
      </c>
      <c r="FL122" s="138" t="e">
        <f>IF(VLOOKUP(CONCATENATE(H122,F122,FL$2),Ciencias!$A:$H,7,FALSE)=BZ122,1,0)</f>
        <v>#N/A</v>
      </c>
      <c r="FM122" s="138" t="e">
        <f>IF(VLOOKUP(CONCATENATE(H122,F122,FM$2),Ciencias!$A:$H,7,FALSE)=CA122,1,0)</f>
        <v>#N/A</v>
      </c>
      <c r="FN122" s="138" t="e">
        <f>IF(VLOOKUP(CONCATENATE(H122,F122,FN$2),Ciencias!$A:$H,7,FALSE)=CB122,1,0)</f>
        <v>#N/A</v>
      </c>
      <c r="FO122" s="138" t="e">
        <f>IF(VLOOKUP(CONCATENATE(H122,F122,FO$2),Ciencias!$A:$H,7,FALSE)=CC122,1,0)</f>
        <v>#N/A</v>
      </c>
      <c r="FP122" s="138" t="e">
        <f>IF(VLOOKUP(CONCATENATE(H122,F122,FP$2),GeoHis!$A:$H,7,FALSE)=CD122,1,0)</f>
        <v>#N/A</v>
      </c>
      <c r="FQ122" s="138" t="e">
        <f>IF(VLOOKUP(CONCATENATE(H122,F122,FQ$2),GeoHis!$A:$H,7,FALSE)=CE122,1,0)</f>
        <v>#N/A</v>
      </c>
      <c r="FR122" s="138" t="e">
        <f>IF(VLOOKUP(CONCATENATE(H122,F122,FR$2),GeoHis!$A:$H,7,FALSE)=CF122,1,0)</f>
        <v>#N/A</v>
      </c>
      <c r="FS122" s="138" t="e">
        <f>IF(VLOOKUP(CONCATENATE(H122,F122,FS$2),GeoHis!$A:$H,7,FALSE)=CG122,1,0)</f>
        <v>#N/A</v>
      </c>
      <c r="FT122" s="138" t="e">
        <f>IF(VLOOKUP(CONCATENATE(H122,F122,FT$2),GeoHis!$A:$H,7,FALSE)=CH122,1,0)</f>
        <v>#N/A</v>
      </c>
      <c r="FU122" s="138" t="e">
        <f>IF(VLOOKUP(CONCATENATE(H122,F122,FU$2),GeoHis!$A:$H,7,FALSE)=CI122,1,0)</f>
        <v>#N/A</v>
      </c>
      <c r="FV122" s="138" t="e">
        <f>IF(VLOOKUP(CONCATENATE(H122,F122,FV$2),GeoHis!$A:$H,7,FALSE)=CJ122,1,0)</f>
        <v>#N/A</v>
      </c>
      <c r="FW122" s="138" t="e">
        <f>IF(VLOOKUP(CONCATENATE(H122,F122,FW$2),GeoHis!$A:$H,7,FALSE)=CK122,1,0)</f>
        <v>#N/A</v>
      </c>
      <c r="FX122" s="138" t="e">
        <f>IF(VLOOKUP(CONCATENATE(H122,F122,FX$2),GeoHis!$A:$H,7,FALSE)=CL122,1,0)</f>
        <v>#N/A</v>
      </c>
      <c r="FY122" s="138" t="e">
        <f>IF(VLOOKUP(CONCATENATE(H122,F122,FY$2),GeoHis!$A:$H,7,FALSE)=CM122,1,0)</f>
        <v>#N/A</v>
      </c>
      <c r="FZ122" s="138" t="e">
        <f>IF(VLOOKUP(CONCATENATE(H122,F122,FZ$2),GeoHis!$A:$H,7,FALSE)=CN122,1,0)</f>
        <v>#N/A</v>
      </c>
      <c r="GA122" s="138" t="e">
        <f>IF(VLOOKUP(CONCATENATE(H122,F122,GA$2),GeoHis!$A:$H,7,FALSE)=CO122,1,0)</f>
        <v>#N/A</v>
      </c>
      <c r="GB122" s="138" t="e">
        <f>IF(VLOOKUP(CONCATENATE(H122,F122,GB$2),GeoHis!$A:$H,7,FALSE)=CP122,1,0)</f>
        <v>#N/A</v>
      </c>
      <c r="GC122" s="138" t="e">
        <f>IF(VLOOKUP(CONCATENATE(H122,F122,GC$2),GeoHis!$A:$H,7,FALSE)=CQ122,1,0)</f>
        <v>#N/A</v>
      </c>
      <c r="GD122" s="138" t="e">
        <f>IF(VLOOKUP(CONCATENATE(H122,F122,GD$2),GeoHis!$A:$H,7,FALSE)=CR122,1,0)</f>
        <v>#N/A</v>
      </c>
      <c r="GE122" s="135" t="str">
        <f t="shared" si="15"/>
        <v/>
      </c>
    </row>
    <row r="123" spans="1:187" x14ac:dyDescent="0.25">
      <c r="A123" s="127" t="str">
        <f>IF(C123="","",'Datos Generales'!$A$25)</f>
        <v/>
      </c>
      <c r="D123" s="126" t="str">
        <f t="shared" si="8"/>
        <v/>
      </c>
      <c r="E123" s="126">
        <f t="shared" si="9"/>
        <v>0</v>
      </c>
      <c r="F123" s="126" t="str">
        <f t="shared" si="10"/>
        <v/>
      </c>
      <c r="G123" s="126" t="str">
        <f>IF(C123="","",'Datos Generales'!$D$19)</f>
        <v/>
      </c>
      <c r="H123" s="21" t="str">
        <f>IF(C123="","",'Datos Generales'!$A$19)</f>
        <v/>
      </c>
      <c r="I123" s="126" t="str">
        <f>IF(C123="","",'Datos Generales'!$A$7)</f>
        <v/>
      </c>
      <c r="J123" s="21" t="str">
        <f>IF(C123="","",'Datos Generales'!$A$13)</f>
        <v/>
      </c>
      <c r="K123" s="21" t="str">
        <f>IF(C123="","",'Datos Generales'!$A$10)</f>
        <v/>
      </c>
      <c r="CS123" s="142" t="str">
        <f t="shared" si="11"/>
        <v/>
      </c>
      <c r="CT123" s="142" t="str">
        <f t="shared" si="12"/>
        <v/>
      </c>
      <c r="CU123" s="142" t="str">
        <f t="shared" si="13"/>
        <v/>
      </c>
      <c r="CV123" s="142" t="str">
        <f t="shared" si="14"/>
        <v/>
      </c>
      <c r="CW123" s="142" t="str">
        <f>IF(C123="","",IF('Datos Generales'!$A$19=1,AVERAGE(FP123:GD123),AVERAGE(Captura!FP123:FY123)))</f>
        <v/>
      </c>
      <c r="CX123" s="138" t="e">
        <f>IF(VLOOKUP(CONCATENATE($H$4,$F$4,CX$2),Español!$A:$H,7,FALSE)=L123,1,0)</f>
        <v>#N/A</v>
      </c>
      <c r="CY123" s="138" t="e">
        <f>IF(VLOOKUP(CONCATENATE(H123,F123,CY$2),Español!$A:$H,7,FALSE)=M123,1,0)</f>
        <v>#N/A</v>
      </c>
      <c r="CZ123" s="138" t="e">
        <f>IF(VLOOKUP(CONCATENATE(H123,F123,CZ$2),Español!$A:$H,7,FALSE)=N123,1,0)</f>
        <v>#N/A</v>
      </c>
      <c r="DA123" s="138" t="e">
        <f>IF(VLOOKUP(CONCATENATE(H123,F123,DA$2),Español!$A:$H,7,FALSE)=O123,1,0)</f>
        <v>#N/A</v>
      </c>
      <c r="DB123" s="138" t="e">
        <f>IF(VLOOKUP(CONCATENATE(H123,F123,DB$2),Español!$A:$H,7,FALSE)=P123,1,0)</f>
        <v>#N/A</v>
      </c>
      <c r="DC123" s="138" t="e">
        <f>IF(VLOOKUP(CONCATENATE(H123,F123,DC$2),Español!$A:$H,7,FALSE)=Q123,1,0)</f>
        <v>#N/A</v>
      </c>
      <c r="DD123" s="138" t="e">
        <f>IF(VLOOKUP(CONCATENATE(H123,F123,DD$2),Español!$A:$H,7,FALSE)=R123,1,0)</f>
        <v>#N/A</v>
      </c>
      <c r="DE123" s="138" t="e">
        <f>IF(VLOOKUP(CONCATENATE(H123,F123,DE$2),Español!$A:$H,7,FALSE)=S123,1,0)</f>
        <v>#N/A</v>
      </c>
      <c r="DF123" s="138" t="e">
        <f>IF(VLOOKUP(CONCATENATE(H123,F123,DF$2),Español!$A:$H,7,FALSE)=T123,1,0)</f>
        <v>#N/A</v>
      </c>
      <c r="DG123" s="138" t="e">
        <f>IF(VLOOKUP(CONCATENATE(H123,F123,DG$2),Español!$A:$H,7,FALSE)=U123,1,0)</f>
        <v>#N/A</v>
      </c>
      <c r="DH123" s="138" t="e">
        <f>IF(VLOOKUP(CONCATENATE(H123,F123,DH$2),Español!$A:$H,7,FALSE)=V123,1,0)</f>
        <v>#N/A</v>
      </c>
      <c r="DI123" s="138" t="e">
        <f>IF(VLOOKUP(CONCATENATE(H123,F123,DI$2),Español!$A:$H,7,FALSE)=W123,1,0)</f>
        <v>#N/A</v>
      </c>
      <c r="DJ123" s="138" t="e">
        <f>IF(VLOOKUP(CONCATENATE(H123,F123,DJ$2),Español!$A:$H,7,FALSE)=X123,1,0)</f>
        <v>#N/A</v>
      </c>
      <c r="DK123" s="138" t="e">
        <f>IF(VLOOKUP(CONCATENATE(H123,F123,DK$2),Español!$A:$H,7,FALSE)=Y123,1,0)</f>
        <v>#N/A</v>
      </c>
      <c r="DL123" s="138" t="e">
        <f>IF(VLOOKUP(CONCATENATE(H123,F123,DL$2),Español!$A:$H,7,FALSE)=Z123,1,0)</f>
        <v>#N/A</v>
      </c>
      <c r="DM123" s="138" t="e">
        <f>IF(VLOOKUP(CONCATENATE(H123,F123,DM$2),Español!$A:$H,7,FALSE)=AA123,1,0)</f>
        <v>#N/A</v>
      </c>
      <c r="DN123" s="138" t="e">
        <f>IF(VLOOKUP(CONCATENATE(H123,F123,DN$2),Español!$A:$H,7,FALSE)=AB123,1,0)</f>
        <v>#N/A</v>
      </c>
      <c r="DO123" s="138" t="e">
        <f>IF(VLOOKUP(CONCATENATE(H123,F123,DO$2),Español!$A:$H,7,FALSE)=AC123,1,0)</f>
        <v>#N/A</v>
      </c>
      <c r="DP123" s="138" t="e">
        <f>IF(VLOOKUP(CONCATENATE(H123,F123,DP$2),Español!$A:$H,7,FALSE)=AD123,1,0)</f>
        <v>#N/A</v>
      </c>
      <c r="DQ123" s="138" t="e">
        <f>IF(VLOOKUP(CONCATENATE(H123,F123,DQ$2),Español!$A:$H,7,FALSE)=AE123,1,0)</f>
        <v>#N/A</v>
      </c>
      <c r="DR123" s="138" t="e">
        <f>IF(VLOOKUP(CONCATENATE(H123,F123,DR$2),Inglés!$A:$H,7,FALSE)=AF123,1,0)</f>
        <v>#N/A</v>
      </c>
      <c r="DS123" s="138" t="e">
        <f>IF(VLOOKUP(CONCATENATE(H123,F123,DS$2),Inglés!$A:$H,7,FALSE)=AG123,1,0)</f>
        <v>#N/A</v>
      </c>
      <c r="DT123" s="138" t="e">
        <f>IF(VLOOKUP(CONCATENATE(H123,F123,DT$2),Inglés!$A:$H,7,FALSE)=AH123,1,0)</f>
        <v>#N/A</v>
      </c>
      <c r="DU123" s="138" t="e">
        <f>IF(VLOOKUP(CONCATENATE(H123,F123,DU$2),Inglés!$A:$H,7,FALSE)=AI123,1,0)</f>
        <v>#N/A</v>
      </c>
      <c r="DV123" s="138" t="e">
        <f>IF(VLOOKUP(CONCATENATE(H123,F123,DV$2),Inglés!$A:$H,7,FALSE)=AJ123,1,0)</f>
        <v>#N/A</v>
      </c>
      <c r="DW123" s="138" t="e">
        <f>IF(VLOOKUP(CONCATENATE(H123,F123,DW$2),Inglés!$A:$H,7,FALSE)=AK123,1,0)</f>
        <v>#N/A</v>
      </c>
      <c r="DX123" s="138" t="e">
        <f>IF(VLOOKUP(CONCATENATE(H123,F123,DX$2),Inglés!$A:$H,7,FALSE)=AL123,1,0)</f>
        <v>#N/A</v>
      </c>
      <c r="DY123" s="138" t="e">
        <f>IF(VLOOKUP(CONCATENATE(H123,F123,DY$2),Inglés!$A:$H,7,FALSE)=AM123,1,0)</f>
        <v>#N/A</v>
      </c>
      <c r="DZ123" s="138" t="e">
        <f>IF(VLOOKUP(CONCATENATE(H123,F123,DZ$2),Inglés!$A:$H,7,FALSE)=AN123,1,0)</f>
        <v>#N/A</v>
      </c>
      <c r="EA123" s="138" t="e">
        <f>IF(VLOOKUP(CONCATENATE(H123,F123,EA$2),Inglés!$A:$H,7,FALSE)=AO123,1,0)</f>
        <v>#N/A</v>
      </c>
      <c r="EB123" s="138" t="e">
        <f>IF(VLOOKUP(CONCATENATE(H123,F123,EB$2),Matemáticas!$A:$H,7,FALSE)=AP123,1,0)</f>
        <v>#N/A</v>
      </c>
      <c r="EC123" s="138" t="e">
        <f>IF(VLOOKUP(CONCATENATE(H123,F123,EC$2),Matemáticas!$A:$H,7,FALSE)=AQ123,1,0)</f>
        <v>#N/A</v>
      </c>
      <c r="ED123" s="138" t="e">
        <f>IF(VLOOKUP(CONCATENATE(H123,F123,ED$2),Matemáticas!$A:$H,7,FALSE)=AR123,1,0)</f>
        <v>#N/A</v>
      </c>
      <c r="EE123" s="138" t="e">
        <f>IF(VLOOKUP(CONCATENATE(H123,F123,EE$2),Matemáticas!$A:$H,7,FALSE)=AS123,1,0)</f>
        <v>#N/A</v>
      </c>
      <c r="EF123" s="138" t="e">
        <f>IF(VLOOKUP(CONCATENATE(H123,F123,EF$2),Matemáticas!$A:$H,7,FALSE)=AT123,1,0)</f>
        <v>#N/A</v>
      </c>
      <c r="EG123" s="138" t="e">
        <f>IF(VLOOKUP(CONCATENATE(H123,F123,EG$2),Matemáticas!$A:$H,7,FALSE)=AU123,1,0)</f>
        <v>#N/A</v>
      </c>
      <c r="EH123" s="138" t="e">
        <f>IF(VLOOKUP(CONCATENATE(H123,F123,EH$2),Matemáticas!$A:$H,7,FALSE)=AV123,1,0)</f>
        <v>#N/A</v>
      </c>
      <c r="EI123" s="138" t="e">
        <f>IF(VLOOKUP(CONCATENATE(H123,F123,EI$2),Matemáticas!$A:$H,7,FALSE)=AW123,1,0)</f>
        <v>#N/A</v>
      </c>
      <c r="EJ123" s="138" t="e">
        <f>IF(VLOOKUP(CONCATENATE(H123,F123,EJ$2),Matemáticas!$A:$H,7,FALSE)=AX123,1,0)</f>
        <v>#N/A</v>
      </c>
      <c r="EK123" s="138" t="e">
        <f>IF(VLOOKUP(CONCATENATE(H123,F123,EK$2),Matemáticas!$A:$H,7,FALSE)=AY123,1,0)</f>
        <v>#N/A</v>
      </c>
      <c r="EL123" s="138" t="e">
        <f>IF(VLOOKUP(CONCATENATE(H123,F123,EL$2),Matemáticas!$A:$H,7,FALSE)=AZ123,1,0)</f>
        <v>#N/A</v>
      </c>
      <c r="EM123" s="138" t="e">
        <f>IF(VLOOKUP(CONCATENATE(H123,F123,EM$2),Matemáticas!$A:$H,7,FALSE)=BA123,1,0)</f>
        <v>#N/A</v>
      </c>
      <c r="EN123" s="138" t="e">
        <f>IF(VLOOKUP(CONCATENATE(H123,F123,EN$2),Matemáticas!$A:$H,7,FALSE)=BB123,1,0)</f>
        <v>#N/A</v>
      </c>
      <c r="EO123" s="138" t="e">
        <f>IF(VLOOKUP(CONCATENATE(H123,F123,EO$2),Matemáticas!$A:$H,7,FALSE)=BC123,1,0)</f>
        <v>#N/A</v>
      </c>
      <c r="EP123" s="138" t="e">
        <f>IF(VLOOKUP(CONCATENATE(H123,F123,EP$2),Matemáticas!$A:$H,7,FALSE)=BD123,1,0)</f>
        <v>#N/A</v>
      </c>
      <c r="EQ123" s="138" t="e">
        <f>IF(VLOOKUP(CONCATENATE(H123,F123,EQ$2),Matemáticas!$A:$H,7,FALSE)=BE123,1,0)</f>
        <v>#N/A</v>
      </c>
      <c r="ER123" s="138" t="e">
        <f>IF(VLOOKUP(CONCATENATE(H123,F123,ER$2),Matemáticas!$A:$H,7,FALSE)=BF123,1,0)</f>
        <v>#N/A</v>
      </c>
      <c r="ES123" s="138" t="e">
        <f>IF(VLOOKUP(CONCATENATE(H123,F123,ES$2),Matemáticas!$A:$H,7,FALSE)=BG123,1,0)</f>
        <v>#N/A</v>
      </c>
      <c r="ET123" s="138" t="e">
        <f>IF(VLOOKUP(CONCATENATE(H123,F123,ET$2),Matemáticas!$A:$H,7,FALSE)=BH123,1,0)</f>
        <v>#N/A</v>
      </c>
      <c r="EU123" s="138" t="e">
        <f>IF(VLOOKUP(CONCATENATE(H123,F123,EU$2),Matemáticas!$A:$H,7,FALSE)=BI123,1,0)</f>
        <v>#N/A</v>
      </c>
      <c r="EV123" s="138" t="e">
        <f>IF(VLOOKUP(CONCATENATE(H123,F123,EV$2),Ciencias!$A:$H,7,FALSE)=BJ123,1,0)</f>
        <v>#N/A</v>
      </c>
      <c r="EW123" s="138" t="e">
        <f>IF(VLOOKUP(CONCATENATE(H123,F123,EW$2),Ciencias!$A:$H,7,FALSE)=BK123,1,0)</f>
        <v>#N/A</v>
      </c>
      <c r="EX123" s="138" t="e">
        <f>IF(VLOOKUP(CONCATENATE(H123,F123,EX$2),Ciencias!$A:$H,7,FALSE)=BL123,1,0)</f>
        <v>#N/A</v>
      </c>
      <c r="EY123" s="138" t="e">
        <f>IF(VLOOKUP(CONCATENATE(H123,F123,EY$2),Ciencias!$A:$H,7,FALSE)=BM123,1,0)</f>
        <v>#N/A</v>
      </c>
      <c r="EZ123" s="138" t="e">
        <f>IF(VLOOKUP(CONCATENATE(H123,F123,EZ$2),Ciencias!$A:$H,7,FALSE)=BN123,1,0)</f>
        <v>#N/A</v>
      </c>
      <c r="FA123" s="138" t="e">
        <f>IF(VLOOKUP(CONCATENATE(H123,F123,FA$2),Ciencias!$A:$H,7,FALSE)=BO123,1,0)</f>
        <v>#N/A</v>
      </c>
      <c r="FB123" s="138" t="e">
        <f>IF(VLOOKUP(CONCATENATE(H123,F123,FB$2),Ciencias!$A:$H,7,FALSE)=BP123,1,0)</f>
        <v>#N/A</v>
      </c>
      <c r="FC123" s="138" t="e">
        <f>IF(VLOOKUP(CONCATENATE(H123,F123,FC$2),Ciencias!$A:$H,7,FALSE)=BQ123,1,0)</f>
        <v>#N/A</v>
      </c>
      <c r="FD123" s="138" t="e">
        <f>IF(VLOOKUP(CONCATENATE(H123,F123,FD$2),Ciencias!$A:$H,7,FALSE)=BR123,1,0)</f>
        <v>#N/A</v>
      </c>
      <c r="FE123" s="138" t="e">
        <f>IF(VLOOKUP(CONCATENATE(H123,F123,FE$2),Ciencias!$A:$H,7,FALSE)=BS123,1,0)</f>
        <v>#N/A</v>
      </c>
      <c r="FF123" s="138" t="e">
        <f>IF(VLOOKUP(CONCATENATE(H123,F123,FF$2),Ciencias!$A:$H,7,FALSE)=BT123,1,0)</f>
        <v>#N/A</v>
      </c>
      <c r="FG123" s="138" t="e">
        <f>IF(VLOOKUP(CONCATENATE(H123,F123,FG$2),Ciencias!$A:$H,7,FALSE)=BU123,1,0)</f>
        <v>#N/A</v>
      </c>
      <c r="FH123" s="138" t="e">
        <f>IF(VLOOKUP(CONCATENATE(H123,F123,FH$2),Ciencias!$A:$H,7,FALSE)=BV123,1,0)</f>
        <v>#N/A</v>
      </c>
      <c r="FI123" s="138" t="e">
        <f>IF(VLOOKUP(CONCATENATE(H123,F123,FI$2),Ciencias!$A:$H,7,FALSE)=BW123,1,0)</f>
        <v>#N/A</v>
      </c>
      <c r="FJ123" s="138" t="e">
        <f>IF(VLOOKUP(CONCATENATE(H123,F123,FJ$2),Ciencias!$A:$H,7,FALSE)=BX123,1,0)</f>
        <v>#N/A</v>
      </c>
      <c r="FK123" s="138" t="e">
        <f>IF(VLOOKUP(CONCATENATE(H123,F123,FK$2),Ciencias!$A:$H,7,FALSE)=BY123,1,0)</f>
        <v>#N/A</v>
      </c>
      <c r="FL123" s="138" t="e">
        <f>IF(VLOOKUP(CONCATENATE(H123,F123,FL$2),Ciencias!$A:$H,7,FALSE)=BZ123,1,0)</f>
        <v>#N/A</v>
      </c>
      <c r="FM123" s="138" t="e">
        <f>IF(VLOOKUP(CONCATENATE(H123,F123,FM$2),Ciencias!$A:$H,7,FALSE)=CA123,1,0)</f>
        <v>#N/A</v>
      </c>
      <c r="FN123" s="138" t="e">
        <f>IF(VLOOKUP(CONCATENATE(H123,F123,FN$2),Ciencias!$A:$H,7,FALSE)=CB123,1,0)</f>
        <v>#N/A</v>
      </c>
      <c r="FO123" s="138" t="e">
        <f>IF(VLOOKUP(CONCATENATE(H123,F123,FO$2),Ciencias!$A:$H,7,FALSE)=CC123,1,0)</f>
        <v>#N/A</v>
      </c>
      <c r="FP123" s="138" t="e">
        <f>IF(VLOOKUP(CONCATENATE(H123,F123,FP$2),GeoHis!$A:$H,7,FALSE)=CD123,1,0)</f>
        <v>#N/A</v>
      </c>
      <c r="FQ123" s="138" t="e">
        <f>IF(VLOOKUP(CONCATENATE(H123,F123,FQ$2),GeoHis!$A:$H,7,FALSE)=CE123,1,0)</f>
        <v>#N/A</v>
      </c>
      <c r="FR123" s="138" t="e">
        <f>IF(VLOOKUP(CONCATENATE(H123,F123,FR$2),GeoHis!$A:$H,7,FALSE)=CF123,1,0)</f>
        <v>#N/A</v>
      </c>
      <c r="FS123" s="138" t="e">
        <f>IF(VLOOKUP(CONCATENATE(H123,F123,FS$2),GeoHis!$A:$H,7,FALSE)=CG123,1,0)</f>
        <v>#N/A</v>
      </c>
      <c r="FT123" s="138" t="e">
        <f>IF(VLOOKUP(CONCATENATE(H123,F123,FT$2),GeoHis!$A:$H,7,FALSE)=CH123,1,0)</f>
        <v>#N/A</v>
      </c>
      <c r="FU123" s="138" t="e">
        <f>IF(VLOOKUP(CONCATENATE(H123,F123,FU$2),GeoHis!$A:$H,7,FALSE)=CI123,1,0)</f>
        <v>#N/A</v>
      </c>
      <c r="FV123" s="138" t="e">
        <f>IF(VLOOKUP(CONCATENATE(H123,F123,FV$2),GeoHis!$A:$H,7,FALSE)=CJ123,1,0)</f>
        <v>#N/A</v>
      </c>
      <c r="FW123" s="138" t="e">
        <f>IF(VLOOKUP(CONCATENATE(H123,F123,FW$2),GeoHis!$A:$H,7,FALSE)=CK123,1,0)</f>
        <v>#N/A</v>
      </c>
      <c r="FX123" s="138" t="e">
        <f>IF(VLOOKUP(CONCATENATE(H123,F123,FX$2),GeoHis!$A:$H,7,FALSE)=CL123,1,0)</f>
        <v>#N/A</v>
      </c>
      <c r="FY123" s="138" t="e">
        <f>IF(VLOOKUP(CONCATENATE(H123,F123,FY$2),GeoHis!$A:$H,7,FALSE)=CM123,1,0)</f>
        <v>#N/A</v>
      </c>
      <c r="FZ123" s="138" t="e">
        <f>IF(VLOOKUP(CONCATENATE(H123,F123,FZ$2),GeoHis!$A:$H,7,FALSE)=CN123,1,0)</f>
        <v>#N/A</v>
      </c>
      <c r="GA123" s="138" t="e">
        <f>IF(VLOOKUP(CONCATENATE(H123,F123,GA$2),GeoHis!$A:$H,7,FALSE)=CO123,1,0)</f>
        <v>#N/A</v>
      </c>
      <c r="GB123" s="138" t="e">
        <f>IF(VLOOKUP(CONCATENATE(H123,F123,GB$2),GeoHis!$A:$H,7,FALSE)=CP123,1,0)</f>
        <v>#N/A</v>
      </c>
      <c r="GC123" s="138" t="e">
        <f>IF(VLOOKUP(CONCATENATE(H123,F123,GC$2),GeoHis!$A:$H,7,FALSE)=CQ123,1,0)</f>
        <v>#N/A</v>
      </c>
      <c r="GD123" s="138" t="e">
        <f>IF(VLOOKUP(CONCATENATE(H123,F123,GD$2),GeoHis!$A:$H,7,FALSE)=CR123,1,0)</f>
        <v>#N/A</v>
      </c>
      <c r="GE123" s="135" t="str">
        <f t="shared" si="15"/>
        <v/>
      </c>
    </row>
    <row r="124" spans="1:187" x14ac:dyDescent="0.25">
      <c r="A124" s="127" t="str">
        <f>IF(C124="","",'Datos Generales'!$A$25)</f>
        <v/>
      </c>
      <c r="D124" s="126" t="str">
        <f t="shared" si="8"/>
        <v/>
      </c>
      <c r="E124" s="126">
        <f t="shared" si="9"/>
        <v>0</v>
      </c>
      <c r="F124" s="126" t="str">
        <f t="shared" si="10"/>
        <v/>
      </c>
      <c r="G124" s="126" t="str">
        <f>IF(C124="","",'Datos Generales'!$D$19)</f>
        <v/>
      </c>
      <c r="H124" s="21" t="str">
        <f>IF(C124="","",'Datos Generales'!$A$19)</f>
        <v/>
      </c>
      <c r="I124" s="126" t="str">
        <f>IF(C124="","",'Datos Generales'!$A$7)</f>
        <v/>
      </c>
      <c r="J124" s="21" t="str">
        <f>IF(C124="","",'Datos Generales'!$A$13)</f>
        <v/>
      </c>
      <c r="K124" s="21" t="str">
        <f>IF(C124="","",'Datos Generales'!$A$10)</f>
        <v/>
      </c>
      <c r="CS124" s="142" t="str">
        <f t="shared" si="11"/>
        <v/>
      </c>
      <c r="CT124" s="142" t="str">
        <f t="shared" si="12"/>
        <v/>
      </c>
      <c r="CU124" s="142" t="str">
        <f t="shared" si="13"/>
        <v/>
      </c>
      <c r="CV124" s="142" t="str">
        <f t="shared" si="14"/>
        <v/>
      </c>
      <c r="CW124" s="142" t="str">
        <f>IF(C124="","",IF('Datos Generales'!$A$19=1,AVERAGE(FP124:GD124),AVERAGE(Captura!FP124:FY124)))</f>
        <v/>
      </c>
      <c r="CX124" s="138" t="e">
        <f>IF(VLOOKUP(CONCATENATE($H$4,$F$4,CX$2),Español!$A:$H,7,FALSE)=L124,1,0)</f>
        <v>#N/A</v>
      </c>
      <c r="CY124" s="138" t="e">
        <f>IF(VLOOKUP(CONCATENATE(H124,F124,CY$2),Español!$A:$H,7,FALSE)=M124,1,0)</f>
        <v>#N/A</v>
      </c>
      <c r="CZ124" s="138" t="e">
        <f>IF(VLOOKUP(CONCATENATE(H124,F124,CZ$2),Español!$A:$H,7,FALSE)=N124,1,0)</f>
        <v>#N/A</v>
      </c>
      <c r="DA124" s="138" t="e">
        <f>IF(VLOOKUP(CONCATENATE(H124,F124,DA$2),Español!$A:$H,7,FALSE)=O124,1,0)</f>
        <v>#N/A</v>
      </c>
      <c r="DB124" s="138" t="e">
        <f>IF(VLOOKUP(CONCATENATE(H124,F124,DB$2),Español!$A:$H,7,FALSE)=P124,1,0)</f>
        <v>#N/A</v>
      </c>
      <c r="DC124" s="138" t="e">
        <f>IF(VLOOKUP(CONCATENATE(H124,F124,DC$2),Español!$A:$H,7,FALSE)=Q124,1,0)</f>
        <v>#N/A</v>
      </c>
      <c r="DD124" s="138" t="e">
        <f>IF(VLOOKUP(CONCATENATE(H124,F124,DD$2),Español!$A:$H,7,FALSE)=R124,1,0)</f>
        <v>#N/A</v>
      </c>
      <c r="DE124" s="138" t="e">
        <f>IF(VLOOKUP(CONCATENATE(H124,F124,DE$2),Español!$A:$H,7,FALSE)=S124,1,0)</f>
        <v>#N/A</v>
      </c>
      <c r="DF124" s="138" t="e">
        <f>IF(VLOOKUP(CONCATENATE(H124,F124,DF$2),Español!$A:$H,7,FALSE)=T124,1,0)</f>
        <v>#N/A</v>
      </c>
      <c r="DG124" s="138" t="e">
        <f>IF(VLOOKUP(CONCATENATE(H124,F124,DG$2),Español!$A:$H,7,FALSE)=U124,1,0)</f>
        <v>#N/A</v>
      </c>
      <c r="DH124" s="138" t="e">
        <f>IF(VLOOKUP(CONCATENATE(H124,F124,DH$2),Español!$A:$H,7,FALSE)=V124,1,0)</f>
        <v>#N/A</v>
      </c>
      <c r="DI124" s="138" t="e">
        <f>IF(VLOOKUP(CONCATENATE(H124,F124,DI$2),Español!$A:$H,7,FALSE)=W124,1,0)</f>
        <v>#N/A</v>
      </c>
      <c r="DJ124" s="138" t="e">
        <f>IF(VLOOKUP(CONCATENATE(H124,F124,DJ$2),Español!$A:$H,7,FALSE)=X124,1,0)</f>
        <v>#N/A</v>
      </c>
      <c r="DK124" s="138" t="e">
        <f>IF(VLOOKUP(CONCATENATE(H124,F124,DK$2),Español!$A:$H,7,FALSE)=Y124,1,0)</f>
        <v>#N/A</v>
      </c>
      <c r="DL124" s="138" t="e">
        <f>IF(VLOOKUP(CONCATENATE(H124,F124,DL$2),Español!$A:$H,7,FALSE)=Z124,1,0)</f>
        <v>#N/A</v>
      </c>
      <c r="DM124" s="138" t="e">
        <f>IF(VLOOKUP(CONCATENATE(H124,F124,DM$2),Español!$A:$H,7,FALSE)=AA124,1,0)</f>
        <v>#N/A</v>
      </c>
      <c r="DN124" s="138" t="e">
        <f>IF(VLOOKUP(CONCATENATE(H124,F124,DN$2),Español!$A:$H,7,FALSE)=AB124,1,0)</f>
        <v>#N/A</v>
      </c>
      <c r="DO124" s="138" t="e">
        <f>IF(VLOOKUP(CONCATENATE(H124,F124,DO$2),Español!$A:$H,7,FALSE)=AC124,1,0)</f>
        <v>#N/A</v>
      </c>
      <c r="DP124" s="138" t="e">
        <f>IF(VLOOKUP(CONCATENATE(H124,F124,DP$2),Español!$A:$H,7,FALSE)=AD124,1,0)</f>
        <v>#N/A</v>
      </c>
      <c r="DQ124" s="138" t="e">
        <f>IF(VLOOKUP(CONCATENATE(H124,F124,DQ$2),Español!$A:$H,7,FALSE)=AE124,1,0)</f>
        <v>#N/A</v>
      </c>
      <c r="DR124" s="138" t="e">
        <f>IF(VLOOKUP(CONCATENATE(H124,F124,DR$2),Inglés!$A:$H,7,FALSE)=AF124,1,0)</f>
        <v>#N/A</v>
      </c>
      <c r="DS124" s="138" t="e">
        <f>IF(VLOOKUP(CONCATENATE(H124,F124,DS$2),Inglés!$A:$H,7,FALSE)=AG124,1,0)</f>
        <v>#N/A</v>
      </c>
      <c r="DT124" s="138" t="e">
        <f>IF(VLOOKUP(CONCATENATE(H124,F124,DT$2),Inglés!$A:$H,7,FALSE)=AH124,1,0)</f>
        <v>#N/A</v>
      </c>
      <c r="DU124" s="138" t="e">
        <f>IF(VLOOKUP(CONCATENATE(H124,F124,DU$2),Inglés!$A:$H,7,FALSE)=AI124,1,0)</f>
        <v>#N/A</v>
      </c>
      <c r="DV124" s="138" t="e">
        <f>IF(VLOOKUP(CONCATENATE(H124,F124,DV$2),Inglés!$A:$H,7,FALSE)=AJ124,1,0)</f>
        <v>#N/A</v>
      </c>
      <c r="DW124" s="138" t="e">
        <f>IF(VLOOKUP(CONCATENATE(H124,F124,DW$2),Inglés!$A:$H,7,FALSE)=AK124,1,0)</f>
        <v>#N/A</v>
      </c>
      <c r="DX124" s="138" t="e">
        <f>IF(VLOOKUP(CONCATENATE(H124,F124,DX$2),Inglés!$A:$H,7,FALSE)=AL124,1,0)</f>
        <v>#N/A</v>
      </c>
      <c r="DY124" s="138" t="e">
        <f>IF(VLOOKUP(CONCATENATE(H124,F124,DY$2),Inglés!$A:$H,7,FALSE)=AM124,1,0)</f>
        <v>#N/A</v>
      </c>
      <c r="DZ124" s="138" t="e">
        <f>IF(VLOOKUP(CONCATENATE(H124,F124,DZ$2),Inglés!$A:$H,7,FALSE)=AN124,1,0)</f>
        <v>#N/A</v>
      </c>
      <c r="EA124" s="138" t="e">
        <f>IF(VLOOKUP(CONCATENATE(H124,F124,EA$2),Inglés!$A:$H,7,FALSE)=AO124,1,0)</f>
        <v>#N/A</v>
      </c>
      <c r="EB124" s="138" t="e">
        <f>IF(VLOOKUP(CONCATENATE(H124,F124,EB$2),Matemáticas!$A:$H,7,FALSE)=AP124,1,0)</f>
        <v>#N/A</v>
      </c>
      <c r="EC124" s="138" t="e">
        <f>IF(VLOOKUP(CONCATENATE(H124,F124,EC$2),Matemáticas!$A:$H,7,FALSE)=AQ124,1,0)</f>
        <v>#N/A</v>
      </c>
      <c r="ED124" s="138" t="e">
        <f>IF(VLOOKUP(CONCATENATE(H124,F124,ED$2),Matemáticas!$A:$H,7,FALSE)=AR124,1,0)</f>
        <v>#N/A</v>
      </c>
      <c r="EE124" s="138" t="e">
        <f>IF(VLOOKUP(CONCATENATE(H124,F124,EE$2),Matemáticas!$A:$H,7,FALSE)=AS124,1,0)</f>
        <v>#N/A</v>
      </c>
      <c r="EF124" s="138" t="e">
        <f>IF(VLOOKUP(CONCATENATE(H124,F124,EF$2),Matemáticas!$A:$H,7,FALSE)=AT124,1,0)</f>
        <v>#N/A</v>
      </c>
      <c r="EG124" s="138" t="e">
        <f>IF(VLOOKUP(CONCATENATE(H124,F124,EG$2),Matemáticas!$A:$H,7,FALSE)=AU124,1,0)</f>
        <v>#N/A</v>
      </c>
      <c r="EH124" s="138" t="e">
        <f>IF(VLOOKUP(CONCATENATE(H124,F124,EH$2),Matemáticas!$A:$H,7,FALSE)=AV124,1,0)</f>
        <v>#N/A</v>
      </c>
      <c r="EI124" s="138" t="e">
        <f>IF(VLOOKUP(CONCATENATE(H124,F124,EI$2),Matemáticas!$A:$H,7,FALSE)=AW124,1,0)</f>
        <v>#N/A</v>
      </c>
      <c r="EJ124" s="138" t="e">
        <f>IF(VLOOKUP(CONCATENATE(H124,F124,EJ$2),Matemáticas!$A:$H,7,FALSE)=AX124,1,0)</f>
        <v>#N/A</v>
      </c>
      <c r="EK124" s="138" t="e">
        <f>IF(VLOOKUP(CONCATENATE(H124,F124,EK$2),Matemáticas!$A:$H,7,FALSE)=AY124,1,0)</f>
        <v>#N/A</v>
      </c>
      <c r="EL124" s="138" t="e">
        <f>IF(VLOOKUP(CONCATENATE(H124,F124,EL$2),Matemáticas!$A:$H,7,FALSE)=AZ124,1,0)</f>
        <v>#N/A</v>
      </c>
      <c r="EM124" s="138" t="e">
        <f>IF(VLOOKUP(CONCATENATE(H124,F124,EM$2),Matemáticas!$A:$H,7,FALSE)=BA124,1,0)</f>
        <v>#N/A</v>
      </c>
      <c r="EN124" s="138" t="e">
        <f>IF(VLOOKUP(CONCATENATE(H124,F124,EN$2),Matemáticas!$A:$H,7,FALSE)=BB124,1,0)</f>
        <v>#N/A</v>
      </c>
      <c r="EO124" s="138" t="e">
        <f>IF(VLOOKUP(CONCATENATE(H124,F124,EO$2),Matemáticas!$A:$H,7,FALSE)=BC124,1,0)</f>
        <v>#N/A</v>
      </c>
      <c r="EP124" s="138" t="e">
        <f>IF(VLOOKUP(CONCATENATE(H124,F124,EP$2),Matemáticas!$A:$H,7,FALSE)=BD124,1,0)</f>
        <v>#N/A</v>
      </c>
      <c r="EQ124" s="138" t="e">
        <f>IF(VLOOKUP(CONCATENATE(H124,F124,EQ$2),Matemáticas!$A:$H,7,FALSE)=BE124,1,0)</f>
        <v>#N/A</v>
      </c>
      <c r="ER124" s="138" t="e">
        <f>IF(VLOOKUP(CONCATENATE(H124,F124,ER$2),Matemáticas!$A:$H,7,FALSE)=BF124,1,0)</f>
        <v>#N/A</v>
      </c>
      <c r="ES124" s="138" t="e">
        <f>IF(VLOOKUP(CONCATENATE(H124,F124,ES$2),Matemáticas!$A:$H,7,FALSE)=BG124,1,0)</f>
        <v>#N/A</v>
      </c>
      <c r="ET124" s="138" t="e">
        <f>IF(VLOOKUP(CONCATENATE(H124,F124,ET$2),Matemáticas!$A:$H,7,FALSE)=BH124,1,0)</f>
        <v>#N/A</v>
      </c>
      <c r="EU124" s="138" t="e">
        <f>IF(VLOOKUP(CONCATENATE(H124,F124,EU$2),Matemáticas!$A:$H,7,FALSE)=BI124,1,0)</f>
        <v>#N/A</v>
      </c>
      <c r="EV124" s="138" t="e">
        <f>IF(VLOOKUP(CONCATENATE(H124,F124,EV$2),Ciencias!$A:$H,7,FALSE)=BJ124,1,0)</f>
        <v>#N/A</v>
      </c>
      <c r="EW124" s="138" t="e">
        <f>IF(VLOOKUP(CONCATENATE(H124,F124,EW$2),Ciencias!$A:$H,7,FALSE)=BK124,1,0)</f>
        <v>#N/A</v>
      </c>
      <c r="EX124" s="138" t="e">
        <f>IF(VLOOKUP(CONCATENATE(H124,F124,EX$2),Ciencias!$A:$H,7,FALSE)=BL124,1,0)</f>
        <v>#N/A</v>
      </c>
      <c r="EY124" s="138" t="e">
        <f>IF(VLOOKUP(CONCATENATE(H124,F124,EY$2),Ciencias!$A:$H,7,FALSE)=BM124,1,0)</f>
        <v>#N/A</v>
      </c>
      <c r="EZ124" s="138" t="e">
        <f>IF(VLOOKUP(CONCATENATE(H124,F124,EZ$2),Ciencias!$A:$H,7,FALSE)=BN124,1,0)</f>
        <v>#N/A</v>
      </c>
      <c r="FA124" s="138" t="e">
        <f>IF(VLOOKUP(CONCATENATE(H124,F124,FA$2),Ciencias!$A:$H,7,FALSE)=BO124,1,0)</f>
        <v>#N/A</v>
      </c>
      <c r="FB124" s="138" t="e">
        <f>IF(VLOOKUP(CONCATENATE(H124,F124,FB$2),Ciencias!$A:$H,7,FALSE)=BP124,1,0)</f>
        <v>#N/A</v>
      </c>
      <c r="FC124" s="138" t="e">
        <f>IF(VLOOKUP(CONCATENATE(H124,F124,FC$2),Ciencias!$A:$H,7,FALSE)=BQ124,1,0)</f>
        <v>#N/A</v>
      </c>
      <c r="FD124" s="138" t="e">
        <f>IF(VLOOKUP(CONCATENATE(H124,F124,FD$2),Ciencias!$A:$H,7,FALSE)=BR124,1,0)</f>
        <v>#N/A</v>
      </c>
      <c r="FE124" s="138" t="e">
        <f>IF(VLOOKUP(CONCATENATE(H124,F124,FE$2),Ciencias!$A:$H,7,FALSE)=BS124,1,0)</f>
        <v>#N/A</v>
      </c>
      <c r="FF124" s="138" t="e">
        <f>IF(VLOOKUP(CONCATENATE(H124,F124,FF$2),Ciencias!$A:$H,7,FALSE)=BT124,1,0)</f>
        <v>#N/A</v>
      </c>
      <c r="FG124" s="138" t="e">
        <f>IF(VLOOKUP(CONCATENATE(H124,F124,FG$2),Ciencias!$A:$H,7,FALSE)=BU124,1,0)</f>
        <v>#N/A</v>
      </c>
      <c r="FH124" s="138" t="e">
        <f>IF(VLOOKUP(CONCATENATE(H124,F124,FH$2),Ciencias!$A:$H,7,FALSE)=BV124,1,0)</f>
        <v>#N/A</v>
      </c>
      <c r="FI124" s="138" t="e">
        <f>IF(VLOOKUP(CONCATENATE(H124,F124,FI$2),Ciencias!$A:$H,7,FALSE)=BW124,1,0)</f>
        <v>#N/A</v>
      </c>
      <c r="FJ124" s="138" t="e">
        <f>IF(VLOOKUP(CONCATENATE(H124,F124,FJ$2),Ciencias!$A:$H,7,FALSE)=BX124,1,0)</f>
        <v>#N/A</v>
      </c>
      <c r="FK124" s="138" t="e">
        <f>IF(VLOOKUP(CONCATENATE(H124,F124,FK$2),Ciencias!$A:$H,7,FALSE)=BY124,1,0)</f>
        <v>#N/A</v>
      </c>
      <c r="FL124" s="138" t="e">
        <f>IF(VLOOKUP(CONCATENATE(H124,F124,FL$2),Ciencias!$A:$H,7,FALSE)=BZ124,1,0)</f>
        <v>#N/A</v>
      </c>
      <c r="FM124" s="138" t="e">
        <f>IF(VLOOKUP(CONCATENATE(H124,F124,FM$2),Ciencias!$A:$H,7,FALSE)=CA124,1,0)</f>
        <v>#N/A</v>
      </c>
      <c r="FN124" s="138" t="e">
        <f>IF(VLOOKUP(CONCATENATE(H124,F124,FN$2),Ciencias!$A:$H,7,FALSE)=CB124,1,0)</f>
        <v>#N/A</v>
      </c>
      <c r="FO124" s="138" t="e">
        <f>IF(VLOOKUP(CONCATENATE(H124,F124,FO$2),Ciencias!$A:$H,7,FALSE)=CC124,1,0)</f>
        <v>#N/A</v>
      </c>
      <c r="FP124" s="138" t="e">
        <f>IF(VLOOKUP(CONCATENATE(H124,F124,FP$2),GeoHis!$A:$H,7,FALSE)=CD124,1,0)</f>
        <v>#N/A</v>
      </c>
      <c r="FQ124" s="138" t="e">
        <f>IF(VLOOKUP(CONCATENATE(H124,F124,FQ$2),GeoHis!$A:$H,7,FALSE)=CE124,1,0)</f>
        <v>#N/A</v>
      </c>
      <c r="FR124" s="138" t="e">
        <f>IF(VLOOKUP(CONCATENATE(H124,F124,FR$2),GeoHis!$A:$H,7,FALSE)=CF124,1,0)</f>
        <v>#N/A</v>
      </c>
      <c r="FS124" s="138" t="e">
        <f>IF(VLOOKUP(CONCATENATE(H124,F124,FS$2),GeoHis!$A:$H,7,FALSE)=CG124,1,0)</f>
        <v>#N/A</v>
      </c>
      <c r="FT124" s="138" t="e">
        <f>IF(VLOOKUP(CONCATENATE(H124,F124,FT$2),GeoHis!$A:$H,7,FALSE)=CH124,1,0)</f>
        <v>#N/A</v>
      </c>
      <c r="FU124" s="138" t="e">
        <f>IF(VLOOKUP(CONCATENATE(H124,F124,FU$2),GeoHis!$A:$H,7,FALSE)=CI124,1,0)</f>
        <v>#N/A</v>
      </c>
      <c r="FV124" s="138" t="e">
        <f>IF(VLOOKUP(CONCATENATE(H124,F124,FV$2),GeoHis!$A:$H,7,FALSE)=CJ124,1,0)</f>
        <v>#N/A</v>
      </c>
      <c r="FW124" s="138" t="e">
        <f>IF(VLOOKUP(CONCATENATE(H124,F124,FW$2),GeoHis!$A:$H,7,FALSE)=CK124,1,0)</f>
        <v>#N/A</v>
      </c>
      <c r="FX124" s="138" t="e">
        <f>IF(VLOOKUP(CONCATENATE(H124,F124,FX$2),GeoHis!$A:$H,7,FALSE)=CL124,1,0)</f>
        <v>#N/A</v>
      </c>
      <c r="FY124" s="138" t="e">
        <f>IF(VLOOKUP(CONCATENATE(H124,F124,FY$2),GeoHis!$A:$H,7,FALSE)=CM124,1,0)</f>
        <v>#N/A</v>
      </c>
      <c r="FZ124" s="138" t="e">
        <f>IF(VLOOKUP(CONCATENATE(H124,F124,FZ$2),GeoHis!$A:$H,7,FALSE)=CN124,1,0)</f>
        <v>#N/A</v>
      </c>
      <c r="GA124" s="138" t="e">
        <f>IF(VLOOKUP(CONCATENATE(H124,F124,GA$2),GeoHis!$A:$H,7,FALSE)=CO124,1,0)</f>
        <v>#N/A</v>
      </c>
      <c r="GB124" s="138" t="e">
        <f>IF(VLOOKUP(CONCATENATE(H124,F124,GB$2),GeoHis!$A:$H,7,FALSE)=CP124,1,0)</f>
        <v>#N/A</v>
      </c>
      <c r="GC124" s="138" t="e">
        <f>IF(VLOOKUP(CONCATENATE(H124,F124,GC$2),GeoHis!$A:$H,7,FALSE)=CQ124,1,0)</f>
        <v>#N/A</v>
      </c>
      <c r="GD124" s="138" t="e">
        <f>IF(VLOOKUP(CONCATENATE(H124,F124,GD$2),GeoHis!$A:$H,7,FALSE)=CR124,1,0)</f>
        <v>#N/A</v>
      </c>
      <c r="GE124" s="135" t="str">
        <f t="shared" si="15"/>
        <v/>
      </c>
    </row>
    <row r="125" spans="1:187" x14ac:dyDescent="0.25">
      <c r="A125" s="127" t="str">
        <f>IF(C125="","",'Datos Generales'!$A$25)</f>
        <v/>
      </c>
      <c r="D125" s="126" t="str">
        <f t="shared" si="8"/>
        <v/>
      </c>
      <c r="E125" s="126">
        <f t="shared" si="9"/>
        <v>0</v>
      </c>
      <c r="F125" s="126" t="str">
        <f t="shared" si="10"/>
        <v/>
      </c>
      <c r="G125" s="126" t="str">
        <f>IF(C125="","",'Datos Generales'!$D$19)</f>
        <v/>
      </c>
      <c r="H125" s="21" t="str">
        <f>IF(C125="","",'Datos Generales'!$A$19)</f>
        <v/>
      </c>
      <c r="I125" s="126" t="str">
        <f>IF(C125="","",'Datos Generales'!$A$7)</f>
        <v/>
      </c>
      <c r="J125" s="21" t="str">
        <f>IF(C125="","",'Datos Generales'!$A$13)</f>
        <v/>
      </c>
      <c r="K125" s="21" t="str">
        <f>IF(C125="","",'Datos Generales'!$A$10)</f>
        <v/>
      </c>
      <c r="CS125" s="142" t="str">
        <f t="shared" si="11"/>
        <v/>
      </c>
      <c r="CT125" s="142" t="str">
        <f t="shared" si="12"/>
        <v/>
      </c>
      <c r="CU125" s="142" t="str">
        <f t="shared" si="13"/>
        <v/>
      </c>
      <c r="CV125" s="142" t="str">
        <f t="shared" si="14"/>
        <v/>
      </c>
      <c r="CW125" s="142" t="str">
        <f>IF(C125="","",IF('Datos Generales'!$A$19=1,AVERAGE(FP125:GD125),AVERAGE(Captura!FP125:FY125)))</f>
        <v/>
      </c>
      <c r="CX125" s="138" t="e">
        <f>IF(VLOOKUP(CONCATENATE($H$4,$F$4,CX$2),Español!$A:$H,7,FALSE)=L125,1,0)</f>
        <v>#N/A</v>
      </c>
      <c r="CY125" s="138" t="e">
        <f>IF(VLOOKUP(CONCATENATE(H125,F125,CY$2),Español!$A:$H,7,FALSE)=M125,1,0)</f>
        <v>#N/A</v>
      </c>
      <c r="CZ125" s="138" t="e">
        <f>IF(VLOOKUP(CONCATENATE(H125,F125,CZ$2),Español!$A:$H,7,FALSE)=N125,1,0)</f>
        <v>#N/A</v>
      </c>
      <c r="DA125" s="138" t="e">
        <f>IF(VLOOKUP(CONCATENATE(H125,F125,DA$2),Español!$A:$H,7,FALSE)=O125,1,0)</f>
        <v>#N/A</v>
      </c>
      <c r="DB125" s="138" t="e">
        <f>IF(VLOOKUP(CONCATENATE(H125,F125,DB$2),Español!$A:$H,7,FALSE)=P125,1,0)</f>
        <v>#N/A</v>
      </c>
      <c r="DC125" s="138" t="e">
        <f>IF(VLOOKUP(CONCATENATE(H125,F125,DC$2),Español!$A:$H,7,FALSE)=Q125,1,0)</f>
        <v>#N/A</v>
      </c>
      <c r="DD125" s="138" t="e">
        <f>IF(VLOOKUP(CONCATENATE(H125,F125,DD$2),Español!$A:$H,7,FALSE)=R125,1,0)</f>
        <v>#N/A</v>
      </c>
      <c r="DE125" s="138" t="e">
        <f>IF(VLOOKUP(CONCATENATE(H125,F125,DE$2),Español!$A:$H,7,FALSE)=S125,1,0)</f>
        <v>#N/A</v>
      </c>
      <c r="DF125" s="138" t="e">
        <f>IF(VLOOKUP(CONCATENATE(H125,F125,DF$2),Español!$A:$H,7,FALSE)=T125,1,0)</f>
        <v>#N/A</v>
      </c>
      <c r="DG125" s="138" t="e">
        <f>IF(VLOOKUP(CONCATENATE(H125,F125,DG$2),Español!$A:$H,7,FALSE)=U125,1,0)</f>
        <v>#N/A</v>
      </c>
      <c r="DH125" s="138" t="e">
        <f>IF(VLOOKUP(CONCATENATE(H125,F125,DH$2),Español!$A:$H,7,FALSE)=V125,1,0)</f>
        <v>#N/A</v>
      </c>
      <c r="DI125" s="138" t="e">
        <f>IF(VLOOKUP(CONCATENATE(H125,F125,DI$2),Español!$A:$H,7,FALSE)=W125,1,0)</f>
        <v>#N/A</v>
      </c>
      <c r="DJ125" s="138" t="e">
        <f>IF(VLOOKUP(CONCATENATE(H125,F125,DJ$2),Español!$A:$H,7,FALSE)=X125,1,0)</f>
        <v>#N/A</v>
      </c>
      <c r="DK125" s="138" t="e">
        <f>IF(VLOOKUP(CONCATENATE(H125,F125,DK$2),Español!$A:$H,7,FALSE)=Y125,1,0)</f>
        <v>#N/A</v>
      </c>
      <c r="DL125" s="138" t="e">
        <f>IF(VLOOKUP(CONCATENATE(H125,F125,DL$2),Español!$A:$H,7,FALSE)=Z125,1,0)</f>
        <v>#N/A</v>
      </c>
      <c r="DM125" s="138" t="e">
        <f>IF(VLOOKUP(CONCATENATE(H125,F125,DM$2),Español!$A:$H,7,FALSE)=AA125,1,0)</f>
        <v>#N/A</v>
      </c>
      <c r="DN125" s="138" t="e">
        <f>IF(VLOOKUP(CONCATENATE(H125,F125,DN$2),Español!$A:$H,7,FALSE)=AB125,1,0)</f>
        <v>#N/A</v>
      </c>
      <c r="DO125" s="138" t="e">
        <f>IF(VLOOKUP(CONCATENATE(H125,F125,DO$2),Español!$A:$H,7,FALSE)=AC125,1,0)</f>
        <v>#N/A</v>
      </c>
      <c r="DP125" s="138" t="e">
        <f>IF(VLOOKUP(CONCATENATE(H125,F125,DP$2),Español!$A:$H,7,FALSE)=AD125,1,0)</f>
        <v>#N/A</v>
      </c>
      <c r="DQ125" s="138" t="e">
        <f>IF(VLOOKUP(CONCATENATE(H125,F125,DQ$2),Español!$A:$H,7,FALSE)=AE125,1,0)</f>
        <v>#N/A</v>
      </c>
      <c r="DR125" s="138" t="e">
        <f>IF(VLOOKUP(CONCATENATE(H125,F125,DR$2),Inglés!$A:$H,7,FALSE)=AF125,1,0)</f>
        <v>#N/A</v>
      </c>
      <c r="DS125" s="138" t="e">
        <f>IF(VLOOKUP(CONCATENATE(H125,F125,DS$2),Inglés!$A:$H,7,FALSE)=AG125,1,0)</f>
        <v>#N/A</v>
      </c>
      <c r="DT125" s="138" t="e">
        <f>IF(VLOOKUP(CONCATENATE(H125,F125,DT$2),Inglés!$A:$H,7,FALSE)=AH125,1,0)</f>
        <v>#N/A</v>
      </c>
      <c r="DU125" s="138" t="e">
        <f>IF(VLOOKUP(CONCATENATE(H125,F125,DU$2),Inglés!$A:$H,7,FALSE)=AI125,1,0)</f>
        <v>#N/A</v>
      </c>
      <c r="DV125" s="138" t="e">
        <f>IF(VLOOKUP(CONCATENATE(H125,F125,DV$2),Inglés!$A:$H,7,FALSE)=AJ125,1,0)</f>
        <v>#N/A</v>
      </c>
      <c r="DW125" s="138" t="e">
        <f>IF(VLOOKUP(CONCATENATE(H125,F125,DW$2),Inglés!$A:$H,7,FALSE)=AK125,1,0)</f>
        <v>#N/A</v>
      </c>
      <c r="DX125" s="138" t="e">
        <f>IF(VLOOKUP(CONCATENATE(H125,F125,DX$2),Inglés!$A:$H,7,FALSE)=AL125,1,0)</f>
        <v>#N/A</v>
      </c>
      <c r="DY125" s="138" t="e">
        <f>IF(VLOOKUP(CONCATENATE(H125,F125,DY$2),Inglés!$A:$H,7,FALSE)=AM125,1,0)</f>
        <v>#N/A</v>
      </c>
      <c r="DZ125" s="138" t="e">
        <f>IF(VLOOKUP(CONCATENATE(H125,F125,DZ$2),Inglés!$A:$H,7,FALSE)=AN125,1,0)</f>
        <v>#N/A</v>
      </c>
      <c r="EA125" s="138" t="e">
        <f>IF(VLOOKUP(CONCATENATE(H125,F125,EA$2),Inglés!$A:$H,7,FALSE)=AO125,1,0)</f>
        <v>#N/A</v>
      </c>
      <c r="EB125" s="138" t="e">
        <f>IF(VLOOKUP(CONCATENATE(H125,F125,EB$2),Matemáticas!$A:$H,7,FALSE)=AP125,1,0)</f>
        <v>#N/A</v>
      </c>
      <c r="EC125" s="138" t="e">
        <f>IF(VLOOKUP(CONCATENATE(H125,F125,EC$2),Matemáticas!$A:$H,7,FALSE)=AQ125,1,0)</f>
        <v>#N/A</v>
      </c>
      <c r="ED125" s="138" t="e">
        <f>IF(VLOOKUP(CONCATENATE(H125,F125,ED$2),Matemáticas!$A:$H,7,FALSE)=AR125,1,0)</f>
        <v>#N/A</v>
      </c>
      <c r="EE125" s="138" t="e">
        <f>IF(VLOOKUP(CONCATENATE(H125,F125,EE$2),Matemáticas!$A:$H,7,FALSE)=AS125,1,0)</f>
        <v>#N/A</v>
      </c>
      <c r="EF125" s="138" t="e">
        <f>IF(VLOOKUP(CONCATENATE(H125,F125,EF$2),Matemáticas!$A:$H,7,FALSE)=AT125,1,0)</f>
        <v>#N/A</v>
      </c>
      <c r="EG125" s="138" t="e">
        <f>IF(VLOOKUP(CONCATENATE(H125,F125,EG$2),Matemáticas!$A:$H,7,FALSE)=AU125,1,0)</f>
        <v>#N/A</v>
      </c>
      <c r="EH125" s="138" t="e">
        <f>IF(VLOOKUP(CONCATENATE(H125,F125,EH$2),Matemáticas!$A:$H,7,FALSE)=AV125,1,0)</f>
        <v>#N/A</v>
      </c>
      <c r="EI125" s="138" t="e">
        <f>IF(VLOOKUP(CONCATENATE(H125,F125,EI$2),Matemáticas!$A:$H,7,FALSE)=AW125,1,0)</f>
        <v>#N/A</v>
      </c>
      <c r="EJ125" s="138" t="e">
        <f>IF(VLOOKUP(CONCATENATE(H125,F125,EJ$2),Matemáticas!$A:$H,7,FALSE)=AX125,1,0)</f>
        <v>#N/A</v>
      </c>
      <c r="EK125" s="138" t="e">
        <f>IF(VLOOKUP(CONCATENATE(H125,F125,EK$2),Matemáticas!$A:$H,7,FALSE)=AY125,1,0)</f>
        <v>#N/A</v>
      </c>
      <c r="EL125" s="138" t="e">
        <f>IF(VLOOKUP(CONCATENATE(H125,F125,EL$2),Matemáticas!$A:$H,7,FALSE)=AZ125,1,0)</f>
        <v>#N/A</v>
      </c>
      <c r="EM125" s="138" t="e">
        <f>IF(VLOOKUP(CONCATENATE(H125,F125,EM$2),Matemáticas!$A:$H,7,FALSE)=BA125,1,0)</f>
        <v>#N/A</v>
      </c>
      <c r="EN125" s="138" t="e">
        <f>IF(VLOOKUP(CONCATENATE(H125,F125,EN$2),Matemáticas!$A:$H,7,FALSE)=BB125,1,0)</f>
        <v>#N/A</v>
      </c>
      <c r="EO125" s="138" t="e">
        <f>IF(VLOOKUP(CONCATENATE(H125,F125,EO$2),Matemáticas!$A:$H,7,FALSE)=BC125,1,0)</f>
        <v>#N/A</v>
      </c>
      <c r="EP125" s="138" t="e">
        <f>IF(VLOOKUP(CONCATENATE(H125,F125,EP$2),Matemáticas!$A:$H,7,FALSE)=BD125,1,0)</f>
        <v>#N/A</v>
      </c>
      <c r="EQ125" s="138" t="e">
        <f>IF(VLOOKUP(CONCATENATE(H125,F125,EQ$2),Matemáticas!$A:$H,7,FALSE)=BE125,1,0)</f>
        <v>#N/A</v>
      </c>
      <c r="ER125" s="138" t="e">
        <f>IF(VLOOKUP(CONCATENATE(H125,F125,ER$2),Matemáticas!$A:$H,7,FALSE)=BF125,1,0)</f>
        <v>#N/A</v>
      </c>
      <c r="ES125" s="138" t="e">
        <f>IF(VLOOKUP(CONCATENATE(H125,F125,ES$2),Matemáticas!$A:$H,7,FALSE)=BG125,1,0)</f>
        <v>#N/A</v>
      </c>
      <c r="ET125" s="138" t="e">
        <f>IF(VLOOKUP(CONCATENATE(H125,F125,ET$2),Matemáticas!$A:$H,7,FALSE)=BH125,1,0)</f>
        <v>#N/A</v>
      </c>
      <c r="EU125" s="138" t="e">
        <f>IF(VLOOKUP(CONCATENATE(H125,F125,EU$2),Matemáticas!$A:$H,7,FALSE)=BI125,1,0)</f>
        <v>#N/A</v>
      </c>
      <c r="EV125" s="138" t="e">
        <f>IF(VLOOKUP(CONCATENATE(H125,F125,EV$2),Ciencias!$A:$H,7,FALSE)=BJ125,1,0)</f>
        <v>#N/A</v>
      </c>
      <c r="EW125" s="138" t="e">
        <f>IF(VLOOKUP(CONCATENATE(H125,F125,EW$2),Ciencias!$A:$H,7,FALSE)=BK125,1,0)</f>
        <v>#N/A</v>
      </c>
      <c r="EX125" s="138" t="e">
        <f>IF(VLOOKUP(CONCATENATE(H125,F125,EX$2),Ciencias!$A:$H,7,FALSE)=BL125,1,0)</f>
        <v>#N/A</v>
      </c>
      <c r="EY125" s="138" t="e">
        <f>IF(VLOOKUP(CONCATENATE(H125,F125,EY$2),Ciencias!$A:$H,7,FALSE)=BM125,1,0)</f>
        <v>#N/A</v>
      </c>
      <c r="EZ125" s="138" t="e">
        <f>IF(VLOOKUP(CONCATENATE(H125,F125,EZ$2),Ciencias!$A:$H,7,FALSE)=BN125,1,0)</f>
        <v>#N/A</v>
      </c>
      <c r="FA125" s="138" t="e">
        <f>IF(VLOOKUP(CONCATENATE(H125,F125,FA$2),Ciencias!$A:$H,7,FALSE)=BO125,1,0)</f>
        <v>#N/A</v>
      </c>
      <c r="FB125" s="138" t="e">
        <f>IF(VLOOKUP(CONCATENATE(H125,F125,FB$2),Ciencias!$A:$H,7,FALSE)=BP125,1,0)</f>
        <v>#N/A</v>
      </c>
      <c r="FC125" s="138" t="e">
        <f>IF(VLOOKUP(CONCATENATE(H125,F125,FC$2),Ciencias!$A:$H,7,FALSE)=BQ125,1,0)</f>
        <v>#N/A</v>
      </c>
      <c r="FD125" s="138" t="e">
        <f>IF(VLOOKUP(CONCATENATE(H125,F125,FD$2),Ciencias!$A:$H,7,FALSE)=BR125,1,0)</f>
        <v>#N/A</v>
      </c>
      <c r="FE125" s="138" t="e">
        <f>IF(VLOOKUP(CONCATENATE(H125,F125,FE$2),Ciencias!$A:$H,7,FALSE)=BS125,1,0)</f>
        <v>#N/A</v>
      </c>
      <c r="FF125" s="138" t="e">
        <f>IF(VLOOKUP(CONCATENATE(H125,F125,FF$2),Ciencias!$A:$H,7,FALSE)=BT125,1,0)</f>
        <v>#N/A</v>
      </c>
      <c r="FG125" s="138" t="e">
        <f>IF(VLOOKUP(CONCATENATE(H125,F125,FG$2),Ciencias!$A:$H,7,FALSE)=BU125,1,0)</f>
        <v>#N/A</v>
      </c>
      <c r="FH125" s="138" t="e">
        <f>IF(VLOOKUP(CONCATENATE(H125,F125,FH$2),Ciencias!$A:$H,7,FALSE)=BV125,1,0)</f>
        <v>#N/A</v>
      </c>
      <c r="FI125" s="138" t="e">
        <f>IF(VLOOKUP(CONCATENATE(H125,F125,FI$2),Ciencias!$A:$H,7,FALSE)=BW125,1,0)</f>
        <v>#N/A</v>
      </c>
      <c r="FJ125" s="138" t="e">
        <f>IF(VLOOKUP(CONCATENATE(H125,F125,FJ$2),Ciencias!$A:$H,7,FALSE)=BX125,1,0)</f>
        <v>#N/A</v>
      </c>
      <c r="FK125" s="138" t="e">
        <f>IF(VLOOKUP(CONCATENATE(H125,F125,FK$2),Ciencias!$A:$H,7,FALSE)=BY125,1,0)</f>
        <v>#N/A</v>
      </c>
      <c r="FL125" s="138" t="e">
        <f>IF(VLOOKUP(CONCATENATE(H125,F125,FL$2),Ciencias!$A:$H,7,FALSE)=BZ125,1,0)</f>
        <v>#N/A</v>
      </c>
      <c r="FM125" s="138" t="e">
        <f>IF(VLOOKUP(CONCATENATE(H125,F125,FM$2),Ciencias!$A:$H,7,FALSE)=CA125,1,0)</f>
        <v>#N/A</v>
      </c>
      <c r="FN125" s="138" t="e">
        <f>IF(VLOOKUP(CONCATENATE(H125,F125,FN$2),Ciencias!$A:$H,7,FALSE)=CB125,1,0)</f>
        <v>#N/A</v>
      </c>
      <c r="FO125" s="138" t="e">
        <f>IF(VLOOKUP(CONCATENATE(H125,F125,FO$2),Ciencias!$A:$H,7,FALSE)=CC125,1,0)</f>
        <v>#N/A</v>
      </c>
      <c r="FP125" s="138" t="e">
        <f>IF(VLOOKUP(CONCATENATE(H125,F125,FP$2),GeoHis!$A:$H,7,FALSE)=CD125,1,0)</f>
        <v>#N/A</v>
      </c>
      <c r="FQ125" s="138" t="e">
        <f>IF(VLOOKUP(CONCATENATE(H125,F125,FQ$2),GeoHis!$A:$H,7,FALSE)=CE125,1,0)</f>
        <v>#N/A</v>
      </c>
      <c r="FR125" s="138" t="e">
        <f>IF(VLOOKUP(CONCATENATE(H125,F125,FR$2),GeoHis!$A:$H,7,FALSE)=CF125,1,0)</f>
        <v>#N/A</v>
      </c>
      <c r="FS125" s="138" t="e">
        <f>IF(VLOOKUP(CONCATENATE(H125,F125,FS$2),GeoHis!$A:$H,7,FALSE)=CG125,1,0)</f>
        <v>#N/A</v>
      </c>
      <c r="FT125" s="138" t="e">
        <f>IF(VLOOKUP(CONCATENATE(H125,F125,FT$2),GeoHis!$A:$H,7,FALSE)=CH125,1,0)</f>
        <v>#N/A</v>
      </c>
      <c r="FU125" s="138" t="e">
        <f>IF(VLOOKUP(CONCATENATE(H125,F125,FU$2),GeoHis!$A:$H,7,FALSE)=CI125,1,0)</f>
        <v>#N/A</v>
      </c>
      <c r="FV125" s="138" t="e">
        <f>IF(VLOOKUP(CONCATENATE(H125,F125,FV$2),GeoHis!$A:$H,7,FALSE)=CJ125,1,0)</f>
        <v>#N/A</v>
      </c>
      <c r="FW125" s="138" t="e">
        <f>IF(VLOOKUP(CONCATENATE(H125,F125,FW$2),GeoHis!$A:$H,7,FALSE)=CK125,1,0)</f>
        <v>#N/A</v>
      </c>
      <c r="FX125" s="138" t="e">
        <f>IF(VLOOKUP(CONCATENATE(H125,F125,FX$2),GeoHis!$A:$H,7,FALSE)=CL125,1,0)</f>
        <v>#N/A</v>
      </c>
      <c r="FY125" s="138" t="e">
        <f>IF(VLOOKUP(CONCATENATE(H125,F125,FY$2),GeoHis!$A:$H,7,FALSE)=CM125,1,0)</f>
        <v>#N/A</v>
      </c>
      <c r="FZ125" s="138" t="e">
        <f>IF(VLOOKUP(CONCATENATE(H125,F125,FZ$2),GeoHis!$A:$H,7,FALSE)=CN125,1,0)</f>
        <v>#N/A</v>
      </c>
      <c r="GA125" s="138" t="e">
        <f>IF(VLOOKUP(CONCATENATE(H125,F125,GA$2),GeoHis!$A:$H,7,FALSE)=CO125,1,0)</f>
        <v>#N/A</v>
      </c>
      <c r="GB125" s="138" t="e">
        <f>IF(VLOOKUP(CONCATENATE(H125,F125,GB$2),GeoHis!$A:$H,7,FALSE)=CP125,1,0)</f>
        <v>#N/A</v>
      </c>
      <c r="GC125" s="138" t="e">
        <f>IF(VLOOKUP(CONCATENATE(H125,F125,GC$2),GeoHis!$A:$H,7,FALSE)=CQ125,1,0)</f>
        <v>#N/A</v>
      </c>
      <c r="GD125" s="138" t="e">
        <f>IF(VLOOKUP(CONCATENATE(H125,F125,GD$2),GeoHis!$A:$H,7,FALSE)=CR125,1,0)</f>
        <v>#N/A</v>
      </c>
      <c r="GE125" s="135" t="str">
        <f t="shared" si="15"/>
        <v/>
      </c>
    </row>
    <row r="126" spans="1:187" x14ac:dyDescent="0.25">
      <c r="A126" s="127" t="str">
        <f>IF(C126="","",'Datos Generales'!$A$25)</f>
        <v/>
      </c>
      <c r="D126" s="126" t="str">
        <f t="shared" si="8"/>
        <v/>
      </c>
      <c r="E126" s="126">
        <f t="shared" si="9"/>
        <v>0</v>
      </c>
      <c r="F126" s="126" t="str">
        <f t="shared" si="10"/>
        <v/>
      </c>
      <c r="G126" s="126" t="str">
        <f>IF(C126="","",'Datos Generales'!$D$19)</f>
        <v/>
      </c>
      <c r="H126" s="21" t="str">
        <f>IF(C126="","",'Datos Generales'!$A$19)</f>
        <v/>
      </c>
      <c r="I126" s="126" t="str">
        <f>IF(C126="","",'Datos Generales'!$A$7)</f>
        <v/>
      </c>
      <c r="J126" s="21" t="str">
        <f>IF(C126="","",'Datos Generales'!$A$13)</f>
        <v/>
      </c>
      <c r="K126" s="21" t="str">
        <f>IF(C126="","",'Datos Generales'!$A$10)</f>
        <v/>
      </c>
      <c r="CS126" s="142" t="str">
        <f t="shared" si="11"/>
        <v/>
      </c>
      <c r="CT126" s="142" t="str">
        <f t="shared" si="12"/>
        <v/>
      </c>
      <c r="CU126" s="142" t="str">
        <f t="shared" si="13"/>
        <v/>
      </c>
      <c r="CV126" s="142" t="str">
        <f t="shared" si="14"/>
        <v/>
      </c>
      <c r="CW126" s="142" t="str">
        <f>IF(C126="","",IF('Datos Generales'!$A$19=1,AVERAGE(FP126:GD126),AVERAGE(Captura!FP126:FY126)))</f>
        <v/>
      </c>
      <c r="CX126" s="138" t="e">
        <f>IF(VLOOKUP(CONCATENATE($H$4,$F$4,CX$2),Español!$A:$H,7,FALSE)=L126,1,0)</f>
        <v>#N/A</v>
      </c>
      <c r="CY126" s="138" t="e">
        <f>IF(VLOOKUP(CONCATENATE(H126,F126,CY$2),Español!$A:$H,7,FALSE)=M126,1,0)</f>
        <v>#N/A</v>
      </c>
      <c r="CZ126" s="138" t="e">
        <f>IF(VLOOKUP(CONCATENATE(H126,F126,CZ$2),Español!$A:$H,7,FALSE)=N126,1,0)</f>
        <v>#N/A</v>
      </c>
      <c r="DA126" s="138" t="e">
        <f>IF(VLOOKUP(CONCATENATE(H126,F126,DA$2),Español!$A:$H,7,FALSE)=O126,1,0)</f>
        <v>#N/A</v>
      </c>
      <c r="DB126" s="138" t="e">
        <f>IF(VLOOKUP(CONCATENATE(H126,F126,DB$2),Español!$A:$H,7,FALSE)=P126,1,0)</f>
        <v>#N/A</v>
      </c>
      <c r="DC126" s="138" t="e">
        <f>IF(VLOOKUP(CONCATENATE(H126,F126,DC$2),Español!$A:$H,7,FALSE)=Q126,1,0)</f>
        <v>#N/A</v>
      </c>
      <c r="DD126" s="138" t="e">
        <f>IF(VLOOKUP(CONCATENATE(H126,F126,DD$2),Español!$A:$H,7,FALSE)=R126,1,0)</f>
        <v>#N/A</v>
      </c>
      <c r="DE126" s="138" t="e">
        <f>IF(VLOOKUP(CONCATENATE(H126,F126,DE$2),Español!$A:$H,7,FALSE)=S126,1,0)</f>
        <v>#N/A</v>
      </c>
      <c r="DF126" s="138" t="e">
        <f>IF(VLOOKUP(CONCATENATE(H126,F126,DF$2),Español!$A:$H,7,FALSE)=T126,1,0)</f>
        <v>#N/A</v>
      </c>
      <c r="DG126" s="138" t="e">
        <f>IF(VLOOKUP(CONCATENATE(H126,F126,DG$2),Español!$A:$H,7,FALSE)=U126,1,0)</f>
        <v>#N/A</v>
      </c>
      <c r="DH126" s="138" t="e">
        <f>IF(VLOOKUP(CONCATENATE(H126,F126,DH$2),Español!$A:$H,7,FALSE)=V126,1,0)</f>
        <v>#N/A</v>
      </c>
      <c r="DI126" s="138" t="e">
        <f>IF(VLOOKUP(CONCATENATE(H126,F126,DI$2),Español!$A:$H,7,FALSE)=W126,1,0)</f>
        <v>#N/A</v>
      </c>
      <c r="DJ126" s="138" t="e">
        <f>IF(VLOOKUP(CONCATENATE(H126,F126,DJ$2),Español!$A:$H,7,FALSE)=X126,1,0)</f>
        <v>#N/A</v>
      </c>
      <c r="DK126" s="138" t="e">
        <f>IF(VLOOKUP(CONCATENATE(H126,F126,DK$2),Español!$A:$H,7,FALSE)=Y126,1,0)</f>
        <v>#N/A</v>
      </c>
      <c r="DL126" s="138" t="e">
        <f>IF(VLOOKUP(CONCATENATE(H126,F126,DL$2),Español!$A:$H,7,FALSE)=Z126,1,0)</f>
        <v>#N/A</v>
      </c>
      <c r="DM126" s="138" t="e">
        <f>IF(VLOOKUP(CONCATENATE(H126,F126,DM$2),Español!$A:$H,7,FALSE)=AA126,1,0)</f>
        <v>#N/A</v>
      </c>
      <c r="DN126" s="138" t="e">
        <f>IF(VLOOKUP(CONCATENATE(H126,F126,DN$2),Español!$A:$H,7,FALSE)=AB126,1,0)</f>
        <v>#N/A</v>
      </c>
      <c r="DO126" s="138" t="e">
        <f>IF(VLOOKUP(CONCATENATE(H126,F126,DO$2),Español!$A:$H,7,FALSE)=AC126,1,0)</f>
        <v>#N/A</v>
      </c>
      <c r="DP126" s="138" t="e">
        <f>IF(VLOOKUP(CONCATENATE(H126,F126,DP$2),Español!$A:$H,7,FALSE)=AD126,1,0)</f>
        <v>#N/A</v>
      </c>
      <c r="DQ126" s="138" t="e">
        <f>IF(VLOOKUP(CONCATENATE(H126,F126,DQ$2),Español!$A:$H,7,FALSE)=AE126,1,0)</f>
        <v>#N/A</v>
      </c>
      <c r="DR126" s="138" t="e">
        <f>IF(VLOOKUP(CONCATENATE(H126,F126,DR$2),Inglés!$A:$H,7,FALSE)=AF126,1,0)</f>
        <v>#N/A</v>
      </c>
      <c r="DS126" s="138" t="e">
        <f>IF(VLOOKUP(CONCATENATE(H126,F126,DS$2),Inglés!$A:$H,7,FALSE)=AG126,1,0)</f>
        <v>#N/A</v>
      </c>
      <c r="DT126" s="138" t="e">
        <f>IF(VLOOKUP(CONCATENATE(H126,F126,DT$2),Inglés!$A:$H,7,FALSE)=AH126,1,0)</f>
        <v>#N/A</v>
      </c>
      <c r="DU126" s="138" t="e">
        <f>IF(VLOOKUP(CONCATENATE(H126,F126,DU$2),Inglés!$A:$H,7,FALSE)=AI126,1,0)</f>
        <v>#N/A</v>
      </c>
      <c r="DV126" s="138" t="e">
        <f>IF(VLOOKUP(CONCATENATE(H126,F126,DV$2),Inglés!$A:$H,7,FALSE)=AJ126,1,0)</f>
        <v>#N/A</v>
      </c>
      <c r="DW126" s="138" t="e">
        <f>IF(VLOOKUP(CONCATENATE(H126,F126,DW$2),Inglés!$A:$H,7,FALSE)=AK126,1,0)</f>
        <v>#N/A</v>
      </c>
      <c r="DX126" s="138" t="e">
        <f>IF(VLOOKUP(CONCATENATE(H126,F126,DX$2),Inglés!$A:$H,7,FALSE)=AL126,1,0)</f>
        <v>#N/A</v>
      </c>
      <c r="DY126" s="138" t="e">
        <f>IF(VLOOKUP(CONCATENATE(H126,F126,DY$2),Inglés!$A:$H,7,FALSE)=AM126,1,0)</f>
        <v>#N/A</v>
      </c>
      <c r="DZ126" s="138" t="e">
        <f>IF(VLOOKUP(CONCATENATE(H126,F126,DZ$2),Inglés!$A:$H,7,FALSE)=AN126,1,0)</f>
        <v>#N/A</v>
      </c>
      <c r="EA126" s="138" t="e">
        <f>IF(VLOOKUP(CONCATENATE(H126,F126,EA$2),Inglés!$A:$H,7,FALSE)=AO126,1,0)</f>
        <v>#N/A</v>
      </c>
      <c r="EB126" s="138" t="e">
        <f>IF(VLOOKUP(CONCATENATE(H126,F126,EB$2),Matemáticas!$A:$H,7,FALSE)=AP126,1,0)</f>
        <v>#N/A</v>
      </c>
      <c r="EC126" s="138" t="e">
        <f>IF(VLOOKUP(CONCATENATE(H126,F126,EC$2),Matemáticas!$A:$H,7,FALSE)=AQ126,1,0)</f>
        <v>#N/A</v>
      </c>
      <c r="ED126" s="138" t="e">
        <f>IF(VLOOKUP(CONCATENATE(H126,F126,ED$2),Matemáticas!$A:$H,7,FALSE)=AR126,1,0)</f>
        <v>#N/A</v>
      </c>
      <c r="EE126" s="138" t="e">
        <f>IF(VLOOKUP(CONCATENATE(H126,F126,EE$2),Matemáticas!$A:$H,7,FALSE)=AS126,1,0)</f>
        <v>#N/A</v>
      </c>
      <c r="EF126" s="138" t="e">
        <f>IF(VLOOKUP(CONCATENATE(H126,F126,EF$2),Matemáticas!$A:$H,7,FALSE)=AT126,1,0)</f>
        <v>#N/A</v>
      </c>
      <c r="EG126" s="138" t="e">
        <f>IF(VLOOKUP(CONCATENATE(H126,F126,EG$2),Matemáticas!$A:$H,7,FALSE)=AU126,1,0)</f>
        <v>#N/A</v>
      </c>
      <c r="EH126" s="138" t="e">
        <f>IF(VLOOKUP(CONCATENATE(H126,F126,EH$2),Matemáticas!$A:$H,7,FALSE)=AV126,1,0)</f>
        <v>#N/A</v>
      </c>
      <c r="EI126" s="138" t="e">
        <f>IF(VLOOKUP(CONCATENATE(H126,F126,EI$2),Matemáticas!$A:$H,7,FALSE)=AW126,1,0)</f>
        <v>#N/A</v>
      </c>
      <c r="EJ126" s="138" t="e">
        <f>IF(VLOOKUP(CONCATENATE(H126,F126,EJ$2),Matemáticas!$A:$H,7,FALSE)=AX126,1,0)</f>
        <v>#N/A</v>
      </c>
      <c r="EK126" s="138" t="e">
        <f>IF(VLOOKUP(CONCATENATE(H126,F126,EK$2),Matemáticas!$A:$H,7,FALSE)=AY126,1,0)</f>
        <v>#N/A</v>
      </c>
      <c r="EL126" s="138" t="e">
        <f>IF(VLOOKUP(CONCATENATE(H126,F126,EL$2),Matemáticas!$A:$H,7,FALSE)=AZ126,1,0)</f>
        <v>#N/A</v>
      </c>
      <c r="EM126" s="138" t="e">
        <f>IF(VLOOKUP(CONCATENATE(H126,F126,EM$2),Matemáticas!$A:$H,7,FALSE)=BA126,1,0)</f>
        <v>#N/A</v>
      </c>
      <c r="EN126" s="138" t="e">
        <f>IF(VLOOKUP(CONCATENATE(H126,F126,EN$2),Matemáticas!$A:$H,7,FALSE)=BB126,1,0)</f>
        <v>#N/A</v>
      </c>
      <c r="EO126" s="138" t="e">
        <f>IF(VLOOKUP(CONCATENATE(H126,F126,EO$2),Matemáticas!$A:$H,7,FALSE)=BC126,1,0)</f>
        <v>#N/A</v>
      </c>
      <c r="EP126" s="138" t="e">
        <f>IF(VLOOKUP(CONCATENATE(H126,F126,EP$2),Matemáticas!$A:$H,7,FALSE)=BD126,1,0)</f>
        <v>#N/A</v>
      </c>
      <c r="EQ126" s="138" t="e">
        <f>IF(VLOOKUP(CONCATENATE(H126,F126,EQ$2),Matemáticas!$A:$H,7,FALSE)=BE126,1,0)</f>
        <v>#N/A</v>
      </c>
      <c r="ER126" s="138" t="e">
        <f>IF(VLOOKUP(CONCATENATE(H126,F126,ER$2),Matemáticas!$A:$H,7,FALSE)=BF126,1,0)</f>
        <v>#N/A</v>
      </c>
      <c r="ES126" s="138" t="e">
        <f>IF(VLOOKUP(CONCATENATE(H126,F126,ES$2),Matemáticas!$A:$H,7,FALSE)=BG126,1,0)</f>
        <v>#N/A</v>
      </c>
      <c r="ET126" s="138" t="e">
        <f>IF(VLOOKUP(CONCATENATE(H126,F126,ET$2),Matemáticas!$A:$H,7,FALSE)=BH126,1,0)</f>
        <v>#N/A</v>
      </c>
      <c r="EU126" s="138" t="e">
        <f>IF(VLOOKUP(CONCATENATE(H126,F126,EU$2),Matemáticas!$A:$H,7,FALSE)=BI126,1,0)</f>
        <v>#N/A</v>
      </c>
      <c r="EV126" s="138" t="e">
        <f>IF(VLOOKUP(CONCATENATE(H126,F126,EV$2),Ciencias!$A:$H,7,FALSE)=BJ126,1,0)</f>
        <v>#N/A</v>
      </c>
      <c r="EW126" s="138" t="e">
        <f>IF(VLOOKUP(CONCATENATE(H126,F126,EW$2),Ciencias!$A:$H,7,FALSE)=BK126,1,0)</f>
        <v>#N/A</v>
      </c>
      <c r="EX126" s="138" t="e">
        <f>IF(VLOOKUP(CONCATENATE(H126,F126,EX$2),Ciencias!$A:$H,7,FALSE)=BL126,1,0)</f>
        <v>#N/A</v>
      </c>
      <c r="EY126" s="138" t="e">
        <f>IF(VLOOKUP(CONCATENATE(H126,F126,EY$2),Ciencias!$A:$H,7,FALSE)=BM126,1,0)</f>
        <v>#N/A</v>
      </c>
      <c r="EZ126" s="138" t="e">
        <f>IF(VLOOKUP(CONCATENATE(H126,F126,EZ$2),Ciencias!$A:$H,7,FALSE)=BN126,1,0)</f>
        <v>#N/A</v>
      </c>
      <c r="FA126" s="138" t="e">
        <f>IF(VLOOKUP(CONCATENATE(H126,F126,FA$2),Ciencias!$A:$H,7,FALSE)=BO126,1,0)</f>
        <v>#N/A</v>
      </c>
      <c r="FB126" s="138" t="e">
        <f>IF(VLOOKUP(CONCATENATE(H126,F126,FB$2),Ciencias!$A:$H,7,FALSE)=BP126,1,0)</f>
        <v>#N/A</v>
      </c>
      <c r="FC126" s="138" t="e">
        <f>IF(VLOOKUP(CONCATENATE(H126,F126,FC$2),Ciencias!$A:$H,7,FALSE)=BQ126,1,0)</f>
        <v>#N/A</v>
      </c>
      <c r="FD126" s="138" t="e">
        <f>IF(VLOOKUP(CONCATENATE(H126,F126,FD$2),Ciencias!$A:$H,7,FALSE)=BR126,1,0)</f>
        <v>#N/A</v>
      </c>
      <c r="FE126" s="138" t="e">
        <f>IF(VLOOKUP(CONCATENATE(H126,F126,FE$2),Ciencias!$A:$H,7,FALSE)=BS126,1,0)</f>
        <v>#N/A</v>
      </c>
      <c r="FF126" s="138" t="e">
        <f>IF(VLOOKUP(CONCATENATE(H126,F126,FF$2),Ciencias!$A:$H,7,FALSE)=BT126,1,0)</f>
        <v>#N/A</v>
      </c>
      <c r="FG126" s="138" t="e">
        <f>IF(VLOOKUP(CONCATENATE(H126,F126,FG$2),Ciencias!$A:$H,7,FALSE)=BU126,1,0)</f>
        <v>#N/A</v>
      </c>
      <c r="FH126" s="138" t="e">
        <f>IF(VLOOKUP(CONCATENATE(H126,F126,FH$2),Ciencias!$A:$H,7,FALSE)=BV126,1,0)</f>
        <v>#N/A</v>
      </c>
      <c r="FI126" s="138" t="e">
        <f>IF(VLOOKUP(CONCATENATE(H126,F126,FI$2),Ciencias!$A:$H,7,FALSE)=BW126,1,0)</f>
        <v>#N/A</v>
      </c>
      <c r="FJ126" s="138" t="e">
        <f>IF(VLOOKUP(CONCATENATE(H126,F126,FJ$2),Ciencias!$A:$H,7,FALSE)=BX126,1,0)</f>
        <v>#N/A</v>
      </c>
      <c r="FK126" s="138" t="e">
        <f>IF(VLOOKUP(CONCATENATE(H126,F126,FK$2),Ciencias!$A:$H,7,FALSE)=BY126,1,0)</f>
        <v>#N/A</v>
      </c>
      <c r="FL126" s="138" t="e">
        <f>IF(VLOOKUP(CONCATENATE(H126,F126,FL$2),Ciencias!$A:$H,7,FALSE)=BZ126,1,0)</f>
        <v>#N/A</v>
      </c>
      <c r="FM126" s="138" t="e">
        <f>IF(VLOOKUP(CONCATENATE(H126,F126,FM$2),Ciencias!$A:$H,7,FALSE)=CA126,1,0)</f>
        <v>#N/A</v>
      </c>
      <c r="FN126" s="138" t="e">
        <f>IF(VLOOKUP(CONCATENATE(H126,F126,FN$2),Ciencias!$A:$H,7,FALSE)=CB126,1,0)</f>
        <v>#N/A</v>
      </c>
      <c r="FO126" s="138" t="e">
        <f>IF(VLOOKUP(CONCATENATE(H126,F126,FO$2),Ciencias!$A:$H,7,FALSE)=CC126,1,0)</f>
        <v>#N/A</v>
      </c>
      <c r="FP126" s="138" t="e">
        <f>IF(VLOOKUP(CONCATENATE(H126,F126,FP$2),GeoHis!$A:$H,7,FALSE)=CD126,1,0)</f>
        <v>#N/A</v>
      </c>
      <c r="FQ126" s="138" t="e">
        <f>IF(VLOOKUP(CONCATENATE(H126,F126,FQ$2),GeoHis!$A:$H,7,FALSE)=CE126,1,0)</f>
        <v>#N/A</v>
      </c>
      <c r="FR126" s="138" t="e">
        <f>IF(VLOOKUP(CONCATENATE(H126,F126,FR$2),GeoHis!$A:$H,7,FALSE)=CF126,1,0)</f>
        <v>#N/A</v>
      </c>
      <c r="FS126" s="138" t="e">
        <f>IF(VLOOKUP(CONCATENATE(H126,F126,FS$2),GeoHis!$A:$H,7,FALSE)=CG126,1,0)</f>
        <v>#N/A</v>
      </c>
      <c r="FT126" s="138" t="e">
        <f>IF(VLOOKUP(CONCATENATE(H126,F126,FT$2),GeoHis!$A:$H,7,FALSE)=CH126,1,0)</f>
        <v>#N/A</v>
      </c>
      <c r="FU126" s="138" t="e">
        <f>IF(VLOOKUP(CONCATENATE(H126,F126,FU$2),GeoHis!$A:$H,7,FALSE)=CI126,1,0)</f>
        <v>#N/A</v>
      </c>
      <c r="FV126" s="138" t="e">
        <f>IF(VLOOKUP(CONCATENATE(H126,F126,FV$2),GeoHis!$A:$H,7,FALSE)=CJ126,1,0)</f>
        <v>#N/A</v>
      </c>
      <c r="FW126" s="138" t="e">
        <f>IF(VLOOKUP(CONCATENATE(H126,F126,FW$2),GeoHis!$A:$H,7,FALSE)=CK126,1,0)</f>
        <v>#N/A</v>
      </c>
      <c r="FX126" s="138" t="e">
        <f>IF(VLOOKUP(CONCATENATE(H126,F126,FX$2),GeoHis!$A:$H,7,FALSE)=CL126,1,0)</f>
        <v>#N/A</v>
      </c>
      <c r="FY126" s="138" t="e">
        <f>IF(VLOOKUP(CONCATENATE(H126,F126,FY$2),GeoHis!$A:$H,7,FALSE)=CM126,1,0)</f>
        <v>#N/A</v>
      </c>
      <c r="FZ126" s="138" t="e">
        <f>IF(VLOOKUP(CONCATENATE(H126,F126,FZ$2),GeoHis!$A:$H,7,FALSE)=CN126,1,0)</f>
        <v>#N/A</v>
      </c>
      <c r="GA126" s="138" t="e">
        <f>IF(VLOOKUP(CONCATENATE(H126,F126,GA$2),GeoHis!$A:$H,7,FALSE)=CO126,1,0)</f>
        <v>#N/A</v>
      </c>
      <c r="GB126" s="138" t="e">
        <f>IF(VLOOKUP(CONCATENATE(H126,F126,GB$2),GeoHis!$A:$H,7,FALSE)=CP126,1,0)</f>
        <v>#N/A</v>
      </c>
      <c r="GC126" s="138" t="e">
        <f>IF(VLOOKUP(CONCATENATE(H126,F126,GC$2),GeoHis!$A:$H,7,FALSE)=CQ126,1,0)</f>
        <v>#N/A</v>
      </c>
      <c r="GD126" s="138" t="e">
        <f>IF(VLOOKUP(CONCATENATE(H126,F126,GD$2),GeoHis!$A:$H,7,FALSE)=CR126,1,0)</f>
        <v>#N/A</v>
      </c>
      <c r="GE126" s="135" t="str">
        <f t="shared" si="15"/>
        <v/>
      </c>
    </row>
    <row r="127" spans="1:187" x14ac:dyDescent="0.25">
      <c r="A127" s="127" t="str">
        <f>IF(C127="","",'Datos Generales'!$A$25)</f>
        <v/>
      </c>
      <c r="D127" s="126" t="str">
        <f t="shared" si="8"/>
        <v/>
      </c>
      <c r="E127" s="126">
        <f t="shared" si="9"/>
        <v>0</v>
      </c>
      <c r="F127" s="126" t="str">
        <f t="shared" si="10"/>
        <v/>
      </c>
      <c r="G127" s="126" t="str">
        <f>IF(C127="","",'Datos Generales'!$D$19)</f>
        <v/>
      </c>
      <c r="H127" s="21" t="str">
        <f>IF(C127="","",'Datos Generales'!$A$19)</f>
        <v/>
      </c>
      <c r="I127" s="126" t="str">
        <f>IF(C127="","",'Datos Generales'!$A$7)</f>
        <v/>
      </c>
      <c r="J127" s="21" t="str">
        <f>IF(C127="","",'Datos Generales'!$A$13)</f>
        <v/>
      </c>
      <c r="K127" s="21" t="str">
        <f>IF(C127="","",'Datos Generales'!$A$10)</f>
        <v/>
      </c>
      <c r="CS127" s="142" t="str">
        <f t="shared" si="11"/>
        <v/>
      </c>
      <c r="CT127" s="142" t="str">
        <f t="shared" si="12"/>
        <v/>
      </c>
      <c r="CU127" s="142" t="str">
        <f t="shared" si="13"/>
        <v/>
      </c>
      <c r="CV127" s="142" t="str">
        <f t="shared" si="14"/>
        <v/>
      </c>
      <c r="CW127" s="142" t="str">
        <f>IF(C127="","",IF('Datos Generales'!$A$19=1,AVERAGE(FP127:GD127),AVERAGE(Captura!FP127:FY127)))</f>
        <v/>
      </c>
      <c r="CX127" s="138" t="e">
        <f>IF(VLOOKUP(CONCATENATE($H$4,$F$4,CX$2),Español!$A:$H,7,FALSE)=L127,1,0)</f>
        <v>#N/A</v>
      </c>
      <c r="CY127" s="138" t="e">
        <f>IF(VLOOKUP(CONCATENATE(H127,F127,CY$2),Español!$A:$H,7,FALSE)=M127,1,0)</f>
        <v>#N/A</v>
      </c>
      <c r="CZ127" s="138" t="e">
        <f>IF(VLOOKUP(CONCATENATE(H127,F127,CZ$2),Español!$A:$H,7,FALSE)=N127,1,0)</f>
        <v>#N/A</v>
      </c>
      <c r="DA127" s="138" t="e">
        <f>IF(VLOOKUP(CONCATENATE(H127,F127,DA$2),Español!$A:$H,7,FALSE)=O127,1,0)</f>
        <v>#N/A</v>
      </c>
      <c r="DB127" s="138" t="e">
        <f>IF(VLOOKUP(CONCATENATE(H127,F127,DB$2),Español!$A:$H,7,FALSE)=P127,1,0)</f>
        <v>#N/A</v>
      </c>
      <c r="DC127" s="138" t="e">
        <f>IF(VLOOKUP(CONCATENATE(H127,F127,DC$2),Español!$A:$H,7,FALSE)=Q127,1,0)</f>
        <v>#N/A</v>
      </c>
      <c r="DD127" s="138" t="e">
        <f>IF(VLOOKUP(CONCATENATE(H127,F127,DD$2),Español!$A:$H,7,FALSE)=R127,1,0)</f>
        <v>#N/A</v>
      </c>
      <c r="DE127" s="138" t="e">
        <f>IF(VLOOKUP(CONCATENATE(H127,F127,DE$2),Español!$A:$H,7,FALSE)=S127,1,0)</f>
        <v>#N/A</v>
      </c>
      <c r="DF127" s="138" t="e">
        <f>IF(VLOOKUP(CONCATENATE(H127,F127,DF$2),Español!$A:$H,7,FALSE)=T127,1,0)</f>
        <v>#N/A</v>
      </c>
      <c r="DG127" s="138" t="e">
        <f>IF(VLOOKUP(CONCATENATE(H127,F127,DG$2),Español!$A:$H,7,FALSE)=U127,1,0)</f>
        <v>#N/A</v>
      </c>
      <c r="DH127" s="138" t="e">
        <f>IF(VLOOKUP(CONCATENATE(H127,F127,DH$2),Español!$A:$H,7,FALSE)=V127,1,0)</f>
        <v>#N/A</v>
      </c>
      <c r="DI127" s="138" t="e">
        <f>IF(VLOOKUP(CONCATENATE(H127,F127,DI$2),Español!$A:$H,7,FALSE)=W127,1,0)</f>
        <v>#N/A</v>
      </c>
      <c r="DJ127" s="138" t="e">
        <f>IF(VLOOKUP(CONCATENATE(H127,F127,DJ$2),Español!$A:$H,7,FALSE)=X127,1,0)</f>
        <v>#N/A</v>
      </c>
      <c r="DK127" s="138" t="e">
        <f>IF(VLOOKUP(CONCATENATE(H127,F127,DK$2),Español!$A:$H,7,FALSE)=Y127,1,0)</f>
        <v>#N/A</v>
      </c>
      <c r="DL127" s="138" t="e">
        <f>IF(VLOOKUP(CONCATENATE(H127,F127,DL$2),Español!$A:$H,7,FALSE)=Z127,1,0)</f>
        <v>#N/A</v>
      </c>
      <c r="DM127" s="138" t="e">
        <f>IF(VLOOKUP(CONCATENATE(H127,F127,DM$2),Español!$A:$H,7,FALSE)=AA127,1,0)</f>
        <v>#N/A</v>
      </c>
      <c r="DN127" s="138" t="e">
        <f>IF(VLOOKUP(CONCATENATE(H127,F127,DN$2),Español!$A:$H,7,FALSE)=AB127,1,0)</f>
        <v>#N/A</v>
      </c>
      <c r="DO127" s="138" t="e">
        <f>IF(VLOOKUP(CONCATENATE(H127,F127,DO$2),Español!$A:$H,7,FALSE)=AC127,1,0)</f>
        <v>#N/A</v>
      </c>
      <c r="DP127" s="138" t="e">
        <f>IF(VLOOKUP(CONCATENATE(H127,F127,DP$2),Español!$A:$H,7,FALSE)=AD127,1,0)</f>
        <v>#N/A</v>
      </c>
      <c r="DQ127" s="138" t="e">
        <f>IF(VLOOKUP(CONCATENATE(H127,F127,DQ$2),Español!$A:$H,7,FALSE)=AE127,1,0)</f>
        <v>#N/A</v>
      </c>
      <c r="DR127" s="138" t="e">
        <f>IF(VLOOKUP(CONCATENATE(H127,F127,DR$2),Inglés!$A:$H,7,FALSE)=AF127,1,0)</f>
        <v>#N/A</v>
      </c>
      <c r="DS127" s="138" t="e">
        <f>IF(VLOOKUP(CONCATENATE(H127,F127,DS$2),Inglés!$A:$H,7,FALSE)=AG127,1,0)</f>
        <v>#N/A</v>
      </c>
      <c r="DT127" s="138" t="e">
        <f>IF(VLOOKUP(CONCATENATE(H127,F127,DT$2),Inglés!$A:$H,7,FALSE)=AH127,1,0)</f>
        <v>#N/A</v>
      </c>
      <c r="DU127" s="138" t="e">
        <f>IF(VLOOKUP(CONCATENATE(H127,F127,DU$2),Inglés!$A:$H,7,FALSE)=AI127,1,0)</f>
        <v>#N/A</v>
      </c>
      <c r="DV127" s="138" t="e">
        <f>IF(VLOOKUP(CONCATENATE(H127,F127,DV$2),Inglés!$A:$H,7,FALSE)=AJ127,1,0)</f>
        <v>#N/A</v>
      </c>
      <c r="DW127" s="138" t="e">
        <f>IF(VLOOKUP(CONCATENATE(H127,F127,DW$2),Inglés!$A:$H,7,FALSE)=AK127,1,0)</f>
        <v>#N/A</v>
      </c>
      <c r="DX127" s="138" t="e">
        <f>IF(VLOOKUP(CONCATENATE(H127,F127,DX$2),Inglés!$A:$H,7,FALSE)=AL127,1,0)</f>
        <v>#N/A</v>
      </c>
      <c r="DY127" s="138" t="e">
        <f>IF(VLOOKUP(CONCATENATE(H127,F127,DY$2),Inglés!$A:$H,7,FALSE)=AM127,1,0)</f>
        <v>#N/A</v>
      </c>
      <c r="DZ127" s="138" t="e">
        <f>IF(VLOOKUP(CONCATENATE(H127,F127,DZ$2),Inglés!$A:$H,7,FALSE)=AN127,1,0)</f>
        <v>#N/A</v>
      </c>
      <c r="EA127" s="138" t="e">
        <f>IF(VLOOKUP(CONCATENATE(H127,F127,EA$2),Inglés!$A:$H,7,FALSE)=AO127,1,0)</f>
        <v>#N/A</v>
      </c>
      <c r="EB127" s="138" t="e">
        <f>IF(VLOOKUP(CONCATENATE(H127,F127,EB$2),Matemáticas!$A:$H,7,FALSE)=AP127,1,0)</f>
        <v>#N/A</v>
      </c>
      <c r="EC127" s="138" t="e">
        <f>IF(VLOOKUP(CONCATENATE(H127,F127,EC$2),Matemáticas!$A:$H,7,FALSE)=AQ127,1,0)</f>
        <v>#N/A</v>
      </c>
      <c r="ED127" s="138" t="e">
        <f>IF(VLOOKUP(CONCATENATE(H127,F127,ED$2),Matemáticas!$A:$H,7,FALSE)=AR127,1,0)</f>
        <v>#N/A</v>
      </c>
      <c r="EE127" s="138" t="e">
        <f>IF(VLOOKUP(CONCATENATE(H127,F127,EE$2),Matemáticas!$A:$H,7,FALSE)=AS127,1,0)</f>
        <v>#N/A</v>
      </c>
      <c r="EF127" s="138" t="e">
        <f>IF(VLOOKUP(CONCATENATE(H127,F127,EF$2),Matemáticas!$A:$H,7,FALSE)=AT127,1,0)</f>
        <v>#N/A</v>
      </c>
      <c r="EG127" s="138" t="e">
        <f>IF(VLOOKUP(CONCATENATE(H127,F127,EG$2),Matemáticas!$A:$H,7,FALSE)=AU127,1,0)</f>
        <v>#N/A</v>
      </c>
      <c r="EH127" s="138" t="e">
        <f>IF(VLOOKUP(CONCATENATE(H127,F127,EH$2),Matemáticas!$A:$H,7,FALSE)=AV127,1,0)</f>
        <v>#N/A</v>
      </c>
      <c r="EI127" s="138" t="e">
        <f>IF(VLOOKUP(CONCATENATE(H127,F127,EI$2),Matemáticas!$A:$H,7,FALSE)=AW127,1,0)</f>
        <v>#N/A</v>
      </c>
      <c r="EJ127" s="138" t="e">
        <f>IF(VLOOKUP(CONCATENATE(H127,F127,EJ$2),Matemáticas!$A:$H,7,FALSE)=AX127,1,0)</f>
        <v>#N/A</v>
      </c>
      <c r="EK127" s="138" t="e">
        <f>IF(VLOOKUP(CONCATENATE(H127,F127,EK$2),Matemáticas!$A:$H,7,FALSE)=AY127,1,0)</f>
        <v>#N/A</v>
      </c>
      <c r="EL127" s="138" t="e">
        <f>IF(VLOOKUP(CONCATENATE(H127,F127,EL$2),Matemáticas!$A:$H,7,FALSE)=AZ127,1,0)</f>
        <v>#N/A</v>
      </c>
      <c r="EM127" s="138" t="e">
        <f>IF(VLOOKUP(CONCATENATE(H127,F127,EM$2),Matemáticas!$A:$H,7,FALSE)=BA127,1,0)</f>
        <v>#N/A</v>
      </c>
      <c r="EN127" s="138" t="e">
        <f>IF(VLOOKUP(CONCATENATE(H127,F127,EN$2),Matemáticas!$A:$H,7,FALSE)=BB127,1,0)</f>
        <v>#N/A</v>
      </c>
      <c r="EO127" s="138" t="e">
        <f>IF(VLOOKUP(CONCATENATE(H127,F127,EO$2),Matemáticas!$A:$H,7,FALSE)=BC127,1,0)</f>
        <v>#N/A</v>
      </c>
      <c r="EP127" s="138" t="e">
        <f>IF(VLOOKUP(CONCATENATE(H127,F127,EP$2),Matemáticas!$A:$H,7,FALSE)=BD127,1,0)</f>
        <v>#N/A</v>
      </c>
      <c r="EQ127" s="138" t="e">
        <f>IF(VLOOKUP(CONCATENATE(H127,F127,EQ$2),Matemáticas!$A:$H,7,FALSE)=BE127,1,0)</f>
        <v>#N/A</v>
      </c>
      <c r="ER127" s="138" t="e">
        <f>IF(VLOOKUP(CONCATENATE(H127,F127,ER$2),Matemáticas!$A:$H,7,FALSE)=BF127,1,0)</f>
        <v>#N/A</v>
      </c>
      <c r="ES127" s="138" t="e">
        <f>IF(VLOOKUP(CONCATENATE(H127,F127,ES$2),Matemáticas!$A:$H,7,FALSE)=BG127,1,0)</f>
        <v>#N/A</v>
      </c>
      <c r="ET127" s="138" t="e">
        <f>IF(VLOOKUP(CONCATENATE(H127,F127,ET$2),Matemáticas!$A:$H,7,FALSE)=BH127,1,0)</f>
        <v>#N/A</v>
      </c>
      <c r="EU127" s="138" t="e">
        <f>IF(VLOOKUP(CONCATENATE(H127,F127,EU$2),Matemáticas!$A:$H,7,FALSE)=BI127,1,0)</f>
        <v>#N/A</v>
      </c>
      <c r="EV127" s="138" t="e">
        <f>IF(VLOOKUP(CONCATENATE(H127,F127,EV$2),Ciencias!$A:$H,7,FALSE)=BJ127,1,0)</f>
        <v>#N/A</v>
      </c>
      <c r="EW127" s="138" t="e">
        <f>IF(VLOOKUP(CONCATENATE(H127,F127,EW$2),Ciencias!$A:$H,7,FALSE)=BK127,1,0)</f>
        <v>#N/A</v>
      </c>
      <c r="EX127" s="138" t="e">
        <f>IF(VLOOKUP(CONCATENATE(H127,F127,EX$2),Ciencias!$A:$H,7,FALSE)=BL127,1,0)</f>
        <v>#N/A</v>
      </c>
      <c r="EY127" s="138" t="e">
        <f>IF(VLOOKUP(CONCATENATE(H127,F127,EY$2),Ciencias!$A:$H,7,FALSE)=BM127,1,0)</f>
        <v>#N/A</v>
      </c>
      <c r="EZ127" s="138" t="e">
        <f>IF(VLOOKUP(CONCATENATE(H127,F127,EZ$2),Ciencias!$A:$H,7,FALSE)=BN127,1,0)</f>
        <v>#N/A</v>
      </c>
      <c r="FA127" s="138" t="e">
        <f>IF(VLOOKUP(CONCATENATE(H127,F127,FA$2),Ciencias!$A:$H,7,FALSE)=BO127,1,0)</f>
        <v>#N/A</v>
      </c>
      <c r="FB127" s="138" t="e">
        <f>IF(VLOOKUP(CONCATENATE(H127,F127,FB$2),Ciencias!$A:$H,7,FALSE)=BP127,1,0)</f>
        <v>#N/A</v>
      </c>
      <c r="FC127" s="138" t="e">
        <f>IF(VLOOKUP(CONCATENATE(H127,F127,FC$2),Ciencias!$A:$H,7,FALSE)=BQ127,1,0)</f>
        <v>#N/A</v>
      </c>
      <c r="FD127" s="138" t="e">
        <f>IF(VLOOKUP(CONCATENATE(H127,F127,FD$2),Ciencias!$A:$H,7,FALSE)=BR127,1,0)</f>
        <v>#N/A</v>
      </c>
      <c r="FE127" s="138" t="e">
        <f>IF(VLOOKUP(CONCATENATE(H127,F127,FE$2),Ciencias!$A:$H,7,FALSE)=BS127,1,0)</f>
        <v>#N/A</v>
      </c>
      <c r="FF127" s="138" t="e">
        <f>IF(VLOOKUP(CONCATENATE(H127,F127,FF$2),Ciencias!$A:$H,7,FALSE)=BT127,1,0)</f>
        <v>#N/A</v>
      </c>
      <c r="FG127" s="138" t="e">
        <f>IF(VLOOKUP(CONCATENATE(H127,F127,FG$2),Ciencias!$A:$H,7,FALSE)=BU127,1,0)</f>
        <v>#N/A</v>
      </c>
      <c r="FH127" s="138" t="e">
        <f>IF(VLOOKUP(CONCATENATE(H127,F127,FH$2),Ciencias!$A:$H,7,FALSE)=BV127,1,0)</f>
        <v>#N/A</v>
      </c>
      <c r="FI127" s="138" t="e">
        <f>IF(VLOOKUP(CONCATENATE(H127,F127,FI$2),Ciencias!$A:$H,7,FALSE)=BW127,1,0)</f>
        <v>#N/A</v>
      </c>
      <c r="FJ127" s="138" t="e">
        <f>IF(VLOOKUP(CONCATENATE(H127,F127,FJ$2),Ciencias!$A:$H,7,FALSE)=BX127,1,0)</f>
        <v>#N/A</v>
      </c>
      <c r="FK127" s="138" t="e">
        <f>IF(VLOOKUP(CONCATENATE(H127,F127,FK$2),Ciencias!$A:$H,7,FALSE)=BY127,1,0)</f>
        <v>#N/A</v>
      </c>
      <c r="FL127" s="138" t="e">
        <f>IF(VLOOKUP(CONCATENATE(H127,F127,FL$2),Ciencias!$A:$H,7,FALSE)=BZ127,1,0)</f>
        <v>#N/A</v>
      </c>
      <c r="FM127" s="138" t="e">
        <f>IF(VLOOKUP(CONCATENATE(H127,F127,FM$2),Ciencias!$A:$H,7,FALSE)=CA127,1,0)</f>
        <v>#N/A</v>
      </c>
      <c r="FN127" s="138" t="e">
        <f>IF(VLOOKUP(CONCATENATE(H127,F127,FN$2),Ciencias!$A:$H,7,FALSE)=CB127,1,0)</f>
        <v>#N/A</v>
      </c>
      <c r="FO127" s="138" t="e">
        <f>IF(VLOOKUP(CONCATENATE(H127,F127,FO$2),Ciencias!$A:$H,7,FALSE)=CC127,1,0)</f>
        <v>#N/A</v>
      </c>
      <c r="FP127" s="138" t="e">
        <f>IF(VLOOKUP(CONCATENATE(H127,F127,FP$2),GeoHis!$A:$H,7,FALSE)=CD127,1,0)</f>
        <v>#N/A</v>
      </c>
      <c r="FQ127" s="138" t="e">
        <f>IF(VLOOKUP(CONCATENATE(H127,F127,FQ$2),GeoHis!$A:$H,7,FALSE)=CE127,1,0)</f>
        <v>#N/A</v>
      </c>
      <c r="FR127" s="138" t="e">
        <f>IF(VLOOKUP(CONCATENATE(H127,F127,FR$2),GeoHis!$A:$H,7,FALSE)=CF127,1,0)</f>
        <v>#N/A</v>
      </c>
      <c r="FS127" s="138" t="e">
        <f>IF(VLOOKUP(CONCATENATE(H127,F127,FS$2),GeoHis!$A:$H,7,FALSE)=CG127,1,0)</f>
        <v>#N/A</v>
      </c>
      <c r="FT127" s="138" t="e">
        <f>IF(VLOOKUP(CONCATENATE(H127,F127,FT$2),GeoHis!$A:$H,7,FALSE)=CH127,1,0)</f>
        <v>#N/A</v>
      </c>
      <c r="FU127" s="138" t="e">
        <f>IF(VLOOKUP(CONCATENATE(H127,F127,FU$2),GeoHis!$A:$H,7,FALSE)=CI127,1,0)</f>
        <v>#N/A</v>
      </c>
      <c r="FV127" s="138" t="e">
        <f>IF(VLOOKUP(CONCATENATE(H127,F127,FV$2),GeoHis!$A:$H,7,FALSE)=CJ127,1,0)</f>
        <v>#N/A</v>
      </c>
      <c r="FW127" s="138" t="e">
        <f>IF(VLOOKUP(CONCATENATE(H127,F127,FW$2),GeoHis!$A:$H,7,FALSE)=CK127,1,0)</f>
        <v>#N/A</v>
      </c>
      <c r="FX127" s="138" t="e">
        <f>IF(VLOOKUP(CONCATENATE(H127,F127,FX$2),GeoHis!$A:$H,7,FALSE)=CL127,1,0)</f>
        <v>#N/A</v>
      </c>
      <c r="FY127" s="138" t="e">
        <f>IF(VLOOKUP(CONCATENATE(H127,F127,FY$2),GeoHis!$A:$H,7,FALSE)=CM127,1,0)</f>
        <v>#N/A</v>
      </c>
      <c r="FZ127" s="138" t="e">
        <f>IF(VLOOKUP(CONCATENATE(H127,F127,FZ$2),GeoHis!$A:$H,7,FALSE)=CN127,1,0)</f>
        <v>#N/A</v>
      </c>
      <c r="GA127" s="138" t="e">
        <f>IF(VLOOKUP(CONCATENATE(H127,F127,GA$2),GeoHis!$A:$H,7,FALSE)=CO127,1,0)</f>
        <v>#N/A</v>
      </c>
      <c r="GB127" s="138" t="e">
        <f>IF(VLOOKUP(CONCATENATE(H127,F127,GB$2),GeoHis!$A:$H,7,FALSE)=CP127,1,0)</f>
        <v>#N/A</v>
      </c>
      <c r="GC127" s="138" t="e">
        <f>IF(VLOOKUP(CONCATENATE(H127,F127,GC$2),GeoHis!$A:$H,7,FALSE)=CQ127,1,0)</f>
        <v>#N/A</v>
      </c>
      <c r="GD127" s="138" t="e">
        <f>IF(VLOOKUP(CONCATENATE(H127,F127,GD$2),GeoHis!$A:$H,7,FALSE)=CR127,1,0)</f>
        <v>#N/A</v>
      </c>
      <c r="GE127" s="135" t="str">
        <f t="shared" si="15"/>
        <v/>
      </c>
    </row>
    <row r="128" spans="1:187" x14ac:dyDescent="0.25">
      <c r="A128" s="127" t="str">
        <f>IF(C128="","",'Datos Generales'!$A$25)</f>
        <v/>
      </c>
      <c r="D128" s="126" t="str">
        <f t="shared" si="8"/>
        <v/>
      </c>
      <c r="E128" s="126">
        <f t="shared" si="9"/>
        <v>0</v>
      </c>
      <c r="F128" s="126" t="str">
        <f t="shared" si="10"/>
        <v/>
      </c>
      <c r="G128" s="126" t="str">
        <f>IF(C128="","",'Datos Generales'!$D$19)</f>
        <v/>
      </c>
      <c r="H128" s="21" t="str">
        <f>IF(C128="","",'Datos Generales'!$A$19)</f>
        <v/>
      </c>
      <c r="I128" s="126" t="str">
        <f>IF(C128="","",'Datos Generales'!$A$7)</f>
        <v/>
      </c>
      <c r="J128" s="21" t="str">
        <f>IF(C128="","",'Datos Generales'!$A$13)</f>
        <v/>
      </c>
      <c r="K128" s="21" t="str">
        <f>IF(C128="","",'Datos Generales'!$A$10)</f>
        <v/>
      </c>
      <c r="CS128" s="142" t="str">
        <f t="shared" si="11"/>
        <v/>
      </c>
      <c r="CT128" s="142" t="str">
        <f t="shared" si="12"/>
        <v/>
      </c>
      <c r="CU128" s="142" t="str">
        <f t="shared" si="13"/>
        <v/>
      </c>
      <c r="CV128" s="142" t="str">
        <f t="shared" si="14"/>
        <v/>
      </c>
      <c r="CW128" s="142" t="str">
        <f>IF(C128="","",IF('Datos Generales'!$A$19=1,AVERAGE(FP128:GD128),AVERAGE(Captura!FP128:FY128)))</f>
        <v/>
      </c>
      <c r="CX128" s="138" t="e">
        <f>IF(VLOOKUP(CONCATENATE($H$4,$F$4,CX$2),Español!$A:$H,7,FALSE)=L128,1,0)</f>
        <v>#N/A</v>
      </c>
      <c r="CY128" s="138" t="e">
        <f>IF(VLOOKUP(CONCATENATE(H128,F128,CY$2),Español!$A:$H,7,FALSE)=M128,1,0)</f>
        <v>#N/A</v>
      </c>
      <c r="CZ128" s="138" t="e">
        <f>IF(VLOOKUP(CONCATENATE(H128,F128,CZ$2),Español!$A:$H,7,FALSE)=N128,1,0)</f>
        <v>#N/A</v>
      </c>
      <c r="DA128" s="138" t="e">
        <f>IF(VLOOKUP(CONCATENATE(H128,F128,DA$2),Español!$A:$H,7,FALSE)=O128,1,0)</f>
        <v>#N/A</v>
      </c>
      <c r="DB128" s="138" t="e">
        <f>IF(VLOOKUP(CONCATENATE(H128,F128,DB$2),Español!$A:$H,7,FALSE)=P128,1,0)</f>
        <v>#N/A</v>
      </c>
      <c r="DC128" s="138" t="e">
        <f>IF(VLOOKUP(CONCATENATE(H128,F128,DC$2),Español!$A:$H,7,FALSE)=Q128,1,0)</f>
        <v>#N/A</v>
      </c>
      <c r="DD128" s="138" t="e">
        <f>IF(VLOOKUP(CONCATENATE(H128,F128,DD$2),Español!$A:$H,7,FALSE)=R128,1,0)</f>
        <v>#N/A</v>
      </c>
      <c r="DE128" s="138" t="e">
        <f>IF(VLOOKUP(CONCATENATE(H128,F128,DE$2),Español!$A:$H,7,FALSE)=S128,1,0)</f>
        <v>#N/A</v>
      </c>
      <c r="DF128" s="138" t="e">
        <f>IF(VLOOKUP(CONCATENATE(H128,F128,DF$2),Español!$A:$H,7,FALSE)=T128,1,0)</f>
        <v>#N/A</v>
      </c>
      <c r="DG128" s="138" t="e">
        <f>IF(VLOOKUP(CONCATENATE(H128,F128,DG$2),Español!$A:$H,7,FALSE)=U128,1,0)</f>
        <v>#N/A</v>
      </c>
      <c r="DH128" s="138" t="e">
        <f>IF(VLOOKUP(CONCATENATE(H128,F128,DH$2),Español!$A:$H,7,FALSE)=V128,1,0)</f>
        <v>#N/A</v>
      </c>
      <c r="DI128" s="138" t="e">
        <f>IF(VLOOKUP(CONCATENATE(H128,F128,DI$2),Español!$A:$H,7,FALSE)=W128,1,0)</f>
        <v>#N/A</v>
      </c>
      <c r="DJ128" s="138" t="e">
        <f>IF(VLOOKUP(CONCATENATE(H128,F128,DJ$2),Español!$A:$H,7,FALSE)=X128,1,0)</f>
        <v>#N/A</v>
      </c>
      <c r="DK128" s="138" t="e">
        <f>IF(VLOOKUP(CONCATENATE(H128,F128,DK$2),Español!$A:$H,7,FALSE)=Y128,1,0)</f>
        <v>#N/A</v>
      </c>
      <c r="DL128" s="138" t="e">
        <f>IF(VLOOKUP(CONCATENATE(H128,F128,DL$2),Español!$A:$H,7,FALSE)=Z128,1,0)</f>
        <v>#N/A</v>
      </c>
      <c r="DM128" s="138" t="e">
        <f>IF(VLOOKUP(CONCATENATE(H128,F128,DM$2),Español!$A:$H,7,FALSE)=AA128,1,0)</f>
        <v>#N/A</v>
      </c>
      <c r="DN128" s="138" t="e">
        <f>IF(VLOOKUP(CONCATENATE(H128,F128,DN$2),Español!$A:$H,7,FALSE)=AB128,1,0)</f>
        <v>#N/A</v>
      </c>
      <c r="DO128" s="138" t="e">
        <f>IF(VLOOKUP(CONCATENATE(H128,F128,DO$2),Español!$A:$H,7,FALSE)=AC128,1,0)</f>
        <v>#N/A</v>
      </c>
      <c r="DP128" s="138" t="e">
        <f>IF(VLOOKUP(CONCATENATE(H128,F128,DP$2),Español!$A:$H,7,FALSE)=AD128,1,0)</f>
        <v>#N/A</v>
      </c>
      <c r="DQ128" s="138" t="e">
        <f>IF(VLOOKUP(CONCATENATE(H128,F128,DQ$2),Español!$A:$H,7,FALSE)=AE128,1,0)</f>
        <v>#N/A</v>
      </c>
      <c r="DR128" s="138" t="e">
        <f>IF(VLOOKUP(CONCATENATE(H128,F128,DR$2),Inglés!$A:$H,7,FALSE)=AF128,1,0)</f>
        <v>#N/A</v>
      </c>
      <c r="DS128" s="138" t="e">
        <f>IF(VLOOKUP(CONCATENATE(H128,F128,DS$2),Inglés!$A:$H,7,FALSE)=AG128,1,0)</f>
        <v>#N/A</v>
      </c>
      <c r="DT128" s="138" t="e">
        <f>IF(VLOOKUP(CONCATENATE(H128,F128,DT$2),Inglés!$A:$H,7,FALSE)=AH128,1,0)</f>
        <v>#N/A</v>
      </c>
      <c r="DU128" s="138" t="e">
        <f>IF(VLOOKUP(CONCATENATE(H128,F128,DU$2),Inglés!$A:$H,7,FALSE)=AI128,1,0)</f>
        <v>#N/A</v>
      </c>
      <c r="DV128" s="138" t="e">
        <f>IF(VLOOKUP(CONCATENATE(H128,F128,DV$2),Inglés!$A:$H,7,FALSE)=AJ128,1,0)</f>
        <v>#N/A</v>
      </c>
      <c r="DW128" s="138" t="e">
        <f>IF(VLOOKUP(CONCATENATE(H128,F128,DW$2),Inglés!$A:$H,7,FALSE)=AK128,1,0)</f>
        <v>#N/A</v>
      </c>
      <c r="DX128" s="138" t="e">
        <f>IF(VLOOKUP(CONCATENATE(H128,F128,DX$2),Inglés!$A:$H,7,FALSE)=AL128,1,0)</f>
        <v>#N/A</v>
      </c>
      <c r="DY128" s="138" t="e">
        <f>IF(VLOOKUP(CONCATENATE(H128,F128,DY$2),Inglés!$A:$H,7,FALSE)=AM128,1,0)</f>
        <v>#N/A</v>
      </c>
      <c r="DZ128" s="138" t="e">
        <f>IF(VLOOKUP(CONCATENATE(H128,F128,DZ$2),Inglés!$A:$H,7,FALSE)=AN128,1,0)</f>
        <v>#N/A</v>
      </c>
      <c r="EA128" s="138" t="e">
        <f>IF(VLOOKUP(CONCATENATE(H128,F128,EA$2),Inglés!$A:$H,7,FALSE)=AO128,1,0)</f>
        <v>#N/A</v>
      </c>
      <c r="EB128" s="138" t="e">
        <f>IF(VLOOKUP(CONCATENATE(H128,F128,EB$2),Matemáticas!$A:$H,7,FALSE)=AP128,1,0)</f>
        <v>#N/A</v>
      </c>
      <c r="EC128" s="138" t="e">
        <f>IF(VLOOKUP(CONCATENATE(H128,F128,EC$2),Matemáticas!$A:$H,7,FALSE)=AQ128,1,0)</f>
        <v>#N/A</v>
      </c>
      <c r="ED128" s="138" t="e">
        <f>IF(VLOOKUP(CONCATENATE(H128,F128,ED$2),Matemáticas!$A:$H,7,FALSE)=AR128,1,0)</f>
        <v>#N/A</v>
      </c>
      <c r="EE128" s="138" t="e">
        <f>IF(VLOOKUP(CONCATENATE(H128,F128,EE$2),Matemáticas!$A:$H,7,FALSE)=AS128,1,0)</f>
        <v>#N/A</v>
      </c>
      <c r="EF128" s="138" t="e">
        <f>IF(VLOOKUP(CONCATENATE(H128,F128,EF$2),Matemáticas!$A:$H,7,FALSE)=AT128,1,0)</f>
        <v>#N/A</v>
      </c>
      <c r="EG128" s="138" t="e">
        <f>IF(VLOOKUP(CONCATENATE(H128,F128,EG$2),Matemáticas!$A:$H,7,FALSE)=AU128,1,0)</f>
        <v>#N/A</v>
      </c>
      <c r="EH128" s="138" t="e">
        <f>IF(VLOOKUP(CONCATENATE(H128,F128,EH$2),Matemáticas!$A:$H,7,FALSE)=AV128,1,0)</f>
        <v>#N/A</v>
      </c>
      <c r="EI128" s="138" t="e">
        <f>IF(VLOOKUP(CONCATENATE(H128,F128,EI$2),Matemáticas!$A:$H,7,FALSE)=AW128,1,0)</f>
        <v>#N/A</v>
      </c>
      <c r="EJ128" s="138" t="e">
        <f>IF(VLOOKUP(CONCATENATE(H128,F128,EJ$2),Matemáticas!$A:$H,7,FALSE)=AX128,1,0)</f>
        <v>#N/A</v>
      </c>
      <c r="EK128" s="138" t="e">
        <f>IF(VLOOKUP(CONCATENATE(H128,F128,EK$2),Matemáticas!$A:$H,7,FALSE)=AY128,1,0)</f>
        <v>#N/A</v>
      </c>
      <c r="EL128" s="138" t="e">
        <f>IF(VLOOKUP(CONCATENATE(H128,F128,EL$2),Matemáticas!$A:$H,7,FALSE)=AZ128,1,0)</f>
        <v>#N/A</v>
      </c>
      <c r="EM128" s="138" t="e">
        <f>IF(VLOOKUP(CONCATENATE(H128,F128,EM$2),Matemáticas!$A:$H,7,FALSE)=BA128,1,0)</f>
        <v>#N/A</v>
      </c>
      <c r="EN128" s="138" t="e">
        <f>IF(VLOOKUP(CONCATENATE(H128,F128,EN$2),Matemáticas!$A:$H,7,FALSE)=BB128,1,0)</f>
        <v>#N/A</v>
      </c>
      <c r="EO128" s="138" t="e">
        <f>IF(VLOOKUP(CONCATENATE(H128,F128,EO$2),Matemáticas!$A:$H,7,FALSE)=BC128,1,0)</f>
        <v>#N/A</v>
      </c>
      <c r="EP128" s="138" t="e">
        <f>IF(VLOOKUP(CONCATENATE(H128,F128,EP$2),Matemáticas!$A:$H,7,FALSE)=BD128,1,0)</f>
        <v>#N/A</v>
      </c>
      <c r="EQ128" s="138" t="e">
        <f>IF(VLOOKUP(CONCATENATE(H128,F128,EQ$2),Matemáticas!$A:$H,7,FALSE)=BE128,1,0)</f>
        <v>#N/A</v>
      </c>
      <c r="ER128" s="138" t="e">
        <f>IF(VLOOKUP(CONCATENATE(H128,F128,ER$2),Matemáticas!$A:$H,7,FALSE)=BF128,1,0)</f>
        <v>#N/A</v>
      </c>
      <c r="ES128" s="138" t="e">
        <f>IF(VLOOKUP(CONCATENATE(H128,F128,ES$2),Matemáticas!$A:$H,7,FALSE)=BG128,1,0)</f>
        <v>#N/A</v>
      </c>
      <c r="ET128" s="138" t="e">
        <f>IF(VLOOKUP(CONCATENATE(H128,F128,ET$2),Matemáticas!$A:$H,7,FALSE)=BH128,1,0)</f>
        <v>#N/A</v>
      </c>
      <c r="EU128" s="138" t="e">
        <f>IF(VLOOKUP(CONCATENATE(H128,F128,EU$2),Matemáticas!$A:$H,7,FALSE)=BI128,1,0)</f>
        <v>#N/A</v>
      </c>
      <c r="EV128" s="138" t="e">
        <f>IF(VLOOKUP(CONCATENATE(H128,F128,EV$2),Ciencias!$A:$H,7,FALSE)=BJ128,1,0)</f>
        <v>#N/A</v>
      </c>
      <c r="EW128" s="138" t="e">
        <f>IF(VLOOKUP(CONCATENATE(H128,F128,EW$2),Ciencias!$A:$H,7,FALSE)=BK128,1,0)</f>
        <v>#N/A</v>
      </c>
      <c r="EX128" s="138" t="e">
        <f>IF(VLOOKUP(CONCATENATE(H128,F128,EX$2),Ciencias!$A:$H,7,FALSE)=BL128,1,0)</f>
        <v>#N/A</v>
      </c>
      <c r="EY128" s="138" t="e">
        <f>IF(VLOOKUP(CONCATENATE(H128,F128,EY$2),Ciencias!$A:$H,7,FALSE)=BM128,1,0)</f>
        <v>#N/A</v>
      </c>
      <c r="EZ128" s="138" t="e">
        <f>IF(VLOOKUP(CONCATENATE(H128,F128,EZ$2),Ciencias!$A:$H,7,FALSE)=BN128,1,0)</f>
        <v>#N/A</v>
      </c>
      <c r="FA128" s="138" t="e">
        <f>IF(VLOOKUP(CONCATENATE(H128,F128,FA$2),Ciencias!$A:$H,7,FALSE)=BO128,1,0)</f>
        <v>#N/A</v>
      </c>
      <c r="FB128" s="138" t="e">
        <f>IF(VLOOKUP(CONCATENATE(H128,F128,FB$2),Ciencias!$A:$H,7,FALSE)=BP128,1,0)</f>
        <v>#N/A</v>
      </c>
      <c r="FC128" s="138" t="e">
        <f>IF(VLOOKUP(CONCATENATE(H128,F128,FC$2),Ciencias!$A:$H,7,FALSE)=BQ128,1,0)</f>
        <v>#N/A</v>
      </c>
      <c r="FD128" s="138" t="e">
        <f>IF(VLOOKUP(CONCATENATE(H128,F128,FD$2),Ciencias!$A:$H,7,FALSE)=BR128,1,0)</f>
        <v>#N/A</v>
      </c>
      <c r="FE128" s="138" t="e">
        <f>IF(VLOOKUP(CONCATENATE(H128,F128,FE$2),Ciencias!$A:$H,7,FALSE)=BS128,1,0)</f>
        <v>#N/A</v>
      </c>
      <c r="FF128" s="138" t="e">
        <f>IF(VLOOKUP(CONCATENATE(H128,F128,FF$2),Ciencias!$A:$H,7,FALSE)=BT128,1,0)</f>
        <v>#N/A</v>
      </c>
      <c r="FG128" s="138" t="e">
        <f>IF(VLOOKUP(CONCATENATE(H128,F128,FG$2),Ciencias!$A:$H,7,FALSE)=BU128,1,0)</f>
        <v>#N/A</v>
      </c>
      <c r="FH128" s="138" t="e">
        <f>IF(VLOOKUP(CONCATENATE(H128,F128,FH$2),Ciencias!$A:$H,7,FALSE)=BV128,1,0)</f>
        <v>#N/A</v>
      </c>
      <c r="FI128" s="138" t="e">
        <f>IF(VLOOKUP(CONCATENATE(H128,F128,FI$2),Ciencias!$A:$H,7,FALSE)=BW128,1,0)</f>
        <v>#N/A</v>
      </c>
      <c r="FJ128" s="138" t="e">
        <f>IF(VLOOKUP(CONCATENATE(H128,F128,FJ$2),Ciencias!$A:$H,7,FALSE)=BX128,1,0)</f>
        <v>#N/A</v>
      </c>
      <c r="FK128" s="138" t="e">
        <f>IF(VLOOKUP(CONCATENATE(H128,F128,FK$2),Ciencias!$A:$H,7,FALSE)=BY128,1,0)</f>
        <v>#N/A</v>
      </c>
      <c r="FL128" s="138" t="e">
        <f>IF(VLOOKUP(CONCATENATE(H128,F128,FL$2),Ciencias!$A:$H,7,FALSE)=BZ128,1,0)</f>
        <v>#N/A</v>
      </c>
      <c r="FM128" s="138" t="e">
        <f>IF(VLOOKUP(CONCATENATE(H128,F128,FM$2),Ciencias!$A:$H,7,FALSE)=CA128,1,0)</f>
        <v>#N/A</v>
      </c>
      <c r="FN128" s="138" t="e">
        <f>IF(VLOOKUP(CONCATENATE(H128,F128,FN$2),Ciencias!$A:$H,7,FALSE)=CB128,1,0)</f>
        <v>#N/A</v>
      </c>
      <c r="FO128" s="138" t="e">
        <f>IF(VLOOKUP(CONCATENATE(H128,F128,FO$2),Ciencias!$A:$H,7,FALSE)=CC128,1,0)</f>
        <v>#N/A</v>
      </c>
      <c r="FP128" s="138" t="e">
        <f>IF(VLOOKUP(CONCATENATE(H128,F128,FP$2),GeoHis!$A:$H,7,FALSE)=CD128,1,0)</f>
        <v>#N/A</v>
      </c>
      <c r="FQ128" s="138" t="e">
        <f>IF(VLOOKUP(CONCATENATE(H128,F128,FQ$2),GeoHis!$A:$H,7,FALSE)=CE128,1,0)</f>
        <v>#N/A</v>
      </c>
      <c r="FR128" s="138" t="e">
        <f>IF(VLOOKUP(CONCATENATE(H128,F128,FR$2),GeoHis!$A:$H,7,FALSE)=CF128,1,0)</f>
        <v>#N/A</v>
      </c>
      <c r="FS128" s="138" t="e">
        <f>IF(VLOOKUP(CONCATENATE(H128,F128,FS$2),GeoHis!$A:$H,7,FALSE)=CG128,1,0)</f>
        <v>#N/A</v>
      </c>
      <c r="FT128" s="138" t="e">
        <f>IF(VLOOKUP(CONCATENATE(H128,F128,FT$2),GeoHis!$A:$H,7,FALSE)=CH128,1,0)</f>
        <v>#N/A</v>
      </c>
      <c r="FU128" s="138" t="e">
        <f>IF(VLOOKUP(CONCATENATE(H128,F128,FU$2),GeoHis!$A:$H,7,FALSE)=CI128,1,0)</f>
        <v>#N/A</v>
      </c>
      <c r="FV128" s="138" t="e">
        <f>IF(VLOOKUP(CONCATENATE(H128,F128,FV$2),GeoHis!$A:$H,7,FALSE)=CJ128,1,0)</f>
        <v>#N/A</v>
      </c>
      <c r="FW128" s="138" t="e">
        <f>IF(VLOOKUP(CONCATENATE(H128,F128,FW$2),GeoHis!$A:$H,7,FALSE)=CK128,1,0)</f>
        <v>#N/A</v>
      </c>
      <c r="FX128" s="138" t="e">
        <f>IF(VLOOKUP(CONCATENATE(H128,F128,FX$2),GeoHis!$A:$H,7,FALSE)=CL128,1,0)</f>
        <v>#N/A</v>
      </c>
      <c r="FY128" s="138" t="e">
        <f>IF(VLOOKUP(CONCATENATE(H128,F128,FY$2),GeoHis!$A:$H,7,FALSE)=CM128,1,0)</f>
        <v>#N/A</v>
      </c>
      <c r="FZ128" s="138" t="e">
        <f>IF(VLOOKUP(CONCATENATE(H128,F128,FZ$2),GeoHis!$A:$H,7,FALSE)=CN128,1,0)</f>
        <v>#N/A</v>
      </c>
      <c r="GA128" s="138" t="e">
        <f>IF(VLOOKUP(CONCATENATE(H128,F128,GA$2),GeoHis!$A:$H,7,FALSE)=CO128,1,0)</f>
        <v>#N/A</v>
      </c>
      <c r="GB128" s="138" t="e">
        <f>IF(VLOOKUP(CONCATENATE(H128,F128,GB$2),GeoHis!$A:$H,7,FALSE)=CP128,1,0)</f>
        <v>#N/A</v>
      </c>
      <c r="GC128" s="138" t="e">
        <f>IF(VLOOKUP(CONCATENATE(H128,F128,GC$2),GeoHis!$A:$H,7,FALSE)=CQ128,1,0)</f>
        <v>#N/A</v>
      </c>
      <c r="GD128" s="138" t="e">
        <f>IF(VLOOKUP(CONCATENATE(H128,F128,GD$2),GeoHis!$A:$H,7,FALSE)=CR128,1,0)</f>
        <v>#N/A</v>
      </c>
      <c r="GE128" s="135" t="str">
        <f t="shared" si="15"/>
        <v/>
      </c>
    </row>
    <row r="129" spans="1:187" x14ac:dyDescent="0.25">
      <c r="A129" s="127" t="str">
        <f>IF(C129="","",'Datos Generales'!$A$25)</f>
        <v/>
      </c>
      <c r="D129" s="126" t="str">
        <f t="shared" si="8"/>
        <v/>
      </c>
      <c r="E129" s="126">
        <f t="shared" si="9"/>
        <v>0</v>
      </c>
      <c r="F129" s="126" t="str">
        <f t="shared" si="10"/>
        <v/>
      </c>
      <c r="G129" s="126" t="str">
        <f>IF(C129="","",'Datos Generales'!$D$19)</f>
        <v/>
      </c>
      <c r="H129" s="21" t="str">
        <f>IF(C129="","",'Datos Generales'!$A$19)</f>
        <v/>
      </c>
      <c r="I129" s="126" t="str">
        <f>IF(C129="","",'Datos Generales'!$A$7)</f>
        <v/>
      </c>
      <c r="J129" s="21" t="str">
        <f>IF(C129="","",'Datos Generales'!$A$13)</f>
        <v/>
      </c>
      <c r="K129" s="21" t="str">
        <f>IF(C129="","",'Datos Generales'!$A$10)</f>
        <v/>
      </c>
      <c r="CS129" s="142" t="str">
        <f t="shared" si="11"/>
        <v/>
      </c>
      <c r="CT129" s="142" t="str">
        <f t="shared" si="12"/>
        <v/>
      </c>
      <c r="CU129" s="142" t="str">
        <f t="shared" si="13"/>
        <v/>
      </c>
      <c r="CV129" s="142" t="str">
        <f t="shared" si="14"/>
        <v/>
      </c>
      <c r="CW129" s="142" t="str">
        <f>IF(C129="","",IF('Datos Generales'!$A$19=1,AVERAGE(FP129:GD129),AVERAGE(Captura!FP129:FY129)))</f>
        <v/>
      </c>
      <c r="CX129" s="138" t="e">
        <f>IF(VLOOKUP(CONCATENATE($H$4,$F$4,CX$2),Español!$A:$H,7,FALSE)=L129,1,0)</f>
        <v>#N/A</v>
      </c>
      <c r="CY129" s="138" t="e">
        <f>IF(VLOOKUP(CONCATENATE(H129,F129,CY$2),Español!$A:$H,7,FALSE)=M129,1,0)</f>
        <v>#N/A</v>
      </c>
      <c r="CZ129" s="138" t="e">
        <f>IF(VLOOKUP(CONCATENATE(H129,F129,CZ$2),Español!$A:$H,7,FALSE)=N129,1,0)</f>
        <v>#N/A</v>
      </c>
      <c r="DA129" s="138" t="e">
        <f>IF(VLOOKUP(CONCATENATE(H129,F129,DA$2),Español!$A:$H,7,FALSE)=O129,1,0)</f>
        <v>#N/A</v>
      </c>
      <c r="DB129" s="138" t="e">
        <f>IF(VLOOKUP(CONCATENATE(H129,F129,DB$2),Español!$A:$H,7,FALSE)=P129,1,0)</f>
        <v>#N/A</v>
      </c>
      <c r="DC129" s="138" t="e">
        <f>IF(VLOOKUP(CONCATENATE(H129,F129,DC$2),Español!$A:$H,7,FALSE)=Q129,1,0)</f>
        <v>#N/A</v>
      </c>
      <c r="DD129" s="138" t="e">
        <f>IF(VLOOKUP(CONCATENATE(H129,F129,DD$2),Español!$A:$H,7,FALSE)=R129,1,0)</f>
        <v>#N/A</v>
      </c>
      <c r="DE129" s="138" t="e">
        <f>IF(VLOOKUP(CONCATENATE(H129,F129,DE$2),Español!$A:$H,7,FALSE)=S129,1,0)</f>
        <v>#N/A</v>
      </c>
      <c r="DF129" s="138" t="e">
        <f>IF(VLOOKUP(CONCATENATE(H129,F129,DF$2),Español!$A:$H,7,FALSE)=T129,1,0)</f>
        <v>#N/A</v>
      </c>
      <c r="DG129" s="138" t="e">
        <f>IF(VLOOKUP(CONCATENATE(H129,F129,DG$2),Español!$A:$H,7,FALSE)=U129,1,0)</f>
        <v>#N/A</v>
      </c>
      <c r="DH129" s="138" t="e">
        <f>IF(VLOOKUP(CONCATENATE(H129,F129,DH$2),Español!$A:$H,7,FALSE)=V129,1,0)</f>
        <v>#N/A</v>
      </c>
      <c r="DI129" s="138" t="e">
        <f>IF(VLOOKUP(CONCATENATE(H129,F129,DI$2),Español!$A:$H,7,FALSE)=W129,1,0)</f>
        <v>#N/A</v>
      </c>
      <c r="DJ129" s="138" t="e">
        <f>IF(VLOOKUP(CONCATENATE(H129,F129,DJ$2),Español!$A:$H,7,FALSE)=X129,1,0)</f>
        <v>#N/A</v>
      </c>
      <c r="DK129" s="138" t="e">
        <f>IF(VLOOKUP(CONCATENATE(H129,F129,DK$2),Español!$A:$H,7,FALSE)=Y129,1,0)</f>
        <v>#N/A</v>
      </c>
      <c r="DL129" s="138" t="e">
        <f>IF(VLOOKUP(CONCATENATE(H129,F129,DL$2),Español!$A:$H,7,FALSE)=Z129,1,0)</f>
        <v>#N/A</v>
      </c>
      <c r="DM129" s="138" t="e">
        <f>IF(VLOOKUP(CONCATENATE(H129,F129,DM$2),Español!$A:$H,7,FALSE)=AA129,1,0)</f>
        <v>#N/A</v>
      </c>
      <c r="DN129" s="138" t="e">
        <f>IF(VLOOKUP(CONCATENATE(H129,F129,DN$2),Español!$A:$H,7,FALSE)=AB129,1,0)</f>
        <v>#N/A</v>
      </c>
      <c r="DO129" s="138" t="e">
        <f>IF(VLOOKUP(CONCATENATE(H129,F129,DO$2),Español!$A:$H,7,FALSE)=AC129,1,0)</f>
        <v>#N/A</v>
      </c>
      <c r="DP129" s="138" t="e">
        <f>IF(VLOOKUP(CONCATENATE(H129,F129,DP$2),Español!$A:$H,7,FALSE)=AD129,1,0)</f>
        <v>#N/A</v>
      </c>
      <c r="DQ129" s="138" t="e">
        <f>IF(VLOOKUP(CONCATENATE(H129,F129,DQ$2),Español!$A:$H,7,FALSE)=AE129,1,0)</f>
        <v>#N/A</v>
      </c>
      <c r="DR129" s="138" t="e">
        <f>IF(VLOOKUP(CONCATENATE(H129,F129,DR$2),Inglés!$A:$H,7,FALSE)=AF129,1,0)</f>
        <v>#N/A</v>
      </c>
      <c r="DS129" s="138" t="e">
        <f>IF(VLOOKUP(CONCATENATE(H129,F129,DS$2),Inglés!$A:$H,7,FALSE)=AG129,1,0)</f>
        <v>#N/A</v>
      </c>
      <c r="DT129" s="138" t="e">
        <f>IF(VLOOKUP(CONCATENATE(H129,F129,DT$2),Inglés!$A:$H,7,FALSE)=AH129,1,0)</f>
        <v>#N/A</v>
      </c>
      <c r="DU129" s="138" t="e">
        <f>IF(VLOOKUP(CONCATENATE(H129,F129,DU$2),Inglés!$A:$H,7,FALSE)=AI129,1,0)</f>
        <v>#N/A</v>
      </c>
      <c r="DV129" s="138" t="e">
        <f>IF(VLOOKUP(CONCATENATE(H129,F129,DV$2),Inglés!$A:$H,7,FALSE)=AJ129,1,0)</f>
        <v>#N/A</v>
      </c>
      <c r="DW129" s="138" t="e">
        <f>IF(VLOOKUP(CONCATENATE(H129,F129,DW$2),Inglés!$A:$H,7,FALSE)=AK129,1,0)</f>
        <v>#N/A</v>
      </c>
      <c r="DX129" s="138" t="e">
        <f>IF(VLOOKUP(CONCATENATE(H129,F129,DX$2),Inglés!$A:$H,7,FALSE)=AL129,1,0)</f>
        <v>#N/A</v>
      </c>
      <c r="DY129" s="138" t="e">
        <f>IF(VLOOKUP(CONCATENATE(H129,F129,DY$2),Inglés!$A:$H,7,FALSE)=AM129,1,0)</f>
        <v>#N/A</v>
      </c>
      <c r="DZ129" s="138" t="e">
        <f>IF(VLOOKUP(CONCATENATE(H129,F129,DZ$2),Inglés!$A:$H,7,FALSE)=AN129,1,0)</f>
        <v>#N/A</v>
      </c>
      <c r="EA129" s="138" t="e">
        <f>IF(VLOOKUP(CONCATENATE(H129,F129,EA$2),Inglés!$A:$H,7,FALSE)=AO129,1,0)</f>
        <v>#N/A</v>
      </c>
      <c r="EB129" s="138" t="e">
        <f>IF(VLOOKUP(CONCATENATE(H129,F129,EB$2),Matemáticas!$A:$H,7,FALSE)=AP129,1,0)</f>
        <v>#N/A</v>
      </c>
      <c r="EC129" s="138" t="e">
        <f>IF(VLOOKUP(CONCATENATE(H129,F129,EC$2),Matemáticas!$A:$H,7,FALSE)=AQ129,1,0)</f>
        <v>#N/A</v>
      </c>
      <c r="ED129" s="138" t="e">
        <f>IF(VLOOKUP(CONCATENATE(H129,F129,ED$2),Matemáticas!$A:$H,7,FALSE)=AR129,1,0)</f>
        <v>#N/A</v>
      </c>
      <c r="EE129" s="138" t="e">
        <f>IF(VLOOKUP(CONCATENATE(H129,F129,EE$2),Matemáticas!$A:$H,7,FALSE)=AS129,1,0)</f>
        <v>#N/A</v>
      </c>
      <c r="EF129" s="138" t="e">
        <f>IF(VLOOKUP(CONCATENATE(H129,F129,EF$2),Matemáticas!$A:$H,7,FALSE)=AT129,1,0)</f>
        <v>#N/A</v>
      </c>
      <c r="EG129" s="138" t="e">
        <f>IF(VLOOKUP(CONCATENATE(H129,F129,EG$2),Matemáticas!$A:$H,7,FALSE)=AU129,1,0)</f>
        <v>#N/A</v>
      </c>
      <c r="EH129" s="138" t="e">
        <f>IF(VLOOKUP(CONCATENATE(H129,F129,EH$2),Matemáticas!$A:$H,7,FALSE)=AV129,1,0)</f>
        <v>#N/A</v>
      </c>
      <c r="EI129" s="138" t="e">
        <f>IF(VLOOKUP(CONCATENATE(H129,F129,EI$2),Matemáticas!$A:$H,7,FALSE)=AW129,1,0)</f>
        <v>#N/A</v>
      </c>
      <c r="EJ129" s="138" t="e">
        <f>IF(VLOOKUP(CONCATENATE(H129,F129,EJ$2),Matemáticas!$A:$H,7,FALSE)=AX129,1,0)</f>
        <v>#N/A</v>
      </c>
      <c r="EK129" s="138" t="e">
        <f>IF(VLOOKUP(CONCATENATE(H129,F129,EK$2),Matemáticas!$A:$H,7,FALSE)=AY129,1,0)</f>
        <v>#N/A</v>
      </c>
      <c r="EL129" s="138" t="e">
        <f>IF(VLOOKUP(CONCATENATE(H129,F129,EL$2),Matemáticas!$A:$H,7,FALSE)=AZ129,1,0)</f>
        <v>#N/A</v>
      </c>
      <c r="EM129" s="138" t="e">
        <f>IF(VLOOKUP(CONCATENATE(H129,F129,EM$2),Matemáticas!$A:$H,7,FALSE)=BA129,1,0)</f>
        <v>#N/A</v>
      </c>
      <c r="EN129" s="138" t="e">
        <f>IF(VLOOKUP(CONCATENATE(H129,F129,EN$2),Matemáticas!$A:$H,7,FALSE)=BB129,1,0)</f>
        <v>#N/A</v>
      </c>
      <c r="EO129" s="138" t="e">
        <f>IF(VLOOKUP(CONCATENATE(H129,F129,EO$2),Matemáticas!$A:$H,7,FALSE)=BC129,1,0)</f>
        <v>#N/A</v>
      </c>
      <c r="EP129" s="138" t="e">
        <f>IF(VLOOKUP(CONCATENATE(H129,F129,EP$2),Matemáticas!$A:$H,7,FALSE)=BD129,1,0)</f>
        <v>#N/A</v>
      </c>
      <c r="EQ129" s="138" t="e">
        <f>IF(VLOOKUP(CONCATENATE(H129,F129,EQ$2),Matemáticas!$A:$H,7,FALSE)=BE129,1,0)</f>
        <v>#N/A</v>
      </c>
      <c r="ER129" s="138" t="e">
        <f>IF(VLOOKUP(CONCATENATE(H129,F129,ER$2),Matemáticas!$A:$H,7,FALSE)=BF129,1,0)</f>
        <v>#N/A</v>
      </c>
      <c r="ES129" s="138" t="e">
        <f>IF(VLOOKUP(CONCATENATE(H129,F129,ES$2),Matemáticas!$A:$H,7,FALSE)=BG129,1,0)</f>
        <v>#N/A</v>
      </c>
      <c r="ET129" s="138" t="e">
        <f>IF(VLOOKUP(CONCATENATE(H129,F129,ET$2),Matemáticas!$A:$H,7,FALSE)=BH129,1,0)</f>
        <v>#N/A</v>
      </c>
      <c r="EU129" s="138" t="e">
        <f>IF(VLOOKUP(CONCATENATE(H129,F129,EU$2),Matemáticas!$A:$H,7,FALSE)=BI129,1,0)</f>
        <v>#N/A</v>
      </c>
      <c r="EV129" s="138" t="e">
        <f>IF(VLOOKUP(CONCATENATE(H129,F129,EV$2),Ciencias!$A:$H,7,FALSE)=BJ129,1,0)</f>
        <v>#N/A</v>
      </c>
      <c r="EW129" s="138" t="e">
        <f>IF(VLOOKUP(CONCATENATE(H129,F129,EW$2),Ciencias!$A:$H,7,FALSE)=BK129,1,0)</f>
        <v>#N/A</v>
      </c>
      <c r="EX129" s="138" t="e">
        <f>IF(VLOOKUP(CONCATENATE(H129,F129,EX$2),Ciencias!$A:$H,7,FALSE)=BL129,1,0)</f>
        <v>#N/A</v>
      </c>
      <c r="EY129" s="138" t="e">
        <f>IF(VLOOKUP(CONCATENATE(H129,F129,EY$2),Ciencias!$A:$H,7,FALSE)=BM129,1,0)</f>
        <v>#N/A</v>
      </c>
      <c r="EZ129" s="138" t="e">
        <f>IF(VLOOKUP(CONCATENATE(H129,F129,EZ$2),Ciencias!$A:$H,7,FALSE)=BN129,1,0)</f>
        <v>#N/A</v>
      </c>
      <c r="FA129" s="138" t="e">
        <f>IF(VLOOKUP(CONCATENATE(H129,F129,FA$2),Ciencias!$A:$H,7,FALSE)=BO129,1,0)</f>
        <v>#N/A</v>
      </c>
      <c r="FB129" s="138" t="e">
        <f>IF(VLOOKUP(CONCATENATE(H129,F129,FB$2),Ciencias!$A:$H,7,FALSE)=BP129,1,0)</f>
        <v>#N/A</v>
      </c>
      <c r="FC129" s="138" t="e">
        <f>IF(VLOOKUP(CONCATENATE(H129,F129,FC$2),Ciencias!$A:$H,7,FALSE)=BQ129,1,0)</f>
        <v>#N/A</v>
      </c>
      <c r="FD129" s="138" t="e">
        <f>IF(VLOOKUP(CONCATENATE(H129,F129,FD$2),Ciencias!$A:$H,7,FALSE)=BR129,1,0)</f>
        <v>#N/A</v>
      </c>
      <c r="FE129" s="138" t="e">
        <f>IF(VLOOKUP(CONCATENATE(H129,F129,FE$2),Ciencias!$A:$H,7,FALSE)=BS129,1,0)</f>
        <v>#N/A</v>
      </c>
      <c r="FF129" s="138" t="e">
        <f>IF(VLOOKUP(CONCATENATE(H129,F129,FF$2),Ciencias!$A:$H,7,FALSE)=BT129,1,0)</f>
        <v>#N/A</v>
      </c>
      <c r="FG129" s="138" t="e">
        <f>IF(VLOOKUP(CONCATENATE(H129,F129,FG$2),Ciencias!$A:$H,7,FALSE)=BU129,1,0)</f>
        <v>#N/A</v>
      </c>
      <c r="FH129" s="138" t="e">
        <f>IF(VLOOKUP(CONCATENATE(H129,F129,FH$2),Ciencias!$A:$H,7,FALSE)=BV129,1,0)</f>
        <v>#N/A</v>
      </c>
      <c r="FI129" s="138" t="e">
        <f>IF(VLOOKUP(CONCATENATE(H129,F129,FI$2),Ciencias!$A:$H,7,FALSE)=BW129,1,0)</f>
        <v>#N/A</v>
      </c>
      <c r="FJ129" s="138" t="e">
        <f>IF(VLOOKUP(CONCATENATE(H129,F129,FJ$2),Ciencias!$A:$H,7,FALSE)=BX129,1,0)</f>
        <v>#N/A</v>
      </c>
      <c r="FK129" s="138" t="e">
        <f>IF(VLOOKUP(CONCATENATE(H129,F129,FK$2),Ciencias!$A:$H,7,FALSE)=BY129,1,0)</f>
        <v>#N/A</v>
      </c>
      <c r="FL129" s="138" t="e">
        <f>IF(VLOOKUP(CONCATENATE(H129,F129,FL$2),Ciencias!$A:$H,7,FALSE)=BZ129,1,0)</f>
        <v>#N/A</v>
      </c>
      <c r="FM129" s="138" t="e">
        <f>IF(VLOOKUP(CONCATENATE(H129,F129,FM$2),Ciencias!$A:$H,7,FALSE)=CA129,1,0)</f>
        <v>#N/A</v>
      </c>
      <c r="FN129" s="138" t="e">
        <f>IF(VLOOKUP(CONCATENATE(H129,F129,FN$2),Ciencias!$A:$H,7,FALSE)=CB129,1,0)</f>
        <v>#N/A</v>
      </c>
      <c r="FO129" s="138" t="e">
        <f>IF(VLOOKUP(CONCATENATE(H129,F129,FO$2),Ciencias!$A:$H,7,FALSE)=CC129,1,0)</f>
        <v>#N/A</v>
      </c>
      <c r="FP129" s="138" t="e">
        <f>IF(VLOOKUP(CONCATENATE(H129,F129,FP$2),GeoHis!$A:$H,7,FALSE)=CD129,1,0)</f>
        <v>#N/A</v>
      </c>
      <c r="FQ129" s="138" t="e">
        <f>IF(VLOOKUP(CONCATENATE(H129,F129,FQ$2),GeoHis!$A:$H,7,FALSE)=CE129,1,0)</f>
        <v>#N/A</v>
      </c>
      <c r="FR129" s="138" t="e">
        <f>IF(VLOOKUP(CONCATENATE(H129,F129,FR$2),GeoHis!$A:$H,7,FALSE)=CF129,1,0)</f>
        <v>#N/A</v>
      </c>
      <c r="FS129" s="138" t="e">
        <f>IF(VLOOKUP(CONCATENATE(H129,F129,FS$2),GeoHis!$A:$H,7,FALSE)=CG129,1,0)</f>
        <v>#N/A</v>
      </c>
      <c r="FT129" s="138" t="e">
        <f>IF(VLOOKUP(CONCATENATE(H129,F129,FT$2),GeoHis!$A:$H,7,FALSE)=CH129,1,0)</f>
        <v>#N/A</v>
      </c>
      <c r="FU129" s="138" t="e">
        <f>IF(VLOOKUP(CONCATENATE(H129,F129,FU$2),GeoHis!$A:$H,7,FALSE)=CI129,1,0)</f>
        <v>#N/A</v>
      </c>
      <c r="FV129" s="138" t="e">
        <f>IF(VLOOKUP(CONCATENATE(H129,F129,FV$2),GeoHis!$A:$H,7,FALSE)=CJ129,1,0)</f>
        <v>#N/A</v>
      </c>
      <c r="FW129" s="138" t="e">
        <f>IF(VLOOKUP(CONCATENATE(H129,F129,FW$2),GeoHis!$A:$H,7,FALSE)=CK129,1,0)</f>
        <v>#N/A</v>
      </c>
      <c r="FX129" s="138" t="e">
        <f>IF(VLOOKUP(CONCATENATE(H129,F129,FX$2),GeoHis!$A:$H,7,FALSE)=CL129,1,0)</f>
        <v>#N/A</v>
      </c>
      <c r="FY129" s="138" t="e">
        <f>IF(VLOOKUP(CONCATENATE(H129,F129,FY$2),GeoHis!$A:$H,7,FALSE)=CM129,1,0)</f>
        <v>#N/A</v>
      </c>
      <c r="FZ129" s="138" t="e">
        <f>IF(VLOOKUP(CONCATENATE(H129,F129,FZ$2),GeoHis!$A:$H,7,FALSE)=CN129,1,0)</f>
        <v>#N/A</v>
      </c>
      <c r="GA129" s="138" t="e">
        <f>IF(VLOOKUP(CONCATENATE(H129,F129,GA$2),GeoHis!$A:$H,7,FALSE)=CO129,1,0)</f>
        <v>#N/A</v>
      </c>
      <c r="GB129" s="138" t="e">
        <f>IF(VLOOKUP(CONCATENATE(H129,F129,GB$2),GeoHis!$A:$H,7,FALSE)=CP129,1,0)</f>
        <v>#N/A</v>
      </c>
      <c r="GC129" s="138" t="e">
        <f>IF(VLOOKUP(CONCATENATE(H129,F129,GC$2),GeoHis!$A:$H,7,FALSE)=CQ129,1,0)</f>
        <v>#N/A</v>
      </c>
      <c r="GD129" s="138" t="e">
        <f>IF(VLOOKUP(CONCATENATE(H129,F129,GD$2),GeoHis!$A:$H,7,FALSE)=CR129,1,0)</f>
        <v>#N/A</v>
      </c>
      <c r="GE129" s="135" t="str">
        <f t="shared" si="15"/>
        <v/>
      </c>
    </row>
    <row r="130" spans="1:187" x14ac:dyDescent="0.25">
      <c r="A130" s="127" t="str">
        <f>IF(C130="","",'Datos Generales'!$A$25)</f>
        <v/>
      </c>
      <c r="D130" s="126" t="str">
        <f t="shared" si="8"/>
        <v/>
      </c>
      <c r="E130" s="126">
        <f t="shared" si="9"/>
        <v>0</v>
      </c>
      <c r="F130" s="126" t="str">
        <f t="shared" si="10"/>
        <v/>
      </c>
      <c r="G130" s="126" t="str">
        <f>IF(C130="","",'Datos Generales'!$D$19)</f>
        <v/>
      </c>
      <c r="H130" s="21" t="str">
        <f>IF(C130="","",'Datos Generales'!$A$19)</f>
        <v/>
      </c>
      <c r="I130" s="126" t="str">
        <f>IF(C130="","",'Datos Generales'!$A$7)</f>
        <v/>
      </c>
      <c r="J130" s="21" t="str">
        <f>IF(C130="","",'Datos Generales'!$A$13)</f>
        <v/>
      </c>
      <c r="K130" s="21" t="str">
        <f>IF(C130="","",'Datos Generales'!$A$10)</f>
        <v/>
      </c>
      <c r="CS130" s="142" t="str">
        <f t="shared" si="11"/>
        <v/>
      </c>
      <c r="CT130" s="142" t="str">
        <f t="shared" si="12"/>
        <v/>
      </c>
      <c r="CU130" s="142" t="str">
        <f t="shared" si="13"/>
        <v/>
      </c>
      <c r="CV130" s="142" t="str">
        <f t="shared" si="14"/>
        <v/>
      </c>
      <c r="CW130" s="142" t="str">
        <f>IF(C130="","",IF('Datos Generales'!$A$19=1,AVERAGE(FP130:GD130),AVERAGE(Captura!FP130:FY130)))</f>
        <v/>
      </c>
      <c r="CX130" s="138" t="e">
        <f>IF(VLOOKUP(CONCATENATE($H$4,$F$4,CX$2),Español!$A:$H,7,FALSE)=L130,1,0)</f>
        <v>#N/A</v>
      </c>
      <c r="CY130" s="138" t="e">
        <f>IF(VLOOKUP(CONCATENATE(H130,F130,CY$2),Español!$A:$H,7,FALSE)=M130,1,0)</f>
        <v>#N/A</v>
      </c>
      <c r="CZ130" s="138" t="e">
        <f>IF(VLOOKUP(CONCATENATE(H130,F130,CZ$2),Español!$A:$H,7,FALSE)=N130,1,0)</f>
        <v>#N/A</v>
      </c>
      <c r="DA130" s="138" t="e">
        <f>IF(VLOOKUP(CONCATENATE(H130,F130,DA$2),Español!$A:$H,7,FALSE)=O130,1,0)</f>
        <v>#N/A</v>
      </c>
      <c r="DB130" s="138" t="e">
        <f>IF(VLOOKUP(CONCATENATE(H130,F130,DB$2),Español!$A:$H,7,FALSE)=P130,1,0)</f>
        <v>#N/A</v>
      </c>
      <c r="DC130" s="138" t="e">
        <f>IF(VLOOKUP(CONCATENATE(H130,F130,DC$2),Español!$A:$H,7,FALSE)=Q130,1,0)</f>
        <v>#N/A</v>
      </c>
      <c r="DD130" s="138" t="e">
        <f>IF(VLOOKUP(CONCATENATE(H130,F130,DD$2),Español!$A:$H,7,FALSE)=R130,1,0)</f>
        <v>#N/A</v>
      </c>
      <c r="DE130" s="138" t="e">
        <f>IF(VLOOKUP(CONCATENATE(H130,F130,DE$2),Español!$A:$H,7,FALSE)=S130,1,0)</f>
        <v>#N/A</v>
      </c>
      <c r="DF130" s="138" t="e">
        <f>IF(VLOOKUP(CONCATENATE(H130,F130,DF$2),Español!$A:$H,7,FALSE)=T130,1,0)</f>
        <v>#N/A</v>
      </c>
      <c r="DG130" s="138" t="e">
        <f>IF(VLOOKUP(CONCATENATE(H130,F130,DG$2),Español!$A:$H,7,FALSE)=U130,1,0)</f>
        <v>#N/A</v>
      </c>
      <c r="DH130" s="138" t="e">
        <f>IF(VLOOKUP(CONCATENATE(H130,F130,DH$2),Español!$A:$H,7,FALSE)=V130,1,0)</f>
        <v>#N/A</v>
      </c>
      <c r="DI130" s="138" t="e">
        <f>IF(VLOOKUP(CONCATENATE(H130,F130,DI$2),Español!$A:$H,7,FALSE)=W130,1,0)</f>
        <v>#N/A</v>
      </c>
      <c r="DJ130" s="138" t="e">
        <f>IF(VLOOKUP(CONCATENATE(H130,F130,DJ$2),Español!$A:$H,7,FALSE)=X130,1,0)</f>
        <v>#N/A</v>
      </c>
      <c r="DK130" s="138" t="e">
        <f>IF(VLOOKUP(CONCATENATE(H130,F130,DK$2),Español!$A:$H,7,FALSE)=Y130,1,0)</f>
        <v>#N/A</v>
      </c>
      <c r="DL130" s="138" t="e">
        <f>IF(VLOOKUP(CONCATENATE(H130,F130,DL$2),Español!$A:$H,7,FALSE)=Z130,1,0)</f>
        <v>#N/A</v>
      </c>
      <c r="DM130" s="138" t="e">
        <f>IF(VLOOKUP(CONCATENATE(H130,F130,DM$2),Español!$A:$H,7,FALSE)=AA130,1,0)</f>
        <v>#N/A</v>
      </c>
      <c r="DN130" s="138" t="e">
        <f>IF(VLOOKUP(CONCATENATE(H130,F130,DN$2),Español!$A:$H,7,FALSE)=AB130,1,0)</f>
        <v>#N/A</v>
      </c>
      <c r="DO130" s="138" t="e">
        <f>IF(VLOOKUP(CONCATENATE(H130,F130,DO$2),Español!$A:$H,7,FALSE)=AC130,1,0)</f>
        <v>#N/A</v>
      </c>
      <c r="DP130" s="138" t="e">
        <f>IF(VLOOKUP(CONCATENATE(H130,F130,DP$2),Español!$A:$H,7,FALSE)=AD130,1,0)</f>
        <v>#N/A</v>
      </c>
      <c r="DQ130" s="138" t="e">
        <f>IF(VLOOKUP(CONCATENATE(H130,F130,DQ$2),Español!$A:$H,7,FALSE)=AE130,1,0)</f>
        <v>#N/A</v>
      </c>
      <c r="DR130" s="138" t="e">
        <f>IF(VLOOKUP(CONCATENATE(H130,F130,DR$2),Inglés!$A:$H,7,FALSE)=AF130,1,0)</f>
        <v>#N/A</v>
      </c>
      <c r="DS130" s="138" t="e">
        <f>IF(VLOOKUP(CONCATENATE(H130,F130,DS$2),Inglés!$A:$H,7,FALSE)=AG130,1,0)</f>
        <v>#N/A</v>
      </c>
      <c r="DT130" s="138" t="e">
        <f>IF(VLOOKUP(CONCATENATE(H130,F130,DT$2),Inglés!$A:$H,7,FALSE)=AH130,1,0)</f>
        <v>#N/A</v>
      </c>
      <c r="DU130" s="138" t="e">
        <f>IF(VLOOKUP(CONCATENATE(H130,F130,DU$2),Inglés!$A:$H,7,FALSE)=AI130,1,0)</f>
        <v>#N/A</v>
      </c>
      <c r="DV130" s="138" t="e">
        <f>IF(VLOOKUP(CONCATENATE(H130,F130,DV$2),Inglés!$A:$H,7,FALSE)=AJ130,1,0)</f>
        <v>#N/A</v>
      </c>
      <c r="DW130" s="138" t="e">
        <f>IF(VLOOKUP(CONCATENATE(H130,F130,DW$2),Inglés!$A:$H,7,FALSE)=AK130,1,0)</f>
        <v>#N/A</v>
      </c>
      <c r="DX130" s="138" t="e">
        <f>IF(VLOOKUP(CONCATENATE(H130,F130,DX$2),Inglés!$A:$H,7,FALSE)=AL130,1,0)</f>
        <v>#N/A</v>
      </c>
      <c r="DY130" s="138" t="e">
        <f>IF(VLOOKUP(CONCATENATE(H130,F130,DY$2),Inglés!$A:$H,7,FALSE)=AM130,1,0)</f>
        <v>#N/A</v>
      </c>
      <c r="DZ130" s="138" t="e">
        <f>IF(VLOOKUP(CONCATENATE(H130,F130,DZ$2),Inglés!$A:$H,7,FALSE)=AN130,1,0)</f>
        <v>#N/A</v>
      </c>
      <c r="EA130" s="138" t="e">
        <f>IF(VLOOKUP(CONCATENATE(H130,F130,EA$2),Inglés!$A:$H,7,FALSE)=AO130,1,0)</f>
        <v>#N/A</v>
      </c>
      <c r="EB130" s="138" t="e">
        <f>IF(VLOOKUP(CONCATENATE(H130,F130,EB$2),Matemáticas!$A:$H,7,FALSE)=AP130,1,0)</f>
        <v>#N/A</v>
      </c>
      <c r="EC130" s="138" t="e">
        <f>IF(VLOOKUP(CONCATENATE(H130,F130,EC$2),Matemáticas!$A:$H,7,FALSE)=AQ130,1,0)</f>
        <v>#N/A</v>
      </c>
      <c r="ED130" s="138" t="e">
        <f>IF(VLOOKUP(CONCATENATE(H130,F130,ED$2),Matemáticas!$A:$H,7,FALSE)=AR130,1,0)</f>
        <v>#N/A</v>
      </c>
      <c r="EE130" s="138" t="e">
        <f>IF(VLOOKUP(CONCATENATE(H130,F130,EE$2),Matemáticas!$A:$H,7,FALSE)=AS130,1,0)</f>
        <v>#N/A</v>
      </c>
      <c r="EF130" s="138" t="e">
        <f>IF(VLOOKUP(CONCATENATE(H130,F130,EF$2),Matemáticas!$A:$H,7,FALSE)=AT130,1,0)</f>
        <v>#N/A</v>
      </c>
      <c r="EG130" s="138" t="e">
        <f>IF(VLOOKUP(CONCATENATE(H130,F130,EG$2),Matemáticas!$A:$H,7,FALSE)=AU130,1,0)</f>
        <v>#N/A</v>
      </c>
      <c r="EH130" s="138" t="e">
        <f>IF(VLOOKUP(CONCATENATE(H130,F130,EH$2),Matemáticas!$A:$H,7,FALSE)=AV130,1,0)</f>
        <v>#N/A</v>
      </c>
      <c r="EI130" s="138" t="e">
        <f>IF(VLOOKUP(CONCATENATE(H130,F130,EI$2),Matemáticas!$A:$H,7,FALSE)=AW130,1,0)</f>
        <v>#N/A</v>
      </c>
      <c r="EJ130" s="138" t="e">
        <f>IF(VLOOKUP(CONCATENATE(H130,F130,EJ$2),Matemáticas!$A:$H,7,FALSE)=AX130,1,0)</f>
        <v>#N/A</v>
      </c>
      <c r="EK130" s="138" t="e">
        <f>IF(VLOOKUP(CONCATENATE(H130,F130,EK$2),Matemáticas!$A:$H,7,FALSE)=AY130,1,0)</f>
        <v>#N/A</v>
      </c>
      <c r="EL130" s="138" t="e">
        <f>IF(VLOOKUP(CONCATENATE(H130,F130,EL$2),Matemáticas!$A:$H,7,FALSE)=AZ130,1,0)</f>
        <v>#N/A</v>
      </c>
      <c r="EM130" s="138" t="e">
        <f>IF(VLOOKUP(CONCATENATE(H130,F130,EM$2),Matemáticas!$A:$H,7,FALSE)=BA130,1,0)</f>
        <v>#N/A</v>
      </c>
      <c r="EN130" s="138" t="e">
        <f>IF(VLOOKUP(CONCATENATE(H130,F130,EN$2),Matemáticas!$A:$H,7,FALSE)=BB130,1,0)</f>
        <v>#N/A</v>
      </c>
      <c r="EO130" s="138" t="e">
        <f>IF(VLOOKUP(CONCATENATE(H130,F130,EO$2),Matemáticas!$A:$H,7,FALSE)=BC130,1,0)</f>
        <v>#N/A</v>
      </c>
      <c r="EP130" s="138" t="e">
        <f>IF(VLOOKUP(CONCATENATE(H130,F130,EP$2),Matemáticas!$A:$H,7,FALSE)=BD130,1,0)</f>
        <v>#N/A</v>
      </c>
      <c r="EQ130" s="138" t="e">
        <f>IF(VLOOKUP(CONCATENATE(H130,F130,EQ$2),Matemáticas!$A:$H,7,FALSE)=BE130,1,0)</f>
        <v>#N/A</v>
      </c>
      <c r="ER130" s="138" t="e">
        <f>IF(VLOOKUP(CONCATENATE(H130,F130,ER$2),Matemáticas!$A:$H,7,FALSE)=BF130,1,0)</f>
        <v>#N/A</v>
      </c>
      <c r="ES130" s="138" t="e">
        <f>IF(VLOOKUP(CONCATENATE(H130,F130,ES$2),Matemáticas!$A:$H,7,FALSE)=BG130,1,0)</f>
        <v>#N/A</v>
      </c>
      <c r="ET130" s="138" t="e">
        <f>IF(VLOOKUP(CONCATENATE(H130,F130,ET$2),Matemáticas!$A:$H,7,FALSE)=BH130,1,0)</f>
        <v>#N/A</v>
      </c>
      <c r="EU130" s="138" t="e">
        <f>IF(VLOOKUP(CONCATENATE(H130,F130,EU$2),Matemáticas!$A:$H,7,FALSE)=BI130,1,0)</f>
        <v>#N/A</v>
      </c>
      <c r="EV130" s="138" t="e">
        <f>IF(VLOOKUP(CONCATENATE(H130,F130,EV$2),Ciencias!$A:$H,7,FALSE)=BJ130,1,0)</f>
        <v>#N/A</v>
      </c>
      <c r="EW130" s="138" t="e">
        <f>IF(VLOOKUP(CONCATENATE(H130,F130,EW$2),Ciencias!$A:$H,7,FALSE)=BK130,1,0)</f>
        <v>#N/A</v>
      </c>
      <c r="EX130" s="138" t="e">
        <f>IF(VLOOKUP(CONCATENATE(H130,F130,EX$2),Ciencias!$A:$H,7,FALSE)=BL130,1,0)</f>
        <v>#N/A</v>
      </c>
      <c r="EY130" s="138" t="e">
        <f>IF(VLOOKUP(CONCATENATE(H130,F130,EY$2),Ciencias!$A:$H,7,FALSE)=BM130,1,0)</f>
        <v>#N/A</v>
      </c>
      <c r="EZ130" s="138" t="e">
        <f>IF(VLOOKUP(CONCATENATE(H130,F130,EZ$2),Ciencias!$A:$H,7,FALSE)=BN130,1,0)</f>
        <v>#N/A</v>
      </c>
      <c r="FA130" s="138" t="e">
        <f>IF(VLOOKUP(CONCATENATE(H130,F130,FA$2),Ciencias!$A:$H,7,FALSE)=BO130,1,0)</f>
        <v>#N/A</v>
      </c>
      <c r="FB130" s="138" t="e">
        <f>IF(VLOOKUP(CONCATENATE(H130,F130,FB$2),Ciencias!$A:$H,7,FALSE)=BP130,1,0)</f>
        <v>#N/A</v>
      </c>
      <c r="FC130" s="138" t="e">
        <f>IF(VLOOKUP(CONCATENATE(H130,F130,FC$2),Ciencias!$A:$H,7,FALSE)=BQ130,1,0)</f>
        <v>#N/A</v>
      </c>
      <c r="FD130" s="138" t="e">
        <f>IF(VLOOKUP(CONCATENATE(H130,F130,FD$2),Ciencias!$A:$H,7,FALSE)=BR130,1,0)</f>
        <v>#N/A</v>
      </c>
      <c r="FE130" s="138" t="e">
        <f>IF(VLOOKUP(CONCATENATE(H130,F130,FE$2),Ciencias!$A:$H,7,FALSE)=BS130,1,0)</f>
        <v>#N/A</v>
      </c>
      <c r="FF130" s="138" t="e">
        <f>IF(VLOOKUP(CONCATENATE(H130,F130,FF$2),Ciencias!$A:$H,7,FALSE)=BT130,1,0)</f>
        <v>#N/A</v>
      </c>
      <c r="FG130" s="138" t="e">
        <f>IF(VLOOKUP(CONCATENATE(H130,F130,FG$2),Ciencias!$A:$H,7,FALSE)=BU130,1,0)</f>
        <v>#N/A</v>
      </c>
      <c r="FH130" s="138" t="e">
        <f>IF(VLOOKUP(CONCATENATE(H130,F130,FH$2),Ciencias!$A:$H,7,FALSE)=BV130,1,0)</f>
        <v>#N/A</v>
      </c>
      <c r="FI130" s="138" t="e">
        <f>IF(VLOOKUP(CONCATENATE(H130,F130,FI$2),Ciencias!$A:$H,7,FALSE)=BW130,1,0)</f>
        <v>#N/A</v>
      </c>
      <c r="FJ130" s="138" t="e">
        <f>IF(VLOOKUP(CONCATENATE(H130,F130,FJ$2),Ciencias!$A:$H,7,FALSE)=BX130,1,0)</f>
        <v>#N/A</v>
      </c>
      <c r="FK130" s="138" t="e">
        <f>IF(VLOOKUP(CONCATENATE(H130,F130,FK$2),Ciencias!$A:$H,7,FALSE)=BY130,1,0)</f>
        <v>#N/A</v>
      </c>
      <c r="FL130" s="138" t="e">
        <f>IF(VLOOKUP(CONCATENATE(H130,F130,FL$2),Ciencias!$A:$H,7,FALSE)=BZ130,1,0)</f>
        <v>#N/A</v>
      </c>
      <c r="FM130" s="138" t="e">
        <f>IF(VLOOKUP(CONCATENATE(H130,F130,FM$2),Ciencias!$A:$H,7,FALSE)=CA130,1,0)</f>
        <v>#N/A</v>
      </c>
      <c r="FN130" s="138" t="e">
        <f>IF(VLOOKUP(CONCATENATE(H130,F130,FN$2),Ciencias!$A:$H,7,FALSE)=CB130,1,0)</f>
        <v>#N/A</v>
      </c>
      <c r="FO130" s="138" t="e">
        <f>IF(VLOOKUP(CONCATENATE(H130,F130,FO$2),Ciencias!$A:$H,7,FALSE)=CC130,1,0)</f>
        <v>#N/A</v>
      </c>
      <c r="FP130" s="138" t="e">
        <f>IF(VLOOKUP(CONCATENATE(H130,F130,FP$2),GeoHis!$A:$H,7,FALSE)=CD130,1,0)</f>
        <v>#N/A</v>
      </c>
      <c r="FQ130" s="138" t="e">
        <f>IF(VLOOKUP(CONCATENATE(H130,F130,FQ$2),GeoHis!$A:$H,7,FALSE)=CE130,1,0)</f>
        <v>#N/A</v>
      </c>
      <c r="FR130" s="138" t="e">
        <f>IF(VLOOKUP(CONCATENATE(H130,F130,FR$2),GeoHis!$A:$H,7,FALSE)=CF130,1,0)</f>
        <v>#N/A</v>
      </c>
      <c r="FS130" s="138" t="e">
        <f>IF(VLOOKUP(CONCATENATE(H130,F130,FS$2),GeoHis!$A:$H,7,FALSE)=CG130,1,0)</f>
        <v>#N/A</v>
      </c>
      <c r="FT130" s="138" t="e">
        <f>IF(VLOOKUP(CONCATENATE(H130,F130,FT$2),GeoHis!$A:$H,7,FALSE)=CH130,1,0)</f>
        <v>#N/A</v>
      </c>
      <c r="FU130" s="138" t="e">
        <f>IF(VLOOKUP(CONCATENATE(H130,F130,FU$2),GeoHis!$A:$H,7,FALSE)=CI130,1,0)</f>
        <v>#N/A</v>
      </c>
      <c r="FV130" s="138" t="e">
        <f>IF(VLOOKUP(CONCATENATE(H130,F130,FV$2),GeoHis!$A:$H,7,FALSE)=CJ130,1,0)</f>
        <v>#N/A</v>
      </c>
      <c r="FW130" s="138" t="e">
        <f>IF(VLOOKUP(CONCATENATE(H130,F130,FW$2),GeoHis!$A:$H,7,FALSE)=CK130,1,0)</f>
        <v>#N/A</v>
      </c>
      <c r="FX130" s="138" t="e">
        <f>IF(VLOOKUP(CONCATENATE(H130,F130,FX$2),GeoHis!$A:$H,7,FALSE)=CL130,1,0)</f>
        <v>#N/A</v>
      </c>
      <c r="FY130" s="138" t="e">
        <f>IF(VLOOKUP(CONCATENATE(H130,F130,FY$2),GeoHis!$A:$H,7,FALSE)=CM130,1,0)</f>
        <v>#N/A</v>
      </c>
      <c r="FZ130" s="138" t="e">
        <f>IF(VLOOKUP(CONCATENATE(H130,F130,FZ$2),GeoHis!$A:$H,7,FALSE)=CN130,1,0)</f>
        <v>#N/A</v>
      </c>
      <c r="GA130" s="138" t="e">
        <f>IF(VLOOKUP(CONCATENATE(H130,F130,GA$2),GeoHis!$A:$H,7,FALSE)=CO130,1,0)</f>
        <v>#N/A</v>
      </c>
      <c r="GB130" s="138" t="e">
        <f>IF(VLOOKUP(CONCATENATE(H130,F130,GB$2),GeoHis!$A:$H,7,FALSE)=CP130,1,0)</f>
        <v>#N/A</v>
      </c>
      <c r="GC130" s="138" t="e">
        <f>IF(VLOOKUP(CONCATENATE(H130,F130,GC$2),GeoHis!$A:$H,7,FALSE)=CQ130,1,0)</f>
        <v>#N/A</v>
      </c>
      <c r="GD130" s="138" t="e">
        <f>IF(VLOOKUP(CONCATENATE(H130,F130,GD$2),GeoHis!$A:$H,7,FALSE)=CR130,1,0)</f>
        <v>#N/A</v>
      </c>
      <c r="GE130" s="135" t="str">
        <f t="shared" si="15"/>
        <v/>
      </c>
    </row>
    <row r="131" spans="1:187" x14ac:dyDescent="0.25">
      <c r="A131" s="127" t="str">
        <f>IF(C131="","",'Datos Generales'!$A$25)</f>
        <v/>
      </c>
      <c r="D131" s="126" t="str">
        <f t="shared" si="8"/>
        <v/>
      </c>
      <c r="E131" s="126">
        <f t="shared" si="9"/>
        <v>0</v>
      </c>
      <c r="F131" s="126" t="str">
        <f t="shared" si="10"/>
        <v/>
      </c>
      <c r="G131" s="126" t="str">
        <f>IF(C131="","",'Datos Generales'!$D$19)</f>
        <v/>
      </c>
      <c r="H131" s="21" t="str">
        <f>IF(C131="","",'Datos Generales'!$A$19)</f>
        <v/>
      </c>
      <c r="I131" s="126" t="str">
        <f>IF(C131="","",'Datos Generales'!$A$7)</f>
        <v/>
      </c>
      <c r="J131" s="21" t="str">
        <f>IF(C131="","",'Datos Generales'!$A$13)</f>
        <v/>
      </c>
      <c r="K131" s="21" t="str">
        <f>IF(C131="","",'Datos Generales'!$A$10)</f>
        <v/>
      </c>
      <c r="CS131" s="142" t="str">
        <f t="shared" si="11"/>
        <v/>
      </c>
      <c r="CT131" s="142" t="str">
        <f t="shared" si="12"/>
        <v/>
      </c>
      <c r="CU131" s="142" t="str">
        <f t="shared" si="13"/>
        <v/>
      </c>
      <c r="CV131" s="142" t="str">
        <f t="shared" si="14"/>
        <v/>
      </c>
      <c r="CW131" s="142" t="str">
        <f>IF(C131="","",IF('Datos Generales'!$A$19=1,AVERAGE(FP131:GD131),AVERAGE(Captura!FP131:FY131)))</f>
        <v/>
      </c>
      <c r="CX131" s="138" t="e">
        <f>IF(VLOOKUP(CONCATENATE($H$4,$F$4,CX$2),Español!$A:$H,7,FALSE)=L131,1,0)</f>
        <v>#N/A</v>
      </c>
      <c r="CY131" s="138" t="e">
        <f>IF(VLOOKUP(CONCATENATE(H131,F131,CY$2),Español!$A:$H,7,FALSE)=M131,1,0)</f>
        <v>#N/A</v>
      </c>
      <c r="CZ131" s="138" t="e">
        <f>IF(VLOOKUP(CONCATENATE(H131,F131,CZ$2),Español!$A:$H,7,FALSE)=N131,1,0)</f>
        <v>#N/A</v>
      </c>
      <c r="DA131" s="138" t="e">
        <f>IF(VLOOKUP(CONCATENATE(H131,F131,DA$2),Español!$A:$H,7,FALSE)=O131,1,0)</f>
        <v>#N/A</v>
      </c>
      <c r="DB131" s="138" t="e">
        <f>IF(VLOOKUP(CONCATENATE(H131,F131,DB$2),Español!$A:$H,7,FALSE)=P131,1,0)</f>
        <v>#N/A</v>
      </c>
      <c r="DC131" s="138" t="e">
        <f>IF(VLOOKUP(CONCATENATE(H131,F131,DC$2),Español!$A:$H,7,FALSE)=Q131,1,0)</f>
        <v>#N/A</v>
      </c>
      <c r="DD131" s="138" t="e">
        <f>IF(VLOOKUP(CONCATENATE(H131,F131,DD$2),Español!$A:$H,7,FALSE)=R131,1,0)</f>
        <v>#N/A</v>
      </c>
      <c r="DE131" s="138" t="e">
        <f>IF(VLOOKUP(CONCATENATE(H131,F131,DE$2),Español!$A:$H,7,FALSE)=S131,1,0)</f>
        <v>#N/A</v>
      </c>
      <c r="DF131" s="138" t="e">
        <f>IF(VLOOKUP(CONCATENATE(H131,F131,DF$2),Español!$A:$H,7,FALSE)=T131,1,0)</f>
        <v>#N/A</v>
      </c>
      <c r="DG131" s="138" t="e">
        <f>IF(VLOOKUP(CONCATENATE(H131,F131,DG$2),Español!$A:$H,7,FALSE)=U131,1,0)</f>
        <v>#N/A</v>
      </c>
      <c r="DH131" s="138" t="e">
        <f>IF(VLOOKUP(CONCATENATE(H131,F131,DH$2),Español!$A:$H,7,FALSE)=V131,1,0)</f>
        <v>#N/A</v>
      </c>
      <c r="DI131" s="138" t="e">
        <f>IF(VLOOKUP(CONCATENATE(H131,F131,DI$2),Español!$A:$H,7,FALSE)=W131,1,0)</f>
        <v>#N/A</v>
      </c>
      <c r="DJ131" s="138" t="e">
        <f>IF(VLOOKUP(CONCATENATE(H131,F131,DJ$2),Español!$A:$H,7,FALSE)=X131,1,0)</f>
        <v>#N/A</v>
      </c>
      <c r="DK131" s="138" t="e">
        <f>IF(VLOOKUP(CONCATENATE(H131,F131,DK$2),Español!$A:$H,7,FALSE)=Y131,1,0)</f>
        <v>#N/A</v>
      </c>
      <c r="DL131" s="138" t="e">
        <f>IF(VLOOKUP(CONCATENATE(H131,F131,DL$2),Español!$A:$H,7,FALSE)=Z131,1,0)</f>
        <v>#N/A</v>
      </c>
      <c r="DM131" s="138" t="e">
        <f>IF(VLOOKUP(CONCATENATE(H131,F131,DM$2),Español!$A:$H,7,FALSE)=AA131,1,0)</f>
        <v>#N/A</v>
      </c>
      <c r="DN131" s="138" t="e">
        <f>IF(VLOOKUP(CONCATENATE(H131,F131,DN$2),Español!$A:$H,7,FALSE)=AB131,1,0)</f>
        <v>#N/A</v>
      </c>
      <c r="DO131" s="138" t="e">
        <f>IF(VLOOKUP(CONCATENATE(H131,F131,DO$2),Español!$A:$H,7,FALSE)=AC131,1,0)</f>
        <v>#N/A</v>
      </c>
      <c r="DP131" s="138" t="e">
        <f>IF(VLOOKUP(CONCATENATE(H131,F131,DP$2),Español!$A:$H,7,FALSE)=AD131,1,0)</f>
        <v>#N/A</v>
      </c>
      <c r="DQ131" s="138" t="e">
        <f>IF(VLOOKUP(CONCATENATE(H131,F131,DQ$2),Español!$A:$H,7,FALSE)=AE131,1,0)</f>
        <v>#N/A</v>
      </c>
      <c r="DR131" s="138" t="e">
        <f>IF(VLOOKUP(CONCATENATE(H131,F131,DR$2),Inglés!$A:$H,7,FALSE)=AF131,1,0)</f>
        <v>#N/A</v>
      </c>
      <c r="DS131" s="138" t="e">
        <f>IF(VLOOKUP(CONCATENATE(H131,F131,DS$2),Inglés!$A:$H,7,FALSE)=AG131,1,0)</f>
        <v>#N/A</v>
      </c>
      <c r="DT131" s="138" t="e">
        <f>IF(VLOOKUP(CONCATENATE(H131,F131,DT$2),Inglés!$A:$H,7,FALSE)=AH131,1,0)</f>
        <v>#N/A</v>
      </c>
      <c r="DU131" s="138" t="e">
        <f>IF(VLOOKUP(CONCATENATE(H131,F131,DU$2),Inglés!$A:$H,7,FALSE)=AI131,1,0)</f>
        <v>#N/A</v>
      </c>
      <c r="DV131" s="138" t="e">
        <f>IF(VLOOKUP(CONCATENATE(H131,F131,DV$2),Inglés!$A:$H,7,FALSE)=AJ131,1,0)</f>
        <v>#N/A</v>
      </c>
      <c r="DW131" s="138" t="e">
        <f>IF(VLOOKUP(CONCATENATE(H131,F131,DW$2),Inglés!$A:$H,7,FALSE)=AK131,1,0)</f>
        <v>#N/A</v>
      </c>
      <c r="DX131" s="138" t="e">
        <f>IF(VLOOKUP(CONCATENATE(H131,F131,DX$2),Inglés!$A:$H,7,FALSE)=AL131,1,0)</f>
        <v>#N/A</v>
      </c>
      <c r="DY131" s="138" t="e">
        <f>IF(VLOOKUP(CONCATENATE(H131,F131,DY$2),Inglés!$A:$H,7,FALSE)=AM131,1,0)</f>
        <v>#N/A</v>
      </c>
      <c r="DZ131" s="138" t="e">
        <f>IF(VLOOKUP(CONCATENATE(H131,F131,DZ$2),Inglés!$A:$H,7,FALSE)=AN131,1,0)</f>
        <v>#N/A</v>
      </c>
      <c r="EA131" s="138" t="e">
        <f>IF(VLOOKUP(CONCATENATE(H131,F131,EA$2),Inglés!$A:$H,7,FALSE)=AO131,1,0)</f>
        <v>#N/A</v>
      </c>
      <c r="EB131" s="138" t="e">
        <f>IF(VLOOKUP(CONCATENATE(H131,F131,EB$2),Matemáticas!$A:$H,7,FALSE)=AP131,1,0)</f>
        <v>#N/A</v>
      </c>
      <c r="EC131" s="138" t="e">
        <f>IF(VLOOKUP(CONCATENATE(H131,F131,EC$2),Matemáticas!$A:$H,7,FALSE)=AQ131,1,0)</f>
        <v>#N/A</v>
      </c>
      <c r="ED131" s="138" t="e">
        <f>IF(VLOOKUP(CONCATENATE(H131,F131,ED$2),Matemáticas!$A:$H,7,FALSE)=AR131,1,0)</f>
        <v>#N/A</v>
      </c>
      <c r="EE131" s="138" t="e">
        <f>IF(VLOOKUP(CONCATENATE(H131,F131,EE$2),Matemáticas!$A:$H,7,FALSE)=AS131,1,0)</f>
        <v>#N/A</v>
      </c>
      <c r="EF131" s="138" t="e">
        <f>IF(VLOOKUP(CONCATENATE(H131,F131,EF$2),Matemáticas!$A:$H,7,FALSE)=AT131,1,0)</f>
        <v>#N/A</v>
      </c>
      <c r="EG131" s="138" t="e">
        <f>IF(VLOOKUP(CONCATENATE(H131,F131,EG$2),Matemáticas!$A:$H,7,FALSE)=AU131,1,0)</f>
        <v>#N/A</v>
      </c>
      <c r="EH131" s="138" t="e">
        <f>IF(VLOOKUP(CONCATENATE(H131,F131,EH$2),Matemáticas!$A:$H,7,FALSE)=AV131,1,0)</f>
        <v>#N/A</v>
      </c>
      <c r="EI131" s="138" t="e">
        <f>IF(VLOOKUP(CONCATENATE(H131,F131,EI$2),Matemáticas!$A:$H,7,FALSE)=AW131,1,0)</f>
        <v>#N/A</v>
      </c>
      <c r="EJ131" s="138" t="e">
        <f>IF(VLOOKUP(CONCATENATE(H131,F131,EJ$2),Matemáticas!$A:$H,7,FALSE)=AX131,1,0)</f>
        <v>#N/A</v>
      </c>
      <c r="EK131" s="138" t="e">
        <f>IF(VLOOKUP(CONCATENATE(H131,F131,EK$2),Matemáticas!$A:$H,7,FALSE)=AY131,1,0)</f>
        <v>#N/A</v>
      </c>
      <c r="EL131" s="138" t="e">
        <f>IF(VLOOKUP(CONCATENATE(H131,F131,EL$2),Matemáticas!$A:$H,7,FALSE)=AZ131,1,0)</f>
        <v>#N/A</v>
      </c>
      <c r="EM131" s="138" t="e">
        <f>IF(VLOOKUP(CONCATENATE(H131,F131,EM$2),Matemáticas!$A:$H,7,FALSE)=BA131,1,0)</f>
        <v>#N/A</v>
      </c>
      <c r="EN131" s="138" t="e">
        <f>IF(VLOOKUP(CONCATENATE(H131,F131,EN$2),Matemáticas!$A:$H,7,FALSE)=BB131,1,0)</f>
        <v>#N/A</v>
      </c>
      <c r="EO131" s="138" t="e">
        <f>IF(VLOOKUP(CONCATENATE(H131,F131,EO$2),Matemáticas!$A:$H,7,FALSE)=BC131,1,0)</f>
        <v>#N/A</v>
      </c>
      <c r="EP131" s="138" t="e">
        <f>IF(VLOOKUP(CONCATENATE(H131,F131,EP$2),Matemáticas!$A:$H,7,FALSE)=BD131,1,0)</f>
        <v>#N/A</v>
      </c>
      <c r="EQ131" s="138" t="e">
        <f>IF(VLOOKUP(CONCATENATE(H131,F131,EQ$2),Matemáticas!$A:$H,7,FALSE)=BE131,1,0)</f>
        <v>#N/A</v>
      </c>
      <c r="ER131" s="138" t="e">
        <f>IF(VLOOKUP(CONCATENATE(H131,F131,ER$2),Matemáticas!$A:$H,7,FALSE)=BF131,1,0)</f>
        <v>#N/A</v>
      </c>
      <c r="ES131" s="138" t="e">
        <f>IF(VLOOKUP(CONCATENATE(H131,F131,ES$2),Matemáticas!$A:$H,7,FALSE)=BG131,1,0)</f>
        <v>#N/A</v>
      </c>
      <c r="ET131" s="138" t="e">
        <f>IF(VLOOKUP(CONCATENATE(H131,F131,ET$2),Matemáticas!$A:$H,7,FALSE)=BH131,1,0)</f>
        <v>#N/A</v>
      </c>
      <c r="EU131" s="138" t="e">
        <f>IF(VLOOKUP(CONCATENATE(H131,F131,EU$2),Matemáticas!$A:$H,7,FALSE)=BI131,1,0)</f>
        <v>#N/A</v>
      </c>
      <c r="EV131" s="138" t="e">
        <f>IF(VLOOKUP(CONCATENATE(H131,F131,EV$2),Ciencias!$A:$H,7,FALSE)=BJ131,1,0)</f>
        <v>#N/A</v>
      </c>
      <c r="EW131" s="138" t="e">
        <f>IF(VLOOKUP(CONCATENATE(H131,F131,EW$2),Ciencias!$A:$H,7,FALSE)=BK131,1,0)</f>
        <v>#N/A</v>
      </c>
      <c r="EX131" s="138" t="e">
        <f>IF(VLOOKUP(CONCATENATE(H131,F131,EX$2),Ciencias!$A:$H,7,FALSE)=BL131,1,0)</f>
        <v>#N/A</v>
      </c>
      <c r="EY131" s="138" t="e">
        <f>IF(VLOOKUP(CONCATENATE(H131,F131,EY$2),Ciencias!$A:$H,7,FALSE)=BM131,1,0)</f>
        <v>#N/A</v>
      </c>
      <c r="EZ131" s="138" t="e">
        <f>IF(VLOOKUP(CONCATENATE(H131,F131,EZ$2),Ciencias!$A:$H,7,FALSE)=BN131,1,0)</f>
        <v>#N/A</v>
      </c>
      <c r="FA131" s="138" t="e">
        <f>IF(VLOOKUP(CONCATENATE(H131,F131,FA$2),Ciencias!$A:$H,7,FALSE)=BO131,1,0)</f>
        <v>#N/A</v>
      </c>
      <c r="FB131" s="138" t="e">
        <f>IF(VLOOKUP(CONCATENATE(H131,F131,FB$2),Ciencias!$A:$H,7,FALSE)=BP131,1,0)</f>
        <v>#N/A</v>
      </c>
      <c r="FC131" s="138" t="e">
        <f>IF(VLOOKUP(CONCATENATE(H131,F131,FC$2),Ciencias!$A:$H,7,FALSE)=BQ131,1,0)</f>
        <v>#N/A</v>
      </c>
      <c r="FD131" s="138" t="e">
        <f>IF(VLOOKUP(CONCATENATE(H131,F131,FD$2),Ciencias!$A:$H,7,FALSE)=BR131,1,0)</f>
        <v>#N/A</v>
      </c>
      <c r="FE131" s="138" t="e">
        <f>IF(VLOOKUP(CONCATENATE(H131,F131,FE$2),Ciencias!$A:$H,7,FALSE)=BS131,1,0)</f>
        <v>#N/A</v>
      </c>
      <c r="FF131" s="138" t="e">
        <f>IF(VLOOKUP(CONCATENATE(H131,F131,FF$2),Ciencias!$A:$H,7,FALSE)=BT131,1,0)</f>
        <v>#N/A</v>
      </c>
      <c r="FG131" s="138" t="e">
        <f>IF(VLOOKUP(CONCATENATE(H131,F131,FG$2),Ciencias!$A:$H,7,FALSE)=BU131,1,0)</f>
        <v>#N/A</v>
      </c>
      <c r="FH131" s="138" t="e">
        <f>IF(VLOOKUP(CONCATENATE(H131,F131,FH$2),Ciencias!$A:$H,7,FALSE)=BV131,1,0)</f>
        <v>#N/A</v>
      </c>
      <c r="FI131" s="138" t="e">
        <f>IF(VLOOKUP(CONCATENATE(H131,F131,FI$2),Ciencias!$A:$H,7,FALSE)=BW131,1,0)</f>
        <v>#N/A</v>
      </c>
      <c r="FJ131" s="138" t="e">
        <f>IF(VLOOKUP(CONCATENATE(H131,F131,FJ$2),Ciencias!$A:$H,7,FALSE)=BX131,1,0)</f>
        <v>#N/A</v>
      </c>
      <c r="FK131" s="138" t="e">
        <f>IF(VLOOKUP(CONCATENATE(H131,F131,FK$2),Ciencias!$A:$H,7,FALSE)=BY131,1,0)</f>
        <v>#N/A</v>
      </c>
      <c r="FL131" s="138" t="e">
        <f>IF(VLOOKUP(CONCATENATE(H131,F131,FL$2),Ciencias!$A:$H,7,FALSE)=BZ131,1,0)</f>
        <v>#N/A</v>
      </c>
      <c r="FM131" s="138" t="e">
        <f>IF(VLOOKUP(CONCATENATE(H131,F131,FM$2),Ciencias!$A:$H,7,FALSE)=CA131,1,0)</f>
        <v>#N/A</v>
      </c>
      <c r="FN131" s="138" t="e">
        <f>IF(VLOOKUP(CONCATENATE(H131,F131,FN$2),Ciencias!$A:$H,7,FALSE)=CB131,1,0)</f>
        <v>#N/A</v>
      </c>
      <c r="FO131" s="138" t="e">
        <f>IF(VLOOKUP(CONCATENATE(H131,F131,FO$2),Ciencias!$A:$H,7,FALSE)=CC131,1,0)</f>
        <v>#N/A</v>
      </c>
      <c r="FP131" s="138" t="e">
        <f>IF(VLOOKUP(CONCATENATE(H131,F131,FP$2),GeoHis!$A:$H,7,FALSE)=CD131,1,0)</f>
        <v>#N/A</v>
      </c>
      <c r="FQ131" s="138" t="e">
        <f>IF(VLOOKUP(CONCATENATE(H131,F131,FQ$2),GeoHis!$A:$H,7,FALSE)=CE131,1,0)</f>
        <v>#N/A</v>
      </c>
      <c r="FR131" s="138" t="e">
        <f>IF(VLOOKUP(CONCATENATE(H131,F131,FR$2),GeoHis!$A:$H,7,FALSE)=CF131,1,0)</f>
        <v>#N/A</v>
      </c>
      <c r="FS131" s="138" t="e">
        <f>IF(VLOOKUP(CONCATENATE(H131,F131,FS$2),GeoHis!$A:$H,7,FALSE)=CG131,1,0)</f>
        <v>#N/A</v>
      </c>
      <c r="FT131" s="138" t="e">
        <f>IF(VLOOKUP(CONCATENATE(H131,F131,FT$2),GeoHis!$A:$H,7,FALSE)=CH131,1,0)</f>
        <v>#N/A</v>
      </c>
      <c r="FU131" s="138" t="e">
        <f>IF(VLOOKUP(CONCATENATE(H131,F131,FU$2),GeoHis!$A:$H,7,FALSE)=CI131,1,0)</f>
        <v>#N/A</v>
      </c>
      <c r="FV131" s="138" t="e">
        <f>IF(VLOOKUP(CONCATENATE(H131,F131,FV$2),GeoHis!$A:$H,7,FALSE)=CJ131,1,0)</f>
        <v>#N/A</v>
      </c>
      <c r="FW131" s="138" t="e">
        <f>IF(VLOOKUP(CONCATENATE(H131,F131,FW$2),GeoHis!$A:$H,7,FALSE)=CK131,1,0)</f>
        <v>#N/A</v>
      </c>
      <c r="FX131" s="138" t="e">
        <f>IF(VLOOKUP(CONCATENATE(H131,F131,FX$2),GeoHis!$A:$H,7,FALSE)=CL131,1,0)</f>
        <v>#N/A</v>
      </c>
      <c r="FY131" s="138" t="e">
        <f>IF(VLOOKUP(CONCATENATE(H131,F131,FY$2),GeoHis!$A:$H,7,FALSE)=CM131,1,0)</f>
        <v>#N/A</v>
      </c>
      <c r="FZ131" s="138" t="e">
        <f>IF(VLOOKUP(CONCATENATE(H131,F131,FZ$2),GeoHis!$A:$H,7,FALSE)=CN131,1,0)</f>
        <v>#N/A</v>
      </c>
      <c r="GA131" s="138" t="e">
        <f>IF(VLOOKUP(CONCATENATE(H131,F131,GA$2),GeoHis!$A:$H,7,FALSE)=CO131,1,0)</f>
        <v>#N/A</v>
      </c>
      <c r="GB131" s="138" t="e">
        <f>IF(VLOOKUP(CONCATENATE(H131,F131,GB$2),GeoHis!$A:$H,7,FALSE)=CP131,1,0)</f>
        <v>#N/A</v>
      </c>
      <c r="GC131" s="138" t="e">
        <f>IF(VLOOKUP(CONCATENATE(H131,F131,GC$2),GeoHis!$A:$H,7,FALSE)=CQ131,1,0)</f>
        <v>#N/A</v>
      </c>
      <c r="GD131" s="138" t="e">
        <f>IF(VLOOKUP(CONCATENATE(H131,F131,GD$2),GeoHis!$A:$H,7,FALSE)=CR131,1,0)</f>
        <v>#N/A</v>
      </c>
      <c r="GE131" s="135" t="str">
        <f t="shared" si="15"/>
        <v/>
      </c>
    </row>
    <row r="132" spans="1:187" x14ac:dyDescent="0.25">
      <c r="A132" s="127" t="str">
        <f>IF(C132="","",'Datos Generales'!$A$25)</f>
        <v/>
      </c>
      <c r="D132" s="126" t="str">
        <f t="shared" ref="D132:D195" si="16">CONCATENATE(C132,F132,G132,H132,I132,J132,K132)</f>
        <v/>
      </c>
      <c r="E132" s="126">
        <f t="shared" ref="E132:E195" si="17">B132</f>
        <v>0</v>
      </c>
      <c r="F132" s="126" t="str">
        <f t="shared" ref="F132:F195" si="18">IF(C132="","",IF(F131="","",F131))</f>
        <v/>
      </c>
      <c r="G132" s="126" t="str">
        <f>IF(C132="","",'Datos Generales'!$D$19)</f>
        <v/>
      </c>
      <c r="H132" s="21" t="str">
        <f>IF(C132="","",'Datos Generales'!$A$19)</f>
        <v/>
      </c>
      <c r="I132" s="126" t="str">
        <f>IF(C132="","",'Datos Generales'!$A$7)</f>
        <v/>
      </c>
      <c r="J132" s="21" t="str">
        <f>IF(C132="","",'Datos Generales'!$A$13)</f>
        <v/>
      </c>
      <c r="K132" s="21" t="str">
        <f>IF(C132="","",'Datos Generales'!$A$10)</f>
        <v/>
      </c>
      <c r="CS132" s="142" t="str">
        <f t="shared" ref="CS132:CS195" si="19">IF(C132="","",AVERAGE(CX132:DQ132))</f>
        <v/>
      </c>
      <c r="CT132" s="142" t="str">
        <f t="shared" ref="CT132:CT195" si="20">IF(C132="","",AVERAGE(DR132:EA132))</f>
        <v/>
      </c>
      <c r="CU132" s="142" t="str">
        <f t="shared" ref="CU132:CU195" si="21">IF(C132="","",AVERAGE(EB132:EU132))</f>
        <v/>
      </c>
      <c r="CV132" s="142" t="str">
        <f t="shared" ref="CV132:CV195" si="22">IF(C132="","",AVERAGE(EV132:FO132))</f>
        <v/>
      </c>
      <c r="CW132" s="142" t="str">
        <f>IF(C132="","",IF('Datos Generales'!$A$19=1,AVERAGE(FP132:GD132),AVERAGE(Captura!FP132:FY132)))</f>
        <v/>
      </c>
      <c r="CX132" s="138" t="e">
        <f>IF(VLOOKUP(CONCATENATE($H$4,$F$4,CX$2),Español!$A:$H,7,FALSE)=L132,1,0)</f>
        <v>#N/A</v>
      </c>
      <c r="CY132" s="138" t="e">
        <f>IF(VLOOKUP(CONCATENATE(H132,F132,CY$2),Español!$A:$H,7,FALSE)=M132,1,0)</f>
        <v>#N/A</v>
      </c>
      <c r="CZ132" s="138" t="e">
        <f>IF(VLOOKUP(CONCATENATE(H132,F132,CZ$2),Español!$A:$H,7,FALSE)=N132,1,0)</f>
        <v>#N/A</v>
      </c>
      <c r="DA132" s="138" t="e">
        <f>IF(VLOOKUP(CONCATENATE(H132,F132,DA$2),Español!$A:$H,7,FALSE)=O132,1,0)</f>
        <v>#N/A</v>
      </c>
      <c r="DB132" s="138" t="e">
        <f>IF(VLOOKUP(CONCATENATE(H132,F132,DB$2),Español!$A:$H,7,FALSE)=P132,1,0)</f>
        <v>#N/A</v>
      </c>
      <c r="DC132" s="138" t="e">
        <f>IF(VLOOKUP(CONCATENATE(H132,F132,DC$2),Español!$A:$H,7,FALSE)=Q132,1,0)</f>
        <v>#N/A</v>
      </c>
      <c r="DD132" s="138" t="e">
        <f>IF(VLOOKUP(CONCATENATE(H132,F132,DD$2),Español!$A:$H,7,FALSE)=R132,1,0)</f>
        <v>#N/A</v>
      </c>
      <c r="DE132" s="138" t="e">
        <f>IF(VLOOKUP(CONCATENATE(H132,F132,DE$2),Español!$A:$H,7,FALSE)=S132,1,0)</f>
        <v>#N/A</v>
      </c>
      <c r="DF132" s="138" t="e">
        <f>IF(VLOOKUP(CONCATENATE(H132,F132,DF$2),Español!$A:$H,7,FALSE)=T132,1,0)</f>
        <v>#N/A</v>
      </c>
      <c r="DG132" s="138" t="e">
        <f>IF(VLOOKUP(CONCATENATE(H132,F132,DG$2),Español!$A:$H,7,FALSE)=U132,1,0)</f>
        <v>#N/A</v>
      </c>
      <c r="DH132" s="138" t="e">
        <f>IF(VLOOKUP(CONCATENATE(H132,F132,DH$2),Español!$A:$H,7,FALSE)=V132,1,0)</f>
        <v>#N/A</v>
      </c>
      <c r="DI132" s="138" t="e">
        <f>IF(VLOOKUP(CONCATENATE(H132,F132,DI$2),Español!$A:$H,7,FALSE)=W132,1,0)</f>
        <v>#N/A</v>
      </c>
      <c r="DJ132" s="138" t="e">
        <f>IF(VLOOKUP(CONCATENATE(H132,F132,DJ$2),Español!$A:$H,7,FALSE)=X132,1,0)</f>
        <v>#N/A</v>
      </c>
      <c r="DK132" s="138" t="e">
        <f>IF(VLOOKUP(CONCATENATE(H132,F132,DK$2),Español!$A:$H,7,FALSE)=Y132,1,0)</f>
        <v>#N/A</v>
      </c>
      <c r="DL132" s="138" t="e">
        <f>IF(VLOOKUP(CONCATENATE(H132,F132,DL$2),Español!$A:$H,7,FALSE)=Z132,1,0)</f>
        <v>#N/A</v>
      </c>
      <c r="DM132" s="138" t="e">
        <f>IF(VLOOKUP(CONCATENATE(H132,F132,DM$2),Español!$A:$H,7,FALSE)=AA132,1,0)</f>
        <v>#N/A</v>
      </c>
      <c r="DN132" s="138" t="e">
        <f>IF(VLOOKUP(CONCATENATE(H132,F132,DN$2),Español!$A:$H,7,FALSE)=AB132,1,0)</f>
        <v>#N/A</v>
      </c>
      <c r="DO132" s="138" t="e">
        <f>IF(VLOOKUP(CONCATENATE(H132,F132,DO$2),Español!$A:$H,7,FALSE)=AC132,1,0)</f>
        <v>#N/A</v>
      </c>
      <c r="DP132" s="138" t="e">
        <f>IF(VLOOKUP(CONCATENATE(H132,F132,DP$2),Español!$A:$H,7,FALSE)=AD132,1,0)</f>
        <v>#N/A</v>
      </c>
      <c r="DQ132" s="138" t="e">
        <f>IF(VLOOKUP(CONCATENATE(H132,F132,DQ$2),Español!$A:$H,7,FALSE)=AE132,1,0)</f>
        <v>#N/A</v>
      </c>
      <c r="DR132" s="138" t="e">
        <f>IF(VLOOKUP(CONCATENATE(H132,F132,DR$2),Inglés!$A:$H,7,FALSE)=AF132,1,0)</f>
        <v>#N/A</v>
      </c>
      <c r="DS132" s="138" t="e">
        <f>IF(VLOOKUP(CONCATENATE(H132,F132,DS$2),Inglés!$A:$H,7,FALSE)=AG132,1,0)</f>
        <v>#N/A</v>
      </c>
      <c r="DT132" s="138" t="e">
        <f>IF(VLOOKUP(CONCATENATE(H132,F132,DT$2),Inglés!$A:$H,7,FALSE)=AH132,1,0)</f>
        <v>#N/A</v>
      </c>
      <c r="DU132" s="138" t="e">
        <f>IF(VLOOKUP(CONCATENATE(H132,F132,DU$2),Inglés!$A:$H,7,FALSE)=AI132,1,0)</f>
        <v>#N/A</v>
      </c>
      <c r="DV132" s="138" t="e">
        <f>IF(VLOOKUP(CONCATENATE(H132,F132,DV$2),Inglés!$A:$H,7,FALSE)=AJ132,1,0)</f>
        <v>#N/A</v>
      </c>
      <c r="DW132" s="138" t="e">
        <f>IF(VLOOKUP(CONCATENATE(H132,F132,DW$2),Inglés!$A:$H,7,FALSE)=AK132,1,0)</f>
        <v>#N/A</v>
      </c>
      <c r="DX132" s="138" t="e">
        <f>IF(VLOOKUP(CONCATENATE(H132,F132,DX$2),Inglés!$A:$H,7,FALSE)=AL132,1,0)</f>
        <v>#N/A</v>
      </c>
      <c r="DY132" s="138" t="e">
        <f>IF(VLOOKUP(CONCATENATE(H132,F132,DY$2),Inglés!$A:$H,7,FALSE)=AM132,1,0)</f>
        <v>#N/A</v>
      </c>
      <c r="DZ132" s="138" t="e">
        <f>IF(VLOOKUP(CONCATENATE(H132,F132,DZ$2),Inglés!$A:$H,7,FALSE)=AN132,1,0)</f>
        <v>#N/A</v>
      </c>
      <c r="EA132" s="138" t="e">
        <f>IF(VLOOKUP(CONCATENATE(H132,F132,EA$2),Inglés!$A:$H,7,FALSE)=AO132,1,0)</f>
        <v>#N/A</v>
      </c>
      <c r="EB132" s="138" t="e">
        <f>IF(VLOOKUP(CONCATENATE(H132,F132,EB$2),Matemáticas!$A:$H,7,FALSE)=AP132,1,0)</f>
        <v>#N/A</v>
      </c>
      <c r="EC132" s="138" t="e">
        <f>IF(VLOOKUP(CONCATENATE(H132,F132,EC$2),Matemáticas!$A:$H,7,FALSE)=AQ132,1,0)</f>
        <v>#N/A</v>
      </c>
      <c r="ED132" s="138" t="e">
        <f>IF(VLOOKUP(CONCATENATE(H132,F132,ED$2),Matemáticas!$A:$H,7,FALSE)=AR132,1,0)</f>
        <v>#N/A</v>
      </c>
      <c r="EE132" s="138" t="e">
        <f>IF(VLOOKUP(CONCATENATE(H132,F132,EE$2),Matemáticas!$A:$H,7,FALSE)=AS132,1,0)</f>
        <v>#N/A</v>
      </c>
      <c r="EF132" s="138" t="e">
        <f>IF(VLOOKUP(CONCATENATE(H132,F132,EF$2),Matemáticas!$A:$H,7,FALSE)=AT132,1,0)</f>
        <v>#N/A</v>
      </c>
      <c r="EG132" s="138" t="e">
        <f>IF(VLOOKUP(CONCATENATE(H132,F132,EG$2),Matemáticas!$A:$H,7,FALSE)=AU132,1,0)</f>
        <v>#N/A</v>
      </c>
      <c r="EH132" s="138" t="e">
        <f>IF(VLOOKUP(CONCATENATE(H132,F132,EH$2),Matemáticas!$A:$H,7,FALSE)=AV132,1,0)</f>
        <v>#N/A</v>
      </c>
      <c r="EI132" s="138" t="e">
        <f>IF(VLOOKUP(CONCATENATE(H132,F132,EI$2),Matemáticas!$A:$H,7,FALSE)=AW132,1,0)</f>
        <v>#N/A</v>
      </c>
      <c r="EJ132" s="138" t="e">
        <f>IF(VLOOKUP(CONCATENATE(H132,F132,EJ$2),Matemáticas!$A:$H,7,FALSE)=AX132,1,0)</f>
        <v>#N/A</v>
      </c>
      <c r="EK132" s="138" t="e">
        <f>IF(VLOOKUP(CONCATENATE(H132,F132,EK$2),Matemáticas!$A:$H,7,FALSE)=AY132,1,0)</f>
        <v>#N/A</v>
      </c>
      <c r="EL132" s="138" t="e">
        <f>IF(VLOOKUP(CONCATENATE(H132,F132,EL$2),Matemáticas!$A:$H,7,FALSE)=AZ132,1,0)</f>
        <v>#N/A</v>
      </c>
      <c r="EM132" s="138" t="e">
        <f>IF(VLOOKUP(CONCATENATE(H132,F132,EM$2),Matemáticas!$A:$H,7,FALSE)=BA132,1,0)</f>
        <v>#N/A</v>
      </c>
      <c r="EN132" s="138" t="e">
        <f>IF(VLOOKUP(CONCATENATE(H132,F132,EN$2),Matemáticas!$A:$H,7,FALSE)=BB132,1,0)</f>
        <v>#N/A</v>
      </c>
      <c r="EO132" s="138" t="e">
        <f>IF(VLOOKUP(CONCATENATE(H132,F132,EO$2),Matemáticas!$A:$H,7,FALSE)=BC132,1,0)</f>
        <v>#N/A</v>
      </c>
      <c r="EP132" s="138" t="e">
        <f>IF(VLOOKUP(CONCATENATE(H132,F132,EP$2),Matemáticas!$A:$H,7,FALSE)=BD132,1,0)</f>
        <v>#N/A</v>
      </c>
      <c r="EQ132" s="138" t="e">
        <f>IF(VLOOKUP(CONCATENATE(H132,F132,EQ$2),Matemáticas!$A:$H,7,FALSE)=BE132,1,0)</f>
        <v>#N/A</v>
      </c>
      <c r="ER132" s="138" t="e">
        <f>IF(VLOOKUP(CONCATENATE(H132,F132,ER$2),Matemáticas!$A:$H,7,FALSE)=BF132,1,0)</f>
        <v>#N/A</v>
      </c>
      <c r="ES132" s="138" t="e">
        <f>IF(VLOOKUP(CONCATENATE(H132,F132,ES$2),Matemáticas!$A:$H,7,FALSE)=BG132,1,0)</f>
        <v>#N/A</v>
      </c>
      <c r="ET132" s="138" t="e">
        <f>IF(VLOOKUP(CONCATENATE(H132,F132,ET$2),Matemáticas!$A:$H,7,FALSE)=BH132,1,0)</f>
        <v>#N/A</v>
      </c>
      <c r="EU132" s="138" t="e">
        <f>IF(VLOOKUP(CONCATENATE(H132,F132,EU$2),Matemáticas!$A:$H,7,FALSE)=BI132,1,0)</f>
        <v>#N/A</v>
      </c>
      <c r="EV132" s="138" t="e">
        <f>IF(VLOOKUP(CONCATENATE(H132,F132,EV$2),Ciencias!$A:$H,7,FALSE)=BJ132,1,0)</f>
        <v>#N/A</v>
      </c>
      <c r="EW132" s="138" t="e">
        <f>IF(VLOOKUP(CONCATENATE(H132,F132,EW$2),Ciencias!$A:$H,7,FALSE)=BK132,1,0)</f>
        <v>#N/A</v>
      </c>
      <c r="EX132" s="138" t="e">
        <f>IF(VLOOKUP(CONCATENATE(H132,F132,EX$2),Ciencias!$A:$H,7,FALSE)=BL132,1,0)</f>
        <v>#N/A</v>
      </c>
      <c r="EY132" s="138" t="e">
        <f>IF(VLOOKUP(CONCATENATE(H132,F132,EY$2),Ciencias!$A:$H,7,FALSE)=BM132,1,0)</f>
        <v>#N/A</v>
      </c>
      <c r="EZ132" s="138" t="e">
        <f>IF(VLOOKUP(CONCATENATE(H132,F132,EZ$2),Ciencias!$A:$H,7,FALSE)=BN132,1,0)</f>
        <v>#N/A</v>
      </c>
      <c r="FA132" s="138" t="e">
        <f>IF(VLOOKUP(CONCATENATE(H132,F132,FA$2),Ciencias!$A:$H,7,FALSE)=BO132,1,0)</f>
        <v>#N/A</v>
      </c>
      <c r="FB132" s="138" t="e">
        <f>IF(VLOOKUP(CONCATENATE(H132,F132,FB$2),Ciencias!$A:$H,7,FALSE)=BP132,1,0)</f>
        <v>#N/A</v>
      </c>
      <c r="FC132" s="138" t="e">
        <f>IF(VLOOKUP(CONCATENATE(H132,F132,FC$2),Ciencias!$A:$H,7,FALSE)=BQ132,1,0)</f>
        <v>#N/A</v>
      </c>
      <c r="FD132" s="138" t="e">
        <f>IF(VLOOKUP(CONCATENATE(H132,F132,FD$2),Ciencias!$A:$H,7,FALSE)=BR132,1,0)</f>
        <v>#N/A</v>
      </c>
      <c r="FE132" s="138" t="e">
        <f>IF(VLOOKUP(CONCATENATE(H132,F132,FE$2),Ciencias!$A:$H,7,FALSE)=BS132,1,0)</f>
        <v>#N/A</v>
      </c>
      <c r="FF132" s="138" t="e">
        <f>IF(VLOOKUP(CONCATENATE(H132,F132,FF$2),Ciencias!$A:$H,7,FALSE)=BT132,1,0)</f>
        <v>#N/A</v>
      </c>
      <c r="FG132" s="138" t="e">
        <f>IF(VLOOKUP(CONCATENATE(H132,F132,FG$2),Ciencias!$A:$H,7,FALSE)=BU132,1,0)</f>
        <v>#N/A</v>
      </c>
      <c r="FH132" s="138" t="e">
        <f>IF(VLOOKUP(CONCATENATE(H132,F132,FH$2),Ciencias!$A:$H,7,FALSE)=BV132,1,0)</f>
        <v>#N/A</v>
      </c>
      <c r="FI132" s="138" t="e">
        <f>IF(VLOOKUP(CONCATENATE(H132,F132,FI$2),Ciencias!$A:$H,7,FALSE)=BW132,1,0)</f>
        <v>#N/A</v>
      </c>
      <c r="FJ132" s="138" t="e">
        <f>IF(VLOOKUP(CONCATENATE(H132,F132,FJ$2),Ciencias!$A:$H,7,FALSE)=BX132,1,0)</f>
        <v>#N/A</v>
      </c>
      <c r="FK132" s="138" t="e">
        <f>IF(VLOOKUP(CONCATENATE(H132,F132,FK$2),Ciencias!$A:$H,7,FALSE)=BY132,1,0)</f>
        <v>#N/A</v>
      </c>
      <c r="FL132" s="138" t="e">
        <f>IF(VLOOKUP(CONCATENATE(H132,F132,FL$2),Ciencias!$A:$H,7,FALSE)=BZ132,1,0)</f>
        <v>#N/A</v>
      </c>
      <c r="FM132" s="138" t="e">
        <f>IF(VLOOKUP(CONCATENATE(H132,F132,FM$2),Ciencias!$A:$H,7,FALSE)=CA132,1,0)</f>
        <v>#N/A</v>
      </c>
      <c r="FN132" s="138" t="e">
        <f>IF(VLOOKUP(CONCATENATE(H132,F132,FN$2),Ciencias!$A:$H,7,FALSE)=CB132,1,0)</f>
        <v>#N/A</v>
      </c>
      <c r="FO132" s="138" t="e">
        <f>IF(VLOOKUP(CONCATENATE(H132,F132,FO$2),Ciencias!$A:$H,7,FALSE)=CC132,1,0)</f>
        <v>#N/A</v>
      </c>
      <c r="FP132" s="138" t="e">
        <f>IF(VLOOKUP(CONCATENATE(H132,F132,FP$2),GeoHis!$A:$H,7,FALSE)=CD132,1,0)</f>
        <v>#N/A</v>
      </c>
      <c r="FQ132" s="138" t="e">
        <f>IF(VLOOKUP(CONCATENATE(H132,F132,FQ$2),GeoHis!$A:$H,7,FALSE)=CE132,1,0)</f>
        <v>#N/A</v>
      </c>
      <c r="FR132" s="138" t="e">
        <f>IF(VLOOKUP(CONCATENATE(H132,F132,FR$2),GeoHis!$A:$H,7,FALSE)=CF132,1,0)</f>
        <v>#N/A</v>
      </c>
      <c r="FS132" s="138" t="e">
        <f>IF(VLOOKUP(CONCATENATE(H132,F132,FS$2),GeoHis!$A:$H,7,FALSE)=CG132,1,0)</f>
        <v>#N/A</v>
      </c>
      <c r="FT132" s="138" t="e">
        <f>IF(VLOOKUP(CONCATENATE(H132,F132,FT$2),GeoHis!$A:$H,7,FALSE)=CH132,1,0)</f>
        <v>#N/A</v>
      </c>
      <c r="FU132" s="138" t="e">
        <f>IF(VLOOKUP(CONCATENATE(H132,F132,FU$2),GeoHis!$A:$H,7,FALSE)=CI132,1,0)</f>
        <v>#N/A</v>
      </c>
      <c r="FV132" s="138" t="e">
        <f>IF(VLOOKUP(CONCATENATE(H132,F132,FV$2),GeoHis!$A:$H,7,FALSE)=CJ132,1,0)</f>
        <v>#N/A</v>
      </c>
      <c r="FW132" s="138" t="e">
        <f>IF(VLOOKUP(CONCATENATE(H132,F132,FW$2),GeoHis!$A:$H,7,FALSE)=CK132,1,0)</f>
        <v>#N/A</v>
      </c>
      <c r="FX132" s="138" t="e">
        <f>IF(VLOOKUP(CONCATENATE(H132,F132,FX$2),GeoHis!$A:$H,7,FALSE)=CL132,1,0)</f>
        <v>#N/A</v>
      </c>
      <c r="FY132" s="138" t="e">
        <f>IF(VLOOKUP(CONCATENATE(H132,F132,FY$2),GeoHis!$A:$H,7,FALSE)=CM132,1,0)</f>
        <v>#N/A</v>
      </c>
      <c r="FZ132" s="138" t="e">
        <f>IF(VLOOKUP(CONCATENATE(H132,F132,FZ$2),GeoHis!$A:$H,7,FALSE)=CN132,1,0)</f>
        <v>#N/A</v>
      </c>
      <c r="GA132" s="138" t="e">
        <f>IF(VLOOKUP(CONCATENATE(H132,F132,GA$2),GeoHis!$A:$H,7,FALSE)=CO132,1,0)</f>
        <v>#N/A</v>
      </c>
      <c r="GB132" s="138" t="e">
        <f>IF(VLOOKUP(CONCATENATE(H132,F132,GB$2),GeoHis!$A:$H,7,FALSE)=CP132,1,0)</f>
        <v>#N/A</v>
      </c>
      <c r="GC132" s="138" t="e">
        <f>IF(VLOOKUP(CONCATENATE(H132,F132,GC$2),GeoHis!$A:$H,7,FALSE)=CQ132,1,0)</f>
        <v>#N/A</v>
      </c>
      <c r="GD132" s="138" t="e">
        <f>IF(VLOOKUP(CONCATENATE(H132,F132,GD$2),GeoHis!$A:$H,7,FALSE)=CR132,1,0)</f>
        <v>#N/A</v>
      </c>
      <c r="GE132" s="135" t="str">
        <f t="shared" ref="GE132:GE195" si="23">A132</f>
        <v/>
      </c>
    </row>
    <row r="133" spans="1:187" x14ac:dyDescent="0.25">
      <c r="A133" s="127" t="str">
        <f>IF(C133="","",'Datos Generales'!$A$25)</f>
        <v/>
      </c>
      <c r="D133" s="126" t="str">
        <f t="shared" si="16"/>
        <v/>
      </c>
      <c r="E133" s="126">
        <f t="shared" si="17"/>
        <v>0</v>
      </c>
      <c r="F133" s="126" t="str">
        <f t="shared" si="18"/>
        <v/>
      </c>
      <c r="G133" s="126" t="str">
        <f>IF(C133="","",'Datos Generales'!$D$19)</f>
        <v/>
      </c>
      <c r="H133" s="21" t="str">
        <f>IF(C133="","",'Datos Generales'!$A$19)</f>
        <v/>
      </c>
      <c r="I133" s="126" t="str">
        <f>IF(C133="","",'Datos Generales'!$A$7)</f>
        <v/>
      </c>
      <c r="J133" s="21" t="str">
        <f>IF(C133="","",'Datos Generales'!$A$13)</f>
        <v/>
      </c>
      <c r="K133" s="21" t="str">
        <f>IF(C133="","",'Datos Generales'!$A$10)</f>
        <v/>
      </c>
      <c r="CS133" s="142" t="str">
        <f t="shared" si="19"/>
        <v/>
      </c>
      <c r="CT133" s="142" t="str">
        <f t="shared" si="20"/>
        <v/>
      </c>
      <c r="CU133" s="142" t="str">
        <f t="shared" si="21"/>
        <v/>
      </c>
      <c r="CV133" s="142" t="str">
        <f t="shared" si="22"/>
        <v/>
      </c>
      <c r="CW133" s="142" t="str">
        <f>IF(C133="","",IF('Datos Generales'!$A$19=1,AVERAGE(FP133:GD133),AVERAGE(Captura!FP133:FY133)))</f>
        <v/>
      </c>
      <c r="CX133" s="138" t="e">
        <f>IF(VLOOKUP(CONCATENATE($H$4,$F$4,CX$2),Español!$A:$H,7,FALSE)=L133,1,0)</f>
        <v>#N/A</v>
      </c>
      <c r="CY133" s="138" t="e">
        <f>IF(VLOOKUP(CONCATENATE(H133,F133,CY$2),Español!$A:$H,7,FALSE)=M133,1,0)</f>
        <v>#N/A</v>
      </c>
      <c r="CZ133" s="138" t="e">
        <f>IF(VLOOKUP(CONCATENATE(H133,F133,CZ$2),Español!$A:$H,7,FALSE)=N133,1,0)</f>
        <v>#N/A</v>
      </c>
      <c r="DA133" s="138" t="e">
        <f>IF(VLOOKUP(CONCATENATE(H133,F133,DA$2),Español!$A:$H,7,FALSE)=O133,1,0)</f>
        <v>#N/A</v>
      </c>
      <c r="DB133" s="138" t="e">
        <f>IF(VLOOKUP(CONCATENATE(H133,F133,DB$2),Español!$A:$H,7,FALSE)=P133,1,0)</f>
        <v>#N/A</v>
      </c>
      <c r="DC133" s="138" t="e">
        <f>IF(VLOOKUP(CONCATENATE(H133,F133,DC$2),Español!$A:$H,7,FALSE)=Q133,1,0)</f>
        <v>#N/A</v>
      </c>
      <c r="DD133" s="138" t="e">
        <f>IF(VLOOKUP(CONCATENATE(H133,F133,DD$2),Español!$A:$H,7,FALSE)=R133,1,0)</f>
        <v>#N/A</v>
      </c>
      <c r="DE133" s="138" t="e">
        <f>IF(VLOOKUP(CONCATENATE(H133,F133,DE$2),Español!$A:$H,7,FALSE)=S133,1,0)</f>
        <v>#N/A</v>
      </c>
      <c r="DF133" s="138" t="e">
        <f>IF(VLOOKUP(CONCATENATE(H133,F133,DF$2),Español!$A:$H,7,FALSE)=T133,1,0)</f>
        <v>#N/A</v>
      </c>
      <c r="DG133" s="138" t="e">
        <f>IF(VLOOKUP(CONCATENATE(H133,F133,DG$2),Español!$A:$H,7,FALSE)=U133,1,0)</f>
        <v>#N/A</v>
      </c>
      <c r="DH133" s="138" t="e">
        <f>IF(VLOOKUP(CONCATENATE(H133,F133,DH$2),Español!$A:$H,7,FALSE)=V133,1,0)</f>
        <v>#N/A</v>
      </c>
      <c r="DI133" s="138" t="e">
        <f>IF(VLOOKUP(CONCATENATE(H133,F133,DI$2),Español!$A:$H,7,FALSE)=W133,1,0)</f>
        <v>#N/A</v>
      </c>
      <c r="DJ133" s="138" t="e">
        <f>IF(VLOOKUP(CONCATENATE(H133,F133,DJ$2),Español!$A:$H,7,FALSE)=X133,1,0)</f>
        <v>#N/A</v>
      </c>
      <c r="DK133" s="138" t="e">
        <f>IF(VLOOKUP(CONCATENATE(H133,F133,DK$2),Español!$A:$H,7,FALSE)=Y133,1,0)</f>
        <v>#N/A</v>
      </c>
      <c r="DL133" s="138" t="e">
        <f>IF(VLOOKUP(CONCATENATE(H133,F133,DL$2),Español!$A:$H,7,FALSE)=Z133,1,0)</f>
        <v>#N/A</v>
      </c>
      <c r="DM133" s="138" t="e">
        <f>IF(VLOOKUP(CONCATENATE(H133,F133,DM$2),Español!$A:$H,7,FALSE)=AA133,1,0)</f>
        <v>#N/A</v>
      </c>
      <c r="DN133" s="138" t="e">
        <f>IF(VLOOKUP(CONCATENATE(H133,F133,DN$2),Español!$A:$H,7,FALSE)=AB133,1,0)</f>
        <v>#N/A</v>
      </c>
      <c r="DO133" s="138" t="e">
        <f>IF(VLOOKUP(CONCATENATE(H133,F133,DO$2),Español!$A:$H,7,FALSE)=AC133,1,0)</f>
        <v>#N/A</v>
      </c>
      <c r="DP133" s="138" t="e">
        <f>IF(VLOOKUP(CONCATENATE(H133,F133,DP$2),Español!$A:$H,7,FALSE)=AD133,1,0)</f>
        <v>#N/A</v>
      </c>
      <c r="DQ133" s="138" t="e">
        <f>IF(VLOOKUP(CONCATENATE(H133,F133,DQ$2),Español!$A:$H,7,FALSE)=AE133,1,0)</f>
        <v>#N/A</v>
      </c>
      <c r="DR133" s="138" t="e">
        <f>IF(VLOOKUP(CONCATENATE(H133,F133,DR$2),Inglés!$A:$H,7,FALSE)=AF133,1,0)</f>
        <v>#N/A</v>
      </c>
      <c r="DS133" s="138" t="e">
        <f>IF(VLOOKUP(CONCATENATE(H133,F133,DS$2),Inglés!$A:$H,7,FALSE)=AG133,1,0)</f>
        <v>#N/A</v>
      </c>
      <c r="DT133" s="138" t="e">
        <f>IF(VLOOKUP(CONCATENATE(H133,F133,DT$2),Inglés!$A:$H,7,FALSE)=AH133,1,0)</f>
        <v>#N/A</v>
      </c>
      <c r="DU133" s="138" t="e">
        <f>IF(VLOOKUP(CONCATENATE(H133,F133,DU$2),Inglés!$A:$H,7,FALSE)=AI133,1,0)</f>
        <v>#N/A</v>
      </c>
      <c r="DV133" s="138" t="e">
        <f>IF(VLOOKUP(CONCATENATE(H133,F133,DV$2),Inglés!$A:$H,7,FALSE)=AJ133,1,0)</f>
        <v>#N/A</v>
      </c>
      <c r="DW133" s="138" t="e">
        <f>IF(VLOOKUP(CONCATENATE(H133,F133,DW$2),Inglés!$A:$H,7,FALSE)=AK133,1,0)</f>
        <v>#N/A</v>
      </c>
      <c r="DX133" s="138" t="e">
        <f>IF(VLOOKUP(CONCATENATE(H133,F133,DX$2),Inglés!$A:$H,7,FALSE)=AL133,1,0)</f>
        <v>#N/A</v>
      </c>
      <c r="DY133" s="138" t="e">
        <f>IF(VLOOKUP(CONCATENATE(H133,F133,DY$2),Inglés!$A:$H,7,FALSE)=AM133,1,0)</f>
        <v>#N/A</v>
      </c>
      <c r="DZ133" s="138" t="e">
        <f>IF(VLOOKUP(CONCATENATE(H133,F133,DZ$2),Inglés!$A:$H,7,FALSE)=AN133,1,0)</f>
        <v>#N/A</v>
      </c>
      <c r="EA133" s="138" t="e">
        <f>IF(VLOOKUP(CONCATENATE(H133,F133,EA$2),Inglés!$A:$H,7,FALSE)=AO133,1,0)</f>
        <v>#N/A</v>
      </c>
      <c r="EB133" s="138" t="e">
        <f>IF(VLOOKUP(CONCATENATE(H133,F133,EB$2),Matemáticas!$A:$H,7,FALSE)=AP133,1,0)</f>
        <v>#N/A</v>
      </c>
      <c r="EC133" s="138" t="e">
        <f>IF(VLOOKUP(CONCATENATE(H133,F133,EC$2),Matemáticas!$A:$H,7,FALSE)=AQ133,1,0)</f>
        <v>#N/A</v>
      </c>
      <c r="ED133" s="138" t="e">
        <f>IF(VLOOKUP(CONCATENATE(H133,F133,ED$2),Matemáticas!$A:$H,7,FALSE)=AR133,1,0)</f>
        <v>#N/A</v>
      </c>
      <c r="EE133" s="138" t="e">
        <f>IF(VLOOKUP(CONCATENATE(H133,F133,EE$2),Matemáticas!$A:$H,7,FALSE)=AS133,1,0)</f>
        <v>#N/A</v>
      </c>
      <c r="EF133" s="138" t="e">
        <f>IF(VLOOKUP(CONCATENATE(H133,F133,EF$2),Matemáticas!$A:$H,7,FALSE)=AT133,1,0)</f>
        <v>#N/A</v>
      </c>
      <c r="EG133" s="138" t="e">
        <f>IF(VLOOKUP(CONCATENATE(H133,F133,EG$2),Matemáticas!$A:$H,7,FALSE)=AU133,1,0)</f>
        <v>#N/A</v>
      </c>
      <c r="EH133" s="138" t="e">
        <f>IF(VLOOKUP(CONCATENATE(H133,F133,EH$2),Matemáticas!$A:$H,7,FALSE)=AV133,1,0)</f>
        <v>#N/A</v>
      </c>
      <c r="EI133" s="138" t="e">
        <f>IF(VLOOKUP(CONCATENATE(H133,F133,EI$2),Matemáticas!$A:$H,7,FALSE)=AW133,1,0)</f>
        <v>#N/A</v>
      </c>
      <c r="EJ133" s="138" t="e">
        <f>IF(VLOOKUP(CONCATENATE(H133,F133,EJ$2),Matemáticas!$A:$H,7,FALSE)=AX133,1,0)</f>
        <v>#N/A</v>
      </c>
      <c r="EK133" s="138" t="e">
        <f>IF(VLOOKUP(CONCATENATE(H133,F133,EK$2),Matemáticas!$A:$H,7,FALSE)=AY133,1,0)</f>
        <v>#N/A</v>
      </c>
      <c r="EL133" s="138" t="e">
        <f>IF(VLOOKUP(CONCATENATE(H133,F133,EL$2),Matemáticas!$A:$H,7,FALSE)=AZ133,1,0)</f>
        <v>#N/A</v>
      </c>
      <c r="EM133" s="138" t="e">
        <f>IF(VLOOKUP(CONCATENATE(H133,F133,EM$2),Matemáticas!$A:$H,7,FALSE)=BA133,1,0)</f>
        <v>#N/A</v>
      </c>
      <c r="EN133" s="138" t="e">
        <f>IF(VLOOKUP(CONCATENATE(H133,F133,EN$2),Matemáticas!$A:$H,7,FALSE)=BB133,1,0)</f>
        <v>#N/A</v>
      </c>
      <c r="EO133" s="138" t="e">
        <f>IF(VLOOKUP(CONCATENATE(H133,F133,EO$2),Matemáticas!$A:$H,7,FALSE)=BC133,1,0)</f>
        <v>#N/A</v>
      </c>
      <c r="EP133" s="138" t="e">
        <f>IF(VLOOKUP(CONCATENATE(H133,F133,EP$2),Matemáticas!$A:$H,7,FALSE)=BD133,1,0)</f>
        <v>#N/A</v>
      </c>
      <c r="EQ133" s="138" t="e">
        <f>IF(VLOOKUP(CONCATENATE(H133,F133,EQ$2),Matemáticas!$A:$H,7,FALSE)=BE133,1,0)</f>
        <v>#N/A</v>
      </c>
      <c r="ER133" s="138" t="e">
        <f>IF(VLOOKUP(CONCATENATE(H133,F133,ER$2),Matemáticas!$A:$H,7,FALSE)=BF133,1,0)</f>
        <v>#N/A</v>
      </c>
      <c r="ES133" s="138" t="e">
        <f>IF(VLOOKUP(CONCATENATE(H133,F133,ES$2),Matemáticas!$A:$H,7,FALSE)=BG133,1,0)</f>
        <v>#N/A</v>
      </c>
      <c r="ET133" s="138" t="e">
        <f>IF(VLOOKUP(CONCATENATE(H133,F133,ET$2),Matemáticas!$A:$H,7,FALSE)=BH133,1,0)</f>
        <v>#N/A</v>
      </c>
      <c r="EU133" s="138" t="e">
        <f>IF(VLOOKUP(CONCATENATE(H133,F133,EU$2),Matemáticas!$A:$H,7,FALSE)=BI133,1,0)</f>
        <v>#N/A</v>
      </c>
      <c r="EV133" s="138" t="e">
        <f>IF(VLOOKUP(CONCATENATE(H133,F133,EV$2),Ciencias!$A:$H,7,FALSE)=BJ133,1,0)</f>
        <v>#N/A</v>
      </c>
      <c r="EW133" s="138" t="e">
        <f>IF(VLOOKUP(CONCATENATE(H133,F133,EW$2),Ciencias!$A:$H,7,FALSE)=BK133,1,0)</f>
        <v>#N/A</v>
      </c>
      <c r="EX133" s="138" t="e">
        <f>IF(VLOOKUP(CONCATENATE(H133,F133,EX$2),Ciencias!$A:$H,7,FALSE)=BL133,1,0)</f>
        <v>#N/A</v>
      </c>
      <c r="EY133" s="138" t="e">
        <f>IF(VLOOKUP(CONCATENATE(H133,F133,EY$2),Ciencias!$A:$H,7,FALSE)=BM133,1,0)</f>
        <v>#N/A</v>
      </c>
      <c r="EZ133" s="138" t="e">
        <f>IF(VLOOKUP(CONCATENATE(H133,F133,EZ$2),Ciencias!$A:$H,7,FALSE)=BN133,1,0)</f>
        <v>#N/A</v>
      </c>
      <c r="FA133" s="138" t="e">
        <f>IF(VLOOKUP(CONCATENATE(H133,F133,FA$2),Ciencias!$A:$H,7,FALSE)=BO133,1,0)</f>
        <v>#N/A</v>
      </c>
      <c r="FB133" s="138" t="e">
        <f>IF(VLOOKUP(CONCATENATE(H133,F133,FB$2),Ciencias!$A:$H,7,FALSE)=BP133,1,0)</f>
        <v>#N/A</v>
      </c>
      <c r="FC133" s="138" t="e">
        <f>IF(VLOOKUP(CONCATENATE(H133,F133,FC$2),Ciencias!$A:$H,7,FALSE)=BQ133,1,0)</f>
        <v>#N/A</v>
      </c>
      <c r="FD133" s="138" t="e">
        <f>IF(VLOOKUP(CONCATENATE(H133,F133,FD$2),Ciencias!$A:$H,7,FALSE)=BR133,1,0)</f>
        <v>#N/A</v>
      </c>
      <c r="FE133" s="138" t="e">
        <f>IF(VLOOKUP(CONCATENATE(H133,F133,FE$2),Ciencias!$A:$H,7,FALSE)=BS133,1,0)</f>
        <v>#N/A</v>
      </c>
      <c r="FF133" s="138" t="e">
        <f>IF(VLOOKUP(CONCATENATE(H133,F133,FF$2),Ciencias!$A:$H,7,FALSE)=BT133,1,0)</f>
        <v>#N/A</v>
      </c>
      <c r="FG133" s="138" t="e">
        <f>IF(VLOOKUP(CONCATENATE(H133,F133,FG$2),Ciencias!$A:$H,7,FALSE)=BU133,1,0)</f>
        <v>#N/A</v>
      </c>
      <c r="FH133" s="138" t="e">
        <f>IF(VLOOKUP(CONCATENATE(H133,F133,FH$2),Ciencias!$A:$H,7,FALSE)=BV133,1,0)</f>
        <v>#N/A</v>
      </c>
      <c r="FI133" s="138" t="e">
        <f>IF(VLOOKUP(CONCATENATE(H133,F133,FI$2),Ciencias!$A:$H,7,FALSE)=BW133,1,0)</f>
        <v>#N/A</v>
      </c>
      <c r="FJ133" s="138" t="e">
        <f>IF(VLOOKUP(CONCATENATE(H133,F133,FJ$2),Ciencias!$A:$H,7,FALSE)=BX133,1,0)</f>
        <v>#N/A</v>
      </c>
      <c r="FK133" s="138" t="e">
        <f>IF(VLOOKUP(CONCATENATE(H133,F133,FK$2),Ciencias!$A:$H,7,FALSE)=BY133,1,0)</f>
        <v>#N/A</v>
      </c>
      <c r="FL133" s="138" t="e">
        <f>IF(VLOOKUP(CONCATENATE(H133,F133,FL$2),Ciencias!$A:$H,7,FALSE)=BZ133,1,0)</f>
        <v>#N/A</v>
      </c>
      <c r="FM133" s="138" t="e">
        <f>IF(VLOOKUP(CONCATENATE(H133,F133,FM$2),Ciencias!$A:$H,7,FALSE)=CA133,1,0)</f>
        <v>#N/A</v>
      </c>
      <c r="FN133" s="138" t="e">
        <f>IF(VLOOKUP(CONCATENATE(H133,F133,FN$2),Ciencias!$A:$H,7,FALSE)=CB133,1,0)</f>
        <v>#N/A</v>
      </c>
      <c r="FO133" s="138" t="e">
        <f>IF(VLOOKUP(CONCATENATE(H133,F133,FO$2),Ciencias!$A:$H,7,FALSE)=CC133,1,0)</f>
        <v>#N/A</v>
      </c>
      <c r="FP133" s="138" t="e">
        <f>IF(VLOOKUP(CONCATENATE(H133,F133,FP$2),GeoHis!$A:$H,7,FALSE)=CD133,1,0)</f>
        <v>#N/A</v>
      </c>
      <c r="FQ133" s="138" t="e">
        <f>IF(VLOOKUP(CONCATENATE(H133,F133,FQ$2),GeoHis!$A:$H,7,FALSE)=CE133,1,0)</f>
        <v>#N/A</v>
      </c>
      <c r="FR133" s="138" t="e">
        <f>IF(VLOOKUP(CONCATENATE(H133,F133,FR$2),GeoHis!$A:$H,7,FALSE)=CF133,1,0)</f>
        <v>#N/A</v>
      </c>
      <c r="FS133" s="138" t="e">
        <f>IF(VLOOKUP(CONCATENATE(H133,F133,FS$2),GeoHis!$A:$H,7,FALSE)=CG133,1,0)</f>
        <v>#N/A</v>
      </c>
      <c r="FT133" s="138" t="e">
        <f>IF(VLOOKUP(CONCATENATE(H133,F133,FT$2),GeoHis!$A:$H,7,FALSE)=CH133,1,0)</f>
        <v>#N/A</v>
      </c>
      <c r="FU133" s="138" t="e">
        <f>IF(VLOOKUP(CONCATENATE(H133,F133,FU$2),GeoHis!$A:$H,7,FALSE)=CI133,1,0)</f>
        <v>#N/A</v>
      </c>
      <c r="FV133" s="138" t="e">
        <f>IF(VLOOKUP(CONCATENATE(H133,F133,FV$2),GeoHis!$A:$H,7,FALSE)=CJ133,1,0)</f>
        <v>#N/A</v>
      </c>
      <c r="FW133" s="138" t="e">
        <f>IF(VLOOKUP(CONCATENATE(H133,F133,FW$2),GeoHis!$A:$H,7,FALSE)=CK133,1,0)</f>
        <v>#N/A</v>
      </c>
      <c r="FX133" s="138" t="e">
        <f>IF(VLOOKUP(CONCATENATE(H133,F133,FX$2),GeoHis!$A:$H,7,FALSE)=CL133,1,0)</f>
        <v>#N/A</v>
      </c>
      <c r="FY133" s="138" t="e">
        <f>IF(VLOOKUP(CONCATENATE(H133,F133,FY$2),GeoHis!$A:$H,7,FALSE)=CM133,1,0)</f>
        <v>#N/A</v>
      </c>
      <c r="FZ133" s="138" t="e">
        <f>IF(VLOOKUP(CONCATENATE(H133,F133,FZ$2),GeoHis!$A:$H,7,FALSE)=CN133,1,0)</f>
        <v>#N/A</v>
      </c>
      <c r="GA133" s="138" t="e">
        <f>IF(VLOOKUP(CONCATENATE(H133,F133,GA$2),GeoHis!$A:$H,7,FALSE)=CO133,1,0)</f>
        <v>#N/A</v>
      </c>
      <c r="GB133" s="138" t="e">
        <f>IF(VLOOKUP(CONCATENATE(H133,F133,GB$2),GeoHis!$A:$H,7,FALSE)=CP133,1,0)</f>
        <v>#N/A</v>
      </c>
      <c r="GC133" s="138" t="e">
        <f>IF(VLOOKUP(CONCATENATE(H133,F133,GC$2),GeoHis!$A:$H,7,FALSE)=CQ133,1,0)</f>
        <v>#N/A</v>
      </c>
      <c r="GD133" s="138" t="e">
        <f>IF(VLOOKUP(CONCATENATE(H133,F133,GD$2),GeoHis!$A:$H,7,FALSE)=CR133,1,0)</f>
        <v>#N/A</v>
      </c>
      <c r="GE133" s="135" t="str">
        <f t="shared" si="23"/>
        <v/>
      </c>
    </row>
    <row r="134" spans="1:187" x14ac:dyDescent="0.25">
      <c r="A134" s="127" t="str">
        <f>IF(C134="","",'Datos Generales'!$A$25)</f>
        <v/>
      </c>
      <c r="D134" s="126" t="str">
        <f t="shared" si="16"/>
        <v/>
      </c>
      <c r="E134" s="126">
        <f t="shared" si="17"/>
        <v>0</v>
      </c>
      <c r="F134" s="126" t="str">
        <f t="shared" si="18"/>
        <v/>
      </c>
      <c r="G134" s="126" t="str">
        <f>IF(C134="","",'Datos Generales'!$D$19)</f>
        <v/>
      </c>
      <c r="H134" s="21" t="str">
        <f>IF(C134="","",'Datos Generales'!$A$19)</f>
        <v/>
      </c>
      <c r="I134" s="126" t="str">
        <f>IF(C134="","",'Datos Generales'!$A$7)</f>
        <v/>
      </c>
      <c r="J134" s="21" t="str">
        <f>IF(C134="","",'Datos Generales'!$A$13)</f>
        <v/>
      </c>
      <c r="K134" s="21" t="str">
        <f>IF(C134="","",'Datos Generales'!$A$10)</f>
        <v/>
      </c>
      <c r="CS134" s="142" t="str">
        <f t="shared" si="19"/>
        <v/>
      </c>
      <c r="CT134" s="142" t="str">
        <f t="shared" si="20"/>
        <v/>
      </c>
      <c r="CU134" s="142" t="str">
        <f t="shared" si="21"/>
        <v/>
      </c>
      <c r="CV134" s="142" t="str">
        <f t="shared" si="22"/>
        <v/>
      </c>
      <c r="CW134" s="142" t="str">
        <f>IF(C134="","",IF('Datos Generales'!$A$19=1,AVERAGE(FP134:GD134),AVERAGE(Captura!FP134:FY134)))</f>
        <v/>
      </c>
      <c r="CX134" s="138" t="e">
        <f>IF(VLOOKUP(CONCATENATE($H$4,$F$4,CX$2),Español!$A:$H,7,FALSE)=L134,1,0)</f>
        <v>#N/A</v>
      </c>
      <c r="CY134" s="138" t="e">
        <f>IF(VLOOKUP(CONCATENATE(H134,F134,CY$2),Español!$A:$H,7,FALSE)=M134,1,0)</f>
        <v>#N/A</v>
      </c>
      <c r="CZ134" s="138" t="e">
        <f>IF(VLOOKUP(CONCATENATE(H134,F134,CZ$2),Español!$A:$H,7,FALSE)=N134,1,0)</f>
        <v>#N/A</v>
      </c>
      <c r="DA134" s="138" t="e">
        <f>IF(VLOOKUP(CONCATENATE(H134,F134,DA$2),Español!$A:$H,7,FALSE)=O134,1,0)</f>
        <v>#N/A</v>
      </c>
      <c r="DB134" s="138" t="e">
        <f>IF(VLOOKUP(CONCATENATE(H134,F134,DB$2),Español!$A:$H,7,FALSE)=P134,1,0)</f>
        <v>#N/A</v>
      </c>
      <c r="DC134" s="138" t="e">
        <f>IF(VLOOKUP(CONCATENATE(H134,F134,DC$2),Español!$A:$H,7,FALSE)=Q134,1,0)</f>
        <v>#N/A</v>
      </c>
      <c r="DD134" s="138" t="e">
        <f>IF(VLOOKUP(CONCATENATE(H134,F134,DD$2),Español!$A:$H,7,FALSE)=R134,1,0)</f>
        <v>#N/A</v>
      </c>
      <c r="DE134" s="138" t="e">
        <f>IF(VLOOKUP(CONCATENATE(H134,F134,DE$2),Español!$A:$H,7,FALSE)=S134,1,0)</f>
        <v>#N/A</v>
      </c>
      <c r="DF134" s="138" t="e">
        <f>IF(VLOOKUP(CONCATENATE(H134,F134,DF$2),Español!$A:$H,7,FALSE)=T134,1,0)</f>
        <v>#N/A</v>
      </c>
      <c r="DG134" s="138" t="e">
        <f>IF(VLOOKUP(CONCATENATE(H134,F134,DG$2),Español!$A:$H,7,FALSE)=U134,1,0)</f>
        <v>#N/A</v>
      </c>
      <c r="DH134" s="138" t="e">
        <f>IF(VLOOKUP(CONCATENATE(H134,F134,DH$2),Español!$A:$H,7,FALSE)=V134,1,0)</f>
        <v>#N/A</v>
      </c>
      <c r="DI134" s="138" t="e">
        <f>IF(VLOOKUP(CONCATENATE(H134,F134,DI$2),Español!$A:$H,7,FALSE)=W134,1,0)</f>
        <v>#N/A</v>
      </c>
      <c r="DJ134" s="138" t="e">
        <f>IF(VLOOKUP(CONCATENATE(H134,F134,DJ$2),Español!$A:$H,7,FALSE)=X134,1,0)</f>
        <v>#N/A</v>
      </c>
      <c r="DK134" s="138" t="e">
        <f>IF(VLOOKUP(CONCATENATE(H134,F134,DK$2),Español!$A:$H,7,FALSE)=Y134,1,0)</f>
        <v>#N/A</v>
      </c>
      <c r="DL134" s="138" t="e">
        <f>IF(VLOOKUP(CONCATENATE(H134,F134,DL$2),Español!$A:$H,7,FALSE)=Z134,1,0)</f>
        <v>#N/A</v>
      </c>
      <c r="DM134" s="138" t="e">
        <f>IF(VLOOKUP(CONCATENATE(H134,F134,DM$2),Español!$A:$H,7,FALSE)=AA134,1,0)</f>
        <v>#N/A</v>
      </c>
      <c r="DN134" s="138" t="e">
        <f>IF(VLOOKUP(CONCATENATE(H134,F134,DN$2),Español!$A:$H,7,FALSE)=AB134,1,0)</f>
        <v>#N/A</v>
      </c>
      <c r="DO134" s="138" t="e">
        <f>IF(VLOOKUP(CONCATENATE(H134,F134,DO$2),Español!$A:$H,7,FALSE)=AC134,1,0)</f>
        <v>#N/A</v>
      </c>
      <c r="DP134" s="138" t="e">
        <f>IF(VLOOKUP(CONCATENATE(H134,F134,DP$2),Español!$A:$H,7,FALSE)=AD134,1,0)</f>
        <v>#N/A</v>
      </c>
      <c r="DQ134" s="138" t="e">
        <f>IF(VLOOKUP(CONCATENATE(H134,F134,DQ$2),Español!$A:$H,7,FALSE)=AE134,1,0)</f>
        <v>#N/A</v>
      </c>
      <c r="DR134" s="138" t="e">
        <f>IF(VLOOKUP(CONCATENATE(H134,F134,DR$2),Inglés!$A:$H,7,FALSE)=AF134,1,0)</f>
        <v>#N/A</v>
      </c>
      <c r="DS134" s="138" t="e">
        <f>IF(VLOOKUP(CONCATENATE(H134,F134,DS$2),Inglés!$A:$H,7,FALSE)=AG134,1,0)</f>
        <v>#N/A</v>
      </c>
      <c r="DT134" s="138" t="e">
        <f>IF(VLOOKUP(CONCATENATE(H134,F134,DT$2),Inglés!$A:$H,7,FALSE)=AH134,1,0)</f>
        <v>#N/A</v>
      </c>
      <c r="DU134" s="138" t="e">
        <f>IF(VLOOKUP(CONCATENATE(H134,F134,DU$2),Inglés!$A:$H,7,FALSE)=AI134,1,0)</f>
        <v>#N/A</v>
      </c>
      <c r="DV134" s="138" t="e">
        <f>IF(VLOOKUP(CONCATENATE(H134,F134,DV$2),Inglés!$A:$H,7,FALSE)=AJ134,1,0)</f>
        <v>#N/A</v>
      </c>
      <c r="DW134" s="138" t="e">
        <f>IF(VLOOKUP(CONCATENATE(H134,F134,DW$2),Inglés!$A:$H,7,FALSE)=AK134,1,0)</f>
        <v>#N/A</v>
      </c>
      <c r="DX134" s="138" t="e">
        <f>IF(VLOOKUP(CONCATENATE(H134,F134,DX$2),Inglés!$A:$H,7,FALSE)=AL134,1,0)</f>
        <v>#N/A</v>
      </c>
      <c r="DY134" s="138" t="e">
        <f>IF(VLOOKUP(CONCATENATE(H134,F134,DY$2),Inglés!$A:$H,7,FALSE)=AM134,1,0)</f>
        <v>#N/A</v>
      </c>
      <c r="DZ134" s="138" t="e">
        <f>IF(VLOOKUP(CONCATENATE(H134,F134,DZ$2),Inglés!$A:$H,7,FALSE)=AN134,1,0)</f>
        <v>#N/A</v>
      </c>
      <c r="EA134" s="138" t="e">
        <f>IF(VLOOKUP(CONCATENATE(H134,F134,EA$2),Inglés!$A:$H,7,FALSE)=AO134,1,0)</f>
        <v>#N/A</v>
      </c>
      <c r="EB134" s="138" t="e">
        <f>IF(VLOOKUP(CONCATENATE(H134,F134,EB$2),Matemáticas!$A:$H,7,FALSE)=AP134,1,0)</f>
        <v>#N/A</v>
      </c>
      <c r="EC134" s="138" t="e">
        <f>IF(VLOOKUP(CONCATENATE(H134,F134,EC$2),Matemáticas!$A:$H,7,FALSE)=AQ134,1,0)</f>
        <v>#N/A</v>
      </c>
      <c r="ED134" s="138" t="e">
        <f>IF(VLOOKUP(CONCATENATE(H134,F134,ED$2),Matemáticas!$A:$H,7,FALSE)=AR134,1,0)</f>
        <v>#N/A</v>
      </c>
      <c r="EE134" s="138" t="e">
        <f>IF(VLOOKUP(CONCATENATE(H134,F134,EE$2),Matemáticas!$A:$H,7,FALSE)=AS134,1,0)</f>
        <v>#N/A</v>
      </c>
      <c r="EF134" s="138" t="e">
        <f>IF(VLOOKUP(CONCATENATE(H134,F134,EF$2),Matemáticas!$A:$H,7,FALSE)=AT134,1,0)</f>
        <v>#N/A</v>
      </c>
      <c r="EG134" s="138" t="e">
        <f>IF(VLOOKUP(CONCATENATE(H134,F134,EG$2),Matemáticas!$A:$H,7,FALSE)=AU134,1,0)</f>
        <v>#N/A</v>
      </c>
      <c r="EH134" s="138" t="e">
        <f>IF(VLOOKUP(CONCATENATE(H134,F134,EH$2),Matemáticas!$A:$H,7,FALSE)=AV134,1,0)</f>
        <v>#N/A</v>
      </c>
      <c r="EI134" s="138" t="e">
        <f>IF(VLOOKUP(CONCATENATE(H134,F134,EI$2),Matemáticas!$A:$H,7,FALSE)=AW134,1,0)</f>
        <v>#N/A</v>
      </c>
      <c r="EJ134" s="138" t="e">
        <f>IF(VLOOKUP(CONCATENATE(H134,F134,EJ$2),Matemáticas!$A:$H,7,FALSE)=AX134,1,0)</f>
        <v>#N/A</v>
      </c>
      <c r="EK134" s="138" t="e">
        <f>IF(VLOOKUP(CONCATENATE(H134,F134,EK$2),Matemáticas!$A:$H,7,FALSE)=AY134,1,0)</f>
        <v>#N/A</v>
      </c>
      <c r="EL134" s="138" t="e">
        <f>IF(VLOOKUP(CONCATENATE(H134,F134,EL$2),Matemáticas!$A:$H,7,FALSE)=AZ134,1,0)</f>
        <v>#N/A</v>
      </c>
      <c r="EM134" s="138" t="e">
        <f>IF(VLOOKUP(CONCATENATE(H134,F134,EM$2),Matemáticas!$A:$H,7,FALSE)=BA134,1,0)</f>
        <v>#N/A</v>
      </c>
      <c r="EN134" s="138" t="e">
        <f>IF(VLOOKUP(CONCATENATE(H134,F134,EN$2),Matemáticas!$A:$H,7,FALSE)=BB134,1,0)</f>
        <v>#N/A</v>
      </c>
      <c r="EO134" s="138" t="e">
        <f>IF(VLOOKUP(CONCATENATE(H134,F134,EO$2),Matemáticas!$A:$H,7,FALSE)=BC134,1,0)</f>
        <v>#N/A</v>
      </c>
      <c r="EP134" s="138" t="e">
        <f>IF(VLOOKUP(CONCATENATE(H134,F134,EP$2),Matemáticas!$A:$H,7,FALSE)=BD134,1,0)</f>
        <v>#N/A</v>
      </c>
      <c r="EQ134" s="138" t="e">
        <f>IF(VLOOKUP(CONCATENATE(H134,F134,EQ$2),Matemáticas!$A:$H,7,FALSE)=BE134,1,0)</f>
        <v>#N/A</v>
      </c>
      <c r="ER134" s="138" t="e">
        <f>IF(VLOOKUP(CONCATENATE(H134,F134,ER$2),Matemáticas!$A:$H,7,FALSE)=BF134,1,0)</f>
        <v>#N/A</v>
      </c>
      <c r="ES134" s="138" t="e">
        <f>IF(VLOOKUP(CONCATENATE(H134,F134,ES$2),Matemáticas!$A:$H,7,FALSE)=BG134,1,0)</f>
        <v>#N/A</v>
      </c>
      <c r="ET134" s="138" t="e">
        <f>IF(VLOOKUP(CONCATENATE(H134,F134,ET$2),Matemáticas!$A:$H,7,FALSE)=BH134,1,0)</f>
        <v>#N/A</v>
      </c>
      <c r="EU134" s="138" t="e">
        <f>IF(VLOOKUP(CONCATENATE(H134,F134,EU$2),Matemáticas!$A:$H,7,FALSE)=BI134,1,0)</f>
        <v>#N/A</v>
      </c>
      <c r="EV134" s="138" t="e">
        <f>IF(VLOOKUP(CONCATENATE(H134,F134,EV$2),Ciencias!$A:$H,7,FALSE)=BJ134,1,0)</f>
        <v>#N/A</v>
      </c>
      <c r="EW134" s="138" t="e">
        <f>IF(VLOOKUP(CONCATENATE(H134,F134,EW$2),Ciencias!$A:$H,7,FALSE)=BK134,1,0)</f>
        <v>#N/A</v>
      </c>
      <c r="EX134" s="138" t="e">
        <f>IF(VLOOKUP(CONCATENATE(H134,F134,EX$2),Ciencias!$A:$H,7,FALSE)=BL134,1,0)</f>
        <v>#N/A</v>
      </c>
      <c r="EY134" s="138" t="e">
        <f>IF(VLOOKUP(CONCATENATE(H134,F134,EY$2),Ciencias!$A:$H,7,FALSE)=BM134,1,0)</f>
        <v>#N/A</v>
      </c>
      <c r="EZ134" s="138" t="e">
        <f>IF(VLOOKUP(CONCATENATE(H134,F134,EZ$2),Ciencias!$A:$H,7,FALSE)=BN134,1,0)</f>
        <v>#N/A</v>
      </c>
      <c r="FA134" s="138" t="e">
        <f>IF(VLOOKUP(CONCATENATE(H134,F134,FA$2),Ciencias!$A:$H,7,FALSE)=BO134,1,0)</f>
        <v>#N/A</v>
      </c>
      <c r="FB134" s="138" t="e">
        <f>IF(VLOOKUP(CONCATENATE(H134,F134,FB$2),Ciencias!$A:$H,7,FALSE)=BP134,1,0)</f>
        <v>#N/A</v>
      </c>
      <c r="FC134" s="138" t="e">
        <f>IF(VLOOKUP(CONCATENATE(H134,F134,FC$2),Ciencias!$A:$H,7,FALSE)=BQ134,1,0)</f>
        <v>#N/A</v>
      </c>
      <c r="FD134" s="138" t="e">
        <f>IF(VLOOKUP(CONCATENATE(H134,F134,FD$2),Ciencias!$A:$H,7,FALSE)=BR134,1,0)</f>
        <v>#N/A</v>
      </c>
      <c r="FE134" s="138" t="e">
        <f>IF(VLOOKUP(CONCATENATE(H134,F134,FE$2),Ciencias!$A:$H,7,FALSE)=BS134,1,0)</f>
        <v>#N/A</v>
      </c>
      <c r="FF134" s="138" t="e">
        <f>IF(VLOOKUP(CONCATENATE(H134,F134,FF$2),Ciencias!$A:$H,7,FALSE)=BT134,1,0)</f>
        <v>#N/A</v>
      </c>
      <c r="FG134" s="138" t="e">
        <f>IF(VLOOKUP(CONCATENATE(H134,F134,FG$2),Ciencias!$A:$H,7,FALSE)=BU134,1,0)</f>
        <v>#N/A</v>
      </c>
      <c r="FH134" s="138" t="e">
        <f>IF(VLOOKUP(CONCATENATE(H134,F134,FH$2),Ciencias!$A:$H,7,FALSE)=BV134,1,0)</f>
        <v>#N/A</v>
      </c>
      <c r="FI134" s="138" t="e">
        <f>IF(VLOOKUP(CONCATENATE(H134,F134,FI$2),Ciencias!$A:$H,7,FALSE)=BW134,1,0)</f>
        <v>#N/A</v>
      </c>
      <c r="FJ134" s="138" t="e">
        <f>IF(VLOOKUP(CONCATENATE(H134,F134,FJ$2),Ciencias!$A:$H,7,FALSE)=BX134,1,0)</f>
        <v>#N/A</v>
      </c>
      <c r="FK134" s="138" t="e">
        <f>IF(VLOOKUP(CONCATENATE(H134,F134,FK$2),Ciencias!$A:$H,7,FALSE)=BY134,1,0)</f>
        <v>#N/A</v>
      </c>
      <c r="FL134" s="138" t="e">
        <f>IF(VLOOKUP(CONCATENATE(H134,F134,FL$2),Ciencias!$A:$H,7,FALSE)=BZ134,1,0)</f>
        <v>#N/A</v>
      </c>
      <c r="FM134" s="138" t="e">
        <f>IF(VLOOKUP(CONCATENATE(H134,F134,FM$2),Ciencias!$A:$H,7,FALSE)=CA134,1,0)</f>
        <v>#N/A</v>
      </c>
      <c r="FN134" s="138" t="e">
        <f>IF(VLOOKUP(CONCATENATE(H134,F134,FN$2),Ciencias!$A:$H,7,FALSE)=CB134,1,0)</f>
        <v>#N/A</v>
      </c>
      <c r="FO134" s="138" t="e">
        <f>IF(VLOOKUP(CONCATENATE(H134,F134,FO$2),Ciencias!$A:$H,7,FALSE)=CC134,1,0)</f>
        <v>#N/A</v>
      </c>
      <c r="FP134" s="138" t="e">
        <f>IF(VLOOKUP(CONCATENATE(H134,F134,FP$2),GeoHis!$A:$H,7,FALSE)=CD134,1,0)</f>
        <v>#N/A</v>
      </c>
      <c r="FQ134" s="138" t="e">
        <f>IF(VLOOKUP(CONCATENATE(H134,F134,FQ$2),GeoHis!$A:$H,7,FALSE)=CE134,1,0)</f>
        <v>#N/A</v>
      </c>
      <c r="FR134" s="138" t="e">
        <f>IF(VLOOKUP(CONCATENATE(H134,F134,FR$2),GeoHis!$A:$H,7,FALSE)=CF134,1,0)</f>
        <v>#N/A</v>
      </c>
      <c r="FS134" s="138" t="e">
        <f>IF(VLOOKUP(CONCATENATE(H134,F134,FS$2),GeoHis!$A:$H,7,FALSE)=CG134,1,0)</f>
        <v>#N/A</v>
      </c>
      <c r="FT134" s="138" t="e">
        <f>IF(VLOOKUP(CONCATENATE(H134,F134,FT$2),GeoHis!$A:$H,7,FALSE)=CH134,1,0)</f>
        <v>#N/A</v>
      </c>
      <c r="FU134" s="138" t="e">
        <f>IF(VLOOKUP(CONCATENATE(H134,F134,FU$2),GeoHis!$A:$H,7,FALSE)=CI134,1,0)</f>
        <v>#N/A</v>
      </c>
      <c r="FV134" s="138" t="e">
        <f>IF(VLOOKUP(CONCATENATE(H134,F134,FV$2),GeoHis!$A:$H,7,FALSE)=CJ134,1,0)</f>
        <v>#N/A</v>
      </c>
      <c r="FW134" s="138" t="e">
        <f>IF(VLOOKUP(CONCATENATE(H134,F134,FW$2),GeoHis!$A:$H,7,FALSE)=CK134,1,0)</f>
        <v>#N/A</v>
      </c>
      <c r="FX134" s="138" t="e">
        <f>IF(VLOOKUP(CONCATENATE(H134,F134,FX$2),GeoHis!$A:$H,7,FALSE)=CL134,1,0)</f>
        <v>#N/A</v>
      </c>
      <c r="FY134" s="138" t="e">
        <f>IF(VLOOKUP(CONCATENATE(H134,F134,FY$2),GeoHis!$A:$H,7,FALSE)=CM134,1,0)</f>
        <v>#N/A</v>
      </c>
      <c r="FZ134" s="138" t="e">
        <f>IF(VLOOKUP(CONCATENATE(H134,F134,FZ$2),GeoHis!$A:$H,7,FALSE)=CN134,1,0)</f>
        <v>#N/A</v>
      </c>
      <c r="GA134" s="138" t="e">
        <f>IF(VLOOKUP(CONCATENATE(H134,F134,GA$2),GeoHis!$A:$H,7,FALSE)=CO134,1,0)</f>
        <v>#N/A</v>
      </c>
      <c r="GB134" s="138" t="e">
        <f>IF(VLOOKUP(CONCATENATE(H134,F134,GB$2),GeoHis!$A:$H,7,FALSE)=CP134,1,0)</f>
        <v>#N/A</v>
      </c>
      <c r="GC134" s="138" t="e">
        <f>IF(VLOOKUP(CONCATENATE(H134,F134,GC$2),GeoHis!$A:$H,7,FALSE)=CQ134,1,0)</f>
        <v>#N/A</v>
      </c>
      <c r="GD134" s="138" t="e">
        <f>IF(VLOOKUP(CONCATENATE(H134,F134,GD$2),GeoHis!$A:$H,7,FALSE)=CR134,1,0)</f>
        <v>#N/A</v>
      </c>
      <c r="GE134" s="135" t="str">
        <f t="shared" si="23"/>
        <v/>
      </c>
    </row>
    <row r="135" spans="1:187" x14ac:dyDescent="0.25">
      <c r="A135" s="127" t="str">
        <f>IF(C135="","",'Datos Generales'!$A$25)</f>
        <v/>
      </c>
      <c r="D135" s="126" t="str">
        <f t="shared" si="16"/>
        <v/>
      </c>
      <c r="E135" s="126">
        <f t="shared" si="17"/>
        <v>0</v>
      </c>
      <c r="F135" s="126" t="str">
        <f t="shared" si="18"/>
        <v/>
      </c>
      <c r="G135" s="126" t="str">
        <f>IF(C135="","",'Datos Generales'!$D$19)</f>
        <v/>
      </c>
      <c r="H135" s="21" t="str">
        <f>IF(C135="","",'Datos Generales'!$A$19)</f>
        <v/>
      </c>
      <c r="I135" s="126" t="str">
        <f>IF(C135="","",'Datos Generales'!$A$7)</f>
        <v/>
      </c>
      <c r="J135" s="21" t="str">
        <f>IF(C135="","",'Datos Generales'!$A$13)</f>
        <v/>
      </c>
      <c r="K135" s="21" t="str">
        <f>IF(C135="","",'Datos Generales'!$A$10)</f>
        <v/>
      </c>
      <c r="CS135" s="142" t="str">
        <f t="shared" si="19"/>
        <v/>
      </c>
      <c r="CT135" s="142" t="str">
        <f t="shared" si="20"/>
        <v/>
      </c>
      <c r="CU135" s="142" t="str">
        <f t="shared" si="21"/>
        <v/>
      </c>
      <c r="CV135" s="142" t="str">
        <f t="shared" si="22"/>
        <v/>
      </c>
      <c r="CW135" s="142" t="str">
        <f>IF(C135="","",IF('Datos Generales'!$A$19=1,AVERAGE(FP135:GD135),AVERAGE(Captura!FP135:FY135)))</f>
        <v/>
      </c>
      <c r="CX135" s="138" t="e">
        <f>IF(VLOOKUP(CONCATENATE($H$4,$F$4,CX$2),Español!$A:$H,7,FALSE)=L135,1,0)</f>
        <v>#N/A</v>
      </c>
      <c r="CY135" s="138" t="e">
        <f>IF(VLOOKUP(CONCATENATE(H135,F135,CY$2),Español!$A:$H,7,FALSE)=M135,1,0)</f>
        <v>#N/A</v>
      </c>
      <c r="CZ135" s="138" t="e">
        <f>IF(VLOOKUP(CONCATENATE(H135,F135,CZ$2),Español!$A:$H,7,FALSE)=N135,1,0)</f>
        <v>#N/A</v>
      </c>
      <c r="DA135" s="138" t="e">
        <f>IF(VLOOKUP(CONCATENATE(H135,F135,DA$2),Español!$A:$H,7,FALSE)=O135,1,0)</f>
        <v>#N/A</v>
      </c>
      <c r="DB135" s="138" t="e">
        <f>IF(VLOOKUP(CONCATENATE(H135,F135,DB$2),Español!$A:$H,7,FALSE)=P135,1,0)</f>
        <v>#N/A</v>
      </c>
      <c r="DC135" s="138" t="e">
        <f>IF(VLOOKUP(CONCATENATE(H135,F135,DC$2),Español!$A:$H,7,FALSE)=Q135,1,0)</f>
        <v>#N/A</v>
      </c>
      <c r="DD135" s="138" t="e">
        <f>IF(VLOOKUP(CONCATENATE(H135,F135,DD$2),Español!$A:$H,7,FALSE)=R135,1,0)</f>
        <v>#N/A</v>
      </c>
      <c r="DE135" s="138" t="e">
        <f>IF(VLOOKUP(CONCATENATE(H135,F135,DE$2),Español!$A:$H,7,FALSE)=S135,1,0)</f>
        <v>#N/A</v>
      </c>
      <c r="DF135" s="138" t="e">
        <f>IF(VLOOKUP(CONCATENATE(H135,F135,DF$2),Español!$A:$H,7,FALSE)=T135,1,0)</f>
        <v>#N/A</v>
      </c>
      <c r="DG135" s="138" t="e">
        <f>IF(VLOOKUP(CONCATENATE(H135,F135,DG$2),Español!$A:$H,7,FALSE)=U135,1,0)</f>
        <v>#N/A</v>
      </c>
      <c r="DH135" s="138" t="e">
        <f>IF(VLOOKUP(CONCATENATE(H135,F135,DH$2),Español!$A:$H,7,FALSE)=V135,1,0)</f>
        <v>#N/A</v>
      </c>
      <c r="DI135" s="138" t="e">
        <f>IF(VLOOKUP(CONCATENATE(H135,F135,DI$2),Español!$A:$H,7,FALSE)=W135,1,0)</f>
        <v>#N/A</v>
      </c>
      <c r="DJ135" s="138" t="e">
        <f>IF(VLOOKUP(CONCATENATE(H135,F135,DJ$2),Español!$A:$H,7,FALSE)=X135,1,0)</f>
        <v>#N/A</v>
      </c>
      <c r="DK135" s="138" t="e">
        <f>IF(VLOOKUP(CONCATENATE(H135,F135,DK$2),Español!$A:$H,7,FALSE)=Y135,1,0)</f>
        <v>#N/A</v>
      </c>
      <c r="DL135" s="138" t="e">
        <f>IF(VLOOKUP(CONCATENATE(H135,F135,DL$2),Español!$A:$H,7,FALSE)=Z135,1,0)</f>
        <v>#N/A</v>
      </c>
      <c r="DM135" s="138" t="e">
        <f>IF(VLOOKUP(CONCATENATE(H135,F135,DM$2),Español!$A:$H,7,FALSE)=AA135,1,0)</f>
        <v>#N/A</v>
      </c>
      <c r="DN135" s="138" t="e">
        <f>IF(VLOOKUP(CONCATENATE(H135,F135,DN$2),Español!$A:$H,7,FALSE)=AB135,1,0)</f>
        <v>#N/A</v>
      </c>
      <c r="DO135" s="138" t="e">
        <f>IF(VLOOKUP(CONCATENATE(H135,F135,DO$2),Español!$A:$H,7,FALSE)=AC135,1,0)</f>
        <v>#N/A</v>
      </c>
      <c r="DP135" s="138" t="e">
        <f>IF(VLOOKUP(CONCATENATE(H135,F135,DP$2),Español!$A:$H,7,FALSE)=AD135,1,0)</f>
        <v>#N/A</v>
      </c>
      <c r="DQ135" s="138" t="e">
        <f>IF(VLOOKUP(CONCATENATE(H135,F135,DQ$2),Español!$A:$H,7,FALSE)=AE135,1,0)</f>
        <v>#N/A</v>
      </c>
      <c r="DR135" s="138" t="e">
        <f>IF(VLOOKUP(CONCATENATE(H135,F135,DR$2),Inglés!$A:$H,7,FALSE)=AF135,1,0)</f>
        <v>#N/A</v>
      </c>
      <c r="DS135" s="138" t="e">
        <f>IF(VLOOKUP(CONCATENATE(H135,F135,DS$2),Inglés!$A:$H,7,FALSE)=AG135,1,0)</f>
        <v>#N/A</v>
      </c>
      <c r="DT135" s="138" t="e">
        <f>IF(VLOOKUP(CONCATENATE(H135,F135,DT$2),Inglés!$A:$H,7,FALSE)=AH135,1,0)</f>
        <v>#N/A</v>
      </c>
      <c r="DU135" s="138" t="e">
        <f>IF(VLOOKUP(CONCATENATE(H135,F135,DU$2),Inglés!$A:$H,7,FALSE)=AI135,1,0)</f>
        <v>#N/A</v>
      </c>
      <c r="DV135" s="138" t="e">
        <f>IF(VLOOKUP(CONCATENATE(H135,F135,DV$2),Inglés!$A:$H,7,FALSE)=AJ135,1,0)</f>
        <v>#N/A</v>
      </c>
      <c r="DW135" s="138" t="e">
        <f>IF(VLOOKUP(CONCATENATE(H135,F135,DW$2),Inglés!$A:$H,7,FALSE)=AK135,1,0)</f>
        <v>#N/A</v>
      </c>
      <c r="DX135" s="138" t="e">
        <f>IF(VLOOKUP(CONCATENATE(H135,F135,DX$2),Inglés!$A:$H,7,FALSE)=AL135,1,0)</f>
        <v>#N/A</v>
      </c>
      <c r="DY135" s="138" t="e">
        <f>IF(VLOOKUP(CONCATENATE(H135,F135,DY$2),Inglés!$A:$H,7,FALSE)=AM135,1,0)</f>
        <v>#N/A</v>
      </c>
      <c r="DZ135" s="138" t="e">
        <f>IF(VLOOKUP(CONCATENATE(H135,F135,DZ$2),Inglés!$A:$H,7,FALSE)=AN135,1,0)</f>
        <v>#N/A</v>
      </c>
      <c r="EA135" s="138" t="e">
        <f>IF(VLOOKUP(CONCATENATE(H135,F135,EA$2),Inglés!$A:$H,7,FALSE)=AO135,1,0)</f>
        <v>#N/A</v>
      </c>
      <c r="EB135" s="138" t="e">
        <f>IF(VLOOKUP(CONCATENATE(H135,F135,EB$2),Matemáticas!$A:$H,7,FALSE)=AP135,1,0)</f>
        <v>#N/A</v>
      </c>
      <c r="EC135" s="138" t="e">
        <f>IF(VLOOKUP(CONCATENATE(H135,F135,EC$2),Matemáticas!$A:$H,7,FALSE)=AQ135,1,0)</f>
        <v>#N/A</v>
      </c>
      <c r="ED135" s="138" t="e">
        <f>IF(VLOOKUP(CONCATENATE(H135,F135,ED$2),Matemáticas!$A:$H,7,FALSE)=AR135,1,0)</f>
        <v>#N/A</v>
      </c>
      <c r="EE135" s="138" t="e">
        <f>IF(VLOOKUP(CONCATENATE(H135,F135,EE$2),Matemáticas!$A:$H,7,FALSE)=AS135,1,0)</f>
        <v>#N/A</v>
      </c>
      <c r="EF135" s="138" t="e">
        <f>IF(VLOOKUP(CONCATENATE(H135,F135,EF$2),Matemáticas!$A:$H,7,FALSE)=AT135,1,0)</f>
        <v>#N/A</v>
      </c>
      <c r="EG135" s="138" t="e">
        <f>IF(VLOOKUP(CONCATENATE(H135,F135,EG$2),Matemáticas!$A:$H,7,FALSE)=AU135,1,0)</f>
        <v>#N/A</v>
      </c>
      <c r="EH135" s="138" t="e">
        <f>IF(VLOOKUP(CONCATENATE(H135,F135,EH$2),Matemáticas!$A:$H,7,FALSE)=AV135,1,0)</f>
        <v>#N/A</v>
      </c>
      <c r="EI135" s="138" t="e">
        <f>IF(VLOOKUP(CONCATENATE(H135,F135,EI$2),Matemáticas!$A:$H,7,FALSE)=AW135,1,0)</f>
        <v>#N/A</v>
      </c>
      <c r="EJ135" s="138" t="e">
        <f>IF(VLOOKUP(CONCATENATE(H135,F135,EJ$2),Matemáticas!$A:$H,7,FALSE)=AX135,1,0)</f>
        <v>#N/A</v>
      </c>
      <c r="EK135" s="138" t="e">
        <f>IF(VLOOKUP(CONCATENATE(H135,F135,EK$2),Matemáticas!$A:$H,7,FALSE)=AY135,1,0)</f>
        <v>#N/A</v>
      </c>
      <c r="EL135" s="138" t="e">
        <f>IF(VLOOKUP(CONCATENATE(H135,F135,EL$2),Matemáticas!$A:$H,7,FALSE)=AZ135,1,0)</f>
        <v>#N/A</v>
      </c>
      <c r="EM135" s="138" t="e">
        <f>IF(VLOOKUP(CONCATENATE(H135,F135,EM$2),Matemáticas!$A:$H,7,FALSE)=BA135,1,0)</f>
        <v>#N/A</v>
      </c>
      <c r="EN135" s="138" t="e">
        <f>IF(VLOOKUP(CONCATENATE(H135,F135,EN$2),Matemáticas!$A:$H,7,FALSE)=BB135,1,0)</f>
        <v>#N/A</v>
      </c>
      <c r="EO135" s="138" t="e">
        <f>IF(VLOOKUP(CONCATENATE(H135,F135,EO$2),Matemáticas!$A:$H,7,FALSE)=BC135,1,0)</f>
        <v>#N/A</v>
      </c>
      <c r="EP135" s="138" t="e">
        <f>IF(VLOOKUP(CONCATENATE(H135,F135,EP$2),Matemáticas!$A:$H,7,FALSE)=BD135,1,0)</f>
        <v>#N/A</v>
      </c>
      <c r="EQ135" s="138" t="e">
        <f>IF(VLOOKUP(CONCATENATE(H135,F135,EQ$2),Matemáticas!$A:$H,7,FALSE)=BE135,1,0)</f>
        <v>#N/A</v>
      </c>
      <c r="ER135" s="138" t="e">
        <f>IF(VLOOKUP(CONCATENATE(H135,F135,ER$2),Matemáticas!$A:$H,7,FALSE)=BF135,1,0)</f>
        <v>#N/A</v>
      </c>
      <c r="ES135" s="138" t="e">
        <f>IF(VLOOKUP(CONCATENATE(H135,F135,ES$2),Matemáticas!$A:$H,7,FALSE)=BG135,1,0)</f>
        <v>#N/A</v>
      </c>
      <c r="ET135" s="138" t="e">
        <f>IF(VLOOKUP(CONCATENATE(H135,F135,ET$2),Matemáticas!$A:$H,7,FALSE)=BH135,1,0)</f>
        <v>#N/A</v>
      </c>
      <c r="EU135" s="138" t="e">
        <f>IF(VLOOKUP(CONCATENATE(H135,F135,EU$2),Matemáticas!$A:$H,7,FALSE)=BI135,1,0)</f>
        <v>#N/A</v>
      </c>
      <c r="EV135" s="138" t="e">
        <f>IF(VLOOKUP(CONCATENATE(H135,F135,EV$2),Ciencias!$A:$H,7,FALSE)=BJ135,1,0)</f>
        <v>#N/A</v>
      </c>
      <c r="EW135" s="138" t="e">
        <f>IF(VLOOKUP(CONCATENATE(H135,F135,EW$2),Ciencias!$A:$H,7,FALSE)=BK135,1,0)</f>
        <v>#N/A</v>
      </c>
      <c r="EX135" s="138" t="e">
        <f>IF(VLOOKUP(CONCATENATE(H135,F135,EX$2),Ciencias!$A:$H,7,FALSE)=BL135,1,0)</f>
        <v>#N/A</v>
      </c>
      <c r="EY135" s="138" t="e">
        <f>IF(VLOOKUP(CONCATENATE(H135,F135,EY$2),Ciencias!$A:$H,7,FALSE)=BM135,1,0)</f>
        <v>#N/A</v>
      </c>
      <c r="EZ135" s="138" t="e">
        <f>IF(VLOOKUP(CONCATENATE(H135,F135,EZ$2),Ciencias!$A:$H,7,FALSE)=BN135,1,0)</f>
        <v>#N/A</v>
      </c>
      <c r="FA135" s="138" t="e">
        <f>IF(VLOOKUP(CONCATENATE(H135,F135,FA$2),Ciencias!$A:$H,7,FALSE)=BO135,1,0)</f>
        <v>#N/A</v>
      </c>
      <c r="FB135" s="138" t="e">
        <f>IF(VLOOKUP(CONCATENATE(H135,F135,FB$2),Ciencias!$A:$H,7,FALSE)=BP135,1,0)</f>
        <v>#N/A</v>
      </c>
      <c r="FC135" s="138" t="e">
        <f>IF(VLOOKUP(CONCATENATE(H135,F135,FC$2),Ciencias!$A:$H,7,FALSE)=BQ135,1,0)</f>
        <v>#N/A</v>
      </c>
      <c r="FD135" s="138" t="e">
        <f>IF(VLOOKUP(CONCATENATE(H135,F135,FD$2),Ciencias!$A:$H,7,FALSE)=BR135,1,0)</f>
        <v>#N/A</v>
      </c>
      <c r="FE135" s="138" t="e">
        <f>IF(VLOOKUP(CONCATENATE(H135,F135,FE$2),Ciencias!$A:$H,7,FALSE)=BS135,1,0)</f>
        <v>#N/A</v>
      </c>
      <c r="FF135" s="138" t="e">
        <f>IF(VLOOKUP(CONCATENATE(H135,F135,FF$2),Ciencias!$A:$H,7,FALSE)=BT135,1,0)</f>
        <v>#N/A</v>
      </c>
      <c r="FG135" s="138" t="e">
        <f>IF(VLOOKUP(CONCATENATE(H135,F135,FG$2),Ciencias!$A:$H,7,FALSE)=BU135,1,0)</f>
        <v>#N/A</v>
      </c>
      <c r="FH135" s="138" t="e">
        <f>IF(VLOOKUP(CONCATENATE(H135,F135,FH$2),Ciencias!$A:$H,7,FALSE)=BV135,1,0)</f>
        <v>#N/A</v>
      </c>
      <c r="FI135" s="138" t="e">
        <f>IF(VLOOKUP(CONCATENATE(H135,F135,FI$2),Ciencias!$A:$H,7,FALSE)=BW135,1,0)</f>
        <v>#N/A</v>
      </c>
      <c r="FJ135" s="138" t="e">
        <f>IF(VLOOKUP(CONCATENATE(H135,F135,FJ$2),Ciencias!$A:$H,7,FALSE)=BX135,1,0)</f>
        <v>#N/A</v>
      </c>
      <c r="FK135" s="138" t="e">
        <f>IF(VLOOKUP(CONCATENATE(H135,F135,FK$2),Ciencias!$A:$H,7,FALSE)=BY135,1,0)</f>
        <v>#N/A</v>
      </c>
      <c r="FL135" s="138" t="e">
        <f>IF(VLOOKUP(CONCATENATE(H135,F135,FL$2),Ciencias!$A:$H,7,FALSE)=BZ135,1,0)</f>
        <v>#N/A</v>
      </c>
      <c r="FM135" s="138" t="e">
        <f>IF(VLOOKUP(CONCATENATE(H135,F135,FM$2),Ciencias!$A:$H,7,FALSE)=CA135,1,0)</f>
        <v>#N/A</v>
      </c>
      <c r="FN135" s="138" t="e">
        <f>IF(VLOOKUP(CONCATENATE(H135,F135,FN$2),Ciencias!$A:$H,7,FALSE)=CB135,1,0)</f>
        <v>#N/A</v>
      </c>
      <c r="FO135" s="138" t="e">
        <f>IF(VLOOKUP(CONCATENATE(H135,F135,FO$2),Ciencias!$A:$H,7,FALSE)=CC135,1,0)</f>
        <v>#N/A</v>
      </c>
      <c r="FP135" s="138" t="e">
        <f>IF(VLOOKUP(CONCATENATE(H135,F135,FP$2),GeoHis!$A:$H,7,FALSE)=CD135,1,0)</f>
        <v>#N/A</v>
      </c>
      <c r="FQ135" s="138" t="e">
        <f>IF(VLOOKUP(CONCATENATE(H135,F135,FQ$2),GeoHis!$A:$H,7,FALSE)=CE135,1,0)</f>
        <v>#N/A</v>
      </c>
      <c r="FR135" s="138" t="e">
        <f>IF(VLOOKUP(CONCATENATE(H135,F135,FR$2),GeoHis!$A:$H,7,FALSE)=CF135,1,0)</f>
        <v>#N/A</v>
      </c>
      <c r="FS135" s="138" t="e">
        <f>IF(VLOOKUP(CONCATENATE(H135,F135,FS$2),GeoHis!$A:$H,7,FALSE)=CG135,1,0)</f>
        <v>#N/A</v>
      </c>
      <c r="FT135" s="138" t="e">
        <f>IF(VLOOKUP(CONCATENATE(H135,F135,FT$2),GeoHis!$A:$H,7,FALSE)=CH135,1,0)</f>
        <v>#N/A</v>
      </c>
      <c r="FU135" s="138" t="e">
        <f>IF(VLOOKUP(CONCATENATE(H135,F135,FU$2),GeoHis!$A:$H,7,FALSE)=CI135,1,0)</f>
        <v>#N/A</v>
      </c>
      <c r="FV135" s="138" t="e">
        <f>IF(VLOOKUP(CONCATENATE(H135,F135,FV$2),GeoHis!$A:$H,7,FALSE)=CJ135,1,0)</f>
        <v>#N/A</v>
      </c>
      <c r="FW135" s="138" t="e">
        <f>IF(VLOOKUP(CONCATENATE(H135,F135,FW$2),GeoHis!$A:$H,7,FALSE)=CK135,1,0)</f>
        <v>#N/A</v>
      </c>
      <c r="FX135" s="138" t="e">
        <f>IF(VLOOKUP(CONCATENATE(H135,F135,FX$2),GeoHis!$A:$H,7,FALSE)=CL135,1,0)</f>
        <v>#N/A</v>
      </c>
      <c r="FY135" s="138" t="e">
        <f>IF(VLOOKUP(CONCATENATE(H135,F135,FY$2),GeoHis!$A:$H,7,FALSE)=CM135,1,0)</f>
        <v>#N/A</v>
      </c>
      <c r="FZ135" s="138" t="e">
        <f>IF(VLOOKUP(CONCATENATE(H135,F135,FZ$2),GeoHis!$A:$H,7,FALSE)=CN135,1,0)</f>
        <v>#N/A</v>
      </c>
      <c r="GA135" s="138" t="e">
        <f>IF(VLOOKUP(CONCATENATE(H135,F135,GA$2),GeoHis!$A:$H,7,FALSE)=CO135,1,0)</f>
        <v>#N/A</v>
      </c>
      <c r="GB135" s="138" t="e">
        <f>IF(VLOOKUP(CONCATENATE(H135,F135,GB$2),GeoHis!$A:$H,7,FALSE)=CP135,1,0)</f>
        <v>#N/A</v>
      </c>
      <c r="GC135" s="138" t="e">
        <f>IF(VLOOKUP(CONCATENATE(H135,F135,GC$2),GeoHis!$A:$H,7,FALSE)=CQ135,1,0)</f>
        <v>#N/A</v>
      </c>
      <c r="GD135" s="138" t="e">
        <f>IF(VLOOKUP(CONCATENATE(H135,F135,GD$2),GeoHis!$A:$H,7,FALSE)=CR135,1,0)</f>
        <v>#N/A</v>
      </c>
      <c r="GE135" s="135" t="str">
        <f t="shared" si="23"/>
        <v/>
      </c>
    </row>
    <row r="136" spans="1:187" x14ac:dyDescent="0.25">
      <c r="A136" s="127" t="str">
        <f>IF(C136="","",'Datos Generales'!$A$25)</f>
        <v/>
      </c>
      <c r="D136" s="126" t="str">
        <f t="shared" si="16"/>
        <v/>
      </c>
      <c r="E136" s="126">
        <f t="shared" si="17"/>
        <v>0</v>
      </c>
      <c r="F136" s="126" t="str">
        <f t="shared" si="18"/>
        <v/>
      </c>
      <c r="G136" s="126" t="str">
        <f>IF(C136="","",'Datos Generales'!$D$19)</f>
        <v/>
      </c>
      <c r="H136" s="21" t="str">
        <f>IF(C136="","",'Datos Generales'!$A$19)</f>
        <v/>
      </c>
      <c r="I136" s="126" t="str">
        <f>IF(C136="","",'Datos Generales'!$A$7)</f>
        <v/>
      </c>
      <c r="J136" s="21" t="str">
        <f>IF(C136="","",'Datos Generales'!$A$13)</f>
        <v/>
      </c>
      <c r="K136" s="21" t="str">
        <f>IF(C136="","",'Datos Generales'!$A$10)</f>
        <v/>
      </c>
      <c r="CS136" s="142" t="str">
        <f t="shared" si="19"/>
        <v/>
      </c>
      <c r="CT136" s="142" t="str">
        <f t="shared" si="20"/>
        <v/>
      </c>
      <c r="CU136" s="142" t="str">
        <f t="shared" si="21"/>
        <v/>
      </c>
      <c r="CV136" s="142" t="str">
        <f t="shared" si="22"/>
        <v/>
      </c>
      <c r="CW136" s="142" t="str">
        <f>IF(C136="","",IF('Datos Generales'!$A$19=1,AVERAGE(FP136:GD136),AVERAGE(Captura!FP136:FY136)))</f>
        <v/>
      </c>
      <c r="CX136" s="138" t="e">
        <f>IF(VLOOKUP(CONCATENATE($H$4,$F$4,CX$2),Español!$A:$H,7,FALSE)=L136,1,0)</f>
        <v>#N/A</v>
      </c>
      <c r="CY136" s="138" t="e">
        <f>IF(VLOOKUP(CONCATENATE(H136,F136,CY$2),Español!$A:$H,7,FALSE)=M136,1,0)</f>
        <v>#N/A</v>
      </c>
      <c r="CZ136" s="138" t="e">
        <f>IF(VLOOKUP(CONCATENATE(H136,F136,CZ$2),Español!$A:$H,7,FALSE)=N136,1,0)</f>
        <v>#N/A</v>
      </c>
      <c r="DA136" s="138" t="e">
        <f>IF(VLOOKUP(CONCATENATE(H136,F136,DA$2),Español!$A:$H,7,FALSE)=O136,1,0)</f>
        <v>#N/A</v>
      </c>
      <c r="DB136" s="138" t="e">
        <f>IF(VLOOKUP(CONCATENATE(H136,F136,DB$2),Español!$A:$H,7,FALSE)=P136,1,0)</f>
        <v>#N/A</v>
      </c>
      <c r="DC136" s="138" t="e">
        <f>IF(VLOOKUP(CONCATENATE(H136,F136,DC$2),Español!$A:$H,7,FALSE)=Q136,1,0)</f>
        <v>#N/A</v>
      </c>
      <c r="DD136" s="138" t="e">
        <f>IF(VLOOKUP(CONCATENATE(H136,F136,DD$2),Español!$A:$H,7,FALSE)=R136,1,0)</f>
        <v>#N/A</v>
      </c>
      <c r="DE136" s="138" t="e">
        <f>IF(VLOOKUP(CONCATENATE(H136,F136,DE$2),Español!$A:$H,7,FALSE)=S136,1,0)</f>
        <v>#N/A</v>
      </c>
      <c r="DF136" s="138" t="e">
        <f>IF(VLOOKUP(CONCATENATE(H136,F136,DF$2),Español!$A:$H,7,FALSE)=T136,1,0)</f>
        <v>#N/A</v>
      </c>
      <c r="DG136" s="138" t="e">
        <f>IF(VLOOKUP(CONCATENATE(H136,F136,DG$2),Español!$A:$H,7,FALSE)=U136,1,0)</f>
        <v>#N/A</v>
      </c>
      <c r="DH136" s="138" t="e">
        <f>IF(VLOOKUP(CONCATENATE(H136,F136,DH$2),Español!$A:$H,7,FALSE)=V136,1,0)</f>
        <v>#N/A</v>
      </c>
      <c r="DI136" s="138" t="e">
        <f>IF(VLOOKUP(CONCATENATE(H136,F136,DI$2),Español!$A:$H,7,FALSE)=W136,1,0)</f>
        <v>#N/A</v>
      </c>
      <c r="DJ136" s="138" t="e">
        <f>IF(VLOOKUP(CONCATENATE(H136,F136,DJ$2),Español!$A:$H,7,FALSE)=X136,1,0)</f>
        <v>#N/A</v>
      </c>
      <c r="DK136" s="138" t="e">
        <f>IF(VLOOKUP(CONCATENATE(H136,F136,DK$2),Español!$A:$H,7,FALSE)=Y136,1,0)</f>
        <v>#N/A</v>
      </c>
      <c r="DL136" s="138" t="e">
        <f>IF(VLOOKUP(CONCATENATE(H136,F136,DL$2),Español!$A:$H,7,FALSE)=Z136,1,0)</f>
        <v>#N/A</v>
      </c>
      <c r="DM136" s="138" t="e">
        <f>IF(VLOOKUP(CONCATENATE(H136,F136,DM$2),Español!$A:$H,7,FALSE)=AA136,1,0)</f>
        <v>#N/A</v>
      </c>
      <c r="DN136" s="138" t="e">
        <f>IF(VLOOKUP(CONCATENATE(H136,F136,DN$2),Español!$A:$H,7,FALSE)=AB136,1,0)</f>
        <v>#N/A</v>
      </c>
      <c r="DO136" s="138" t="e">
        <f>IF(VLOOKUP(CONCATENATE(H136,F136,DO$2),Español!$A:$H,7,FALSE)=AC136,1,0)</f>
        <v>#N/A</v>
      </c>
      <c r="DP136" s="138" t="e">
        <f>IF(VLOOKUP(CONCATENATE(H136,F136,DP$2),Español!$A:$H,7,FALSE)=AD136,1,0)</f>
        <v>#N/A</v>
      </c>
      <c r="DQ136" s="138" t="e">
        <f>IF(VLOOKUP(CONCATENATE(H136,F136,DQ$2),Español!$A:$H,7,FALSE)=AE136,1,0)</f>
        <v>#N/A</v>
      </c>
      <c r="DR136" s="138" t="e">
        <f>IF(VLOOKUP(CONCATENATE(H136,F136,DR$2),Inglés!$A:$H,7,FALSE)=AF136,1,0)</f>
        <v>#N/A</v>
      </c>
      <c r="DS136" s="138" t="e">
        <f>IF(VLOOKUP(CONCATENATE(H136,F136,DS$2),Inglés!$A:$H,7,FALSE)=AG136,1,0)</f>
        <v>#N/A</v>
      </c>
      <c r="DT136" s="138" t="e">
        <f>IF(VLOOKUP(CONCATENATE(H136,F136,DT$2),Inglés!$A:$H,7,FALSE)=AH136,1,0)</f>
        <v>#N/A</v>
      </c>
      <c r="DU136" s="138" t="e">
        <f>IF(VLOOKUP(CONCATENATE(H136,F136,DU$2),Inglés!$A:$H,7,FALSE)=AI136,1,0)</f>
        <v>#N/A</v>
      </c>
      <c r="DV136" s="138" t="e">
        <f>IF(VLOOKUP(CONCATENATE(H136,F136,DV$2),Inglés!$A:$H,7,FALSE)=AJ136,1,0)</f>
        <v>#N/A</v>
      </c>
      <c r="DW136" s="138" t="e">
        <f>IF(VLOOKUP(CONCATENATE(H136,F136,DW$2),Inglés!$A:$H,7,FALSE)=AK136,1,0)</f>
        <v>#N/A</v>
      </c>
      <c r="DX136" s="138" t="e">
        <f>IF(VLOOKUP(CONCATENATE(H136,F136,DX$2),Inglés!$A:$H,7,FALSE)=AL136,1,0)</f>
        <v>#N/A</v>
      </c>
      <c r="DY136" s="138" t="e">
        <f>IF(VLOOKUP(CONCATENATE(H136,F136,DY$2),Inglés!$A:$H,7,FALSE)=AM136,1,0)</f>
        <v>#N/A</v>
      </c>
      <c r="DZ136" s="138" t="e">
        <f>IF(VLOOKUP(CONCATENATE(H136,F136,DZ$2),Inglés!$A:$H,7,FALSE)=AN136,1,0)</f>
        <v>#N/A</v>
      </c>
      <c r="EA136" s="138" t="e">
        <f>IF(VLOOKUP(CONCATENATE(H136,F136,EA$2),Inglés!$A:$H,7,FALSE)=AO136,1,0)</f>
        <v>#N/A</v>
      </c>
      <c r="EB136" s="138" t="e">
        <f>IF(VLOOKUP(CONCATENATE(H136,F136,EB$2),Matemáticas!$A:$H,7,FALSE)=AP136,1,0)</f>
        <v>#N/A</v>
      </c>
      <c r="EC136" s="138" t="e">
        <f>IF(VLOOKUP(CONCATENATE(H136,F136,EC$2),Matemáticas!$A:$H,7,FALSE)=AQ136,1,0)</f>
        <v>#N/A</v>
      </c>
      <c r="ED136" s="138" t="e">
        <f>IF(VLOOKUP(CONCATENATE(H136,F136,ED$2),Matemáticas!$A:$H,7,FALSE)=AR136,1,0)</f>
        <v>#N/A</v>
      </c>
      <c r="EE136" s="138" t="e">
        <f>IF(VLOOKUP(CONCATENATE(H136,F136,EE$2),Matemáticas!$A:$H,7,FALSE)=AS136,1,0)</f>
        <v>#N/A</v>
      </c>
      <c r="EF136" s="138" t="e">
        <f>IF(VLOOKUP(CONCATENATE(H136,F136,EF$2),Matemáticas!$A:$H,7,FALSE)=AT136,1,0)</f>
        <v>#N/A</v>
      </c>
      <c r="EG136" s="138" t="e">
        <f>IF(VLOOKUP(CONCATENATE(H136,F136,EG$2),Matemáticas!$A:$H,7,FALSE)=AU136,1,0)</f>
        <v>#N/A</v>
      </c>
      <c r="EH136" s="138" t="e">
        <f>IF(VLOOKUP(CONCATENATE(H136,F136,EH$2),Matemáticas!$A:$H,7,FALSE)=AV136,1,0)</f>
        <v>#N/A</v>
      </c>
      <c r="EI136" s="138" t="e">
        <f>IF(VLOOKUP(CONCATENATE(H136,F136,EI$2),Matemáticas!$A:$H,7,FALSE)=AW136,1,0)</f>
        <v>#N/A</v>
      </c>
      <c r="EJ136" s="138" t="e">
        <f>IF(VLOOKUP(CONCATENATE(H136,F136,EJ$2),Matemáticas!$A:$H,7,FALSE)=AX136,1,0)</f>
        <v>#N/A</v>
      </c>
      <c r="EK136" s="138" t="e">
        <f>IF(VLOOKUP(CONCATENATE(H136,F136,EK$2),Matemáticas!$A:$H,7,FALSE)=AY136,1,0)</f>
        <v>#N/A</v>
      </c>
      <c r="EL136" s="138" t="e">
        <f>IF(VLOOKUP(CONCATENATE(H136,F136,EL$2),Matemáticas!$A:$H,7,FALSE)=AZ136,1,0)</f>
        <v>#N/A</v>
      </c>
      <c r="EM136" s="138" t="e">
        <f>IF(VLOOKUP(CONCATENATE(H136,F136,EM$2),Matemáticas!$A:$H,7,FALSE)=BA136,1,0)</f>
        <v>#N/A</v>
      </c>
      <c r="EN136" s="138" t="e">
        <f>IF(VLOOKUP(CONCATENATE(H136,F136,EN$2),Matemáticas!$A:$H,7,FALSE)=BB136,1,0)</f>
        <v>#N/A</v>
      </c>
      <c r="EO136" s="138" t="e">
        <f>IF(VLOOKUP(CONCATENATE(H136,F136,EO$2),Matemáticas!$A:$H,7,FALSE)=BC136,1,0)</f>
        <v>#N/A</v>
      </c>
      <c r="EP136" s="138" t="e">
        <f>IF(VLOOKUP(CONCATENATE(H136,F136,EP$2),Matemáticas!$A:$H,7,FALSE)=BD136,1,0)</f>
        <v>#N/A</v>
      </c>
      <c r="EQ136" s="138" t="e">
        <f>IF(VLOOKUP(CONCATENATE(H136,F136,EQ$2),Matemáticas!$A:$H,7,FALSE)=BE136,1,0)</f>
        <v>#N/A</v>
      </c>
      <c r="ER136" s="138" t="e">
        <f>IF(VLOOKUP(CONCATENATE(H136,F136,ER$2),Matemáticas!$A:$H,7,FALSE)=BF136,1,0)</f>
        <v>#N/A</v>
      </c>
      <c r="ES136" s="138" t="e">
        <f>IF(VLOOKUP(CONCATENATE(H136,F136,ES$2),Matemáticas!$A:$H,7,FALSE)=BG136,1,0)</f>
        <v>#N/A</v>
      </c>
      <c r="ET136" s="138" t="e">
        <f>IF(VLOOKUP(CONCATENATE(H136,F136,ET$2),Matemáticas!$A:$H,7,FALSE)=BH136,1,0)</f>
        <v>#N/A</v>
      </c>
      <c r="EU136" s="138" t="e">
        <f>IF(VLOOKUP(CONCATENATE(H136,F136,EU$2),Matemáticas!$A:$H,7,FALSE)=BI136,1,0)</f>
        <v>#N/A</v>
      </c>
      <c r="EV136" s="138" t="e">
        <f>IF(VLOOKUP(CONCATENATE(H136,F136,EV$2),Ciencias!$A:$H,7,FALSE)=BJ136,1,0)</f>
        <v>#N/A</v>
      </c>
      <c r="EW136" s="138" t="e">
        <f>IF(VLOOKUP(CONCATENATE(H136,F136,EW$2),Ciencias!$A:$H,7,FALSE)=BK136,1,0)</f>
        <v>#N/A</v>
      </c>
      <c r="EX136" s="138" t="e">
        <f>IF(VLOOKUP(CONCATENATE(H136,F136,EX$2),Ciencias!$A:$H,7,FALSE)=BL136,1,0)</f>
        <v>#N/A</v>
      </c>
      <c r="EY136" s="138" t="e">
        <f>IF(VLOOKUP(CONCATENATE(H136,F136,EY$2),Ciencias!$A:$H,7,FALSE)=BM136,1,0)</f>
        <v>#N/A</v>
      </c>
      <c r="EZ136" s="138" t="e">
        <f>IF(VLOOKUP(CONCATENATE(H136,F136,EZ$2),Ciencias!$A:$H,7,FALSE)=BN136,1,0)</f>
        <v>#N/A</v>
      </c>
      <c r="FA136" s="138" t="e">
        <f>IF(VLOOKUP(CONCATENATE(H136,F136,FA$2),Ciencias!$A:$H,7,FALSE)=BO136,1,0)</f>
        <v>#N/A</v>
      </c>
      <c r="FB136" s="138" t="e">
        <f>IF(VLOOKUP(CONCATENATE(H136,F136,FB$2),Ciencias!$A:$H,7,FALSE)=BP136,1,0)</f>
        <v>#N/A</v>
      </c>
      <c r="FC136" s="138" t="e">
        <f>IF(VLOOKUP(CONCATENATE(H136,F136,FC$2),Ciencias!$A:$H,7,FALSE)=BQ136,1,0)</f>
        <v>#N/A</v>
      </c>
      <c r="FD136" s="138" t="e">
        <f>IF(VLOOKUP(CONCATENATE(H136,F136,FD$2),Ciencias!$A:$H,7,FALSE)=BR136,1,0)</f>
        <v>#N/A</v>
      </c>
      <c r="FE136" s="138" t="e">
        <f>IF(VLOOKUP(CONCATENATE(H136,F136,FE$2),Ciencias!$A:$H,7,FALSE)=BS136,1,0)</f>
        <v>#N/A</v>
      </c>
      <c r="FF136" s="138" t="e">
        <f>IF(VLOOKUP(CONCATENATE(H136,F136,FF$2),Ciencias!$A:$H,7,FALSE)=BT136,1,0)</f>
        <v>#N/A</v>
      </c>
      <c r="FG136" s="138" t="e">
        <f>IF(VLOOKUP(CONCATENATE(H136,F136,FG$2),Ciencias!$A:$H,7,FALSE)=BU136,1,0)</f>
        <v>#N/A</v>
      </c>
      <c r="FH136" s="138" t="e">
        <f>IF(VLOOKUP(CONCATENATE(H136,F136,FH$2),Ciencias!$A:$H,7,FALSE)=BV136,1,0)</f>
        <v>#N/A</v>
      </c>
      <c r="FI136" s="138" t="e">
        <f>IF(VLOOKUP(CONCATENATE(H136,F136,FI$2),Ciencias!$A:$H,7,FALSE)=BW136,1,0)</f>
        <v>#N/A</v>
      </c>
      <c r="FJ136" s="138" t="e">
        <f>IF(VLOOKUP(CONCATENATE(H136,F136,FJ$2),Ciencias!$A:$H,7,FALSE)=BX136,1,0)</f>
        <v>#N/A</v>
      </c>
      <c r="FK136" s="138" t="e">
        <f>IF(VLOOKUP(CONCATENATE(H136,F136,FK$2),Ciencias!$A:$H,7,FALSE)=BY136,1,0)</f>
        <v>#N/A</v>
      </c>
      <c r="FL136" s="138" t="e">
        <f>IF(VLOOKUP(CONCATENATE(H136,F136,FL$2),Ciencias!$A:$H,7,FALSE)=BZ136,1,0)</f>
        <v>#N/A</v>
      </c>
      <c r="FM136" s="138" t="e">
        <f>IF(VLOOKUP(CONCATENATE(H136,F136,FM$2),Ciencias!$A:$H,7,FALSE)=CA136,1,0)</f>
        <v>#N/A</v>
      </c>
      <c r="FN136" s="138" t="e">
        <f>IF(VLOOKUP(CONCATENATE(H136,F136,FN$2),Ciencias!$A:$H,7,FALSE)=CB136,1,0)</f>
        <v>#N/A</v>
      </c>
      <c r="FO136" s="138" t="e">
        <f>IF(VLOOKUP(CONCATENATE(H136,F136,FO$2),Ciencias!$A:$H,7,FALSE)=CC136,1,0)</f>
        <v>#N/A</v>
      </c>
      <c r="FP136" s="138" t="e">
        <f>IF(VLOOKUP(CONCATENATE(H136,F136,FP$2),GeoHis!$A:$H,7,FALSE)=CD136,1,0)</f>
        <v>#N/A</v>
      </c>
      <c r="FQ136" s="138" t="e">
        <f>IF(VLOOKUP(CONCATENATE(H136,F136,FQ$2),GeoHis!$A:$H,7,FALSE)=CE136,1,0)</f>
        <v>#N/A</v>
      </c>
      <c r="FR136" s="138" t="e">
        <f>IF(VLOOKUP(CONCATENATE(H136,F136,FR$2),GeoHis!$A:$H,7,FALSE)=CF136,1,0)</f>
        <v>#N/A</v>
      </c>
      <c r="FS136" s="138" t="e">
        <f>IF(VLOOKUP(CONCATENATE(H136,F136,FS$2),GeoHis!$A:$H,7,FALSE)=CG136,1,0)</f>
        <v>#N/A</v>
      </c>
      <c r="FT136" s="138" t="e">
        <f>IF(VLOOKUP(CONCATENATE(H136,F136,FT$2),GeoHis!$A:$H,7,FALSE)=CH136,1,0)</f>
        <v>#N/A</v>
      </c>
      <c r="FU136" s="138" t="e">
        <f>IF(VLOOKUP(CONCATENATE(H136,F136,FU$2),GeoHis!$A:$H,7,FALSE)=CI136,1,0)</f>
        <v>#N/A</v>
      </c>
      <c r="FV136" s="138" t="e">
        <f>IF(VLOOKUP(CONCATENATE(H136,F136,FV$2),GeoHis!$A:$H,7,FALSE)=CJ136,1,0)</f>
        <v>#N/A</v>
      </c>
      <c r="FW136" s="138" t="e">
        <f>IF(VLOOKUP(CONCATENATE(H136,F136,FW$2),GeoHis!$A:$H,7,FALSE)=CK136,1,0)</f>
        <v>#N/A</v>
      </c>
      <c r="FX136" s="138" t="e">
        <f>IF(VLOOKUP(CONCATENATE(H136,F136,FX$2),GeoHis!$A:$H,7,FALSE)=CL136,1,0)</f>
        <v>#N/A</v>
      </c>
      <c r="FY136" s="138" t="e">
        <f>IF(VLOOKUP(CONCATENATE(H136,F136,FY$2),GeoHis!$A:$H,7,FALSE)=CM136,1,0)</f>
        <v>#N/A</v>
      </c>
      <c r="FZ136" s="138" t="e">
        <f>IF(VLOOKUP(CONCATENATE(H136,F136,FZ$2),GeoHis!$A:$H,7,FALSE)=CN136,1,0)</f>
        <v>#N/A</v>
      </c>
      <c r="GA136" s="138" t="e">
        <f>IF(VLOOKUP(CONCATENATE(H136,F136,GA$2),GeoHis!$A:$H,7,FALSE)=CO136,1,0)</f>
        <v>#N/A</v>
      </c>
      <c r="GB136" s="138" t="e">
        <f>IF(VLOOKUP(CONCATENATE(H136,F136,GB$2),GeoHis!$A:$H,7,FALSE)=CP136,1,0)</f>
        <v>#N/A</v>
      </c>
      <c r="GC136" s="138" t="e">
        <f>IF(VLOOKUP(CONCATENATE(H136,F136,GC$2),GeoHis!$A:$H,7,FALSE)=CQ136,1,0)</f>
        <v>#N/A</v>
      </c>
      <c r="GD136" s="138" t="e">
        <f>IF(VLOOKUP(CONCATENATE(H136,F136,GD$2),GeoHis!$A:$H,7,FALSE)=CR136,1,0)</f>
        <v>#N/A</v>
      </c>
      <c r="GE136" s="135" t="str">
        <f t="shared" si="23"/>
        <v/>
      </c>
    </row>
    <row r="137" spans="1:187" x14ac:dyDescent="0.25">
      <c r="A137" s="127" t="str">
        <f>IF(C137="","",'Datos Generales'!$A$25)</f>
        <v/>
      </c>
      <c r="D137" s="126" t="str">
        <f t="shared" si="16"/>
        <v/>
      </c>
      <c r="E137" s="126">
        <f t="shared" si="17"/>
        <v>0</v>
      </c>
      <c r="F137" s="126" t="str">
        <f t="shared" si="18"/>
        <v/>
      </c>
      <c r="G137" s="126" t="str">
        <f>IF(C137="","",'Datos Generales'!$D$19)</f>
        <v/>
      </c>
      <c r="H137" s="21" t="str">
        <f>IF(C137="","",'Datos Generales'!$A$19)</f>
        <v/>
      </c>
      <c r="I137" s="126" t="str">
        <f>IF(C137="","",'Datos Generales'!$A$7)</f>
        <v/>
      </c>
      <c r="J137" s="21" t="str">
        <f>IF(C137="","",'Datos Generales'!$A$13)</f>
        <v/>
      </c>
      <c r="K137" s="21" t="str">
        <f>IF(C137="","",'Datos Generales'!$A$10)</f>
        <v/>
      </c>
      <c r="CS137" s="142" t="str">
        <f t="shared" si="19"/>
        <v/>
      </c>
      <c r="CT137" s="142" t="str">
        <f t="shared" si="20"/>
        <v/>
      </c>
      <c r="CU137" s="142" t="str">
        <f t="shared" si="21"/>
        <v/>
      </c>
      <c r="CV137" s="142" t="str">
        <f t="shared" si="22"/>
        <v/>
      </c>
      <c r="CW137" s="142" t="str">
        <f>IF(C137="","",IF('Datos Generales'!$A$19=1,AVERAGE(FP137:GD137),AVERAGE(Captura!FP137:FY137)))</f>
        <v/>
      </c>
      <c r="CX137" s="138" t="e">
        <f>IF(VLOOKUP(CONCATENATE($H$4,$F$4,CX$2),Español!$A:$H,7,FALSE)=L137,1,0)</f>
        <v>#N/A</v>
      </c>
      <c r="CY137" s="138" t="e">
        <f>IF(VLOOKUP(CONCATENATE(H137,F137,CY$2),Español!$A:$H,7,FALSE)=M137,1,0)</f>
        <v>#N/A</v>
      </c>
      <c r="CZ137" s="138" t="e">
        <f>IF(VLOOKUP(CONCATENATE(H137,F137,CZ$2),Español!$A:$H,7,FALSE)=N137,1,0)</f>
        <v>#N/A</v>
      </c>
      <c r="DA137" s="138" t="e">
        <f>IF(VLOOKUP(CONCATENATE(H137,F137,DA$2),Español!$A:$H,7,FALSE)=O137,1,0)</f>
        <v>#N/A</v>
      </c>
      <c r="DB137" s="138" t="e">
        <f>IF(VLOOKUP(CONCATENATE(H137,F137,DB$2),Español!$A:$H,7,FALSE)=P137,1,0)</f>
        <v>#N/A</v>
      </c>
      <c r="DC137" s="138" t="e">
        <f>IF(VLOOKUP(CONCATENATE(H137,F137,DC$2),Español!$A:$H,7,FALSE)=Q137,1,0)</f>
        <v>#N/A</v>
      </c>
      <c r="DD137" s="138" t="e">
        <f>IF(VLOOKUP(CONCATENATE(H137,F137,DD$2),Español!$A:$H,7,FALSE)=R137,1,0)</f>
        <v>#N/A</v>
      </c>
      <c r="DE137" s="138" t="e">
        <f>IF(VLOOKUP(CONCATENATE(H137,F137,DE$2),Español!$A:$H,7,FALSE)=S137,1,0)</f>
        <v>#N/A</v>
      </c>
      <c r="DF137" s="138" t="e">
        <f>IF(VLOOKUP(CONCATENATE(H137,F137,DF$2),Español!$A:$H,7,FALSE)=T137,1,0)</f>
        <v>#N/A</v>
      </c>
      <c r="DG137" s="138" t="e">
        <f>IF(VLOOKUP(CONCATENATE(H137,F137,DG$2),Español!$A:$H,7,FALSE)=U137,1,0)</f>
        <v>#N/A</v>
      </c>
      <c r="DH137" s="138" t="e">
        <f>IF(VLOOKUP(CONCATENATE(H137,F137,DH$2),Español!$A:$H,7,FALSE)=V137,1,0)</f>
        <v>#N/A</v>
      </c>
      <c r="DI137" s="138" t="e">
        <f>IF(VLOOKUP(CONCATENATE(H137,F137,DI$2),Español!$A:$H,7,FALSE)=W137,1,0)</f>
        <v>#N/A</v>
      </c>
      <c r="DJ137" s="138" t="e">
        <f>IF(VLOOKUP(CONCATENATE(H137,F137,DJ$2),Español!$A:$H,7,FALSE)=X137,1,0)</f>
        <v>#N/A</v>
      </c>
      <c r="DK137" s="138" t="e">
        <f>IF(VLOOKUP(CONCATENATE(H137,F137,DK$2),Español!$A:$H,7,FALSE)=Y137,1,0)</f>
        <v>#N/A</v>
      </c>
      <c r="DL137" s="138" t="e">
        <f>IF(VLOOKUP(CONCATENATE(H137,F137,DL$2),Español!$A:$H,7,FALSE)=Z137,1,0)</f>
        <v>#N/A</v>
      </c>
      <c r="DM137" s="138" t="e">
        <f>IF(VLOOKUP(CONCATENATE(H137,F137,DM$2),Español!$A:$H,7,FALSE)=AA137,1,0)</f>
        <v>#N/A</v>
      </c>
      <c r="DN137" s="138" t="e">
        <f>IF(VLOOKUP(CONCATENATE(H137,F137,DN$2),Español!$A:$H,7,FALSE)=AB137,1,0)</f>
        <v>#N/A</v>
      </c>
      <c r="DO137" s="138" t="e">
        <f>IF(VLOOKUP(CONCATENATE(H137,F137,DO$2),Español!$A:$H,7,FALSE)=AC137,1,0)</f>
        <v>#N/A</v>
      </c>
      <c r="DP137" s="138" t="e">
        <f>IF(VLOOKUP(CONCATENATE(H137,F137,DP$2),Español!$A:$H,7,FALSE)=AD137,1,0)</f>
        <v>#N/A</v>
      </c>
      <c r="DQ137" s="138" t="e">
        <f>IF(VLOOKUP(CONCATENATE(H137,F137,DQ$2),Español!$A:$H,7,FALSE)=AE137,1,0)</f>
        <v>#N/A</v>
      </c>
      <c r="DR137" s="138" t="e">
        <f>IF(VLOOKUP(CONCATENATE(H137,F137,DR$2),Inglés!$A:$H,7,FALSE)=AF137,1,0)</f>
        <v>#N/A</v>
      </c>
      <c r="DS137" s="138" t="e">
        <f>IF(VLOOKUP(CONCATENATE(H137,F137,DS$2),Inglés!$A:$H,7,FALSE)=AG137,1,0)</f>
        <v>#N/A</v>
      </c>
      <c r="DT137" s="138" t="e">
        <f>IF(VLOOKUP(CONCATENATE(H137,F137,DT$2),Inglés!$A:$H,7,FALSE)=AH137,1,0)</f>
        <v>#N/A</v>
      </c>
      <c r="DU137" s="138" t="e">
        <f>IF(VLOOKUP(CONCATENATE(H137,F137,DU$2),Inglés!$A:$H,7,FALSE)=AI137,1,0)</f>
        <v>#N/A</v>
      </c>
      <c r="DV137" s="138" t="e">
        <f>IF(VLOOKUP(CONCATENATE(H137,F137,DV$2),Inglés!$A:$H,7,FALSE)=AJ137,1,0)</f>
        <v>#N/A</v>
      </c>
      <c r="DW137" s="138" t="e">
        <f>IF(VLOOKUP(CONCATENATE(H137,F137,DW$2),Inglés!$A:$H,7,FALSE)=AK137,1,0)</f>
        <v>#N/A</v>
      </c>
      <c r="DX137" s="138" t="e">
        <f>IF(VLOOKUP(CONCATENATE(H137,F137,DX$2),Inglés!$A:$H,7,FALSE)=AL137,1,0)</f>
        <v>#N/A</v>
      </c>
      <c r="DY137" s="138" t="e">
        <f>IF(VLOOKUP(CONCATENATE(H137,F137,DY$2),Inglés!$A:$H,7,FALSE)=AM137,1,0)</f>
        <v>#N/A</v>
      </c>
      <c r="DZ137" s="138" t="e">
        <f>IF(VLOOKUP(CONCATENATE(H137,F137,DZ$2),Inglés!$A:$H,7,FALSE)=AN137,1,0)</f>
        <v>#N/A</v>
      </c>
      <c r="EA137" s="138" t="e">
        <f>IF(VLOOKUP(CONCATENATE(H137,F137,EA$2),Inglés!$A:$H,7,FALSE)=AO137,1,0)</f>
        <v>#N/A</v>
      </c>
      <c r="EB137" s="138" t="e">
        <f>IF(VLOOKUP(CONCATENATE(H137,F137,EB$2),Matemáticas!$A:$H,7,FALSE)=AP137,1,0)</f>
        <v>#N/A</v>
      </c>
      <c r="EC137" s="138" t="e">
        <f>IF(VLOOKUP(CONCATENATE(H137,F137,EC$2),Matemáticas!$A:$H,7,FALSE)=AQ137,1,0)</f>
        <v>#N/A</v>
      </c>
      <c r="ED137" s="138" t="e">
        <f>IF(VLOOKUP(CONCATENATE(H137,F137,ED$2),Matemáticas!$A:$H,7,FALSE)=AR137,1,0)</f>
        <v>#N/A</v>
      </c>
      <c r="EE137" s="138" t="e">
        <f>IF(VLOOKUP(CONCATENATE(H137,F137,EE$2),Matemáticas!$A:$H,7,FALSE)=AS137,1,0)</f>
        <v>#N/A</v>
      </c>
      <c r="EF137" s="138" t="e">
        <f>IF(VLOOKUP(CONCATENATE(H137,F137,EF$2),Matemáticas!$A:$H,7,FALSE)=AT137,1,0)</f>
        <v>#N/A</v>
      </c>
      <c r="EG137" s="138" t="e">
        <f>IF(VLOOKUP(CONCATENATE(H137,F137,EG$2),Matemáticas!$A:$H,7,FALSE)=AU137,1,0)</f>
        <v>#N/A</v>
      </c>
      <c r="EH137" s="138" t="e">
        <f>IF(VLOOKUP(CONCATENATE(H137,F137,EH$2),Matemáticas!$A:$H,7,FALSE)=AV137,1,0)</f>
        <v>#N/A</v>
      </c>
      <c r="EI137" s="138" t="e">
        <f>IF(VLOOKUP(CONCATENATE(H137,F137,EI$2),Matemáticas!$A:$H,7,FALSE)=AW137,1,0)</f>
        <v>#N/A</v>
      </c>
      <c r="EJ137" s="138" t="e">
        <f>IF(VLOOKUP(CONCATENATE(H137,F137,EJ$2),Matemáticas!$A:$H,7,FALSE)=AX137,1,0)</f>
        <v>#N/A</v>
      </c>
      <c r="EK137" s="138" t="e">
        <f>IF(VLOOKUP(CONCATENATE(H137,F137,EK$2),Matemáticas!$A:$H,7,FALSE)=AY137,1,0)</f>
        <v>#N/A</v>
      </c>
      <c r="EL137" s="138" t="e">
        <f>IF(VLOOKUP(CONCATENATE(H137,F137,EL$2),Matemáticas!$A:$H,7,FALSE)=AZ137,1,0)</f>
        <v>#N/A</v>
      </c>
      <c r="EM137" s="138" t="e">
        <f>IF(VLOOKUP(CONCATENATE(H137,F137,EM$2),Matemáticas!$A:$H,7,FALSE)=BA137,1,0)</f>
        <v>#N/A</v>
      </c>
      <c r="EN137" s="138" t="e">
        <f>IF(VLOOKUP(CONCATENATE(H137,F137,EN$2),Matemáticas!$A:$H,7,FALSE)=BB137,1,0)</f>
        <v>#N/A</v>
      </c>
      <c r="EO137" s="138" t="e">
        <f>IF(VLOOKUP(CONCATENATE(H137,F137,EO$2),Matemáticas!$A:$H,7,FALSE)=BC137,1,0)</f>
        <v>#N/A</v>
      </c>
      <c r="EP137" s="138" t="e">
        <f>IF(VLOOKUP(CONCATENATE(H137,F137,EP$2),Matemáticas!$A:$H,7,FALSE)=BD137,1,0)</f>
        <v>#N/A</v>
      </c>
      <c r="EQ137" s="138" t="e">
        <f>IF(VLOOKUP(CONCATENATE(H137,F137,EQ$2),Matemáticas!$A:$H,7,FALSE)=BE137,1,0)</f>
        <v>#N/A</v>
      </c>
      <c r="ER137" s="138" t="e">
        <f>IF(VLOOKUP(CONCATENATE(H137,F137,ER$2),Matemáticas!$A:$H,7,FALSE)=BF137,1,0)</f>
        <v>#N/A</v>
      </c>
      <c r="ES137" s="138" t="e">
        <f>IF(VLOOKUP(CONCATENATE(H137,F137,ES$2),Matemáticas!$A:$H,7,FALSE)=BG137,1,0)</f>
        <v>#N/A</v>
      </c>
      <c r="ET137" s="138" t="e">
        <f>IF(VLOOKUP(CONCATENATE(H137,F137,ET$2),Matemáticas!$A:$H,7,FALSE)=BH137,1,0)</f>
        <v>#N/A</v>
      </c>
      <c r="EU137" s="138" t="e">
        <f>IF(VLOOKUP(CONCATENATE(H137,F137,EU$2),Matemáticas!$A:$H,7,FALSE)=BI137,1,0)</f>
        <v>#N/A</v>
      </c>
      <c r="EV137" s="138" t="e">
        <f>IF(VLOOKUP(CONCATENATE(H137,F137,EV$2),Ciencias!$A:$H,7,FALSE)=BJ137,1,0)</f>
        <v>#N/A</v>
      </c>
      <c r="EW137" s="138" t="e">
        <f>IF(VLOOKUP(CONCATENATE(H137,F137,EW$2),Ciencias!$A:$H,7,FALSE)=BK137,1,0)</f>
        <v>#N/A</v>
      </c>
      <c r="EX137" s="138" t="e">
        <f>IF(VLOOKUP(CONCATENATE(H137,F137,EX$2),Ciencias!$A:$H,7,FALSE)=BL137,1,0)</f>
        <v>#N/A</v>
      </c>
      <c r="EY137" s="138" t="e">
        <f>IF(VLOOKUP(CONCATENATE(H137,F137,EY$2),Ciencias!$A:$H,7,FALSE)=BM137,1,0)</f>
        <v>#N/A</v>
      </c>
      <c r="EZ137" s="138" t="e">
        <f>IF(VLOOKUP(CONCATENATE(H137,F137,EZ$2),Ciencias!$A:$H,7,FALSE)=BN137,1,0)</f>
        <v>#N/A</v>
      </c>
      <c r="FA137" s="138" t="e">
        <f>IF(VLOOKUP(CONCATENATE(H137,F137,FA$2),Ciencias!$A:$H,7,FALSE)=BO137,1,0)</f>
        <v>#N/A</v>
      </c>
      <c r="FB137" s="138" t="e">
        <f>IF(VLOOKUP(CONCATENATE(H137,F137,FB$2),Ciencias!$A:$H,7,FALSE)=BP137,1,0)</f>
        <v>#N/A</v>
      </c>
      <c r="FC137" s="138" t="e">
        <f>IF(VLOOKUP(CONCATENATE(H137,F137,FC$2),Ciencias!$A:$H,7,FALSE)=BQ137,1,0)</f>
        <v>#N/A</v>
      </c>
      <c r="FD137" s="138" t="e">
        <f>IF(VLOOKUP(CONCATENATE(H137,F137,FD$2),Ciencias!$A:$H,7,FALSE)=BR137,1,0)</f>
        <v>#N/A</v>
      </c>
      <c r="FE137" s="138" t="e">
        <f>IF(VLOOKUP(CONCATENATE(H137,F137,FE$2),Ciencias!$A:$H,7,FALSE)=BS137,1,0)</f>
        <v>#N/A</v>
      </c>
      <c r="FF137" s="138" t="e">
        <f>IF(VLOOKUP(CONCATENATE(H137,F137,FF$2),Ciencias!$A:$H,7,FALSE)=BT137,1,0)</f>
        <v>#N/A</v>
      </c>
      <c r="FG137" s="138" t="e">
        <f>IF(VLOOKUP(CONCATENATE(H137,F137,FG$2),Ciencias!$A:$H,7,FALSE)=BU137,1,0)</f>
        <v>#N/A</v>
      </c>
      <c r="FH137" s="138" t="e">
        <f>IF(VLOOKUP(CONCATENATE(H137,F137,FH$2),Ciencias!$A:$H,7,FALSE)=BV137,1,0)</f>
        <v>#N/A</v>
      </c>
      <c r="FI137" s="138" t="e">
        <f>IF(VLOOKUP(CONCATENATE(H137,F137,FI$2),Ciencias!$A:$H,7,FALSE)=BW137,1,0)</f>
        <v>#N/A</v>
      </c>
      <c r="FJ137" s="138" t="e">
        <f>IF(VLOOKUP(CONCATENATE(H137,F137,FJ$2),Ciencias!$A:$H,7,FALSE)=BX137,1,0)</f>
        <v>#N/A</v>
      </c>
      <c r="FK137" s="138" t="e">
        <f>IF(VLOOKUP(CONCATENATE(H137,F137,FK$2),Ciencias!$A:$H,7,FALSE)=BY137,1,0)</f>
        <v>#N/A</v>
      </c>
      <c r="FL137" s="138" t="e">
        <f>IF(VLOOKUP(CONCATENATE(H137,F137,FL$2),Ciencias!$A:$H,7,FALSE)=BZ137,1,0)</f>
        <v>#N/A</v>
      </c>
      <c r="FM137" s="138" t="e">
        <f>IF(VLOOKUP(CONCATENATE(H137,F137,FM$2),Ciencias!$A:$H,7,FALSE)=CA137,1,0)</f>
        <v>#N/A</v>
      </c>
      <c r="FN137" s="138" t="e">
        <f>IF(VLOOKUP(CONCATENATE(H137,F137,FN$2),Ciencias!$A:$H,7,FALSE)=CB137,1,0)</f>
        <v>#N/A</v>
      </c>
      <c r="FO137" s="138" t="e">
        <f>IF(VLOOKUP(CONCATENATE(H137,F137,FO$2),Ciencias!$A:$H,7,FALSE)=CC137,1,0)</f>
        <v>#N/A</v>
      </c>
      <c r="FP137" s="138" t="e">
        <f>IF(VLOOKUP(CONCATENATE(H137,F137,FP$2),GeoHis!$A:$H,7,FALSE)=CD137,1,0)</f>
        <v>#N/A</v>
      </c>
      <c r="FQ137" s="138" t="e">
        <f>IF(VLOOKUP(CONCATENATE(H137,F137,FQ$2),GeoHis!$A:$H,7,FALSE)=CE137,1,0)</f>
        <v>#N/A</v>
      </c>
      <c r="FR137" s="138" t="e">
        <f>IF(VLOOKUP(CONCATENATE(H137,F137,FR$2),GeoHis!$A:$H,7,FALSE)=CF137,1,0)</f>
        <v>#N/A</v>
      </c>
      <c r="FS137" s="138" t="e">
        <f>IF(VLOOKUP(CONCATENATE(H137,F137,FS$2),GeoHis!$A:$H,7,FALSE)=CG137,1,0)</f>
        <v>#N/A</v>
      </c>
      <c r="FT137" s="138" t="e">
        <f>IF(VLOOKUP(CONCATENATE(H137,F137,FT$2),GeoHis!$A:$H,7,FALSE)=CH137,1,0)</f>
        <v>#N/A</v>
      </c>
      <c r="FU137" s="138" t="e">
        <f>IF(VLOOKUP(CONCATENATE(H137,F137,FU$2),GeoHis!$A:$H,7,FALSE)=CI137,1,0)</f>
        <v>#N/A</v>
      </c>
      <c r="FV137" s="138" t="e">
        <f>IF(VLOOKUP(CONCATENATE(H137,F137,FV$2),GeoHis!$A:$H,7,FALSE)=CJ137,1,0)</f>
        <v>#N/A</v>
      </c>
      <c r="FW137" s="138" t="e">
        <f>IF(VLOOKUP(CONCATENATE(H137,F137,FW$2),GeoHis!$A:$H,7,FALSE)=CK137,1,0)</f>
        <v>#N/A</v>
      </c>
      <c r="FX137" s="138" t="e">
        <f>IF(VLOOKUP(CONCATENATE(H137,F137,FX$2),GeoHis!$A:$H,7,FALSE)=CL137,1,0)</f>
        <v>#N/A</v>
      </c>
      <c r="FY137" s="138" t="e">
        <f>IF(VLOOKUP(CONCATENATE(H137,F137,FY$2),GeoHis!$A:$H,7,FALSE)=CM137,1,0)</f>
        <v>#N/A</v>
      </c>
      <c r="FZ137" s="138" t="e">
        <f>IF(VLOOKUP(CONCATENATE(H137,F137,FZ$2),GeoHis!$A:$H,7,FALSE)=CN137,1,0)</f>
        <v>#N/A</v>
      </c>
      <c r="GA137" s="138" t="e">
        <f>IF(VLOOKUP(CONCATENATE(H137,F137,GA$2),GeoHis!$A:$H,7,FALSE)=CO137,1,0)</f>
        <v>#N/A</v>
      </c>
      <c r="GB137" s="138" t="e">
        <f>IF(VLOOKUP(CONCATENATE(H137,F137,GB$2),GeoHis!$A:$H,7,FALSE)=CP137,1,0)</f>
        <v>#N/A</v>
      </c>
      <c r="GC137" s="138" t="e">
        <f>IF(VLOOKUP(CONCATENATE(H137,F137,GC$2),GeoHis!$A:$H,7,FALSE)=CQ137,1,0)</f>
        <v>#N/A</v>
      </c>
      <c r="GD137" s="138" t="e">
        <f>IF(VLOOKUP(CONCATENATE(H137,F137,GD$2),GeoHis!$A:$H,7,FALSE)=CR137,1,0)</f>
        <v>#N/A</v>
      </c>
      <c r="GE137" s="135" t="str">
        <f t="shared" si="23"/>
        <v/>
      </c>
    </row>
    <row r="138" spans="1:187" x14ac:dyDescent="0.25">
      <c r="A138" s="127" t="str">
        <f>IF(C138="","",'Datos Generales'!$A$25)</f>
        <v/>
      </c>
      <c r="D138" s="126" t="str">
        <f t="shared" si="16"/>
        <v/>
      </c>
      <c r="E138" s="126">
        <f t="shared" si="17"/>
        <v>0</v>
      </c>
      <c r="F138" s="126" t="str">
        <f t="shared" si="18"/>
        <v/>
      </c>
      <c r="G138" s="126" t="str">
        <f>IF(C138="","",'Datos Generales'!$D$19)</f>
        <v/>
      </c>
      <c r="H138" s="21" t="str">
        <f>IF(C138="","",'Datos Generales'!$A$19)</f>
        <v/>
      </c>
      <c r="I138" s="126" t="str">
        <f>IF(C138="","",'Datos Generales'!$A$7)</f>
        <v/>
      </c>
      <c r="J138" s="21" t="str">
        <f>IF(C138="","",'Datos Generales'!$A$13)</f>
        <v/>
      </c>
      <c r="K138" s="21" t="str">
        <f>IF(C138="","",'Datos Generales'!$A$10)</f>
        <v/>
      </c>
      <c r="CS138" s="142" t="str">
        <f t="shared" si="19"/>
        <v/>
      </c>
      <c r="CT138" s="142" t="str">
        <f t="shared" si="20"/>
        <v/>
      </c>
      <c r="CU138" s="142" t="str">
        <f t="shared" si="21"/>
        <v/>
      </c>
      <c r="CV138" s="142" t="str">
        <f t="shared" si="22"/>
        <v/>
      </c>
      <c r="CW138" s="142" t="str">
        <f>IF(C138="","",IF('Datos Generales'!$A$19=1,AVERAGE(FP138:GD138),AVERAGE(Captura!FP138:FY138)))</f>
        <v/>
      </c>
      <c r="CX138" s="138" t="e">
        <f>IF(VLOOKUP(CONCATENATE($H$4,$F$4,CX$2),Español!$A:$H,7,FALSE)=L138,1,0)</f>
        <v>#N/A</v>
      </c>
      <c r="CY138" s="138" t="e">
        <f>IF(VLOOKUP(CONCATENATE(H138,F138,CY$2),Español!$A:$H,7,FALSE)=M138,1,0)</f>
        <v>#N/A</v>
      </c>
      <c r="CZ138" s="138" t="e">
        <f>IF(VLOOKUP(CONCATENATE(H138,F138,CZ$2),Español!$A:$H,7,FALSE)=N138,1,0)</f>
        <v>#N/A</v>
      </c>
      <c r="DA138" s="138" t="e">
        <f>IF(VLOOKUP(CONCATENATE(H138,F138,DA$2),Español!$A:$H,7,FALSE)=O138,1,0)</f>
        <v>#N/A</v>
      </c>
      <c r="DB138" s="138" t="e">
        <f>IF(VLOOKUP(CONCATENATE(H138,F138,DB$2),Español!$A:$H,7,FALSE)=P138,1,0)</f>
        <v>#N/A</v>
      </c>
      <c r="DC138" s="138" t="e">
        <f>IF(VLOOKUP(CONCATENATE(H138,F138,DC$2),Español!$A:$H,7,FALSE)=Q138,1,0)</f>
        <v>#N/A</v>
      </c>
      <c r="DD138" s="138" t="e">
        <f>IF(VLOOKUP(CONCATENATE(H138,F138,DD$2),Español!$A:$H,7,FALSE)=R138,1,0)</f>
        <v>#N/A</v>
      </c>
      <c r="DE138" s="138" t="e">
        <f>IF(VLOOKUP(CONCATENATE(H138,F138,DE$2),Español!$A:$H,7,FALSE)=S138,1,0)</f>
        <v>#N/A</v>
      </c>
      <c r="DF138" s="138" t="e">
        <f>IF(VLOOKUP(CONCATENATE(H138,F138,DF$2),Español!$A:$H,7,FALSE)=T138,1,0)</f>
        <v>#N/A</v>
      </c>
      <c r="DG138" s="138" t="e">
        <f>IF(VLOOKUP(CONCATENATE(H138,F138,DG$2),Español!$A:$H,7,FALSE)=U138,1,0)</f>
        <v>#N/A</v>
      </c>
      <c r="DH138" s="138" t="e">
        <f>IF(VLOOKUP(CONCATENATE(H138,F138,DH$2),Español!$A:$H,7,FALSE)=V138,1,0)</f>
        <v>#N/A</v>
      </c>
      <c r="DI138" s="138" t="e">
        <f>IF(VLOOKUP(CONCATENATE(H138,F138,DI$2),Español!$A:$H,7,FALSE)=W138,1,0)</f>
        <v>#N/A</v>
      </c>
      <c r="DJ138" s="138" t="e">
        <f>IF(VLOOKUP(CONCATENATE(H138,F138,DJ$2),Español!$A:$H,7,FALSE)=X138,1,0)</f>
        <v>#N/A</v>
      </c>
      <c r="DK138" s="138" t="e">
        <f>IF(VLOOKUP(CONCATENATE(H138,F138,DK$2),Español!$A:$H,7,FALSE)=Y138,1,0)</f>
        <v>#N/A</v>
      </c>
      <c r="DL138" s="138" t="e">
        <f>IF(VLOOKUP(CONCATENATE(H138,F138,DL$2),Español!$A:$H,7,FALSE)=Z138,1,0)</f>
        <v>#N/A</v>
      </c>
      <c r="DM138" s="138" t="e">
        <f>IF(VLOOKUP(CONCATENATE(H138,F138,DM$2),Español!$A:$H,7,FALSE)=AA138,1,0)</f>
        <v>#N/A</v>
      </c>
      <c r="DN138" s="138" t="e">
        <f>IF(VLOOKUP(CONCATENATE(H138,F138,DN$2),Español!$A:$H,7,FALSE)=AB138,1,0)</f>
        <v>#N/A</v>
      </c>
      <c r="DO138" s="138" t="e">
        <f>IF(VLOOKUP(CONCATENATE(H138,F138,DO$2),Español!$A:$H,7,FALSE)=AC138,1,0)</f>
        <v>#N/A</v>
      </c>
      <c r="DP138" s="138" t="e">
        <f>IF(VLOOKUP(CONCATENATE(H138,F138,DP$2),Español!$A:$H,7,FALSE)=AD138,1,0)</f>
        <v>#N/A</v>
      </c>
      <c r="DQ138" s="138" t="e">
        <f>IF(VLOOKUP(CONCATENATE(H138,F138,DQ$2),Español!$A:$H,7,FALSE)=AE138,1,0)</f>
        <v>#N/A</v>
      </c>
      <c r="DR138" s="138" t="e">
        <f>IF(VLOOKUP(CONCATENATE(H138,F138,DR$2),Inglés!$A:$H,7,FALSE)=AF138,1,0)</f>
        <v>#N/A</v>
      </c>
      <c r="DS138" s="138" t="e">
        <f>IF(VLOOKUP(CONCATENATE(H138,F138,DS$2),Inglés!$A:$H,7,FALSE)=AG138,1,0)</f>
        <v>#N/A</v>
      </c>
      <c r="DT138" s="138" t="e">
        <f>IF(VLOOKUP(CONCATENATE(H138,F138,DT$2),Inglés!$A:$H,7,FALSE)=AH138,1,0)</f>
        <v>#N/A</v>
      </c>
      <c r="DU138" s="138" t="e">
        <f>IF(VLOOKUP(CONCATENATE(H138,F138,DU$2),Inglés!$A:$H,7,FALSE)=AI138,1,0)</f>
        <v>#N/A</v>
      </c>
      <c r="DV138" s="138" t="e">
        <f>IF(VLOOKUP(CONCATENATE(H138,F138,DV$2),Inglés!$A:$H,7,FALSE)=AJ138,1,0)</f>
        <v>#N/A</v>
      </c>
      <c r="DW138" s="138" t="e">
        <f>IF(VLOOKUP(CONCATENATE(H138,F138,DW$2),Inglés!$A:$H,7,FALSE)=AK138,1,0)</f>
        <v>#N/A</v>
      </c>
      <c r="DX138" s="138" t="e">
        <f>IF(VLOOKUP(CONCATENATE(H138,F138,DX$2),Inglés!$A:$H,7,FALSE)=AL138,1,0)</f>
        <v>#N/A</v>
      </c>
      <c r="DY138" s="138" t="e">
        <f>IF(VLOOKUP(CONCATENATE(H138,F138,DY$2),Inglés!$A:$H,7,FALSE)=AM138,1,0)</f>
        <v>#N/A</v>
      </c>
      <c r="DZ138" s="138" t="e">
        <f>IF(VLOOKUP(CONCATENATE(H138,F138,DZ$2),Inglés!$A:$H,7,FALSE)=AN138,1,0)</f>
        <v>#N/A</v>
      </c>
      <c r="EA138" s="138" t="e">
        <f>IF(VLOOKUP(CONCATENATE(H138,F138,EA$2),Inglés!$A:$H,7,FALSE)=AO138,1,0)</f>
        <v>#N/A</v>
      </c>
      <c r="EB138" s="138" t="e">
        <f>IF(VLOOKUP(CONCATENATE(H138,F138,EB$2),Matemáticas!$A:$H,7,FALSE)=AP138,1,0)</f>
        <v>#N/A</v>
      </c>
      <c r="EC138" s="138" t="e">
        <f>IF(VLOOKUP(CONCATENATE(H138,F138,EC$2),Matemáticas!$A:$H,7,FALSE)=AQ138,1,0)</f>
        <v>#N/A</v>
      </c>
      <c r="ED138" s="138" t="e">
        <f>IF(VLOOKUP(CONCATENATE(H138,F138,ED$2),Matemáticas!$A:$H,7,FALSE)=AR138,1,0)</f>
        <v>#N/A</v>
      </c>
      <c r="EE138" s="138" t="e">
        <f>IF(VLOOKUP(CONCATENATE(H138,F138,EE$2),Matemáticas!$A:$H,7,FALSE)=AS138,1,0)</f>
        <v>#N/A</v>
      </c>
      <c r="EF138" s="138" t="e">
        <f>IF(VLOOKUP(CONCATENATE(H138,F138,EF$2),Matemáticas!$A:$H,7,FALSE)=AT138,1,0)</f>
        <v>#N/A</v>
      </c>
      <c r="EG138" s="138" t="e">
        <f>IF(VLOOKUP(CONCATENATE(H138,F138,EG$2),Matemáticas!$A:$H,7,FALSE)=AU138,1,0)</f>
        <v>#N/A</v>
      </c>
      <c r="EH138" s="138" t="e">
        <f>IF(VLOOKUP(CONCATENATE(H138,F138,EH$2),Matemáticas!$A:$H,7,FALSE)=AV138,1,0)</f>
        <v>#N/A</v>
      </c>
      <c r="EI138" s="138" t="e">
        <f>IF(VLOOKUP(CONCATENATE(H138,F138,EI$2),Matemáticas!$A:$H,7,FALSE)=AW138,1,0)</f>
        <v>#N/A</v>
      </c>
      <c r="EJ138" s="138" t="e">
        <f>IF(VLOOKUP(CONCATENATE(H138,F138,EJ$2),Matemáticas!$A:$H,7,FALSE)=AX138,1,0)</f>
        <v>#N/A</v>
      </c>
      <c r="EK138" s="138" t="e">
        <f>IF(VLOOKUP(CONCATENATE(H138,F138,EK$2),Matemáticas!$A:$H,7,FALSE)=AY138,1,0)</f>
        <v>#N/A</v>
      </c>
      <c r="EL138" s="138" t="e">
        <f>IF(VLOOKUP(CONCATENATE(H138,F138,EL$2),Matemáticas!$A:$H,7,FALSE)=AZ138,1,0)</f>
        <v>#N/A</v>
      </c>
      <c r="EM138" s="138" t="e">
        <f>IF(VLOOKUP(CONCATENATE(H138,F138,EM$2),Matemáticas!$A:$H,7,FALSE)=BA138,1,0)</f>
        <v>#N/A</v>
      </c>
      <c r="EN138" s="138" t="e">
        <f>IF(VLOOKUP(CONCATENATE(H138,F138,EN$2),Matemáticas!$A:$H,7,FALSE)=BB138,1,0)</f>
        <v>#N/A</v>
      </c>
      <c r="EO138" s="138" t="e">
        <f>IF(VLOOKUP(CONCATENATE(H138,F138,EO$2),Matemáticas!$A:$H,7,FALSE)=BC138,1,0)</f>
        <v>#N/A</v>
      </c>
      <c r="EP138" s="138" t="e">
        <f>IF(VLOOKUP(CONCATENATE(H138,F138,EP$2),Matemáticas!$A:$H,7,FALSE)=BD138,1,0)</f>
        <v>#N/A</v>
      </c>
      <c r="EQ138" s="138" t="e">
        <f>IF(VLOOKUP(CONCATENATE(H138,F138,EQ$2),Matemáticas!$A:$H,7,FALSE)=BE138,1,0)</f>
        <v>#N/A</v>
      </c>
      <c r="ER138" s="138" t="e">
        <f>IF(VLOOKUP(CONCATENATE(H138,F138,ER$2),Matemáticas!$A:$H,7,FALSE)=BF138,1,0)</f>
        <v>#N/A</v>
      </c>
      <c r="ES138" s="138" t="e">
        <f>IF(VLOOKUP(CONCATENATE(H138,F138,ES$2),Matemáticas!$A:$H,7,FALSE)=BG138,1,0)</f>
        <v>#N/A</v>
      </c>
      <c r="ET138" s="138" t="e">
        <f>IF(VLOOKUP(CONCATENATE(H138,F138,ET$2),Matemáticas!$A:$H,7,FALSE)=BH138,1,0)</f>
        <v>#N/A</v>
      </c>
      <c r="EU138" s="138" t="e">
        <f>IF(VLOOKUP(CONCATENATE(H138,F138,EU$2),Matemáticas!$A:$H,7,FALSE)=BI138,1,0)</f>
        <v>#N/A</v>
      </c>
      <c r="EV138" s="138" t="e">
        <f>IF(VLOOKUP(CONCATENATE(H138,F138,EV$2),Ciencias!$A:$H,7,FALSE)=BJ138,1,0)</f>
        <v>#N/A</v>
      </c>
      <c r="EW138" s="138" t="e">
        <f>IF(VLOOKUP(CONCATENATE(H138,F138,EW$2),Ciencias!$A:$H,7,FALSE)=BK138,1,0)</f>
        <v>#N/A</v>
      </c>
      <c r="EX138" s="138" t="e">
        <f>IF(VLOOKUP(CONCATENATE(H138,F138,EX$2),Ciencias!$A:$H,7,FALSE)=BL138,1,0)</f>
        <v>#N/A</v>
      </c>
      <c r="EY138" s="138" t="e">
        <f>IF(VLOOKUP(CONCATENATE(H138,F138,EY$2),Ciencias!$A:$H,7,FALSE)=BM138,1,0)</f>
        <v>#N/A</v>
      </c>
      <c r="EZ138" s="138" t="e">
        <f>IF(VLOOKUP(CONCATENATE(H138,F138,EZ$2),Ciencias!$A:$H,7,FALSE)=BN138,1,0)</f>
        <v>#N/A</v>
      </c>
      <c r="FA138" s="138" t="e">
        <f>IF(VLOOKUP(CONCATENATE(H138,F138,FA$2),Ciencias!$A:$H,7,FALSE)=BO138,1,0)</f>
        <v>#N/A</v>
      </c>
      <c r="FB138" s="138" t="e">
        <f>IF(VLOOKUP(CONCATENATE(H138,F138,FB$2),Ciencias!$A:$H,7,FALSE)=BP138,1,0)</f>
        <v>#N/A</v>
      </c>
      <c r="FC138" s="138" t="e">
        <f>IF(VLOOKUP(CONCATENATE(H138,F138,FC$2),Ciencias!$A:$H,7,FALSE)=BQ138,1,0)</f>
        <v>#N/A</v>
      </c>
      <c r="FD138" s="138" t="e">
        <f>IF(VLOOKUP(CONCATENATE(H138,F138,FD$2),Ciencias!$A:$H,7,FALSE)=BR138,1,0)</f>
        <v>#N/A</v>
      </c>
      <c r="FE138" s="138" t="e">
        <f>IF(VLOOKUP(CONCATENATE(H138,F138,FE$2),Ciencias!$A:$H,7,FALSE)=BS138,1,0)</f>
        <v>#N/A</v>
      </c>
      <c r="FF138" s="138" t="e">
        <f>IF(VLOOKUP(CONCATENATE(H138,F138,FF$2),Ciencias!$A:$H,7,FALSE)=BT138,1,0)</f>
        <v>#N/A</v>
      </c>
      <c r="FG138" s="138" t="e">
        <f>IF(VLOOKUP(CONCATENATE(H138,F138,FG$2),Ciencias!$A:$H,7,FALSE)=BU138,1,0)</f>
        <v>#N/A</v>
      </c>
      <c r="FH138" s="138" t="e">
        <f>IF(VLOOKUP(CONCATENATE(H138,F138,FH$2),Ciencias!$A:$H,7,FALSE)=BV138,1,0)</f>
        <v>#N/A</v>
      </c>
      <c r="FI138" s="138" t="e">
        <f>IF(VLOOKUP(CONCATENATE(H138,F138,FI$2),Ciencias!$A:$H,7,FALSE)=BW138,1,0)</f>
        <v>#N/A</v>
      </c>
      <c r="FJ138" s="138" t="e">
        <f>IF(VLOOKUP(CONCATENATE(H138,F138,FJ$2),Ciencias!$A:$H,7,FALSE)=BX138,1,0)</f>
        <v>#N/A</v>
      </c>
      <c r="FK138" s="138" t="e">
        <f>IF(VLOOKUP(CONCATENATE(H138,F138,FK$2),Ciencias!$A:$H,7,FALSE)=BY138,1,0)</f>
        <v>#N/A</v>
      </c>
      <c r="FL138" s="138" t="e">
        <f>IF(VLOOKUP(CONCATENATE(H138,F138,FL$2),Ciencias!$A:$H,7,FALSE)=BZ138,1,0)</f>
        <v>#N/A</v>
      </c>
      <c r="FM138" s="138" t="e">
        <f>IF(VLOOKUP(CONCATENATE(H138,F138,FM$2),Ciencias!$A:$H,7,FALSE)=CA138,1,0)</f>
        <v>#N/A</v>
      </c>
      <c r="FN138" s="138" t="e">
        <f>IF(VLOOKUP(CONCATENATE(H138,F138,FN$2),Ciencias!$A:$H,7,FALSE)=CB138,1,0)</f>
        <v>#N/A</v>
      </c>
      <c r="FO138" s="138" t="e">
        <f>IF(VLOOKUP(CONCATENATE(H138,F138,FO$2),Ciencias!$A:$H,7,FALSE)=CC138,1,0)</f>
        <v>#N/A</v>
      </c>
      <c r="FP138" s="138" t="e">
        <f>IF(VLOOKUP(CONCATENATE(H138,F138,FP$2),GeoHis!$A:$H,7,FALSE)=CD138,1,0)</f>
        <v>#N/A</v>
      </c>
      <c r="FQ138" s="138" t="e">
        <f>IF(VLOOKUP(CONCATENATE(H138,F138,FQ$2),GeoHis!$A:$H,7,FALSE)=CE138,1,0)</f>
        <v>#N/A</v>
      </c>
      <c r="FR138" s="138" t="e">
        <f>IF(VLOOKUP(CONCATENATE(H138,F138,FR$2),GeoHis!$A:$H,7,FALSE)=CF138,1,0)</f>
        <v>#N/A</v>
      </c>
      <c r="FS138" s="138" t="e">
        <f>IF(VLOOKUP(CONCATENATE(H138,F138,FS$2),GeoHis!$A:$H,7,FALSE)=CG138,1,0)</f>
        <v>#N/A</v>
      </c>
      <c r="FT138" s="138" t="e">
        <f>IF(VLOOKUP(CONCATENATE(H138,F138,FT$2),GeoHis!$A:$H,7,FALSE)=CH138,1,0)</f>
        <v>#N/A</v>
      </c>
      <c r="FU138" s="138" t="e">
        <f>IF(VLOOKUP(CONCATENATE(H138,F138,FU$2),GeoHis!$A:$H,7,FALSE)=CI138,1,0)</f>
        <v>#N/A</v>
      </c>
      <c r="FV138" s="138" t="e">
        <f>IF(VLOOKUP(CONCATENATE(H138,F138,FV$2),GeoHis!$A:$H,7,FALSE)=CJ138,1,0)</f>
        <v>#N/A</v>
      </c>
      <c r="FW138" s="138" t="e">
        <f>IF(VLOOKUP(CONCATENATE(H138,F138,FW$2),GeoHis!$A:$H,7,FALSE)=CK138,1,0)</f>
        <v>#N/A</v>
      </c>
      <c r="FX138" s="138" t="e">
        <f>IF(VLOOKUP(CONCATENATE(H138,F138,FX$2),GeoHis!$A:$H,7,FALSE)=CL138,1,0)</f>
        <v>#N/A</v>
      </c>
      <c r="FY138" s="138" t="e">
        <f>IF(VLOOKUP(CONCATENATE(H138,F138,FY$2),GeoHis!$A:$H,7,FALSE)=CM138,1,0)</f>
        <v>#N/A</v>
      </c>
      <c r="FZ138" s="138" t="e">
        <f>IF(VLOOKUP(CONCATENATE(H138,F138,FZ$2),GeoHis!$A:$H,7,FALSE)=CN138,1,0)</f>
        <v>#N/A</v>
      </c>
      <c r="GA138" s="138" t="e">
        <f>IF(VLOOKUP(CONCATENATE(H138,F138,GA$2),GeoHis!$A:$H,7,FALSE)=CO138,1,0)</f>
        <v>#N/A</v>
      </c>
      <c r="GB138" s="138" t="e">
        <f>IF(VLOOKUP(CONCATENATE(H138,F138,GB$2),GeoHis!$A:$H,7,FALSE)=CP138,1,0)</f>
        <v>#N/A</v>
      </c>
      <c r="GC138" s="138" t="e">
        <f>IF(VLOOKUP(CONCATENATE(H138,F138,GC$2),GeoHis!$A:$H,7,FALSE)=CQ138,1,0)</f>
        <v>#N/A</v>
      </c>
      <c r="GD138" s="138" t="e">
        <f>IF(VLOOKUP(CONCATENATE(H138,F138,GD$2),GeoHis!$A:$H,7,FALSE)=CR138,1,0)</f>
        <v>#N/A</v>
      </c>
      <c r="GE138" s="135" t="str">
        <f t="shared" si="23"/>
        <v/>
      </c>
    </row>
    <row r="139" spans="1:187" x14ac:dyDescent="0.25">
      <c r="A139" s="127" t="str">
        <f>IF(C139="","",'Datos Generales'!$A$25)</f>
        <v/>
      </c>
      <c r="D139" s="126" t="str">
        <f t="shared" si="16"/>
        <v/>
      </c>
      <c r="E139" s="126">
        <f t="shared" si="17"/>
        <v>0</v>
      </c>
      <c r="F139" s="126" t="str">
        <f t="shared" si="18"/>
        <v/>
      </c>
      <c r="G139" s="126" t="str">
        <f>IF(C139="","",'Datos Generales'!$D$19)</f>
        <v/>
      </c>
      <c r="H139" s="21" t="str">
        <f>IF(C139="","",'Datos Generales'!$A$19)</f>
        <v/>
      </c>
      <c r="I139" s="126" t="str">
        <f>IF(C139="","",'Datos Generales'!$A$7)</f>
        <v/>
      </c>
      <c r="J139" s="21" t="str">
        <f>IF(C139="","",'Datos Generales'!$A$13)</f>
        <v/>
      </c>
      <c r="K139" s="21" t="str">
        <f>IF(C139="","",'Datos Generales'!$A$10)</f>
        <v/>
      </c>
      <c r="CS139" s="142" t="str">
        <f t="shared" si="19"/>
        <v/>
      </c>
      <c r="CT139" s="142" t="str">
        <f t="shared" si="20"/>
        <v/>
      </c>
      <c r="CU139" s="142" t="str">
        <f t="shared" si="21"/>
        <v/>
      </c>
      <c r="CV139" s="142" t="str">
        <f t="shared" si="22"/>
        <v/>
      </c>
      <c r="CW139" s="142" t="str">
        <f>IF(C139="","",IF('Datos Generales'!$A$19=1,AVERAGE(FP139:GD139),AVERAGE(Captura!FP139:FY139)))</f>
        <v/>
      </c>
      <c r="CX139" s="138" t="e">
        <f>IF(VLOOKUP(CONCATENATE($H$4,$F$4,CX$2),Español!$A:$H,7,FALSE)=L139,1,0)</f>
        <v>#N/A</v>
      </c>
      <c r="CY139" s="138" t="e">
        <f>IF(VLOOKUP(CONCATENATE(H139,F139,CY$2),Español!$A:$H,7,FALSE)=M139,1,0)</f>
        <v>#N/A</v>
      </c>
      <c r="CZ139" s="138" t="e">
        <f>IF(VLOOKUP(CONCATENATE(H139,F139,CZ$2),Español!$A:$H,7,FALSE)=N139,1,0)</f>
        <v>#N/A</v>
      </c>
      <c r="DA139" s="138" t="e">
        <f>IF(VLOOKUP(CONCATENATE(H139,F139,DA$2),Español!$A:$H,7,FALSE)=O139,1,0)</f>
        <v>#N/A</v>
      </c>
      <c r="DB139" s="138" t="e">
        <f>IF(VLOOKUP(CONCATENATE(H139,F139,DB$2),Español!$A:$H,7,FALSE)=P139,1,0)</f>
        <v>#N/A</v>
      </c>
      <c r="DC139" s="138" t="e">
        <f>IF(VLOOKUP(CONCATENATE(H139,F139,DC$2),Español!$A:$H,7,FALSE)=Q139,1,0)</f>
        <v>#N/A</v>
      </c>
      <c r="DD139" s="138" t="e">
        <f>IF(VLOOKUP(CONCATENATE(H139,F139,DD$2),Español!$A:$H,7,FALSE)=R139,1,0)</f>
        <v>#N/A</v>
      </c>
      <c r="DE139" s="138" t="e">
        <f>IF(VLOOKUP(CONCATENATE(H139,F139,DE$2),Español!$A:$H,7,FALSE)=S139,1,0)</f>
        <v>#N/A</v>
      </c>
      <c r="DF139" s="138" t="e">
        <f>IF(VLOOKUP(CONCATENATE(H139,F139,DF$2),Español!$A:$H,7,FALSE)=T139,1,0)</f>
        <v>#N/A</v>
      </c>
      <c r="DG139" s="138" t="e">
        <f>IF(VLOOKUP(CONCATENATE(H139,F139,DG$2),Español!$A:$H,7,FALSE)=U139,1,0)</f>
        <v>#N/A</v>
      </c>
      <c r="DH139" s="138" t="e">
        <f>IF(VLOOKUP(CONCATENATE(H139,F139,DH$2),Español!$A:$H,7,FALSE)=V139,1,0)</f>
        <v>#N/A</v>
      </c>
      <c r="DI139" s="138" t="e">
        <f>IF(VLOOKUP(CONCATENATE(H139,F139,DI$2),Español!$A:$H,7,FALSE)=W139,1,0)</f>
        <v>#N/A</v>
      </c>
      <c r="DJ139" s="138" t="e">
        <f>IF(VLOOKUP(CONCATENATE(H139,F139,DJ$2),Español!$A:$H,7,FALSE)=X139,1,0)</f>
        <v>#N/A</v>
      </c>
      <c r="DK139" s="138" t="e">
        <f>IF(VLOOKUP(CONCATENATE(H139,F139,DK$2),Español!$A:$H,7,FALSE)=Y139,1,0)</f>
        <v>#N/A</v>
      </c>
      <c r="DL139" s="138" t="e">
        <f>IF(VLOOKUP(CONCATENATE(H139,F139,DL$2),Español!$A:$H,7,FALSE)=Z139,1,0)</f>
        <v>#N/A</v>
      </c>
      <c r="DM139" s="138" t="e">
        <f>IF(VLOOKUP(CONCATENATE(H139,F139,DM$2),Español!$A:$H,7,FALSE)=AA139,1,0)</f>
        <v>#N/A</v>
      </c>
      <c r="DN139" s="138" t="e">
        <f>IF(VLOOKUP(CONCATENATE(H139,F139,DN$2),Español!$A:$H,7,FALSE)=AB139,1,0)</f>
        <v>#N/A</v>
      </c>
      <c r="DO139" s="138" t="e">
        <f>IF(VLOOKUP(CONCATENATE(H139,F139,DO$2),Español!$A:$H,7,FALSE)=AC139,1,0)</f>
        <v>#N/A</v>
      </c>
      <c r="DP139" s="138" t="e">
        <f>IF(VLOOKUP(CONCATENATE(H139,F139,DP$2),Español!$A:$H,7,FALSE)=AD139,1,0)</f>
        <v>#N/A</v>
      </c>
      <c r="DQ139" s="138" t="e">
        <f>IF(VLOOKUP(CONCATENATE(H139,F139,DQ$2),Español!$A:$H,7,FALSE)=AE139,1,0)</f>
        <v>#N/A</v>
      </c>
      <c r="DR139" s="138" t="e">
        <f>IF(VLOOKUP(CONCATENATE(H139,F139,DR$2),Inglés!$A:$H,7,FALSE)=AF139,1,0)</f>
        <v>#N/A</v>
      </c>
      <c r="DS139" s="138" t="e">
        <f>IF(VLOOKUP(CONCATENATE(H139,F139,DS$2),Inglés!$A:$H,7,FALSE)=AG139,1,0)</f>
        <v>#N/A</v>
      </c>
      <c r="DT139" s="138" t="e">
        <f>IF(VLOOKUP(CONCATENATE(H139,F139,DT$2),Inglés!$A:$H,7,FALSE)=AH139,1,0)</f>
        <v>#N/A</v>
      </c>
      <c r="DU139" s="138" t="e">
        <f>IF(VLOOKUP(CONCATENATE(H139,F139,DU$2),Inglés!$A:$H,7,FALSE)=AI139,1,0)</f>
        <v>#N/A</v>
      </c>
      <c r="DV139" s="138" t="e">
        <f>IF(VLOOKUP(CONCATENATE(H139,F139,DV$2),Inglés!$A:$H,7,FALSE)=AJ139,1,0)</f>
        <v>#N/A</v>
      </c>
      <c r="DW139" s="138" t="e">
        <f>IF(VLOOKUP(CONCATENATE(H139,F139,DW$2),Inglés!$A:$H,7,FALSE)=AK139,1,0)</f>
        <v>#N/A</v>
      </c>
      <c r="DX139" s="138" t="e">
        <f>IF(VLOOKUP(CONCATENATE(H139,F139,DX$2),Inglés!$A:$H,7,FALSE)=AL139,1,0)</f>
        <v>#N/A</v>
      </c>
      <c r="DY139" s="138" t="e">
        <f>IF(VLOOKUP(CONCATENATE(H139,F139,DY$2),Inglés!$A:$H,7,FALSE)=AM139,1,0)</f>
        <v>#N/A</v>
      </c>
      <c r="DZ139" s="138" t="e">
        <f>IF(VLOOKUP(CONCATENATE(H139,F139,DZ$2),Inglés!$A:$H,7,FALSE)=AN139,1,0)</f>
        <v>#N/A</v>
      </c>
      <c r="EA139" s="138" t="e">
        <f>IF(VLOOKUP(CONCATENATE(H139,F139,EA$2),Inglés!$A:$H,7,FALSE)=AO139,1,0)</f>
        <v>#N/A</v>
      </c>
      <c r="EB139" s="138" t="e">
        <f>IF(VLOOKUP(CONCATENATE(H139,F139,EB$2),Matemáticas!$A:$H,7,FALSE)=AP139,1,0)</f>
        <v>#N/A</v>
      </c>
      <c r="EC139" s="138" t="e">
        <f>IF(VLOOKUP(CONCATENATE(H139,F139,EC$2),Matemáticas!$A:$H,7,FALSE)=AQ139,1,0)</f>
        <v>#N/A</v>
      </c>
      <c r="ED139" s="138" t="e">
        <f>IF(VLOOKUP(CONCATENATE(H139,F139,ED$2),Matemáticas!$A:$H,7,FALSE)=AR139,1,0)</f>
        <v>#N/A</v>
      </c>
      <c r="EE139" s="138" t="e">
        <f>IF(VLOOKUP(CONCATENATE(H139,F139,EE$2),Matemáticas!$A:$H,7,FALSE)=AS139,1,0)</f>
        <v>#N/A</v>
      </c>
      <c r="EF139" s="138" t="e">
        <f>IF(VLOOKUP(CONCATENATE(H139,F139,EF$2),Matemáticas!$A:$H,7,FALSE)=AT139,1,0)</f>
        <v>#N/A</v>
      </c>
      <c r="EG139" s="138" t="e">
        <f>IF(VLOOKUP(CONCATENATE(H139,F139,EG$2),Matemáticas!$A:$H,7,FALSE)=AU139,1,0)</f>
        <v>#N/A</v>
      </c>
      <c r="EH139" s="138" t="e">
        <f>IF(VLOOKUP(CONCATENATE(H139,F139,EH$2),Matemáticas!$A:$H,7,FALSE)=AV139,1,0)</f>
        <v>#N/A</v>
      </c>
      <c r="EI139" s="138" t="e">
        <f>IF(VLOOKUP(CONCATENATE(H139,F139,EI$2),Matemáticas!$A:$H,7,FALSE)=AW139,1,0)</f>
        <v>#N/A</v>
      </c>
      <c r="EJ139" s="138" t="e">
        <f>IF(VLOOKUP(CONCATENATE(H139,F139,EJ$2),Matemáticas!$A:$H,7,FALSE)=AX139,1,0)</f>
        <v>#N/A</v>
      </c>
      <c r="EK139" s="138" t="e">
        <f>IF(VLOOKUP(CONCATENATE(H139,F139,EK$2),Matemáticas!$A:$H,7,FALSE)=AY139,1,0)</f>
        <v>#N/A</v>
      </c>
      <c r="EL139" s="138" t="e">
        <f>IF(VLOOKUP(CONCATENATE(H139,F139,EL$2),Matemáticas!$A:$H,7,FALSE)=AZ139,1,0)</f>
        <v>#N/A</v>
      </c>
      <c r="EM139" s="138" t="e">
        <f>IF(VLOOKUP(CONCATENATE(H139,F139,EM$2),Matemáticas!$A:$H,7,FALSE)=BA139,1,0)</f>
        <v>#N/A</v>
      </c>
      <c r="EN139" s="138" t="e">
        <f>IF(VLOOKUP(CONCATENATE(H139,F139,EN$2),Matemáticas!$A:$H,7,FALSE)=BB139,1,0)</f>
        <v>#N/A</v>
      </c>
      <c r="EO139" s="138" t="e">
        <f>IF(VLOOKUP(CONCATENATE(H139,F139,EO$2),Matemáticas!$A:$H,7,FALSE)=BC139,1,0)</f>
        <v>#N/A</v>
      </c>
      <c r="EP139" s="138" t="e">
        <f>IF(VLOOKUP(CONCATENATE(H139,F139,EP$2),Matemáticas!$A:$H,7,FALSE)=BD139,1,0)</f>
        <v>#N/A</v>
      </c>
      <c r="EQ139" s="138" t="e">
        <f>IF(VLOOKUP(CONCATENATE(H139,F139,EQ$2),Matemáticas!$A:$H,7,FALSE)=BE139,1,0)</f>
        <v>#N/A</v>
      </c>
      <c r="ER139" s="138" t="e">
        <f>IF(VLOOKUP(CONCATENATE(H139,F139,ER$2),Matemáticas!$A:$H,7,FALSE)=BF139,1,0)</f>
        <v>#N/A</v>
      </c>
      <c r="ES139" s="138" t="e">
        <f>IF(VLOOKUP(CONCATENATE(H139,F139,ES$2),Matemáticas!$A:$H,7,FALSE)=BG139,1,0)</f>
        <v>#N/A</v>
      </c>
      <c r="ET139" s="138" t="e">
        <f>IF(VLOOKUP(CONCATENATE(H139,F139,ET$2),Matemáticas!$A:$H,7,FALSE)=BH139,1,0)</f>
        <v>#N/A</v>
      </c>
      <c r="EU139" s="138" t="e">
        <f>IF(VLOOKUP(CONCATENATE(H139,F139,EU$2),Matemáticas!$A:$H,7,FALSE)=BI139,1,0)</f>
        <v>#N/A</v>
      </c>
      <c r="EV139" s="138" t="e">
        <f>IF(VLOOKUP(CONCATENATE(H139,F139,EV$2),Ciencias!$A:$H,7,FALSE)=BJ139,1,0)</f>
        <v>#N/A</v>
      </c>
      <c r="EW139" s="138" t="e">
        <f>IF(VLOOKUP(CONCATENATE(H139,F139,EW$2),Ciencias!$A:$H,7,FALSE)=BK139,1,0)</f>
        <v>#N/A</v>
      </c>
      <c r="EX139" s="138" t="e">
        <f>IF(VLOOKUP(CONCATENATE(H139,F139,EX$2),Ciencias!$A:$H,7,FALSE)=BL139,1,0)</f>
        <v>#N/A</v>
      </c>
      <c r="EY139" s="138" t="e">
        <f>IF(VLOOKUP(CONCATENATE(H139,F139,EY$2),Ciencias!$A:$H,7,FALSE)=BM139,1,0)</f>
        <v>#N/A</v>
      </c>
      <c r="EZ139" s="138" t="e">
        <f>IF(VLOOKUP(CONCATENATE(H139,F139,EZ$2),Ciencias!$A:$H,7,FALSE)=BN139,1,0)</f>
        <v>#N/A</v>
      </c>
      <c r="FA139" s="138" t="e">
        <f>IF(VLOOKUP(CONCATENATE(H139,F139,FA$2),Ciencias!$A:$H,7,FALSE)=BO139,1,0)</f>
        <v>#N/A</v>
      </c>
      <c r="FB139" s="138" t="e">
        <f>IF(VLOOKUP(CONCATENATE(H139,F139,FB$2),Ciencias!$A:$H,7,FALSE)=BP139,1,0)</f>
        <v>#N/A</v>
      </c>
      <c r="FC139" s="138" t="e">
        <f>IF(VLOOKUP(CONCATENATE(H139,F139,FC$2),Ciencias!$A:$H,7,FALSE)=BQ139,1,0)</f>
        <v>#N/A</v>
      </c>
      <c r="FD139" s="138" t="e">
        <f>IF(VLOOKUP(CONCATENATE(H139,F139,FD$2),Ciencias!$A:$H,7,FALSE)=BR139,1,0)</f>
        <v>#N/A</v>
      </c>
      <c r="FE139" s="138" t="e">
        <f>IF(VLOOKUP(CONCATENATE(H139,F139,FE$2),Ciencias!$A:$H,7,FALSE)=BS139,1,0)</f>
        <v>#N/A</v>
      </c>
      <c r="FF139" s="138" t="e">
        <f>IF(VLOOKUP(CONCATENATE(H139,F139,FF$2),Ciencias!$A:$H,7,FALSE)=BT139,1,0)</f>
        <v>#N/A</v>
      </c>
      <c r="FG139" s="138" t="e">
        <f>IF(VLOOKUP(CONCATENATE(H139,F139,FG$2),Ciencias!$A:$H,7,FALSE)=BU139,1,0)</f>
        <v>#N/A</v>
      </c>
      <c r="FH139" s="138" t="e">
        <f>IF(VLOOKUP(CONCATENATE(H139,F139,FH$2),Ciencias!$A:$H,7,FALSE)=BV139,1,0)</f>
        <v>#N/A</v>
      </c>
      <c r="FI139" s="138" t="e">
        <f>IF(VLOOKUP(CONCATENATE(H139,F139,FI$2),Ciencias!$A:$H,7,FALSE)=BW139,1,0)</f>
        <v>#N/A</v>
      </c>
      <c r="FJ139" s="138" t="e">
        <f>IF(VLOOKUP(CONCATENATE(H139,F139,FJ$2),Ciencias!$A:$H,7,FALSE)=BX139,1,0)</f>
        <v>#N/A</v>
      </c>
      <c r="FK139" s="138" t="e">
        <f>IF(VLOOKUP(CONCATENATE(H139,F139,FK$2),Ciencias!$A:$H,7,FALSE)=BY139,1,0)</f>
        <v>#N/A</v>
      </c>
      <c r="FL139" s="138" t="e">
        <f>IF(VLOOKUP(CONCATENATE(H139,F139,FL$2),Ciencias!$A:$H,7,FALSE)=BZ139,1,0)</f>
        <v>#N/A</v>
      </c>
      <c r="FM139" s="138" t="e">
        <f>IF(VLOOKUP(CONCATENATE(H139,F139,FM$2),Ciencias!$A:$H,7,FALSE)=CA139,1,0)</f>
        <v>#N/A</v>
      </c>
      <c r="FN139" s="138" t="e">
        <f>IF(VLOOKUP(CONCATENATE(H139,F139,FN$2),Ciencias!$A:$H,7,FALSE)=CB139,1,0)</f>
        <v>#N/A</v>
      </c>
      <c r="FO139" s="138" t="e">
        <f>IF(VLOOKUP(CONCATENATE(H139,F139,FO$2),Ciencias!$A:$H,7,FALSE)=CC139,1,0)</f>
        <v>#N/A</v>
      </c>
      <c r="FP139" s="138" t="e">
        <f>IF(VLOOKUP(CONCATENATE(H139,F139,FP$2),GeoHis!$A:$H,7,FALSE)=CD139,1,0)</f>
        <v>#N/A</v>
      </c>
      <c r="FQ139" s="138" t="e">
        <f>IF(VLOOKUP(CONCATENATE(H139,F139,FQ$2),GeoHis!$A:$H,7,FALSE)=CE139,1,0)</f>
        <v>#N/A</v>
      </c>
      <c r="FR139" s="138" t="e">
        <f>IF(VLOOKUP(CONCATENATE(H139,F139,FR$2),GeoHis!$A:$H,7,FALSE)=CF139,1,0)</f>
        <v>#N/A</v>
      </c>
      <c r="FS139" s="138" t="e">
        <f>IF(VLOOKUP(CONCATENATE(H139,F139,FS$2),GeoHis!$A:$H,7,FALSE)=CG139,1,0)</f>
        <v>#N/A</v>
      </c>
      <c r="FT139" s="138" t="e">
        <f>IF(VLOOKUP(CONCATENATE(H139,F139,FT$2),GeoHis!$A:$H,7,FALSE)=CH139,1,0)</f>
        <v>#N/A</v>
      </c>
      <c r="FU139" s="138" t="e">
        <f>IF(VLOOKUP(CONCATENATE(H139,F139,FU$2),GeoHis!$A:$H,7,FALSE)=CI139,1,0)</f>
        <v>#N/A</v>
      </c>
      <c r="FV139" s="138" t="e">
        <f>IF(VLOOKUP(CONCATENATE(H139,F139,FV$2),GeoHis!$A:$H,7,FALSE)=CJ139,1,0)</f>
        <v>#N/A</v>
      </c>
      <c r="FW139" s="138" t="e">
        <f>IF(VLOOKUP(CONCATENATE(H139,F139,FW$2),GeoHis!$A:$H,7,FALSE)=CK139,1,0)</f>
        <v>#N/A</v>
      </c>
      <c r="FX139" s="138" t="e">
        <f>IF(VLOOKUP(CONCATENATE(H139,F139,FX$2),GeoHis!$A:$H,7,FALSE)=CL139,1,0)</f>
        <v>#N/A</v>
      </c>
      <c r="FY139" s="138" t="e">
        <f>IF(VLOOKUP(CONCATENATE(H139,F139,FY$2),GeoHis!$A:$H,7,FALSE)=CM139,1,0)</f>
        <v>#N/A</v>
      </c>
      <c r="FZ139" s="138" t="e">
        <f>IF(VLOOKUP(CONCATENATE(H139,F139,FZ$2),GeoHis!$A:$H,7,FALSE)=CN139,1,0)</f>
        <v>#N/A</v>
      </c>
      <c r="GA139" s="138" t="e">
        <f>IF(VLOOKUP(CONCATENATE(H139,F139,GA$2),GeoHis!$A:$H,7,FALSE)=CO139,1,0)</f>
        <v>#N/A</v>
      </c>
      <c r="GB139" s="138" t="e">
        <f>IF(VLOOKUP(CONCATENATE(H139,F139,GB$2),GeoHis!$A:$H,7,FALSE)=CP139,1,0)</f>
        <v>#N/A</v>
      </c>
      <c r="GC139" s="138" t="e">
        <f>IF(VLOOKUP(CONCATENATE(H139,F139,GC$2),GeoHis!$A:$H,7,FALSE)=CQ139,1,0)</f>
        <v>#N/A</v>
      </c>
      <c r="GD139" s="138" t="e">
        <f>IF(VLOOKUP(CONCATENATE(H139,F139,GD$2),GeoHis!$A:$H,7,FALSE)=CR139,1,0)</f>
        <v>#N/A</v>
      </c>
      <c r="GE139" s="135" t="str">
        <f t="shared" si="23"/>
        <v/>
      </c>
    </row>
    <row r="140" spans="1:187" x14ac:dyDescent="0.25">
      <c r="A140" s="127" t="str">
        <f>IF(C140="","",'Datos Generales'!$A$25)</f>
        <v/>
      </c>
      <c r="D140" s="126" t="str">
        <f t="shared" si="16"/>
        <v/>
      </c>
      <c r="E140" s="126">
        <f t="shared" si="17"/>
        <v>0</v>
      </c>
      <c r="F140" s="126" t="str">
        <f t="shared" si="18"/>
        <v/>
      </c>
      <c r="G140" s="126" t="str">
        <f>IF(C140="","",'Datos Generales'!$D$19)</f>
        <v/>
      </c>
      <c r="H140" s="21" t="str">
        <f>IF(C140="","",'Datos Generales'!$A$19)</f>
        <v/>
      </c>
      <c r="I140" s="126" t="str">
        <f>IF(C140="","",'Datos Generales'!$A$7)</f>
        <v/>
      </c>
      <c r="J140" s="21" t="str">
        <f>IF(C140="","",'Datos Generales'!$A$13)</f>
        <v/>
      </c>
      <c r="K140" s="21" t="str">
        <f>IF(C140="","",'Datos Generales'!$A$10)</f>
        <v/>
      </c>
      <c r="CS140" s="142" t="str">
        <f t="shared" si="19"/>
        <v/>
      </c>
      <c r="CT140" s="142" t="str">
        <f t="shared" si="20"/>
        <v/>
      </c>
      <c r="CU140" s="142" t="str">
        <f t="shared" si="21"/>
        <v/>
      </c>
      <c r="CV140" s="142" t="str">
        <f t="shared" si="22"/>
        <v/>
      </c>
      <c r="CW140" s="142" t="str">
        <f>IF(C140="","",IF('Datos Generales'!$A$19=1,AVERAGE(FP140:GD140),AVERAGE(Captura!FP140:FY140)))</f>
        <v/>
      </c>
      <c r="CX140" s="138" t="e">
        <f>IF(VLOOKUP(CONCATENATE($H$4,$F$4,CX$2),Español!$A:$H,7,FALSE)=L140,1,0)</f>
        <v>#N/A</v>
      </c>
      <c r="CY140" s="138" t="e">
        <f>IF(VLOOKUP(CONCATENATE(H140,F140,CY$2),Español!$A:$H,7,FALSE)=M140,1,0)</f>
        <v>#N/A</v>
      </c>
      <c r="CZ140" s="138" t="e">
        <f>IF(VLOOKUP(CONCATENATE(H140,F140,CZ$2),Español!$A:$H,7,FALSE)=N140,1,0)</f>
        <v>#N/A</v>
      </c>
      <c r="DA140" s="138" t="e">
        <f>IF(VLOOKUP(CONCATENATE(H140,F140,DA$2),Español!$A:$H,7,FALSE)=O140,1,0)</f>
        <v>#N/A</v>
      </c>
      <c r="DB140" s="138" t="e">
        <f>IF(VLOOKUP(CONCATENATE(H140,F140,DB$2),Español!$A:$H,7,FALSE)=P140,1,0)</f>
        <v>#N/A</v>
      </c>
      <c r="DC140" s="138" t="e">
        <f>IF(VLOOKUP(CONCATENATE(H140,F140,DC$2),Español!$A:$H,7,FALSE)=Q140,1,0)</f>
        <v>#N/A</v>
      </c>
      <c r="DD140" s="138" t="e">
        <f>IF(VLOOKUP(CONCATENATE(H140,F140,DD$2),Español!$A:$H,7,FALSE)=R140,1,0)</f>
        <v>#N/A</v>
      </c>
      <c r="DE140" s="138" t="e">
        <f>IF(VLOOKUP(CONCATENATE(H140,F140,DE$2),Español!$A:$H,7,FALSE)=S140,1,0)</f>
        <v>#N/A</v>
      </c>
      <c r="DF140" s="138" t="e">
        <f>IF(VLOOKUP(CONCATENATE(H140,F140,DF$2),Español!$A:$H,7,FALSE)=T140,1,0)</f>
        <v>#N/A</v>
      </c>
      <c r="DG140" s="138" t="e">
        <f>IF(VLOOKUP(CONCATENATE(H140,F140,DG$2),Español!$A:$H,7,FALSE)=U140,1,0)</f>
        <v>#N/A</v>
      </c>
      <c r="DH140" s="138" t="e">
        <f>IF(VLOOKUP(CONCATENATE(H140,F140,DH$2),Español!$A:$H,7,FALSE)=V140,1,0)</f>
        <v>#N/A</v>
      </c>
      <c r="DI140" s="138" t="e">
        <f>IF(VLOOKUP(CONCATENATE(H140,F140,DI$2),Español!$A:$H,7,FALSE)=W140,1,0)</f>
        <v>#N/A</v>
      </c>
      <c r="DJ140" s="138" t="e">
        <f>IF(VLOOKUP(CONCATENATE(H140,F140,DJ$2),Español!$A:$H,7,FALSE)=X140,1,0)</f>
        <v>#N/A</v>
      </c>
      <c r="DK140" s="138" t="e">
        <f>IF(VLOOKUP(CONCATENATE(H140,F140,DK$2),Español!$A:$H,7,FALSE)=Y140,1,0)</f>
        <v>#N/A</v>
      </c>
      <c r="DL140" s="138" t="e">
        <f>IF(VLOOKUP(CONCATENATE(H140,F140,DL$2),Español!$A:$H,7,FALSE)=Z140,1,0)</f>
        <v>#N/A</v>
      </c>
      <c r="DM140" s="138" t="e">
        <f>IF(VLOOKUP(CONCATENATE(H140,F140,DM$2),Español!$A:$H,7,FALSE)=AA140,1,0)</f>
        <v>#N/A</v>
      </c>
      <c r="DN140" s="138" t="e">
        <f>IF(VLOOKUP(CONCATENATE(H140,F140,DN$2),Español!$A:$H,7,FALSE)=AB140,1,0)</f>
        <v>#N/A</v>
      </c>
      <c r="DO140" s="138" t="e">
        <f>IF(VLOOKUP(CONCATENATE(H140,F140,DO$2),Español!$A:$H,7,FALSE)=AC140,1,0)</f>
        <v>#N/A</v>
      </c>
      <c r="DP140" s="138" t="e">
        <f>IF(VLOOKUP(CONCATENATE(H140,F140,DP$2),Español!$A:$H,7,FALSE)=AD140,1,0)</f>
        <v>#N/A</v>
      </c>
      <c r="DQ140" s="138" t="e">
        <f>IF(VLOOKUP(CONCATENATE(H140,F140,DQ$2),Español!$A:$H,7,FALSE)=AE140,1,0)</f>
        <v>#N/A</v>
      </c>
      <c r="DR140" s="138" t="e">
        <f>IF(VLOOKUP(CONCATENATE(H140,F140,DR$2),Inglés!$A:$H,7,FALSE)=AF140,1,0)</f>
        <v>#N/A</v>
      </c>
      <c r="DS140" s="138" t="e">
        <f>IF(VLOOKUP(CONCATENATE(H140,F140,DS$2),Inglés!$A:$H,7,FALSE)=AG140,1,0)</f>
        <v>#N/A</v>
      </c>
      <c r="DT140" s="138" t="e">
        <f>IF(VLOOKUP(CONCATENATE(H140,F140,DT$2),Inglés!$A:$H,7,FALSE)=AH140,1,0)</f>
        <v>#N/A</v>
      </c>
      <c r="DU140" s="138" t="e">
        <f>IF(VLOOKUP(CONCATENATE(H140,F140,DU$2),Inglés!$A:$H,7,FALSE)=AI140,1,0)</f>
        <v>#N/A</v>
      </c>
      <c r="DV140" s="138" t="e">
        <f>IF(VLOOKUP(CONCATENATE(H140,F140,DV$2),Inglés!$A:$H,7,FALSE)=AJ140,1,0)</f>
        <v>#N/A</v>
      </c>
      <c r="DW140" s="138" t="e">
        <f>IF(VLOOKUP(CONCATENATE(H140,F140,DW$2),Inglés!$A:$H,7,FALSE)=AK140,1,0)</f>
        <v>#N/A</v>
      </c>
      <c r="DX140" s="138" t="e">
        <f>IF(VLOOKUP(CONCATENATE(H140,F140,DX$2),Inglés!$A:$H,7,FALSE)=AL140,1,0)</f>
        <v>#N/A</v>
      </c>
      <c r="DY140" s="138" t="e">
        <f>IF(VLOOKUP(CONCATENATE(H140,F140,DY$2),Inglés!$A:$H,7,FALSE)=AM140,1,0)</f>
        <v>#N/A</v>
      </c>
      <c r="DZ140" s="138" t="e">
        <f>IF(VLOOKUP(CONCATENATE(H140,F140,DZ$2),Inglés!$A:$H,7,FALSE)=AN140,1,0)</f>
        <v>#N/A</v>
      </c>
      <c r="EA140" s="138" t="e">
        <f>IF(VLOOKUP(CONCATENATE(H140,F140,EA$2),Inglés!$A:$H,7,FALSE)=AO140,1,0)</f>
        <v>#N/A</v>
      </c>
      <c r="EB140" s="138" t="e">
        <f>IF(VLOOKUP(CONCATENATE(H140,F140,EB$2),Matemáticas!$A:$H,7,FALSE)=AP140,1,0)</f>
        <v>#N/A</v>
      </c>
      <c r="EC140" s="138" t="e">
        <f>IF(VLOOKUP(CONCATENATE(H140,F140,EC$2),Matemáticas!$A:$H,7,FALSE)=AQ140,1,0)</f>
        <v>#N/A</v>
      </c>
      <c r="ED140" s="138" t="e">
        <f>IF(VLOOKUP(CONCATENATE(H140,F140,ED$2),Matemáticas!$A:$H,7,FALSE)=AR140,1,0)</f>
        <v>#N/A</v>
      </c>
      <c r="EE140" s="138" t="e">
        <f>IF(VLOOKUP(CONCATENATE(H140,F140,EE$2),Matemáticas!$A:$H,7,FALSE)=AS140,1,0)</f>
        <v>#N/A</v>
      </c>
      <c r="EF140" s="138" t="e">
        <f>IF(VLOOKUP(CONCATENATE(H140,F140,EF$2),Matemáticas!$A:$H,7,FALSE)=AT140,1,0)</f>
        <v>#N/A</v>
      </c>
      <c r="EG140" s="138" t="e">
        <f>IF(VLOOKUP(CONCATENATE(H140,F140,EG$2),Matemáticas!$A:$H,7,FALSE)=AU140,1,0)</f>
        <v>#N/A</v>
      </c>
      <c r="EH140" s="138" t="e">
        <f>IF(VLOOKUP(CONCATENATE(H140,F140,EH$2),Matemáticas!$A:$H,7,FALSE)=AV140,1,0)</f>
        <v>#N/A</v>
      </c>
      <c r="EI140" s="138" t="e">
        <f>IF(VLOOKUP(CONCATENATE(H140,F140,EI$2),Matemáticas!$A:$H,7,FALSE)=AW140,1,0)</f>
        <v>#N/A</v>
      </c>
      <c r="EJ140" s="138" t="e">
        <f>IF(VLOOKUP(CONCATENATE(H140,F140,EJ$2),Matemáticas!$A:$H,7,FALSE)=AX140,1,0)</f>
        <v>#N/A</v>
      </c>
      <c r="EK140" s="138" t="e">
        <f>IF(VLOOKUP(CONCATENATE(H140,F140,EK$2),Matemáticas!$A:$H,7,FALSE)=AY140,1,0)</f>
        <v>#N/A</v>
      </c>
      <c r="EL140" s="138" t="e">
        <f>IF(VLOOKUP(CONCATENATE(H140,F140,EL$2),Matemáticas!$A:$H,7,FALSE)=AZ140,1,0)</f>
        <v>#N/A</v>
      </c>
      <c r="EM140" s="138" t="e">
        <f>IF(VLOOKUP(CONCATENATE(H140,F140,EM$2),Matemáticas!$A:$H,7,FALSE)=BA140,1,0)</f>
        <v>#N/A</v>
      </c>
      <c r="EN140" s="138" t="e">
        <f>IF(VLOOKUP(CONCATENATE(H140,F140,EN$2),Matemáticas!$A:$H,7,FALSE)=BB140,1,0)</f>
        <v>#N/A</v>
      </c>
      <c r="EO140" s="138" t="e">
        <f>IF(VLOOKUP(CONCATENATE(H140,F140,EO$2),Matemáticas!$A:$H,7,FALSE)=BC140,1,0)</f>
        <v>#N/A</v>
      </c>
      <c r="EP140" s="138" t="e">
        <f>IF(VLOOKUP(CONCATENATE(H140,F140,EP$2),Matemáticas!$A:$H,7,FALSE)=BD140,1,0)</f>
        <v>#N/A</v>
      </c>
      <c r="EQ140" s="138" t="e">
        <f>IF(VLOOKUP(CONCATENATE(H140,F140,EQ$2),Matemáticas!$A:$H,7,FALSE)=BE140,1,0)</f>
        <v>#N/A</v>
      </c>
      <c r="ER140" s="138" t="e">
        <f>IF(VLOOKUP(CONCATENATE(H140,F140,ER$2),Matemáticas!$A:$H,7,FALSE)=BF140,1,0)</f>
        <v>#N/A</v>
      </c>
      <c r="ES140" s="138" t="e">
        <f>IF(VLOOKUP(CONCATENATE(H140,F140,ES$2),Matemáticas!$A:$H,7,FALSE)=BG140,1,0)</f>
        <v>#N/A</v>
      </c>
      <c r="ET140" s="138" t="e">
        <f>IF(VLOOKUP(CONCATENATE(H140,F140,ET$2),Matemáticas!$A:$H,7,FALSE)=BH140,1,0)</f>
        <v>#N/A</v>
      </c>
      <c r="EU140" s="138" t="e">
        <f>IF(VLOOKUP(CONCATENATE(H140,F140,EU$2),Matemáticas!$A:$H,7,FALSE)=BI140,1,0)</f>
        <v>#N/A</v>
      </c>
      <c r="EV140" s="138" t="e">
        <f>IF(VLOOKUP(CONCATENATE(H140,F140,EV$2),Ciencias!$A:$H,7,FALSE)=BJ140,1,0)</f>
        <v>#N/A</v>
      </c>
      <c r="EW140" s="138" t="e">
        <f>IF(VLOOKUP(CONCATENATE(H140,F140,EW$2),Ciencias!$A:$H,7,FALSE)=BK140,1,0)</f>
        <v>#N/A</v>
      </c>
      <c r="EX140" s="138" t="e">
        <f>IF(VLOOKUP(CONCATENATE(H140,F140,EX$2),Ciencias!$A:$H,7,FALSE)=BL140,1,0)</f>
        <v>#N/A</v>
      </c>
      <c r="EY140" s="138" t="e">
        <f>IF(VLOOKUP(CONCATENATE(H140,F140,EY$2),Ciencias!$A:$H,7,FALSE)=BM140,1,0)</f>
        <v>#N/A</v>
      </c>
      <c r="EZ140" s="138" t="e">
        <f>IF(VLOOKUP(CONCATENATE(H140,F140,EZ$2),Ciencias!$A:$H,7,FALSE)=BN140,1,0)</f>
        <v>#N/A</v>
      </c>
      <c r="FA140" s="138" t="e">
        <f>IF(VLOOKUP(CONCATENATE(H140,F140,FA$2),Ciencias!$A:$H,7,FALSE)=BO140,1,0)</f>
        <v>#N/A</v>
      </c>
      <c r="FB140" s="138" t="e">
        <f>IF(VLOOKUP(CONCATENATE(H140,F140,FB$2),Ciencias!$A:$H,7,FALSE)=BP140,1,0)</f>
        <v>#N/A</v>
      </c>
      <c r="FC140" s="138" t="e">
        <f>IF(VLOOKUP(CONCATENATE(H140,F140,FC$2),Ciencias!$A:$H,7,FALSE)=BQ140,1,0)</f>
        <v>#N/A</v>
      </c>
      <c r="FD140" s="138" t="e">
        <f>IF(VLOOKUP(CONCATENATE(H140,F140,FD$2),Ciencias!$A:$H,7,FALSE)=BR140,1,0)</f>
        <v>#N/A</v>
      </c>
      <c r="FE140" s="138" t="e">
        <f>IF(VLOOKUP(CONCATENATE(H140,F140,FE$2),Ciencias!$A:$H,7,FALSE)=BS140,1,0)</f>
        <v>#N/A</v>
      </c>
      <c r="FF140" s="138" t="e">
        <f>IF(VLOOKUP(CONCATENATE(H140,F140,FF$2),Ciencias!$A:$H,7,FALSE)=BT140,1,0)</f>
        <v>#N/A</v>
      </c>
      <c r="FG140" s="138" t="e">
        <f>IF(VLOOKUP(CONCATENATE(H140,F140,FG$2),Ciencias!$A:$H,7,FALSE)=BU140,1,0)</f>
        <v>#N/A</v>
      </c>
      <c r="FH140" s="138" t="e">
        <f>IF(VLOOKUP(CONCATENATE(H140,F140,FH$2),Ciencias!$A:$H,7,FALSE)=BV140,1,0)</f>
        <v>#N/A</v>
      </c>
      <c r="FI140" s="138" t="e">
        <f>IF(VLOOKUP(CONCATENATE(H140,F140,FI$2),Ciencias!$A:$H,7,FALSE)=BW140,1,0)</f>
        <v>#N/A</v>
      </c>
      <c r="FJ140" s="138" t="e">
        <f>IF(VLOOKUP(CONCATENATE(H140,F140,FJ$2),Ciencias!$A:$H,7,FALSE)=BX140,1,0)</f>
        <v>#N/A</v>
      </c>
      <c r="FK140" s="138" t="e">
        <f>IF(VLOOKUP(CONCATENATE(H140,F140,FK$2),Ciencias!$A:$H,7,FALSE)=BY140,1,0)</f>
        <v>#N/A</v>
      </c>
      <c r="FL140" s="138" t="e">
        <f>IF(VLOOKUP(CONCATENATE(H140,F140,FL$2),Ciencias!$A:$H,7,FALSE)=BZ140,1,0)</f>
        <v>#N/A</v>
      </c>
      <c r="FM140" s="138" t="e">
        <f>IF(VLOOKUP(CONCATENATE(H140,F140,FM$2),Ciencias!$A:$H,7,FALSE)=CA140,1,0)</f>
        <v>#N/A</v>
      </c>
      <c r="FN140" s="138" t="e">
        <f>IF(VLOOKUP(CONCATENATE(H140,F140,FN$2),Ciencias!$A:$H,7,FALSE)=CB140,1,0)</f>
        <v>#N/A</v>
      </c>
      <c r="FO140" s="138" t="e">
        <f>IF(VLOOKUP(CONCATENATE(H140,F140,FO$2),Ciencias!$A:$H,7,FALSE)=CC140,1,0)</f>
        <v>#N/A</v>
      </c>
      <c r="FP140" s="138" t="e">
        <f>IF(VLOOKUP(CONCATENATE(H140,F140,FP$2),GeoHis!$A:$H,7,FALSE)=CD140,1,0)</f>
        <v>#N/A</v>
      </c>
      <c r="FQ140" s="138" t="e">
        <f>IF(VLOOKUP(CONCATENATE(H140,F140,FQ$2),GeoHis!$A:$H,7,FALSE)=CE140,1,0)</f>
        <v>#N/A</v>
      </c>
      <c r="FR140" s="138" t="e">
        <f>IF(VLOOKUP(CONCATENATE(H140,F140,FR$2),GeoHis!$A:$H,7,FALSE)=CF140,1,0)</f>
        <v>#N/A</v>
      </c>
      <c r="FS140" s="138" t="e">
        <f>IF(VLOOKUP(CONCATENATE(H140,F140,FS$2),GeoHis!$A:$H,7,FALSE)=CG140,1,0)</f>
        <v>#N/A</v>
      </c>
      <c r="FT140" s="138" t="e">
        <f>IF(VLOOKUP(CONCATENATE(H140,F140,FT$2),GeoHis!$A:$H,7,FALSE)=CH140,1,0)</f>
        <v>#N/A</v>
      </c>
      <c r="FU140" s="138" t="e">
        <f>IF(VLOOKUP(CONCATENATE(H140,F140,FU$2),GeoHis!$A:$H,7,FALSE)=CI140,1,0)</f>
        <v>#N/A</v>
      </c>
      <c r="FV140" s="138" t="e">
        <f>IF(VLOOKUP(CONCATENATE(H140,F140,FV$2),GeoHis!$A:$H,7,FALSE)=CJ140,1,0)</f>
        <v>#N/A</v>
      </c>
      <c r="FW140" s="138" t="e">
        <f>IF(VLOOKUP(CONCATENATE(H140,F140,FW$2),GeoHis!$A:$H,7,FALSE)=CK140,1,0)</f>
        <v>#N/A</v>
      </c>
      <c r="FX140" s="138" t="e">
        <f>IF(VLOOKUP(CONCATENATE(H140,F140,FX$2),GeoHis!$A:$H,7,FALSE)=CL140,1,0)</f>
        <v>#N/A</v>
      </c>
      <c r="FY140" s="138" t="e">
        <f>IF(VLOOKUP(CONCATENATE(H140,F140,FY$2),GeoHis!$A:$H,7,FALSE)=CM140,1,0)</f>
        <v>#N/A</v>
      </c>
      <c r="FZ140" s="138" t="e">
        <f>IF(VLOOKUP(CONCATENATE(H140,F140,FZ$2),GeoHis!$A:$H,7,FALSE)=CN140,1,0)</f>
        <v>#N/A</v>
      </c>
      <c r="GA140" s="138" t="e">
        <f>IF(VLOOKUP(CONCATENATE(H140,F140,GA$2),GeoHis!$A:$H,7,FALSE)=CO140,1,0)</f>
        <v>#N/A</v>
      </c>
      <c r="GB140" s="138" t="e">
        <f>IF(VLOOKUP(CONCATENATE(H140,F140,GB$2),GeoHis!$A:$H,7,FALSE)=CP140,1,0)</f>
        <v>#N/A</v>
      </c>
      <c r="GC140" s="138" t="e">
        <f>IF(VLOOKUP(CONCATENATE(H140,F140,GC$2),GeoHis!$A:$H,7,FALSE)=CQ140,1,0)</f>
        <v>#N/A</v>
      </c>
      <c r="GD140" s="138" t="e">
        <f>IF(VLOOKUP(CONCATENATE(H140,F140,GD$2),GeoHis!$A:$H,7,FALSE)=CR140,1,0)</f>
        <v>#N/A</v>
      </c>
      <c r="GE140" s="135" t="str">
        <f t="shared" si="23"/>
        <v/>
      </c>
    </row>
    <row r="141" spans="1:187" x14ac:dyDescent="0.25">
      <c r="A141" s="127" t="str">
        <f>IF(C141="","",'Datos Generales'!$A$25)</f>
        <v/>
      </c>
      <c r="D141" s="126" t="str">
        <f t="shared" si="16"/>
        <v/>
      </c>
      <c r="E141" s="126">
        <f t="shared" si="17"/>
        <v>0</v>
      </c>
      <c r="F141" s="126" t="str">
        <f t="shared" si="18"/>
        <v/>
      </c>
      <c r="G141" s="126" t="str">
        <f>IF(C141="","",'Datos Generales'!$D$19)</f>
        <v/>
      </c>
      <c r="H141" s="21" t="str">
        <f>IF(C141="","",'Datos Generales'!$A$19)</f>
        <v/>
      </c>
      <c r="I141" s="126" t="str">
        <f>IF(C141="","",'Datos Generales'!$A$7)</f>
        <v/>
      </c>
      <c r="J141" s="21" t="str">
        <f>IF(C141="","",'Datos Generales'!$A$13)</f>
        <v/>
      </c>
      <c r="K141" s="21" t="str">
        <f>IF(C141="","",'Datos Generales'!$A$10)</f>
        <v/>
      </c>
      <c r="CS141" s="142" t="str">
        <f t="shared" si="19"/>
        <v/>
      </c>
      <c r="CT141" s="142" t="str">
        <f t="shared" si="20"/>
        <v/>
      </c>
      <c r="CU141" s="142" t="str">
        <f t="shared" si="21"/>
        <v/>
      </c>
      <c r="CV141" s="142" t="str">
        <f t="shared" si="22"/>
        <v/>
      </c>
      <c r="CW141" s="142" t="str">
        <f>IF(C141="","",IF('Datos Generales'!$A$19=1,AVERAGE(FP141:GD141),AVERAGE(Captura!FP141:FY141)))</f>
        <v/>
      </c>
      <c r="CX141" s="138" t="e">
        <f>IF(VLOOKUP(CONCATENATE($H$4,$F$4,CX$2),Español!$A:$H,7,FALSE)=L141,1,0)</f>
        <v>#N/A</v>
      </c>
      <c r="CY141" s="138" t="e">
        <f>IF(VLOOKUP(CONCATENATE(H141,F141,CY$2),Español!$A:$H,7,FALSE)=M141,1,0)</f>
        <v>#N/A</v>
      </c>
      <c r="CZ141" s="138" t="e">
        <f>IF(VLOOKUP(CONCATENATE(H141,F141,CZ$2),Español!$A:$H,7,FALSE)=N141,1,0)</f>
        <v>#N/A</v>
      </c>
      <c r="DA141" s="138" t="e">
        <f>IF(VLOOKUP(CONCATENATE(H141,F141,DA$2),Español!$A:$H,7,FALSE)=O141,1,0)</f>
        <v>#N/A</v>
      </c>
      <c r="DB141" s="138" t="e">
        <f>IF(VLOOKUP(CONCATENATE(H141,F141,DB$2),Español!$A:$H,7,FALSE)=P141,1,0)</f>
        <v>#N/A</v>
      </c>
      <c r="DC141" s="138" t="e">
        <f>IF(VLOOKUP(CONCATENATE(H141,F141,DC$2),Español!$A:$H,7,FALSE)=Q141,1,0)</f>
        <v>#N/A</v>
      </c>
      <c r="DD141" s="138" t="e">
        <f>IF(VLOOKUP(CONCATENATE(H141,F141,DD$2),Español!$A:$H,7,FALSE)=R141,1,0)</f>
        <v>#N/A</v>
      </c>
      <c r="DE141" s="138" t="e">
        <f>IF(VLOOKUP(CONCATENATE(H141,F141,DE$2),Español!$A:$H,7,FALSE)=S141,1,0)</f>
        <v>#N/A</v>
      </c>
      <c r="DF141" s="138" t="e">
        <f>IF(VLOOKUP(CONCATENATE(H141,F141,DF$2),Español!$A:$H,7,FALSE)=T141,1,0)</f>
        <v>#N/A</v>
      </c>
      <c r="DG141" s="138" t="e">
        <f>IF(VLOOKUP(CONCATENATE(H141,F141,DG$2),Español!$A:$H,7,FALSE)=U141,1,0)</f>
        <v>#N/A</v>
      </c>
      <c r="DH141" s="138" t="e">
        <f>IF(VLOOKUP(CONCATENATE(H141,F141,DH$2),Español!$A:$H,7,FALSE)=V141,1,0)</f>
        <v>#N/A</v>
      </c>
      <c r="DI141" s="138" t="e">
        <f>IF(VLOOKUP(CONCATENATE(H141,F141,DI$2),Español!$A:$H,7,FALSE)=W141,1,0)</f>
        <v>#N/A</v>
      </c>
      <c r="DJ141" s="138" t="e">
        <f>IF(VLOOKUP(CONCATENATE(H141,F141,DJ$2),Español!$A:$H,7,FALSE)=X141,1,0)</f>
        <v>#N/A</v>
      </c>
      <c r="DK141" s="138" t="e">
        <f>IF(VLOOKUP(CONCATENATE(H141,F141,DK$2),Español!$A:$H,7,FALSE)=Y141,1,0)</f>
        <v>#N/A</v>
      </c>
      <c r="DL141" s="138" t="e">
        <f>IF(VLOOKUP(CONCATENATE(H141,F141,DL$2),Español!$A:$H,7,FALSE)=Z141,1,0)</f>
        <v>#N/A</v>
      </c>
      <c r="DM141" s="138" t="e">
        <f>IF(VLOOKUP(CONCATENATE(H141,F141,DM$2),Español!$A:$H,7,FALSE)=AA141,1,0)</f>
        <v>#N/A</v>
      </c>
      <c r="DN141" s="138" t="e">
        <f>IF(VLOOKUP(CONCATENATE(H141,F141,DN$2),Español!$A:$H,7,FALSE)=AB141,1,0)</f>
        <v>#N/A</v>
      </c>
      <c r="DO141" s="138" t="e">
        <f>IF(VLOOKUP(CONCATENATE(H141,F141,DO$2),Español!$A:$H,7,FALSE)=AC141,1,0)</f>
        <v>#N/A</v>
      </c>
      <c r="DP141" s="138" t="e">
        <f>IF(VLOOKUP(CONCATENATE(H141,F141,DP$2),Español!$A:$H,7,FALSE)=AD141,1,0)</f>
        <v>#N/A</v>
      </c>
      <c r="DQ141" s="138" t="e">
        <f>IF(VLOOKUP(CONCATENATE(H141,F141,DQ$2),Español!$A:$H,7,FALSE)=AE141,1,0)</f>
        <v>#N/A</v>
      </c>
      <c r="DR141" s="138" t="e">
        <f>IF(VLOOKUP(CONCATENATE(H141,F141,DR$2),Inglés!$A:$H,7,FALSE)=AF141,1,0)</f>
        <v>#N/A</v>
      </c>
      <c r="DS141" s="138" t="e">
        <f>IF(VLOOKUP(CONCATENATE(H141,F141,DS$2),Inglés!$A:$H,7,FALSE)=AG141,1,0)</f>
        <v>#N/A</v>
      </c>
      <c r="DT141" s="138" t="e">
        <f>IF(VLOOKUP(CONCATENATE(H141,F141,DT$2),Inglés!$A:$H,7,FALSE)=AH141,1,0)</f>
        <v>#N/A</v>
      </c>
      <c r="DU141" s="138" t="e">
        <f>IF(VLOOKUP(CONCATENATE(H141,F141,DU$2),Inglés!$A:$H,7,FALSE)=AI141,1,0)</f>
        <v>#N/A</v>
      </c>
      <c r="DV141" s="138" t="e">
        <f>IF(VLOOKUP(CONCATENATE(H141,F141,DV$2),Inglés!$A:$H,7,FALSE)=AJ141,1,0)</f>
        <v>#N/A</v>
      </c>
      <c r="DW141" s="138" t="e">
        <f>IF(VLOOKUP(CONCATENATE(H141,F141,DW$2),Inglés!$A:$H,7,FALSE)=AK141,1,0)</f>
        <v>#N/A</v>
      </c>
      <c r="DX141" s="138" t="e">
        <f>IF(VLOOKUP(CONCATENATE(H141,F141,DX$2),Inglés!$A:$H,7,FALSE)=AL141,1,0)</f>
        <v>#N/A</v>
      </c>
      <c r="DY141" s="138" t="e">
        <f>IF(VLOOKUP(CONCATENATE(H141,F141,DY$2),Inglés!$A:$H,7,FALSE)=AM141,1,0)</f>
        <v>#N/A</v>
      </c>
      <c r="DZ141" s="138" t="e">
        <f>IF(VLOOKUP(CONCATENATE(H141,F141,DZ$2),Inglés!$A:$H,7,FALSE)=AN141,1,0)</f>
        <v>#N/A</v>
      </c>
      <c r="EA141" s="138" t="e">
        <f>IF(VLOOKUP(CONCATENATE(H141,F141,EA$2),Inglés!$A:$H,7,FALSE)=AO141,1,0)</f>
        <v>#N/A</v>
      </c>
      <c r="EB141" s="138" t="e">
        <f>IF(VLOOKUP(CONCATENATE(H141,F141,EB$2),Matemáticas!$A:$H,7,FALSE)=AP141,1,0)</f>
        <v>#N/A</v>
      </c>
      <c r="EC141" s="138" t="e">
        <f>IF(VLOOKUP(CONCATENATE(H141,F141,EC$2),Matemáticas!$A:$H,7,FALSE)=AQ141,1,0)</f>
        <v>#N/A</v>
      </c>
      <c r="ED141" s="138" t="e">
        <f>IF(VLOOKUP(CONCATENATE(H141,F141,ED$2),Matemáticas!$A:$H,7,FALSE)=AR141,1,0)</f>
        <v>#N/A</v>
      </c>
      <c r="EE141" s="138" t="e">
        <f>IF(VLOOKUP(CONCATENATE(H141,F141,EE$2),Matemáticas!$A:$H,7,FALSE)=AS141,1,0)</f>
        <v>#N/A</v>
      </c>
      <c r="EF141" s="138" t="e">
        <f>IF(VLOOKUP(CONCATENATE(H141,F141,EF$2),Matemáticas!$A:$H,7,FALSE)=AT141,1,0)</f>
        <v>#N/A</v>
      </c>
      <c r="EG141" s="138" t="e">
        <f>IF(VLOOKUP(CONCATENATE(H141,F141,EG$2),Matemáticas!$A:$H,7,FALSE)=AU141,1,0)</f>
        <v>#N/A</v>
      </c>
      <c r="EH141" s="138" t="e">
        <f>IF(VLOOKUP(CONCATENATE(H141,F141,EH$2),Matemáticas!$A:$H,7,FALSE)=AV141,1,0)</f>
        <v>#N/A</v>
      </c>
      <c r="EI141" s="138" t="e">
        <f>IF(VLOOKUP(CONCATENATE(H141,F141,EI$2),Matemáticas!$A:$H,7,FALSE)=AW141,1,0)</f>
        <v>#N/A</v>
      </c>
      <c r="EJ141" s="138" t="e">
        <f>IF(VLOOKUP(CONCATENATE(H141,F141,EJ$2),Matemáticas!$A:$H,7,FALSE)=AX141,1,0)</f>
        <v>#N/A</v>
      </c>
      <c r="EK141" s="138" t="e">
        <f>IF(VLOOKUP(CONCATENATE(H141,F141,EK$2),Matemáticas!$A:$H,7,FALSE)=AY141,1,0)</f>
        <v>#N/A</v>
      </c>
      <c r="EL141" s="138" t="e">
        <f>IF(VLOOKUP(CONCATENATE(H141,F141,EL$2),Matemáticas!$A:$H,7,FALSE)=AZ141,1,0)</f>
        <v>#N/A</v>
      </c>
      <c r="EM141" s="138" t="e">
        <f>IF(VLOOKUP(CONCATENATE(H141,F141,EM$2),Matemáticas!$A:$H,7,FALSE)=BA141,1,0)</f>
        <v>#N/A</v>
      </c>
      <c r="EN141" s="138" t="e">
        <f>IF(VLOOKUP(CONCATENATE(H141,F141,EN$2),Matemáticas!$A:$H,7,FALSE)=BB141,1,0)</f>
        <v>#N/A</v>
      </c>
      <c r="EO141" s="138" t="e">
        <f>IF(VLOOKUP(CONCATENATE(H141,F141,EO$2),Matemáticas!$A:$H,7,FALSE)=BC141,1,0)</f>
        <v>#N/A</v>
      </c>
      <c r="EP141" s="138" t="e">
        <f>IF(VLOOKUP(CONCATENATE(H141,F141,EP$2),Matemáticas!$A:$H,7,FALSE)=BD141,1,0)</f>
        <v>#N/A</v>
      </c>
      <c r="EQ141" s="138" t="e">
        <f>IF(VLOOKUP(CONCATENATE(H141,F141,EQ$2),Matemáticas!$A:$H,7,FALSE)=BE141,1,0)</f>
        <v>#N/A</v>
      </c>
      <c r="ER141" s="138" t="e">
        <f>IF(VLOOKUP(CONCATENATE(H141,F141,ER$2),Matemáticas!$A:$H,7,FALSE)=BF141,1,0)</f>
        <v>#N/A</v>
      </c>
      <c r="ES141" s="138" t="e">
        <f>IF(VLOOKUP(CONCATENATE(H141,F141,ES$2),Matemáticas!$A:$H,7,FALSE)=BG141,1,0)</f>
        <v>#N/A</v>
      </c>
      <c r="ET141" s="138" t="e">
        <f>IF(VLOOKUP(CONCATENATE(H141,F141,ET$2),Matemáticas!$A:$H,7,FALSE)=BH141,1,0)</f>
        <v>#N/A</v>
      </c>
      <c r="EU141" s="138" t="e">
        <f>IF(VLOOKUP(CONCATENATE(H141,F141,EU$2),Matemáticas!$A:$H,7,FALSE)=BI141,1,0)</f>
        <v>#N/A</v>
      </c>
      <c r="EV141" s="138" t="e">
        <f>IF(VLOOKUP(CONCATENATE(H141,F141,EV$2),Ciencias!$A:$H,7,FALSE)=BJ141,1,0)</f>
        <v>#N/A</v>
      </c>
      <c r="EW141" s="138" t="e">
        <f>IF(VLOOKUP(CONCATENATE(H141,F141,EW$2),Ciencias!$A:$H,7,FALSE)=BK141,1,0)</f>
        <v>#N/A</v>
      </c>
      <c r="EX141" s="138" t="e">
        <f>IF(VLOOKUP(CONCATENATE(H141,F141,EX$2),Ciencias!$A:$H,7,FALSE)=BL141,1,0)</f>
        <v>#N/A</v>
      </c>
      <c r="EY141" s="138" t="e">
        <f>IF(VLOOKUP(CONCATENATE(H141,F141,EY$2),Ciencias!$A:$H,7,FALSE)=BM141,1,0)</f>
        <v>#N/A</v>
      </c>
      <c r="EZ141" s="138" t="e">
        <f>IF(VLOOKUP(CONCATENATE(H141,F141,EZ$2),Ciencias!$A:$H,7,FALSE)=BN141,1,0)</f>
        <v>#N/A</v>
      </c>
      <c r="FA141" s="138" t="e">
        <f>IF(VLOOKUP(CONCATENATE(H141,F141,FA$2),Ciencias!$A:$H,7,FALSE)=BO141,1,0)</f>
        <v>#N/A</v>
      </c>
      <c r="FB141" s="138" t="e">
        <f>IF(VLOOKUP(CONCATENATE(H141,F141,FB$2),Ciencias!$A:$H,7,FALSE)=BP141,1,0)</f>
        <v>#N/A</v>
      </c>
      <c r="FC141" s="138" t="e">
        <f>IF(VLOOKUP(CONCATENATE(H141,F141,FC$2),Ciencias!$A:$H,7,FALSE)=BQ141,1,0)</f>
        <v>#N/A</v>
      </c>
      <c r="FD141" s="138" t="e">
        <f>IF(VLOOKUP(CONCATENATE(H141,F141,FD$2),Ciencias!$A:$H,7,FALSE)=BR141,1,0)</f>
        <v>#N/A</v>
      </c>
      <c r="FE141" s="138" t="e">
        <f>IF(VLOOKUP(CONCATENATE(H141,F141,FE$2),Ciencias!$A:$H,7,FALSE)=BS141,1,0)</f>
        <v>#N/A</v>
      </c>
      <c r="FF141" s="138" t="e">
        <f>IF(VLOOKUP(CONCATENATE(H141,F141,FF$2),Ciencias!$A:$H,7,FALSE)=BT141,1,0)</f>
        <v>#N/A</v>
      </c>
      <c r="FG141" s="138" t="e">
        <f>IF(VLOOKUP(CONCATENATE(H141,F141,FG$2),Ciencias!$A:$H,7,FALSE)=BU141,1,0)</f>
        <v>#N/A</v>
      </c>
      <c r="FH141" s="138" t="e">
        <f>IF(VLOOKUP(CONCATENATE(H141,F141,FH$2),Ciencias!$A:$H,7,FALSE)=BV141,1,0)</f>
        <v>#N/A</v>
      </c>
      <c r="FI141" s="138" t="e">
        <f>IF(VLOOKUP(CONCATENATE(H141,F141,FI$2),Ciencias!$A:$H,7,FALSE)=BW141,1,0)</f>
        <v>#N/A</v>
      </c>
      <c r="FJ141" s="138" t="e">
        <f>IF(VLOOKUP(CONCATENATE(H141,F141,FJ$2),Ciencias!$A:$H,7,FALSE)=BX141,1,0)</f>
        <v>#N/A</v>
      </c>
      <c r="FK141" s="138" t="e">
        <f>IF(VLOOKUP(CONCATENATE(H141,F141,FK$2),Ciencias!$A:$H,7,FALSE)=BY141,1,0)</f>
        <v>#N/A</v>
      </c>
      <c r="FL141" s="138" t="e">
        <f>IF(VLOOKUP(CONCATENATE(H141,F141,FL$2),Ciencias!$A:$H,7,FALSE)=BZ141,1,0)</f>
        <v>#N/A</v>
      </c>
      <c r="FM141" s="138" t="e">
        <f>IF(VLOOKUP(CONCATENATE(H141,F141,FM$2),Ciencias!$A:$H,7,FALSE)=CA141,1,0)</f>
        <v>#N/A</v>
      </c>
      <c r="FN141" s="138" t="e">
        <f>IF(VLOOKUP(CONCATENATE(H141,F141,FN$2),Ciencias!$A:$H,7,FALSE)=CB141,1,0)</f>
        <v>#N/A</v>
      </c>
      <c r="FO141" s="138" t="e">
        <f>IF(VLOOKUP(CONCATENATE(H141,F141,FO$2),Ciencias!$A:$H,7,FALSE)=CC141,1,0)</f>
        <v>#N/A</v>
      </c>
      <c r="FP141" s="138" t="e">
        <f>IF(VLOOKUP(CONCATENATE(H141,F141,FP$2),GeoHis!$A:$H,7,FALSE)=CD141,1,0)</f>
        <v>#N/A</v>
      </c>
      <c r="FQ141" s="138" t="e">
        <f>IF(VLOOKUP(CONCATENATE(H141,F141,FQ$2),GeoHis!$A:$H,7,FALSE)=CE141,1,0)</f>
        <v>#N/A</v>
      </c>
      <c r="FR141" s="138" t="e">
        <f>IF(VLOOKUP(CONCATENATE(H141,F141,FR$2),GeoHis!$A:$H,7,FALSE)=CF141,1,0)</f>
        <v>#N/A</v>
      </c>
      <c r="FS141" s="138" t="e">
        <f>IF(VLOOKUP(CONCATENATE(H141,F141,FS$2),GeoHis!$A:$H,7,FALSE)=CG141,1,0)</f>
        <v>#N/A</v>
      </c>
      <c r="FT141" s="138" t="e">
        <f>IF(VLOOKUP(CONCATENATE(H141,F141,FT$2),GeoHis!$A:$H,7,FALSE)=CH141,1,0)</f>
        <v>#N/A</v>
      </c>
      <c r="FU141" s="138" t="e">
        <f>IF(VLOOKUP(CONCATENATE(H141,F141,FU$2),GeoHis!$A:$H,7,FALSE)=CI141,1,0)</f>
        <v>#N/A</v>
      </c>
      <c r="FV141" s="138" t="e">
        <f>IF(VLOOKUP(CONCATENATE(H141,F141,FV$2),GeoHis!$A:$H,7,FALSE)=CJ141,1,0)</f>
        <v>#N/A</v>
      </c>
      <c r="FW141" s="138" t="e">
        <f>IF(VLOOKUP(CONCATENATE(H141,F141,FW$2),GeoHis!$A:$H,7,FALSE)=CK141,1,0)</f>
        <v>#N/A</v>
      </c>
      <c r="FX141" s="138" t="e">
        <f>IF(VLOOKUP(CONCATENATE(H141,F141,FX$2),GeoHis!$A:$H,7,FALSE)=CL141,1,0)</f>
        <v>#N/A</v>
      </c>
      <c r="FY141" s="138" t="e">
        <f>IF(VLOOKUP(CONCATENATE(H141,F141,FY$2),GeoHis!$A:$H,7,FALSE)=CM141,1,0)</f>
        <v>#N/A</v>
      </c>
      <c r="FZ141" s="138" t="e">
        <f>IF(VLOOKUP(CONCATENATE(H141,F141,FZ$2),GeoHis!$A:$H,7,FALSE)=CN141,1,0)</f>
        <v>#N/A</v>
      </c>
      <c r="GA141" s="138" t="e">
        <f>IF(VLOOKUP(CONCATENATE(H141,F141,GA$2),GeoHis!$A:$H,7,FALSE)=CO141,1,0)</f>
        <v>#N/A</v>
      </c>
      <c r="GB141" s="138" t="e">
        <f>IF(VLOOKUP(CONCATENATE(H141,F141,GB$2),GeoHis!$A:$H,7,FALSE)=CP141,1,0)</f>
        <v>#N/A</v>
      </c>
      <c r="GC141" s="138" t="e">
        <f>IF(VLOOKUP(CONCATENATE(H141,F141,GC$2),GeoHis!$A:$H,7,FALSE)=CQ141,1,0)</f>
        <v>#N/A</v>
      </c>
      <c r="GD141" s="138" t="e">
        <f>IF(VLOOKUP(CONCATENATE(H141,F141,GD$2),GeoHis!$A:$H,7,FALSE)=CR141,1,0)</f>
        <v>#N/A</v>
      </c>
      <c r="GE141" s="135" t="str">
        <f t="shared" si="23"/>
        <v/>
      </c>
    </row>
    <row r="142" spans="1:187" x14ac:dyDescent="0.25">
      <c r="A142" s="127" t="str">
        <f>IF(C142="","",'Datos Generales'!$A$25)</f>
        <v/>
      </c>
      <c r="D142" s="126" t="str">
        <f t="shared" si="16"/>
        <v/>
      </c>
      <c r="E142" s="126">
        <f t="shared" si="17"/>
        <v>0</v>
      </c>
      <c r="F142" s="126" t="str">
        <f t="shared" si="18"/>
        <v/>
      </c>
      <c r="G142" s="126" t="str">
        <f>IF(C142="","",'Datos Generales'!$D$19)</f>
        <v/>
      </c>
      <c r="H142" s="21" t="str">
        <f>IF(C142="","",'Datos Generales'!$A$19)</f>
        <v/>
      </c>
      <c r="I142" s="126" t="str">
        <f>IF(C142="","",'Datos Generales'!$A$7)</f>
        <v/>
      </c>
      <c r="J142" s="21" t="str">
        <f>IF(C142="","",'Datos Generales'!$A$13)</f>
        <v/>
      </c>
      <c r="K142" s="21" t="str">
        <f>IF(C142="","",'Datos Generales'!$A$10)</f>
        <v/>
      </c>
      <c r="CS142" s="142" t="str">
        <f t="shared" si="19"/>
        <v/>
      </c>
      <c r="CT142" s="142" t="str">
        <f t="shared" si="20"/>
        <v/>
      </c>
      <c r="CU142" s="142" t="str">
        <f t="shared" si="21"/>
        <v/>
      </c>
      <c r="CV142" s="142" t="str">
        <f t="shared" si="22"/>
        <v/>
      </c>
      <c r="CW142" s="142" t="str">
        <f>IF(C142="","",IF('Datos Generales'!$A$19=1,AVERAGE(FP142:GD142),AVERAGE(Captura!FP142:FY142)))</f>
        <v/>
      </c>
      <c r="CX142" s="138" t="e">
        <f>IF(VLOOKUP(CONCATENATE($H$4,$F$4,CX$2),Español!$A:$H,7,FALSE)=L142,1,0)</f>
        <v>#N/A</v>
      </c>
      <c r="CY142" s="138" t="e">
        <f>IF(VLOOKUP(CONCATENATE(H142,F142,CY$2),Español!$A:$H,7,FALSE)=M142,1,0)</f>
        <v>#N/A</v>
      </c>
      <c r="CZ142" s="138" t="e">
        <f>IF(VLOOKUP(CONCATENATE(H142,F142,CZ$2),Español!$A:$H,7,FALSE)=N142,1,0)</f>
        <v>#N/A</v>
      </c>
      <c r="DA142" s="138" t="e">
        <f>IF(VLOOKUP(CONCATENATE(H142,F142,DA$2),Español!$A:$H,7,FALSE)=O142,1,0)</f>
        <v>#N/A</v>
      </c>
      <c r="DB142" s="138" t="e">
        <f>IF(VLOOKUP(CONCATENATE(H142,F142,DB$2),Español!$A:$H,7,FALSE)=P142,1,0)</f>
        <v>#N/A</v>
      </c>
      <c r="DC142" s="138" t="e">
        <f>IF(VLOOKUP(CONCATENATE(H142,F142,DC$2),Español!$A:$H,7,FALSE)=Q142,1,0)</f>
        <v>#N/A</v>
      </c>
      <c r="DD142" s="138" t="e">
        <f>IF(VLOOKUP(CONCATENATE(H142,F142,DD$2),Español!$A:$H,7,FALSE)=R142,1,0)</f>
        <v>#N/A</v>
      </c>
      <c r="DE142" s="138" t="e">
        <f>IF(VLOOKUP(CONCATENATE(H142,F142,DE$2),Español!$A:$H,7,FALSE)=S142,1,0)</f>
        <v>#N/A</v>
      </c>
      <c r="DF142" s="138" t="e">
        <f>IF(VLOOKUP(CONCATENATE(H142,F142,DF$2),Español!$A:$H,7,FALSE)=T142,1,0)</f>
        <v>#N/A</v>
      </c>
      <c r="DG142" s="138" t="e">
        <f>IF(VLOOKUP(CONCATENATE(H142,F142,DG$2),Español!$A:$H,7,FALSE)=U142,1,0)</f>
        <v>#N/A</v>
      </c>
      <c r="DH142" s="138" t="e">
        <f>IF(VLOOKUP(CONCATENATE(H142,F142,DH$2),Español!$A:$H,7,FALSE)=V142,1,0)</f>
        <v>#N/A</v>
      </c>
      <c r="DI142" s="138" t="e">
        <f>IF(VLOOKUP(CONCATENATE(H142,F142,DI$2),Español!$A:$H,7,FALSE)=W142,1,0)</f>
        <v>#N/A</v>
      </c>
      <c r="DJ142" s="138" t="e">
        <f>IF(VLOOKUP(CONCATENATE(H142,F142,DJ$2),Español!$A:$H,7,FALSE)=X142,1,0)</f>
        <v>#N/A</v>
      </c>
      <c r="DK142" s="138" t="e">
        <f>IF(VLOOKUP(CONCATENATE(H142,F142,DK$2),Español!$A:$H,7,FALSE)=Y142,1,0)</f>
        <v>#N/A</v>
      </c>
      <c r="DL142" s="138" t="e">
        <f>IF(VLOOKUP(CONCATENATE(H142,F142,DL$2),Español!$A:$H,7,FALSE)=Z142,1,0)</f>
        <v>#N/A</v>
      </c>
      <c r="DM142" s="138" t="e">
        <f>IF(VLOOKUP(CONCATENATE(H142,F142,DM$2),Español!$A:$H,7,FALSE)=AA142,1,0)</f>
        <v>#N/A</v>
      </c>
      <c r="DN142" s="138" t="e">
        <f>IF(VLOOKUP(CONCATENATE(H142,F142,DN$2),Español!$A:$H,7,FALSE)=AB142,1,0)</f>
        <v>#N/A</v>
      </c>
      <c r="DO142" s="138" t="e">
        <f>IF(VLOOKUP(CONCATENATE(H142,F142,DO$2),Español!$A:$H,7,FALSE)=AC142,1,0)</f>
        <v>#N/A</v>
      </c>
      <c r="DP142" s="138" t="e">
        <f>IF(VLOOKUP(CONCATENATE(H142,F142,DP$2),Español!$A:$H,7,FALSE)=AD142,1,0)</f>
        <v>#N/A</v>
      </c>
      <c r="DQ142" s="138" t="e">
        <f>IF(VLOOKUP(CONCATENATE(H142,F142,DQ$2),Español!$A:$H,7,FALSE)=AE142,1,0)</f>
        <v>#N/A</v>
      </c>
      <c r="DR142" s="138" t="e">
        <f>IF(VLOOKUP(CONCATENATE(H142,F142,DR$2),Inglés!$A:$H,7,FALSE)=AF142,1,0)</f>
        <v>#N/A</v>
      </c>
      <c r="DS142" s="138" t="e">
        <f>IF(VLOOKUP(CONCATENATE(H142,F142,DS$2),Inglés!$A:$H,7,FALSE)=AG142,1,0)</f>
        <v>#N/A</v>
      </c>
      <c r="DT142" s="138" t="e">
        <f>IF(VLOOKUP(CONCATENATE(H142,F142,DT$2),Inglés!$A:$H,7,FALSE)=AH142,1,0)</f>
        <v>#N/A</v>
      </c>
      <c r="DU142" s="138" t="e">
        <f>IF(VLOOKUP(CONCATENATE(H142,F142,DU$2),Inglés!$A:$H,7,FALSE)=AI142,1,0)</f>
        <v>#N/A</v>
      </c>
      <c r="DV142" s="138" t="e">
        <f>IF(VLOOKUP(CONCATENATE(H142,F142,DV$2),Inglés!$A:$H,7,FALSE)=AJ142,1,0)</f>
        <v>#N/A</v>
      </c>
      <c r="DW142" s="138" t="e">
        <f>IF(VLOOKUP(CONCATENATE(H142,F142,DW$2),Inglés!$A:$H,7,FALSE)=AK142,1,0)</f>
        <v>#N/A</v>
      </c>
      <c r="DX142" s="138" t="e">
        <f>IF(VLOOKUP(CONCATENATE(H142,F142,DX$2),Inglés!$A:$H,7,FALSE)=AL142,1,0)</f>
        <v>#N/A</v>
      </c>
      <c r="DY142" s="138" t="e">
        <f>IF(VLOOKUP(CONCATENATE(H142,F142,DY$2),Inglés!$A:$H,7,FALSE)=AM142,1,0)</f>
        <v>#N/A</v>
      </c>
      <c r="DZ142" s="138" t="e">
        <f>IF(VLOOKUP(CONCATENATE(H142,F142,DZ$2),Inglés!$A:$H,7,FALSE)=AN142,1,0)</f>
        <v>#N/A</v>
      </c>
      <c r="EA142" s="138" t="e">
        <f>IF(VLOOKUP(CONCATENATE(H142,F142,EA$2),Inglés!$A:$H,7,FALSE)=AO142,1,0)</f>
        <v>#N/A</v>
      </c>
      <c r="EB142" s="138" t="e">
        <f>IF(VLOOKUP(CONCATENATE(H142,F142,EB$2),Matemáticas!$A:$H,7,FALSE)=AP142,1,0)</f>
        <v>#N/A</v>
      </c>
      <c r="EC142" s="138" t="e">
        <f>IF(VLOOKUP(CONCATENATE(H142,F142,EC$2),Matemáticas!$A:$H,7,FALSE)=AQ142,1,0)</f>
        <v>#N/A</v>
      </c>
      <c r="ED142" s="138" t="e">
        <f>IF(VLOOKUP(CONCATENATE(H142,F142,ED$2),Matemáticas!$A:$H,7,FALSE)=AR142,1,0)</f>
        <v>#N/A</v>
      </c>
      <c r="EE142" s="138" t="e">
        <f>IF(VLOOKUP(CONCATENATE(H142,F142,EE$2),Matemáticas!$A:$H,7,FALSE)=AS142,1,0)</f>
        <v>#N/A</v>
      </c>
      <c r="EF142" s="138" t="e">
        <f>IF(VLOOKUP(CONCATENATE(H142,F142,EF$2),Matemáticas!$A:$H,7,FALSE)=AT142,1,0)</f>
        <v>#N/A</v>
      </c>
      <c r="EG142" s="138" t="e">
        <f>IF(VLOOKUP(CONCATENATE(H142,F142,EG$2),Matemáticas!$A:$H,7,FALSE)=AU142,1,0)</f>
        <v>#N/A</v>
      </c>
      <c r="EH142" s="138" t="e">
        <f>IF(VLOOKUP(CONCATENATE(H142,F142,EH$2),Matemáticas!$A:$H,7,FALSE)=AV142,1,0)</f>
        <v>#N/A</v>
      </c>
      <c r="EI142" s="138" t="e">
        <f>IF(VLOOKUP(CONCATENATE(H142,F142,EI$2),Matemáticas!$A:$H,7,FALSE)=AW142,1,0)</f>
        <v>#N/A</v>
      </c>
      <c r="EJ142" s="138" t="e">
        <f>IF(VLOOKUP(CONCATENATE(H142,F142,EJ$2),Matemáticas!$A:$H,7,FALSE)=AX142,1,0)</f>
        <v>#N/A</v>
      </c>
      <c r="EK142" s="138" t="e">
        <f>IF(VLOOKUP(CONCATENATE(H142,F142,EK$2),Matemáticas!$A:$H,7,FALSE)=AY142,1,0)</f>
        <v>#N/A</v>
      </c>
      <c r="EL142" s="138" t="e">
        <f>IF(VLOOKUP(CONCATENATE(H142,F142,EL$2),Matemáticas!$A:$H,7,FALSE)=AZ142,1,0)</f>
        <v>#N/A</v>
      </c>
      <c r="EM142" s="138" t="e">
        <f>IF(VLOOKUP(CONCATENATE(H142,F142,EM$2),Matemáticas!$A:$H,7,FALSE)=BA142,1,0)</f>
        <v>#N/A</v>
      </c>
      <c r="EN142" s="138" t="e">
        <f>IF(VLOOKUP(CONCATENATE(H142,F142,EN$2),Matemáticas!$A:$H,7,FALSE)=BB142,1,0)</f>
        <v>#N/A</v>
      </c>
      <c r="EO142" s="138" t="e">
        <f>IF(VLOOKUP(CONCATENATE(H142,F142,EO$2),Matemáticas!$A:$H,7,FALSE)=BC142,1,0)</f>
        <v>#N/A</v>
      </c>
      <c r="EP142" s="138" t="e">
        <f>IF(VLOOKUP(CONCATENATE(H142,F142,EP$2),Matemáticas!$A:$H,7,FALSE)=BD142,1,0)</f>
        <v>#N/A</v>
      </c>
      <c r="EQ142" s="138" t="e">
        <f>IF(VLOOKUP(CONCATENATE(H142,F142,EQ$2),Matemáticas!$A:$H,7,FALSE)=BE142,1,0)</f>
        <v>#N/A</v>
      </c>
      <c r="ER142" s="138" t="e">
        <f>IF(VLOOKUP(CONCATENATE(H142,F142,ER$2),Matemáticas!$A:$H,7,FALSE)=BF142,1,0)</f>
        <v>#N/A</v>
      </c>
      <c r="ES142" s="138" t="e">
        <f>IF(VLOOKUP(CONCATENATE(H142,F142,ES$2),Matemáticas!$A:$H,7,FALSE)=BG142,1,0)</f>
        <v>#N/A</v>
      </c>
      <c r="ET142" s="138" t="e">
        <f>IF(VLOOKUP(CONCATENATE(H142,F142,ET$2),Matemáticas!$A:$H,7,FALSE)=BH142,1,0)</f>
        <v>#N/A</v>
      </c>
      <c r="EU142" s="138" t="e">
        <f>IF(VLOOKUP(CONCATENATE(H142,F142,EU$2),Matemáticas!$A:$H,7,FALSE)=BI142,1,0)</f>
        <v>#N/A</v>
      </c>
      <c r="EV142" s="138" t="e">
        <f>IF(VLOOKUP(CONCATENATE(H142,F142,EV$2),Ciencias!$A:$H,7,FALSE)=BJ142,1,0)</f>
        <v>#N/A</v>
      </c>
      <c r="EW142" s="138" t="e">
        <f>IF(VLOOKUP(CONCATENATE(H142,F142,EW$2),Ciencias!$A:$H,7,FALSE)=BK142,1,0)</f>
        <v>#N/A</v>
      </c>
      <c r="EX142" s="138" t="e">
        <f>IF(VLOOKUP(CONCATENATE(H142,F142,EX$2),Ciencias!$A:$H,7,FALSE)=BL142,1,0)</f>
        <v>#N/A</v>
      </c>
      <c r="EY142" s="138" t="e">
        <f>IF(VLOOKUP(CONCATENATE(H142,F142,EY$2),Ciencias!$A:$H,7,FALSE)=BM142,1,0)</f>
        <v>#N/A</v>
      </c>
      <c r="EZ142" s="138" t="e">
        <f>IF(VLOOKUP(CONCATENATE(H142,F142,EZ$2),Ciencias!$A:$H,7,FALSE)=BN142,1,0)</f>
        <v>#N/A</v>
      </c>
      <c r="FA142" s="138" t="e">
        <f>IF(VLOOKUP(CONCATENATE(H142,F142,FA$2),Ciencias!$A:$H,7,FALSE)=BO142,1,0)</f>
        <v>#N/A</v>
      </c>
      <c r="FB142" s="138" t="e">
        <f>IF(VLOOKUP(CONCATENATE(H142,F142,FB$2),Ciencias!$A:$H,7,FALSE)=BP142,1,0)</f>
        <v>#N/A</v>
      </c>
      <c r="FC142" s="138" t="e">
        <f>IF(VLOOKUP(CONCATENATE(H142,F142,FC$2),Ciencias!$A:$H,7,FALSE)=BQ142,1,0)</f>
        <v>#N/A</v>
      </c>
      <c r="FD142" s="138" t="e">
        <f>IF(VLOOKUP(CONCATENATE(H142,F142,FD$2),Ciencias!$A:$H,7,FALSE)=BR142,1,0)</f>
        <v>#N/A</v>
      </c>
      <c r="FE142" s="138" t="e">
        <f>IF(VLOOKUP(CONCATENATE(H142,F142,FE$2),Ciencias!$A:$H,7,FALSE)=BS142,1,0)</f>
        <v>#N/A</v>
      </c>
      <c r="FF142" s="138" t="e">
        <f>IF(VLOOKUP(CONCATENATE(H142,F142,FF$2),Ciencias!$A:$H,7,FALSE)=BT142,1,0)</f>
        <v>#N/A</v>
      </c>
      <c r="FG142" s="138" t="e">
        <f>IF(VLOOKUP(CONCATENATE(H142,F142,FG$2),Ciencias!$A:$H,7,FALSE)=BU142,1,0)</f>
        <v>#N/A</v>
      </c>
      <c r="FH142" s="138" t="e">
        <f>IF(VLOOKUP(CONCATENATE(H142,F142,FH$2),Ciencias!$A:$H,7,FALSE)=BV142,1,0)</f>
        <v>#N/A</v>
      </c>
      <c r="FI142" s="138" t="e">
        <f>IF(VLOOKUP(CONCATENATE(H142,F142,FI$2),Ciencias!$A:$H,7,FALSE)=BW142,1,0)</f>
        <v>#N/A</v>
      </c>
      <c r="FJ142" s="138" t="e">
        <f>IF(VLOOKUP(CONCATENATE(H142,F142,FJ$2),Ciencias!$A:$H,7,FALSE)=BX142,1,0)</f>
        <v>#N/A</v>
      </c>
      <c r="FK142" s="138" t="e">
        <f>IF(VLOOKUP(CONCATENATE(H142,F142,FK$2),Ciencias!$A:$H,7,FALSE)=BY142,1,0)</f>
        <v>#N/A</v>
      </c>
      <c r="FL142" s="138" t="e">
        <f>IF(VLOOKUP(CONCATENATE(H142,F142,FL$2),Ciencias!$A:$H,7,FALSE)=BZ142,1,0)</f>
        <v>#N/A</v>
      </c>
      <c r="FM142" s="138" t="e">
        <f>IF(VLOOKUP(CONCATENATE(H142,F142,FM$2),Ciencias!$A:$H,7,FALSE)=CA142,1,0)</f>
        <v>#N/A</v>
      </c>
      <c r="FN142" s="138" t="e">
        <f>IF(VLOOKUP(CONCATENATE(H142,F142,FN$2),Ciencias!$A:$H,7,FALSE)=CB142,1,0)</f>
        <v>#N/A</v>
      </c>
      <c r="FO142" s="138" t="e">
        <f>IF(VLOOKUP(CONCATENATE(H142,F142,FO$2),Ciencias!$A:$H,7,FALSE)=CC142,1,0)</f>
        <v>#N/A</v>
      </c>
      <c r="FP142" s="138" t="e">
        <f>IF(VLOOKUP(CONCATENATE(H142,F142,FP$2),GeoHis!$A:$H,7,FALSE)=CD142,1,0)</f>
        <v>#N/A</v>
      </c>
      <c r="FQ142" s="138" t="e">
        <f>IF(VLOOKUP(CONCATENATE(H142,F142,FQ$2),GeoHis!$A:$H,7,FALSE)=CE142,1,0)</f>
        <v>#N/A</v>
      </c>
      <c r="FR142" s="138" t="e">
        <f>IF(VLOOKUP(CONCATENATE(H142,F142,FR$2),GeoHis!$A:$H,7,FALSE)=CF142,1,0)</f>
        <v>#N/A</v>
      </c>
      <c r="FS142" s="138" t="e">
        <f>IF(VLOOKUP(CONCATENATE(H142,F142,FS$2),GeoHis!$A:$H,7,FALSE)=CG142,1,0)</f>
        <v>#N/A</v>
      </c>
      <c r="FT142" s="138" t="e">
        <f>IF(VLOOKUP(CONCATENATE(H142,F142,FT$2),GeoHis!$A:$H,7,FALSE)=CH142,1,0)</f>
        <v>#N/A</v>
      </c>
      <c r="FU142" s="138" t="e">
        <f>IF(VLOOKUP(CONCATENATE(H142,F142,FU$2),GeoHis!$A:$H,7,FALSE)=CI142,1,0)</f>
        <v>#N/A</v>
      </c>
      <c r="FV142" s="138" t="e">
        <f>IF(VLOOKUP(CONCATENATE(H142,F142,FV$2),GeoHis!$A:$H,7,FALSE)=CJ142,1,0)</f>
        <v>#N/A</v>
      </c>
      <c r="FW142" s="138" t="e">
        <f>IF(VLOOKUP(CONCATENATE(H142,F142,FW$2),GeoHis!$A:$H,7,FALSE)=CK142,1,0)</f>
        <v>#N/A</v>
      </c>
      <c r="FX142" s="138" t="e">
        <f>IF(VLOOKUP(CONCATENATE(H142,F142,FX$2),GeoHis!$A:$H,7,FALSE)=CL142,1,0)</f>
        <v>#N/A</v>
      </c>
      <c r="FY142" s="138" t="e">
        <f>IF(VLOOKUP(CONCATENATE(H142,F142,FY$2),GeoHis!$A:$H,7,FALSE)=CM142,1,0)</f>
        <v>#N/A</v>
      </c>
      <c r="FZ142" s="138" t="e">
        <f>IF(VLOOKUP(CONCATENATE(H142,F142,FZ$2),GeoHis!$A:$H,7,FALSE)=CN142,1,0)</f>
        <v>#N/A</v>
      </c>
      <c r="GA142" s="138" t="e">
        <f>IF(VLOOKUP(CONCATENATE(H142,F142,GA$2),GeoHis!$A:$H,7,FALSE)=CO142,1,0)</f>
        <v>#N/A</v>
      </c>
      <c r="GB142" s="138" t="e">
        <f>IF(VLOOKUP(CONCATENATE(H142,F142,GB$2),GeoHis!$A:$H,7,FALSE)=CP142,1,0)</f>
        <v>#N/A</v>
      </c>
      <c r="GC142" s="138" t="e">
        <f>IF(VLOOKUP(CONCATENATE(H142,F142,GC$2),GeoHis!$A:$H,7,FALSE)=CQ142,1,0)</f>
        <v>#N/A</v>
      </c>
      <c r="GD142" s="138" t="e">
        <f>IF(VLOOKUP(CONCATENATE(H142,F142,GD$2),GeoHis!$A:$H,7,FALSE)=CR142,1,0)</f>
        <v>#N/A</v>
      </c>
      <c r="GE142" s="135" t="str">
        <f t="shared" si="23"/>
        <v/>
      </c>
    </row>
    <row r="143" spans="1:187" x14ac:dyDescent="0.25">
      <c r="A143" s="127" t="str">
        <f>IF(C143="","",'Datos Generales'!$A$25)</f>
        <v/>
      </c>
      <c r="D143" s="126" t="str">
        <f t="shared" si="16"/>
        <v/>
      </c>
      <c r="E143" s="126">
        <f t="shared" si="17"/>
        <v>0</v>
      </c>
      <c r="F143" s="126" t="str">
        <f t="shared" si="18"/>
        <v/>
      </c>
      <c r="G143" s="126" t="str">
        <f>IF(C143="","",'Datos Generales'!$D$19)</f>
        <v/>
      </c>
      <c r="H143" s="21" t="str">
        <f>IF(C143="","",'Datos Generales'!$A$19)</f>
        <v/>
      </c>
      <c r="I143" s="126" t="str">
        <f>IF(C143="","",'Datos Generales'!$A$7)</f>
        <v/>
      </c>
      <c r="J143" s="21" t="str">
        <f>IF(C143="","",'Datos Generales'!$A$13)</f>
        <v/>
      </c>
      <c r="K143" s="21" t="str">
        <f>IF(C143="","",'Datos Generales'!$A$10)</f>
        <v/>
      </c>
      <c r="CS143" s="142" t="str">
        <f t="shared" si="19"/>
        <v/>
      </c>
      <c r="CT143" s="142" t="str">
        <f t="shared" si="20"/>
        <v/>
      </c>
      <c r="CU143" s="142" t="str">
        <f t="shared" si="21"/>
        <v/>
      </c>
      <c r="CV143" s="142" t="str">
        <f t="shared" si="22"/>
        <v/>
      </c>
      <c r="CW143" s="142" t="str">
        <f>IF(C143="","",IF('Datos Generales'!$A$19=1,AVERAGE(FP143:GD143),AVERAGE(Captura!FP143:FY143)))</f>
        <v/>
      </c>
      <c r="CX143" s="138" t="e">
        <f>IF(VLOOKUP(CONCATENATE($H$4,$F$4,CX$2),Español!$A:$H,7,FALSE)=L143,1,0)</f>
        <v>#N/A</v>
      </c>
      <c r="CY143" s="138" t="e">
        <f>IF(VLOOKUP(CONCATENATE(H143,F143,CY$2),Español!$A:$H,7,FALSE)=M143,1,0)</f>
        <v>#N/A</v>
      </c>
      <c r="CZ143" s="138" t="e">
        <f>IF(VLOOKUP(CONCATENATE(H143,F143,CZ$2),Español!$A:$H,7,FALSE)=N143,1,0)</f>
        <v>#N/A</v>
      </c>
      <c r="DA143" s="138" t="e">
        <f>IF(VLOOKUP(CONCATENATE(H143,F143,DA$2),Español!$A:$H,7,FALSE)=O143,1,0)</f>
        <v>#N/A</v>
      </c>
      <c r="DB143" s="138" t="e">
        <f>IF(VLOOKUP(CONCATENATE(H143,F143,DB$2),Español!$A:$H,7,FALSE)=P143,1,0)</f>
        <v>#N/A</v>
      </c>
      <c r="DC143" s="138" t="e">
        <f>IF(VLOOKUP(CONCATENATE(H143,F143,DC$2),Español!$A:$H,7,FALSE)=Q143,1,0)</f>
        <v>#N/A</v>
      </c>
      <c r="DD143" s="138" t="e">
        <f>IF(VLOOKUP(CONCATENATE(H143,F143,DD$2),Español!$A:$H,7,FALSE)=R143,1,0)</f>
        <v>#N/A</v>
      </c>
      <c r="DE143" s="138" t="e">
        <f>IF(VLOOKUP(CONCATENATE(H143,F143,DE$2),Español!$A:$H,7,FALSE)=S143,1,0)</f>
        <v>#N/A</v>
      </c>
      <c r="DF143" s="138" t="e">
        <f>IF(VLOOKUP(CONCATENATE(H143,F143,DF$2),Español!$A:$H,7,FALSE)=T143,1,0)</f>
        <v>#N/A</v>
      </c>
      <c r="DG143" s="138" t="e">
        <f>IF(VLOOKUP(CONCATENATE(H143,F143,DG$2),Español!$A:$H,7,FALSE)=U143,1,0)</f>
        <v>#N/A</v>
      </c>
      <c r="DH143" s="138" t="e">
        <f>IF(VLOOKUP(CONCATENATE(H143,F143,DH$2),Español!$A:$H,7,FALSE)=V143,1,0)</f>
        <v>#N/A</v>
      </c>
      <c r="DI143" s="138" t="e">
        <f>IF(VLOOKUP(CONCATENATE(H143,F143,DI$2),Español!$A:$H,7,FALSE)=W143,1,0)</f>
        <v>#N/A</v>
      </c>
      <c r="DJ143" s="138" t="e">
        <f>IF(VLOOKUP(CONCATENATE(H143,F143,DJ$2),Español!$A:$H,7,FALSE)=X143,1,0)</f>
        <v>#N/A</v>
      </c>
      <c r="DK143" s="138" t="e">
        <f>IF(VLOOKUP(CONCATENATE(H143,F143,DK$2),Español!$A:$H,7,FALSE)=Y143,1,0)</f>
        <v>#N/A</v>
      </c>
      <c r="DL143" s="138" t="e">
        <f>IF(VLOOKUP(CONCATENATE(H143,F143,DL$2),Español!$A:$H,7,FALSE)=Z143,1,0)</f>
        <v>#N/A</v>
      </c>
      <c r="DM143" s="138" t="e">
        <f>IF(VLOOKUP(CONCATENATE(H143,F143,DM$2),Español!$A:$H,7,FALSE)=AA143,1,0)</f>
        <v>#N/A</v>
      </c>
      <c r="DN143" s="138" t="e">
        <f>IF(VLOOKUP(CONCATENATE(H143,F143,DN$2),Español!$A:$H,7,FALSE)=AB143,1,0)</f>
        <v>#N/A</v>
      </c>
      <c r="DO143" s="138" t="e">
        <f>IF(VLOOKUP(CONCATENATE(H143,F143,DO$2),Español!$A:$H,7,FALSE)=AC143,1,0)</f>
        <v>#N/A</v>
      </c>
      <c r="DP143" s="138" t="e">
        <f>IF(VLOOKUP(CONCATENATE(H143,F143,DP$2),Español!$A:$H,7,FALSE)=AD143,1,0)</f>
        <v>#N/A</v>
      </c>
      <c r="DQ143" s="138" t="e">
        <f>IF(VLOOKUP(CONCATENATE(H143,F143,DQ$2),Español!$A:$H,7,FALSE)=AE143,1,0)</f>
        <v>#N/A</v>
      </c>
      <c r="DR143" s="138" t="e">
        <f>IF(VLOOKUP(CONCATENATE(H143,F143,DR$2),Inglés!$A:$H,7,FALSE)=AF143,1,0)</f>
        <v>#N/A</v>
      </c>
      <c r="DS143" s="138" t="e">
        <f>IF(VLOOKUP(CONCATENATE(H143,F143,DS$2),Inglés!$A:$H,7,FALSE)=AG143,1,0)</f>
        <v>#N/A</v>
      </c>
      <c r="DT143" s="138" t="e">
        <f>IF(VLOOKUP(CONCATENATE(H143,F143,DT$2),Inglés!$A:$H,7,FALSE)=AH143,1,0)</f>
        <v>#N/A</v>
      </c>
      <c r="DU143" s="138" t="e">
        <f>IF(VLOOKUP(CONCATENATE(H143,F143,DU$2),Inglés!$A:$H,7,FALSE)=AI143,1,0)</f>
        <v>#N/A</v>
      </c>
      <c r="DV143" s="138" t="e">
        <f>IF(VLOOKUP(CONCATENATE(H143,F143,DV$2),Inglés!$A:$H,7,FALSE)=AJ143,1,0)</f>
        <v>#N/A</v>
      </c>
      <c r="DW143" s="138" t="e">
        <f>IF(VLOOKUP(CONCATENATE(H143,F143,DW$2),Inglés!$A:$H,7,FALSE)=AK143,1,0)</f>
        <v>#N/A</v>
      </c>
      <c r="DX143" s="138" t="e">
        <f>IF(VLOOKUP(CONCATENATE(H143,F143,DX$2),Inglés!$A:$H,7,FALSE)=AL143,1,0)</f>
        <v>#N/A</v>
      </c>
      <c r="DY143" s="138" t="e">
        <f>IF(VLOOKUP(CONCATENATE(H143,F143,DY$2),Inglés!$A:$H,7,FALSE)=AM143,1,0)</f>
        <v>#N/A</v>
      </c>
      <c r="DZ143" s="138" t="e">
        <f>IF(VLOOKUP(CONCATENATE(H143,F143,DZ$2),Inglés!$A:$H,7,FALSE)=AN143,1,0)</f>
        <v>#N/A</v>
      </c>
      <c r="EA143" s="138" t="e">
        <f>IF(VLOOKUP(CONCATENATE(H143,F143,EA$2),Inglés!$A:$H,7,FALSE)=AO143,1,0)</f>
        <v>#N/A</v>
      </c>
      <c r="EB143" s="138" t="e">
        <f>IF(VLOOKUP(CONCATENATE(H143,F143,EB$2),Matemáticas!$A:$H,7,FALSE)=AP143,1,0)</f>
        <v>#N/A</v>
      </c>
      <c r="EC143" s="138" t="e">
        <f>IF(VLOOKUP(CONCATENATE(H143,F143,EC$2),Matemáticas!$A:$H,7,FALSE)=AQ143,1,0)</f>
        <v>#N/A</v>
      </c>
      <c r="ED143" s="138" t="e">
        <f>IF(VLOOKUP(CONCATENATE(H143,F143,ED$2),Matemáticas!$A:$H,7,FALSE)=AR143,1,0)</f>
        <v>#N/A</v>
      </c>
      <c r="EE143" s="138" t="e">
        <f>IF(VLOOKUP(CONCATENATE(H143,F143,EE$2),Matemáticas!$A:$H,7,FALSE)=AS143,1,0)</f>
        <v>#N/A</v>
      </c>
      <c r="EF143" s="138" t="e">
        <f>IF(VLOOKUP(CONCATENATE(H143,F143,EF$2),Matemáticas!$A:$H,7,FALSE)=AT143,1,0)</f>
        <v>#N/A</v>
      </c>
      <c r="EG143" s="138" t="e">
        <f>IF(VLOOKUP(CONCATENATE(H143,F143,EG$2),Matemáticas!$A:$H,7,FALSE)=AU143,1,0)</f>
        <v>#N/A</v>
      </c>
      <c r="EH143" s="138" t="e">
        <f>IF(VLOOKUP(CONCATENATE(H143,F143,EH$2),Matemáticas!$A:$H,7,FALSE)=AV143,1,0)</f>
        <v>#N/A</v>
      </c>
      <c r="EI143" s="138" t="e">
        <f>IF(VLOOKUP(CONCATENATE(H143,F143,EI$2),Matemáticas!$A:$H,7,FALSE)=AW143,1,0)</f>
        <v>#N/A</v>
      </c>
      <c r="EJ143" s="138" t="e">
        <f>IF(VLOOKUP(CONCATENATE(H143,F143,EJ$2),Matemáticas!$A:$H,7,FALSE)=AX143,1,0)</f>
        <v>#N/A</v>
      </c>
      <c r="EK143" s="138" t="e">
        <f>IF(VLOOKUP(CONCATENATE(H143,F143,EK$2),Matemáticas!$A:$H,7,FALSE)=AY143,1,0)</f>
        <v>#N/A</v>
      </c>
      <c r="EL143" s="138" t="e">
        <f>IF(VLOOKUP(CONCATENATE(H143,F143,EL$2),Matemáticas!$A:$H,7,FALSE)=AZ143,1,0)</f>
        <v>#N/A</v>
      </c>
      <c r="EM143" s="138" t="e">
        <f>IF(VLOOKUP(CONCATENATE(H143,F143,EM$2),Matemáticas!$A:$H,7,FALSE)=BA143,1,0)</f>
        <v>#N/A</v>
      </c>
      <c r="EN143" s="138" t="e">
        <f>IF(VLOOKUP(CONCATENATE(H143,F143,EN$2),Matemáticas!$A:$H,7,FALSE)=BB143,1,0)</f>
        <v>#N/A</v>
      </c>
      <c r="EO143" s="138" t="e">
        <f>IF(VLOOKUP(CONCATENATE(H143,F143,EO$2),Matemáticas!$A:$H,7,FALSE)=BC143,1,0)</f>
        <v>#N/A</v>
      </c>
      <c r="EP143" s="138" t="e">
        <f>IF(VLOOKUP(CONCATENATE(H143,F143,EP$2),Matemáticas!$A:$H,7,FALSE)=BD143,1,0)</f>
        <v>#N/A</v>
      </c>
      <c r="EQ143" s="138" t="e">
        <f>IF(VLOOKUP(CONCATENATE(H143,F143,EQ$2),Matemáticas!$A:$H,7,FALSE)=BE143,1,0)</f>
        <v>#N/A</v>
      </c>
      <c r="ER143" s="138" t="e">
        <f>IF(VLOOKUP(CONCATENATE(H143,F143,ER$2),Matemáticas!$A:$H,7,FALSE)=BF143,1,0)</f>
        <v>#N/A</v>
      </c>
      <c r="ES143" s="138" t="e">
        <f>IF(VLOOKUP(CONCATENATE(H143,F143,ES$2),Matemáticas!$A:$H,7,FALSE)=BG143,1,0)</f>
        <v>#N/A</v>
      </c>
      <c r="ET143" s="138" t="e">
        <f>IF(VLOOKUP(CONCATENATE(H143,F143,ET$2),Matemáticas!$A:$H,7,FALSE)=BH143,1,0)</f>
        <v>#N/A</v>
      </c>
      <c r="EU143" s="138" t="e">
        <f>IF(VLOOKUP(CONCATENATE(H143,F143,EU$2),Matemáticas!$A:$H,7,FALSE)=BI143,1,0)</f>
        <v>#N/A</v>
      </c>
      <c r="EV143" s="138" t="e">
        <f>IF(VLOOKUP(CONCATENATE(H143,F143,EV$2),Ciencias!$A:$H,7,FALSE)=BJ143,1,0)</f>
        <v>#N/A</v>
      </c>
      <c r="EW143" s="138" t="e">
        <f>IF(VLOOKUP(CONCATENATE(H143,F143,EW$2),Ciencias!$A:$H,7,FALSE)=BK143,1,0)</f>
        <v>#N/A</v>
      </c>
      <c r="EX143" s="138" t="e">
        <f>IF(VLOOKUP(CONCATENATE(H143,F143,EX$2),Ciencias!$A:$H,7,FALSE)=BL143,1,0)</f>
        <v>#N/A</v>
      </c>
      <c r="EY143" s="138" t="e">
        <f>IF(VLOOKUP(CONCATENATE(H143,F143,EY$2),Ciencias!$A:$H,7,FALSE)=BM143,1,0)</f>
        <v>#N/A</v>
      </c>
      <c r="EZ143" s="138" t="e">
        <f>IF(VLOOKUP(CONCATENATE(H143,F143,EZ$2),Ciencias!$A:$H,7,FALSE)=BN143,1,0)</f>
        <v>#N/A</v>
      </c>
      <c r="FA143" s="138" t="e">
        <f>IF(VLOOKUP(CONCATENATE(H143,F143,FA$2),Ciencias!$A:$H,7,FALSE)=BO143,1,0)</f>
        <v>#N/A</v>
      </c>
      <c r="FB143" s="138" t="e">
        <f>IF(VLOOKUP(CONCATENATE(H143,F143,FB$2),Ciencias!$A:$H,7,FALSE)=BP143,1,0)</f>
        <v>#N/A</v>
      </c>
      <c r="FC143" s="138" t="e">
        <f>IF(VLOOKUP(CONCATENATE(H143,F143,FC$2),Ciencias!$A:$H,7,FALSE)=BQ143,1,0)</f>
        <v>#N/A</v>
      </c>
      <c r="FD143" s="138" t="e">
        <f>IF(VLOOKUP(CONCATENATE(H143,F143,FD$2),Ciencias!$A:$H,7,FALSE)=BR143,1,0)</f>
        <v>#N/A</v>
      </c>
      <c r="FE143" s="138" t="e">
        <f>IF(VLOOKUP(CONCATENATE(H143,F143,FE$2),Ciencias!$A:$H,7,FALSE)=BS143,1,0)</f>
        <v>#N/A</v>
      </c>
      <c r="FF143" s="138" t="e">
        <f>IF(VLOOKUP(CONCATENATE(H143,F143,FF$2),Ciencias!$A:$H,7,FALSE)=BT143,1,0)</f>
        <v>#N/A</v>
      </c>
      <c r="FG143" s="138" t="e">
        <f>IF(VLOOKUP(CONCATENATE(H143,F143,FG$2),Ciencias!$A:$H,7,FALSE)=BU143,1,0)</f>
        <v>#N/A</v>
      </c>
      <c r="FH143" s="138" t="e">
        <f>IF(VLOOKUP(CONCATENATE(H143,F143,FH$2),Ciencias!$A:$H,7,FALSE)=BV143,1,0)</f>
        <v>#N/A</v>
      </c>
      <c r="FI143" s="138" t="e">
        <f>IF(VLOOKUP(CONCATENATE(H143,F143,FI$2),Ciencias!$A:$H,7,FALSE)=BW143,1,0)</f>
        <v>#N/A</v>
      </c>
      <c r="FJ143" s="138" t="e">
        <f>IF(VLOOKUP(CONCATENATE(H143,F143,FJ$2),Ciencias!$A:$H,7,FALSE)=BX143,1,0)</f>
        <v>#N/A</v>
      </c>
      <c r="FK143" s="138" t="e">
        <f>IF(VLOOKUP(CONCATENATE(H143,F143,FK$2),Ciencias!$A:$H,7,FALSE)=BY143,1,0)</f>
        <v>#N/A</v>
      </c>
      <c r="FL143" s="138" t="e">
        <f>IF(VLOOKUP(CONCATENATE(H143,F143,FL$2),Ciencias!$A:$H,7,FALSE)=BZ143,1,0)</f>
        <v>#N/A</v>
      </c>
      <c r="FM143" s="138" t="e">
        <f>IF(VLOOKUP(CONCATENATE(H143,F143,FM$2),Ciencias!$A:$H,7,FALSE)=CA143,1,0)</f>
        <v>#N/A</v>
      </c>
      <c r="FN143" s="138" t="e">
        <f>IF(VLOOKUP(CONCATENATE(H143,F143,FN$2),Ciencias!$A:$H,7,FALSE)=CB143,1,0)</f>
        <v>#N/A</v>
      </c>
      <c r="FO143" s="138" t="e">
        <f>IF(VLOOKUP(CONCATENATE(H143,F143,FO$2),Ciencias!$A:$H,7,FALSE)=CC143,1,0)</f>
        <v>#N/A</v>
      </c>
      <c r="FP143" s="138" t="e">
        <f>IF(VLOOKUP(CONCATENATE(H143,F143,FP$2),GeoHis!$A:$H,7,FALSE)=CD143,1,0)</f>
        <v>#N/A</v>
      </c>
      <c r="FQ143" s="138" t="e">
        <f>IF(VLOOKUP(CONCATENATE(H143,F143,FQ$2),GeoHis!$A:$H,7,FALSE)=CE143,1,0)</f>
        <v>#N/A</v>
      </c>
      <c r="FR143" s="138" t="e">
        <f>IF(VLOOKUP(CONCATENATE(H143,F143,FR$2),GeoHis!$A:$H,7,FALSE)=CF143,1,0)</f>
        <v>#N/A</v>
      </c>
      <c r="FS143" s="138" t="e">
        <f>IF(VLOOKUP(CONCATENATE(H143,F143,FS$2),GeoHis!$A:$H,7,FALSE)=CG143,1,0)</f>
        <v>#N/A</v>
      </c>
      <c r="FT143" s="138" t="e">
        <f>IF(VLOOKUP(CONCATENATE(H143,F143,FT$2),GeoHis!$A:$H,7,FALSE)=CH143,1,0)</f>
        <v>#N/A</v>
      </c>
      <c r="FU143" s="138" t="e">
        <f>IF(VLOOKUP(CONCATENATE(H143,F143,FU$2),GeoHis!$A:$H,7,FALSE)=CI143,1,0)</f>
        <v>#N/A</v>
      </c>
      <c r="FV143" s="138" t="e">
        <f>IF(VLOOKUP(CONCATENATE(H143,F143,FV$2),GeoHis!$A:$H,7,FALSE)=CJ143,1,0)</f>
        <v>#N/A</v>
      </c>
      <c r="FW143" s="138" t="e">
        <f>IF(VLOOKUP(CONCATENATE(H143,F143,FW$2),GeoHis!$A:$H,7,FALSE)=CK143,1,0)</f>
        <v>#N/A</v>
      </c>
      <c r="FX143" s="138" t="e">
        <f>IF(VLOOKUP(CONCATENATE(H143,F143,FX$2),GeoHis!$A:$H,7,FALSE)=CL143,1,0)</f>
        <v>#N/A</v>
      </c>
      <c r="FY143" s="138" t="e">
        <f>IF(VLOOKUP(CONCATENATE(H143,F143,FY$2),GeoHis!$A:$H,7,FALSE)=CM143,1,0)</f>
        <v>#N/A</v>
      </c>
      <c r="FZ143" s="138" t="e">
        <f>IF(VLOOKUP(CONCATENATE(H143,F143,FZ$2),GeoHis!$A:$H,7,FALSE)=CN143,1,0)</f>
        <v>#N/A</v>
      </c>
      <c r="GA143" s="138" t="e">
        <f>IF(VLOOKUP(CONCATENATE(H143,F143,GA$2),GeoHis!$A:$H,7,FALSE)=CO143,1,0)</f>
        <v>#N/A</v>
      </c>
      <c r="GB143" s="138" t="e">
        <f>IF(VLOOKUP(CONCATENATE(H143,F143,GB$2),GeoHis!$A:$H,7,FALSE)=CP143,1,0)</f>
        <v>#N/A</v>
      </c>
      <c r="GC143" s="138" t="e">
        <f>IF(VLOOKUP(CONCATENATE(H143,F143,GC$2),GeoHis!$A:$H,7,FALSE)=CQ143,1,0)</f>
        <v>#N/A</v>
      </c>
      <c r="GD143" s="138" t="e">
        <f>IF(VLOOKUP(CONCATENATE(H143,F143,GD$2),GeoHis!$A:$H,7,FALSE)=CR143,1,0)</f>
        <v>#N/A</v>
      </c>
      <c r="GE143" s="135" t="str">
        <f t="shared" si="23"/>
        <v/>
      </c>
    </row>
    <row r="144" spans="1:187" x14ac:dyDescent="0.25">
      <c r="A144" s="127" t="str">
        <f>IF(C144="","",'Datos Generales'!$A$25)</f>
        <v/>
      </c>
      <c r="D144" s="126" t="str">
        <f t="shared" si="16"/>
        <v/>
      </c>
      <c r="E144" s="126">
        <f t="shared" si="17"/>
        <v>0</v>
      </c>
      <c r="F144" s="126" t="str">
        <f t="shared" si="18"/>
        <v/>
      </c>
      <c r="G144" s="126" t="str">
        <f>IF(C144="","",'Datos Generales'!$D$19)</f>
        <v/>
      </c>
      <c r="H144" s="21" t="str">
        <f>IF(C144="","",'Datos Generales'!$A$19)</f>
        <v/>
      </c>
      <c r="I144" s="126" t="str">
        <f>IF(C144="","",'Datos Generales'!$A$7)</f>
        <v/>
      </c>
      <c r="J144" s="21" t="str">
        <f>IF(C144="","",'Datos Generales'!$A$13)</f>
        <v/>
      </c>
      <c r="K144" s="21" t="str">
        <f>IF(C144="","",'Datos Generales'!$A$10)</f>
        <v/>
      </c>
      <c r="CS144" s="142" t="str">
        <f t="shared" si="19"/>
        <v/>
      </c>
      <c r="CT144" s="142" t="str">
        <f t="shared" si="20"/>
        <v/>
      </c>
      <c r="CU144" s="142" t="str">
        <f t="shared" si="21"/>
        <v/>
      </c>
      <c r="CV144" s="142" t="str">
        <f t="shared" si="22"/>
        <v/>
      </c>
      <c r="CW144" s="142" t="str">
        <f>IF(C144="","",IF('Datos Generales'!$A$19=1,AVERAGE(FP144:GD144),AVERAGE(Captura!FP144:FY144)))</f>
        <v/>
      </c>
      <c r="CX144" s="138" t="e">
        <f>IF(VLOOKUP(CONCATENATE($H$4,$F$4,CX$2),Español!$A:$H,7,FALSE)=L144,1,0)</f>
        <v>#N/A</v>
      </c>
      <c r="CY144" s="138" t="e">
        <f>IF(VLOOKUP(CONCATENATE(H144,F144,CY$2),Español!$A:$H,7,FALSE)=M144,1,0)</f>
        <v>#N/A</v>
      </c>
      <c r="CZ144" s="138" t="e">
        <f>IF(VLOOKUP(CONCATENATE(H144,F144,CZ$2),Español!$A:$H,7,FALSE)=N144,1,0)</f>
        <v>#N/A</v>
      </c>
      <c r="DA144" s="138" t="e">
        <f>IF(VLOOKUP(CONCATENATE(H144,F144,DA$2),Español!$A:$H,7,FALSE)=O144,1,0)</f>
        <v>#N/A</v>
      </c>
      <c r="DB144" s="138" t="e">
        <f>IF(VLOOKUP(CONCATENATE(H144,F144,DB$2),Español!$A:$H,7,FALSE)=P144,1,0)</f>
        <v>#N/A</v>
      </c>
      <c r="DC144" s="138" t="e">
        <f>IF(VLOOKUP(CONCATENATE(H144,F144,DC$2),Español!$A:$H,7,FALSE)=Q144,1,0)</f>
        <v>#N/A</v>
      </c>
      <c r="DD144" s="138" t="e">
        <f>IF(VLOOKUP(CONCATENATE(H144,F144,DD$2),Español!$A:$H,7,FALSE)=R144,1,0)</f>
        <v>#N/A</v>
      </c>
      <c r="DE144" s="138" t="e">
        <f>IF(VLOOKUP(CONCATENATE(H144,F144,DE$2),Español!$A:$H,7,FALSE)=S144,1,0)</f>
        <v>#N/A</v>
      </c>
      <c r="DF144" s="138" t="e">
        <f>IF(VLOOKUP(CONCATENATE(H144,F144,DF$2),Español!$A:$H,7,FALSE)=T144,1,0)</f>
        <v>#N/A</v>
      </c>
      <c r="DG144" s="138" t="e">
        <f>IF(VLOOKUP(CONCATENATE(H144,F144,DG$2),Español!$A:$H,7,FALSE)=U144,1,0)</f>
        <v>#N/A</v>
      </c>
      <c r="DH144" s="138" t="e">
        <f>IF(VLOOKUP(CONCATENATE(H144,F144,DH$2),Español!$A:$H,7,FALSE)=V144,1,0)</f>
        <v>#N/A</v>
      </c>
      <c r="DI144" s="138" t="e">
        <f>IF(VLOOKUP(CONCATENATE(H144,F144,DI$2),Español!$A:$H,7,FALSE)=W144,1,0)</f>
        <v>#N/A</v>
      </c>
      <c r="DJ144" s="138" t="e">
        <f>IF(VLOOKUP(CONCATENATE(H144,F144,DJ$2),Español!$A:$H,7,FALSE)=X144,1,0)</f>
        <v>#N/A</v>
      </c>
      <c r="DK144" s="138" t="e">
        <f>IF(VLOOKUP(CONCATENATE(H144,F144,DK$2),Español!$A:$H,7,FALSE)=Y144,1,0)</f>
        <v>#N/A</v>
      </c>
      <c r="DL144" s="138" t="e">
        <f>IF(VLOOKUP(CONCATENATE(H144,F144,DL$2),Español!$A:$H,7,FALSE)=Z144,1,0)</f>
        <v>#N/A</v>
      </c>
      <c r="DM144" s="138" t="e">
        <f>IF(VLOOKUP(CONCATENATE(H144,F144,DM$2),Español!$A:$H,7,FALSE)=AA144,1,0)</f>
        <v>#N/A</v>
      </c>
      <c r="DN144" s="138" t="e">
        <f>IF(VLOOKUP(CONCATENATE(H144,F144,DN$2),Español!$A:$H,7,FALSE)=AB144,1,0)</f>
        <v>#N/A</v>
      </c>
      <c r="DO144" s="138" t="e">
        <f>IF(VLOOKUP(CONCATENATE(H144,F144,DO$2),Español!$A:$H,7,FALSE)=AC144,1,0)</f>
        <v>#N/A</v>
      </c>
      <c r="DP144" s="138" t="e">
        <f>IF(VLOOKUP(CONCATENATE(H144,F144,DP$2),Español!$A:$H,7,FALSE)=AD144,1,0)</f>
        <v>#N/A</v>
      </c>
      <c r="DQ144" s="138" t="e">
        <f>IF(VLOOKUP(CONCATENATE(H144,F144,DQ$2),Español!$A:$H,7,FALSE)=AE144,1,0)</f>
        <v>#N/A</v>
      </c>
      <c r="DR144" s="138" t="e">
        <f>IF(VLOOKUP(CONCATENATE(H144,F144,DR$2),Inglés!$A:$H,7,FALSE)=AF144,1,0)</f>
        <v>#N/A</v>
      </c>
      <c r="DS144" s="138" t="e">
        <f>IF(VLOOKUP(CONCATENATE(H144,F144,DS$2),Inglés!$A:$H,7,FALSE)=AG144,1,0)</f>
        <v>#N/A</v>
      </c>
      <c r="DT144" s="138" t="e">
        <f>IF(VLOOKUP(CONCATENATE(H144,F144,DT$2),Inglés!$A:$H,7,FALSE)=AH144,1,0)</f>
        <v>#N/A</v>
      </c>
      <c r="DU144" s="138" t="e">
        <f>IF(VLOOKUP(CONCATENATE(H144,F144,DU$2),Inglés!$A:$H,7,FALSE)=AI144,1,0)</f>
        <v>#N/A</v>
      </c>
      <c r="DV144" s="138" t="e">
        <f>IF(VLOOKUP(CONCATENATE(H144,F144,DV$2),Inglés!$A:$H,7,FALSE)=AJ144,1,0)</f>
        <v>#N/A</v>
      </c>
      <c r="DW144" s="138" t="e">
        <f>IF(VLOOKUP(CONCATENATE(H144,F144,DW$2),Inglés!$A:$H,7,FALSE)=AK144,1,0)</f>
        <v>#N/A</v>
      </c>
      <c r="DX144" s="138" t="e">
        <f>IF(VLOOKUP(CONCATENATE(H144,F144,DX$2),Inglés!$A:$H,7,FALSE)=AL144,1,0)</f>
        <v>#N/A</v>
      </c>
      <c r="DY144" s="138" t="e">
        <f>IF(VLOOKUP(CONCATENATE(H144,F144,DY$2),Inglés!$A:$H,7,FALSE)=AM144,1,0)</f>
        <v>#N/A</v>
      </c>
      <c r="DZ144" s="138" t="e">
        <f>IF(VLOOKUP(CONCATENATE(H144,F144,DZ$2),Inglés!$A:$H,7,FALSE)=AN144,1,0)</f>
        <v>#N/A</v>
      </c>
      <c r="EA144" s="138" t="e">
        <f>IF(VLOOKUP(CONCATENATE(H144,F144,EA$2),Inglés!$A:$H,7,FALSE)=AO144,1,0)</f>
        <v>#N/A</v>
      </c>
      <c r="EB144" s="138" t="e">
        <f>IF(VLOOKUP(CONCATENATE(H144,F144,EB$2),Matemáticas!$A:$H,7,FALSE)=AP144,1,0)</f>
        <v>#N/A</v>
      </c>
      <c r="EC144" s="138" t="e">
        <f>IF(VLOOKUP(CONCATENATE(H144,F144,EC$2),Matemáticas!$A:$H,7,FALSE)=AQ144,1,0)</f>
        <v>#N/A</v>
      </c>
      <c r="ED144" s="138" t="e">
        <f>IF(VLOOKUP(CONCATENATE(H144,F144,ED$2),Matemáticas!$A:$H,7,FALSE)=AR144,1,0)</f>
        <v>#N/A</v>
      </c>
      <c r="EE144" s="138" t="e">
        <f>IF(VLOOKUP(CONCATENATE(H144,F144,EE$2),Matemáticas!$A:$H,7,FALSE)=AS144,1,0)</f>
        <v>#N/A</v>
      </c>
      <c r="EF144" s="138" t="e">
        <f>IF(VLOOKUP(CONCATENATE(H144,F144,EF$2),Matemáticas!$A:$H,7,FALSE)=AT144,1,0)</f>
        <v>#N/A</v>
      </c>
      <c r="EG144" s="138" t="e">
        <f>IF(VLOOKUP(CONCATENATE(H144,F144,EG$2),Matemáticas!$A:$H,7,FALSE)=AU144,1,0)</f>
        <v>#N/A</v>
      </c>
      <c r="EH144" s="138" t="e">
        <f>IF(VLOOKUP(CONCATENATE(H144,F144,EH$2),Matemáticas!$A:$H,7,FALSE)=AV144,1,0)</f>
        <v>#N/A</v>
      </c>
      <c r="EI144" s="138" t="e">
        <f>IF(VLOOKUP(CONCATENATE(H144,F144,EI$2),Matemáticas!$A:$H,7,FALSE)=AW144,1,0)</f>
        <v>#N/A</v>
      </c>
      <c r="EJ144" s="138" t="e">
        <f>IF(VLOOKUP(CONCATENATE(H144,F144,EJ$2),Matemáticas!$A:$H,7,FALSE)=AX144,1,0)</f>
        <v>#N/A</v>
      </c>
      <c r="EK144" s="138" t="e">
        <f>IF(VLOOKUP(CONCATENATE(H144,F144,EK$2),Matemáticas!$A:$H,7,FALSE)=AY144,1,0)</f>
        <v>#N/A</v>
      </c>
      <c r="EL144" s="138" t="e">
        <f>IF(VLOOKUP(CONCATENATE(H144,F144,EL$2),Matemáticas!$A:$H,7,FALSE)=AZ144,1,0)</f>
        <v>#N/A</v>
      </c>
      <c r="EM144" s="138" t="e">
        <f>IF(VLOOKUP(CONCATENATE(H144,F144,EM$2),Matemáticas!$A:$H,7,FALSE)=BA144,1,0)</f>
        <v>#N/A</v>
      </c>
      <c r="EN144" s="138" t="e">
        <f>IF(VLOOKUP(CONCATENATE(H144,F144,EN$2),Matemáticas!$A:$H,7,FALSE)=BB144,1,0)</f>
        <v>#N/A</v>
      </c>
      <c r="EO144" s="138" t="e">
        <f>IF(VLOOKUP(CONCATENATE(H144,F144,EO$2),Matemáticas!$A:$H,7,FALSE)=BC144,1,0)</f>
        <v>#N/A</v>
      </c>
      <c r="EP144" s="138" t="e">
        <f>IF(VLOOKUP(CONCATENATE(H144,F144,EP$2),Matemáticas!$A:$H,7,FALSE)=BD144,1,0)</f>
        <v>#N/A</v>
      </c>
      <c r="EQ144" s="138" t="e">
        <f>IF(VLOOKUP(CONCATENATE(H144,F144,EQ$2),Matemáticas!$A:$H,7,FALSE)=BE144,1,0)</f>
        <v>#N/A</v>
      </c>
      <c r="ER144" s="138" t="e">
        <f>IF(VLOOKUP(CONCATENATE(H144,F144,ER$2),Matemáticas!$A:$H,7,FALSE)=BF144,1,0)</f>
        <v>#N/A</v>
      </c>
      <c r="ES144" s="138" t="e">
        <f>IF(VLOOKUP(CONCATENATE(H144,F144,ES$2),Matemáticas!$A:$H,7,FALSE)=BG144,1,0)</f>
        <v>#N/A</v>
      </c>
      <c r="ET144" s="138" t="e">
        <f>IF(VLOOKUP(CONCATENATE(H144,F144,ET$2),Matemáticas!$A:$H,7,FALSE)=BH144,1,0)</f>
        <v>#N/A</v>
      </c>
      <c r="EU144" s="138" t="e">
        <f>IF(VLOOKUP(CONCATENATE(H144,F144,EU$2),Matemáticas!$A:$H,7,FALSE)=BI144,1,0)</f>
        <v>#N/A</v>
      </c>
      <c r="EV144" s="138" t="e">
        <f>IF(VLOOKUP(CONCATENATE(H144,F144,EV$2),Ciencias!$A:$H,7,FALSE)=BJ144,1,0)</f>
        <v>#N/A</v>
      </c>
      <c r="EW144" s="138" t="e">
        <f>IF(VLOOKUP(CONCATENATE(H144,F144,EW$2),Ciencias!$A:$H,7,FALSE)=BK144,1,0)</f>
        <v>#N/A</v>
      </c>
      <c r="EX144" s="138" t="e">
        <f>IF(VLOOKUP(CONCATENATE(H144,F144,EX$2),Ciencias!$A:$H,7,FALSE)=BL144,1,0)</f>
        <v>#N/A</v>
      </c>
      <c r="EY144" s="138" t="e">
        <f>IF(VLOOKUP(CONCATENATE(H144,F144,EY$2),Ciencias!$A:$H,7,FALSE)=BM144,1,0)</f>
        <v>#N/A</v>
      </c>
      <c r="EZ144" s="138" t="e">
        <f>IF(VLOOKUP(CONCATENATE(H144,F144,EZ$2),Ciencias!$A:$H,7,FALSE)=BN144,1,0)</f>
        <v>#N/A</v>
      </c>
      <c r="FA144" s="138" t="e">
        <f>IF(VLOOKUP(CONCATENATE(H144,F144,FA$2),Ciencias!$A:$H,7,FALSE)=BO144,1,0)</f>
        <v>#N/A</v>
      </c>
      <c r="FB144" s="138" t="e">
        <f>IF(VLOOKUP(CONCATENATE(H144,F144,FB$2),Ciencias!$A:$H,7,FALSE)=BP144,1,0)</f>
        <v>#N/A</v>
      </c>
      <c r="FC144" s="138" t="e">
        <f>IF(VLOOKUP(CONCATENATE(H144,F144,FC$2),Ciencias!$A:$H,7,FALSE)=BQ144,1,0)</f>
        <v>#N/A</v>
      </c>
      <c r="FD144" s="138" t="e">
        <f>IF(VLOOKUP(CONCATENATE(H144,F144,FD$2),Ciencias!$A:$H,7,FALSE)=BR144,1,0)</f>
        <v>#N/A</v>
      </c>
      <c r="FE144" s="138" t="e">
        <f>IF(VLOOKUP(CONCATENATE(H144,F144,FE$2),Ciencias!$A:$H,7,FALSE)=BS144,1,0)</f>
        <v>#N/A</v>
      </c>
      <c r="FF144" s="138" t="e">
        <f>IF(VLOOKUP(CONCATENATE(H144,F144,FF$2),Ciencias!$A:$H,7,FALSE)=BT144,1,0)</f>
        <v>#N/A</v>
      </c>
      <c r="FG144" s="138" t="e">
        <f>IF(VLOOKUP(CONCATENATE(H144,F144,FG$2),Ciencias!$A:$H,7,FALSE)=BU144,1,0)</f>
        <v>#N/A</v>
      </c>
      <c r="FH144" s="138" t="e">
        <f>IF(VLOOKUP(CONCATENATE(H144,F144,FH$2),Ciencias!$A:$H,7,FALSE)=BV144,1,0)</f>
        <v>#N/A</v>
      </c>
      <c r="FI144" s="138" t="e">
        <f>IF(VLOOKUP(CONCATENATE(H144,F144,FI$2),Ciencias!$A:$H,7,FALSE)=BW144,1,0)</f>
        <v>#N/A</v>
      </c>
      <c r="FJ144" s="138" t="e">
        <f>IF(VLOOKUP(CONCATENATE(H144,F144,FJ$2),Ciencias!$A:$H,7,FALSE)=BX144,1,0)</f>
        <v>#N/A</v>
      </c>
      <c r="FK144" s="138" t="e">
        <f>IF(VLOOKUP(CONCATENATE(H144,F144,FK$2),Ciencias!$A:$H,7,FALSE)=BY144,1,0)</f>
        <v>#N/A</v>
      </c>
      <c r="FL144" s="138" t="e">
        <f>IF(VLOOKUP(CONCATENATE(H144,F144,FL$2),Ciencias!$A:$H,7,FALSE)=BZ144,1,0)</f>
        <v>#N/A</v>
      </c>
      <c r="FM144" s="138" t="e">
        <f>IF(VLOOKUP(CONCATENATE(H144,F144,FM$2),Ciencias!$A:$H,7,FALSE)=CA144,1,0)</f>
        <v>#N/A</v>
      </c>
      <c r="FN144" s="138" t="e">
        <f>IF(VLOOKUP(CONCATENATE(H144,F144,FN$2),Ciencias!$A:$H,7,FALSE)=CB144,1,0)</f>
        <v>#N/A</v>
      </c>
      <c r="FO144" s="138" t="e">
        <f>IF(VLOOKUP(CONCATENATE(H144,F144,FO$2),Ciencias!$A:$H,7,FALSE)=CC144,1,0)</f>
        <v>#N/A</v>
      </c>
      <c r="FP144" s="138" t="e">
        <f>IF(VLOOKUP(CONCATENATE(H144,F144,FP$2),GeoHis!$A:$H,7,FALSE)=CD144,1,0)</f>
        <v>#N/A</v>
      </c>
      <c r="FQ144" s="138" t="e">
        <f>IF(VLOOKUP(CONCATENATE(H144,F144,FQ$2),GeoHis!$A:$H,7,FALSE)=CE144,1,0)</f>
        <v>#N/A</v>
      </c>
      <c r="FR144" s="138" t="e">
        <f>IF(VLOOKUP(CONCATENATE(H144,F144,FR$2),GeoHis!$A:$H,7,FALSE)=CF144,1,0)</f>
        <v>#N/A</v>
      </c>
      <c r="FS144" s="138" t="e">
        <f>IF(VLOOKUP(CONCATENATE(H144,F144,FS$2),GeoHis!$A:$H,7,FALSE)=CG144,1,0)</f>
        <v>#N/A</v>
      </c>
      <c r="FT144" s="138" t="e">
        <f>IF(VLOOKUP(CONCATENATE(H144,F144,FT$2),GeoHis!$A:$H,7,FALSE)=CH144,1,0)</f>
        <v>#N/A</v>
      </c>
      <c r="FU144" s="138" t="e">
        <f>IF(VLOOKUP(CONCATENATE(H144,F144,FU$2),GeoHis!$A:$H,7,FALSE)=CI144,1,0)</f>
        <v>#N/A</v>
      </c>
      <c r="FV144" s="138" t="e">
        <f>IF(VLOOKUP(CONCATENATE(H144,F144,FV$2),GeoHis!$A:$H,7,FALSE)=CJ144,1,0)</f>
        <v>#N/A</v>
      </c>
      <c r="FW144" s="138" t="e">
        <f>IF(VLOOKUP(CONCATENATE(H144,F144,FW$2),GeoHis!$A:$H,7,FALSE)=CK144,1,0)</f>
        <v>#N/A</v>
      </c>
      <c r="FX144" s="138" t="e">
        <f>IF(VLOOKUP(CONCATENATE(H144,F144,FX$2),GeoHis!$A:$H,7,FALSE)=CL144,1,0)</f>
        <v>#N/A</v>
      </c>
      <c r="FY144" s="138" t="e">
        <f>IF(VLOOKUP(CONCATENATE(H144,F144,FY$2),GeoHis!$A:$H,7,FALSE)=CM144,1,0)</f>
        <v>#N/A</v>
      </c>
      <c r="FZ144" s="138" t="e">
        <f>IF(VLOOKUP(CONCATENATE(H144,F144,FZ$2),GeoHis!$A:$H,7,FALSE)=CN144,1,0)</f>
        <v>#N/A</v>
      </c>
      <c r="GA144" s="138" t="e">
        <f>IF(VLOOKUP(CONCATENATE(H144,F144,GA$2),GeoHis!$A:$H,7,FALSE)=CO144,1,0)</f>
        <v>#N/A</v>
      </c>
      <c r="GB144" s="138" t="e">
        <f>IF(VLOOKUP(CONCATENATE(H144,F144,GB$2),GeoHis!$A:$H,7,FALSE)=CP144,1,0)</f>
        <v>#N/A</v>
      </c>
      <c r="GC144" s="138" t="e">
        <f>IF(VLOOKUP(CONCATENATE(H144,F144,GC$2),GeoHis!$A:$H,7,FALSE)=CQ144,1,0)</f>
        <v>#N/A</v>
      </c>
      <c r="GD144" s="138" t="e">
        <f>IF(VLOOKUP(CONCATENATE(H144,F144,GD$2),GeoHis!$A:$H,7,FALSE)=CR144,1,0)</f>
        <v>#N/A</v>
      </c>
      <c r="GE144" s="135" t="str">
        <f t="shared" si="23"/>
        <v/>
      </c>
    </row>
    <row r="145" spans="1:187" x14ac:dyDescent="0.25">
      <c r="A145" s="127" t="str">
        <f>IF(C145="","",'Datos Generales'!$A$25)</f>
        <v/>
      </c>
      <c r="D145" s="126" t="str">
        <f t="shared" si="16"/>
        <v/>
      </c>
      <c r="E145" s="126">
        <f t="shared" si="17"/>
        <v>0</v>
      </c>
      <c r="F145" s="126" t="str">
        <f t="shared" si="18"/>
        <v/>
      </c>
      <c r="G145" s="126" t="str">
        <f>IF(C145="","",'Datos Generales'!$D$19)</f>
        <v/>
      </c>
      <c r="H145" s="21" t="str">
        <f>IF(C145="","",'Datos Generales'!$A$19)</f>
        <v/>
      </c>
      <c r="I145" s="126" t="str">
        <f>IF(C145="","",'Datos Generales'!$A$7)</f>
        <v/>
      </c>
      <c r="J145" s="21" t="str">
        <f>IF(C145="","",'Datos Generales'!$A$13)</f>
        <v/>
      </c>
      <c r="K145" s="21" t="str">
        <f>IF(C145="","",'Datos Generales'!$A$10)</f>
        <v/>
      </c>
      <c r="CS145" s="142" t="str">
        <f t="shared" si="19"/>
        <v/>
      </c>
      <c r="CT145" s="142" t="str">
        <f t="shared" si="20"/>
        <v/>
      </c>
      <c r="CU145" s="142" t="str">
        <f t="shared" si="21"/>
        <v/>
      </c>
      <c r="CV145" s="142" t="str">
        <f t="shared" si="22"/>
        <v/>
      </c>
      <c r="CW145" s="142" t="str">
        <f>IF(C145="","",IF('Datos Generales'!$A$19=1,AVERAGE(FP145:GD145),AVERAGE(Captura!FP145:FY145)))</f>
        <v/>
      </c>
      <c r="CX145" s="138" t="e">
        <f>IF(VLOOKUP(CONCATENATE($H$4,$F$4,CX$2),Español!$A:$H,7,FALSE)=L145,1,0)</f>
        <v>#N/A</v>
      </c>
      <c r="CY145" s="138" t="e">
        <f>IF(VLOOKUP(CONCATENATE(H145,F145,CY$2),Español!$A:$H,7,FALSE)=M145,1,0)</f>
        <v>#N/A</v>
      </c>
      <c r="CZ145" s="138" t="e">
        <f>IF(VLOOKUP(CONCATENATE(H145,F145,CZ$2),Español!$A:$H,7,FALSE)=N145,1,0)</f>
        <v>#N/A</v>
      </c>
      <c r="DA145" s="138" t="e">
        <f>IF(VLOOKUP(CONCATENATE(H145,F145,DA$2),Español!$A:$H,7,FALSE)=O145,1,0)</f>
        <v>#N/A</v>
      </c>
      <c r="DB145" s="138" t="e">
        <f>IF(VLOOKUP(CONCATENATE(H145,F145,DB$2),Español!$A:$H,7,FALSE)=P145,1,0)</f>
        <v>#N/A</v>
      </c>
      <c r="DC145" s="138" t="e">
        <f>IF(VLOOKUP(CONCATENATE(H145,F145,DC$2),Español!$A:$H,7,FALSE)=Q145,1,0)</f>
        <v>#N/A</v>
      </c>
      <c r="DD145" s="138" t="e">
        <f>IF(VLOOKUP(CONCATENATE(H145,F145,DD$2),Español!$A:$H,7,FALSE)=R145,1,0)</f>
        <v>#N/A</v>
      </c>
      <c r="DE145" s="138" t="e">
        <f>IF(VLOOKUP(CONCATENATE(H145,F145,DE$2),Español!$A:$H,7,FALSE)=S145,1,0)</f>
        <v>#N/A</v>
      </c>
      <c r="DF145" s="138" t="e">
        <f>IF(VLOOKUP(CONCATENATE(H145,F145,DF$2),Español!$A:$H,7,FALSE)=T145,1,0)</f>
        <v>#N/A</v>
      </c>
      <c r="DG145" s="138" t="e">
        <f>IF(VLOOKUP(CONCATENATE(H145,F145,DG$2),Español!$A:$H,7,FALSE)=U145,1,0)</f>
        <v>#N/A</v>
      </c>
      <c r="DH145" s="138" t="e">
        <f>IF(VLOOKUP(CONCATENATE(H145,F145,DH$2),Español!$A:$H,7,FALSE)=V145,1,0)</f>
        <v>#N/A</v>
      </c>
      <c r="DI145" s="138" t="e">
        <f>IF(VLOOKUP(CONCATENATE(H145,F145,DI$2),Español!$A:$H,7,FALSE)=W145,1,0)</f>
        <v>#N/A</v>
      </c>
      <c r="DJ145" s="138" t="e">
        <f>IF(VLOOKUP(CONCATENATE(H145,F145,DJ$2),Español!$A:$H,7,FALSE)=X145,1,0)</f>
        <v>#N/A</v>
      </c>
      <c r="DK145" s="138" t="e">
        <f>IF(VLOOKUP(CONCATENATE(H145,F145,DK$2),Español!$A:$H,7,FALSE)=Y145,1,0)</f>
        <v>#N/A</v>
      </c>
      <c r="DL145" s="138" t="e">
        <f>IF(VLOOKUP(CONCATENATE(H145,F145,DL$2),Español!$A:$H,7,FALSE)=Z145,1,0)</f>
        <v>#N/A</v>
      </c>
      <c r="DM145" s="138" t="e">
        <f>IF(VLOOKUP(CONCATENATE(H145,F145,DM$2),Español!$A:$H,7,FALSE)=AA145,1,0)</f>
        <v>#N/A</v>
      </c>
      <c r="DN145" s="138" t="e">
        <f>IF(VLOOKUP(CONCATENATE(H145,F145,DN$2),Español!$A:$H,7,FALSE)=AB145,1,0)</f>
        <v>#N/A</v>
      </c>
      <c r="DO145" s="138" t="e">
        <f>IF(VLOOKUP(CONCATENATE(H145,F145,DO$2),Español!$A:$H,7,FALSE)=AC145,1,0)</f>
        <v>#N/A</v>
      </c>
      <c r="DP145" s="138" t="e">
        <f>IF(VLOOKUP(CONCATENATE(H145,F145,DP$2),Español!$A:$H,7,FALSE)=AD145,1,0)</f>
        <v>#N/A</v>
      </c>
      <c r="DQ145" s="138" t="e">
        <f>IF(VLOOKUP(CONCATENATE(H145,F145,DQ$2),Español!$A:$H,7,FALSE)=AE145,1,0)</f>
        <v>#N/A</v>
      </c>
      <c r="DR145" s="138" t="e">
        <f>IF(VLOOKUP(CONCATENATE(H145,F145,DR$2),Inglés!$A:$H,7,FALSE)=AF145,1,0)</f>
        <v>#N/A</v>
      </c>
      <c r="DS145" s="138" t="e">
        <f>IF(VLOOKUP(CONCATENATE(H145,F145,DS$2),Inglés!$A:$H,7,FALSE)=AG145,1,0)</f>
        <v>#N/A</v>
      </c>
      <c r="DT145" s="138" t="e">
        <f>IF(VLOOKUP(CONCATENATE(H145,F145,DT$2),Inglés!$A:$H,7,FALSE)=AH145,1,0)</f>
        <v>#N/A</v>
      </c>
      <c r="DU145" s="138" t="e">
        <f>IF(VLOOKUP(CONCATENATE(H145,F145,DU$2),Inglés!$A:$H,7,FALSE)=AI145,1,0)</f>
        <v>#N/A</v>
      </c>
      <c r="DV145" s="138" t="e">
        <f>IF(VLOOKUP(CONCATENATE(H145,F145,DV$2),Inglés!$A:$H,7,FALSE)=AJ145,1,0)</f>
        <v>#N/A</v>
      </c>
      <c r="DW145" s="138" t="e">
        <f>IF(VLOOKUP(CONCATENATE(H145,F145,DW$2),Inglés!$A:$H,7,FALSE)=AK145,1,0)</f>
        <v>#N/A</v>
      </c>
      <c r="DX145" s="138" t="e">
        <f>IF(VLOOKUP(CONCATENATE(H145,F145,DX$2),Inglés!$A:$H,7,FALSE)=AL145,1,0)</f>
        <v>#N/A</v>
      </c>
      <c r="DY145" s="138" t="e">
        <f>IF(VLOOKUP(CONCATENATE(H145,F145,DY$2),Inglés!$A:$H,7,FALSE)=AM145,1,0)</f>
        <v>#N/A</v>
      </c>
      <c r="DZ145" s="138" t="e">
        <f>IF(VLOOKUP(CONCATENATE(H145,F145,DZ$2),Inglés!$A:$H,7,FALSE)=AN145,1,0)</f>
        <v>#N/A</v>
      </c>
      <c r="EA145" s="138" t="e">
        <f>IF(VLOOKUP(CONCATENATE(H145,F145,EA$2),Inglés!$A:$H,7,FALSE)=AO145,1,0)</f>
        <v>#N/A</v>
      </c>
      <c r="EB145" s="138" t="e">
        <f>IF(VLOOKUP(CONCATENATE(H145,F145,EB$2),Matemáticas!$A:$H,7,FALSE)=AP145,1,0)</f>
        <v>#N/A</v>
      </c>
      <c r="EC145" s="138" t="e">
        <f>IF(VLOOKUP(CONCATENATE(H145,F145,EC$2),Matemáticas!$A:$H,7,FALSE)=AQ145,1,0)</f>
        <v>#N/A</v>
      </c>
      <c r="ED145" s="138" t="e">
        <f>IF(VLOOKUP(CONCATENATE(H145,F145,ED$2),Matemáticas!$A:$H,7,FALSE)=AR145,1,0)</f>
        <v>#N/A</v>
      </c>
      <c r="EE145" s="138" t="e">
        <f>IF(VLOOKUP(CONCATENATE(H145,F145,EE$2),Matemáticas!$A:$H,7,FALSE)=AS145,1,0)</f>
        <v>#N/A</v>
      </c>
      <c r="EF145" s="138" t="e">
        <f>IF(VLOOKUP(CONCATENATE(H145,F145,EF$2),Matemáticas!$A:$H,7,FALSE)=AT145,1,0)</f>
        <v>#N/A</v>
      </c>
      <c r="EG145" s="138" t="e">
        <f>IF(VLOOKUP(CONCATENATE(H145,F145,EG$2),Matemáticas!$A:$H,7,FALSE)=AU145,1,0)</f>
        <v>#N/A</v>
      </c>
      <c r="EH145" s="138" t="e">
        <f>IF(VLOOKUP(CONCATENATE(H145,F145,EH$2),Matemáticas!$A:$H,7,FALSE)=AV145,1,0)</f>
        <v>#N/A</v>
      </c>
      <c r="EI145" s="138" t="e">
        <f>IF(VLOOKUP(CONCATENATE(H145,F145,EI$2),Matemáticas!$A:$H,7,FALSE)=AW145,1,0)</f>
        <v>#N/A</v>
      </c>
      <c r="EJ145" s="138" t="e">
        <f>IF(VLOOKUP(CONCATENATE(H145,F145,EJ$2),Matemáticas!$A:$H,7,FALSE)=AX145,1,0)</f>
        <v>#N/A</v>
      </c>
      <c r="EK145" s="138" t="e">
        <f>IF(VLOOKUP(CONCATENATE(H145,F145,EK$2),Matemáticas!$A:$H,7,FALSE)=AY145,1,0)</f>
        <v>#N/A</v>
      </c>
      <c r="EL145" s="138" t="e">
        <f>IF(VLOOKUP(CONCATENATE(H145,F145,EL$2),Matemáticas!$A:$H,7,FALSE)=AZ145,1,0)</f>
        <v>#N/A</v>
      </c>
      <c r="EM145" s="138" t="e">
        <f>IF(VLOOKUP(CONCATENATE(H145,F145,EM$2),Matemáticas!$A:$H,7,FALSE)=BA145,1,0)</f>
        <v>#N/A</v>
      </c>
      <c r="EN145" s="138" t="e">
        <f>IF(VLOOKUP(CONCATENATE(H145,F145,EN$2),Matemáticas!$A:$H,7,FALSE)=BB145,1,0)</f>
        <v>#N/A</v>
      </c>
      <c r="EO145" s="138" t="e">
        <f>IF(VLOOKUP(CONCATENATE(H145,F145,EO$2),Matemáticas!$A:$H,7,FALSE)=BC145,1,0)</f>
        <v>#N/A</v>
      </c>
      <c r="EP145" s="138" t="e">
        <f>IF(VLOOKUP(CONCATENATE(H145,F145,EP$2),Matemáticas!$A:$H,7,FALSE)=BD145,1,0)</f>
        <v>#N/A</v>
      </c>
      <c r="EQ145" s="138" t="e">
        <f>IF(VLOOKUP(CONCATENATE(H145,F145,EQ$2),Matemáticas!$A:$H,7,FALSE)=BE145,1,0)</f>
        <v>#N/A</v>
      </c>
      <c r="ER145" s="138" t="e">
        <f>IF(VLOOKUP(CONCATENATE(H145,F145,ER$2),Matemáticas!$A:$H,7,FALSE)=BF145,1,0)</f>
        <v>#N/A</v>
      </c>
      <c r="ES145" s="138" t="e">
        <f>IF(VLOOKUP(CONCATENATE(H145,F145,ES$2),Matemáticas!$A:$H,7,FALSE)=BG145,1,0)</f>
        <v>#N/A</v>
      </c>
      <c r="ET145" s="138" t="e">
        <f>IF(VLOOKUP(CONCATENATE(H145,F145,ET$2),Matemáticas!$A:$H,7,FALSE)=BH145,1,0)</f>
        <v>#N/A</v>
      </c>
      <c r="EU145" s="138" t="e">
        <f>IF(VLOOKUP(CONCATENATE(H145,F145,EU$2),Matemáticas!$A:$H,7,FALSE)=BI145,1,0)</f>
        <v>#N/A</v>
      </c>
      <c r="EV145" s="138" t="e">
        <f>IF(VLOOKUP(CONCATENATE(H145,F145,EV$2),Ciencias!$A:$H,7,FALSE)=BJ145,1,0)</f>
        <v>#N/A</v>
      </c>
      <c r="EW145" s="138" t="e">
        <f>IF(VLOOKUP(CONCATENATE(H145,F145,EW$2),Ciencias!$A:$H,7,FALSE)=BK145,1,0)</f>
        <v>#N/A</v>
      </c>
      <c r="EX145" s="138" t="e">
        <f>IF(VLOOKUP(CONCATENATE(H145,F145,EX$2),Ciencias!$A:$H,7,FALSE)=BL145,1,0)</f>
        <v>#N/A</v>
      </c>
      <c r="EY145" s="138" t="e">
        <f>IF(VLOOKUP(CONCATENATE(H145,F145,EY$2),Ciencias!$A:$H,7,FALSE)=BM145,1,0)</f>
        <v>#N/A</v>
      </c>
      <c r="EZ145" s="138" t="e">
        <f>IF(VLOOKUP(CONCATENATE(H145,F145,EZ$2),Ciencias!$A:$H,7,FALSE)=BN145,1,0)</f>
        <v>#N/A</v>
      </c>
      <c r="FA145" s="138" t="e">
        <f>IF(VLOOKUP(CONCATENATE(H145,F145,FA$2),Ciencias!$A:$H,7,FALSE)=BO145,1,0)</f>
        <v>#N/A</v>
      </c>
      <c r="FB145" s="138" t="e">
        <f>IF(VLOOKUP(CONCATENATE(H145,F145,FB$2),Ciencias!$A:$H,7,FALSE)=BP145,1,0)</f>
        <v>#N/A</v>
      </c>
      <c r="FC145" s="138" t="e">
        <f>IF(VLOOKUP(CONCATENATE(H145,F145,FC$2),Ciencias!$A:$H,7,FALSE)=BQ145,1,0)</f>
        <v>#N/A</v>
      </c>
      <c r="FD145" s="138" t="e">
        <f>IF(VLOOKUP(CONCATENATE(H145,F145,FD$2),Ciencias!$A:$H,7,FALSE)=BR145,1,0)</f>
        <v>#N/A</v>
      </c>
      <c r="FE145" s="138" t="e">
        <f>IF(VLOOKUP(CONCATENATE(H145,F145,FE$2),Ciencias!$A:$H,7,FALSE)=BS145,1,0)</f>
        <v>#N/A</v>
      </c>
      <c r="FF145" s="138" t="e">
        <f>IF(VLOOKUP(CONCATENATE(H145,F145,FF$2),Ciencias!$A:$H,7,FALSE)=BT145,1,0)</f>
        <v>#N/A</v>
      </c>
      <c r="FG145" s="138" t="e">
        <f>IF(VLOOKUP(CONCATENATE(H145,F145,FG$2),Ciencias!$A:$H,7,FALSE)=BU145,1,0)</f>
        <v>#N/A</v>
      </c>
      <c r="FH145" s="138" t="e">
        <f>IF(VLOOKUP(CONCATENATE(H145,F145,FH$2),Ciencias!$A:$H,7,FALSE)=BV145,1,0)</f>
        <v>#N/A</v>
      </c>
      <c r="FI145" s="138" t="e">
        <f>IF(VLOOKUP(CONCATENATE(H145,F145,FI$2),Ciencias!$A:$H,7,FALSE)=BW145,1,0)</f>
        <v>#N/A</v>
      </c>
      <c r="FJ145" s="138" t="e">
        <f>IF(VLOOKUP(CONCATENATE(H145,F145,FJ$2),Ciencias!$A:$H,7,FALSE)=BX145,1,0)</f>
        <v>#N/A</v>
      </c>
      <c r="FK145" s="138" t="e">
        <f>IF(VLOOKUP(CONCATENATE(H145,F145,FK$2),Ciencias!$A:$H,7,FALSE)=BY145,1,0)</f>
        <v>#N/A</v>
      </c>
      <c r="FL145" s="138" t="e">
        <f>IF(VLOOKUP(CONCATENATE(H145,F145,FL$2),Ciencias!$A:$H,7,FALSE)=BZ145,1,0)</f>
        <v>#N/A</v>
      </c>
      <c r="FM145" s="138" t="e">
        <f>IF(VLOOKUP(CONCATENATE(H145,F145,FM$2),Ciencias!$A:$H,7,FALSE)=CA145,1,0)</f>
        <v>#N/A</v>
      </c>
      <c r="FN145" s="138" t="e">
        <f>IF(VLOOKUP(CONCATENATE(H145,F145,FN$2),Ciencias!$A:$H,7,FALSE)=CB145,1,0)</f>
        <v>#N/A</v>
      </c>
      <c r="FO145" s="138" t="e">
        <f>IF(VLOOKUP(CONCATENATE(H145,F145,FO$2),Ciencias!$A:$H,7,FALSE)=CC145,1,0)</f>
        <v>#N/A</v>
      </c>
      <c r="FP145" s="138" t="e">
        <f>IF(VLOOKUP(CONCATENATE(H145,F145,FP$2),GeoHis!$A:$H,7,FALSE)=CD145,1,0)</f>
        <v>#N/A</v>
      </c>
      <c r="FQ145" s="138" t="e">
        <f>IF(VLOOKUP(CONCATENATE(H145,F145,FQ$2),GeoHis!$A:$H,7,FALSE)=CE145,1,0)</f>
        <v>#N/A</v>
      </c>
      <c r="FR145" s="138" t="e">
        <f>IF(VLOOKUP(CONCATENATE(H145,F145,FR$2),GeoHis!$A:$H,7,FALSE)=CF145,1,0)</f>
        <v>#N/A</v>
      </c>
      <c r="FS145" s="138" t="e">
        <f>IF(VLOOKUP(CONCATENATE(H145,F145,FS$2),GeoHis!$A:$H,7,FALSE)=CG145,1,0)</f>
        <v>#N/A</v>
      </c>
      <c r="FT145" s="138" t="e">
        <f>IF(VLOOKUP(CONCATENATE(H145,F145,FT$2),GeoHis!$A:$H,7,FALSE)=CH145,1,0)</f>
        <v>#N/A</v>
      </c>
      <c r="FU145" s="138" t="e">
        <f>IF(VLOOKUP(CONCATENATE(H145,F145,FU$2),GeoHis!$A:$H,7,FALSE)=CI145,1,0)</f>
        <v>#N/A</v>
      </c>
      <c r="FV145" s="138" t="e">
        <f>IF(VLOOKUP(CONCATENATE(H145,F145,FV$2),GeoHis!$A:$H,7,FALSE)=CJ145,1,0)</f>
        <v>#N/A</v>
      </c>
      <c r="FW145" s="138" t="e">
        <f>IF(VLOOKUP(CONCATENATE(H145,F145,FW$2),GeoHis!$A:$H,7,FALSE)=CK145,1,0)</f>
        <v>#N/A</v>
      </c>
      <c r="FX145" s="138" t="e">
        <f>IF(VLOOKUP(CONCATENATE(H145,F145,FX$2),GeoHis!$A:$H,7,FALSE)=CL145,1,0)</f>
        <v>#N/A</v>
      </c>
      <c r="FY145" s="138" t="e">
        <f>IF(VLOOKUP(CONCATENATE(H145,F145,FY$2),GeoHis!$A:$H,7,FALSE)=CM145,1,0)</f>
        <v>#N/A</v>
      </c>
      <c r="FZ145" s="138" t="e">
        <f>IF(VLOOKUP(CONCATENATE(H145,F145,FZ$2),GeoHis!$A:$H,7,FALSE)=CN145,1,0)</f>
        <v>#N/A</v>
      </c>
      <c r="GA145" s="138" t="e">
        <f>IF(VLOOKUP(CONCATENATE(H145,F145,GA$2),GeoHis!$A:$H,7,FALSE)=CO145,1,0)</f>
        <v>#N/A</v>
      </c>
      <c r="GB145" s="138" t="e">
        <f>IF(VLOOKUP(CONCATENATE(H145,F145,GB$2),GeoHis!$A:$H,7,FALSE)=CP145,1,0)</f>
        <v>#N/A</v>
      </c>
      <c r="GC145" s="138" t="e">
        <f>IF(VLOOKUP(CONCATENATE(H145,F145,GC$2),GeoHis!$A:$H,7,FALSE)=CQ145,1,0)</f>
        <v>#N/A</v>
      </c>
      <c r="GD145" s="138" t="e">
        <f>IF(VLOOKUP(CONCATENATE(H145,F145,GD$2),GeoHis!$A:$H,7,FALSE)=CR145,1,0)</f>
        <v>#N/A</v>
      </c>
      <c r="GE145" s="135" t="str">
        <f t="shared" si="23"/>
        <v/>
      </c>
    </row>
    <row r="146" spans="1:187" x14ac:dyDescent="0.25">
      <c r="A146" s="127" t="str">
        <f>IF(C146="","",'Datos Generales'!$A$25)</f>
        <v/>
      </c>
      <c r="D146" s="126" t="str">
        <f t="shared" si="16"/>
        <v/>
      </c>
      <c r="E146" s="126">
        <f t="shared" si="17"/>
        <v>0</v>
      </c>
      <c r="F146" s="126" t="str">
        <f t="shared" si="18"/>
        <v/>
      </c>
      <c r="G146" s="126" t="str">
        <f>IF(C146="","",'Datos Generales'!$D$19)</f>
        <v/>
      </c>
      <c r="H146" s="21" t="str">
        <f>IF(C146="","",'Datos Generales'!$A$19)</f>
        <v/>
      </c>
      <c r="I146" s="126" t="str">
        <f>IF(C146="","",'Datos Generales'!$A$7)</f>
        <v/>
      </c>
      <c r="J146" s="21" t="str">
        <f>IF(C146="","",'Datos Generales'!$A$13)</f>
        <v/>
      </c>
      <c r="K146" s="21" t="str">
        <f>IF(C146="","",'Datos Generales'!$A$10)</f>
        <v/>
      </c>
      <c r="CS146" s="142" t="str">
        <f t="shared" si="19"/>
        <v/>
      </c>
      <c r="CT146" s="142" t="str">
        <f t="shared" si="20"/>
        <v/>
      </c>
      <c r="CU146" s="142" t="str">
        <f t="shared" si="21"/>
        <v/>
      </c>
      <c r="CV146" s="142" t="str">
        <f t="shared" si="22"/>
        <v/>
      </c>
      <c r="CW146" s="142" t="str">
        <f>IF(C146="","",IF('Datos Generales'!$A$19=1,AVERAGE(FP146:GD146),AVERAGE(Captura!FP146:FY146)))</f>
        <v/>
      </c>
      <c r="CX146" s="138" t="e">
        <f>IF(VLOOKUP(CONCATENATE($H$4,$F$4,CX$2),Español!$A:$H,7,FALSE)=L146,1,0)</f>
        <v>#N/A</v>
      </c>
      <c r="CY146" s="138" t="e">
        <f>IF(VLOOKUP(CONCATENATE(H146,F146,CY$2),Español!$A:$H,7,FALSE)=M146,1,0)</f>
        <v>#N/A</v>
      </c>
      <c r="CZ146" s="138" t="e">
        <f>IF(VLOOKUP(CONCATENATE(H146,F146,CZ$2),Español!$A:$H,7,FALSE)=N146,1,0)</f>
        <v>#N/A</v>
      </c>
      <c r="DA146" s="138" t="e">
        <f>IF(VLOOKUP(CONCATENATE(H146,F146,DA$2),Español!$A:$H,7,FALSE)=O146,1,0)</f>
        <v>#N/A</v>
      </c>
      <c r="DB146" s="138" t="e">
        <f>IF(VLOOKUP(CONCATENATE(H146,F146,DB$2),Español!$A:$H,7,FALSE)=P146,1,0)</f>
        <v>#N/A</v>
      </c>
      <c r="DC146" s="138" t="e">
        <f>IF(VLOOKUP(CONCATENATE(H146,F146,DC$2),Español!$A:$H,7,FALSE)=Q146,1,0)</f>
        <v>#N/A</v>
      </c>
      <c r="DD146" s="138" t="e">
        <f>IF(VLOOKUP(CONCATENATE(H146,F146,DD$2),Español!$A:$H,7,FALSE)=R146,1,0)</f>
        <v>#N/A</v>
      </c>
      <c r="DE146" s="138" t="e">
        <f>IF(VLOOKUP(CONCATENATE(H146,F146,DE$2),Español!$A:$H,7,FALSE)=S146,1,0)</f>
        <v>#N/A</v>
      </c>
      <c r="DF146" s="138" t="e">
        <f>IF(VLOOKUP(CONCATENATE(H146,F146,DF$2),Español!$A:$H,7,FALSE)=T146,1,0)</f>
        <v>#N/A</v>
      </c>
      <c r="DG146" s="138" t="e">
        <f>IF(VLOOKUP(CONCATENATE(H146,F146,DG$2),Español!$A:$H,7,FALSE)=U146,1,0)</f>
        <v>#N/A</v>
      </c>
      <c r="DH146" s="138" t="e">
        <f>IF(VLOOKUP(CONCATENATE(H146,F146,DH$2),Español!$A:$H,7,FALSE)=V146,1,0)</f>
        <v>#N/A</v>
      </c>
      <c r="DI146" s="138" t="e">
        <f>IF(VLOOKUP(CONCATENATE(H146,F146,DI$2),Español!$A:$H,7,FALSE)=W146,1,0)</f>
        <v>#N/A</v>
      </c>
      <c r="DJ146" s="138" t="e">
        <f>IF(VLOOKUP(CONCATENATE(H146,F146,DJ$2),Español!$A:$H,7,FALSE)=X146,1,0)</f>
        <v>#N/A</v>
      </c>
      <c r="DK146" s="138" t="e">
        <f>IF(VLOOKUP(CONCATENATE(H146,F146,DK$2),Español!$A:$H,7,FALSE)=Y146,1,0)</f>
        <v>#N/A</v>
      </c>
      <c r="DL146" s="138" t="e">
        <f>IF(VLOOKUP(CONCATENATE(H146,F146,DL$2),Español!$A:$H,7,FALSE)=Z146,1,0)</f>
        <v>#N/A</v>
      </c>
      <c r="DM146" s="138" t="e">
        <f>IF(VLOOKUP(CONCATENATE(H146,F146,DM$2),Español!$A:$H,7,FALSE)=AA146,1,0)</f>
        <v>#N/A</v>
      </c>
      <c r="DN146" s="138" t="e">
        <f>IF(VLOOKUP(CONCATENATE(H146,F146,DN$2),Español!$A:$H,7,FALSE)=AB146,1,0)</f>
        <v>#N/A</v>
      </c>
      <c r="DO146" s="138" t="e">
        <f>IF(VLOOKUP(CONCATENATE(H146,F146,DO$2),Español!$A:$H,7,FALSE)=AC146,1,0)</f>
        <v>#N/A</v>
      </c>
      <c r="DP146" s="138" t="e">
        <f>IF(VLOOKUP(CONCATENATE(H146,F146,DP$2),Español!$A:$H,7,FALSE)=AD146,1,0)</f>
        <v>#N/A</v>
      </c>
      <c r="DQ146" s="138" t="e">
        <f>IF(VLOOKUP(CONCATENATE(H146,F146,DQ$2),Español!$A:$H,7,FALSE)=AE146,1,0)</f>
        <v>#N/A</v>
      </c>
      <c r="DR146" s="138" t="e">
        <f>IF(VLOOKUP(CONCATENATE(H146,F146,DR$2),Inglés!$A:$H,7,FALSE)=AF146,1,0)</f>
        <v>#N/A</v>
      </c>
      <c r="DS146" s="138" t="e">
        <f>IF(VLOOKUP(CONCATENATE(H146,F146,DS$2),Inglés!$A:$H,7,FALSE)=AG146,1,0)</f>
        <v>#N/A</v>
      </c>
      <c r="DT146" s="138" t="e">
        <f>IF(VLOOKUP(CONCATENATE(H146,F146,DT$2),Inglés!$A:$H,7,FALSE)=AH146,1,0)</f>
        <v>#N/A</v>
      </c>
      <c r="DU146" s="138" t="e">
        <f>IF(VLOOKUP(CONCATENATE(H146,F146,DU$2),Inglés!$A:$H,7,FALSE)=AI146,1,0)</f>
        <v>#N/A</v>
      </c>
      <c r="DV146" s="138" t="e">
        <f>IF(VLOOKUP(CONCATENATE(H146,F146,DV$2),Inglés!$A:$H,7,FALSE)=AJ146,1,0)</f>
        <v>#N/A</v>
      </c>
      <c r="DW146" s="138" t="e">
        <f>IF(VLOOKUP(CONCATENATE(H146,F146,DW$2),Inglés!$A:$H,7,FALSE)=AK146,1,0)</f>
        <v>#N/A</v>
      </c>
      <c r="DX146" s="138" t="e">
        <f>IF(VLOOKUP(CONCATENATE(H146,F146,DX$2),Inglés!$A:$H,7,FALSE)=AL146,1,0)</f>
        <v>#N/A</v>
      </c>
      <c r="DY146" s="138" t="e">
        <f>IF(VLOOKUP(CONCATENATE(H146,F146,DY$2),Inglés!$A:$H,7,FALSE)=AM146,1,0)</f>
        <v>#N/A</v>
      </c>
      <c r="DZ146" s="138" t="e">
        <f>IF(VLOOKUP(CONCATENATE(H146,F146,DZ$2),Inglés!$A:$H,7,FALSE)=AN146,1,0)</f>
        <v>#N/A</v>
      </c>
      <c r="EA146" s="138" t="e">
        <f>IF(VLOOKUP(CONCATENATE(H146,F146,EA$2),Inglés!$A:$H,7,FALSE)=AO146,1,0)</f>
        <v>#N/A</v>
      </c>
      <c r="EB146" s="138" t="e">
        <f>IF(VLOOKUP(CONCATENATE(H146,F146,EB$2),Matemáticas!$A:$H,7,FALSE)=AP146,1,0)</f>
        <v>#N/A</v>
      </c>
      <c r="EC146" s="138" t="e">
        <f>IF(VLOOKUP(CONCATENATE(H146,F146,EC$2),Matemáticas!$A:$H,7,FALSE)=AQ146,1,0)</f>
        <v>#N/A</v>
      </c>
      <c r="ED146" s="138" t="e">
        <f>IF(VLOOKUP(CONCATENATE(H146,F146,ED$2),Matemáticas!$A:$H,7,FALSE)=AR146,1,0)</f>
        <v>#N/A</v>
      </c>
      <c r="EE146" s="138" t="e">
        <f>IF(VLOOKUP(CONCATENATE(H146,F146,EE$2),Matemáticas!$A:$H,7,FALSE)=AS146,1,0)</f>
        <v>#N/A</v>
      </c>
      <c r="EF146" s="138" t="e">
        <f>IF(VLOOKUP(CONCATENATE(H146,F146,EF$2),Matemáticas!$A:$H,7,FALSE)=AT146,1,0)</f>
        <v>#N/A</v>
      </c>
      <c r="EG146" s="138" t="e">
        <f>IF(VLOOKUP(CONCATENATE(H146,F146,EG$2),Matemáticas!$A:$H,7,FALSE)=AU146,1,0)</f>
        <v>#N/A</v>
      </c>
      <c r="EH146" s="138" t="e">
        <f>IF(VLOOKUP(CONCATENATE(H146,F146,EH$2),Matemáticas!$A:$H,7,FALSE)=AV146,1,0)</f>
        <v>#N/A</v>
      </c>
      <c r="EI146" s="138" t="e">
        <f>IF(VLOOKUP(CONCATENATE(H146,F146,EI$2),Matemáticas!$A:$H,7,FALSE)=AW146,1,0)</f>
        <v>#N/A</v>
      </c>
      <c r="EJ146" s="138" t="e">
        <f>IF(VLOOKUP(CONCATENATE(H146,F146,EJ$2),Matemáticas!$A:$H,7,FALSE)=AX146,1,0)</f>
        <v>#N/A</v>
      </c>
      <c r="EK146" s="138" t="e">
        <f>IF(VLOOKUP(CONCATENATE(H146,F146,EK$2),Matemáticas!$A:$H,7,FALSE)=AY146,1,0)</f>
        <v>#N/A</v>
      </c>
      <c r="EL146" s="138" t="e">
        <f>IF(VLOOKUP(CONCATENATE(H146,F146,EL$2),Matemáticas!$A:$H,7,FALSE)=AZ146,1,0)</f>
        <v>#N/A</v>
      </c>
      <c r="EM146" s="138" t="e">
        <f>IF(VLOOKUP(CONCATENATE(H146,F146,EM$2),Matemáticas!$A:$H,7,FALSE)=BA146,1,0)</f>
        <v>#N/A</v>
      </c>
      <c r="EN146" s="138" t="e">
        <f>IF(VLOOKUP(CONCATENATE(H146,F146,EN$2),Matemáticas!$A:$H,7,FALSE)=BB146,1,0)</f>
        <v>#N/A</v>
      </c>
      <c r="EO146" s="138" t="e">
        <f>IF(VLOOKUP(CONCATENATE(H146,F146,EO$2),Matemáticas!$A:$H,7,FALSE)=BC146,1,0)</f>
        <v>#N/A</v>
      </c>
      <c r="EP146" s="138" t="e">
        <f>IF(VLOOKUP(CONCATENATE(H146,F146,EP$2),Matemáticas!$A:$H,7,FALSE)=BD146,1,0)</f>
        <v>#N/A</v>
      </c>
      <c r="EQ146" s="138" t="e">
        <f>IF(VLOOKUP(CONCATENATE(H146,F146,EQ$2),Matemáticas!$A:$H,7,FALSE)=BE146,1,0)</f>
        <v>#N/A</v>
      </c>
      <c r="ER146" s="138" t="e">
        <f>IF(VLOOKUP(CONCATENATE(H146,F146,ER$2),Matemáticas!$A:$H,7,FALSE)=BF146,1,0)</f>
        <v>#N/A</v>
      </c>
      <c r="ES146" s="138" t="e">
        <f>IF(VLOOKUP(CONCATENATE(H146,F146,ES$2),Matemáticas!$A:$H,7,FALSE)=BG146,1,0)</f>
        <v>#N/A</v>
      </c>
      <c r="ET146" s="138" t="e">
        <f>IF(VLOOKUP(CONCATENATE(H146,F146,ET$2),Matemáticas!$A:$H,7,FALSE)=BH146,1,0)</f>
        <v>#N/A</v>
      </c>
      <c r="EU146" s="138" t="e">
        <f>IF(VLOOKUP(CONCATENATE(H146,F146,EU$2),Matemáticas!$A:$H,7,FALSE)=BI146,1,0)</f>
        <v>#N/A</v>
      </c>
      <c r="EV146" s="138" t="e">
        <f>IF(VLOOKUP(CONCATENATE(H146,F146,EV$2),Ciencias!$A:$H,7,FALSE)=BJ146,1,0)</f>
        <v>#N/A</v>
      </c>
      <c r="EW146" s="138" t="e">
        <f>IF(VLOOKUP(CONCATENATE(H146,F146,EW$2),Ciencias!$A:$H,7,FALSE)=BK146,1,0)</f>
        <v>#N/A</v>
      </c>
      <c r="EX146" s="138" t="e">
        <f>IF(VLOOKUP(CONCATENATE(H146,F146,EX$2),Ciencias!$A:$H,7,FALSE)=BL146,1,0)</f>
        <v>#N/A</v>
      </c>
      <c r="EY146" s="138" t="e">
        <f>IF(VLOOKUP(CONCATENATE(H146,F146,EY$2),Ciencias!$A:$H,7,FALSE)=BM146,1,0)</f>
        <v>#N/A</v>
      </c>
      <c r="EZ146" s="138" t="e">
        <f>IF(VLOOKUP(CONCATENATE(H146,F146,EZ$2),Ciencias!$A:$H,7,FALSE)=BN146,1,0)</f>
        <v>#N/A</v>
      </c>
      <c r="FA146" s="138" t="e">
        <f>IF(VLOOKUP(CONCATENATE(H146,F146,FA$2),Ciencias!$A:$H,7,FALSE)=BO146,1,0)</f>
        <v>#N/A</v>
      </c>
      <c r="FB146" s="138" t="e">
        <f>IF(VLOOKUP(CONCATENATE(H146,F146,FB$2),Ciencias!$A:$H,7,FALSE)=BP146,1,0)</f>
        <v>#N/A</v>
      </c>
      <c r="FC146" s="138" t="e">
        <f>IF(VLOOKUP(CONCATENATE(H146,F146,FC$2),Ciencias!$A:$H,7,FALSE)=BQ146,1,0)</f>
        <v>#N/A</v>
      </c>
      <c r="FD146" s="138" t="e">
        <f>IF(VLOOKUP(CONCATENATE(H146,F146,FD$2),Ciencias!$A:$H,7,FALSE)=BR146,1,0)</f>
        <v>#N/A</v>
      </c>
      <c r="FE146" s="138" t="e">
        <f>IF(VLOOKUP(CONCATENATE(H146,F146,FE$2),Ciencias!$A:$H,7,FALSE)=BS146,1,0)</f>
        <v>#N/A</v>
      </c>
      <c r="FF146" s="138" t="e">
        <f>IF(VLOOKUP(CONCATENATE(H146,F146,FF$2),Ciencias!$A:$H,7,FALSE)=BT146,1,0)</f>
        <v>#N/A</v>
      </c>
      <c r="FG146" s="138" t="e">
        <f>IF(VLOOKUP(CONCATENATE(H146,F146,FG$2),Ciencias!$A:$H,7,FALSE)=BU146,1,0)</f>
        <v>#N/A</v>
      </c>
      <c r="FH146" s="138" t="e">
        <f>IF(VLOOKUP(CONCATENATE(H146,F146,FH$2),Ciencias!$A:$H,7,FALSE)=BV146,1,0)</f>
        <v>#N/A</v>
      </c>
      <c r="FI146" s="138" t="e">
        <f>IF(VLOOKUP(CONCATENATE(H146,F146,FI$2),Ciencias!$A:$H,7,FALSE)=BW146,1,0)</f>
        <v>#N/A</v>
      </c>
      <c r="FJ146" s="138" t="e">
        <f>IF(VLOOKUP(CONCATENATE(H146,F146,FJ$2),Ciencias!$A:$H,7,FALSE)=BX146,1,0)</f>
        <v>#N/A</v>
      </c>
      <c r="FK146" s="138" t="e">
        <f>IF(VLOOKUP(CONCATENATE(H146,F146,FK$2),Ciencias!$A:$H,7,FALSE)=BY146,1,0)</f>
        <v>#N/A</v>
      </c>
      <c r="FL146" s="138" t="e">
        <f>IF(VLOOKUP(CONCATENATE(H146,F146,FL$2),Ciencias!$A:$H,7,FALSE)=BZ146,1,0)</f>
        <v>#N/A</v>
      </c>
      <c r="FM146" s="138" t="e">
        <f>IF(VLOOKUP(CONCATENATE(H146,F146,FM$2),Ciencias!$A:$H,7,FALSE)=CA146,1,0)</f>
        <v>#N/A</v>
      </c>
      <c r="FN146" s="138" t="e">
        <f>IF(VLOOKUP(CONCATENATE(H146,F146,FN$2),Ciencias!$A:$H,7,FALSE)=CB146,1,0)</f>
        <v>#N/A</v>
      </c>
      <c r="FO146" s="138" t="e">
        <f>IF(VLOOKUP(CONCATENATE(H146,F146,FO$2),Ciencias!$A:$H,7,FALSE)=CC146,1,0)</f>
        <v>#N/A</v>
      </c>
      <c r="FP146" s="138" t="e">
        <f>IF(VLOOKUP(CONCATENATE(H146,F146,FP$2),GeoHis!$A:$H,7,FALSE)=CD146,1,0)</f>
        <v>#N/A</v>
      </c>
      <c r="FQ146" s="138" t="e">
        <f>IF(VLOOKUP(CONCATENATE(H146,F146,FQ$2),GeoHis!$A:$H,7,FALSE)=CE146,1,0)</f>
        <v>#N/A</v>
      </c>
      <c r="FR146" s="138" t="e">
        <f>IF(VLOOKUP(CONCATENATE(H146,F146,FR$2),GeoHis!$A:$H,7,FALSE)=CF146,1,0)</f>
        <v>#N/A</v>
      </c>
      <c r="FS146" s="138" t="e">
        <f>IF(VLOOKUP(CONCATENATE(H146,F146,FS$2),GeoHis!$A:$H,7,FALSE)=CG146,1,0)</f>
        <v>#N/A</v>
      </c>
      <c r="FT146" s="138" t="e">
        <f>IF(VLOOKUP(CONCATENATE(H146,F146,FT$2),GeoHis!$A:$H,7,FALSE)=CH146,1,0)</f>
        <v>#N/A</v>
      </c>
      <c r="FU146" s="138" t="e">
        <f>IF(VLOOKUP(CONCATENATE(H146,F146,FU$2),GeoHis!$A:$H,7,FALSE)=CI146,1,0)</f>
        <v>#N/A</v>
      </c>
      <c r="FV146" s="138" t="e">
        <f>IF(VLOOKUP(CONCATENATE(H146,F146,FV$2),GeoHis!$A:$H,7,FALSE)=CJ146,1,0)</f>
        <v>#N/A</v>
      </c>
      <c r="FW146" s="138" t="e">
        <f>IF(VLOOKUP(CONCATENATE(H146,F146,FW$2),GeoHis!$A:$H,7,FALSE)=CK146,1,0)</f>
        <v>#N/A</v>
      </c>
      <c r="FX146" s="138" t="e">
        <f>IF(VLOOKUP(CONCATENATE(H146,F146,FX$2),GeoHis!$A:$H,7,FALSE)=CL146,1,0)</f>
        <v>#N/A</v>
      </c>
      <c r="FY146" s="138" t="e">
        <f>IF(VLOOKUP(CONCATENATE(H146,F146,FY$2),GeoHis!$A:$H,7,FALSE)=CM146,1,0)</f>
        <v>#N/A</v>
      </c>
      <c r="FZ146" s="138" t="e">
        <f>IF(VLOOKUP(CONCATENATE(H146,F146,FZ$2),GeoHis!$A:$H,7,FALSE)=CN146,1,0)</f>
        <v>#N/A</v>
      </c>
      <c r="GA146" s="138" t="e">
        <f>IF(VLOOKUP(CONCATENATE(H146,F146,GA$2),GeoHis!$A:$H,7,FALSE)=CO146,1,0)</f>
        <v>#N/A</v>
      </c>
      <c r="GB146" s="138" t="e">
        <f>IF(VLOOKUP(CONCATENATE(H146,F146,GB$2),GeoHis!$A:$H,7,FALSE)=CP146,1,0)</f>
        <v>#N/A</v>
      </c>
      <c r="GC146" s="138" t="e">
        <f>IF(VLOOKUP(CONCATENATE(H146,F146,GC$2),GeoHis!$A:$H,7,FALSE)=CQ146,1,0)</f>
        <v>#N/A</v>
      </c>
      <c r="GD146" s="138" t="e">
        <f>IF(VLOOKUP(CONCATENATE(H146,F146,GD$2),GeoHis!$A:$H,7,FALSE)=CR146,1,0)</f>
        <v>#N/A</v>
      </c>
      <c r="GE146" s="135" t="str">
        <f t="shared" si="23"/>
        <v/>
      </c>
    </row>
    <row r="147" spans="1:187" x14ac:dyDescent="0.25">
      <c r="A147" s="127" t="str">
        <f>IF(C147="","",'Datos Generales'!$A$25)</f>
        <v/>
      </c>
      <c r="D147" s="126" t="str">
        <f t="shared" si="16"/>
        <v/>
      </c>
      <c r="E147" s="126">
        <f t="shared" si="17"/>
        <v>0</v>
      </c>
      <c r="F147" s="126" t="str">
        <f t="shared" si="18"/>
        <v/>
      </c>
      <c r="G147" s="126" t="str">
        <f>IF(C147="","",'Datos Generales'!$D$19)</f>
        <v/>
      </c>
      <c r="H147" s="21" t="str">
        <f>IF(C147="","",'Datos Generales'!$A$19)</f>
        <v/>
      </c>
      <c r="I147" s="126" t="str">
        <f>IF(C147="","",'Datos Generales'!$A$7)</f>
        <v/>
      </c>
      <c r="J147" s="21" t="str">
        <f>IF(C147="","",'Datos Generales'!$A$13)</f>
        <v/>
      </c>
      <c r="K147" s="21" t="str">
        <f>IF(C147="","",'Datos Generales'!$A$10)</f>
        <v/>
      </c>
      <c r="CS147" s="142" t="str">
        <f t="shared" si="19"/>
        <v/>
      </c>
      <c r="CT147" s="142" t="str">
        <f t="shared" si="20"/>
        <v/>
      </c>
      <c r="CU147" s="142" t="str">
        <f t="shared" si="21"/>
        <v/>
      </c>
      <c r="CV147" s="142" t="str">
        <f t="shared" si="22"/>
        <v/>
      </c>
      <c r="CW147" s="142" t="str">
        <f>IF(C147="","",IF('Datos Generales'!$A$19=1,AVERAGE(FP147:GD147),AVERAGE(Captura!FP147:FY147)))</f>
        <v/>
      </c>
      <c r="CX147" s="138" t="e">
        <f>IF(VLOOKUP(CONCATENATE($H$4,$F$4,CX$2),Español!$A:$H,7,FALSE)=L147,1,0)</f>
        <v>#N/A</v>
      </c>
      <c r="CY147" s="138" t="e">
        <f>IF(VLOOKUP(CONCATENATE(H147,F147,CY$2),Español!$A:$H,7,FALSE)=M147,1,0)</f>
        <v>#N/A</v>
      </c>
      <c r="CZ147" s="138" t="e">
        <f>IF(VLOOKUP(CONCATENATE(H147,F147,CZ$2),Español!$A:$H,7,FALSE)=N147,1,0)</f>
        <v>#N/A</v>
      </c>
      <c r="DA147" s="138" t="e">
        <f>IF(VLOOKUP(CONCATENATE(H147,F147,DA$2),Español!$A:$H,7,FALSE)=O147,1,0)</f>
        <v>#N/A</v>
      </c>
      <c r="DB147" s="138" t="e">
        <f>IF(VLOOKUP(CONCATENATE(H147,F147,DB$2),Español!$A:$H,7,FALSE)=P147,1,0)</f>
        <v>#N/A</v>
      </c>
      <c r="DC147" s="138" t="e">
        <f>IF(VLOOKUP(CONCATENATE(H147,F147,DC$2),Español!$A:$H,7,FALSE)=Q147,1,0)</f>
        <v>#N/A</v>
      </c>
      <c r="DD147" s="138" t="e">
        <f>IF(VLOOKUP(CONCATENATE(H147,F147,DD$2),Español!$A:$H,7,FALSE)=R147,1,0)</f>
        <v>#N/A</v>
      </c>
      <c r="DE147" s="138" t="e">
        <f>IF(VLOOKUP(CONCATENATE(H147,F147,DE$2),Español!$A:$H,7,FALSE)=S147,1,0)</f>
        <v>#N/A</v>
      </c>
      <c r="DF147" s="138" t="e">
        <f>IF(VLOOKUP(CONCATENATE(H147,F147,DF$2),Español!$A:$H,7,FALSE)=T147,1,0)</f>
        <v>#N/A</v>
      </c>
      <c r="DG147" s="138" t="e">
        <f>IF(VLOOKUP(CONCATENATE(H147,F147,DG$2),Español!$A:$H,7,FALSE)=U147,1,0)</f>
        <v>#N/A</v>
      </c>
      <c r="DH147" s="138" t="e">
        <f>IF(VLOOKUP(CONCATENATE(H147,F147,DH$2),Español!$A:$H,7,FALSE)=V147,1,0)</f>
        <v>#N/A</v>
      </c>
      <c r="DI147" s="138" t="e">
        <f>IF(VLOOKUP(CONCATENATE(H147,F147,DI$2),Español!$A:$H,7,FALSE)=W147,1,0)</f>
        <v>#N/A</v>
      </c>
      <c r="DJ147" s="138" t="e">
        <f>IF(VLOOKUP(CONCATENATE(H147,F147,DJ$2),Español!$A:$H,7,FALSE)=X147,1,0)</f>
        <v>#N/A</v>
      </c>
      <c r="DK147" s="138" t="e">
        <f>IF(VLOOKUP(CONCATENATE(H147,F147,DK$2),Español!$A:$H,7,FALSE)=Y147,1,0)</f>
        <v>#N/A</v>
      </c>
      <c r="DL147" s="138" t="e">
        <f>IF(VLOOKUP(CONCATENATE(H147,F147,DL$2),Español!$A:$H,7,FALSE)=Z147,1,0)</f>
        <v>#N/A</v>
      </c>
      <c r="DM147" s="138" t="e">
        <f>IF(VLOOKUP(CONCATENATE(H147,F147,DM$2),Español!$A:$H,7,FALSE)=AA147,1,0)</f>
        <v>#N/A</v>
      </c>
      <c r="DN147" s="138" t="e">
        <f>IF(VLOOKUP(CONCATENATE(H147,F147,DN$2),Español!$A:$H,7,FALSE)=AB147,1,0)</f>
        <v>#N/A</v>
      </c>
      <c r="DO147" s="138" t="e">
        <f>IF(VLOOKUP(CONCATENATE(H147,F147,DO$2),Español!$A:$H,7,FALSE)=AC147,1,0)</f>
        <v>#N/A</v>
      </c>
      <c r="DP147" s="138" t="e">
        <f>IF(VLOOKUP(CONCATENATE(H147,F147,DP$2),Español!$A:$H,7,FALSE)=AD147,1,0)</f>
        <v>#N/A</v>
      </c>
      <c r="DQ147" s="138" t="e">
        <f>IF(VLOOKUP(CONCATENATE(H147,F147,DQ$2),Español!$A:$H,7,FALSE)=AE147,1,0)</f>
        <v>#N/A</v>
      </c>
      <c r="DR147" s="138" t="e">
        <f>IF(VLOOKUP(CONCATENATE(H147,F147,DR$2),Inglés!$A:$H,7,FALSE)=AF147,1,0)</f>
        <v>#N/A</v>
      </c>
      <c r="DS147" s="138" t="e">
        <f>IF(VLOOKUP(CONCATENATE(H147,F147,DS$2),Inglés!$A:$H,7,FALSE)=AG147,1,0)</f>
        <v>#N/A</v>
      </c>
      <c r="DT147" s="138" t="e">
        <f>IF(VLOOKUP(CONCATENATE(H147,F147,DT$2),Inglés!$A:$H,7,FALSE)=AH147,1,0)</f>
        <v>#N/A</v>
      </c>
      <c r="DU147" s="138" t="e">
        <f>IF(VLOOKUP(CONCATENATE(H147,F147,DU$2),Inglés!$A:$H,7,FALSE)=AI147,1,0)</f>
        <v>#N/A</v>
      </c>
      <c r="DV147" s="138" t="e">
        <f>IF(VLOOKUP(CONCATENATE(H147,F147,DV$2),Inglés!$A:$H,7,FALSE)=AJ147,1,0)</f>
        <v>#N/A</v>
      </c>
      <c r="DW147" s="138" t="e">
        <f>IF(VLOOKUP(CONCATENATE(H147,F147,DW$2),Inglés!$A:$H,7,FALSE)=AK147,1,0)</f>
        <v>#N/A</v>
      </c>
      <c r="DX147" s="138" t="e">
        <f>IF(VLOOKUP(CONCATENATE(H147,F147,DX$2),Inglés!$A:$H,7,FALSE)=AL147,1,0)</f>
        <v>#N/A</v>
      </c>
      <c r="DY147" s="138" t="e">
        <f>IF(VLOOKUP(CONCATENATE(H147,F147,DY$2),Inglés!$A:$H,7,FALSE)=AM147,1,0)</f>
        <v>#N/A</v>
      </c>
      <c r="DZ147" s="138" t="e">
        <f>IF(VLOOKUP(CONCATENATE(H147,F147,DZ$2),Inglés!$A:$H,7,FALSE)=AN147,1,0)</f>
        <v>#N/A</v>
      </c>
      <c r="EA147" s="138" t="e">
        <f>IF(VLOOKUP(CONCATENATE(H147,F147,EA$2),Inglés!$A:$H,7,FALSE)=AO147,1,0)</f>
        <v>#N/A</v>
      </c>
      <c r="EB147" s="138" t="e">
        <f>IF(VLOOKUP(CONCATENATE(H147,F147,EB$2),Matemáticas!$A:$H,7,FALSE)=AP147,1,0)</f>
        <v>#N/A</v>
      </c>
      <c r="EC147" s="138" t="e">
        <f>IF(VLOOKUP(CONCATENATE(H147,F147,EC$2),Matemáticas!$A:$H,7,FALSE)=AQ147,1,0)</f>
        <v>#N/A</v>
      </c>
      <c r="ED147" s="138" t="e">
        <f>IF(VLOOKUP(CONCATENATE(H147,F147,ED$2),Matemáticas!$A:$H,7,FALSE)=AR147,1,0)</f>
        <v>#N/A</v>
      </c>
      <c r="EE147" s="138" t="e">
        <f>IF(VLOOKUP(CONCATENATE(H147,F147,EE$2),Matemáticas!$A:$H,7,FALSE)=AS147,1,0)</f>
        <v>#N/A</v>
      </c>
      <c r="EF147" s="138" t="e">
        <f>IF(VLOOKUP(CONCATENATE(H147,F147,EF$2),Matemáticas!$A:$H,7,FALSE)=AT147,1,0)</f>
        <v>#N/A</v>
      </c>
      <c r="EG147" s="138" t="e">
        <f>IF(VLOOKUP(CONCATENATE(H147,F147,EG$2),Matemáticas!$A:$H,7,FALSE)=AU147,1,0)</f>
        <v>#N/A</v>
      </c>
      <c r="EH147" s="138" t="e">
        <f>IF(VLOOKUP(CONCATENATE(H147,F147,EH$2),Matemáticas!$A:$H,7,FALSE)=AV147,1,0)</f>
        <v>#N/A</v>
      </c>
      <c r="EI147" s="138" t="e">
        <f>IF(VLOOKUP(CONCATENATE(H147,F147,EI$2),Matemáticas!$A:$H,7,FALSE)=AW147,1,0)</f>
        <v>#N/A</v>
      </c>
      <c r="EJ147" s="138" t="e">
        <f>IF(VLOOKUP(CONCATENATE(H147,F147,EJ$2),Matemáticas!$A:$H,7,FALSE)=AX147,1,0)</f>
        <v>#N/A</v>
      </c>
      <c r="EK147" s="138" t="e">
        <f>IF(VLOOKUP(CONCATENATE(H147,F147,EK$2),Matemáticas!$A:$H,7,FALSE)=AY147,1,0)</f>
        <v>#N/A</v>
      </c>
      <c r="EL147" s="138" t="e">
        <f>IF(VLOOKUP(CONCATENATE(H147,F147,EL$2),Matemáticas!$A:$H,7,FALSE)=AZ147,1,0)</f>
        <v>#N/A</v>
      </c>
      <c r="EM147" s="138" t="e">
        <f>IF(VLOOKUP(CONCATENATE(H147,F147,EM$2),Matemáticas!$A:$H,7,FALSE)=BA147,1,0)</f>
        <v>#N/A</v>
      </c>
      <c r="EN147" s="138" t="e">
        <f>IF(VLOOKUP(CONCATENATE(H147,F147,EN$2),Matemáticas!$A:$H,7,FALSE)=BB147,1,0)</f>
        <v>#N/A</v>
      </c>
      <c r="EO147" s="138" t="e">
        <f>IF(VLOOKUP(CONCATENATE(H147,F147,EO$2),Matemáticas!$A:$H,7,FALSE)=BC147,1,0)</f>
        <v>#N/A</v>
      </c>
      <c r="EP147" s="138" t="e">
        <f>IF(VLOOKUP(CONCATENATE(H147,F147,EP$2),Matemáticas!$A:$H,7,FALSE)=BD147,1,0)</f>
        <v>#N/A</v>
      </c>
      <c r="EQ147" s="138" t="e">
        <f>IF(VLOOKUP(CONCATENATE(H147,F147,EQ$2),Matemáticas!$A:$H,7,FALSE)=BE147,1,0)</f>
        <v>#N/A</v>
      </c>
      <c r="ER147" s="138" t="e">
        <f>IF(VLOOKUP(CONCATENATE(H147,F147,ER$2),Matemáticas!$A:$H,7,FALSE)=BF147,1,0)</f>
        <v>#N/A</v>
      </c>
      <c r="ES147" s="138" t="e">
        <f>IF(VLOOKUP(CONCATENATE(H147,F147,ES$2),Matemáticas!$A:$H,7,FALSE)=BG147,1,0)</f>
        <v>#N/A</v>
      </c>
      <c r="ET147" s="138" t="e">
        <f>IF(VLOOKUP(CONCATENATE(H147,F147,ET$2),Matemáticas!$A:$H,7,FALSE)=BH147,1,0)</f>
        <v>#N/A</v>
      </c>
      <c r="EU147" s="138" t="e">
        <f>IF(VLOOKUP(CONCATENATE(H147,F147,EU$2),Matemáticas!$A:$H,7,FALSE)=BI147,1,0)</f>
        <v>#N/A</v>
      </c>
      <c r="EV147" s="138" t="e">
        <f>IF(VLOOKUP(CONCATENATE(H147,F147,EV$2),Ciencias!$A:$H,7,FALSE)=BJ147,1,0)</f>
        <v>#N/A</v>
      </c>
      <c r="EW147" s="138" t="e">
        <f>IF(VLOOKUP(CONCATENATE(H147,F147,EW$2),Ciencias!$A:$H,7,FALSE)=BK147,1,0)</f>
        <v>#N/A</v>
      </c>
      <c r="EX147" s="138" t="e">
        <f>IF(VLOOKUP(CONCATENATE(H147,F147,EX$2),Ciencias!$A:$H,7,FALSE)=BL147,1,0)</f>
        <v>#N/A</v>
      </c>
      <c r="EY147" s="138" t="e">
        <f>IF(VLOOKUP(CONCATENATE(H147,F147,EY$2),Ciencias!$A:$H,7,FALSE)=BM147,1,0)</f>
        <v>#N/A</v>
      </c>
      <c r="EZ147" s="138" t="e">
        <f>IF(VLOOKUP(CONCATENATE(H147,F147,EZ$2),Ciencias!$A:$H,7,FALSE)=BN147,1,0)</f>
        <v>#N/A</v>
      </c>
      <c r="FA147" s="138" t="e">
        <f>IF(VLOOKUP(CONCATENATE(H147,F147,FA$2),Ciencias!$A:$H,7,FALSE)=BO147,1,0)</f>
        <v>#N/A</v>
      </c>
      <c r="FB147" s="138" t="e">
        <f>IF(VLOOKUP(CONCATENATE(H147,F147,FB$2),Ciencias!$A:$H,7,FALSE)=BP147,1,0)</f>
        <v>#N/A</v>
      </c>
      <c r="FC147" s="138" t="e">
        <f>IF(VLOOKUP(CONCATENATE(H147,F147,FC$2),Ciencias!$A:$H,7,FALSE)=BQ147,1,0)</f>
        <v>#N/A</v>
      </c>
      <c r="FD147" s="138" t="e">
        <f>IF(VLOOKUP(CONCATENATE(H147,F147,FD$2),Ciencias!$A:$H,7,FALSE)=BR147,1,0)</f>
        <v>#N/A</v>
      </c>
      <c r="FE147" s="138" t="e">
        <f>IF(VLOOKUP(CONCATENATE(H147,F147,FE$2),Ciencias!$A:$H,7,FALSE)=BS147,1,0)</f>
        <v>#N/A</v>
      </c>
      <c r="FF147" s="138" t="e">
        <f>IF(VLOOKUP(CONCATENATE(H147,F147,FF$2),Ciencias!$A:$H,7,FALSE)=BT147,1,0)</f>
        <v>#N/A</v>
      </c>
      <c r="FG147" s="138" t="e">
        <f>IF(VLOOKUP(CONCATENATE(H147,F147,FG$2),Ciencias!$A:$H,7,FALSE)=BU147,1,0)</f>
        <v>#N/A</v>
      </c>
      <c r="FH147" s="138" t="e">
        <f>IF(VLOOKUP(CONCATENATE(H147,F147,FH$2),Ciencias!$A:$H,7,FALSE)=BV147,1,0)</f>
        <v>#N/A</v>
      </c>
      <c r="FI147" s="138" t="e">
        <f>IF(VLOOKUP(CONCATENATE(H147,F147,FI$2),Ciencias!$A:$H,7,FALSE)=BW147,1,0)</f>
        <v>#N/A</v>
      </c>
      <c r="FJ147" s="138" t="e">
        <f>IF(VLOOKUP(CONCATENATE(H147,F147,FJ$2),Ciencias!$A:$H,7,FALSE)=BX147,1,0)</f>
        <v>#N/A</v>
      </c>
      <c r="FK147" s="138" t="e">
        <f>IF(VLOOKUP(CONCATENATE(H147,F147,FK$2),Ciencias!$A:$H,7,FALSE)=BY147,1,0)</f>
        <v>#N/A</v>
      </c>
      <c r="FL147" s="138" t="e">
        <f>IF(VLOOKUP(CONCATENATE(H147,F147,FL$2),Ciencias!$A:$H,7,FALSE)=BZ147,1,0)</f>
        <v>#N/A</v>
      </c>
      <c r="FM147" s="138" t="e">
        <f>IF(VLOOKUP(CONCATENATE(H147,F147,FM$2),Ciencias!$A:$H,7,FALSE)=CA147,1,0)</f>
        <v>#N/A</v>
      </c>
      <c r="FN147" s="138" t="e">
        <f>IF(VLOOKUP(CONCATENATE(H147,F147,FN$2),Ciencias!$A:$H,7,FALSE)=CB147,1,0)</f>
        <v>#N/A</v>
      </c>
      <c r="FO147" s="138" t="e">
        <f>IF(VLOOKUP(CONCATENATE(H147,F147,FO$2),Ciencias!$A:$H,7,FALSE)=CC147,1,0)</f>
        <v>#N/A</v>
      </c>
      <c r="FP147" s="138" t="e">
        <f>IF(VLOOKUP(CONCATENATE(H147,F147,FP$2),GeoHis!$A:$H,7,FALSE)=CD147,1,0)</f>
        <v>#N/A</v>
      </c>
      <c r="FQ147" s="138" t="e">
        <f>IF(VLOOKUP(CONCATENATE(H147,F147,FQ$2),GeoHis!$A:$H,7,FALSE)=CE147,1,0)</f>
        <v>#N/A</v>
      </c>
      <c r="FR147" s="138" t="e">
        <f>IF(VLOOKUP(CONCATENATE(H147,F147,FR$2),GeoHis!$A:$H,7,FALSE)=CF147,1,0)</f>
        <v>#N/A</v>
      </c>
      <c r="FS147" s="138" t="e">
        <f>IF(VLOOKUP(CONCATENATE(H147,F147,FS$2),GeoHis!$A:$H,7,FALSE)=CG147,1,0)</f>
        <v>#N/A</v>
      </c>
      <c r="FT147" s="138" t="e">
        <f>IF(VLOOKUP(CONCATENATE(H147,F147,FT$2),GeoHis!$A:$H,7,FALSE)=CH147,1,0)</f>
        <v>#N/A</v>
      </c>
      <c r="FU147" s="138" t="e">
        <f>IF(VLOOKUP(CONCATENATE(H147,F147,FU$2),GeoHis!$A:$H,7,FALSE)=CI147,1,0)</f>
        <v>#N/A</v>
      </c>
      <c r="FV147" s="138" t="e">
        <f>IF(VLOOKUP(CONCATENATE(H147,F147,FV$2),GeoHis!$A:$H,7,FALSE)=CJ147,1,0)</f>
        <v>#N/A</v>
      </c>
      <c r="FW147" s="138" t="e">
        <f>IF(VLOOKUP(CONCATENATE(H147,F147,FW$2),GeoHis!$A:$H,7,FALSE)=CK147,1,0)</f>
        <v>#N/A</v>
      </c>
      <c r="FX147" s="138" t="e">
        <f>IF(VLOOKUP(CONCATENATE(H147,F147,FX$2),GeoHis!$A:$H,7,FALSE)=CL147,1,0)</f>
        <v>#N/A</v>
      </c>
      <c r="FY147" s="138" t="e">
        <f>IF(VLOOKUP(CONCATENATE(H147,F147,FY$2),GeoHis!$A:$H,7,FALSE)=CM147,1,0)</f>
        <v>#N/A</v>
      </c>
      <c r="FZ147" s="138" t="e">
        <f>IF(VLOOKUP(CONCATENATE(H147,F147,FZ$2),GeoHis!$A:$H,7,FALSE)=CN147,1,0)</f>
        <v>#N/A</v>
      </c>
      <c r="GA147" s="138" t="e">
        <f>IF(VLOOKUP(CONCATENATE(H147,F147,GA$2),GeoHis!$A:$H,7,FALSE)=CO147,1,0)</f>
        <v>#N/A</v>
      </c>
      <c r="GB147" s="138" t="e">
        <f>IF(VLOOKUP(CONCATENATE(H147,F147,GB$2),GeoHis!$A:$H,7,FALSE)=CP147,1,0)</f>
        <v>#N/A</v>
      </c>
      <c r="GC147" s="138" t="e">
        <f>IF(VLOOKUP(CONCATENATE(H147,F147,GC$2),GeoHis!$A:$H,7,FALSE)=CQ147,1,0)</f>
        <v>#N/A</v>
      </c>
      <c r="GD147" s="138" t="e">
        <f>IF(VLOOKUP(CONCATENATE(H147,F147,GD$2),GeoHis!$A:$H,7,FALSE)=CR147,1,0)</f>
        <v>#N/A</v>
      </c>
      <c r="GE147" s="135" t="str">
        <f t="shared" si="23"/>
        <v/>
      </c>
    </row>
    <row r="148" spans="1:187" x14ac:dyDescent="0.25">
      <c r="A148" s="127" t="str">
        <f>IF(C148="","",'Datos Generales'!$A$25)</f>
        <v/>
      </c>
      <c r="D148" s="126" t="str">
        <f t="shared" si="16"/>
        <v/>
      </c>
      <c r="E148" s="126">
        <f t="shared" si="17"/>
        <v>0</v>
      </c>
      <c r="F148" s="126" t="str">
        <f t="shared" si="18"/>
        <v/>
      </c>
      <c r="G148" s="126" t="str">
        <f>IF(C148="","",'Datos Generales'!$D$19)</f>
        <v/>
      </c>
      <c r="H148" s="21" t="str">
        <f>IF(C148="","",'Datos Generales'!$A$19)</f>
        <v/>
      </c>
      <c r="I148" s="126" t="str">
        <f>IF(C148="","",'Datos Generales'!$A$7)</f>
        <v/>
      </c>
      <c r="J148" s="21" t="str">
        <f>IF(C148="","",'Datos Generales'!$A$13)</f>
        <v/>
      </c>
      <c r="K148" s="21" t="str">
        <f>IF(C148="","",'Datos Generales'!$A$10)</f>
        <v/>
      </c>
      <c r="CS148" s="142" t="str">
        <f t="shared" si="19"/>
        <v/>
      </c>
      <c r="CT148" s="142" t="str">
        <f t="shared" si="20"/>
        <v/>
      </c>
      <c r="CU148" s="142" t="str">
        <f t="shared" si="21"/>
        <v/>
      </c>
      <c r="CV148" s="142" t="str">
        <f t="shared" si="22"/>
        <v/>
      </c>
      <c r="CW148" s="142" t="str">
        <f>IF(C148="","",IF('Datos Generales'!$A$19=1,AVERAGE(FP148:GD148),AVERAGE(Captura!FP148:FY148)))</f>
        <v/>
      </c>
      <c r="CX148" s="138" t="e">
        <f>IF(VLOOKUP(CONCATENATE($H$4,$F$4,CX$2),Español!$A:$H,7,FALSE)=L148,1,0)</f>
        <v>#N/A</v>
      </c>
      <c r="CY148" s="138" t="e">
        <f>IF(VLOOKUP(CONCATENATE(H148,F148,CY$2),Español!$A:$H,7,FALSE)=M148,1,0)</f>
        <v>#N/A</v>
      </c>
      <c r="CZ148" s="138" t="e">
        <f>IF(VLOOKUP(CONCATENATE(H148,F148,CZ$2),Español!$A:$H,7,FALSE)=N148,1,0)</f>
        <v>#N/A</v>
      </c>
      <c r="DA148" s="138" t="e">
        <f>IF(VLOOKUP(CONCATENATE(H148,F148,DA$2),Español!$A:$H,7,FALSE)=O148,1,0)</f>
        <v>#N/A</v>
      </c>
      <c r="DB148" s="138" t="e">
        <f>IF(VLOOKUP(CONCATENATE(H148,F148,DB$2),Español!$A:$H,7,FALSE)=P148,1,0)</f>
        <v>#N/A</v>
      </c>
      <c r="DC148" s="138" t="e">
        <f>IF(VLOOKUP(CONCATENATE(H148,F148,DC$2),Español!$A:$H,7,FALSE)=Q148,1,0)</f>
        <v>#N/A</v>
      </c>
      <c r="DD148" s="138" t="e">
        <f>IF(VLOOKUP(CONCATENATE(H148,F148,DD$2),Español!$A:$H,7,FALSE)=R148,1,0)</f>
        <v>#N/A</v>
      </c>
      <c r="DE148" s="138" t="e">
        <f>IF(VLOOKUP(CONCATENATE(H148,F148,DE$2),Español!$A:$H,7,FALSE)=S148,1,0)</f>
        <v>#N/A</v>
      </c>
      <c r="DF148" s="138" t="e">
        <f>IF(VLOOKUP(CONCATENATE(H148,F148,DF$2),Español!$A:$H,7,FALSE)=T148,1,0)</f>
        <v>#N/A</v>
      </c>
      <c r="DG148" s="138" t="e">
        <f>IF(VLOOKUP(CONCATENATE(H148,F148,DG$2),Español!$A:$H,7,FALSE)=U148,1,0)</f>
        <v>#N/A</v>
      </c>
      <c r="DH148" s="138" t="e">
        <f>IF(VLOOKUP(CONCATENATE(H148,F148,DH$2),Español!$A:$H,7,FALSE)=V148,1,0)</f>
        <v>#N/A</v>
      </c>
      <c r="DI148" s="138" t="e">
        <f>IF(VLOOKUP(CONCATENATE(H148,F148,DI$2),Español!$A:$H,7,FALSE)=W148,1,0)</f>
        <v>#N/A</v>
      </c>
      <c r="DJ148" s="138" t="e">
        <f>IF(VLOOKUP(CONCATENATE(H148,F148,DJ$2),Español!$A:$H,7,FALSE)=X148,1,0)</f>
        <v>#N/A</v>
      </c>
      <c r="DK148" s="138" t="e">
        <f>IF(VLOOKUP(CONCATENATE(H148,F148,DK$2),Español!$A:$H,7,FALSE)=Y148,1,0)</f>
        <v>#N/A</v>
      </c>
      <c r="DL148" s="138" t="e">
        <f>IF(VLOOKUP(CONCATENATE(H148,F148,DL$2),Español!$A:$H,7,FALSE)=Z148,1,0)</f>
        <v>#N/A</v>
      </c>
      <c r="DM148" s="138" t="e">
        <f>IF(VLOOKUP(CONCATENATE(H148,F148,DM$2),Español!$A:$H,7,FALSE)=AA148,1,0)</f>
        <v>#N/A</v>
      </c>
      <c r="DN148" s="138" t="e">
        <f>IF(VLOOKUP(CONCATENATE(H148,F148,DN$2),Español!$A:$H,7,FALSE)=AB148,1,0)</f>
        <v>#N/A</v>
      </c>
      <c r="DO148" s="138" t="e">
        <f>IF(VLOOKUP(CONCATENATE(H148,F148,DO$2),Español!$A:$H,7,FALSE)=AC148,1,0)</f>
        <v>#N/A</v>
      </c>
      <c r="DP148" s="138" t="e">
        <f>IF(VLOOKUP(CONCATENATE(H148,F148,DP$2),Español!$A:$H,7,FALSE)=AD148,1,0)</f>
        <v>#N/A</v>
      </c>
      <c r="DQ148" s="138" t="e">
        <f>IF(VLOOKUP(CONCATENATE(H148,F148,DQ$2),Español!$A:$H,7,FALSE)=AE148,1,0)</f>
        <v>#N/A</v>
      </c>
      <c r="DR148" s="138" t="e">
        <f>IF(VLOOKUP(CONCATENATE(H148,F148,DR$2),Inglés!$A:$H,7,FALSE)=AF148,1,0)</f>
        <v>#N/A</v>
      </c>
      <c r="DS148" s="138" t="e">
        <f>IF(VLOOKUP(CONCATENATE(H148,F148,DS$2),Inglés!$A:$H,7,FALSE)=AG148,1,0)</f>
        <v>#N/A</v>
      </c>
      <c r="DT148" s="138" t="e">
        <f>IF(VLOOKUP(CONCATENATE(H148,F148,DT$2),Inglés!$A:$H,7,FALSE)=AH148,1,0)</f>
        <v>#N/A</v>
      </c>
      <c r="DU148" s="138" t="e">
        <f>IF(VLOOKUP(CONCATENATE(H148,F148,DU$2),Inglés!$A:$H,7,FALSE)=AI148,1,0)</f>
        <v>#N/A</v>
      </c>
      <c r="DV148" s="138" t="e">
        <f>IF(VLOOKUP(CONCATENATE(H148,F148,DV$2),Inglés!$A:$H,7,FALSE)=AJ148,1,0)</f>
        <v>#N/A</v>
      </c>
      <c r="DW148" s="138" t="e">
        <f>IF(VLOOKUP(CONCATENATE(H148,F148,DW$2),Inglés!$A:$H,7,FALSE)=AK148,1,0)</f>
        <v>#N/A</v>
      </c>
      <c r="DX148" s="138" t="e">
        <f>IF(VLOOKUP(CONCATENATE(H148,F148,DX$2),Inglés!$A:$H,7,FALSE)=AL148,1,0)</f>
        <v>#N/A</v>
      </c>
      <c r="DY148" s="138" t="e">
        <f>IF(VLOOKUP(CONCATENATE(H148,F148,DY$2),Inglés!$A:$H,7,FALSE)=AM148,1,0)</f>
        <v>#N/A</v>
      </c>
      <c r="DZ148" s="138" t="e">
        <f>IF(VLOOKUP(CONCATENATE(H148,F148,DZ$2),Inglés!$A:$H,7,FALSE)=AN148,1,0)</f>
        <v>#N/A</v>
      </c>
      <c r="EA148" s="138" t="e">
        <f>IF(VLOOKUP(CONCATENATE(H148,F148,EA$2),Inglés!$A:$H,7,FALSE)=AO148,1,0)</f>
        <v>#N/A</v>
      </c>
      <c r="EB148" s="138" t="e">
        <f>IF(VLOOKUP(CONCATENATE(H148,F148,EB$2),Matemáticas!$A:$H,7,FALSE)=AP148,1,0)</f>
        <v>#N/A</v>
      </c>
      <c r="EC148" s="138" t="e">
        <f>IF(VLOOKUP(CONCATENATE(H148,F148,EC$2),Matemáticas!$A:$H,7,FALSE)=AQ148,1,0)</f>
        <v>#N/A</v>
      </c>
      <c r="ED148" s="138" t="e">
        <f>IF(VLOOKUP(CONCATENATE(H148,F148,ED$2),Matemáticas!$A:$H,7,FALSE)=AR148,1,0)</f>
        <v>#N/A</v>
      </c>
      <c r="EE148" s="138" t="e">
        <f>IF(VLOOKUP(CONCATENATE(H148,F148,EE$2),Matemáticas!$A:$H,7,FALSE)=AS148,1,0)</f>
        <v>#N/A</v>
      </c>
      <c r="EF148" s="138" t="e">
        <f>IF(VLOOKUP(CONCATENATE(H148,F148,EF$2),Matemáticas!$A:$H,7,FALSE)=AT148,1,0)</f>
        <v>#N/A</v>
      </c>
      <c r="EG148" s="138" t="e">
        <f>IF(VLOOKUP(CONCATENATE(H148,F148,EG$2),Matemáticas!$A:$H,7,FALSE)=AU148,1,0)</f>
        <v>#N/A</v>
      </c>
      <c r="EH148" s="138" t="e">
        <f>IF(VLOOKUP(CONCATENATE(H148,F148,EH$2),Matemáticas!$A:$H,7,FALSE)=AV148,1,0)</f>
        <v>#N/A</v>
      </c>
      <c r="EI148" s="138" t="e">
        <f>IF(VLOOKUP(CONCATENATE(H148,F148,EI$2),Matemáticas!$A:$H,7,FALSE)=AW148,1,0)</f>
        <v>#N/A</v>
      </c>
      <c r="EJ148" s="138" t="e">
        <f>IF(VLOOKUP(CONCATENATE(H148,F148,EJ$2),Matemáticas!$A:$H,7,FALSE)=AX148,1,0)</f>
        <v>#N/A</v>
      </c>
      <c r="EK148" s="138" t="e">
        <f>IF(VLOOKUP(CONCATENATE(H148,F148,EK$2),Matemáticas!$A:$H,7,FALSE)=AY148,1,0)</f>
        <v>#N/A</v>
      </c>
      <c r="EL148" s="138" t="e">
        <f>IF(VLOOKUP(CONCATENATE(H148,F148,EL$2),Matemáticas!$A:$H,7,FALSE)=AZ148,1,0)</f>
        <v>#N/A</v>
      </c>
      <c r="EM148" s="138" t="e">
        <f>IF(VLOOKUP(CONCATENATE(H148,F148,EM$2),Matemáticas!$A:$H,7,FALSE)=BA148,1,0)</f>
        <v>#N/A</v>
      </c>
      <c r="EN148" s="138" t="e">
        <f>IF(VLOOKUP(CONCATENATE(H148,F148,EN$2),Matemáticas!$A:$H,7,FALSE)=BB148,1,0)</f>
        <v>#N/A</v>
      </c>
      <c r="EO148" s="138" t="e">
        <f>IF(VLOOKUP(CONCATENATE(H148,F148,EO$2),Matemáticas!$A:$H,7,FALSE)=BC148,1,0)</f>
        <v>#N/A</v>
      </c>
      <c r="EP148" s="138" t="e">
        <f>IF(VLOOKUP(CONCATENATE(H148,F148,EP$2),Matemáticas!$A:$H,7,FALSE)=BD148,1,0)</f>
        <v>#N/A</v>
      </c>
      <c r="EQ148" s="138" t="e">
        <f>IF(VLOOKUP(CONCATENATE(H148,F148,EQ$2),Matemáticas!$A:$H,7,FALSE)=BE148,1,0)</f>
        <v>#N/A</v>
      </c>
      <c r="ER148" s="138" t="e">
        <f>IF(VLOOKUP(CONCATENATE(H148,F148,ER$2),Matemáticas!$A:$H,7,FALSE)=BF148,1,0)</f>
        <v>#N/A</v>
      </c>
      <c r="ES148" s="138" t="e">
        <f>IF(VLOOKUP(CONCATENATE(H148,F148,ES$2),Matemáticas!$A:$H,7,FALSE)=BG148,1,0)</f>
        <v>#N/A</v>
      </c>
      <c r="ET148" s="138" t="e">
        <f>IF(VLOOKUP(CONCATENATE(H148,F148,ET$2),Matemáticas!$A:$H,7,FALSE)=BH148,1,0)</f>
        <v>#N/A</v>
      </c>
      <c r="EU148" s="138" t="e">
        <f>IF(VLOOKUP(CONCATENATE(H148,F148,EU$2),Matemáticas!$A:$H,7,FALSE)=BI148,1,0)</f>
        <v>#N/A</v>
      </c>
      <c r="EV148" s="138" t="e">
        <f>IF(VLOOKUP(CONCATENATE(H148,F148,EV$2),Ciencias!$A:$H,7,FALSE)=BJ148,1,0)</f>
        <v>#N/A</v>
      </c>
      <c r="EW148" s="138" t="e">
        <f>IF(VLOOKUP(CONCATENATE(H148,F148,EW$2),Ciencias!$A:$H,7,FALSE)=BK148,1,0)</f>
        <v>#N/A</v>
      </c>
      <c r="EX148" s="138" t="e">
        <f>IF(VLOOKUP(CONCATENATE(H148,F148,EX$2),Ciencias!$A:$H,7,FALSE)=BL148,1,0)</f>
        <v>#N/A</v>
      </c>
      <c r="EY148" s="138" t="e">
        <f>IF(VLOOKUP(CONCATENATE(H148,F148,EY$2),Ciencias!$A:$H,7,FALSE)=BM148,1,0)</f>
        <v>#N/A</v>
      </c>
      <c r="EZ148" s="138" t="e">
        <f>IF(VLOOKUP(CONCATENATE(H148,F148,EZ$2),Ciencias!$A:$H,7,FALSE)=BN148,1,0)</f>
        <v>#N/A</v>
      </c>
      <c r="FA148" s="138" t="e">
        <f>IF(VLOOKUP(CONCATENATE(H148,F148,FA$2),Ciencias!$A:$H,7,FALSE)=BO148,1,0)</f>
        <v>#N/A</v>
      </c>
      <c r="FB148" s="138" t="e">
        <f>IF(VLOOKUP(CONCATENATE(H148,F148,FB$2),Ciencias!$A:$H,7,FALSE)=BP148,1,0)</f>
        <v>#N/A</v>
      </c>
      <c r="FC148" s="138" t="e">
        <f>IF(VLOOKUP(CONCATENATE(H148,F148,FC$2),Ciencias!$A:$H,7,FALSE)=BQ148,1,0)</f>
        <v>#N/A</v>
      </c>
      <c r="FD148" s="138" t="e">
        <f>IF(VLOOKUP(CONCATENATE(H148,F148,FD$2),Ciencias!$A:$H,7,FALSE)=BR148,1,0)</f>
        <v>#N/A</v>
      </c>
      <c r="FE148" s="138" t="e">
        <f>IF(VLOOKUP(CONCATENATE(H148,F148,FE$2),Ciencias!$A:$H,7,FALSE)=BS148,1,0)</f>
        <v>#N/A</v>
      </c>
      <c r="FF148" s="138" t="e">
        <f>IF(VLOOKUP(CONCATENATE(H148,F148,FF$2),Ciencias!$A:$H,7,FALSE)=BT148,1,0)</f>
        <v>#N/A</v>
      </c>
      <c r="FG148" s="138" t="e">
        <f>IF(VLOOKUP(CONCATENATE(H148,F148,FG$2),Ciencias!$A:$H,7,FALSE)=BU148,1,0)</f>
        <v>#N/A</v>
      </c>
      <c r="FH148" s="138" t="e">
        <f>IF(VLOOKUP(CONCATENATE(H148,F148,FH$2),Ciencias!$A:$H,7,FALSE)=BV148,1,0)</f>
        <v>#N/A</v>
      </c>
      <c r="FI148" s="138" t="e">
        <f>IF(VLOOKUP(CONCATENATE(H148,F148,FI$2),Ciencias!$A:$H,7,FALSE)=BW148,1,0)</f>
        <v>#N/A</v>
      </c>
      <c r="FJ148" s="138" t="e">
        <f>IF(VLOOKUP(CONCATENATE(H148,F148,FJ$2),Ciencias!$A:$H,7,FALSE)=BX148,1,0)</f>
        <v>#N/A</v>
      </c>
      <c r="FK148" s="138" t="e">
        <f>IF(VLOOKUP(CONCATENATE(H148,F148,FK$2),Ciencias!$A:$H,7,FALSE)=BY148,1,0)</f>
        <v>#N/A</v>
      </c>
      <c r="FL148" s="138" t="e">
        <f>IF(VLOOKUP(CONCATENATE(H148,F148,FL$2),Ciencias!$A:$H,7,FALSE)=BZ148,1,0)</f>
        <v>#N/A</v>
      </c>
      <c r="FM148" s="138" t="e">
        <f>IF(VLOOKUP(CONCATENATE(H148,F148,FM$2),Ciencias!$A:$H,7,FALSE)=CA148,1,0)</f>
        <v>#N/A</v>
      </c>
      <c r="FN148" s="138" t="e">
        <f>IF(VLOOKUP(CONCATENATE(H148,F148,FN$2),Ciencias!$A:$H,7,FALSE)=CB148,1,0)</f>
        <v>#N/A</v>
      </c>
      <c r="FO148" s="138" t="e">
        <f>IF(VLOOKUP(CONCATENATE(H148,F148,FO$2),Ciencias!$A:$H,7,FALSE)=CC148,1,0)</f>
        <v>#N/A</v>
      </c>
      <c r="FP148" s="138" t="e">
        <f>IF(VLOOKUP(CONCATENATE(H148,F148,FP$2),GeoHis!$A:$H,7,FALSE)=CD148,1,0)</f>
        <v>#N/A</v>
      </c>
      <c r="FQ148" s="138" t="e">
        <f>IF(VLOOKUP(CONCATENATE(H148,F148,FQ$2),GeoHis!$A:$H,7,FALSE)=CE148,1,0)</f>
        <v>#N/A</v>
      </c>
      <c r="FR148" s="138" t="e">
        <f>IF(VLOOKUP(CONCATENATE(H148,F148,FR$2),GeoHis!$A:$H,7,FALSE)=CF148,1,0)</f>
        <v>#N/A</v>
      </c>
      <c r="FS148" s="138" t="e">
        <f>IF(VLOOKUP(CONCATENATE(H148,F148,FS$2),GeoHis!$A:$H,7,FALSE)=CG148,1,0)</f>
        <v>#N/A</v>
      </c>
      <c r="FT148" s="138" t="e">
        <f>IF(VLOOKUP(CONCATENATE(H148,F148,FT$2),GeoHis!$A:$H,7,FALSE)=CH148,1,0)</f>
        <v>#N/A</v>
      </c>
      <c r="FU148" s="138" t="e">
        <f>IF(VLOOKUP(CONCATENATE(H148,F148,FU$2),GeoHis!$A:$H,7,FALSE)=CI148,1,0)</f>
        <v>#N/A</v>
      </c>
      <c r="FV148" s="138" t="e">
        <f>IF(VLOOKUP(CONCATENATE(H148,F148,FV$2),GeoHis!$A:$H,7,FALSE)=CJ148,1,0)</f>
        <v>#N/A</v>
      </c>
      <c r="FW148" s="138" t="e">
        <f>IF(VLOOKUP(CONCATENATE(H148,F148,FW$2),GeoHis!$A:$H,7,FALSE)=CK148,1,0)</f>
        <v>#N/A</v>
      </c>
      <c r="FX148" s="138" t="e">
        <f>IF(VLOOKUP(CONCATENATE(H148,F148,FX$2),GeoHis!$A:$H,7,FALSE)=CL148,1,0)</f>
        <v>#N/A</v>
      </c>
      <c r="FY148" s="138" t="e">
        <f>IF(VLOOKUP(CONCATENATE(H148,F148,FY$2),GeoHis!$A:$H,7,FALSE)=CM148,1,0)</f>
        <v>#N/A</v>
      </c>
      <c r="FZ148" s="138" t="e">
        <f>IF(VLOOKUP(CONCATENATE(H148,F148,FZ$2),GeoHis!$A:$H,7,FALSE)=CN148,1,0)</f>
        <v>#N/A</v>
      </c>
      <c r="GA148" s="138" t="e">
        <f>IF(VLOOKUP(CONCATENATE(H148,F148,GA$2),GeoHis!$A:$H,7,FALSE)=CO148,1,0)</f>
        <v>#N/A</v>
      </c>
      <c r="GB148" s="138" t="e">
        <f>IF(VLOOKUP(CONCATENATE(H148,F148,GB$2),GeoHis!$A:$H,7,FALSE)=CP148,1,0)</f>
        <v>#N/A</v>
      </c>
      <c r="GC148" s="138" t="e">
        <f>IF(VLOOKUP(CONCATENATE(H148,F148,GC$2),GeoHis!$A:$H,7,FALSE)=CQ148,1,0)</f>
        <v>#N/A</v>
      </c>
      <c r="GD148" s="138" t="e">
        <f>IF(VLOOKUP(CONCATENATE(H148,F148,GD$2),GeoHis!$A:$H,7,FALSE)=CR148,1,0)</f>
        <v>#N/A</v>
      </c>
      <c r="GE148" s="135" t="str">
        <f t="shared" si="23"/>
        <v/>
      </c>
    </row>
    <row r="149" spans="1:187" x14ac:dyDescent="0.25">
      <c r="A149" s="127" t="str">
        <f>IF(C149="","",'Datos Generales'!$A$25)</f>
        <v/>
      </c>
      <c r="D149" s="126" t="str">
        <f t="shared" si="16"/>
        <v/>
      </c>
      <c r="E149" s="126">
        <f t="shared" si="17"/>
        <v>0</v>
      </c>
      <c r="F149" s="126" t="str">
        <f t="shared" si="18"/>
        <v/>
      </c>
      <c r="G149" s="126" t="str">
        <f>IF(C149="","",'Datos Generales'!$D$19)</f>
        <v/>
      </c>
      <c r="H149" s="21" t="str">
        <f>IF(C149="","",'Datos Generales'!$A$19)</f>
        <v/>
      </c>
      <c r="I149" s="126" t="str">
        <f>IF(C149="","",'Datos Generales'!$A$7)</f>
        <v/>
      </c>
      <c r="J149" s="21" t="str">
        <f>IF(C149="","",'Datos Generales'!$A$13)</f>
        <v/>
      </c>
      <c r="K149" s="21" t="str">
        <f>IF(C149="","",'Datos Generales'!$A$10)</f>
        <v/>
      </c>
      <c r="CS149" s="142" t="str">
        <f t="shared" si="19"/>
        <v/>
      </c>
      <c r="CT149" s="142" t="str">
        <f t="shared" si="20"/>
        <v/>
      </c>
      <c r="CU149" s="142" t="str">
        <f t="shared" si="21"/>
        <v/>
      </c>
      <c r="CV149" s="142" t="str">
        <f t="shared" si="22"/>
        <v/>
      </c>
      <c r="CW149" s="142" t="str">
        <f>IF(C149="","",IF('Datos Generales'!$A$19=1,AVERAGE(FP149:GD149),AVERAGE(Captura!FP149:FY149)))</f>
        <v/>
      </c>
      <c r="CX149" s="138" t="e">
        <f>IF(VLOOKUP(CONCATENATE($H$4,$F$4,CX$2),Español!$A:$H,7,FALSE)=L149,1,0)</f>
        <v>#N/A</v>
      </c>
      <c r="CY149" s="138" t="e">
        <f>IF(VLOOKUP(CONCATENATE(H149,F149,CY$2),Español!$A:$H,7,FALSE)=M149,1,0)</f>
        <v>#N/A</v>
      </c>
      <c r="CZ149" s="138" t="e">
        <f>IF(VLOOKUP(CONCATENATE(H149,F149,CZ$2),Español!$A:$H,7,FALSE)=N149,1,0)</f>
        <v>#N/A</v>
      </c>
      <c r="DA149" s="138" t="e">
        <f>IF(VLOOKUP(CONCATENATE(H149,F149,DA$2),Español!$A:$H,7,FALSE)=O149,1,0)</f>
        <v>#N/A</v>
      </c>
      <c r="DB149" s="138" t="e">
        <f>IF(VLOOKUP(CONCATENATE(H149,F149,DB$2),Español!$A:$H,7,FALSE)=P149,1,0)</f>
        <v>#N/A</v>
      </c>
      <c r="DC149" s="138" t="e">
        <f>IF(VLOOKUP(CONCATENATE(H149,F149,DC$2),Español!$A:$H,7,FALSE)=Q149,1,0)</f>
        <v>#N/A</v>
      </c>
      <c r="DD149" s="138" t="e">
        <f>IF(VLOOKUP(CONCATENATE(H149,F149,DD$2),Español!$A:$H,7,FALSE)=R149,1,0)</f>
        <v>#N/A</v>
      </c>
      <c r="DE149" s="138" t="e">
        <f>IF(VLOOKUP(CONCATENATE(H149,F149,DE$2),Español!$A:$H,7,FALSE)=S149,1,0)</f>
        <v>#N/A</v>
      </c>
      <c r="DF149" s="138" t="e">
        <f>IF(VLOOKUP(CONCATENATE(H149,F149,DF$2),Español!$A:$H,7,FALSE)=T149,1,0)</f>
        <v>#N/A</v>
      </c>
      <c r="DG149" s="138" t="e">
        <f>IF(VLOOKUP(CONCATENATE(H149,F149,DG$2),Español!$A:$H,7,FALSE)=U149,1,0)</f>
        <v>#N/A</v>
      </c>
      <c r="DH149" s="138" t="e">
        <f>IF(VLOOKUP(CONCATENATE(H149,F149,DH$2),Español!$A:$H,7,FALSE)=V149,1,0)</f>
        <v>#N/A</v>
      </c>
      <c r="DI149" s="138" t="e">
        <f>IF(VLOOKUP(CONCATENATE(H149,F149,DI$2),Español!$A:$H,7,FALSE)=W149,1,0)</f>
        <v>#N/A</v>
      </c>
      <c r="DJ149" s="138" t="e">
        <f>IF(VLOOKUP(CONCATENATE(H149,F149,DJ$2),Español!$A:$H,7,FALSE)=X149,1,0)</f>
        <v>#N/A</v>
      </c>
      <c r="DK149" s="138" t="e">
        <f>IF(VLOOKUP(CONCATENATE(H149,F149,DK$2),Español!$A:$H,7,FALSE)=Y149,1,0)</f>
        <v>#N/A</v>
      </c>
      <c r="DL149" s="138" t="e">
        <f>IF(VLOOKUP(CONCATENATE(H149,F149,DL$2),Español!$A:$H,7,FALSE)=Z149,1,0)</f>
        <v>#N/A</v>
      </c>
      <c r="DM149" s="138" t="e">
        <f>IF(VLOOKUP(CONCATENATE(H149,F149,DM$2),Español!$A:$H,7,FALSE)=AA149,1,0)</f>
        <v>#N/A</v>
      </c>
      <c r="DN149" s="138" t="e">
        <f>IF(VLOOKUP(CONCATENATE(H149,F149,DN$2),Español!$A:$H,7,FALSE)=AB149,1,0)</f>
        <v>#N/A</v>
      </c>
      <c r="DO149" s="138" t="e">
        <f>IF(VLOOKUP(CONCATENATE(H149,F149,DO$2),Español!$A:$H,7,FALSE)=AC149,1,0)</f>
        <v>#N/A</v>
      </c>
      <c r="DP149" s="138" t="e">
        <f>IF(VLOOKUP(CONCATENATE(H149,F149,DP$2),Español!$A:$H,7,FALSE)=AD149,1,0)</f>
        <v>#N/A</v>
      </c>
      <c r="DQ149" s="138" t="e">
        <f>IF(VLOOKUP(CONCATENATE(H149,F149,DQ$2),Español!$A:$H,7,FALSE)=AE149,1,0)</f>
        <v>#N/A</v>
      </c>
      <c r="DR149" s="138" t="e">
        <f>IF(VLOOKUP(CONCATENATE(H149,F149,DR$2),Inglés!$A:$H,7,FALSE)=AF149,1,0)</f>
        <v>#N/A</v>
      </c>
      <c r="DS149" s="138" t="e">
        <f>IF(VLOOKUP(CONCATENATE(H149,F149,DS$2),Inglés!$A:$H,7,FALSE)=AG149,1,0)</f>
        <v>#N/A</v>
      </c>
      <c r="DT149" s="138" t="e">
        <f>IF(VLOOKUP(CONCATENATE(H149,F149,DT$2),Inglés!$A:$H,7,FALSE)=AH149,1,0)</f>
        <v>#N/A</v>
      </c>
      <c r="DU149" s="138" t="e">
        <f>IF(VLOOKUP(CONCATENATE(H149,F149,DU$2),Inglés!$A:$H,7,FALSE)=AI149,1,0)</f>
        <v>#N/A</v>
      </c>
      <c r="DV149" s="138" t="e">
        <f>IF(VLOOKUP(CONCATENATE(H149,F149,DV$2),Inglés!$A:$H,7,FALSE)=AJ149,1,0)</f>
        <v>#N/A</v>
      </c>
      <c r="DW149" s="138" t="e">
        <f>IF(VLOOKUP(CONCATENATE(H149,F149,DW$2),Inglés!$A:$H,7,FALSE)=AK149,1,0)</f>
        <v>#N/A</v>
      </c>
      <c r="DX149" s="138" t="e">
        <f>IF(VLOOKUP(CONCATENATE(H149,F149,DX$2),Inglés!$A:$H,7,FALSE)=AL149,1,0)</f>
        <v>#N/A</v>
      </c>
      <c r="DY149" s="138" t="e">
        <f>IF(VLOOKUP(CONCATENATE(H149,F149,DY$2),Inglés!$A:$H,7,FALSE)=AM149,1,0)</f>
        <v>#N/A</v>
      </c>
      <c r="DZ149" s="138" t="e">
        <f>IF(VLOOKUP(CONCATENATE(H149,F149,DZ$2),Inglés!$A:$H,7,FALSE)=AN149,1,0)</f>
        <v>#N/A</v>
      </c>
      <c r="EA149" s="138" t="e">
        <f>IF(VLOOKUP(CONCATENATE(H149,F149,EA$2),Inglés!$A:$H,7,FALSE)=AO149,1,0)</f>
        <v>#N/A</v>
      </c>
      <c r="EB149" s="138" t="e">
        <f>IF(VLOOKUP(CONCATENATE(H149,F149,EB$2),Matemáticas!$A:$H,7,FALSE)=AP149,1,0)</f>
        <v>#N/A</v>
      </c>
      <c r="EC149" s="138" t="e">
        <f>IF(VLOOKUP(CONCATENATE(H149,F149,EC$2),Matemáticas!$A:$H,7,FALSE)=AQ149,1,0)</f>
        <v>#N/A</v>
      </c>
      <c r="ED149" s="138" t="e">
        <f>IF(VLOOKUP(CONCATENATE(H149,F149,ED$2),Matemáticas!$A:$H,7,FALSE)=AR149,1,0)</f>
        <v>#N/A</v>
      </c>
      <c r="EE149" s="138" t="e">
        <f>IF(VLOOKUP(CONCATENATE(H149,F149,EE$2),Matemáticas!$A:$H,7,FALSE)=AS149,1,0)</f>
        <v>#N/A</v>
      </c>
      <c r="EF149" s="138" t="e">
        <f>IF(VLOOKUP(CONCATENATE(H149,F149,EF$2),Matemáticas!$A:$H,7,FALSE)=AT149,1,0)</f>
        <v>#N/A</v>
      </c>
      <c r="EG149" s="138" t="e">
        <f>IF(VLOOKUP(CONCATENATE(H149,F149,EG$2),Matemáticas!$A:$H,7,FALSE)=AU149,1,0)</f>
        <v>#N/A</v>
      </c>
      <c r="EH149" s="138" t="e">
        <f>IF(VLOOKUP(CONCATENATE(H149,F149,EH$2),Matemáticas!$A:$H,7,FALSE)=AV149,1,0)</f>
        <v>#N/A</v>
      </c>
      <c r="EI149" s="138" t="e">
        <f>IF(VLOOKUP(CONCATENATE(H149,F149,EI$2),Matemáticas!$A:$H,7,FALSE)=AW149,1,0)</f>
        <v>#N/A</v>
      </c>
      <c r="EJ149" s="138" t="e">
        <f>IF(VLOOKUP(CONCATENATE(H149,F149,EJ$2),Matemáticas!$A:$H,7,FALSE)=AX149,1,0)</f>
        <v>#N/A</v>
      </c>
      <c r="EK149" s="138" t="e">
        <f>IF(VLOOKUP(CONCATENATE(H149,F149,EK$2),Matemáticas!$A:$H,7,FALSE)=AY149,1,0)</f>
        <v>#N/A</v>
      </c>
      <c r="EL149" s="138" t="e">
        <f>IF(VLOOKUP(CONCATENATE(H149,F149,EL$2),Matemáticas!$A:$H,7,FALSE)=AZ149,1,0)</f>
        <v>#N/A</v>
      </c>
      <c r="EM149" s="138" t="e">
        <f>IF(VLOOKUP(CONCATENATE(H149,F149,EM$2),Matemáticas!$A:$H,7,FALSE)=BA149,1,0)</f>
        <v>#N/A</v>
      </c>
      <c r="EN149" s="138" t="e">
        <f>IF(VLOOKUP(CONCATENATE(H149,F149,EN$2),Matemáticas!$A:$H,7,FALSE)=BB149,1,0)</f>
        <v>#N/A</v>
      </c>
      <c r="EO149" s="138" t="e">
        <f>IF(VLOOKUP(CONCATENATE(H149,F149,EO$2),Matemáticas!$A:$H,7,FALSE)=BC149,1,0)</f>
        <v>#N/A</v>
      </c>
      <c r="EP149" s="138" t="e">
        <f>IF(VLOOKUP(CONCATENATE(H149,F149,EP$2),Matemáticas!$A:$H,7,FALSE)=BD149,1,0)</f>
        <v>#N/A</v>
      </c>
      <c r="EQ149" s="138" t="e">
        <f>IF(VLOOKUP(CONCATENATE(H149,F149,EQ$2),Matemáticas!$A:$H,7,FALSE)=BE149,1,0)</f>
        <v>#N/A</v>
      </c>
      <c r="ER149" s="138" t="e">
        <f>IF(VLOOKUP(CONCATENATE(H149,F149,ER$2),Matemáticas!$A:$H,7,FALSE)=BF149,1,0)</f>
        <v>#N/A</v>
      </c>
      <c r="ES149" s="138" t="e">
        <f>IF(VLOOKUP(CONCATENATE(H149,F149,ES$2),Matemáticas!$A:$H,7,FALSE)=BG149,1,0)</f>
        <v>#N/A</v>
      </c>
      <c r="ET149" s="138" t="e">
        <f>IF(VLOOKUP(CONCATENATE(H149,F149,ET$2),Matemáticas!$A:$H,7,FALSE)=BH149,1,0)</f>
        <v>#N/A</v>
      </c>
      <c r="EU149" s="138" t="e">
        <f>IF(VLOOKUP(CONCATENATE(H149,F149,EU$2),Matemáticas!$A:$H,7,FALSE)=BI149,1,0)</f>
        <v>#N/A</v>
      </c>
      <c r="EV149" s="138" t="e">
        <f>IF(VLOOKUP(CONCATENATE(H149,F149,EV$2),Ciencias!$A:$H,7,FALSE)=BJ149,1,0)</f>
        <v>#N/A</v>
      </c>
      <c r="EW149" s="138" t="e">
        <f>IF(VLOOKUP(CONCATENATE(H149,F149,EW$2),Ciencias!$A:$H,7,FALSE)=BK149,1,0)</f>
        <v>#N/A</v>
      </c>
      <c r="EX149" s="138" t="e">
        <f>IF(VLOOKUP(CONCATENATE(H149,F149,EX$2),Ciencias!$A:$H,7,FALSE)=BL149,1,0)</f>
        <v>#N/A</v>
      </c>
      <c r="EY149" s="138" t="e">
        <f>IF(VLOOKUP(CONCATENATE(H149,F149,EY$2),Ciencias!$A:$H,7,FALSE)=BM149,1,0)</f>
        <v>#N/A</v>
      </c>
      <c r="EZ149" s="138" t="e">
        <f>IF(VLOOKUP(CONCATENATE(H149,F149,EZ$2),Ciencias!$A:$H,7,FALSE)=BN149,1,0)</f>
        <v>#N/A</v>
      </c>
      <c r="FA149" s="138" t="e">
        <f>IF(VLOOKUP(CONCATENATE(H149,F149,FA$2),Ciencias!$A:$H,7,FALSE)=BO149,1,0)</f>
        <v>#N/A</v>
      </c>
      <c r="FB149" s="138" t="e">
        <f>IF(VLOOKUP(CONCATENATE(H149,F149,FB$2),Ciencias!$A:$H,7,FALSE)=BP149,1,0)</f>
        <v>#N/A</v>
      </c>
      <c r="FC149" s="138" t="e">
        <f>IF(VLOOKUP(CONCATENATE(H149,F149,FC$2),Ciencias!$A:$H,7,FALSE)=BQ149,1,0)</f>
        <v>#N/A</v>
      </c>
      <c r="FD149" s="138" t="e">
        <f>IF(VLOOKUP(CONCATENATE(H149,F149,FD$2),Ciencias!$A:$H,7,FALSE)=BR149,1,0)</f>
        <v>#N/A</v>
      </c>
      <c r="FE149" s="138" t="e">
        <f>IF(VLOOKUP(CONCATENATE(H149,F149,FE$2),Ciencias!$A:$H,7,FALSE)=BS149,1,0)</f>
        <v>#N/A</v>
      </c>
      <c r="FF149" s="138" t="e">
        <f>IF(VLOOKUP(CONCATENATE(H149,F149,FF$2),Ciencias!$A:$H,7,FALSE)=BT149,1,0)</f>
        <v>#N/A</v>
      </c>
      <c r="FG149" s="138" t="e">
        <f>IF(VLOOKUP(CONCATENATE(H149,F149,FG$2),Ciencias!$A:$H,7,FALSE)=BU149,1,0)</f>
        <v>#N/A</v>
      </c>
      <c r="FH149" s="138" t="e">
        <f>IF(VLOOKUP(CONCATENATE(H149,F149,FH$2),Ciencias!$A:$H,7,FALSE)=BV149,1,0)</f>
        <v>#N/A</v>
      </c>
      <c r="FI149" s="138" t="e">
        <f>IF(VLOOKUP(CONCATENATE(H149,F149,FI$2),Ciencias!$A:$H,7,FALSE)=BW149,1,0)</f>
        <v>#N/A</v>
      </c>
      <c r="FJ149" s="138" t="e">
        <f>IF(VLOOKUP(CONCATENATE(H149,F149,FJ$2),Ciencias!$A:$H,7,FALSE)=BX149,1,0)</f>
        <v>#N/A</v>
      </c>
      <c r="FK149" s="138" t="e">
        <f>IF(VLOOKUP(CONCATENATE(H149,F149,FK$2),Ciencias!$A:$H,7,FALSE)=BY149,1,0)</f>
        <v>#N/A</v>
      </c>
      <c r="FL149" s="138" t="e">
        <f>IF(VLOOKUP(CONCATENATE(H149,F149,FL$2),Ciencias!$A:$H,7,FALSE)=BZ149,1,0)</f>
        <v>#N/A</v>
      </c>
      <c r="FM149" s="138" t="e">
        <f>IF(VLOOKUP(CONCATENATE(H149,F149,FM$2),Ciencias!$A:$H,7,FALSE)=CA149,1,0)</f>
        <v>#N/A</v>
      </c>
      <c r="FN149" s="138" t="e">
        <f>IF(VLOOKUP(CONCATENATE(H149,F149,FN$2),Ciencias!$A:$H,7,FALSE)=CB149,1,0)</f>
        <v>#N/A</v>
      </c>
      <c r="FO149" s="138" t="e">
        <f>IF(VLOOKUP(CONCATENATE(H149,F149,FO$2),Ciencias!$A:$H,7,FALSE)=CC149,1,0)</f>
        <v>#N/A</v>
      </c>
      <c r="FP149" s="138" t="e">
        <f>IF(VLOOKUP(CONCATENATE(H149,F149,FP$2),GeoHis!$A:$H,7,FALSE)=CD149,1,0)</f>
        <v>#N/A</v>
      </c>
      <c r="FQ149" s="138" t="e">
        <f>IF(VLOOKUP(CONCATENATE(H149,F149,FQ$2),GeoHis!$A:$H,7,FALSE)=CE149,1,0)</f>
        <v>#N/A</v>
      </c>
      <c r="FR149" s="138" t="e">
        <f>IF(VLOOKUP(CONCATENATE(H149,F149,FR$2),GeoHis!$A:$H,7,FALSE)=CF149,1,0)</f>
        <v>#N/A</v>
      </c>
      <c r="FS149" s="138" t="e">
        <f>IF(VLOOKUP(CONCATENATE(H149,F149,FS$2),GeoHis!$A:$H,7,FALSE)=CG149,1,0)</f>
        <v>#N/A</v>
      </c>
      <c r="FT149" s="138" t="e">
        <f>IF(VLOOKUP(CONCATENATE(H149,F149,FT$2),GeoHis!$A:$H,7,FALSE)=CH149,1,0)</f>
        <v>#N/A</v>
      </c>
      <c r="FU149" s="138" t="e">
        <f>IF(VLOOKUP(CONCATENATE(H149,F149,FU$2),GeoHis!$A:$H,7,FALSE)=CI149,1,0)</f>
        <v>#N/A</v>
      </c>
      <c r="FV149" s="138" t="e">
        <f>IF(VLOOKUP(CONCATENATE(H149,F149,FV$2),GeoHis!$A:$H,7,FALSE)=CJ149,1,0)</f>
        <v>#N/A</v>
      </c>
      <c r="FW149" s="138" t="e">
        <f>IF(VLOOKUP(CONCATENATE(H149,F149,FW$2),GeoHis!$A:$H,7,FALSE)=CK149,1,0)</f>
        <v>#N/A</v>
      </c>
      <c r="FX149" s="138" t="e">
        <f>IF(VLOOKUP(CONCATENATE(H149,F149,FX$2),GeoHis!$A:$H,7,FALSE)=CL149,1,0)</f>
        <v>#N/A</v>
      </c>
      <c r="FY149" s="138" t="e">
        <f>IF(VLOOKUP(CONCATENATE(H149,F149,FY$2),GeoHis!$A:$H,7,FALSE)=CM149,1,0)</f>
        <v>#N/A</v>
      </c>
      <c r="FZ149" s="138" t="e">
        <f>IF(VLOOKUP(CONCATENATE(H149,F149,FZ$2),GeoHis!$A:$H,7,FALSE)=CN149,1,0)</f>
        <v>#N/A</v>
      </c>
      <c r="GA149" s="138" t="e">
        <f>IF(VLOOKUP(CONCATENATE(H149,F149,GA$2),GeoHis!$A:$H,7,FALSE)=CO149,1,0)</f>
        <v>#N/A</v>
      </c>
      <c r="GB149" s="138" t="e">
        <f>IF(VLOOKUP(CONCATENATE(H149,F149,GB$2),GeoHis!$A:$H,7,FALSE)=CP149,1,0)</f>
        <v>#N/A</v>
      </c>
      <c r="GC149" s="138" t="e">
        <f>IF(VLOOKUP(CONCATENATE(H149,F149,GC$2),GeoHis!$A:$H,7,FALSE)=CQ149,1,0)</f>
        <v>#N/A</v>
      </c>
      <c r="GD149" s="138" t="e">
        <f>IF(VLOOKUP(CONCATENATE(H149,F149,GD$2),GeoHis!$A:$H,7,FALSE)=CR149,1,0)</f>
        <v>#N/A</v>
      </c>
      <c r="GE149" s="135" t="str">
        <f t="shared" si="23"/>
        <v/>
      </c>
    </row>
    <row r="150" spans="1:187" x14ac:dyDescent="0.25">
      <c r="A150" s="127" t="str">
        <f>IF(C150="","",'Datos Generales'!$A$25)</f>
        <v/>
      </c>
      <c r="D150" s="126" t="str">
        <f t="shared" si="16"/>
        <v/>
      </c>
      <c r="E150" s="126">
        <f t="shared" si="17"/>
        <v>0</v>
      </c>
      <c r="F150" s="126" t="str">
        <f t="shared" si="18"/>
        <v/>
      </c>
      <c r="G150" s="126" t="str">
        <f>IF(C150="","",'Datos Generales'!$D$19)</f>
        <v/>
      </c>
      <c r="H150" s="21" t="str">
        <f>IF(C150="","",'Datos Generales'!$A$19)</f>
        <v/>
      </c>
      <c r="I150" s="126" t="str">
        <f>IF(C150="","",'Datos Generales'!$A$7)</f>
        <v/>
      </c>
      <c r="J150" s="21" t="str">
        <f>IF(C150="","",'Datos Generales'!$A$13)</f>
        <v/>
      </c>
      <c r="K150" s="21" t="str">
        <f>IF(C150="","",'Datos Generales'!$A$10)</f>
        <v/>
      </c>
      <c r="CS150" s="142" t="str">
        <f t="shared" si="19"/>
        <v/>
      </c>
      <c r="CT150" s="142" t="str">
        <f t="shared" si="20"/>
        <v/>
      </c>
      <c r="CU150" s="142" t="str">
        <f t="shared" si="21"/>
        <v/>
      </c>
      <c r="CV150" s="142" t="str">
        <f t="shared" si="22"/>
        <v/>
      </c>
      <c r="CW150" s="142" t="str">
        <f>IF(C150="","",IF('Datos Generales'!$A$19=1,AVERAGE(FP150:GD150),AVERAGE(Captura!FP150:FY150)))</f>
        <v/>
      </c>
      <c r="CX150" s="138" t="e">
        <f>IF(VLOOKUP(CONCATENATE($H$4,$F$4,CX$2),Español!$A:$H,7,FALSE)=L150,1,0)</f>
        <v>#N/A</v>
      </c>
      <c r="CY150" s="138" t="e">
        <f>IF(VLOOKUP(CONCATENATE(H150,F150,CY$2),Español!$A:$H,7,FALSE)=M150,1,0)</f>
        <v>#N/A</v>
      </c>
      <c r="CZ150" s="138" t="e">
        <f>IF(VLOOKUP(CONCATENATE(H150,F150,CZ$2),Español!$A:$H,7,FALSE)=N150,1,0)</f>
        <v>#N/A</v>
      </c>
      <c r="DA150" s="138" t="e">
        <f>IF(VLOOKUP(CONCATENATE(H150,F150,DA$2),Español!$A:$H,7,FALSE)=O150,1,0)</f>
        <v>#N/A</v>
      </c>
      <c r="DB150" s="138" t="e">
        <f>IF(VLOOKUP(CONCATENATE(H150,F150,DB$2),Español!$A:$H,7,FALSE)=P150,1,0)</f>
        <v>#N/A</v>
      </c>
      <c r="DC150" s="138" t="e">
        <f>IF(VLOOKUP(CONCATENATE(H150,F150,DC$2),Español!$A:$H,7,FALSE)=Q150,1,0)</f>
        <v>#N/A</v>
      </c>
      <c r="DD150" s="138" t="e">
        <f>IF(VLOOKUP(CONCATENATE(H150,F150,DD$2),Español!$A:$H,7,FALSE)=R150,1,0)</f>
        <v>#N/A</v>
      </c>
      <c r="DE150" s="138" t="e">
        <f>IF(VLOOKUP(CONCATENATE(H150,F150,DE$2),Español!$A:$H,7,FALSE)=S150,1,0)</f>
        <v>#N/A</v>
      </c>
      <c r="DF150" s="138" t="e">
        <f>IF(VLOOKUP(CONCATENATE(H150,F150,DF$2),Español!$A:$H,7,FALSE)=T150,1,0)</f>
        <v>#N/A</v>
      </c>
      <c r="DG150" s="138" t="e">
        <f>IF(VLOOKUP(CONCATENATE(H150,F150,DG$2),Español!$A:$H,7,FALSE)=U150,1,0)</f>
        <v>#N/A</v>
      </c>
      <c r="DH150" s="138" t="e">
        <f>IF(VLOOKUP(CONCATENATE(H150,F150,DH$2),Español!$A:$H,7,FALSE)=V150,1,0)</f>
        <v>#N/A</v>
      </c>
      <c r="DI150" s="138" t="e">
        <f>IF(VLOOKUP(CONCATENATE(H150,F150,DI$2),Español!$A:$H,7,FALSE)=W150,1,0)</f>
        <v>#N/A</v>
      </c>
      <c r="DJ150" s="138" t="e">
        <f>IF(VLOOKUP(CONCATENATE(H150,F150,DJ$2),Español!$A:$H,7,FALSE)=X150,1,0)</f>
        <v>#N/A</v>
      </c>
      <c r="DK150" s="138" t="e">
        <f>IF(VLOOKUP(CONCATENATE(H150,F150,DK$2),Español!$A:$H,7,FALSE)=Y150,1,0)</f>
        <v>#N/A</v>
      </c>
      <c r="DL150" s="138" t="e">
        <f>IF(VLOOKUP(CONCATENATE(H150,F150,DL$2),Español!$A:$H,7,FALSE)=Z150,1,0)</f>
        <v>#N/A</v>
      </c>
      <c r="DM150" s="138" t="e">
        <f>IF(VLOOKUP(CONCATENATE(H150,F150,DM$2),Español!$A:$H,7,FALSE)=AA150,1,0)</f>
        <v>#N/A</v>
      </c>
      <c r="DN150" s="138" t="e">
        <f>IF(VLOOKUP(CONCATENATE(H150,F150,DN$2),Español!$A:$H,7,FALSE)=AB150,1,0)</f>
        <v>#N/A</v>
      </c>
      <c r="DO150" s="138" t="e">
        <f>IF(VLOOKUP(CONCATENATE(H150,F150,DO$2),Español!$A:$H,7,FALSE)=AC150,1,0)</f>
        <v>#N/A</v>
      </c>
      <c r="DP150" s="138" t="e">
        <f>IF(VLOOKUP(CONCATENATE(H150,F150,DP$2),Español!$A:$H,7,FALSE)=AD150,1,0)</f>
        <v>#N/A</v>
      </c>
      <c r="DQ150" s="138" t="e">
        <f>IF(VLOOKUP(CONCATENATE(H150,F150,DQ$2),Español!$A:$H,7,FALSE)=AE150,1,0)</f>
        <v>#N/A</v>
      </c>
      <c r="DR150" s="138" t="e">
        <f>IF(VLOOKUP(CONCATENATE(H150,F150,DR$2),Inglés!$A:$H,7,FALSE)=AF150,1,0)</f>
        <v>#N/A</v>
      </c>
      <c r="DS150" s="138" t="e">
        <f>IF(VLOOKUP(CONCATENATE(H150,F150,DS$2),Inglés!$A:$H,7,FALSE)=AG150,1,0)</f>
        <v>#N/A</v>
      </c>
      <c r="DT150" s="138" t="e">
        <f>IF(VLOOKUP(CONCATENATE(H150,F150,DT$2),Inglés!$A:$H,7,FALSE)=AH150,1,0)</f>
        <v>#N/A</v>
      </c>
      <c r="DU150" s="138" t="e">
        <f>IF(VLOOKUP(CONCATENATE(H150,F150,DU$2),Inglés!$A:$H,7,FALSE)=AI150,1,0)</f>
        <v>#N/A</v>
      </c>
      <c r="DV150" s="138" t="e">
        <f>IF(VLOOKUP(CONCATENATE(H150,F150,DV$2),Inglés!$A:$H,7,FALSE)=AJ150,1,0)</f>
        <v>#N/A</v>
      </c>
      <c r="DW150" s="138" t="e">
        <f>IF(VLOOKUP(CONCATENATE(H150,F150,DW$2),Inglés!$A:$H,7,FALSE)=AK150,1,0)</f>
        <v>#N/A</v>
      </c>
      <c r="DX150" s="138" t="e">
        <f>IF(VLOOKUP(CONCATENATE(H150,F150,DX$2),Inglés!$A:$H,7,FALSE)=AL150,1,0)</f>
        <v>#N/A</v>
      </c>
      <c r="DY150" s="138" t="e">
        <f>IF(VLOOKUP(CONCATENATE(H150,F150,DY$2),Inglés!$A:$H,7,FALSE)=AM150,1,0)</f>
        <v>#N/A</v>
      </c>
      <c r="DZ150" s="138" t="e">
        <f>IF(VLOOKUP(CONCATENATE(H150,F150,DZ$2),Inglés!$A:$H,7,FALSE)=AN150,1,0)</f>
        <v>#N/A</v>
      </c>
      <c r="EA150" s="138" t="e">
        <f>IF(VLOOKUP(CONCATENATE(H150,F150,EA$2),Inglés!$A:$H,7,FALSE)=AO150,1,0)</f>
        <v>#N/A</v>
      </c>
      <c r="EB150" s="138" t="e">
        <f>IF(VLOOKUP(CONCATENATE(H150,F150,EB$2),Matemáticas!$A:$H,7,FALSE)=AP150,1,0)</f>
        <v>#N/A</v>
      </c>
      <c r="EC150" s="138" t="e">
        <f>IF(VLOOKUP(CONCATENATE(H150,F150,EC$2),Matemáticas!$A:$H,7,FALSE)=AQ150,1,0)</f>
        <v>#N/A</v>
      </c>
      <c r="ED150" s="138" t="e">
        <f>IF(VLOOKUP(CONCATENATE(H150,F150,ED$2),Matemáticas!$A:$H,7,FALSE)=AR150,1,0)</f>
        <v>#N/A</v>
      </c>
      <c r="EE150" s="138" t="e">
        <f>IF(VLOOKUP(CONCATENATE(H150,F150,EE$2),Matemáticas!$A:$H,7,FALSE)=AS150,1,0)</f>
        <v>#N/A</v>
      </c>
      <c r="EF150" s="138" t="e">
        <f>IF(VLOOKUP(CONCATENATE(H150,F150,EF$2),Matemáticas!$A:$H,7,FALSE)=AT150,1,0)</f>
        <v>#N/A</v>
      </c>
      <c r="EG150" s="138" t="e">
        <f>IF(VLOOKUP(CONCATENATE(H150,F150,EG$2),Matemáticas!$A:$H,7,FALSE)=AU150,1,0)</f>
        <v>#N/A</v>
      </c>
      <c r="EH150" s="138" t="e">
        <f>IF(VLOOKUP(CONCATENATE(H150,F150,EH$2),Matemáticas!$A:$H,7,FALSE)=AV150,1,0)</f>
        <v>#N/A</v>
      </c>
      <c r="EI150" s="138" t="e">
        <f>IF(VLOOKUP(CONCATENATE(H150,F150,EI$2),Matemáticas!$A:$H,7,FALSE)=AW150,1,0)</f>
        <v>#N/A</v>
      </c>
      <c r="EJ150" s="138" t="e">
        <f>IF(VLOOKUP(CONCATENATE(H150,F150,EJ$2),Matemáticas!$A:$H,7,FALSE)=AX150,1,0)</f>
        <v>#N/A</v>
      </c>
      <c r="EK150" s="138" t="e">
        <f>IF(VLOOKUP(CONCATENATE(H150,F150,EK$2),Matemáticas!$A:$H,7,FALSE)=AY150,1,0)</f>
        <v>#N/A</v>
      </c>
      <c r="EL150" s="138" t="e">
        <f>IF(VLOOKUP(CONCATENATE(H150,F150,EL$2),Matemáticas!$A:$H,7,FALSE)=AZ150,1,0)</f>
        <v>#N/A</v>
      </c>
      <c r="EM150" s="138" t="e">
        <f>IF(VLOOKUP(CONCATENATE(H150,F150,EM$2),Matemáticas!$A:$H,7,FALSE)=BA150,1,0)</f>
        <v>#N/A</v>
      </c>
      <c r="EN150" s="138" t="e">
        <f>IF(VLOOKUP(CONCATENATE(H150,F150,EN$2),Matemáticas!$A:$H,7,FALSE)=BB150,1,0)</f>
        <v>#N/A</v>
      </c>
      <c r="EO150" s="138" t="e">
        <f>IF(VLOOKUP(CONCATENATE(H150,F150,EO$2),Matemáticas!$A:$H,7,FALSE)=BC150,1,0)</f>
        <v>#N/A</v>
      </c>
      <c r="EP150" s="138" t="e">
        <f>IF(VLOOKUP(CONCATENATE(H150,F150,EP$2),Matemáticas!$A:$H,7,FALSE)=BD150,1,0)</f>
        <v>#N/A</v>
      </c>
      <c r="EQ150" s="138" t="e">
        <f>IF(VLOOKUP(CONCATENATE(H150,F150,EQ$2),Matemáticas!$A:$H,7,FALSE)=BE150,1,0)</f>
        <v>#N/A</v>
      </c>
      <c r="ER150" s="138" t="e">
        <f>IF(VLOOKUP(CONCATENATE(H150,F150,ER$2),Matemáticas!$A:$H,7,FALSE)=BF150,1,0)</f>
        <v>#N/A</v>
      </c>
      <c r="ES150" s="138" t="e">
        <f>IF(VLOOKUP(CONCATENATE(H150,F150,ES$2),Matemáticas!$A:$H,7,FALSE)=BG150,1,0)</f>
        <v>#N/A</v>
      </c>
      <c r="ET150" s="138" t="e">
        <f>IF(VLOOKUP(CONCATENATE(H150,F150,ET$2),Matemáticas!$A:$H,7,FALSE)=BH150,1,0)</f>
        <v>#N/A</v>
      </c>
      <c r="EU150" s="138" t="e">
        <f>IF(VLOOKUP(CONCATENATE(H150,F150,EU$2),Matemáticas!$A:$H,7,FALSE)=BI150,1,0)</f>
        <v>#N/A</v>
      </c>
      <c r="EV150" s="138" t="e">
        <f>IF(VLOOKUP(CONCATENATE(H150,F150,EV$2),Ciencias!$A:$H,7,FALSE)=BJ150,1,0)</f>
        <v>#N/A</v>
      </c>
      <c r="EW150" s="138" t="e">
        <f>IF(VLOOKUP(CONCATENATE(H150,F150,EW$2),Ciencias!$A:$H,7,FALSE)=BK150,1,0)</f>
        <v>#N/A</v>
      </c>
      <c r="EX150" s="138" t="e">
        <f>IF(VLOOKUP(CONCATENATE(H150,F150,EX$2),Ciencias!$A:$H,7,FALSE)=BL150,1,0)</f>
        <v>#N/A</v>
      </c>
      <c r="EY150" s="138" t="e">
        <f>IF(VLOOKUP(CONCATENATE(H150,F150,EY$2),Ciencias!$A:$H,7,FALSE)=BM150,1,0)</f>
        <v>#N/A</v>
      </c>
      <c r="EZ150" s="138" t="e">
        <f>IF(VLOOKUP(CONCATENATE(H150,F150,EZ$2),Ciencias!$A:$H,7,FALSE)=BN150,1,0)</f>
        <v>#N/A</v>
      </c>
      <c r="FA150" s="138" t="e">
        <f>IF(VLOOKUP(CONCATENATE(H150,F150,FA$2),Ciencias!$A:$H,7,FALSE)=BO150,1,0)</f>
        <v>#N/A</v>
      </c>
      <c r="FB150" s="138" t="e">
        <f>IF(VLOOKUP(CONCATENATE(H150,F150,FB$2),Ciencias!$A:$H,7,FALSE)=BP150,1,0)</f>
        <v>#N/A</v>
      </c>
      <c r="FC150" s="138" t="e">
        <f>IF(VLOOKUP(CONCATENATE(H150,F150,FC$2),Ciencias!$A:$H,7,FALSE)=BQ150,1,0)</f>
        <v>#N/A</v>
      </c>
      <c r="FD150" s="138" t="e">
        <f>IF(VLOOKUP(CONCATENATE(H150,F150,FD$2),Ciencias!$A:$H,7,FALSE)=BR150,1,0)</f>
        <v>#N/A</v>
      </c>
      <c r="FE150" s="138" t="e">
        <f>IF(VLOOKUP(CONCATENATE(H150,F150,FE$2),Ciencias!$A:$H,7,FALSE)=BS150,1,0)</f>
        <v>#N/A</v>
      </c>
      <c r="FF150" s="138" t="e">
        <f>IF(VLOOKUP(CONCATENATE(H150,F150,FF$2),Ciencias!$A:$H,7,FALSE)=BT150,1,0)</f>
        <v>#N/A</v>
      </c>
      <c r="FG150" s="138" t="e">
        <f>IF(VLOOKUP(CONCATENATE(H150,F150,FG$2),Ciencias!$A:$H,7,FALSE)=BU150,1,0)</f>
        <v>#N/A</v>
      </c>
      <c r="FH150" s="138" t="e">
        <f>IF(VLOOKUP(CONCATENATE(H150,F150,FH$2),Ciencias!$A:$H,7,FALSE)=BV150,1,0)</f>
        <v>#N/A</v>
      </c>
      <c r="FI150" s="138" t="e">
        <f>IF(VLOOKUP(CONCATENATE(H150,F150,FI$2),Ciencias!$A:$H,7,FALSE)=BW150,1,0)</f>
        <v>#N/A</v>
      </c>
      <c r="FJ150" s="138" t="e">
        <f>IF(VLOOKUP(CONCATENATE(H150,F150,FJ$2),Ciencias!$A:$H,7,FALSE)=BX150,1,0)</f>
        <v>#N/A</v>
      </c>
      <c r="FK150" s="138" t="e">
        <f>IF(VLOOKUP(CONCATENATE(H150,F150,FK$2),Ciencias!$A:$H,7,FALSE)=BY150,1,0)</f>
        <v>#N/A</v>
      </c>
      <c r="FL150" s="138" t="e">
        <f>IF(VLOOKUP(CONCATENATE(H150,F150,FL$2),Ciencias!$A:$H,7,FALSE)=BZ150,1,0)</f>
        <v>#N/A</v>
      </c>
      <c r="FM150" s="138" t="e">
        <f>IF(VLOOKUP(CONCATENATE(H150,F150,FM$2),Ciencias!$A:$H,7,FALSE)=CA150,1,0)</f>
        <v>#N/A</v>
      </c>
      <c r="FN150" s="138" t="e">
        <f>IF(VLOOKUP(CONCATENATE(H150,F150,FN$2),Ciencias!$A:$H,7,FALSE)=CB150,1,0)</f>
        <v>#N/A</v>
      </c>
      <c r="FO150" s="138" t="e">
        <f>IF(VLOOKUP(CONCATENATE(H150,F150,FO$2),Ciencias!$A:$H,7,FALSE)=CC150,1,0)</f>
        <v>#N/A</v>
      </c>
      <c r="FP150" s="138" t="e">
        <f>IF(VLOOKUP(CONCATENATE(H150,F150,FP$2),GeoHis!$A:$H,7,FALSE)=CD150,1,0)</f>
        <v>#N/A</v>
      </c>
      <c r="FQ150" s="138" t="e">
        <f>IF(VLOOKUP(CONCATENATE(H150,F150,FQ$2),GeoHis!$A:$H,7,FALSE)=CE150,1,0)</f>
        <v>#N/A</v>
      </c>
      <c r="FR150" s="138" t="e">
        <f>IF(VLOOKUP(CONCATENATE(H150,F150,FR$2),GeoHis!$A:$H,7,FALSE)=CF150,1,0)</f>
        <v>#N/A</v>
      </c>
      <c r="FS150" s="138" t="e">
        <f>IF(VLOOKUP(CONCATENATE(H150,F150,FS$2),GeoHis!$A:$H,7,FALSE)=CG150,1,0)</f>
        <v>#N/A</v>
      </c>
      <c r="FT150" s="138" t="e">
        <f>IF(VLOOKUP(CONCATENATE(H150,F150,FT$2),GeoHis!$A:$H,7,FALSE)=CH150,1,0)</f>
        <v>#N/A</v>
      </c>
      <c r="FU150" s="138" t="e">
        <f>IF(VLOOKUP(CONCATENATE(H150,F150,FU$2),GeoHis!$A:$H,7,FALSE)=CI150,1,0)</f>
        <v>#N/A</v>
      </c>
      <c r="FV150" s="138" t="e">
        <f>IF(VLOOKUP(CONCATENATE(H150,F150,FV$2),GeoHis!$A:$H,7,FALSE)=CJ150,1,0)</f>
        <v>#N/A</v>
      </c>
      <c r="FW150" s="138" t="e">
        <f>IF(VLOOKUP(CONCATENATE(H150,F150,FW$2),GeoHis!$A:$H,7,FALSE)=CK150,1,0)</f>
        <v>#N/A</v>
      </c>
      <c r="FX150" s="138" t="e">
        <f>IF(VLOOKUP(CONCATENATE(H150,F150,FX$2),GeoHis!$A:$H,7,FALSE)=CL150,1,0)</f>
        <v>#N/A</v>
      </c>
      <c r="FY150" s="138" t="e">
        <f>IF(VLOOKUP(CONCATENATE(H150,F150,FY$2),GeoHis!$A:$H,7,FALSE)=CM150,1,0)</f>
        <v>#N/A</v>
      </c>
      <c r="FZ150" s="138" t="e">
        <f>IF(VLOOKUP(CONCATENATE(H150,F150,FZ$2),GeoHis!$A:$H,7,FALSE)=CN150,1,0)</f>
        <v>#N/A</v>
      </c>
      <c r="GA150" s="138" t="e">
        <f>IF(VLOOKUP(CONCATENATE(H150,F150,GA$2),GeoHis!$A:$H,7,FALSE)=CO150,1,0)</f>
        <v>#N/A</v>
      </c>
      <c r="GB150" s="138" t="e">
        <f>IF(VLOOKUP(CONCATENATE(H150,F150,GB$2),GeoHis!$A:$H,7,FALSE)=CP150,1,0)</f>
        <v>#N/A</v>
      </c>
      <c r="GC150" s="138" t="e">
        <f>IF(VLOOKUP(CONCATENATE(H150,F150,GC$2),GeoHis!$A:$H,7,FALSE)=CQ150,1,0)</f>
        <v>#N/A</v>
      </c>
      <c r="GD150" s="138" t="e">
        <f>IF(VLOOKUP(CONCATENATE(H150,F150,GD$2),GeoHis!$A:$H,7,FALSE)=CR150,1,0)</f>
        <v>#N/A</v>
      </c>
      <c r="GE150" s="135" t="str">
        <f t="shared" si="23"/>
        <v/>
      </c>
    </row>
    <row r="151" spans="1:187" x14ac:dyDescent="0.25">
      <c r="A151" s="127" t="str">
        <f>IF(C151="","",'Datos Generales'!$A$25)</f>
        <v/>
      </c>
      <c r="D151" s="126" t="str">
        <f t="shared" si="16"/>
        <v/>
      </c>
      <c r="E151" s="126">
        <f t="shared" si="17"/>
        <v>0</v>
      </c>
      <c r="F151" s="126" t="str">
        <f t="shared" si="18"/>
        <v/>
      </c>
      <c r="G151" s="126" t="str">
        <f>IF(C151="","",'Datos Generales'!$D$19)</f>
        <v/>
      </c>
      <c r="H151" s="21" t="str">
        <f>IF(C151="","",'Datos Generales'!$A$19)</f>
        <v/>
      </c>
      <c r="I151" s="126" t="str">
        <f>IF(C151="","",'Datos Generales'!$A$7)</f>
        <v/>
      </c>
      <c r="J151" s="21" t="str">
        <f>IF(C151="","",'Datos Generales'!$A$13)</f>
        <v/>
      </c>
      <c r="K151" s="21" t="str">
        <f>IF(C151="","",'Datos Generales'!$A$10)</f>
        <v/>
      </c>
      <c r="CS151" s="142" t="str">
        <f t="shared" si="19"/>
        <v/>
      </c>
      <c r="CT151" s="142" t="str">
        <f t="shared" si="20"/>
        <v/>
      </c>
      <c r="CU151" s="142" t="str">
        <f t="shared" si="21"/>
        <v/>
      </c>
      <c r="CV151" s="142" t="str">
        <f t="shared" si="22"/>
        <v/>
      </c>
      <c r="CW151" s="142" t="str">
        <f>IF(C151="","",IF('Datos Generales'!$A$19=1,AVERAGE(FP151:GD151),AVERAGE(Captura!FP151:FY151)))</f>
        <v/>
      </c>
      <c r="CX151" s="138" t="e">
        <f>IF(VLOOKUP(CONCATENATE($H$4,$F$4,CX$2),Español!$A:$H,7,FALSE)=L151,1,0)</f>
        <v>#N/A</v>
      </c>
      <c r="CY151" s="138" t="e">
        <f>IF(VLOOKUP(CONCATENATE(H151,F151,CY$2),Español!$A:$H,7,FALSE)=M151,1,0)</f>
        <v>#N/A</v>
      </c>
      <c r="CZ151" s="138" t="e">
        <f>IF(VLOOKUP(CONCATENATE(H151,F151,CZ$2),Español!$A:$H,7,FALSE)=N151,1,0)</f>
        <v>#N/A</v>
      </c>
      <c r="DA151" s="138" t="e">
        <f>IF(VLOOKUP(CONCATENATE(H151,F151,DA$2),Español!$A:$H,7,FALSE)=O151,1,0)</f>
        <v>#N/A</v>
      </c>
      <c r="DB151" s="138" t="e">
        <f>IF(VLOOKUP(CONCATENATE(H151,F151,DB$2),Español!$A:$H,7,FALSE)=P151,1,0)</f>
        <v>#N/A</v>
      </c>
      <c r="DC151" s="138" t="e">
        <f>IF(VLOOKUP(CONCATENATE(H151,F151,DC$2),Español!$A:$H,7,FALSE)=Q151,1,0)</f>
        <v>#N/A</v>
      </c>
      <c r="DD151" s="138" t="e">
        <f>IF(VLOOKUP(CONCATENATE(H151,F151,DD$2),Español!$A:$H,7,FALSE)=R151,1,0)</f>
        <v>#N/A</v>
      </c>
      <c r="DE151" s="138" t="e">
        <f>IF(VLOOKUP(CONCATENATE(H151,F151,DE$2),Español!$A:$H,7,FALSE)=S151,1,0)</f>
        <v>#N/A</v>
      </c>
      <c r="DF151" s="138" t="e">
        <f>IF(VLOOKUP(CONCATENATE(H151,F151,DF$2),Español!$A:$H,7,FALSE)=T151,1,0)</f>
        <v>#N/A</v>
      </c>
      <c r="DG151" s="138" t="e">
        <f>IF(VLOOKUP(CONCATENATE(H151,F151,DG$2),Español!$A:$H,7,FALSE)=U151,1,0)</f>
        <v>#N/A</v>
      </c>
      <c r="DH151" s="138" t="e">
        <f>IF(VLOOKUP(CONCATENATE(H151,F151,DH$2),Español!$A:$H,7,FALSE)=V151,1,0)</f>
        <v>#N/A</v>
      </c>
      <c r="DI151" s="138" t="e">
        <f>IF(VLOOKUP(CONCATENATE(H151,F151,DI$2),Español!$A:$H,7,FALSE)=W151,1,0)</f>
        <v>#N/A</v>
      </c>
      <c r="DJ151" s="138" t="e">
        <f>IF(VLOOKUP(CONCATENATE(H151,F151,DJ$2),Español!$A:$H,7,FALSE)=X151,1,0)</f>
        <v>#N/A</v>
      </c>
      <c r="DK151" s="138" t="e">
        <f>IF(VLOOKUP(CONCATENATE(H151,F151,DK$2),Español!$A:$H,7,FALSE)=Y151,1,0)</f>
        <v>#N/A</v>
      </c>
      <c r="DL151" s="138" t="e">
        <f>IF(VLOOKUP(CONCATENATE(H151,F151,DL$2),Español!$A:$H,7,FALSE)=Z151,1,0)</f>
        <v>#N/A</v>
      </c>
      <c r="DM151" s="138" t="e">
        <f>IF(VLOOKUP(CONCATENATE(H151,F151,DM$2),Español!$A:$H,7,FALSE)=AA151,1,0)</f>
        <v>#N/A</v>
      </c>
      <c r="DN151" s="138" t="e">
        <f>IF(VLOOKUP(CONCATENATE(H151,F151,DN$2),Español!$A:$H,7,FALSE)=AB151,1,0)</f>
        <v>#N/A</v>
      </c>
      <c r="DO151" s="138" t="e">
        <f>IF(VLOOKUP(CONCATENATE(H151,F151,DO$2),Español!$A:$H,7,FALSE)=AC151,1,0)</f>
        <v>#N/A</v>
      </c>
      <c r="DP151" s="138" t="e">
        <f>IF(VLOOKUP(CONCATENATE(H151,F151,DP$2),Español!$A:$H,7,FALSE)=AD151,1,0)</f>
        <v>#N/A</v>
      </c>
      <c r="DQ151" s="138" t="e">
        <f>IF(VLOOKUP(CONCATENATE(H151,F151,DQ$2),Español!$A:$H,7,FALSE)=AE151,1,0)</f>
        <v>#N/A</v>
      </c>
      <c r="DR151" s="138" t="e">
        <f>IF(VLOOKUP(CONCATENATE(H151,F151,DR$2),Inglés!$A:$H,7,FALSE)=AF151,1,0)</f>
        <v>#N/A</v>
      </c>
      <c r="DS151" s="138" t="e">
        <f>IF(VLOOKUP(CONCATENATE(H151,F151,DS$2),Inglés!$A:$H,7,FALSE)=AG151,1,0)</f>
        <v>#N/A</v>
      </c>
      <c r="DT151" s="138" t="e">
        <f>IF(VLOOKUP(CONCATENATE(H151,F151,DT$2),Inglés!$A:$H,7,FALSE)=AH151,1,0)</f>
        <v>#N/A</v>
      </c>
      <c r="DU151" s="138" t="e">
        <f>IF(VLOOKUP(CONCATENATE(H151,F151,DU$2),Inglés!$A:$H,7,FALSE)=AI151,1,0)</f>
        <v>#N/A</v>
      </c>
      <c r="DV151" s="138" t="e">
        <f>IF(VLOOKUP(CONCATENATE(H151,F151,DV$2),Inglés!$A:$H,7,FALSE)=AJ151,1,0)</f>
        <v>#N/A</v>
      </c>
      <c r="DW151" s="138" t="e">
        <f>IF(VLOOKUP(CONCATENATE(H151,F151,DW$2),Inglés!$A:$H,7,FALSE)=AK151,1,0)</f>
        <v>#N/A</v>
      </c>
      <c r="DX151" s="138" t="e">
        <f>IF(VLOOKUP(CONCATENATE(H151,F151,DX$2),Inglés!$A:$H,7,FALSE)=AL151,1,0)</f>
        <v>#N/A</v>
      </c>
      <c r="DY151" s="138" t="e">
        <f>IF(VLOOKUP(CONCATENATE(H151,F151,DY$2),Inglés!$A:$H,7,FALSE)=AM151,1,0)</f>
        <v>#N/A</v>
      </c>
      <c r="DZ151" s="138" t="e">
        <f>IF(VLOOKUP(CONCATENATE(H151,F151,DZ$2),Inglés!$A:$H,7,FALSE)=AN151,1,0)</f>
        <v>#N/A</v>
      </c>
      <c r="EA151" s="138" t="e">
        <f>IF(VLOOKUP(CONCATENATE(H151,F151,EA$2),Inglés!$A:$H,7,FALSE)=AO151,1,0)</f>
        <v>#N/A</v>
      </c>
      <c r="EB151" s="138" t="e">
        <f>IF(VLOOKUP(CONCATENATE(H151,F151,EB$2),Matemáticas!$A:$H,7,FALSE)=AP151,1,0)</f>
        <v>#N/A</v>
      </c>
      <c r="EC151" s="138" t="e">
        <f>IF(VLOOKUP(CONCATENATE(H151,F151,EC$2),Matemáticas!$A:$H,7,FALSE)=AQ151,1,0)</f>
        <v>#N/A</v>
      </c>
      <c r="ED151" s="138" t="e">
        <f>IF(VLOOKUP(CONCATENATE(H151,F151,ED$2),Matemáticas!$A:$H,7,FALSE)=AR151,1,0)</f>
        <v>#N/A</v>
      </c>
      <c r="EE151" s="138" t="e">
        <f>IF(VLOOKUP(CONCATENATE(H151,F151,EE$2),Matemáticas!$A:$H,7,FALSE)=AS151,1,0)</f>
        <v>#N/A</v>
      </c>
      <c r="EF151" s="138" t="e">
        <f>IF(VLOOKUP(CONCATENATE(H151,F151,EF$2),Matemáticas!$A:$H,7,FALSE)=AT151,1,0)</f>
        <v>#N/A</v>
      </c>
      <c r="EG151" s="138" t="e">
        <f>IF(VLOOKUP(CONCATENATE(H151,F151,EG$2),Matemáticas!$A:$H,7,FALSE)=AU151,1,0)</f>
        <v>#N/A</v>
      </c>
      <c r="EH151" s="138" t="e">
        <f>IF(VLOOKUP(CONCATENATE(H151,F151,EH$2),Matemáticas!$A:$H,7,FALSE)=AV151,1,0)</f>
        <v>#N/A</v>
      </c>
      <c r="EI151" s="138" t="e">
        <f>IF(VLOOKUP(CONCATENATE(H151,F151,EI$2),Matemáticas!$A:$H,7,FALSE)=AW151,1,0)</f>
        <v>#N/A</v>
      </c>
      <c r="EJ151" s="138" t="e">
        <f>IF(VLOOKUP(CONCATENATE(H151,F151,EJ$2),Matemáticas!$A:$H,7,FALSE)=AX151,1,0)</f>
        <v>#N/A</v>
      </c>
      <c r="EK151" s="138" t="e">
        <f>IF(VLOOKUP(CONCATENATE(H151,F151,EK$2),Matemáticas!$A:$H,7,FALSE)=AY151,1,0)</f>
        <v>#N/A</v>
      </c>
      <c r="EL151" s="138" t="e">
        <f>IF(VLOOKUP(CONCATENATE(H151,F151,EL$2),Matemáticas!$A:$H,7,FALSE)=AZ151,1,0)</f>
        <v>#N/A</v>
      </c>
      <c r="EM151" s="138" t="e">
        <f>IF(VLOOKUP(CONCATENATE(H151,F151,EM$2),Matemáticas!$A:$H,7,FALSE)=BA151,1,0)</f>
        <v>#N/A</v>
      </c>
      <c r="EN151" s="138" t="e">
        <f>IF(VLOOKUP(CONCATENATE(H151,F151,EN$2),Matemáticas!$A:$H,7,FALSE)=BB151,1,0)</f>
        <v>#N/A</v>
      </c>
      <c r="EO151" s="138" t="e">
        <f>IF(VLOOKUP(CONCATENATE(H151,F151,EO$2),Matemáticas!$A:$H,7,FALSE)=BC151,1,0)</f>
        <v>#N/A</v>
      </c>
      <c r="EP151" s="138" t="e">
        <f>IF(VLOOKUP(CONCATENATE(H151,F151,EP$2),Matemáticas!$A:$H,7,FALSE)=BD151,1,0)</f>
        <v>#N/A</v>
      </c>
      <c r="EQ151" s="138" t="e">
        <f>IF(VLOOKUP(CONCATENATE(H151,F151,EQ$2),Matemáticas!$A:$H,7,FALSE)=BE151,1,0)</f>
        <v>#N/A</v>
      </c>
      <c r="ER151" s="138" t="e">
        <f>IF(VLOOKUP(CONCATENATE(H151,F151,ER$2),Matemáticas!$A:$H,7,FALSE)=BF151,1,0)</f>
        <v>#N/A</v>
      </c>
      <c r="ES151" s="138" t="e">
        <f>IF(VLOOKUP(CONCATENATE(H151,F151,ES$2),Matemáticas!$A:$H,7,FALSE)=BG151,1,0)</f>
        <v>#N/A</v>
      </c>
      <c r="ET151" s="138" t="e">
        <f>IF(VLOOKUP(CONCATENATE(H151,F151,ET$2),Matemáticas!$A:$H,7,FALSE)=BH151,1,0)</f>
        <v>#N/A</v>
      </c>
      <c r="EU151" s="138" t="e">
        <f>IF(VLOOKUP(CONCATENATE(H151,F151,EU$2),Matemáticas!$A:$H,7,FALSE)=BI151,1,0)</f>
        <v>#N/A</v>
      </c>
      <c r="EV151" s="138" t="e">
        <f>IF(VLOOKUP(CONCATENATE(H151,F151,EV$2),Ciencias!$A:$H,7,FALSE)=BJ151,1,0)</f>
        <v>#N/A</v>
      </c>
      <c r="EW151" s="138" t="e">
        <f>IF(VLOOKUP(CONCATENATE(H151,F151,EW$2),Ciencias!$A:$H,7,FALSE)=BK151,1,0)</f>
        <v>#N/A</v>
      </c>
      <c r="EX151" s="138" t="e">
        <f>IF(VLOOKUP(CONCATENATE(H151,F151,EX$2),Ciencias!$A:$H,7,FALSE)=BL151,1,0)</f>
        <v>#N/A</v>
      </c>
      <c r="EY151" s="138" t="e">
        <f>IF(VLOOKUP(CONCATENATE(H151,F151,EY$2),Ciencias!$A:$H,7,FALSE)=BM151,1,0)</f>
        <v>#N/A</v>
      </c>
      <c r="EZ151" s="138" t="e">
        <f>IF(VLOOKUP(CONCATENATE(H151,F151,EZ$2),Ciencias!$A:$H,7,FALSE)=BN151,1,0)</f>
        <v>#N/A</v>
      </c>
      <c r="FA151" s="138" t="e">
        <f>IF(VLOOKUP(CONCATENATE(H151,F151,FA$2),Ciencias!$A:$H,7,FALSE)=BO151,1,0)</f>
        <v>#N/A</v>
      </c>
      <c r="FB151" s="138" t="e">
        <f>IF(VLOOKUP(CONCATENATE(H151,F151,FB$2),Ciencias!$A:$H,7,FALSE)=BP151,1,0)</f>
        <v>#N/A</v>
      </c>
      <c r="FC151" s="138" t="e">
        <f>IF(VLOOKUP(CONCATENATE(H151,F151,FC$2),Ciencias!$A:$H,7,FALSE)=BQ151,1,0)</f>
        <v>#N/A</v>
      </c>
      <c r="FD151" s="138" t="e">
        <f>IF(VLOOKUP(CONCATENATE(H151,F151,FD$2),Ciencias!$A:$H,7,FALSE)=BR151,1,0)</f>
        <v>#N/A</v>
      </c>
      <c r="FE151" s="138" t="e">
        <f>IF(VLOOKUP(CONCATENATE(H151,F151,FE$2),Ciencias!$A:$H,7,FALSE)=BS151,1,0)</f>
        <v>#N/A</v>
      </c>
      <c r="FF151" s="138" t="e">
        <f>IF(VLOOKUP(CONCATENATE(H151,F151,FF$2),Ciencias!$A:$H,7,FALSE)=BT151,1,0)</f>
        <v>#N/A</v>
      </c>
      <c r="FG151" s="138" t="e">
        <f>IF(VLOOKUP(CONCATENATE(H151,F151,FG$2),Ciencias!$A:$H,7,FALSE)=BU151,1,0)</f>
        <v>#N/A</v>
      </c>
      <c r="FH151" s="138" t="e">
        <f>IF(VLOOKUP(CONCATENATE(H151,F151,FH$2),Ciencias!$A:$H,7,FALSE)=BV151,1,0)</f>
        <v>#N/A</v>
      </c>
      <c r="FI151" s="138" t="e">
        <f>IF(VLOOKUP(CONCATENATE(H151,F151,FI$2),Ciencias!$A:$H,7,FALSE)=BW151,1,0)</f>
        <v>#N/A</v>
      </c>
      <c r="FJ151" s="138" t="e">
        <f>IF(VLOOKUP(CONCATENATE(H151,F151,FJ$2),Ciencias!$A:$H,7,FALSE)=BX151,1,0)</f>
        <v>#N/A</v>
      </c>
      <c r="FK151" s="138" t="e">
        <f>IF(VLOOKUP(CONCATENATE(H151,F151,FK$2),Ciencias!$A:$H,7,FALSE)=BY151,1,0)</f>
        <v>#N/A</v>
      </c>
      <c r="FL151" s="138" t="e">
        <f>IF(VLOOKUP(CONCATENATE(H151,F151,FL$2),Ciencias!$A:$H,7,FALSE)=BZ151,1,0)</f>
        <v>#N/A</v>
      </c>
      <c r="FM151" s="138" t="e">
        <f>IF(VLOOKUP(CONCATENATE(H151,F151,FM$2),Ciencias!$A:$H,7,FALSE)=CA151,1,0)</f>
        <v>#N/A</v>
      </c>
      <c r="FN151" s="138" t="e">
        <f>IF(VLOOKUP(CONCATENATE(H151,F151,FN$2),Ciencias!$A:$H,7,FALSE)=CB151,1,0)</f>
        <v>#N/A</v>
      </c>
      <c r="FO151" s="138" t="e">
        <f>IF(VLOOKUP(CONCATENATE(H151,F151,FO$2),Ciencias!$A:$H,7,FALSE)=CC151,1,0)</f>
        <v>#N/A</v>
      </c>
      <c r="FP151" s="138" t="e">
        <f>IF(VLOOKUP(CONCATENATE(H151,F151,FP$2),GeoHis!$A:$H,7,FALSE)=CD151,1,0)</f>
        <v>#N/A</v>
      </c>
      <c r="FQ151" s="138" t="e">
        <f>IF(VLOOKUP(CONCATENATE(H151,F151,FQ$2),GeoHis!$A:$H,7,FALSE)=CE151,1,0)</f>
        <v>#N/A</v>
      </c>
      <c r="FR151" s="138" t="e">
        <f>IF(VLOOKUP(CONCATENATE(H151,F151,FR$2),GeoHis!$A:$H,7,FALSE)=CF151,1,0)</f>
        <v>#N/A</v>
      </c>
      <c r="FS151" s="138" t="e">
        <f>IF(VLOOKUP(CONCATENATE(H151,F151,FS$2),GeoHis!$A:$H,7,FALSE)=CG151,1,0)</f>
        <v>#N/A</v>
      </c>
      <c r="FT151" s="138" t="e">
        <f>IF(VLOOKUP(CONCATENATE(H151,F151,FT$2),GeoHis!$A:$H,7,FALSE)=CH151,1,0)</f>
        <v>#N/A</v>
      </c>
      <c r="FU151" s="138" t="e">
        <f>IF(VLOOKUP(CONCATENATE(H151,F151,FU$2),GeoHis!$A:$H,7,FALSE)=CI151,1,0)</f>
        <v>#N/A</v>
      </c>
      <c r="FV151" s="138" t="e">
        <f>IF(VLOOKUP(CONCATENATE(H151,F151,FV$2),GeoHis!$A:$H,7,FALSE)=CJ151,1,0)</f>
        <v>#N/A</v>
      </c>
      <c r="FW151" s="138" t="e">
        <f>IF(VLOOKUP(CONCATENATE(H151,F151,FW$2),GeoHis!$A:$H,7,FALSE)=CK151,1,0)</f>
        <v>#N/A</v>
      </c>
      <c r="FX151" s="138" t="e">
        <f>IF(VLOOKUP(CONCATENATE(H151,F151,FX$2),GeoHis!$A:$H,7,FALSE)=CL151,1,0)</f>
        <v>#N/A</v>
      </c>
      <c r="FY151" s="138" t="e">
        <f>IF(VLOOKUP(CONCATENATE(H151,F151,FY$2),GeoHis!$A:$H,7,FALSE)=CM151,1,0)</f>
        <v>#N/A</v>
      </c>
      <c r="FZ151" s="138" t="e">
        <f>IF(VLOOKUP(CONCATENATE(H151,F151,FZ$2),GeoHis!$A:$H,7,FALSE)=CN151,1,0)</f>
        <v>#N/A</v>
      </c>
      <c r="GA151" s="138" t="e">
        <f>IF(VLOOKUP(CONCATENATE(H151,F151,GA$2),GeoHis!$A:$H,7,FALSE)=CO151,1,0)</f>
        <v>#N/A</v>
      </c>
      <c r="GB151" s="138" t="e">
        <f>IF(VLOOKUP(CONCATENATE(H151,F151,GB$2),GeoHis!$A:$H,7,FALSE)=CP151,1,0)</f>
        <v>#N/A</v>
      </c>
      <c r="GC151" s="138" t="e">
        <f>IF(VLOOKUP(CONCATENATE(H151,F151,GC$2),GeoHis!$A:$H,7,FALSE)=CQ151,1,0)</f>
        <v>#N/A</v>
      </c>
      <c r="GD151" s="138" t="e">
        <f>IF(VLOOKUP(CONCATENATE(H151,F151,GD$2),GeoHis!$A:$H,7,FALSE)=CR151,1,0)</f>
        <v>#N/A</v>
      </c>
      <c r="GE151" s="135" t="str">
        <f t="shared" si="23"/>
        <v/>
      </c>
    </row>
    <row r="152" spans="1:187" x14ac:dyDescent="0.25">
      <c r="A152" s="127" t="str">
        <f>IF(C152="","",'Datos Generales'!$A$25)</f>
        <v/>
      </c>
      <c r="D152" s="126" t="str">
        <f t="shared" si="16"/>
        <v/>
      </c>
      <c r="E152" s="126">
        <f t="shared" si="17"/>
        <v>0</v>
      </c>
      <c r="F152" s="126" t="str">
        <f t="shared" si="18"/>
        <v/>
      </c>
      <c r="G152" s="126" t="str">
        <f>IF(C152="","",'Datos Generales'!$D$19)</f>
        <v/>
      </c>
      <c r="H152" s="21" t="str">
        <f>IF(C152="","",'Datos Generales'!$A$19)</f>
        <v/>
      </c>
      <c r="I152" s="126" t="str">
        <f>IF(C152="","",'Datos Generales'!$A$7)</f>
        <v/>
      </c>
      <c r="J152" s="21" t="str">
        <f>IF(C152="","",'Datos Generales'!$A$13)</f>
        <v/>
      </c>
      <c r="K152" s="21" t="str">
        <f>IF(C152="","",'Datos Generales'!$A$10)</f>
        <v/>
      </c>
      <c r="CS152" s="142" t="str">
        <f t="shared" si="19"/>
        <v/>
      </c>
      <c r="CT152" s="142" t="str">
        <f t="shared" si="20"/>
        <v/>
      </c>
      <c r="CU152" s="142" t="str">
        <f t="shared" si="21"/>
        <v/>
      </c>
      <c r="CV152" s="142" t="str">
        <f t="shared" si="22"/>
        <v/>
      </c>
      <c r="CW152" s="142" t="str">
        <f>IF(C152="","",IF('Datos Generales'!$A$19=1,AVERAGE(FP152:GD152),AVERAGE(Captura!FP152:FY152)))</f>
        <v/>
      </c>
      <c r="CX152" s="138" t="e">
        <f>IF(VLOOKUP(CONCATENATE($H$4,$F$4,CX$2),Español!$A:$H,7,FALSE)=L152,1,0)</f>
        <v>#N/A</v>
      </c>
      <c r="CY152" s="138" t="e">
        <f>IF(VLOOKUP(CONCATENATE(H152,F152,CY$2),Español!$A:$H,7,FALSE)=M152,1,0)</f>
        <v>#N/A</v>
      </c>
      <c r="CZ152" s="138" t="e">
        <f>IF(VLOOKUP(CONCATENATE(H152,F152,CZ$2),Español!$A:$H,7,FALSE)=N152,1,0)</f>
        <v>#N/A</v>
      </c>
      <c r="DA152" s="138" t="e">
        <f>IF(VLOOKUP(CONCATENATE(H152,F152,DA$2),Español!$A:$H,7,FALSE)=O152,1,0)</f>
        <v>#N/A</v>
      </c>
      <c r="DB152" s="138" t="e">
        <f>IF(VLOOKUP(CONCATENATE(H152,F152,DB$2),Español!$A:$H,7,FALSE)=P152,1,0)</f>
        <v>#N/A</v>
      </c>
      <c r="DC152" s="138" t="e">
        <f>IF(VLOOKUP(CONCATENATE(H152,F152,DC$2),Español!$A:$H,7,FALSE)=Q152,1,0)</f>
        <v>#N/A</v>
      </c>
      <c r="DD152" s="138" t="e">
        <f>IF(VLOOKUP(CONCATENATE(H152,F152,DD$2),Español!$A:$H,7,FALSE)=R152,1,0)</f>
        <v>#N/A</v>
      </c>
      <c r="DE152" s="138" t="e">
        <f>IF(VLOOKUP(CONCATENATE(H152,F152,DE$2),Español!$A:$H,7,FALSE)=S152,1,0)</f>
        <v>#N/A</v>
      </c>
      <c r="DF152" s="138" t="e">
        <f>IF(VLOOKUP(CONCATENATE(H152,F152,DF$2),Español!$A:$H,7,FALSE)=T152,1,0)</f>
        <v>#N/A</v>
      </c>
      <c r="DG152" s="138" t="e">
        <f>IF(VLOOKUP(CONCATENATE(H152,F152,DG$2),Español!$A:$H,7,FALSE)=U152,1,0)</f>
        <v>#N/A</v>
      </c>
      <c r="DH152" s="138" t="e">
        <f>IF(VLOOKUP(CONCATENATE(H152,F152,DH$2),Español!$A:$H,7,FALSE)=V152,1,0)</f>
        <v>#N/A</v>
      </c>
      <c r="DI152" s="138" t="e">
        <f>IF(VLOOKUP(CONCATENATE(H152,F152,DI$2),Español!$A:$H,7,FALSE)=W152,1,0)</f>
        <v>#N/A</v>
      </c>
      <c r="DJ152" s="138" t="e">
        <f>IF(VLOOKUP(CONCATENATE(H152,F152,DJ$2),Español!$A:$H,7,FALSE)=X152,1,0)</f>
        <v>#N/A</v>
      </c>
      <c r="DK152" s="138" t="e">
        <f>IF(VLOOKUP(CONCATENATE(H152,F152,DK$2),Español!$A:$H,7,FALSE)=Y152,1,0)</f>
        <v>#N/A</v>
      </c>
      <c r="DL152" s="138" t="e">
        <f>IF(VLOOKUP(CONCATENATE(H152,F152,DL$2),Español!$A:$H,7,FALSE)=Z152,1,0)</f>
        <v>#N/A</v>
      </c>
      <c r="DM152" s="138" t="e">
        <f>IF(VLOOKUP(CONCATENATE(H152,F152,DM$2),Español!$A:$H,7,FALSE)=AA152,1,0)</f>
        <v>#N/A</v>
      </c>
      <c r="DN152" s="138" t="e">
        <f>IF(VLOOKUP(CONCATENATE(H152,F152,DN$2),Español!$A:$H,7,FALSE)=AB152,1,0)</f>
        <v>#N/A</v>
      </c>
      <c r="DO152" s="138" t="e">
        <f>IF(VLOOKUP(CONCATENATE(H152,F152,DO$2),Español!$A:$H,7,FALSE)=AC152,1,0)</f>
        <v>#N/A</v>
      </c>
      <c r="DP152" s="138" t="e">
        <f>IF(VLOOKUP(CONCATENATE(H152,F152,DP$2),Español!$A:$H,7,FALSE)=AD152,1,0)</f>
        <v>#N/A</v>
      </c>
      <c r="DQ152" s="138" t="e">
        <f>IF(VLOOKUP(CONCATENATE(H152,F152,DQ$2),Español!$A:$H,7,FALSE)=AE152,1,0)</f>
        <v>#N/A</v>
      </c>
      <c r="DR152" s="138" t="e">
        <f>IF(VLOOKUP(CONCATENATE(H152,F152,DR$2),Inglés!$A:$H,7,FALSE)=AF152,1,0)</f>
        <v>#N/A</v>
      </c>
      <c r="DS152" s="138" t="e">
        <f>IF(VLOOKUP(CONCATENATE(H152,F152,DS$2),Inglés!$A:$H,7,FALSE)=AG152,1,0)</f>
        <v>#N/A</v>
      </c>
      <c r="DT152" s="138" t="e">
        <f>IF(VLOOKUP(CONCATENATE(H152,F152,DT$2),Inglés!$A:$H,7,FALSE)=AH152,1,0)</f>
        <v>#N/A</v>
      </c>
      <c r="DU152" s="138" t="e">
        <f>IF(VLOOKUP(CONCATENATE(H152,F152,DU$2),Inglés!$A:$H,7,FALSE)=AI152,1,0)</f>
        <v>#N/A</v>
      </c>
      <c r="DV152" s="138" t="e">
        <f>IF(VLOOKUP(CONCATENATE(H152,F152,DV$2),Inglés!$A:$H,7,FALSE)=AJ152,1,0)</f>
        <v>#N/A</v>
      </c>
      <c r="DW152" s="138" t="e">
        <f>IF(VLOOKUP(CONCATENATE(H152,F152,DW$2),Inglés!$A:$H,7,FALSE)=AK152,1,0)</f>
        <v>#N/A</v>
      </c>
      <c r="DX152" s="138" t="e">
        <f>IF(VLOOKUP(CONCATENATE(H152,F152,DX$2),Inglés!$A:$H,7,FALSE)=AL152,1,0)</f>
        <v>#N/A</v>
      </c>
      <c r="DY152" s="138" t="e">
        <f>IF(VLOOKUP(CONCATENATE(H152,F152,DY$2),Inglés!$A:$H,7,FALSE)=AM152,1,0)</f>
        <v>#N/A</v>
      </c>
      <c r="DZ152" s="138" t="e">
        <f>IF(VLOOKUP(CONCATENATE(H152,F152,DZ$2),Inglés!$A:$H,7,FALSE)=AN152,1,0)</f>
        <v>#N/A</v>
      </c>
      <c r="EA152" s="138" t="e">
        <f>IF(VLOOKUP(CONCATENATE(H152,F152,EA$2),Inglés!$A:$H,7,FALSE)=AO152,1,0)</f>
        <v>#N/A</v>
      </c>
      <c r="EB152" s="138" t="e">
        <f>IF(VLOOKUP(CONCATENATE(H152,F152,EB$2),Matemáticas!$A:$H,7,FALSE)=AP152,1,0)</f>
        <v>#N/A</v>
      </c>
      <c r="EC152" s="138" t="e">
        <f>IF(VLOOKUP(CONCATENATE(H152,F152,EC$2),Matemáticas!$A:$H,7,FALSE)=AQ152,1,0)</f>
        <v>#N/A</v>
      </c>
      <c r="ED152" s="138" t="e">
        <f>IF(VLOOKUP(CONCATENATE(H152,F152,ED$2),Matemáticas!$A:$H,7,FALSE)=AR152,1,0)</f>
        <v>#N/A</v>
      </c>
      <c r="EE152" s="138" t="e">
        <f>IF(VLOOKUP(CONCATENATE(H152,F152,EE$2),Matemáticas!$A:$H,7,FALSE)=AS152,1,0)</f>
        <v>#N/A</v>
      </c>
      <c r="EF152" s="138" t="e">
        <f>IF(VLOOKUP(CONCATENATE(H152,F152,EF$2),Matemáticas!$A:$H,7,FALSE)=AT152,1,0)</f>
        <v>#N/A</v>
      </c>
      <c r="EG152" s="138" t="e">
        <f>IF(VLOOKUP(CONCATENATE(H152,F152,EG$2),Matemáticas!$A:$H,7,FALSE)=AU152,1,0)</f>
        <v>#N/A</v>
      </c>
      <c r="EH152" s="138" t="e">
        <f>IF(VLOOKUP(CONCATENATE(H152,F152,EH$2),Matemáticas!$A:$H,7,FALSE)=AV152,1,0)</f>
        <v>#N/A</v>
      </c>
      <c r="EI152" s="138" t="e">
        <f>IF(VLOOKUP(CONCATENATE(H152,F152,EI$2),Matemáticas!$A:$H,7,FALSE)=AW152,1,0)</f>
        <v>#N/A</v>
      </c>
      <c r="EJ152" s="138" t="e">
        <f>IF(VLOOKUP(CONCATENATE(H152,F152,EJ$2),Matemáticas!$A:$H,7,FALSE)=AX152,1,0)</f>
        <v>#N/A</v>
      </c>
      <c r="EK152" s="138" t="e">
        <f>IF(VLOOKUP(CONCATENATE(H152,F152,EK$2),Matemáticas!$A:$H,7,FALSE)=AY152,1,0)</f>
        <v>#N/A</v>
      </c>
      <c r="EL152" s="138" t="e">
        <f>IF(VLOOKUP(CONCATENATE(H152,F152,EL$2),Matemáticas!$A:$H,7,FALSE)=AZ152,1,0)</f>
        <v>#N/A</v>
      </c>
      <c r="EM152" s="138" t="e">
        <f>IF(VLOOKUP(CONCATENATE(H152,F152,EM$2),Matemáticas!$A:$H,7,FALSE)=BA152,1,0)</f>
        <v>#N/A</v>
      </c>
      <c r="EN152" s="138" t="e">
        <f>IF(VLOOKUP(CONCATENATE(H152,F152,EN$2),Matemáticas!$A:$H,7,FALSE)=BB152,1,0)</f>
        <v>#N/A</v>
      </c>
      <c r="EO152" s="138" t="e">
        <f>IF(VLOOKUP(CONCATENATE(H152,F152,EO$2),Matemáticas!$A:$H,7,FALSE)=BC152,1,0)</f>
        <v>#N/A</v>
      </c>
      <c r="EP152" s="138" t="e">
        <f>IF(VLOOKUP(CONCATENATE(H152,F152,EP$2),Matemáticas!$A:$H,7,FALSE)=BD152,1,0)</f>
        <v>#N/A</v>
      </c>
      <c r="EQ152" s="138" t="e">
        <f>IF(VLOOKUP(CONCATENATE(H152,F152,EQ$2),Matemáticas!$A:$H,7,FALSE)=BE152,1,0)</f>
        <v>#N/A</v>
      </c>
      <c r="ER152" s="138" t="e">
        <f>IF(VLOOKUP(CONCATENATE(H152,F152,ER$2),Matemáticas!$A:$H,7,FALSE)=BF152,1,0)</f>
        <v>#N/A</v>
      </c>
      <c r="ES152" s="138" t="e">
        <f>IF(VLOOKUP(CONCATENATE(H152,F152,ES$2),Matemáticas!$A:$H,7,FALSE)=BG152,1,0)</f>
        <v>#N/A</v>
      </c>
      <c r="ET152" s="138" t="e">
        <f>IF(VLOOKUP(CONCATENATE(H152,F152,ET$2),Matemáticas!$A:$H,7,FALSE)=BH152,1,0)</f>
        <v>#N/A</v>
      </c>
      <c r="EU152" s="138" t="e">
        <f>IF(VLOOKUP(CONCATENATE(H152,F152,EU$2),Matemáticas!$A:$H,7,FALSE)=BI152,1,0)</f>
        <v>#N/A</v>
      </c>
      <c r="EV152" s="138" t="e">
        <f>IF(VLOOKUP(CONCATENATE(H152,F152,EV$2),Ciencias!$A:$H,7,FALSE)=BJ152,1,0)</f>
        <v>#N/A</v>
      </c>
      <c r="EW152" s="138" t="e">
        <f>IF(VLOOKUP(CONCATENATE(H152,F152,EW$2),Ciencias!$A:$H,7,FALSE)=BK152,1,0)</f>
        <v>#N/A</v>
      </c>
      <c r="EX152" s="138" t="e">
        <f>IF(VLOOKUP(CONCATENATE(H152,F152,EX$2),Ciencias!$A:$H,7,FALSE)=BL152,1,0)</f>
        <v>#N/A</v>
      </c>
      <c r="EY152" s="138" t="e">
        <f>IF(VLOOKUP(CONCATENATE(H152,F152,EY$2),Ciencias!$A:$H,7,FALSE)=BM152,1,0)</f>
        <v>#N/A</v>
      </c>
      <c r="EZ152" s="138" t="e">
        <f>IF(VLOOKUP(CONCATENATE(H152,F152,EZ$2),Ciencias!$A:$H,7,FALSE)=BN152,1,0)</f>
        <v>#N/A</v>
      </c>
      <c r="FA152" s="138" t="e">
        <f>IF(VLOOKUP(CONCATENATE(H152,F152,FA$2),Ciencias!$A:$H,7,FALSE)=BO152,1,0)</f>
        <v>#N/A</v>
      </c>
      <c r="FB152" s="138" t="e">
        <f>IF(VLOOKUP(CONCATENATE(H152,F152,FB$2),Ciencias!$A:$H,7,FALSE)=BP152,1,0)</f>
        <v>#N/A</v>
      </c>
      <c r="FC152" s="138" t="e">
        <f>IF(VLOOKUP(CONCATENATE(H152,F152,FC$2),Ciencias!$A:$H,7,FALSE)=BQ152,1,0)</f>
        <v>#N/A</v>
      </c>
      <c r="FD152" s="138" t="e">
        <f>IF(VLOOKUP(CONCATENATE(H152,F152,FD$2),Ciencias!$A:$H,7,FALSE)=BR152,1,0)</f>
        <v>#N/A</v>
      </c>
      <c r="FE152" s="138" t="e">
        <f>IF(VLOOKUP(CONCATENATE(H152,F152,FE$2),Ciencias!$A:$H,7,FALSE)=BS152,1,0)</f>
        <v>#N/A</v>
      </c>
      <c r="FF152" s="138" t="e">
        <f>IF(VLOOKUP(CONCATENATE(H152,F152,FF$2),Ciencias!$A:$H,7,FALSE)=BT152,1,0)</f>
        <v>#N/A</v>
      </c>
      <c r="FG152" s="138" t="e">
        <f>IF(VLOOKUP(CONCATENATE(H152,F152,FG$2),Ciencias!$A:$H,7,FALSE)=BU152,1,0)</f>
        <v>#N/A</v>
      </c>
      <c r="FH152" s="138" t="e">
        <f>IF(VLOOKUP(CONCATENATE(H152,F152,FH$2),Ciencias!$A:$H,7,FALSE)=BV152,1,0)</f>
        <v>#N/A</v>
      </c>
      <c r="FI152" s="138" t="e">
        <f>IF(VLOOKUP(CONCATENATE(H152,F152,FI$2),Ciencias!$A:$H,7,FALSE)=BW152,1,0)</f>
        <v>#N/A</v>
      </c>
      <c r="FJ152" s="138" t="e">
        <f>IF(VLOOKUP(CONCATENATE(H152,F152,FJ$2),Ciencias!$A:$H,7,FALSE)=BX152,1,0)</f>
        <v>#N/A</v>
      </c>
      <c r="FK152" s="138" t="e">
        <f>IF(VLOOKUP(CONCATENATE(H152,F152,FK$2),Ciencias!$A:$H,7,FALSE)=BY152,1,0)</f>
        <v>#N/A</v>
      </c>
      <c r="FL152" s="138" t="e">
        <f>IF(VLOOKUP(CONCATENATE(H152,F152,FL$2),Ciencias!$A:$H,7,FALSE)=BZ152,1,0)</f>
        <v>#N/A</v>
      </c>
      <c r="FM152" s="138" t="e">
        <f>IF(VLOOKUP(CONCATENATE(H152,F152,FM$2),Ciencias!$A:$H,7,FALSE)=CA152,1,0)</f>
        <v>#N/A</v>
      </c>
      <c r="FN152" s="138" t="e">
        <f>IF(VLOOKUP(CONCATENATE(H152,F152,FN$2),Ciencias!$A:$H,7,FALSE)=CB152,1,0)</f>
        <v>#N/A</v>
      </c>
      <c r="FO152" s="138" t="e">
        <f>IF(VLOOKUP(CONCATENATE(H152,F152,FO$2),Ciencias!$A:$H,7,FALSE)=CC152,1,0)</f>
        <v>#N/A</v>
      </c>
      <c r="FP152" s="138" t="e">
        <f>IF(VLOOKUP(CONCATENATE(H152,F152,FP$2),GeoHis!$A:$H,7,FALSE)=CD152,1,0)</f>
        <v>#N/A</v>
      </c>
      <c r="FQ152" s="138" t="e">
        <f>IF(VLOOKUP(CONCATENATE(H152,F152,FQ$2),GeoHis!$A:$H,7,FALSE)=CE152,1,0)</f>
        <v>#N/A</v>
      </c>
      <c r="FR152" s="138" t="e">
        <f>IF(VLOOKUP(CONCATENATE(H152,F152,FR$2),GeoHis!$A:$H,7,FALSE)=CF152,1,0)</f>
        <v>#N/A</v>
      </c>
      <c r="FS152" s="138" t="e">
        <f>IF(VLOOKUP(CONCATENATE(H152,F152,FS$2),GeoHis!$A:$H,7,FALSE)=CG152,1,0)</f>
        <v>#N/A</v>
      </c>
      <c r="FT152" s="138" t="e">
        <f>IF(VLOOKUP(CONCATENATE(H152,F152,FT$2),GeoHis!$A:$H,7,FALSE)=CH152,1,0)</f>
        <v>#N/A</v>
      </c>
      <c r="FU152" s="138" t="e">
        <f>IF(VLOOKUP(CONCATENATE(H152,F152,FU$2),GeoHis!$A:$H,7,FALSE)=CI152,1,0)</f>
        <v>#N/A</v>
      </c>
      <c r="FV152" s="138" t="e">
        <f>IF(VLOOKUP(CONCATENATE(H152,F152,FV$2),GeoHis!$A:$H,7,FALSE)=CJ152,1,0)</f>
        <v>#N/A</v>
      </c>
      <c r="FW152" s="138" t="e">
        <f>IF(VLOOKUP(CONCATENATE(H152,F152,FW$2),GeoHis!$A:$H,7,FALSE)=CK152,1,0)</f>
        <v>#N/A</v>
      </c>
      <c r="FX152" s="138" t="e">
        <f>IF(VLOOKUP(CONCATENATE(H152,F152,FX$2),GeoHis!$A:$H,7,FALSE)=CL152,1,0)</f>
        <v>#N/A</v>
      </c>
      <c r="FY152" s="138" t="e">
        <f>IF(VLOOKUP(CONCATENATE(H152,F152,FY$2),GeoHis!$A:$H,7,FALSE)=CM152,1,0)</f>
        <v>#N/A</v>
      </c>
      <c r="FZ152" s="138" t="e">
        <f>IF(VLOOKUP(CONCATENATE(H152,F152,FZ$2),GeoHis!$A:$H,7,FALSE)=CN152,1,0)</f>
        <v>#N/A</v>
      </c>
      <c r="GA152" s="138" t="e">
        <f>IF(VLOOKUP(CONCATENATE(H152,F152,GA$2),GeoHis!$A:$H,7,FALSE)=CO152,1,0)</f>
        <v>#N/A</v>
      </c>
      <c r="GB152" s="138" t="e">
        <f>IF(VLOOKUP(CONCATENATE(H152,F152,GB$2),GeoHis!$A:$H,7,FALSE)=CP152,1,0)</f>
        <v>#N/A</v>
      </c>
      <c r="GC152" s="138" t="e">
        <f>IF(VLOOKUP(CONCATENATE(H152,F152,GC$2),GeoHis!$A:$H,7,FALSE)=CQ152,1,0)</f>
        <v>#N/A</v>
      </c>
      <c r="GD152" s="138" t="e">
        <f>IF(VLOOKUP(CONCATENATE(H152,F152,GD$2),GeoHis!$A:$H,7,FALSE)=CR152,1,0)</f>
        <v>#N/A</v>
      </c>
      <c r="GE152" s="135" t="str">
        <f t="shared" si="23"/>
        <v/>
      </c>
    </row>
    <row r="153" spans="1:187" x14ac:dyDescent="0.25">
      <c r="A153" s="127" t="str">
        <f>IF(C153="","",'Datos Generales'!$A$25)</f>
        <v/>
      </c>
      <c r="D153" s="126" t="str">
        <f t="shared" si="16"/>
        <v/>
      </c>
      <c r="E153" s="126">
        <f t="shared" si="17"/>
        <v>0</v>
      </c>
      <c r="F153" s="126" t="str">
        <f t="shared" si="18"/>
        <v/>
      </c>
      <c r="G153" s="126" t="str">
        <f>IF(C153="","",'Datos Generales'!$D$19)</f>
        <v/>
      </c>
      <c r="H153" s="21" t="str">
        <f>IF(C153="","",'Datos Generales'!$A$19)</f>
        <v/>
      </c>
      <c r="I153" s="126" t="str">
        <f>IF(C153="","",'Datos Generales'!$A$7)</f>
        <v/>
      </c>
      <c r="J153" s="21" t="str">
        <f>IF(C153="","",'Datos Generales'!$A$13)</f>
        <v/>
      </c>
      <c r="K153" s="21" t="str">
        <f>IF(C153="","",'Datos Generales'!$A$10)</f>
        <v/>
      </c>
      <c r="CS153" s="142" t="str">
        <f t="shared" si="19"/>
        <v/>
      </c>
      <c r="CT153" s="142" t="str">
        <f t="shared" si="20"/>
        <v/>
      </c>
      <c r="CU153" s="142" t="str">
        <f t="shared" si="21"/>
        <v/>
      </c>
      <c r="CV153" s="142" t="str">
        <f t="shared" si="22"/>
        <v/>
      </c>
      <c r="CW153" s="142" t="str">
        <f>IF(C153="","",IF('Datos Generales'!$A$19=1,AVERAGE(FP153:GD153),AVERAGE(Captura!FP153:FY153)))</f>
        <v/>
      </c>
      <c r="CX153" s="138" t="e">
        <f>IF(VLOOKUP(CONCATENATE($H$4,$F$4,CX$2),Español!$A:$H,7,FALSE)=L153,1,0)</f>
        <v>#N/A</v>
      </c>
      <c r="CY153" s="138" t="e">
        <f>IF(VLOOKUP(CONCATENATE(H153,F153,CY$2),Español!$A:$H,7,FALSE)=M153,1,0)</f>
        <v>#N/A</v>
      </c>
      <c r="CZ153" s="138" t="e">
        <f>IF(VLOOKUP(CONCATENATE(H153,F153,CZ$2),Español!$A:$H,7,FALSE)=N153,1,0)</f>
        <v>#N/A</v>
      </c>
      <c r="DA153" s="138" t="e">
        <f>IF(VLOOKUP(CONCATENATE(H153,F153,DA$2),Español!$A:$H,7,FALSE)=O153,1,0)</f>
        <v>#N/A</v>
      </c>
      <c r="DB153" s="138" t="e">
        <f>IF(VLOOKUP(CONCATENATE(H153,F153,DB$2),Español!$A:$H,7,FALSE)=P153,1,0)</f>
        <v>#N/A</v>
      </c>
      <c r="DC153" s="138" t="e">
        <f>IF(VLOOKUP(CONCATENATE(H153,F153,DC$2),Español!$A:$H,7,FALSE)=Q153,1,0)</f>
        <v>#N/A</v>
      </c>
      <c r="DD153" s="138" t="e">
        <f>IF(VLOOKUP(CONCATENATE(H153,F153,DD$2),Español!$A:$H,7,FALSE)=R153,1,0)</f>
        <v>#N/A</v>
      </c>
      <c r="DE153" s="138" t="e">
        <f>IF(VLOOKUP(CONCATENATE(H153,F153,DE$2),Español!$A:$H,7,FALSE)=S153,1,0)</f>
        <v>#N/A</v>
      </c>
      <c r="DF153" s="138" t="e">
        <f>IF(VLOOKUP(CONCATENATE(H153,F153,DF$2),Español!$A:$H,7,FALSE)=T153,1,0)</f>
        <v>#N/A</v>
      </c>
      <c r="DG153" s="138" t="e">
        <f>IF(VLOOKUP(CONCATENATE(H153,F153,DG$2),Español!$A:$H,7,FALSE)=U153,1,0)</f>
        <v>#N/A</v>
      </c>
      <c r="DH153" s="138" t="e">
        <f>IF(VLOOKUP(CONCATENATE(H153,F153,DH$2),Español!$A:$H,7,FALSE)=V153,1,0)</f>
        <v>#N/A</v>
      </c>
      <c r="DI153" s="138" t="e">
        <f>IF(VLOOKUP(CONCATENATE(H153,F153,DI$2),Español!$A:$H,7,FALSE)=W153,1,0)</f>
        <v>#N/A</v>
      </c>
      <c r="DJ153" s="138" t="e">
        <f>IF(VLOOKUP(CONCATENATE(H153,F153,DJ$2),Español!$A:$H,7,FALSE)=X153,1,0)</f>
        <v>#N/A</v>
      </c>
      <c r="DK153" s="138" t="e">
        <f>IF(VLOOKUP(CONCATENATE(H153,F153,DK$2),Español!$A:$H,7,FALSE)=Y153,1,0)</f>
        <v>#N/A</v>
      </c>
      <c r="DL153" s="138" t="e">
        <f>IF(VLOOKUP(CONCATENATE(H153,F153,DL$2),Español!$A:$H,7,FALSE)=Z153,1,0)</f>
        <v>#N/A</v>
      </c>
      <c r="DM153" s="138" t="e">
        <f>IF(VLOOKUP(CONCATENATE(H153,F153,DM$2),Español!$A:$H,7,FALSE)=AA153,1,0)</f>
        <v>#N/A</v>
      </c>
      <c r="DN153" s="138" t="e">
        <f>IF(VLOOKUP(CONCATENATE(H153,F153,DN$2),Español!$A:$H,7,FALSE)=AB153,1,0)</f>
        <v>#N/A</v>
      </c>
      <c r="DO153" s="138" t="e">
        <f>IF(VLOOKUP(CONCATENATE(H153,F153,DO$2),Español!$A:$H,7,FALSE)=AC153,1,0)</f>
        <v>#N/A</v>
      </c>
      <c r="DP153" s="138" t="e">
        <f>IF(VLOOKUP(CONCATENATE(H153,F153,DP$2),Español!$A:$H,7,FALSE)=AD153,1,0)</f>
        <v>#N/A</v>
      </c>
      <c r="DQ153" s="138" t="e">
        <f>IF(VLOOKUP(CONCATENATE(H153,F153,DQ$2),Español!$A:$H,7,FALSE)=AE153,1,0)</f>
        <v>#N/A</v>
      </c>
      <c r="DR153" s="138" t="e">
        <f>IF(VLOOKUP(CONCATENATE(H153,F153,DR$2),Inglés!$A:$H,7,FALSE)=AF153,1,0)</f>
        <v>#N/A</v>
      </c>
      <c r="DS153" s="138" t="e">
        <f>IF(VLOOKUP(CONCATENATE(H153,F153,DS$2),Inglés!$A:$H,7,FALSE)=AG153,1,0)</f>
        <v>#N/A</v>
      </c>
      <c r="DT153" s="138" t="e">
        <f>IF(VLOOKUP(CONCATENATE(H153,F153,DT$2),Inglés!$A:$H,7,FALSE)=AH153,1,0)</f>
        <v>#N/A</v>
      </c>
      <c r="DU153" s="138" t="e">
        <f>IF(VLOOKUP(CONCATENATE(H153,F153,DU$2),Inglés!$A:$H,7,FALSE)=AI153,1,0)</f>
        <v>#N/A</v>
      </c>
      <c r="DV153" s="138" t="e">
        <f>IF(VLOOKUP(CONCATENATE(H153,F153,DV$2),Inglés!$A:$H,7,FALSE)=AJ153,1,0)</f>
        <v>#N/A</v>
      </c>
      <c r="DW153" s="138" t="e">
        <f>IF(VLOOKUP(CONCATENATE(H153,F153,DW$2),Inglés!$A:$H,7,FALSE)=AK153,1,0)</f>
        <v>#N/A</v>
      </c>
      <c r="DX153" s="138" t="e">
        <f>IF(VLOOKUP(CONCATENATE(H153,F153,DX$2),Inglés!$A:$H,7,FALSE)=AL153,1,0)</f>
        <v>#N/A</v>
      </c>
      <c r="DY153" s="138" t="e">
        <f>IF(VLOOKUP(CONCATENATE(H153,F153,DY$2),Inglés!$A:$H,7,FALSE)=AM153,1,0)</f>
        <v>#N/A</v>
      </c>
      <c r="DZ153" s="138" t="e">
        <f>IF(VLOOKUP(CONCATENATE(H153,F153,DZ$2),Inglés!$A:$H,7,FALSE)=AN153,1,0)</f>
        <v>#N/A</v>
      </c>
      <c r="EA153" s="138" t="e">
        <f>IF(VLOOKUP(CONCATENATE(H153,F153,EA$2),Inglés!$A:$H,7,FALSE)=AO153,1,0)</f>
        <v>#N/A</v>
      </c>
      <c r="EB153" s="138" t="e">
        <f>IF(VLOOKUP(CONCATENATE(H153,F153,EB$2),Matemáticas!$A:$H,7,FALSE)=AP153,1,0)</f>
        <v>#N/A</v>
      </c>
      <c r="EC153" s="138" t="e">
        <f>IF(VLOOKUP(CONCATENATE(H153,F153,EC$2),Matemáticas!$A:$H,7,FALSE)=AQ153,1,0)</f>
        <v>#N/A</v>
      </c>
      <c r="ED153" s="138" t="e">
        <f>IF(VLOOKUP(CONCATENATE(H153,F153,ED$2),Matemáticas!$A:$H,7,FALSE)=AR153,1,0)</f>
        <v>#N/A</v>
      </c>
      <c r="EE153" s="138" t="e">
        <f>IF(VLOOKUP(CONCATENATE(H153,F153,EE$2),Matemáticas!$A:$H,7,FALSE)=AS153,1,0)</f>
        <v>#N/A</v>
      </c>
      <c r="EF153" s="138" t="e">
        <f>IF(VLOOKUP(CONCATENATE(H153,F153,EF$2),Matemáticas!$A:$H,7,FALSE)=AT153,1,0)</f>
        <v>#N/A</v>
      </c>
      <c r="EG153" s="138" t="e">
        <f>IF(VLOOKUP(CONCATENATE(H153,F153,EG$2),Matemáticas!$A:$H,7,FALSE)=AU153,1,0)</f>
        <v>#N/A</v>
      </c>
      <c r="EH153" s="138" t="e">
        <f>IF(VLOOKUP(CONCATENATE(H153,F153,EH$2),Matemáticas!$A:$H,7,FALSE)=AV153,1,0)</f>
        <v>#N/A</v>
      </c>
      <c r="EI153" s="138" t="e">
        <f>IF(VLOOKUP(CONCATENATE(H153,F153,EI$2),Matemáticas!$A:$H,7,FALSE)=AW153,1,0)</f>
        <v>#N/A</v>
      </c>
      <c r="EJ153" s="138" t="e">
        <f>IF(VLOOKUP(CONCATENATE(H153,F153,EJ$2),Matemáticas!$A:$H,7,FALSE)=AX153,1,0)</f>
        <v>#N/A</v>
      </c>
      <c r="EK153" s="138" t="e">
        <f>IF(VLOOKUP(CONCATENATE(H153,F153,EK$2),Matemáticas!$A:$H,7,FALSE)=AY153,1,0)</f>
        <v>#N/A</v>
      </c>
      <c r="EL153" s="138" t="e">
        <f>IF(VLOOKUP(CONCATENATE(H153,F153,EL$2),Matemáticas!$A:$H,7,FALSE)=AZ153,1,0)</f>
        <v>#N/A</v>
      </c>
      <c r="EM153" s="138" t="e">
        <f>IF(VLOOKUP(CONCATENATE(H153,F153,EM$2),Matemáticas!$A:$H,7,FALSE)=BA153,1,0)</f>
        <v>#N/A</v>
      </c>
      <c r="EN153" s="138" t="e">
        <f>IF(VLOOKUP(CONCATENATE(H153,F153,EN$2),Matemáticas!$A:$H,7,FALSE)=BB153,1,0)</f>
        <v>#N/A</v>
      </c>
      <c r="EO153" s="138" t="e">
        <f>IF(VLOOKUP(CONCATENATE(H153,F153,EO$2),Matemáticas!$A:$H,7,FALSE)=BC153,1,0)</f>
        <v>#N/A</v>
      </c>
      <c r="EP153" s="138" t="e">
        <f>IF(VLOOKUP(CONCATENATE(H153,F153,EP$2),Matemáticas!$A:$H,7,FALSE)=BD153,1,0)</f>
        <v>#N/A</v>
      </c>
      <c r="EQ153" s="138" t="e">
        <f>IF(VLOOKUP(CONCATENATE(H153,F153,EQ$2),Matemáticas!$A:$H,7,FALSE)=BE153,1,0)</f>
        <v>#N/A</v>
      </c>
      <c r="ER153" s="138" t="e">
        <f>IF(VLOOKUP(CONCATENATE(H153,F153,ER$2),Matemáticas!$A:$H,7,FALSE)=BF153,1,0)</f>
        <v>#N/A</v>
      </c>
      <c r="ES153" s="138" t="e">
        <f>IF(VLOOKUP(CONCATENATE(H153,F153,ES$2),Matemáticas!$A:$H,7,FALSE)=BG153,1,0)</f>
        <v>#N/A</v>
      </c>
      <c r="ET153" s="138" t="e">
        <f>IF(VLOOKUP(CONCATENATE(H153,F153,ET$2),Matemáticas!$A:$H,7,FALSE)=BH153,1,0)</f>
        <v>#N/A</v>
      </c>
      <c r="EU153" s="138" t="e">
        <f>IF(VLOOKUP(CONCATENATE(H153,F153,EU$2),Matemáticas!$A:$H,7,FALSE)=BI153,1,0)</f>
        <v>#N/A</v>
      </c>
      <c r="EV153" s="138" t="e">
        <f>IF(VLOOKUP(CONCATENATE(H153,F153,EV$2),Ciencias!$A:$H,7,FALSE)=BJ153,1,0)</f>
        <v>#N/A</v>
      </c>
      <c r="EW153" s="138" t="e">
        <f>IF(VLOOKUP(CONCATENATE(H153,F153,EW$2),Ciencias!$A:$H,7,FALSE)=BK153,1,0)</f>
        <v>#N/A</v>
      </c>
      <c r="EX153" s="138" t="e">
        <f>IF(VLOOKUP(CONCATENATE(H153,F153,EX$2),Ciencias!$A:$H,7,FALSE)=BL153,1,0)</f>
        <v>#N/A</v>
      </c>
      <c r="EY153" s="138" t="e">
        <f>IF(VLOOKUP(CONCATENATE(H153,F153,EY$2),Ciencias!$A:$H,7,FALSE)=BM153,1,0)</f>
        <v>#N/A</v>
      </c>
      <c r="EZ153" s="138" t="e">
        <f>IF(VLOOKUP(CONCATENATE(H153,F153,EZ$2),Ciencias!$A:$H,7,FALSE)=BN153,1,0)</f>
        <v>#N/A</v>
      </c>
      <c r="FA153" s="138" t="e">
        <f>IF(VLOOKUP(CONCATENATE(H153,F153,FA$2),Ciencias!$A:$H,7,FALSE)=BO153,1,0)</f>
        <v>#N/A</v>
      </c>
      <c r="FB153" s="138" t="e">
        <f>IF(VLOOKUP(CONCATENATE(H153,F153,FB$2),Ciencias!$A:$H,7,FALSE)=BP153,1,0)</f>
        <v>#N/A</v>
      </c>
      <c r="FC153" s="138" t="e">
        <f>IF(VLOOKUP(CONCATENATE(H153,F153,FC$2),Ciencias!$A:$H,7,FALSE)=BQ153,1,0)</f>
        <v>#N/A</v>
      </c>
      <c r="FD153" s="138" t="e">
        <f>IF(VLOOKUP(CONCATENATE(H153,F153,FD$2),Ciencias!$A:$H,7,FALSE)=BR153,1,0)</f>
        <v>#N/A</v>
      </c>
      <c r="FE153" s="138" t="e">
        <f>IF(VLOOKUP(CONCATENATE(H153,F153,FE$2),Ciencias!$A:$H,7,FALSE)=BS153,1,0)</f>
        <v>#N/A</v>
      </c>
      <c r="FF153" s="138" t="e">
        <f>IF(VLOOKUP(CONCATENATE(H153,F153,FF$2),Ciencias!$A:$H,7,FALSE)=BT153,1,0)</f>
        <v>#N/A</v>
      </c>
      <c r="FG153" s="138" t="e">
        <f>IF(VLOOKUP(CONCATENATE(H153,F153,FG$2),Ciencias!$A:$H,7,FALSE)=BU153,1,0)</f>
        <v>#N/A</v>
      </c>
      <c r="FH153" s="138" t="e">
        <f>IF(VLOOKUP(CONCATENATE(H153,F153,FH$2),Ciencias!$A:$H,7,FALSE)=BV153,1,0)</f>
        <v>#N/A</v>
      </c>
      <c r="FI153" s="138" t="e">
        <f>IF(VLOOKUP(CONCATENATE(H153,F153,FI$2),Ciencias!$A:$H,7,FALSE)=BW153,1,0)</f>
        <v>#N/A</v>
      </c>
      <c r="FJ153" s="138" t="e">
        <f>IF(VLOOKUP(CONCATENATE(H153,F153,FJ$2),Ciencias!$A:$H,7,FALSE)=BX153,1,0)</f>
        <v>#N/A</v>
      </c>
      <c r="FK153" s="138" t="e">
        <f>IF(VLOOKUP(CONCATENATE(H153,F153,FK$2),Ciencias!$A:$H,7,FALSE)=BY153,1,0)</f>
        <v>#N/A</v>
      </c>
      <c r="FL153" s="138" t="e">
        <f>IF(VLOOKUP(CONCATENATE(H153,F153,FL$2),Ciencias!$A:$H,7,FALSE)=BZ153,1,0)</f>
        <v>#N/A</v>
      </c>
      <c r="FM153" s="138" t="e">
        <f>IF(VLOOKUP(CONCATENATE(H153,F153,FM$2),Ciencias!$A:$H,7,FALSE)=CA153,1,0)</f>
        <v>#N/A</v>
      </c>
      <c r="FN153" s="138" t="e">
        <f>IF(VLOOKUP(CONCATENATE(H153,F153,FN$2),Ciencias!$A:$H,7,FALSE)=CB153,1,0)</f>
        <v>#N/A</v>
      </c>
      <c r="FO153" s="138" t="e">
        <f>IF(VLOOKUP(CONCATENATE(H153,F153,FO$2),Ciencias!$A:$H,7,FALSE)=CC153,1,0)</f>
        <v>#N/A</v>
      </c>
      <c r="FP153" s="138" t="e">
        <f>IF(VLOOKUP(CONCATENATE(H153,F153,FP$2),GeoHis!$A:$H,7,FALSE)=CD153,1,0)</f>
        <v>#N/A</v>
      </c>
      <c r="FQ153" s="138" t="e">
        <f>IF(VLOOKUP(CONCATENATE(H153,F153,FQ$2),GeoHis!$A:$H,7,FALSE)=CE153,1,0)</f>
        <v>#N/A</v>
      </c>
      <c r="FR153" s="138" t="e">
        <f>IF(VLOOKUP(CONCATENATE(H153,F153,FR$2),GeoHis!$A:$H,7,FALSE)=CF153,1,0)</f>
        <v>#N/A</v>
      </c>
      <c r="FS153" s="138" t="e">
        <f>IF(VLOOKUP(CONCATENATE(H153,F153,FS$2),GeoHis!$A:$H,7,FALSE)=CG153,1,0)</f>
        <v>#N/A</v>
      </c>
      <c r="FT153" s="138" t="e">
        <f>IF(VLOOKUP(CONCATENATE(H153,F153,FT$2),GeoHis!$A:$H,7,FALSE)=CH153,1,0)</f>
        <v>#N/A</v>
      </c>
      <c r="FU153" s="138" t="e">
        <f>IF(VLOOKUP(CONCATENATE(H153,F153,FU$2),GeoHis!$A:$H,7,FALSE)=CI153,1,0)</f>
        <v>#N/A</v>
      </c>
      <c r="FV153" s="138" t="e">
        <f>IF(VLOOKUP(CONCATENATE(H153,F153,FV$2),GeoHis!$A:$H,7,FALSE)=CJ153,1,0)</f>
        <v>#N/A</v>
      </c>
      <c r="FW153" s="138" t="e">
        <f>IF(VLOOKUP(CONCATENATE(H153,F153,FW$2),GeoHis!$A:$H,7,FALSE)=CK153,1,0)</f>
        <v>#N/A</v>
      </c>
      <c r="FX153" s="138" t="e">
        <f>IF(VLOOKUP(CONCATENATE(H153,F153,FX$2),GeoHis!$A:$H,7,FALSE)=CL153,1,0)</f>
        <v>#N/A</v>
      </c>
      <c r="FY153" s="138" t="e">
        <f>IF(VLOOKUP(CONCATENATE(H153,F153,FY$2),GeoHis!$A:$H,7,FALSE)=CM153,1,0)</f>
        <v>#N/A</v>
      </c>
      <c r="FZ153" s="138" t="e">
        <f>IF(VLOOKUP(CONCATENATE(H153,F153,FZ$2),GeoHis!$A:$H,7,FALSE)=CN153,1,0)</f>
        <v>#N/A</v>
      </c>
      <c r="GA153" s="138" t="e">
        <f>IF(VLOOKUP(CONCATENATE(H153,F153,GA$2),GeoHis!$A:$H,7,FALSE)=CO153,1,0)</f>
        <v>#N/A</v>
      </c>
      <c r="GB153" s="138" t="e">
        <f>IF(VLOOKUP(CONCATENATE(H153,F153,GB$2),GeoHis!$A:$H,7,FALSE)=CP153,1,0)</f>
        <v>#N/A</v>
      </c>
      <c r="GC153" s="138" t="e">
        <f>IF(VLOOKUP(CONCATENATE(H153,F153,GC$2),GeoHis!$A:$H,7,FALSE)=CQ153,1,0)</f>
        <v>#N/A</v>
      </c>
      <c r="GD153" s="138" t="e">
        <f>IF(VLOOKUP(CONCATENATE(H153,F153,GD$2),GeoHis!$A:$H,7,FALSE)=CR153,1,0)</f>
        <v>#N/A</v>
      </c>
      <c r="GE153" s="135" t="str">
        <f t="shared" si="23"/>
        <v/>
      </c>
    </row>
    <row r="154" spans="1:187" x14ac:dyDescent="0.25">
      <c r="A154" s="127" t="str">
        <f>IF(C154="","",'Datos Generales'!$A$25)</f>
        <v/>
      </c>
      <c r="D154" s="126" t="str">
        <f t="shared" si="16"/>
        <v/>
      </c>
      <c r="E154" s="126">
        <f t="shared" si="17"/>
        <v>0</v>
      </c>
      <c r="F154" s="126" t="str">
        <f t="shared" si="18"/>
        <v/>
      </c>
      <c r="G154" s="126" t="str">
        <f>IF(C154="","",'Datos Generales'!$D$19)</f>
        <v/>
      </c>
      <c r="H154" s="21" t="str">
        <f>IF(C154="","",'Datos Generales'!$A$19)</f>
        <v/>
      </c>
      <c r="I154" s="126" t="str">
        <f>IF(C154="","",'Datos Generales'!$A$7)</f>
        <v/>
      </c>
      <c r="J154" s="21" t="str">
        <f>IF(C154="","",'Datos Generales'!$A$13)</f>
        <v/>
      </c>
      <c r="K154" s="21" t="str">
        <f>IF(C154="","",'Datos Generales'!$A$10)</f>
        <v/>
      </c>
      <c r="CS154" s="142" t="str">
        <f t="shared" si="19"/>
        <v/>
      </c>
      <c r="CT154" s="142" t="str">
        <f t="shared" si="20"/>
        <v/>
      </c>
      <c r="CU154" s="142" t="str">
        <f t="shared" si="21"/>
        <v/>
      </c>
      <c r="CV154" s="142" t="str">
        <f t="shared" si="22"/>
        <v/>
      </c>
      <c r="CW154" s="142" t="str">
        <f>IF(C154="","",IF('Datos Generales'!$A$19=1,AVERAGE(FP154:GD154),AVERAGE(Captura!FP154:FY154)))</f>
        <v/>
      </c>
      <c r="CX154" s="138" t="e">
        <f>IF(VLOOKUP(CONCATENATE($H$4,$F$4,CX$2),Español!$A:$H,7,FALSE)=L154,1,0)</f>
        <v>#N/A</v>
      </c>
      <c r="CY154" s="138" t="e">
        <f>IF(VLOOKUP(CONCATENATE(H154,F154,CY$2),Español!$A:$H,7,FALSE)=M154,1,0)</f>
        <v>#N/A</v>
      </c>
      <c r="CZ154" s="138" t="e">
        <f>IF(VLOOKUP(CONCATENATE(H154,F154,CZ$2),Español!$A:$H,7,FALSE)=N154,1,0)</f>
        <v>#N/A</v>
      </c>
      <c r="DA154" s="138" t="e">
        <f>IF(VLOOKUP(CONCATENATE(H154,F154,DA$2),Español!$A:$H,7,FALSE)=O154,1,0)</f>
        <v>#N/A</v>
      </c>
      <c r="DB154" s="138" t="e">
        <f>IF(VLOOKUP(CONCATENATE(H154,F154,DB$2),Español!$A:$H,7,FALSE)=P154,1,0)</f>
        <v>#N/A</v>
      </c>
      <c r="DC154" s="138" t="e">
        <f>IF(VLOOKUP(CONCATENATE(H154,F154,DC$2),Español!$A:$H,7,FALSE)=Q154,1,0)</f>
        <v>#N/A</v>
      </c>
      <c r="DD154" s="138" t="e">
        <f>IF(VLOOKUP(CONCATENATE(H154,F154,DD$2),Español!$A:$H,7,FALSE)=R154,1,0)</f>
        <v>#N/A</v>
      </c>
      <c r="DE154" s="138" t="e">
        <f>IF(VLOOKUP(CONCATENATE(H154,F154,DE$2),Español!$A:$H,7,FALSE)=S154,1,0)</f>
        <v>#N/A</v>
      </c>
      <c r="DF154" s="138" t="e">
        <f>IF(VLOOKUP(CONCATENATE(H154,F154,DF$2),Español!$A:$H,7,FALSE)=T154,1,0)</f>
        <v>#N/A</v>
      </c>
      <c r="DG154" s="138" t="e">
        <f>IF(VLOOKUP(CONCATENATE(H154,F154,DG$2),Español!$A:$H,7,FALSE)=U154,1,0)</f>
        <v>#N/A</v>
      </c>
      <c r="DH154" s="138" t="e">
        <f>IF(VLOOKUP(CONCATENATE(H154,F154,DH$2),Español!$A:$H,7,FALSE)=V154,1,0)</f>
        <v>#N/A</v>
      </c>
      <c r="DI154" s="138" t="e">
        <f>IF(VLOOKUP(CONCATENATE(H154,F154,DI$2),Español!$A:$H,7,FALSE)=W154,1,0)</f>
        <v>#N/A</v>
      </c>
      <c r="DJ154" s="138" t="e">
        <f>IF(VLOOKUP(CONCATENATE(H154,F154,DJ$2),Español!$A:$H,7,FALSE)=X154,1,0)</f>
        <v>#N/A</v>
      </c>
      <c r="DK154" s="138" t="e">
        <f>IF(VLOOKUP(CONCATENATE(H154,F154,DK$2),Español!$A:$H,7,FALSE)=Y154,1,0)</f>
        <v>#N/A</v>
      </c>
      <c r="DL154" s="138" t="e">
        <f>IF(VLOOKUP(CONCATENATE(H154,F154,DL$2),Español!$A:$H,7,FALSE)=Z154,1,0)</f>
        <v>#N/A</v>
      </c>
      <c r="DM154" s="138" t="e">
        <f>IF(VLOOKUP(CONCATENATE(H154,F154,DM$2),Español!$A:$H,7,FALSE)=AA154,1,0)</f>
        <v>#N/A</v>
      </c>
      <c r="DN154" s="138" t="e">
        <f>IF(VLOOKUP(CONCATENATE(H154,F154,DN$2),Español!$A:$H,7,FALSE)=AB154,1,0)</f>
        <v>#N/A</v>
      </c>
      <c r="DO154" s="138" t="e">
        <f>IF(VLOOKUP(CONCATENATE(H154,F154,DO$2),Español!$A:$H,7,FALSE)=AC154,1,0)</f>
        <v>#N/A</v>
      </c>
      <c r="DP154" s="138" t="e">
        <f>IF(VLOOKUP(CONCATENATE(H154,F154,DP$2),Español!$A:$H,7,FALSE)=AD154,1,0)</f>
        <v>#N/A</v>
      </c>
      <c r="DQ154" s="138" t="e">
        <f>IF(VLOOKUP(CONCATENATE(H154,F154,DQ$2),Español!$A:$H,7,FALSE)=AE154,1,0)</f>
        <v>#N/A</v>
      </c>
      <c r="DR154" s="138" t="e">
        <f>IF(VLOOKUP(CONCATENATE(H154,F154,DR$2),Inglés!$A:$H,7,FALSE)=AF154,1,0)</f>
        <v>#N/A</v>
      </c>
      <c r="DS154" s="138" t="e">
        <f>IF(VLOOKUP(CONCATENATE(H154,F154,DS$2),Inglés!$A:$H,7,FALSE)=AG154,1,0)</f>
        <v>#N/A</v>
      </c>
      <c r="DT154" s="138" t="e">
        <f>IF(VLOOKUP(CONCATENATE(H154,F154,DT$2),Inglés!$A:$H,7,FALSE)=AH154,1,0)</f>
        <v>#N/A</v>
      </c>
      <c r="DU154" s="138" t="e">
        <f>IF(VLOOKUP(CONCATENATE(H154,F154,DU$2),Inglés!$A:$H,7,FALSE)=AI154,1,0)</f>
        <v>#N/A</v>
      </c>
      <c r="DV154" s="138" t="e">
        <f>IF(VLOOKUP(CONCATENATE(H154,F154,DV$2),Inglés!$A:$H,7,FALSE)=AJ154,1,0)</f>
        <v>#N/A</v>
      </c>
      <c r="DW154" s="138" t="e">
        <f>IF(VLOOKUP(CONCATENATE(H154,F154,DW$2),Inglés!$A:$H,7,FALSE)=AK154,1,0)</f>
        <v>#N/A</v>
      </c>
      <c r="DX154" s="138" t="e">
        <f>IF(VLOOKUP(CONCATENATE(H154,F154,DX$2),Inglés!$A:$H,7,FALSE)=AL154,1,0)</f>
        <v>#N/A</v>
      </c>
      <c r="DY154" s="138" t="e">
        <f>IF(VLOOKUP(CONCATENATE(H154,F154,DY$2),Inglés!$A:$H,7,FALSE)=AM154,1,0)</f>
        <v>#N/A</v>
      </c>
      <c r="DZ154" s="138" t="e">
        <f>IF(VLOOKUP(CONCATENATE(H154,F154,DZ$2),Inglés!$A:$H,7,FALSE)=AN154,1,0)</f>
        <v>#N/A</v>
      </c>
      <c r="EA154" s="138" t="e">
        <f>IF(VLOOKUP(CONCATENATE(H154,F154,EA$2),Inglés!$A:$H,7,FALSE)=AO154,1,0)</f>
        <v>#N/A</v>
      </c>
      <c r="EB154" s="138" t="e">
        <f>IF(VLOOKUP(CONCATENATE(H154,F154,EB$2),Matemáticas!$A:$H,7,FALSE)=AP154,1,0)</f>
        <v>#N/A</v>
      </c>
      <c r="EC154" s="138" t="e">
        <f>IF(VLOOKUP(CONCATENATE(H154,F154,EC$2),Matemáticas!$A:$H,7,FALSE)=AQ154,1,0)</f>
        <v>#N/A</v>
      </c>
      <c r="ED154" s="138" t="e">
        <f>IF(VLOOKUP(CONCATENATE(H154,F154,ED$2),Matemáticas!$A:$H,7,FALSE)=AR154,1,0)</f>
        <v>#N/A</v>
      </c>
      <c r="EE154" s="138" t="e">
        <f>IF(VLOOKUP(CONCATENATE(H154,F154,EE$2),Matemáticas!$A:$H,7,FALSE)=AS154,1,0)</f>
        <v>#N/A</v>
      </c>
      <c r="EF154" s="138" t="e">
        <f>IF(VLOOKUP(CONCATENATE(H154,F154,EF$2),Matemáticas!$A:$H,7,FALSE)=AT154,1,0)</f>
        <v>#N/A</v>
      </c>
      <c r="EG154" s="138" t="e">
        <f>IF(VLOOKUP(CONCATENATE(H154,F154,EG$2),Matemáticas!$A:$H,7,FALSE)=AU154,1,0)</f>
        <v>#N/A</v>
      </c>
      <c r="EH154" s="138" t="e">
        <f>IF(VLOOKUP(CONCATENATE(H154,F154,EH$2),Matemáticas!$A:$H,7,FALSE)=AV154,1,0)</f>
        <v>#N/A</v>
      </c>
      <c r="EI154" s="138" t="e">
        <f>IF(VLOOKUP(CONCATENATE(H154,F154,EI$2),Matemáticas!$A:$H,7,FALSE)=AW154,1,0)</f>
        <v>#N/A</v>
      </c>
      <c r="EJ154" s="138" t="e">
        <f>IF(VLOOKUP(CONCATENATE(H154,F154,EJ$2),Matemáticas!$A:$H,7,FALSE)=AX154,1,0)</f>
        <v>#N/A</v>
      </c>
      <c r="EK154" s="138" t="e">
        <f>IF(VLOOKUP(CONCATENATE(H154,F154,EK$2),Matemáticas!$A:$H,7,FALSE)=AY154,1,0)</f>
        <v>#N/A</v>
      </c>
      <c r="EL154" s="138" t="e">
        <f>IF(VLOOKUP(CONCATENATE(H154,F154,EL$2),Matemáticas!$A:$H,7,FALSE)=AZ154,1,0)</f>
        <v>#N/A</v>
      </c>
      <c r="EM154" s="138" t="e">
        <f>IF(VLOOKUP(CONCATENATE(H154,F154,EM$2),Matemáticas!$A:$H,7,FALSE)=BA154,1,0)</f>
        <v>#N/A</v>
      </c>
      <c r="EN154" s="138" t="e">
        <f>IF(VLOOKUP(CONCATENATE(H154,F154,EN$2),Matemáticas!$A:$H,7,FALSE)=BB154,1,0)</f>
        <v>#N/A</v>
      </c>
      <c r="EO154" s="138" t="e">
        <f>IF(VLOOKUP(CONCATENATE(H154,F154,EO$2),Matemáticas!$A:$H,7,FALSE)=BC154,1,0)</f>
        <v>#N/A</v>
      </c>
      <c r="EP154" s="138" t="e">
        <f>IF(VLOOKUP(CONCATENATE(H154,F154,EP$2),Matemáticas!$A:$H,7,FALSE)=BD154,1,0)</f>
        <v>#N/A</v>
      </c>
      <c r="EQ154" s="138" t="e">
        <f>IF(VLOOKUP(CONCATENATE(H154,F154,EQ$2),Matemáticas!$A:$H,7,FALSE)=BE154,1,0)</f>
        <v>#N/A</v>
      </c>
      <c r="ER154" s="138" t="e">
        <f>IF(VLOOKUP(CONCATENATE(H154,F154,ER$2),Matemáticas!$A:$H,7,FALSE)=BF154,1,0)</f>
        <v>#N/A</v>
      </c>
      <c r="ES154" s="138" t="e">
        <f>IF(VLOOKUP(CONCATENATE(H154,F154,ES$2),Matemáticas!$A:$H,7,FALSE)=BG154,1,0)</f>
        <v>#N/A</v>
      </c>
      <c r="ET154" s="138" t="e">
        <f>IF(VLOOKUP(CONCATENATE(H154,F154,ET$2),Matemáticas!$A:$H,7,FALSE)=BH154,1,0)</f>
        <v>#N/A</v>
      </c>
      <c r="EU154" s="138" t="e">
        <f>IF(VLOOKUP(CONCATENATE(H154,F154,EU$2),Matemáticas!$A:$H,7,FALSE)=BI154,1,0)</f>
        <v>#N/A</v>
      </c>
      <c r="EV154" s="138" t="e">
        <f>IF(VLOOKUP(CONCATENATE(H154,F154,EV$2),Ciencias!$A:$H,7,FALSE)=BJ154,1,0)</f>
        <v>#N/A</v>
      </c>
      <c r="EW154" s="138" t="e">
        <f>IF(VLOOKUP(CONCATENATE(H154,F154,EW$2),Ciencias!$A:$H,7,FALSE)=BK154,1,0)</f>
        <v>#N/A</v>
      </c>
      <c r="EX154" s="138" t="e">
        <f>IF(VLOOKUP(CONCATENATE(H154,F154,EX$2),Ciencias!$A:$H,7,FALSE)=BL154,1,0)</f>
        <v>#N/A</v>
      </c>
      <c r="EY154" s="138" t="e">
        <f>IF(VLOOKUP(CONCATENATE(H154,F154,EY$2),Ciencias!$A:$H,7,FALSE)=BM154,1,0)</f>
        <v>#N/A</v>
      </c>
      <c r="EZ154" s="138" t="e">
        <f>IF(VLOOKUP(CONCATENATE(H154,F154,EZ$2),Ciencias!$A:$H,7,FALSE)=BN154,1,0)</f>
        <v>#N/A</v>
      </c>
      <c r="FA154" s="138" t="e">
        <f>IF(VLOOKUP(CONCATENATE(H154,F154,FA$2),Ciencias!$A:$H,7,FALSE)=BO154,1,0)</f>
        <v>#N/A</v>
      </c>
      <c r="FB154" s="138" t="e">
        <f>IF(VLOOKUP(CONCATENATE(H154,F154,FB$2),Ciencias!$A:$H,7,FALSE)=BP154,1,0)</f>
        <v>#N/A</v>
      </c>
      <c r="FC154" s="138" t="e">
        <f>IF(VLOOKUP(CONCATENATE(H154,F154,FC$2),Ciencias!$A:$H,7,FALSE)=BQ154,1,0)</f>
        <v>#N/A</v>
      </c>
      <c r="FD154" s="138" t="e">
        <f>IF(VLOOKUP(CONCATENATE(H154,F154,FD$2),Ciencias!$A:$H,7,FALSE)=BR154,1,0)</f>
        <v>#N/A</v>
      </c>
      <c r="FE154" s="138" t="e">
        <f>IF(VLOOKUP(CONCATENATE(H154,F154,FE$2),Ciencias!$A:$H,7,FALSE)=BS154,1,0)</f>
        <v>#N/A</v>
      </c>
      <c r="FF154" s="138" t="e">
        <f>IF(VLOOKUP(CONCATENATE(H154,F154,FF$2),Ciencias!$A:$H,7,FALSE)=BT154,1,0)</f>
        <v>#N/A</v>
      </c>
      <c r="FG154" s="138" t="e">
        <f>IF(VLOOKUP(CONCATENATE(H154,F154,FG$2),Ciencias!$A:$H,7,FALSE)=BU154,1,0)</f>
        <v>#N/A</v>
      </c>
      <c r="FH154" s="138" t="e">
        <f>IF(VLOOKUP(CONCATENATE(H154,F154,FH$2),Ciencias!$A:$H,7,FALSE)=BV154,1,0)</f>
        <v>#N/A</v>
      </c>
      <c r="FI154" s="138" t="e">
        <f>IF(VLOOKUP(CONCATENATE(H154,F154,FI$2),Ciencias!$A:$H,7,FALSE)=BW154,1,0)</f>
        <v>#N/A</v>
      </c>
      <c r="FJ154" s="138" t="e">
        <f>IF(VLOOKUP(CONCATENATE(H154,F154,FJ$2),Ciencias!$A:$H,7,FALSE)=BX154,1,0)</f>
        <v>#N/A</v>
      </c>
      <c r="FK154" s="138" t="e">
        <f>IF(VLOOKUP(CONCATENATE(H154,F154,FK$2),Ciencias!$A:$H,7,FALSE)=BY154,1,0)</f>
        <v>#N/A</v>
      </c>
      <c r="FL154" s="138" t="e">
        <f>IF(VLOOKUP(CONCATENATE(H154,F154,FL$2),Ciencias!$A:$H,7,FALSE)=BZ154,1,0)</f>
        <v>#N/A</v>
      </c>
      <c r="FM154" s="138" t="e">
        <f>IF(VLOOKUP(CONCATENATE(H154,F154,FM$2),Ciencias!$A:$H,7,FALSE)=CA154,1,0)</f>
        <v>#N/A</v>
      </c>
      <c r="FN154" s="138" t="e">
        <f>IF(VLOOKUP(CONCATENATE(H154,F154,FN$2),Ciencias!$A:$H,7,FALSE)=CB154,1,0)</f>
        <v>#N/A</v>
      </c>
      <c r="FO154" s="138" t="e">
        <f>IF(VLOOKUP(CONCATENATE(H154,F154,FO$2),Ciencias!$A:$H,7,FALSE)=CC154,1,0)</f>
        <v>#N/A</v>
      </c>
      <c r="FP154" s="138" t="e">
        <f>IF(VLOOKUP(CONCATENATE(H154,F154,FP$2),GeoHis!$A:$H,7,FALSE)=CD154,1,0)</f>
        <v>#N/A</v>
      </c>
      <c r="FQ154" s="138" t="e">
        <f>IF(VLOOKUP(CONCATENATE(H154,F154,FQ$2),GeoHis!$A:$H,7,FALSE)=CE154,1,0)</f>
        <v>#N/A</v>
      </c>
      <c r="FR154" s="138" t="e">
        <f>IF(VLOOKUP(CONCATENATE(H154,F154,FR$2),GeoHis!$A:$H,7,FALSE)=CF154,1,0)</f>
        <v>#N/A</v>
      </c>
      <c r="FS154" s="138" t="e">
        <f>IF(VLOOKUP(CONCATENATE(H154,F154,FS$2),GeoHis!$A:$H,7,FALSE)=CG154,1,0)</f>
        <v>#N/A</v>
      </c>
      <c r="FT154" s="138" t="e">
        <f>IF(VLOOKUP(CONCATENATE(H154,F154,FT$2),GeoHis!$A:$H,7,FALSE)=CH154,1,0)</f>
        <v>#N/A</v>
      </c>
      <c r="FU154" s="138" t="e">
        <f>IF(VLOOKUP(CONCATENATE(H154,F154,FU$2),GeoHis!$A:$H,7,FALSE)=CI154,1,0)</f>
        <v>#N/A</v>
      </c>
      <c r="FV154" s="138" t="e">
        <f>IF(VLOOKUP(CONCATENATE(H154,F154,FV$2),GeoHis!$A:$H,7,FALSE)=CJ154,1,0)</f>
        <v>#N/A</v>
      </c>
      <c r="FW154" s="138" t="e">
        <f>IF(VLOOKUP(CONCATENATE(H154,F154,FW$2),GeoHis!$A:$H,7,FALSE)=CK154,1,0)</f>
        <v>#N/A</v>
      </c>
      <c r="FX154" s="138" t="e">
        <f>IF(VLOOKUP(CONCATENATE(H154,F154,FX$2),GeoHis!$A:$H,7,FALSE)=CL154,1,0)</f>
        <v>#N/A</v>
      </c>
      <c r="FY154" s="138" t="e">
        <f>IF(VLOOKUP(CONCATENATE(H154,F154,FY$2),GeoHis!$A:$H,7,FALSE)=CM154,1,0)</f>
        <v>#N/A</v>
      </c>
      <c r="FZ154" s="138" t="e">
        <f>IF(VLOOKUP(CONCATENATE(H154,F154,FZ$2),GeoHis!$A:$H,7,FALSE)=CN154,1,0)</f>
        <v>#N/A</v>
      </c>
      <c r="GA154" s="138" t="e">
        <f>IF(VLOOKUP(CONCATENATE(H154,F154,GA$2),GeoHis!$A:$H,7,FALSE)=CO154,1,0)</f>
        <v>#N/A</v>
      </c>
      <c r="GB154" s="138" t="e">
        <f>IF(VLOOKUP(CONCATENATE(H154,F154,GB$2),GeoHis!$A:$H,7,FALSE)=CP154,1,0)</f>
        <v>#N/A</v>
      </c>
      <c r="GC154" s="138" t="e">
        <f>IF(VLOOKUP(CONCATENATE(H154,F154,GC$2),GeoHis!$A:$H,7,FALSE)=CQ154,1,0)</f>
        <v>#N/A</v>
      </c>
      <c r="GD154" s="138" t="e">
        <f>IF(VLOOKUP(CONCATENATE(H154,F154,GD$2),GeoHis!$A:$H,7,FALSE)=CR154,1,0)</f>
        <v>#N/A</v>
      </c>
      <c r="GE154" s="135" t="str">
        <f t="shared" si="23"/>
        <v/>
      </c>
    </row>
    <row r="155" spans="1:187" x14ac:dyDescent="0.25">
      <c r="A155" s="127" t="str">
        <f>IF(C155="","",'Datos Generales'!$A$25)</f>
        <v/>
      </c>
      <c r="D155" s="126" t="str">
        <f t="shared" si="16"/>
        <v/>
      </c>
      <c r="E155" s="126">
        <f t="shared" si="17"/>
        <v>0</v>
      </c>
      <c r="F155" s="126" t="str">
        <f t="shared" si="18"/>
        <v/>
      </c>
      <c r="G155" s="126" t="str">
        <f>IF(C155="","",'Datos Generales'!$D$19)</f>
        <v/>
      </c>
      <c r="H155" s="21" t="str">
        <f>IF(C155="","",'Datos Generales'!$A$19)</f>
        <v/>
      </c>
      <c r="I155" s="126" t="str">
        <f>IF(C155="","",'Datos Generales'!$A$7)</f>
        <v/>
      </c>
      <c r="J155" s="21" t="str">
        <f>IF(C155="","",'Datos Generales'!$A$13)</f>
        <v/>
      </c>
      <c r="K155" s="21" t="str">
        <f>IF(C155="","",'Datos Generales'!$A$10)</f>
        <v/>
      </c>
      <c r="CS155" s="142" t="str">
        <f t="shared" si="19"/>
        <v/>
      </c>
      <c r="CT155" s="142" t="str">
        <f t="shared" si="20"/>
        <v/>
      </c>
      <c r="CU155" s="142" t="str">
        <f t="shared" si="21"/>
        <v/>
      </c>
      <c r="CV155" s="142" t="str">
        <f t="shared" si="22"/>
        <v/>
      </c>
      <c r="CW155" s="142" t="str">
        <f>IF(C155="","",IF('Datos Generales'!$A$19=1,AVERAGE(FP155:GD155),AVERAGE(Captura!FP155:FY155)))</f>
        <v/>
      </c>
      <c r="CX155" s="138" t="e">
        <f>IF(VLOOKUP(CONCATENATE($H$4,$F$4,CX$2),Español!$A:$H,7,FALSE)=L155,1,0)</f>
        <v>#N/A</v>
      </c>
      <c r="CY155" s="138" t="e">
        <f>IF(VLOOKUP(CONCATENATE(H155,F155,CY$2),Español!$A:$H,7,FALSE)=M155,1,0)</f>
        <v>#N/A</v>
      </c>
      <c r="CZ155" s="138" t="e">
        <f>IF(VLOOKUP(CONCATENATE(H155,F155,CZ$2),Español!$A:$H,7,FALSE)=N155,1,0)</f>
        <v>#N/A</v>
      </c>
      <c r="DA155" s="138" t="e">
        <f>IF(VLOOKUP(CONCATENATE(H155,F155,DA$2),Español!$A:$H,7,FALSE)=O155,1,0)</f>
        <v>#N/A</v>
      </c>
      <c r="DB155" s="138" t="e">
        <f>IF(VLOOKUP(CONCATENATE(H155,F155,DB$2),Español!$A:$H,7,FALSE)=P155,1,0)</f>
        <v>#N/A</v>
      </c>
      <c r="DC155" s="138" t="e">
        <f>IF(VLOOKUP(CONCATENATE(H155,F155,DC$2),Español!$A:$H,7,FALSE)=Q155,1,0)</f>
        <v>#N/A</v>
      </c>
      <c r="DD155" s="138" t="e">
        <f>IF(VLOOKUP(CONCATENATE(H155,F155,DD$2),Español!$A:$H,7,FALSE)=R155,1,0)</f>
        <v>#N/A</v>
      </c>
      <c r="DE155" s="138" t="e">
        <f>IF(VLOOKUP(CONCATENATE(H155,F155,DE$2),Español!$A:$H,7,FALSE)=S155,1,0)</f>
        <v>#N/A</v>
      </c>
      <c r="DF155" s="138" t="e">
        <f>IF(VLOOKUP(CONCATENATE(H155,F155,DF$2),Español!$A:$H,7,FALSE)=T155,1,0)</f>
        <v>#N/A</v>
      </c>
      <c r="DG155" s="138" t="e">
        <f>IF(VLOOKUP(CONCATENATE(H155,F155,DG$2),Español!$A:$H,7,FALSE)=U155,1,0)</f>
        <v>#N/A</v>
      </c>
      <c r="DH155" s="138" t="e">
        <f>IF(VLOOKUP(CONCATENATE(H155,F155,DH$2),Español!$A:$H,7,FALSE)=V155,1,0)</f>
        <v>#N/A</v>
      </c>
      <c r="DI155" s="138" t="e">
        <f>IF(VLOOKUP(CONCATENATE(H155,F155,DI$2),Español!$A:$H,7,FALSE)=W155,1,0)</f>
        <v>#N/A</v>
      </c>
      <c r="DJ155" s="138" t="e">
        <f>IF(VLOOKUP(CONCATENATE(H155,F155,DJ$2),Español!$A:$H,7,FALSE)=X155,1,0)</f>
        <v>#N/A</v>
      </c>
      <c r="DK155" s="138" t="e">
        <f>IF(VLOOKUP(CONCATENATE(H155,F155,DK$2),Español!$A:$H,7,FALSE)=Y155,1,0)</f>
        <v>#N/A</v>
      </c>
      <c r="DL155" s="138" t="e">
        <f>IF(VLOOKUP(CONCATENATE(H155,F155,DL$2),Español!$A:$H,7,FALSE)=Z155,1,0)</f>
        <v>#N/A</v>
      </c>
      <c r="DM155" s="138" t="e">
        <f>IF(VLOOKUP(CONCATENATE(H155,F155,DM$2),Español!$A:$H,7,FALSE)=AA155,1,0)</f>
        <v>#N/A</v>
      </c>
      <c r="DN155" s="138" t="e">
        <f>IF(VLOOKUP(CONCATENATE(H155,F155,DN$2),Español!$A:$H,7,FALSE)=AB155,1,0)</f>
        <v>#N/A</v>
      </c>
      <c r="DO155" s="138" t="e">
        <f>IF(VLOOKUP(CONCATENATE(H155,F155,DO$2),Español!$A:$H,7,FALSE)=AC155,1,0)</f>
        <v>#N/A</v>
      </c>
      <c r="DP155" s="138" t="e">
        <f>IF(VLOOKUP(CONCATENATE(H155,F155,DP$2),Español!$A:$H,7,FALSE)=AD155,1,0)</f>
        <v>#N/A</v>
      </c>
      <c r="DQ155" s="138" t="e">
        <f>IF(VLOOKUP(CONCATENATE(H155,F155,DQ$2),Español!$A:$H,7,FALSE)=AE155,1,0)</f>
        <v>#N/A</v>
      </c>
      <c r="DR155" s="138" t="e">
        <f>IF(VLOOKUP(CONCATENATE(H155,F155,DR$2),Inglés!$A:$H,7,FALSE)=AF155,1,0)</f>
        <v>#N/A</v>
      </c>
      <c r="DS155" s="138" t="e">
        <f>IF(VLOOKUP(CONCATENATE(H155,F155,DS$2),Inglés!$A:$H,7,FALSE)=AG155,1,0)</f>
        <v>#N/A</v>
      </c>
      <c r="DT155" s="138" t="e">
        <f>IF(VLOOKUP(CONCATENATE(H155,F155,DT$2),Inglés!$A:$H,7,FALSE)=AH155,1,0)</f>
        <v>#N/A</v>
      </c>
      <c r="DU155" s="138" t="e">
        <f>IF(VLOOKUP(CONCATENATE(H155,F155,DU$2),Inglés!$A:$H,7,FALSE)=AI155,1,0)</f>
        <v>#N/A</v>
      </c>
      <c r="DV155" s="138" t="e">
        <f>IF(VLOOKUP(CONCATENATE(H155,F155,DV$2),Inglés!$A:$H,7,FALSE)=AJ155,1,0)</f>
        <v>#N/A</v>
      </c>
      <c r="DW155" s="138" t="e">
        <f>IF(VLOOKUP(CONCATENATE(H155,F155,DW$2),Inglés!$A:$H,7,FALSE)=AK155,1,0)</f>
        <v>#N/A</v>
      </c>
      <c r="DX155" s="138" t="e">
        <f>IF(VLOOKUP(CONCATENATE(H155,F155,DX$2),Inglés!$A:$H,7,FALSE)=AL155,1,0)</f>
        <v>#N/A</v>
      </c>
      <c r="DY155" s="138" t="e">
        <f>IF(VLOOKUP(CONCATENATE(H155,F155,DY$2),Inglés!$A:$H,7,FALSE)=AM155,1,0)</f>
        <v>#N/A</v>
      </c>
      <c r="DZ155" s="138" t="e">
        <f>IF(VLOOKUP(CONCATENATE(H155,F155,DZ$2),Inglés!$A:$H,7,FALSE)=AN155,1,0)</f>
        <v>#N/A</v>
      </c>
      <c r="EA155" s="138" t="e">
        <f>IF(VLOOKUP(CONCATENATE(H155,F155,EA$2),Inglés!$A:$H,7,FALSE)=AO155,1,0)</f>
        <v>#N/A</v>
      </c>
      <c r="EB155" s="138" t="e">
        <f>IF(VLOOKUP(CONCATENATE(H155,F155,EB$2),Matemáticas!$A:$H,7,FALSE)=AP155,1,0)</f>
        <v>#N/A</v>
      </c>
      <c r="EC155" s="138" t="e">
        <f>IF(VLOOKUP(CONCATENATE(H155,F155,EC$2),Matemáticas!$A:$H,7,FALSE)=AQ155,1,0)</f>
        <v>#N/A</v>
      </c>
      <c r="ED155" s="138" t="e">
        <f>IF(VLOOKUP(CONCATENATE(H155,F155,ED$2),Matemáticas!$A:$H,7,FALSE)=AR155,1,0)</f>
        <v>#N/A</v>
      </c>
      <c r="EE155" s="138" t="e">
        <f>IF(VLOOKUP(CONCATENATE(H155,F155,EE$2),Matemáticas!$A:$H,7,FALSE)=AS155,1,0)</f>
        <v>#N/A</v>
      </c>
      <c r="EF155" s="138" t="e">
        <f>IF(VLOOKUP(CONCATENATE(H155,F155,EF$2),Matemáticas!$A:$H,7,FALSE)=AT155,1,0)</f>
        <v>#N/A</v>
      </c>
      <c r="EG155" s="138" t="e">
        <f>IF(VLOOKUP(CONCATENATE(H155,F155,EG$2),Matemáticas!$A:$H,7,FALSE)=AU155,1,0)</f>
        <v>#N/A</v>
      </c>
      <c r="EH155" s="138" t="e">
        <f>IF(VLOOKUP(CONCATENATE(H155,F155,EH$2),Matemáticas!$A:$H,7,FALSE)=AV155,1,0)</f>
        <v>#N/A</v>
      </c>
      <c r="EI155" s="138" t="e">
        <f>IF(VLOOKUP(CONCATENATE(H155,F155,EI$2),Matemáticas!$A:$H,7,FALSE)=AW155,1,0)</f>
        <v>#N/A</v>
      </c>
      <c r="EJ155" s="138" t="e">
        <f>IF(VLOOKUP(CONCATENATE(H155,F155,EJ$2),Matemáticas!$A:$H,7,FALSE)=AX155,1,0)</f>
        <v>#N/A</v>
      </c>
      <c r="EK155" s="138" t="e">
        <f>IF(VLOOKUP(CONCATENATE(H155,F155,EK$2),Matemáticas!$A:$H,7,FALSE)=AY155,1,0)</f>
        <v>#N/A</v>
      </c>
      <c r="EL155" s="138" t="e">
        <f>IF(VLOOKUP(CONCATENATE(H155,F155,EL$2),Matemáticas!$A:$H,7,FALSE)=AZ155,1,0)</f>
        <v>#N/A</v>
      </c>
      <c r="EM155" s="138" t="e">
        <f>IF(VLOOKUP(CONCATENATE(H155,F155,EM$2),Matemáticas!$A:$H,7,FALSE)=BA155,1,0)</f>
        <v>#N/A</v>
      </c>
      <c r="EN155" s="138" t="e">
        <f>IF(VLOOKUP(CONCATENATE(H155,F155,EN$2),Matemáticas!$A:$H,7,FALSE)=BB155,1,0)</f>
        <v>#N/A</v>
      </c>
      <c r="EO155" s="138" t="e">
        <f>IF(VLOOKUP(CONCATENATE(H155,F155,EO$2),Matemáticas!$A:$H,7,FALSE)=BC155,1,0)</f>
        <v>#N/A</v>
      </c>
      <c r="EP155" s="138" t="e">
        <f>IF(VLOOKUP(CONCATENATE(H155,F155,EP$2),Matemáticas!$A:$H,7,FALSE)=BD155,1,0)</f>
        <v>#N/A</v>
      </c>
      <c r="EQ155" s="138" t="e">
        <f>IF(VLOOKUP(CONCATENATE(H155,F155,EQ$2),Matemáticas!$A:$H,7,FALSE)=BE155,1,0)</f>
        <v>#N/A</v>
      </c>
      <c r="ER155" s="138" t="e">
        <f>IF(VLOOKUP(CONCATENATE(H155,F155,ER$2),Matemáticas!$A:$H,7,FALSE)=BF155,1,0)</f>
        <v>#N/A</v>
      </c>
      <c r="ES155" s="138" t="e">
        <f>IF(VLOOKUP(CONCATENATE(H155,F155,ES$2),Matemáticas!$A:$H,7,FALSE)=BG155,1,0)</f>
        <v>#N/A</v>
      </c>
      <c r="ET155" s="138" t="e">
        <f>IF(VLOOKUP(CONCATENATE(H155,F155,ET$2),Matemáticas!$A:$H,7,FALSE)=BH155,1,0)</f>
        <v>#N/A</v>
      </c>
      <c r="EU155" s="138" t="e">
        <f>IF(VLOOKUP(CONCATENATE(H155,F155,EU$2),Matemáticas!$A:$H,7,FALSE)=BI155,1,0)</f>
        <v>#N/A</v>
      </c>
      <c r="EV155" s="138" t="e">
        <f>IF(VLOOKUP(CONCATENATE(H155,F155,EV$2),Ciencias!$A:$H,7,FALSE)=BJ155,1,0)</f>
        <v>#N/A</v>
      </c>
      <c r="EW155" s="138" t="e">
        <f>IF(VLOOKUP(CONCATENATE(H155,F155,EW$2),Ciencias!$A:$H,7,FALSE)=BK155,1,0)</f>
        <v>#N/A</v>
      </c>
      <c r="EX155" s="138" t="e">
        <f>IF(VLOOKUP(CONCATENATE(H155,F155,EX$2),Ciencias!$A:$H,7,FALSE)=BL155,1,0)</f>
        <v>#N/A</v>
      </c>
      <c r="EY155" s="138" t="e">
        <f>IF(VLOOKUP(CONCATENATE(H155,F155,EY$2),Ciencias!$A:$H,7,FALSE)=BM155,1,0)</f>
        <v>#N/A</v>
      </c>
      <c r="EZ155" s="138" t="e">
        <f>IF(VLOOKUP(CONCATENATE(H155,F155,EZ$2),Ciencias!$A:$H,7,FALSE)=BN155,1,0)</f>
        <v>#N/A</v>
      </c>
      <c r="FA155" s="138" t="e">
        <f>IF(VLOOKUP(CONCATENATE(H155,F155,FA$2),Ciencias!$A:$H,7,FALSE)=BO155,1,0)</f>
        <v>#N/A</v>
      </c>
      <c r="FB155" s="138" t="e">
        <f>IF(VLOOKUP(CONCATENATE(H155,F155,FB$2),Ciencias!$A:$H,7,FALSE)=BP155,1,0)</f>
        <v>#N/A</v>
      </c>
      <c r="FC155" s="138" t="e">
        <f>IF(VLOOKUP(CONCATENATE(H155,F155,FC$2),Ciencias!$A:$H,7,FALSE)=BQ155,1,0)</f>
        <v>#N/A</v>
      </c>
      <c r="FD155" s="138" t="e">
        <f>IF(VLOOKUP(CONCATENATE(H155,F155,FD$2),Ciencias!$A:$H,7,FALSE)=BR155,1,0)</f>
        <v>#N/A</v>
      </c>
      <c r="FE155" s="138" t="e">
        <f>IF(VLOOKUP(CONCATENATE(H155,F155,FE$2),Ciencias!$A:$H,7,FALSE)=BS155,1,0)</f>
        <v>#N/A</v>
      </c>
      <c r="FF155" s="138" t="e">
        <f>IF(VLOOKUP(CONCATENATE(H155,F155,FF$2),Ciencias!$A:$H,7,FALSE)=BT155,1,0)</f>
        <v>#N/A</v>
      </c>
      <c r="FG155" s="138" t="e">
        <f>IF(VLOOKUP(CONCATENATE(H155,F155,FG$2),Ciencias!$A:$H,7,FALSE)=BU155,1,0)</f>
        <v>#N/A</v>
      </c>
      <c r="FH155" s="138" t="e">
        <f>IF(VLOOKUP(CONCATENATE(H155,F155,FH$2),Ciencias!$A:$H,7,FALSE)=BV155,1,0)</f>
        <v>#N/A</v>
      </c>
      <c r="FI155" s="138" t="e">
        <f>IF(VLOOKUP(CONCATENATE(H155,F155,FI$2),Ciencias!$A:$H,7,FALSE)=BW155,1,0)</f>
        <v>#N/A</v>
      </c>
      <c r="FJ155" s="138" t="e">
        <f>IF(VLOOKUP(CONCATENATE(H155,F155,FJ$2),Ciencias!$A:$H,7,FALSE)=BX155,1,0)</f>
        <v>#N/A</v>
      </c>
      <c r="FK155" s="138" t="e">
        <f>IF(VLOOKUP(CONCATENATE(H155,F155,FK$2),Ciencias!$A:$H,7,FALSE)=BY155,1,0)</f>
        <v>#N/A</v>
      </c>
      <c r="FL155" s="138" t="e">
        <f>IF(VLOOKUP(CONCATENATE(H155,F155,FL$2),Ciencias!$A:$H,7,FALSE)=BZ155,1,0)</f>
        <v>#N/A</v>
      </c>
      <c r="FM155" s="138" t="e">
        <f>IF(VLOOKUP(CONCATENATE(H155,F155,FM$2),Ciencias!$A:$H,7,FALSE)=CA155,1,0)</f>
        <v>#N/A</v>
      </c>
      <c r="FN155" s="138" t="e">
        <f>IF(VLOOKUP(CONCATENATE(H155,F155,FN$2),Ciencias!$A:$H,7,FALSE)=CB155,1,0)</f>
        <v>#N/A</v>
      </c>
      <c r="FO155" s="138" t="e">
        <f>IF(VLOOKUP(CONCATENATE(H155,F155,FO$2),Ciencias!$A:$H,7,FALSE)=CC155,1,0)</f>
        <v>#N/A</v>
      </c>
      <c r="FP155" s="138" t="e">
        <f>IF(VLOOKUP(CONCATENATE(H155,F155,FP$2),GeoHis!$A:$H,7,FALSE)=CD155,1,0)</f>
        <v>#N/A</v>
      </c>
      <c r="FQ155" s="138" t="e">
        <f>IF(VLOOKUP(CONCATENATE(H155,F155,FQ$2),GeoHis!$A:$H,7,FALSE)=CE155,1,0)</f>
        <v>#N/A</v>
      </c>
      <c r="FR155" s="138" t="e">
        <f>IF(VLOOKUP(CONCATENATE(H155,F155,FR$2),GeoHis!$A:$H,7,FALSE)=CF155,1,0)</f>
        <v>#N/A</v>
      </c>
      <c r="FS155" s="138" t="e">
        <f>IF(VLOOKUP(CONCATENATE(H155,F155,FS$2),GeoHis!$A:$H,7,FALSE)=CG155,1,0)</f>
        <v>#N/A</v>
      </c>
      <c r="FT155" s="138" t="e">
        <f>IF(VLOOKUP(CONCATENATE(H155,F155,FT$2),GeoHis!$A:$H,7,FALSE)=CH155,1,0)</f>
        <v>#N/A</v>
      </c>
      <c r="FU155" s="138" t="e">
        <f>IF(VLOOKUP(CONCATENATE(H155,F155,FU$2),GeoHis!$A:$H,7,FALSE)=CI155,1,0)</f>
        <v>#N/A</v>
      </c>
      <c r="FV155" s="138" t="e">
        <f>IF(VLOOKUP(CONCATENATE(H155,F155,FV$2),GeoHis!$A:$H,7,FALSE)=CJ155,1,0)</f>
        <v>#N/A</v>
      </c>
      <c r="FW155" s="138" t="e">
        <f>IF(VLOOKUP(CONCATENATE(H155,F155,FW$2),GeoHis!$A:$H,7,FALSE)=CK155,1,0)</f>
        <v>#N/A</v>
      </c>
      <c r="FX155" s="138" t="e">
        <f>IF(VLOOKUP(CONCATENATE(H155,F155,FX$2),GeoHis!$A:$H,7,FALSE)=CL155,1,0)</f>
        <v>#N/A</v>
      </c>
      <c r="FY155" s="138" t="e">
        <f>IF(VLOOKUP(CONCATENATE(H155,F155,FY$2),GeoHis!$A:$H,7,FALSE)=CM155,1,0)</f>
        <v>#N/A</v>
      </c>
      <c r="FZ155" s="138" t="e">
        <f>IF(VLOOKUP(CONCATENATE(H155,F155,FZ$2),GeoHis!$A:$H,7,FALSE)=CN155,1,0)</f>
        <v>#N/A</v>
      </c>
      <c r="GA155" s="138" t="e">
        <f>IF(VLOOKUP(CONCATENATE(H155,F155,GA$2),GeoHis!$A:$H,7,FALSE)=CO155,1,0)</f>
        <v>#N/A</v>
      </c>
      <c r="GB155" s="138" t="e">
        <f>IF(VLOOKUP(CONCATENATE(H155,F155,GB$2),GeoHis!$A:$H,7,FALSE)=CP155,1,0)</f>
        <v>#N/A</v>
      </c>
      <c r="GC155" s="138" t="e">
        <f>IF(VLOOKUP(CONCATENATE(H155,F155,GC$2),GeoHis!$A:$H,7,FALSE)=CQ155,1,0)</f>
        <v>#N/A</v>
      </c>
      <c r="GD155" s="138" t="e">
        <f>IF(VLOOKUP(CONCATENATE(H155,F155,GD$2),GeoHis!$A:$H,7,FALSE)=CR155,1,0)</f>
        <v>#N/A</v>
      </c>
      <c r="GE155" s="135" t="str">
        <f t="shared" si="23"/>
        <v/>
      </c>
    </row>
    <row r="156" spans="1:187" x14ac:dyDescent="0.25">
      <c r="A156" s="127" t="str">
        <f>IF(C156="","",'Datos Generales'!$A$25)</f>
        <v/>
      </c>
      <c r="D156" s="126" t="str">
        <f t="shared" si="16"/>
        <v/>
      </c>
      <c r="E156" s="126">
        <f t="shared" si="17"/>
        <v>0</v>
      </c>
      <c r="F156" s="126" t="str">
        <f t="shared" si="18"/>
        <v/>
      </c>
      <c r="G156" s="126" t="str">
        <f>IF(C156="","",'Datos Generales'!$D$19)</f>
        <v/>
      </c>
      <c r="H156" s="21" t="str">
        <f>IF(C156="","",'Datos Generales'!$A$19)</f>
        <v/>
      </c>
      <c r="I156" s="126" t="str">
        <f>IF(C156="","",'Datos Generales'!$A$7)</f>
        <v/>
      </c>
      <c r="J156" s="21" t="str">
        <f>IF(C156="","",'Datos Generales'!$A$13)</f>
        <v/>
      </c>
      <c r="K156" s="21" t="str">
        <f>IF(C156="","",'Datos Generales'!$A$10)</f>
        <v/>
      </c>
      <c r="CS156" s="142" t="str">
        <f t="shared" si="19"/>
        <v/>
      </c>
      <c r="CT156" s="142" t="str">
        <f t="shared" si="20"/>
        <v/>
      </c>
      <c r="CU156" s="142" t="str">
        <f t="shared" si="21"/>
        <v/>
      </c>
      <c r="CV156" s="142" t="str">
        <f t="shared" si="22"/>
        <v/>
      </c>
      <c r="CW156" s="142" t="str">
        <f>IF(C156="","",IF('Datos Generales'!$A$19=1,AVERAGE(FP156:GD156),AVERAGE(Captura!FP156:FY156)))</f>
        <v/>
      </c>
      <c r="CX156" s="138" t="e">
        <f>IF(VLOOKUP(CONCATENATE($H$4,$F$4,CX$2),Español!$A:$H,7,FALSE)=L156,1,0)</f>
        <v>#N/A</v>
      </c>
      <c r="CY156" s="138" t="e">
        <f>IF(VLOOKUP(CONCATENATE(H156,F156,CY$2),Español!$A:$H,7,FALSE)=M156,1,0)</f>
        <v>#N/A</v>
      </c>
      <c r="CZ156" s="138" t="e">
        <f>IF(VLOOKUP(CONCATENATE(H156,F156,CZ$2),Español!$A:$H,7,FALSE)=N156,1,0)</f>
        <v>#N/A</v>
      </c>
      <c r="DA156" s="138" t="e">
        <f>IF(VLOOKUP(CONCATENATE(H156,F156,DA$2),Español!$A:$H,7,FALSE)=O156,1,0)</f>
        <v>#N/A</v>
      </c>
      <c r="DB156" s="138" t="e">
        <f>IF(VLOOKUP(CONCATENATE(H156,F156,DB$2),Español!$A:$H,7,FALSE)=P156,1,0)</f>
        <v>#N/A</v>
      </c>
      <c r="DC156" s="138" t="e">
        <f>IF(VLOOKUP(CONCATENATE(H156,F156,DC$2),Español!$A:$H,7,FALSE)=Q156,1,0)</f>
        <v>#N/A</v>
      </c>
      <c r="DD156" s="138" t="e">
        <f>IF(VLOOKUP(CONCATENATE(H156,F156,DD$2),Español!$A:$H,7,FALSE)=R156,1,0)</f>
        <v>#N/A</v>
      </c>
      <c r="DE156" s="138" t="e">
        <f>IF(VLOOKUP(CONCATENATE(H156,F156,DE$2),Español!$A:$H,7,FALSE)=S156,1,0)</f>
        <v>#N/A</v>
      </c>
      <c r="DF156" s="138" t="e">
        <f>IF(VLOOKUP(CONCATENATE(H156,F156,DF$2),Español!$A:$H,7,FALSE)=T156,1,0)</f>
        <v>#N/A</v>
      </c>
      <c r="DG156" s="138" t="e">
        <f>IF(VLOOKUP(CONCATENATE(H156,F156,DG$2),Español!$A:$H,7,FALSE)=U156,1,0)</f>
        <v>#N/A</v>
      </c>
      <c r="DH156" s="138" t="e">
        <f>IF(VLOOKUP(CONCATENATE(H156,F156,DH$2),Español!$A:$H,7,FALSE)=V156,1,0)</f>
        <v>#N/A</v>
      </c>
      <c r="DI156" s="138" t="e">
        <f>IF(VLOOKUP(CONCATENATE(H156,F156,DI$2),Español!$A:$H,7,FALSE)=W156,1,0)</f>
        <v>#N/A</v>
      </c>
      <c r="DJ156" s="138" t="e">
        <f>IF(VLOOKUP(CONCATENATE(H156,F156,DJ$2),Español!$A:$H,7,FALSE)=X156,1,0)</f>
        <v>#N/A</v>
      </c>
      <c r="DK156" s="138" t="e">
        <f>IF(VLOOKUP(CONCATENATE(H156,F156,DK$2),Español!$A:$H,7,FALSE)=Y156,1,0)</f>
        <v>#N/A</v>
      </c>
      <c r="DL156" s="138" t="e">
        <f>IF(VLOOKUP(CONCATENATE(H156,F156,DL$2),Español!$A:$H,7,FALSE)=Z156,1,0)</f>
        <v>#N/A</v>
      </c>
      <c r="DM156" s="138" t="e">
        <f>IF(VLOOKUP(CONCATENATE(H156,F156,DM$2),Español!$A:$H,7,FALSE)=AA156,1,0)</f>
        <v>#N/A</v>
      </c>
      <c r="DN156" s="138" t="e">
        <f>IF(VLOOKUP(CONCATENATE(H156,F156,DN$2),Español!$A:$H,7,FALSE)=AB156,1,0)</f>
        <v>#N/A</v>
      </c>
      <c r="DO156" s="138" t="e">
        <f>IF(VLOOKUP(CONCATENATE(H156,F156,DO$2),Español!$A:$H,7,FALSE)=AC156,1,0)</f>
        <v>#N/A</v>
      </c>
      <c r="DP156" s="138" t="e">
        <f>IF(VLOOKUP(CONCATENATE(H156,F156,DP$2),Español!$A:$H,7,FALSE)=AD156,1,0)</f>
        <v>#N/A</v>
      </c>
      <c r="DQ156" s="138" t="e">
        <f>IF(VLOOKUP(CONCATENATE(H156,F156,DQ$2),Español!$A:$H,7,FALSE)=AE156,1,0)</f>
        <v>#N/A</v>
      </c>
      <c r="DR156" s="138" t="e">
        <f>IF(VLOOKUP(CONCATENATE(H156,F156,DR$2),Inglés!$A:$H,7,FALSE)=AF156,1,0)</f>
        <v>#N/A</v>
      </c>
      <c r="DS156" s="138" t="e">
        <f>IF(VLOOKUP(CONCATENATE(H156,F156,DS$2),Inglés!$A:$H,7,FALSE)=AG156,1,0)</f>
        <v>#N/A</v>
      </c>
      <c r="DT156" s="138" t="e">
        <f>IF(VLOOKUP(CONCATENATE(H156,F156,DT$2),Inglés!$A:$H,7,FALSE)=AH156,1,0)</f>
        <v>#N/A</v>
      </c>
      <c r="DU156" s="138" t="e">
        <f>IF(VLOOKUP(CONCATENATE(H156,F156,DU$2),Inglés!$A:$H,7,FALSE)=AI156,1,0)</f>
        <v>#N/A</v>
      </c>
      <c r="DV156" s="138" t="e">
        <f>IF(VLOOKUP(CONCATENATE(H156,F156,DV$2),Inglés!$A:$H,7,FALSE)=AJ156,1,0)</f>
        <v>#N/A</v>
      </c>
      <c r="DW156" s="138" t="e">
        <f>IF(VLOOKUP(CONCATENATE(H156,F156,DW$2),Inglés!$A:$H,7,FALSE)=AK156,1,0)</f>
        <v>#N/A</v>
      </c>
      <c r="DX156" s="138" t="e">
        <f>IF(VLOOKUP(CONCATENATE(H156,F156,DX$2),Inglés!$A:$H,7,FALSE)=AL156,1,0)</f>
        <v>#N/A</v>
      </c>
      <c r="DY156" s="138" t="e">
        <f>IF(VLOOKUP(CONCATENATE(H156,F156,DY$2),Inglés!$A:$H,7,FALSE)=AM156,1,0)</f>
        <v>#N/A</v>
      </c>
      <c r="DZ156" s="138" t="e">
        <f>IF(VLOOKUP(CONCATENATE(H156,F156,DZ$2),Inglés!$A:$H,7,FALSE)=AN156,1,0)</f>
        <v>#N/A</v>
      </c>
      <c r="EA156" s="138" t="e">
        <f>IF(VLOOKUP(CONCATENATE(H156,F156,EA$2),Inglés!$A:$H,7,FALSE)=AO156,1,0)</f>
        <v>#N/A</v>
      </c>
      <c r="EB156" s="138" t="e">
        <f>IF(VLOOKUP(CONCATENATE(H156,F156,EB$2),Matemáticas!$A:$H,7,FALSE)=AP156,1,0)</f>
        <v>#N/A</v>
      </c>
      <c r="EC156" s="138" t="e">
        <f>IF(VLOOKUP(CONCATENATE(H156,F156,EC$2),Matemáticas!$A:$H,7,FALSE)=AQ156,1,0)</f>
        <v>#N/A</v>
      </c>
      <c r="ED156" s="138" t="e">
        <f>IF(VLOOKUP(CONCATENATE(H156,F156,ED$2),Matemáticas!$A:$H,7,FALSE)=AR156,1,0)</f>
        <v>#N/A</v>
      </c>
      <c r="EE156" s="138" t="e">
        <f>IF(VLOOKUP(CONCATENATE(H156,F156,EE$2),Matemáticas!$A:$H,7,FALSE)=AS156,1,0)</f>
        <v>#N/A</v>
      </c>
      <c r="EF156" s="138" t="e">
        <f>IF(VLOOKUP(CONCATENATE(H156,F156,EF$2),Matemáticas!$A:$H,7,FALSE)=AT156,1,0)</f>
        <v>#N/A</v>
      </c>
      <c r="EG156" s="138" t="e">
        <f>IF(VLOOKUP(CONCATENATE(H156,F156,EG$2),Matemáticas!$A:$H,7,FALSE)=AU156,1,0)</f>
        <v>#N/A</v>
      </c>
      <c r="EH156" s="138" t="e">
        <f>IF(VLOOKUP(CONCATENATE(H156,F156,EH$2),Matemáticas!$A:$H,7,FALSE)=AV156,1,0)</f>
        <v>#N/A</v>
      </c>
      <c r="EI156" s="138" t="e">
        <f>IF(VLOOKUP(CONCATENATE(H156,F156,EI$2),Matemáticas!$A:$H,7,FALSE)=AW156,1,0)</f>
        <v>#N/A</v>
      </c>
      <c r="EJ156" s="138" t="e">
        <f>IF(VLOOKUP(CONCATENATE(H156,F156,EJ$2),Matemáticas!$A:$H,7,FALSE)=AX156,1,0)</f>
        <v>#N/A</v>
      </c>
      <c r="EK156" s="138" t="e">
        <f>IF(VLOOKUP(CONCATENATE(H156,F156,EK$2),Matemáticas!$A:$H,7,FALSE)=AY156,1,0)</f>
        <v>#N/A</v>
      </c>
      <c r="EL156" s="138" t="e">
        <f>IF(VLOOKUP(CONCATENATE(H156,F156,EL$2),Matemáticas!$A:$H,7,FALSE)=AZ156,1,0)</f>
        <v>#N/A</v>
      </c>
      <c r="EM156" s="138" t="e">
        <f>IF(VLOOKUP(CONCATENATE(H156,F156,EM$2),Matemáticas!$A:$H,7,FALSE)=BA156,1,0)</f>
        <v>#N/A</v>
      </c>
      <c r="EN156" s="138" t="e">
        <f>IF(VLOOKUP(CONCATENATE(H156,F156,EN$2),Matemáticas!$A:$H,7,FALSE)=BB156,1,0)</f>
        <v>#N/A</v>
      </c>
      <c r="EO156" s="138" t="e">
        <f>IF(VLOOKUP(CONCATENATE(H156,F156,EO$2),Matemáticas!$A:$H,7,FALSE)=BC156,1,0)</f>
        <v>#N/A</v>
      </c>
      <c r="EP156" s="138" t="e">
        <f>IF(VLOOKUP(CONCATENATE(H156,F156,EP$2),Matemáticas!$A:$H,7,FALSE)=BD156,1,0)</f>
        <v>#N/A</v>
      </c>
      <c r="EQ156" s="138" t="e">
        <f>IF(VLOOKUP(CONCATENATE(H156,F156,EQ$2),Matemáticas!$A:$H,7,FALSE)=BE156,1,0)</f>
        <v>#N/A</v>
      </c>
      <c r="ER156" s="138" t="e">
        <f>IF(VLOOKUP(CONCATENATE(H156,F156,ER$2),Matemáticas!$A:$H,7,FALSE)=BF156,1,0)</f>
        <v>#N/A</v>
      </c>
      <c r="ES156" s="138" t="e">
        <f>IF(VLOOKUP(CONCATENATE(H156,F156,ES$2),Matemáticas!$A:$H,7,FALSE)=BG156,1,0)</f>
        <v>#N/A</v>
      </c>
      <c r="ET156" s="138" t="e">
        <f>IF(VLOOKUP(CONCATENATE(H156,F156,ET$2),Matemáticas!$A:$H,7,FALSE)=BH156,1,0)</f>
        <v>#N/A</v>
      </c>
      <c r="EU156" s="138" t="e">
        <f>IF(VLOOKUP(CONCATENATE(H156,F156,EU$2),Matemáticas!$A:$H,7,FALSE)=BI156,1,0)</f>
        <v>#N/A</v>
      </c>
      <c r="EV156" s="138" t="e">
        <f>IF(VLOOKUP(CONCATENATE(H156,F156,EV$2),Ciencias!$A:$H,7,FALSE)=BJ156,1,0)</f>
        <v>#N/A</v>
      </c>
      <c r="EW156" s="138" t="e">
        <f>IF(VLOOKUP(CONCATENATE(H156,F156,EW$2),Ciencias!$A:$H,7,FALSE)=BK156,1,0)</f>
        <v>#N/A</v>
      </c>
      <c r="EX156" s="138" t="e">
        <f>IF(VLOOKUP(CONCATENATE(H156,F156,EX$2),Ciencias!$A:$H,7,FALSE)=BL156,1,0)</f>
        <v>#N/A</v>
      </c>
      <c r="EY156" s="138" t="e">
        <f>IF(VLOOKUP(CONCATENATE(H156,F156,EY$2),Ciencias!$A:$H,7,FALSE)=BM156,1,0)</f>
        <v>#N/A</v>
      </c>
      <c r="EZ156" s="138" t="e">
        <f>IF(VLOOKUP(CONCATENATE(H156,F156,EZ$2),Ciencias!$A:$H,7,FALSE)=BN156,1,0)</f>
        <v>#N/A</v>
      </c>
      <c r="FA156" s="138" t="e">
        <f>IF(VLOOKUP(CONCATENATE(H156,F156,FA$2),Ciencias!$A:$H,7,FALSE)=BO156,1,0)</f>
        <v>#N/A</v>
      </c>
      <c r="FB156" s="138" t="e">
        <f>IF(VLOOKUP(CONCATENATE(H156,F156,FB$2),Ciencias!$A:$H,7,FALSE)=BP156,1,0)</f>
        <v>#N/A</v>
      </c>
      <c r="FC156" s="138" t="e">
        <f>IF(VLOOKUP(CONCATENATE(H156,F156,FC$2),Ciencias!$A:$H,7,FALSE)=BQ156,1,0)</f>
        <v>#N/A</v>
      </c>
      <c r="FD156" s="138" t="e">
        <f>IF(VLOOKUP(CONCATENATE(H156,F156,FD$2),Ciencias!$A:$H,7,FALSE)=BR156,1,0)</f>
        <v>#N/A</v>
      </c>
      <c r="FE156" s="138" t="e">
        <f>IF(VLOOKUP(CONCATENATE(H156,F156,FE$2),Ciencias!$A:$H,7,FALSE)=BS156,1,0)</f>
        <v>#N/A</v>
      </c>
      <c r="FF156" s="138" t="e">
        <f>IF(VLOOKUP(CONCATENATE(H156,F156,FF$2),Ciencias!$A:$H,7,FALSE)=BT156,1,0)</f>
        <v>#N/A</v>
      </c>
      <c r="FG156" s="138" t="e">
        <f>IF(VLOOKUP(CONCATENATE(H156,F156,FG$2),Ciencias!$A:$H,7,FALSE)=BU156,1,0)</f>
        <v>#N/A</v>
      </c>
      <c r="FH156" s="138" t="e">
        <f>IF(VLOOKUP(CONCATENATE(H156,F156,FH$2),Ciencias!$A:$H,7,FALSE)=BV156,1,0)</f>
        <v>#N/A</v>
      </c>
      <c r="FI156" s="138" t="e">
        <f>IF(VLOOKUP(CONCATENATE(H156,F156,FI$2),Ciencias!$A:$H,7,FALSE)=BW156,1,0)</f>
        <v>#N/A</v>
      </c>
      <c r="FJ156" s="138" t="e">
        <f>IF(VLOOKUP(CONCATENATE(H156,F156,FJ$2),Ciencias!$A:$H,7,FALSE)=BX156,1,0)</f>
        <v>#N/A</v>
      </c>
      <c r="FK156" s="138" t="e">
        <f>IF(VLOOKUP(CONCATENATE(H156,F156,FK$2),Ciencias!$A:$H,7,FALSE)=BY156,1,0)</f>
        <v>#N/A</v>
      </c>
      <c r="FL156" s="138" t="e">
        <f>IF(VLOOKUP(CONCATENATE(H156,F156,FL$2),Ciencias!$A:$H,7,FALSE)=BZ156,1,0)</f>
        <v>#N/A</v>
      </c>
      <c r="FM156" s="138" t="e">
        <f>IF(VLOOKUP(CONCATENATE(H156,F156,FM$2),Ciencias!$A:$H,7,FALSE)=CA156,1,0)</f>
        <v>#N/A</v>
      </c>
      <c r="FN156" s="138" t="e">
        <f>IF(VLOOKUP(CONCATENATE(H156,F156,FN$2),Ciencias!$A:$H,7,FALSE)=CB156,1,0)</f>
        <v>#N/A</v>
      </c>
      <c r="FO156" s="138" t="e">
        <f>IF(VLOOKUP(CONCATENATE(H156,F156,FO$2),Ciencias!$A:$H,7,FALSE)=CC156,1,0)</f>
        <v>#N/A</v>
      </c>
      <c r="FP156" s="138" t="e">
        <f>IF(VLOOKUP(CONCATENATE(H156,F156,FP$2),GeoHis!$A:$H,7,FALSE)=CD156,1,0)</f>
        <v>#N/A</v>
      </c>
      <c r="FQ156" s="138" t="e">
        <f>IF(VLOOKUP(CONCATENATE(H156,F156,FQ$2),GeoHis!$A:$H,7,FALSE)=CE156,1,0)</f>
        <v>#N/A</v>
      </c>
      <c r="FR156" s="138" t="e">
        <f>IF(VLOOKUP(CONCATENATE(H156,F156,FR$2),GeoHis!$A:$H,7,FALSE)=CF156,1,0)</f>
        <v>#N/A</v>
      </c>
      <c r="FS156" s="138" t="e">
        <f>IF(VLOOKUP(CONCATENATE(H156,F156,FS$2),GeoHis!$A:$H,7,FALSE)=CG156,1,0)</f>
        <v>#N/A</v>
      </c>
      <c r="FT156" s="138" t="e">
        <f>IF(VLOOKUP(CONCATENATE(H156,F156,FT$2),GeoHis!$A:$H,7,FALSE)=CH156,1,0)</f>
        <v>#N/A</v>
      </c>
      <c r="FU156" s="138" t="e">
        <f>IF(VLOOKUP(CONCATENATE(H156,F156,FU$2),GeoHis!$A:$H,7,FALSE)=CI156,1,0)</f>
        <v>#N/A</v>
      </c>
      <c r="FV156" s="138" t="e">
        <f>IF(VLOOKUP(CONCATENATE(H156,F156,FV$2),GeoHis!$A:$H,7,FALSE)=CJ156,1,0)</f>
        <v>#N/A</v>
      </c>
      <c r="FW156" s="138" t="e">
        <f>IF(VLOOKUP(CONCATENATE(H156,F156,FW$2),GeoHis!$A:$H,7,FALSE)=CK156,1,0)</f>
        <v>#N/A</v>
      </c>
      <c r="FX156" s="138" t="e">
        <f>IF(VLOOKUP(CONCATENATE(H156,F156,FX$2),GeoHis!$A:$H,7,FALSE)=CL156,1,0)</f>
        <v>#N/A</v>
      </c>
      <c r="FY156" s="138" t="e">
        <f>IF(VLOOKUP(CONCATENATE(H156,F156,FY$2),GeoHis!$A:$H,7,FALSE)=CM156,1,0)</f>
        <v>#N/A</v>
      </c>
      <c r="FZ156" s="138" t="e">
        <f>IF(VLOOKUP(CONCATENATE(H156,F156,FZ$2),GeoHis!$A:$H,7,FALSE)=CN156,1,0)</f>
        <v>#N/A</v>
      </c>
      <c r="GA156" s="138" t="e">
        <f>IF(VLOOKUP(CONCATENATE(H156,F156,GA$2),GeoHis!$A:$H,7,FALSE)=CO156,1,0)</f>
        <v>#N/A</v>
      </c>
      <c r="GB156" s="138" t="e">
        <f>IF(VLOOKUP(CONCATENATE(H156,F156,GB$2),GeoHis!$A:$H,7,FALSE)=CP156,1,0)</f>
        <v>#N/A</v>
      </c>
      <c r="GC156" s="138" t="e">
        <f>IF(VLOOKUP(CONCATENATE(H156,F156,GC$2),GeoHis!$A:$H,7,FALSE)=CQ156,1,0)</f>
        <v>#N/A</v>
      </c>
      <c r="GD156" s="138" t="e">
        <f>IF(VLOOKUP(CONCATENATE(H156,F156,GD$2),GeoHis!$A:$H,7,FALSE)=CR156,1,0)</f>
        <v>#N/A</v>
      </c>
      <c r="GE156" s="135" t="str">
        <f t="shared" si="23"/>
        <v/>
      </c>
    </row>
    <row r="157" spans="1:187" x14ac:dyDescent="0.25">
      <c r="A157" s="127" t="str">
        <f>IF(C157="","",'Datos Generales'!$A$25)</f>
        <v/>
      </c>
      <c r="D157" s="126" t="str">
        <f t="shared" si="16"/>
        <v/>
      </c>
      <c r="E157" s="126">
        <f t="shared" si="17"/>
        <v>0</v>
      </c>
      <c r="F157" s="126" t="str">
        <f t="shared" si="18"/>
        <v/>
      </c>
      <c r="G157" s="126" t="str">
        <f>IF(C157="","",'Datos Generales'!$D$19)</f>
        <v/>
      </c>
      <c r="H157" s="21" t="str">
        <f>IF(C157="","",'Datos Generales'!$A$19)</f>
        <v/>
      </c>
      <c r="I157" s="126" t="str">
        <f>IF(C157="","",'Datos Generales'!$A$7)</f>
        <v/>
      </c>
      <c r="J157" s="21" t="str">
        <f>IF(C157="","",'Datos Generales'!$A$13)</f>
        <v/>
      </c>
      <c r="K157" s="21" t="str">
        <f>IF(C157="","",'Datos Generales'!$A$10)</f>
        <v/>
      </c>
      <c r="CS157" s="142" t="str">
        <f t="shared" si="19"/>
        <v/>
      </c>
      <c r="CT157" s="142" t="str">
        <f t="shared" si="20"/>
        <v/>
      </c>
      <c r="CU157" s="142" t="str">
        <f t="shared" si="21"/>
        <v/>
      </c>
      <c r="CV157" s="142" t="str">
        <f t="shared" si="22"/>
        <v/>
      </c>
      <c r="CW157" s="142" t="str">
        <f>IF(C157="","",IF('Datos Generales'!$A$19=1,AVERAGE(FP157:GD157),AVERAGE(Captura!FP157:FY157)))</f>
        <v/>
      </c>
      <c r="CX157" s="138" t="e">
        <f>IF(VLOOKUP(CONCATENATE($H$4,$F$4,CX$2),Español!$A:$H,7,FALSE)=L157,1,0)</f>
        <v>#N/A</v>
      </c>
      <c r="CY157" s="138" t="e">
        <f>IF(VLOOKUP(CONCATENATE(H157,F157,CY$2),Español!$A:$H,7,FALSE)=M157,1,0)</f>
        <v>#N/A</v>
      </c>
      <c r="CZ157" s="138" t="e">
        <f>IF(VLOOKUP(CONCATENATE(H157,F157,CZ$2),Español!$A:$H,7,FALSE)=N157,1,0)</f>
        <v>#N/A</v>
      </c>
      <c r="DA157" s="138" t="e">
        <f>IF(VLOOKUP(CONCATENATE(H157,F157,DA$2),Español!$A:$H,7,FALSE)=O157,1,0)</f>
        <v>#N/A</v>
      </c>
      <c r="DB157" s="138" t="e">
        <f>IF(VLOOKUP(CONCATENATE(H157,F157,DB$2),Español!$A:$H,7,FALSE)=P157,1,0)</f>
        <v>#N/A</v>
      </c>
      <c r="DC157" s="138" t="e">
        <f>IF(VLOOKUP(CONCATENATE(H157,F157,DC$2),Español!$A:$H,7,FALSE)=Q157,1,0)</f>
        <v>#N/A</v>
      </c>
      <c r="DD157" s="138" t="e">
        <f>IF(VLOOKUP(CONCATENATE(H157,F157,DD$2),Español!$A:$H,7,FALSE)=R157,1,0)</f>
        <v>#N/A</v>
      </c>
      <c r="DE157" s="138" t="e">
        <f>IF(VLOOKUP(CONCATENATE(H157,F157,DE$2),Español!$A:$H,7,FALSE)=S157,1,0)</f>
        <v>#N/A</v>
      </c>
      <c r="DF157" s="138" t="e">
        <f>IF(VLOOKUP(CONCATENATE(H157,F157,DF$2),Español!$A:$H,7,FALSE)=T157,1,0)</f>
        <v>#N/A</v>
      </c>
      <c r="DG157" s="138" t="e">
        <f>IF(VLOOKUP(CONCATENATE(H157,F157,DG$2),Español!$A:$H,7,FALSE)=U157,1,0)</f>
        <v>#N/A</v>
      </c>
      <c r="DH157" s="138" t="e">
        <f>IF(VLOOKUP(CONCATENATE(H157,F157,DH$2),Español!$A:$H,7,FALSE)=V157,1,0)</f>
        <v>#N/A</v>
      </c>
      <c r="DI157" s="138" t="e">
        <f>IF(VLOOKUP(CONCATENATE(H157,F157,DI$2),Español!$A:$H,7,FALSE)=W157,1,0)</f>
        <v>#N/A</v>
      </c>
      <c r="DJ157" s="138" t="e">
        <f>IF(VLOOKUP(CONCATENATE(H157,F157,DJ$2),Español!$A:$H,7,FALSE)=X157,1,0)</f>
        <v>#N/A</v>
      </c>
      <c r="DK157" s="138" t="e">
        <f>IF(VLOOKUP(CONCATENATE(H157,F157,DK$2),Español!$A:$H,7,FALSE)=Y157,1,0)</f>
        <v>#N/A</v>
      </c>
      <c r="DL157" s="138" t="e">
        <f>IF(VLOOKUP(CONCATENATE(H157,F157,DL$2),Español!$A:$H,7,FALSE)=Z157,1,0)</f>
        <v>#N/A</v>
      </c>
      <c r="DM157" s="138" t="e">
        <f>IF(VLOOKUP(CONCATENATE(H157,F157,DM$2),Español!$A:$H,7,FALSE)=AA157,1,0)</f>
        <v>#N/A</v>
      </c>
      <c r="DN157" s="138" t="e">
        <f>IF(VLOOKUP(CONCATENATE(H157,F157,DN$2),Español!$A:$H,7,FALSE)=AB157,1,0)</f>
        <v>#N/A</v>
      </c>
      <c r="DO157" s="138" t="e">
        <f>IF(VLOOKUP(CONCATENATE(H157,F157,DO$2),Español!$A:$H,7,FALSE)=AC157,1,0)</f>
        <v>#N/A</v>
      </c>
      <c r="DP157" s="138" t="e">
        <f>IF(VLOOKUP(CONCATENATE(H157,F157,DP$2),Español!$A:$H,7,FALSE)=AD157,1,0)</f>
        <v>#N/A</v>
      </c>
      <c r="DQ157" s="138" t="e">
        <f>IF(VLOOKUP(CONCATENATE(H157,F157,DQ$2),Español!$A:$H,7,FALSE)=AE157,1,0)</f>
        <v>#N/A</v>
      </c>
      <c r="DR157" s="138" t="e">
        <f>IF(VLOOKUP(CONCATENATE(H157,F157,DR$2),Inglés!$A:$H,7,FALSE)=AF157,1,0)</f>
        <v>#N/A</v>
      </c>
      <c r="DS157" s="138" t="e">
        <f>IF(VLOOKUP(CONCATENATE(H157,F157,DS$2),Inglés!$A:$H,7,FALSE)=AG157,1,0)</f>
        <v>#N/A</v>
      </c>
      <c r="DT157" s="138" t="e">
        <f>IF(VLOOKUP(CONCATENATE(H157,F157,DT$2),Inglés!$A:$H,7,FALSE)=AH157,1,0)</f>
        <v>#N/A</v>
      </c>
      <c r="DU157" s="138" t="e">
        <f>IF(VLOOKUP(CONCATENATE(H157,F157,DU$2),Inglés!$A:$H,7,FALSE)=AI157,1,0)</f>
        <v>#N/A</v>
      </c>
      <c r="DV157" s="138" t="e">
        <f>IF(VLOOKUP(CONCATENATE(H157,F157,DV$2),Inglés!$A:$H,7,FALSE)=AJ157,1,0)</f>
        <v>#N/A</v>
      </c>
      <c r="DW157" s="138" t="e">
        <f>IF(VLOOKUP(CONCATENATE(H157,F157,DW$2),Inglés!$A:$H,7,FALSE)=AK157,1,0)</f>
        <v>#N/A</v>
      </c>
      <c r="DX157" s="138" t="e">
        <f>IF(VLOOKUP(CONCATENATE(H157,F157,DX$2),Inglés!$A:$H,7,FALSE)=AL157,1,0)</f>
        <v>#N/A</v>
      </c>
      <c r="DY157" s="138" t="e">
        <f>IF(VLOOKUP(CONCATENATE(H157,F157,DY$2),Inglés!$A:$H,7,FALSE)=AM157,1,0)</f>
        <v>#N/A</v>
      </c>
      <c r="DZ157" s="138" t="e">
        <f>IF(VLOOKUP(CONCATENATE(H157,F157,DZ$2),Inglés!$A:$H,7,FALSE)=AN157,1,0)</f>
        <v>#N/A</v>
      </c>
      <c r="EA157" s="138" t="e">
        <f>IF(VLOOKUP(CONCATENATE(H157,F157,EA$2),Inglés!$A:$H,7,FALSE)=AO157,1,0)</f>
        <v>#N/A</v>
      </c>
      <c r="EB157" s="138" t="e">
        <f>IF(VLOOKUP(CONCATENATE(H157,F157,EB$2),Matemáticas!$A:$H,7,FALSE)=AP157,1,0)</f>
        <v>#N/A</v>
      </c>
      <c r="EC157" s="138" t="e">
        <f>IF(VLOOKUP(CONCATENATE(H157,F157,EC$2),Matemáticas!$A:$H,7,FALSE)=AQ157,1,0)</f>
        <v>#N/A</v>
      </c>
      <c r="ED157" s="138" t="e">
        <f>IF(VLOOKUP(CONCATENATE(H157,F157,ED$2),Matemáticas!$A:$H,7,FALSE)=AR157,1,0)</f>
        <v>#N/A</v>
      </c>
      <c r="EE157" s="138" t="e">
        <f>IF(VLOOKUP(CONCATENATE(H157,F157,EE$2),Matemáticas!$A:$H,7,FALSE)=AS157,1,0)</f>
        <v>#N/A</v>
      </c>
      <c r="EF157" s="138" t="e">
        <f>IF(VLOOKUP(CONCATENATE(H157,F157,EF$2),Matemáticas!$A:$H,7,FALSE)=AT157,1,0)</f>
        <v>#N/A</v>
      </c>
      <c r="EG157" s="138" t="e">
        <f>IF(VLOOKUP(CONCATENATE(H157,F157,EG$2),Matemáticas!$A:$H,7,FALSE)=AU157,1,0)</f>
        <v>#N/A</v>
      </c>
      <c r="EH157" s="138" t="e">
        <f>IF(VLOOKUP(CONCATENATE(H157,F157,EH$2),Matemáticas!$A:$H,7,FALSE)=AV157,1,0)</f>
        <v>#N/A</v>
      </c>
      <c r="EI157" s="138" t="e">
        <f>IF(VLOOKUP(CONCATENATE(H157,F157,EI$2),Matemáticas!$A:$H,7,FALSE)=AW157,1,0)</f>
        <v>#N/A</v>
      </c>
      <c r="EJ157" s="138" t="e">
        <f>IF(VLOOKUP(CONCATENATE(H157,F157,EJ$2),Matemáticas!$A:$H,7,FALSE)=AX157,1,0)</f>
        <v>#N/A</v>
      </c>
      <c r="EK157" s="138" t="e">
        <f>IF(VLOOKUP(CONCATENATE(H157,F157,EK$2),Matemáticas!$A:$H,7,FALSE)=AY157,1,0)</f>
        <v>#N/A</v>
      </c>
      <c r="EL157" s="138" t="e">
        <f>IF(VLOOKUP(CONCATENATE(H157,F157,EL$2),Matemáticas!$A:$H,7,FALSE)=AZ157,1,0)</f>
        <v>#N/A</v>
      </c>
      <c r="EM157" s="138" t="e">
        <f>IF(VLOOKUP(CONCATENATE(H157,F157,EM$2),Matemáticas!$A:$H,7,FALSE)=BA157,1,0)</f>
        <v>#N/A</v>
      </c>
      <c r="EN157" s="138" t="e">
        <f>IF(VLOOKUP(CONCATENATE(H157,F157,EN$2),Matemáticas!$A:$H,7,FALSE)=BB157,1,0)</f>
        <v>#N/A</v>
      </c>
      <c r="EO157" s="138" t="e">
        <f>IF(VLOOKUP(CONCATENATE(H157,F157,EO$2),Matemáticas!$A:$H,7,FALSE)=BC157,1,0)</f>
        <v>#N/A</v>
      </c>
      <c r="EP157" s="138" t="e">
        <f>IF(VLOOKUP(CONCATENATE(H157,F157,EP$2),Matemáticas!$A:$H,7,FALSE)=BD157,1,0)</f>
        <v>#N/A</v>
      </c>
      <c r="EQ157" s="138" t="e">
        <f>IF(VLOOKUP(CONCATENATE(H157,F157,EQ$2),Matemáticas!$A:$H,7,FALSE)=BE157,1,0)</f>
        <v>#N/A</v>
      </c>
      <c r="ER157" s="138" t="e">
        <f>IF(VLOOKUP(CONCATENATE(H157,F157,ER$2),Matemáticas!$A:$H,7,FALSE)=BF157,1,0)</f>
        <v>#N/A</v>
      </c>
      <c r="ES157" s="138" t="e">
        <f>IF(VLOOKUP(CONCATENATE(H157,F157,ES$2),Matemáticas!$A:$H,7,FALSE)=BG157,1,0)</f>
        <v>#N/A</v>
      </c>
      <c r="ET157" s="138" t="e">
        <f>IF(VLOOKUP(CONCATENATE(H157,F157,ET$2),Matemáticas!$A:$H,7,FALSE)=BH157,1,0)</f>
        <v>#N/A</v>
      </c>
      <c r="EU157" s="138" t="e">
        <f>IF(VLOOKUP(CONCATENATE(H157,F157,EU$2),Matemáticas!$A:$H,7,FALSE)=BI157,1,0)</f>
        <v>#N/A</v>
      </c>
      <c r="EV157" s="138" t="e">
        <f>IF(VLOOKUP(CONCATENATE(H157,F157,EV$2),Ciencias!$A:$H,7,FALSE)=BJ157,1,0)</f>
        <v>#N/A</v>
      </c>
      <c r="EW157" s="138" t="e">
        <f>IF(VLOOKUP(CONCATENATE(H157,F157,EW$2),Ciencias!$A:$H,7,FALSE)=BK157,1,0)</f>
        <v>#N/A</v>
      </c>
      <c r="EX157" s="138" t="e">
        <f>IF(VLOOKUP(CONCATENATE(H157,F157,EX$2),Ciencias!$A:$H,7,FALSE)=BL157,1,0)</f>
        <v>#N/A</v>
      </c>
      <c r="EY157" s="138" t="e">
        <f>IF(VLOOKUP(CONCATENATE(H157,F157,EY$2),Ciencias!$A:$H,7,FALSE)=BM157,1,0)</f>
        <v>#N/A</v>
      </c>
      <c r="EZ157" s="138" t="e">
        <f>IF(VLOOKUP(CONCATENATE(H157,F157,EZ$2),Ciencias!$A:$H,7,FALSE)=BN157,1,0)</f>
        <v>#N/A</v>
      </c>
      <c r="FA157" s="138" t="e">
        <f>IF(VLOOKUP(CONCATENATE(H157,F157,FA$2),Ciencias!$A:$H,7,FALSE)=BO157,1,0)</f>
        <v>#N/A</v>
      </c>
      <c r="FB157" s="138" t="e">
        <f>IF(VLOOKUP(CONCATENATE(H157,F157,FB$2),Ciencias!$A:$H,7,FALSE)=BP157,1,0)</f>
        <v>#N/A</v>
      </c>
      <c r="FC157" s="138" t="e">
        <f>IF(VLOOKUP(CONCATENATE(H157,F157,FC$2),Ciencias!$A:$H,7,FALSE)=BQ157,1,0)</f>
        <v>#N/A</v>
      </c>
      <c r="FD157" s="138" t="e">
        <f>IF(VLOOKUP(CONCATENATE(H157,F157,FD$2),Ciencias!$A:$H,7,FALSE)=BR157,1,0)</f>
        <v>#N/A</v>
      </c>
      <c r="FE157" s="138" t="e">
        <f>IF(VLOOKUP(CONCATENATE(H157,F157,FE$2),Ciencias!$A:$H,7,FALSE)=BS157,1,0)</f>
        <v>#N/A</v>
      </c>
      <c r="FF157" s="138" t="e">
        <f>IF(VLOOKUP(CONCATENATE(H157,F157,FF$2),Ciencias!$A:$H,7,FALSE)=BT157,1,0)</f>
        <v>#N/A</v>
      </c>
      <c r="FG157" s="138" t="e">
        <f>IF(VLOOKUP(CONCATENATE(H157,F157,FG$2),Ciencias!$A:$H,7,FALSE)=BU157,1,0)</f>
        <v>#N/A</v>
      </c>
      <c r="FH157" s="138" t="e">
        <f>IF(VLOOKUP(CONCATENATE(H157,F157,FH$2),Ciencias!$A:$H,7,FALSE)=BV157,1,0)</f>
        <v>#N/A</v>
      </c>
      <c r="FI157" s="138" t="e">
        <f>IF(VLOOKUP(CONCATENATE(H157,F157,FI$2),Ciencias!$A:$H,7,FALSE)=BW157,1,0)</f>
        <v>#N/A</v>
      </c>
      <c r="FJ157" s="138" t="e">
        <f>IF(VLOOKUP(CONCATENATE(H157,F157,FJ$2),Ciencias!$A:$H,7,FALSE)=BX157,1,0)</f>
        <v>#N/A</v>
      </c>
      <c r="FK157" s="138" t="e">
        <f>IF(VLOOKUP(CONCATENATE(H157,F157,FK$2),Ciencias!$A:$H,7,FALSE)=BY157,1,0)</f>
        <v>#N/A</v>
      </c>
      <c r="FL157" s="138" t="e">
        <f>IF(VLOOKUP(CONCATENATE(H157,F157,FL$2),Ciencias!$A:$H,7,FALSE)=BZ157,1,0)</f>
        <v>#N/A</v>
      </c>
      <c r="FM157" s="138" t="e">
        <f>IF(VLOOKUP(CONCATENATE(H157,F157,FM$2),Ciencias!$A:$H,7,FALSE)=CA157,1,0)</f>
        <v>#N/A</v>
      </c>
      <c r="FN157" s="138" t="e">
        <f>IF(VLOOKUP(CONCATENATE(H157,F157,FN$2),Ciencias!$A:$H,7,FALSE)=CB157,1,0)</f>
        <v>#N/A</v>
      </c>
      <c r="FO157" s="138" t="e">
        <f>IF(VLOOKUP(CONCATENATE(H157,F157,FO$2),Ciencias!$A:$H,7,FALSE)=CC157,1,0)</f>
        <v>#N/A</v>
      </c>
      <c r="FP157" s="138" t="e">
        <f>IF(VLOOKUP(CONCATENATE(H157,F157,FP$2),GeoHis!$A:$H,7,FALSE)=CD157,1,0)</f>
        <v>#N/A</v>
      </c>
      <c r="FQ157" s="138" t="e">
        <f>IF(VLOOKUP(CONCATENATE(H157,F157,FQ$2),GeoHis!$A:$H,7,FALSE)=CE157,1,0)</f>
        <v>#N/A</v>
      </c>
      <c r="FR157" s="138" t="e">
        <f>IF(VLOOKUP(CONCATENATE(H157,F157,FR$2),GeoHis!$A:$H,7,FALSE)=CF157,1,0)</f>
        <v>#N/A</v>
      </c>
      <c r="FS157" s="138" t="e">
        <f>IF(VLOOKUP(CONCATENATE(H157,F157,FS$2),GeoHis!$A:$H,7,FALSE)=CG157,1,0)</f>
        <v>#N/A</v>
      </c>
      <c r="FT157" s="138" t="e">
        <f>IF(VLOOKUP(CONCATENATE(H157,F157,FT$2),GeoHis!$A:$H,7,FALSE)=CH157,1,0)</f>
        <v>#N/A</v>
      </c>
      <c r="FU157" s="138" t="e">
        <f>IF(VLOOKUP(CONCATENATE(H157,F157,FU$2),GeoHis!$A:$H,7,FALSE)=CI157,1,0)</f>
        <v>#N/A</v>
      </c>
      <c r="FV157" s="138" t="e">
        <f>IF(VLOOKUP(CONCATENATE(H157,F157,FV$2),GeoHis!$A:$H,7,FALSE)=CJ157,1,0)</f>
        <v>#N/A</v>
      </c>
      <c r="FW157" s="138" t="e">
        <f>IF(VLOOKUP(CONCATENATE(H157,F157,FW$2),GeoHis!$A:$H,7,FALSE)=CK157,1,0)</f>
        <v>#N/A</v>
      </c>
      <c r="FX157" s="138" t="e">
        <f>IF(VLOOKUP(CONCATENATE(H157,F157,FX$2),GeoHis!$A:$H,7,FALSE)=CL157,1,0)</f>
        <v>#N/A</v>
      </c>
      <c r="FY157" s="138" t="e">
        <f>IF(VLOOKUP(CONCATENATE(H157,F157,FY$2),GeoHis!$A:$H,7,FALSE)=CM157,1,0)</f>
        <v>#N/A</v>
      </c>
      <c r="FZ157" s="138" t="e">
        <f>IF(VLOOKUP(CONCATENATE(H157,F157,FZ$2),GeoHis!$A:$H,7,FALSE)=CN157,1,0)</f>
        <v>#N/A</v>
      </c>
      <c r="GA157" s="138" t="e">
        <f>IF(VLOOKUP(CONCATENATE(H157,F157,GA$2),GeoHis!$A:$H,7,FALSE)=CO157,1,0)</f>
        <v>#N/A</v>
      </c>
      <c r="GB157" s="138" t="e">
        <f>IF(VLOOKUP(CONCATENATE(H157,F157,GB$2),GeoHis!$A:$H,7,FALSE)=CP157,1,0)</f>
        <v>#N/A</v>
      </c>
      <c r="GC157" s="138" t="e">
        <f>IF(VLOOKUP(CONCATENATE(H157,F157,GC$2),GeoHis!$A:$H,7,FALSE)=CQ157,1,0)</f>
        <v>#N/A</v>
      </c>
      <c r="GD157" s="138" t="e">
        <f>IF(VLOOKUP(CONCATENATE(H157,F157,GD$2),GeoHis!$A:$H,7,FALSE)=CR157,1,0)</f>
        <v>#N/A</v>
      </c>
      <c r="GE157" s="135" t="str">
        <f t="shared" si="23"/>
        <v/>
      </c>
    </row>
    <row r="158" spans="1:187" x14ac:dyDescent="0.25">
      <c r="A158" s="127" t="str">
        <f>IF(C158="","",'Datos Generales'!$A$25)</f>
        <v/>
      </c>
      <c r="D158" s="126" t="str">
        <f t="shared" si="16"/>
        <v/>
      </c>
      <c r="E158" s="126">
        <f t="shared" si="17"/>
        <v>0</v>
      </c>
      <c r="F158" s="126" t="str">
        <f t="shared" si="18"/>
        <v/>
      </c>
      <c r="G158" s="126" t="str">
        <f>IF(C158="","",'Datos Generales'!$D$19)</f>
        <v/>
      </c>
      <c r="H158" s="21" t="str">
        <f>IF(C158="","",'Datos Generales'!$A$19)</f>
        <v/>
      </c>
      <c r="I158" s="126" t="str">
        <f>IF(C158="","",'Datos Generales'!$A$7)</f>
        <v/>
      </c>
      <c r="J158" s="21" t="str">
        <f>IF(C158="","",'Datos Generales'!$A$13)</f>
        <v/>
      </c>
      <c r="K158" s="21" t="str">
        <f>IF(C158="","",'Datos Generales'!$A$10)</f>
        <v/>
      </c>
      <c r="CS158" s="142" t="str">
        <f t="shared" si="19"/>
        <v/>
      </c>
      <c r="CT158" s="142" t="str">
        <f t="shared" si="20"/>
        <v/>
      </c>
      <c r="CU158" s="142" t="str">
        <f t="shared" si="21"/>
        <v/>
      </c>
      <c r="CV158" s="142" t="str">
        <f t="shared" si="22"/>
        <v/>
      </c>
      <c r="CW158" s="142" t="str">
        <f>IF(C158="","",IF('Datos Generales'!$A$19=1,AVERAGE(FP158:GD158),AVERAGE(Captura!FP158:FY158)))</f>
        <v/>
      </c>
      <c r="CX158" s="138" t="e">
        <f>IF(VLOOKUP(CONCATENATE($H$4,$F$4,CX$2),Español!$A:$H,7,FALSE)=L158,1,0)</f>
        <v>#N/A</v>
      </c>
      <c r="CY158" s="138" t="e">
        <f>IF(VLOOKUP(CONCATENATE(H158,F158,CY$2),Español!$A:$H,7,FALSE)=M158,1,0)</f>
        <v>#N/A</v>
      </c>
      <c r="CZ158" s="138" t="e">
        <f>IF(VLOOKUP(CONCATENATE(H158,F158,CZ$2),Español!$A:$H,7,FALSE)=N158,1,0)</f>
        <v>#N/A</v>
      </c>
      <c r="DA158" s="138" t="e">
        <f>IF(VLOOKUP(CONCATENATE(H158,F158,DA$2),Español!$A:$H,7,FALSE)=O158,1,0)</f>
        <v>#N/A</v>
      </c>
      <c r="DB158" s="138" t="e">
        <f>IF(VLOOKUP(CONCATENATE(H158,F158,DB$2),Español!$A:$H,7,FALSE)=P158,1,0)</f>
        <v>#N/A</v>
      </c>
      <c r="DC158" s="138" t="e">
        <f>IF(VLOOKUP(CONCATENATE(H158,F158,DC$2),Español!$A:$H,7,FALSE)=Q158,1,0)</f>
        <v>#N/A</v>
      </c>
      <c r="DD158" s="138" t="e">
        <f>IF(VLOOKUP(CONCATENATE(H158,F158,DD$2),Español!$A:$H,7,FALSE)=R158,1,0)</f>
        <v>#N/A</v>
      </c>
      <c r="DE158" s="138" t="e">
        <f>IF(VLOOKUP(CONCATENATE(H158,F158,DE$2),Español!$A:$H,7,FALSE)=S158,1,0)</f>
        <v>#N/A</v>
      </c>
      <c r="DF158" s="138" t="e">
        <f>IF(VLOOKUP(CONCATENATE(H158,F158,DF$2),Español!$A:$H,7,FALSE)=T158,1,0)</f>
        <v>#N/A</v>
      </c>
      <c r="DG158" s="138" t="e">
        <f>IF(VLOOKUP(CONCATENATE(H158,F158,DG$2),Español!$A:$H,7,FALSE)=U158,1,0)</f>
        <v>#N/A</v>
      </c>
      <c r="DH158" s="138" t="e">
        <f>IF(VLOOKUP(CONCATENATE(H158,F158,DH$2),Español!$A:$H,7,FALSE)=V158,1,0)</f>
        <v>#N/A</v>
      </c>
      <c r="DI158" s="138" t="e">
        <f>IF(VLOOKUP(CONCATENATE(H158,F158,DI$2),Español!$A:$H,7,FALSE)=W158,1,0)</f>
        <v>#N/A</v>
      </c>
      <c r="DJ158" s="138" t="e">
        <f>IF(VLOOKUP(CONCATENATE(H158,F158,DJ$2),Español!$A:$H,7,FALSE)=X158,1,0)</f>
        <v>#N/A</v>
      </c>
      <c r="DK158" s="138" t="e">
        <f>IF(VLOOKUP(CONCATENATE(H158,F158,DK$2),Español!$A:$H,7,FALSE)=Y158,1,0)</f>
        <v>#N/A</v>
      </c>
      <c r="DL158" s="138" t="e">
        <f>IF(VLOOKUP(CONCATENATE(H158,F158,DL$2),Español!$A:$H,7,FALSE)=Z158,1,0)</f>
        <v>#N/A</v>
      </c>
      <c r="DM158" s="138" t="e">
        <f>IF(VLOOKUP(CONCATENATE(H158,F158,DM$2),Español!$A:$H,7,FALSE)=AA158,1,0)</f>
        <v>#N/A</v>
      </c>
      <c r="DN158" s="138" t="e">
        <f>IF(VLOOKUP(CONCATENATE(H158,F158,DN$2),Español!$A:$H,7,FALSE)=AB158,1,0)</f>
        <v>#N/A</v>
      </c>
      <c r="DO158" s="138" t="e">
        <f>IF(VLOOKUP(CONCATENATE(H158,F158,DO$2),Español!$A:$H,7,FALSE)=AC158,1,0)</f>
        <v>#N/A</v>
      </c>
      <c r="DP158" s="138" t="e">
        <f>IF(VLOOKUP(CONCATENATE(H158,F158,DP$2),Español!$A:$H,7,FALSE)=AD158,1,0)</f>
        <v>#N/A</v>
      </c>
      <c r="DQ158" s="138" t="e">
        <f>IF(VLOOKUP(CONCATENATE(H158,F158,DQ$2),Español!$A:$H,7,FALSE)=AE158,1,0)</f>
        <v>#N/A</v>
      </c>
      <c r="DR158" s="138" t="e">
        <f>IF(VLOOKUP(CONCATENATE(H158,F158,DR$2),Inglés!$A:$H,7,FALSE)=AF158,1,0)</f>
        <v>#N/A</v>
      </c>
      <c r="DS158" s="138" t="e">
        <f>IF(VLOOKUP(CONCATENATE(H158,F158,DS$2),Inglés!$A:$H,7,FALSE)=AG158,1,0)</f>
        <v>#N/A</v>
      </c>
      <c r="DT158" s="138" t="e">
        <f>IF(VLOOKUP(CONCATENATE(H158,F158,DT$2),Inglés!$A:$H,7,FALSE)=AH158,1,0)</f>
        <v>#N/A</v>
      </c>
      <c r="DU158" s="138" t="e">
        <f>IF(VLOOKUP(CONCATENATE(H158,F158,DU$2),Inglés!$A:$H,7,FALSE)=AI158,1,0)</f>
        <v>#N/A</v>
      </c>
      <c r="DV158" s="138" t="e">
        <f>IF(VLOOKUP(CONCATENATE(H158,F158,DV$2),Inglés!$A:$H,7,FALSE)=AJ158,1,0)</f>
        <v>#N/A</v>
      </c>
      <c r="DW158" s="138" t="e">
        <f>IF(VLOOKUP(CONCATENATE(H158,F158,DW$2),Inglés!$A:$H,7,FALSE)=AK158,1,0)</f>
        <v>#N/A</v>
      </c>
      <c r="DX158" s="138" t="e">
        <f>IF(VLOOKUP(CONCATENATE(H158,F158,DX$2),Inglés!$A:$H,7,FALSE)=AL158,1,0)</f>
        <v>#N/A</v>
      </c>
      <c r="DY158" s="138" t="e">
        <f>IF(VLOOKUP(CONCATENATE(H158,F158,DY$2),Inglés!$A:$H,7,FALSE)=AM158,1,0)</f>
        <v>#N/A</v>
      </c>
      <c r="DZ158" s="138" t="e">
        <f>IF(VLOOKUP(CONCATENATE(H158,F158,DZ$2),Inglés!$A:$H,7,FALSE)=AN158,1,0)</f>
        <v>#N/A</v>
      </c>
      <c r="EA158" s="138" t="e">
        <f>IF(VLOOKUP(CONCATENATE(H158,F158,EA$2),Inglés!$A:$H,7,FALSE)=AO158,1,0)</f>
        <v>#N/A</v>
      </c>
      <c r="EB158" s="138" t="e">
        <f>IF(VLOOKUP(CONCATENATE(H158,F158,EB$2),Matemáticas!$A:$H,7,FALSE)=AP158,1,0)</f>
        <v>#N/A</v>
      </c>
      <c r="EC158" s="138" t="e">
        <f>IF(VLOOKUP(CONCATENATE(H158,F158,EC$2),Matemáticas!$A:$H,7,FALSE)=AQ158,1,0)</f>
        <v>#N/A</v>
      </c>
      <c r="ED158" s="138" t="e">
        <f>IF(VLOOKUP(CONCATENATE(H158,F158,ED$2),Matemáticas!$A:$H,7,FALSE)=AR158,1,0)</f>
        <v>#N/A</v>
      </c>
      <c r="EE158" s="138" t="e">
        <f>IF(VLOOKUP(CONCATENATE(H158,F158,EE$2),Matemáticas!$A:$H,7,FALSE)=AS158,1,0)</f>
        <v>#N/A</v>
      </c>
      <c r="EF158" s="138" t="e">
        <f>IF(VLOOKUP(CONCATENATE(H158,F158,EF$2),Matemáticas!$A:$H,7,FALSE)=AT158,1,0)</f>
        <v>#N/A</v>
      </c>
      <c r="EG158" s="138" t="e">
        <f>IF(VLOOKUP(CONCATENATE(H158,F158,EG$2),Matemáticas!$A:$H,7,FALSE)=AU158,1,0)</f>
        <v>#N/A</v>
      </c>
      <c r="EH158" s="138" t="e">
        <f>IF(VLOOKUP(CONCATENATE(H158,F158,EH$2),Matemáticas!$A:$H,7,FALSE)=AV158,1,0)</f>
        <v>#N/A</v>
      </c>
      <c r="EI158" s="138" t="e">
        <f>IF(VLOOKUP(CONCATENATE(H158,F158,EI$2),Matemáticas!$A:$H,7,FALSE)=AW158,1,0)</f>
        <v>#N/A</v>
      </c>
      <c r="EJ158" s="138" t="e">
        <f>IF(VLOOKUP(CONCATENATE(H158,F158,EJ$2),Matemáticas!$A:$H,7,FALSE)=AX158,1,0)</f>
        <v>#N/A</v>
      </c>
      <c r="EK158" s="138" t="e">
        <f>IF(VLOOKUP(CONCATENATE(H158,F158,EK$2),Matemáticas!$A:$H,7,FALSE)=AY158,1,0)</f>
        <v>#N/A</v>
      </c>
      <c r="EL158" s="138" t="e">
        <f>IF(VLOOKUP(CONCATENATE(H158,F158,EL$2),Matemáticas!$A:$H,7,FALSE)=AZ158,1,0)</f>
        <v>#N/A</v>
      </c>
      <c r="EM158" s="138" t="e">
        <f>IF(VLOOKUP(CONCATENATE(H158,F158,EM$2),Matemáticas!$A:$H,7,FALSE)=BA158,1,0)</f>
        <v>#N/A</v>
      </c>
      <c r="EN158" s="138" t="e">
        <f>IF(VLOOKUP(CONCATENATE(H158,F158,EN$2),Matemáticas!$A:$H,7,FALSE)=BB158,1,0)</f>
        <v>#N/A</v>
      </c>
      <c r="EO158" s="138" t="e">
        <f>IF(VLOOKUP(CONCATENATE(H158,F158,EO$2),Matemáticas!$A:$H,7,FALSE)=BC158,1,0)</f>
        <v>#N/A</v>
      </c>
      <c r="EP158" s="138" t="e">
        <f>IF(VLOOKUP(CONCATENATE(H158,F158,EP$2),Matemáticas!$A:$H,7,FALSE)=BD158,1,0)</f>
        <v>#N/A</v>
      </c>
      <c r="EQ158" s="138" t="e">
        <f>IF(VLOOKUP(CONCATENATE(H158,F158,EQ$2),Matemáticas!$A:$H,7,FALSE)=BE158,1,0)</f>
        <v>#N/A</v>
      </c>
      <c r="ER158" s="138" t="e">
        <f>IF(VLOOKUP(CONCATENATE(H158,F158,ER$2),Matemáticas!$A:$H,7,FALSE)=BF158,1,0)</f>
        <v>#N/A</v>
      </c>
      <c r="ES158" s="138" t="e">
        <f>IF(VLOOKUP(CONCATENATE(H158,F158,ES$2),Matemáticas!$A:$H,7,FALSE)=BG158,1,0)</f>
        <v>#N/A</v>
      </c>
      <c r="ET158" s="138" t="e">
        <f>IF(VLOOKUP(CONCATENATE(H158,F158,ET$2),Matemáticas!$A:$H,7,FALSE)=BH158,1,0)</f>
        <v>#N/A</v>
      </c>
      <c r="EU158" s="138" t="e">
        <f>IF(VLOOKUP(CONCATENATE(H158,F158,EU$2),Matemáticas!$A:$H,7,FALSE)=BI158,1,0)</f>
        <v>#N/A</v>
      </c>
      <c r="EV158" s="138" t="e">
        <f>IF(VLOOKUP(CONCATENATE(H158,F158,EV$2),Ciencias!$A:$H,7,FALSE)=BJ158,1,0)</f>
        <v>#N/A</v>
      </c>
      <c r="EW158" s="138" t="e">
        <f>IF(VLOOKUP(CONCATENATE(H158,F158,EW$2),Ciencias!$A:$H,7,FALSE)=BK158,1,0)</f>
        <v>#N/A</v>
      </c>
      <c r="EX158" s="138" t="e">
        <f>IF(VLOOKUP(CONCATENATE(H158,F158,EX$2),Ciencias!$A:$H,7,FALSE)=BL158,1,0)</f>
        <v>#N/A</v>
      </c>
      <c r="EY158" s="138" t="e">
        <f>IF(VLOOKUP(CONCATENATE(H158,F158,EY$2),Ciencias!$A:$H,7,FALSE)=BM158,1,0)</f>
        <v>#N/A</v>
      </c>
      <c r="EZ158" s="138" t="e">
        <f>IF(VLOOKUP(CONCATENATE(H158,F158,EZ$2),Ciencias!$A:$H,7,FALSE)=BN158,1,0)</f>
        <v>#N/A</v>
      </c>
      <c r="FA158" s="138" t="e">
        <f>IF(VLOOKUP(CONCATENATE(H158,F158,FA$2),Ciencias!$A:$H,7,FALSE)=BO158,1,0)</f>
        <v>#N/A</v>
      </c>
      <c r="FB158" s="138" t="e">
        <f>IF(VLOOKUP(CONCATENATE(H158,F158,FB$2),Ciencias!$A:$H,7,FALSE)=BP158,1,0)</f>
        <v>#N/A</v>
      </c>
      <c r="FC158" s="138" t="e">
        <f>IF(VLOOKUP(CONCATENATE(H158,F158,FC$2),Ciencias!$A:$H,7,FALSE)=BQ158,1,0)</f>
        <v>#N/A</v>
      </c>
      <c r="FD158" s="138" t="e">
        <f>IF(VLOOKUP(CONCATENATE(H158,F158,FD$2),Ciencias!$A:$H,7,FALSE)=BR158,1,0)</f>
        <v>#N/A</v>
      </c>
      <c r="FE158" s="138" t="e">
        <f>IF(VLOOKUP(CONCATENATE(H158,F158,FE$2),Ciencias!$A:$H,7,FALSE)=BS158,1,0)</f>
        <v>#N/A</v>
      </c>
      <c r="FF158" s="138" t="e">
        <f>IF(VLOOKUP(CONCATENATE(H158,F158,FF$2),Ciencias!$A:$H,7,FALSE)=BT158,1,0)</f>
        <v>#N/A</v>
      </c>
      <c r="FG158" s="138" t="e">
        <f>IF(VLOOKUP(CONCATENATE(H158,F158,FG$2),Ciencias!$A:$H,7,FALSE)=BU158,1,0)</f>
        <v>#N/A</v>
      </c>
      <c r="FH158" s="138" t="e">
        <f>IF(VLOOKUP(CONCATENATE(H158,F158,FH$2),Ciencias!$A:$H,7,FALSE)=BV158,1,0)</f>
        <v>#N/A</v>
      </c>
      <c r="FI158" s="138" t="e">
        <f>IF(VLOOKUP(CONCATENATE(H158,F158,FI$2),Ciencias!$A:$H,7,FALSE)=BW158,1,0)</f>
        <v>#N/A</v>
      </c>
      <c r="FJ158" s="138" t="e">
        <f>IF(VLOOKUP(CONCATENATE(H158,F158,FJ$2),Ciencias!$A:$H,7,FALSE)=BX158,1,0)</f>
        <v>#N/A</v>
      </c>
      <c r="FK158" s="138" t="e">
        <f>IF(VLOOKUP(CONCATENATE(H158,F158,FK$2),Ciencias!$A:$H,7,FALSE)=BY158,1,0)</f>
        <v>#N/A</v>
      </c>
      <c r="FL158" s="138" t="e">
        <f>IF(VLOOKUP(CONCATENATE(H158,F158,FL$2),Ciencias!$A:$H,7,FALSE)=BZ158,1,0)</f>
        <v>#N/A</v>
      </c>
      <c r="FM158" s="138" t="e">
        <f>IF(VLOOKUP(CONCATENATE(H158,F158,FM$2),Ciencias!$A:$H,7,FALSE)=CA158,1,0)</f>
        <v>#N/A</v>
      </c>
      <c r="FN158" s="138" t="e">
        <f>IF(VLOOKUP(CONCATENATE(H158,F158,FN$2),Ciencias!$A:$H,7,FALSE)=CB158,1,0)</f>
        <v>#N/A</v>
      </c>
      <c r="FO158" s="138" t="e">
        <f>IF(VLOOKUP(CONCATENATE(H158,F158,FO$2),Ciencias!$A:$H,7,FALSE)=CC158,1,0)</f>
        <v>#N/A</v>
      </c>
      <c r="FP158" s="138" t="e">
        <f>IF(VLOOKUP(CONCATENATE(H158,F158,FP$2),GeoHis!$A:$H,7,FALSE)=CD158,1,0)</f>
        <v>#N/A</v>
      </c>
      <c r="FQ158" s="138" t="e">
        <f>IF(VLOOKUP(CONCATENATE(H158,F158,FQ$2),GeoHis!$A:$H,7,FALSE)=CE158,1,0)</f>
        <v>#N/A</v>
      </c>
      <c r="FR158" s="138" t="e">
        <f>IF(VLOOKUP(CONCATENATE(H158,F158,FR$2),GeoHis!$A:$H,7,FALSE)=CF158,1,0)</f>
        <v>#N/A</v>
      </c>
      <c r="FS158" s="138" t="e">
        <f>IF(VLOOKUP(CONCATENATE(H158,F158,FS$2),GeoHis!$A:$H,7,FALSE)=CG158,1,0)</f>
        <v>#N/A</v>
      </c>
      <c r="FT158" s="138" t="e">
        <f>IF(VLOOKUP(CONCATENATE(H158,F158,FT$2),GeoHis!$A:$H,7,FALSE)=CH158,1,0)</f>
        <v>#N/A</v>
      </c>
      <c r="FU158" s="138" t="e">
        <f>IF(VLOOKUP(CONCATENATE(H158,F158,FU$2),GeoHis!$A:$H,7,FALSE)=CI158,1,0)</f>
        <v>#N/A</v>
      </c>
      <c r="FV158" s="138" t="e">
        <f>IF(VLOOKUP(CONCATENATE(H158,F158,FV$2),GeoHis!$A:$H,7,FALSE)=CJ158,1,0)</f>
        <v>#N/A</v>
      </c>
      <c r="FW158" s="138" t="e">
        <f>IF(VLOOKUP(CONCATENATE(H158,F158,FW$2),GeoHis!$A:$H,7,FALSE)=CK158,1,0)</f>
        <v>#N/A</v>
      </c>
      <c r="FX158" s="138" t="e">
        <f>IF(VLOOKUP(CONCATENATE(H158,F158,FX$2),GeoHis!$A:$H,7,FALSE)=CL158,1,0)</f>
        <v>#N/A</v>
      </c>
      <c r="FY158" s="138" t="e">
        <f>IF(VLOOKUP(CONCATENATE(H158,F158,FY$2),GeoHis!$A:$H,7,FALSE)=CM158,1,0)</f>
        <v>#N/A</v>
      </c>
      <c r="FZ158" s="138" t="e">
        <f>IF(VLOOKUP(CONCATENATE(H158,F158,FZ$2),GeoHis!$A:$H,7,FALSE)=CN158,1,0)</f>
        <v>#N/A</v>
      </c>
      <c r="GA158" s="138" t="e">
        <f>IF(VLOOKUP(CONCATENATE(H158,F158,GA$2),GeoHis!$A:$H,7,FALSE)=CO158,1,0)</f>
        <v>#N/A</v>
      </c>
      <c r="GB158" s="138" t="e">
        <f>IF(VLOOKUP(CONCATENATE(H158,F158,GB$2),GeoHis!$A:$H,7,FALSE)=CP158,1,0)</f>
        <v>#N/A</v>
      </c>
      <c r="GC158" s="138" t="e">
        <f>IF(VLOOKUP(CONCATENATE(H158,F158,GC$2),GeoHis!$A:$H,7,FALSE)=CQ158,1,0)</f>
        <v>#N/A</v>
      </c>
      <c r="GD158" s="138" t="e">
        <f>IF(VLOOKUP(CONCATENATE(H158,F158,GD$2),GeoHis!$A:$H,7,FALSE)=CR158,1,0)</f>
        <v>#N/A</v>
      </c>
      <c r="GE158" s="135" t="str">
        <f t="shared" si="23"/>
        <v/>
      </c>
    </row>
    <row r="159" spans="1:187" x14ac:dyDescent="0.25">
      <c r="A159" s="127" t="str">
        <f>IF(C159="","",'Datos Generales'!$A$25)</f>
        <v/>
      </c>
      <c r="D159" s="126" t="str">
        <f t="shared" si="16"/>
        <v/>
      </c>
      <c r="E159" s="126">
        <f t="shared" si="17"/>
        <v>0</v>
      </c>
      <c r="F159" s="126" t="str">
        <f t="shared" si="18"/>
        <v/>
      </c>
      <c r="G159" s="126" t="str">
        <f>IF(C159="","",'Datos Generales'!$D$19)</f>
        <v/>
      </c>
      <c r="H159" s="21" t="str">
        <f>IF(C159="","",'Datos Generales'!$A$19)</f>
        <v/>
      </c>
      <c r="I159" s="126" t="str">
        <f>IF(C159="","",'Datos Generales'!$A$7)</f>
        <v/>
      </c>
      <c r="J159" s="21" t="str">
        <f>IF(C159="","",'Datos Generales'!$A$13)</f>
        <v/>
      </c>
      <c r="K159" s="21" t="str">
        <f>IF(C159="","",'Datos Generales'!$A$10)</f>
        <v/>
      </c>
      <c r="CS159" s="142" t="str">
        <f t="shared" si="19"/>
        <v/>
      </c>
      <c r="CT159" s="142" t="str">
        <f t="shared" si="20"/>
        <v/>
      </c>
      <c r="CU159" s="142" t="str">
        <f t="shared" si="21"/>
        <v/>
      </c>
      <c r="CV159" s="142" t="str">
        <f t="shared" si="22"/>
        <v/>
      </c>
      <c r="CW159" s="142" t="str">
        <f>IF(C159="","",IF('Datos Generales'!$A$19=1,AVERAGE(FP159:GD159),AVERAGE(Captura!FP159:FY159)))</f>
        <v/>
      </c>
      <c r="CX159" s="138" t="e">
        <f>IF(VLOOKUP(CONCATENATE($H$4,$F$4,CX$2),Español!$A:$H,7,FALSE)=L159,1,0)</f>
        <v>#N/A</v>
      </c>
      <c r="CY159" s="138" t="e">
        <f>IF(VLOOKUP(CONCATENATE(H159,F159,CY$2),Español!$A:$H,7,FALSE)=M159,1,0)</f>
        <v>#N/A</v>
      </c>
      <c r="CZ159" s="138" t="e">
        <f>IF(VLOOKUP(CONCATENATE(H159,F159,CZ$2),Español!$A:$H,7,FALSE)=N159,1,0)</f>
        <v>#N/A</v>
      </c>
      <c r="DA159" s="138" t="e">
        <f>IF(VLOOKUP(CONCATENATE(H159,F159,DA$2),Español!$A:$H,7,FALSE)=O159,1,0)</f>
        <v>#N/A</v>
      </c>
      <c r="DB159" s="138" t="e">
        <f>IF(VLOOKUP(CONCATENATE(H159,F159,DB$2),Español!$A:$H,7,FALSE)=P159,1,0)</f>
        <v>#N/A</v>
      </c>
      <c r="DC159" s="138" t="e">
        <f>IF(VLOOKUP(CONCATENATE(H159,F159,DC$2),Español!$A:$H,7,FALSE)=Q159,1,0)</f>
        <v>#N/A</v>
      </c>
      <c r="DD159" s="138" t="e">
        <f>IF(VLOOKUP(CONCATENATE(H159,F159,DD$2),Español!$A:$H,7,FALSE)=R159,1,0)</f>
        <v>#N/A</v>
      </c>
      <c r="DE159" s="138" t="e">
        <f>IF(VLOOKUP(CONCATENATE(H159,F159,DE$2),Español!$A:$H,7,FALSE)=S159,1,0)</f>
        <v>#N/A</v>
      </c>
      <c r="DF159" s="138" t="e">
        <f>IF(VLOOKUP(CONCATENATE(H159,F159,DF$2),Español!$A:$H,7,FALSE)=T159,1,0)</f>
        <v>#N/A</v>
      </c>
      <c r="DG159" s="138" t="e">
        <f>IF(VLOOKUP(CONCATENATE(H159,F159,DG$2),Español!$A:$H,7,FALSE)=U159,1,0)</f>
        <v>#N/A</v>
      </c>
      <c r="DH159" s="138" t="e">
        <f>IF(VLOOKUP(CONCATENATE(H159,F159,DH$2),Español!$A:$H,7,FALSE)=V159,1,0)</f>
        <v>#N/A</v>
      </c>
      <c r="DI159" s="138" t="e">
        <f>IF(VLOOKUP(CONCATENATE(H159,F159,DI$2),Español!$A:$H,7,FALSE)=W159,1,0)</f>
        <v>#N/A</v>
      </c>
      <c r="DJ159" s="138" t="e">
        <f>IF(VLOOKUP(CONCATENATE(H159,F159,DJ$2),Español!$A:$H,7,FALSE)=X159,1,0)</f>
        <v>#N/A</v>
      </c>
      <c r="DK159" s="138" t="e">
        <f>IF(VLOOKUP(CONCATENATE(H159,F159,DK$2),Español!$A:$H,7,FALSE)=Y159,1,0)</f>
        <v>#N/A</v>
      </c>
      <c r="DL159" s="138" t="e">
        <f>IF(VLOOKUP(CONCATENATE(H159,F159,DL$2),Español!$A:$H,7,FALSE)=Z159,1,0)</f>
        <v>#N/A</v>
      </c>
      <c r="DM159" s="138" t="e">
        <f>IF(VLOOKUP(CONCATENATE(H159,F159,DM$2),Español!$A:$H,7,FALSE)=AA159,1,0)</f>
        <v>#N/A</v>
      </c>
      <c r="DN159" s="138" t="e">
        <f>IF(VLOOKUP(CONCATENATE(H159,F159,DN$2),Español!$A:$H,7,FALSE)=AB159,1,0)</f>
        <v>#N/A</v>
      </c>
      <c r="DO159" s="138" t="e">
        <f>IF(VLOOKUP(CONCATENATE(H159,F159,DO$2),Español!$A:$H,7,FALSE)=AC159,1,0)</f>
        <v>#N/A</v>
      </c>
      <c r="DP159" s="138" t="e">
        <f>IF(VLOOKUP(CONCATENATE(H159,F159,DP$2),Español!$A:$H,7,FALSE)=AD159,1,0)</f>
        <v>#N/A</v>
      </c>
      <c r="DQ159" s="138" t="e">
        <f>IF(VLOOKUP(CONCATENATE(H159,F159,DQ$2),Español!$A:$H,7,FALSE)=AE159,1,0)</f>
        <v>#N/A</v>
      </c>
      <c r="DR159" s="138" t="e">
        <f>IF(VLOOKUP(CONCATENATE(H159,F159,DR$2),Inglés!$A:$H,7,FALSE)=AF159,1,0)</f>
        <v>#N/A</v>
      </c>
      <c r="DS159" s="138" t="e">
        <f>IF(VLOOKUP(CONCATENATE(H159,F159,DS$2),Inglés!$A:$H,7,FALSE)=AG159,1,0)</f>
        <v>#N/A</v>
      </c>
      <c r="DT159" s="138" t="e">
        <f>IF(VLOOKUP(CONCATENATE(H159,F159,DT$2),Inglés!$A:$H,7,FALSE)=AH159,1,0)</f>
        <v>#N/A</v>
      </c>
      <c r="DU159" s="138" t="e">
        <f>IF(VLOOKUP(CONCATENATE(H159,F159,DU$2),Inglés!$A:$H,7,FALSE)=AI159,1,0)</f>
        <v>#N/A</v>
      </c>
      <c r="DV159" s="138" t="e">
        <f>IF(VLOOKUP(CONCATENATE(H159,F159,DV$2),Inglés!$A:$H,7,FALSE)=AJ159,1,0)</f>
        <v>#N/A</v>
      </c>
      <c r="DW159" s="138" t="e">
        <f>IF(VLOOKUP(CONCATENATE(H159,F159,DW$2),Inglés!$A:$H,7,FALSE)=AK159,1,0)</f>
        <v>#N/A</v>
      </c>
      <c r="DX159" s="138" t="e">
        <f>IF(VLOOKUP(CONCATENATE(H159,F159,DX$2),Inglés!$A:$H,7,FALSE)=AL159,1,0)</f>
        <v>#N/A</v>
      </c>
      <c r="DY159" s="138" t="e">
        <f>IF(VLOOKUP(CONCATENATE(H159,F159,DY$2),Inglés!$A:$H,7,FALSE)=AM159,1,0)</f>
        <v>#N/A</v>
      </c>
      <c r="DZ159" s="138" t="e">
        <f>IF(VLOOKUP(CONCATENATE(H159,F159,DZ$2),Inglés!$A:$H,7,FALSE)=AN159,1,0)</f>
        <v>#N/A</v>
      </c>
      <c r="EA159" s="138" t="e">
        <f>IF(VLOOKUP(CONCATENATE(H159,F159,EA$2),Inglés!$A:$H,7,FALSE)=AO159,1,0)</f>
        <v>#N/A</v>
      </c>
      <c r="EB159" s="138" t="e">
        <f>IF(VLOOKUP(CONCATENATE(H159,F159,EB$2),Matemáticas!$A:$H,7,FALSE)=AP159,1,0)</f>
        <v>#N/A</v>
      </c>
      <c r="EC159" s="138" t="e">
        <f>IF(VLOOKUP(CONCATENATE(H159,F159,EC$2),Matemáticas!$A:$H,7,FALSE)=AQ159,1,0)</f>
        <v>#N/A</v>
      </c>
      <c r="ED159" s="138" t="e">
        <f>IF(VLOOKUP(CONCATENATE(H159,F159,ED$2),Matemáticas!$A:$H,7,FALSE)=AR159,1,0)</f>
        <v>#N/A</v>
      </c>
      <c r="EE159" s="138" t="e">
        <f>IF(VLOOKUP(CONCATENATE(H159,F159,EE$2),Matemáticas!$A:$H,7,FALSE)=AS159,1,0)</f>
        <v>#N/A</v>
      </c>
      <c r="EF159" s="138" t="e">
        <f>IF(VLOOKUP(CONCATENATE(H159,F159,EF$2),Matemáticas!$A:$H,7,FALSE)=AT159,1,0)</f>
        <v>#N/A</v>
      </c>
      <c r="EG159" s="138" t="e">
        <f>IF(VLOOKUP(CONCATENATE(H159,F159,EG$2),Matemáticas!$A:$H,7,FALSE)=AU159,1,0)</f>
        <v>#N/A</v>
      </c>
      <c r="EH159" s="138" t="e">
        <f>IF(VLOOKUP(CONCATENATE(H159,F159,EH$2),Matemáticas!$A:$H,7,FALSE)=AV159,1,0)</f>
        <v>#N/A</v>
      </c>
      <c r="EI159" s="138" t="e">
        <f>IF(VLOOKUP(CONCATENATE(H159,F159,EI$2),Matemáticas!$A:$H,7,FALSE)=AW159,1,0)</f>
        <v>#N/A</v>
      </c>
      <c r="EJ159" s="138" t="e">
        <f>IF(VLOOKUP(CONCATENATE(H159,F159,EJ$2),Matemáticas!$A:$H,7,FALSE)=AX159,1,0)</f>
        <v>#N/A</v>
      </c>
      <c r="EK159" s="138" t="e">
        <f>IF(VLOOKUP(CONCATENATE(H159,F159,EK$2),Matemáticas!$A:$H,7,FALSE)=AY159,1,0)</f>
        <v>#N/A</v>
      </c>
      <c r="EL159" s="138" t="e">
        <f>IF(VLOOKUP(CONCATENATE(H159,F159,EL$2),Matemáticas!$A:$H,7,FALSE)=AZ159,1,0)</f>
        <v>#N/A</v>
      </c>
      <c r="EM159" s="138" t="e">
        <f>IF(VLOOKUP(CONCATENATE(H159,F159,EM$2),Matemáticas!$A:$H,7,FALSE)=BA159,1,0)</f>
        <v>#N/A</v>
      </c>
      <c r="EN159" s="138" t="e">
        <f>IF(VLOOKUP(CONCATENATE(H159,F159,EN$2),Matemáticas!$A:$H,7,FALSE)=BB159,1,0)</f>
        <v>#N/A</v>
      </c>
      <c r="EO159" s="138" t="e">
        <f>IF(VLOOKUP(CONCATENATE(H159,F159,EO$2),Matemáticas!$A:$H,7,FALSE)=BC159,1,0)</f>
        <v>#N/A</v>
      </c>
      <c r="EP159" s="138" t="e">
        <f>IF(VLOOKUP(CONCATENATE(H159,F159,EP$2),Matemáticas!$A:$H,7,FALSE)=BD159,1,0)</f>
        <v>#N/A</v>
      </c>
      <c r="EQ159" s="138" t="e">
        <f>IF(VLOOKUP(CONCATENATE(H159,F159,EQ$2),Matemáticas!$A:$H,7,FALSE)=BE159,1,0)</f>
        <v>#N/A</v>
      </c>
      <c r="ER159" s="138" t="e">
        <f>IF(VLOOKUP(CONCATENATE(H159,F159,ER$2),Matemáticas!$A:$H,7,FALSE)=BF159,1,0)</f>
        <v>#N/A</v>
      </c>
      <c r="ES159" s="138" t="e">
        <f>IF(VLOOKUP(CONCATENATE(H159,F159,ES$2),Matemáticas!$A:$H,7,FALSE)=BG159,1,0)</f>
        <v>#N/A</v>
      </c>
      <c r="ET159" s="138" t="e">
        <f>IF(VLOOKUP(CONCATENATE(H159,F159,ET$2),Matemáticas!$A:$H,7,FALSE)=BH159,1,0)</f>
        <v>#N/A</v>
      </c>
      <c r="EU159" s="138" t="e">
        <f>IF(VLOOKUP(CONCATENATE(H159,F159,EU$2),Matemáticas!$A:$H,7,FALSE)=BI159,1,0)</f>
        <v>#N/A</v>
      </c>
      <c r="EV159" s="138" t="e">
        <f>IF(VLOOKUP(CONCATENATE(H159,F159,EV$2),Ciencias!$A:$H,7,FALSE)=BJ159,1,0)</f>
        <v>#N/A</v>
      </c>
      <c r="EW159" s="138" t="e">
        <f>IF(VLOOKUP(CONCATENATE(H159,F159,EW$2),Ciencias!$A:$H,7,FALSE)=BK159,1,0)</f>
        <v>#N/A</v>
      </c>
      <c r="EX159" s="138" t="e">
        <f>IF(VLOOKUP(CONCATENATE(H159,F159,EX$2),Ciencias!$A:$H,7,FALSE)=BL159,1,0)</f>
        <v>#N/A</v>
      </c>
      <c r="EY159" s="138" t="e">
        <f>IF(VLOOKUP(CONCATENATE(H159,F159,EY$2),Ciencias!$A:$H,7,FALSE)=BM159,1,0)</f>
        <v>#N/A</v>
      </c>
      <c r="EZ159" s="138" t="e">
        <f>IF(VLOOKUP(CONCATENATE(H159,F159,EZ$2),Ciencias!$A:$H,7,FALSE)=BN159,1,0)</f>
        <v>#N/A</v>
      </c>
      <c r="FA159" s="138" t="e">
        <f>IF(VLOOKUP(CONCATENATE(H159,F159,FA$2),Ciencias!$A:$H,7,FALSE)=BO159,1,0)</f>
        <v>#N/A</v>
      </c>
      <c r="FB159" s="138" t="e">
        <f>IF(VLOOKUP(CONCATENATE(H159,F159,FB$2),Ciencias!$A:$H,7,FALSE)=BP159,1,0)</f>
        <v>#N/A</v>
      </c>
      <c r="FC159" s="138" t="e">
        <f>IF(VLOOKUP(CONCATENATE(H159,F159,FC$2),Ciencias!$A:$H,7,FALSE)=BQ159,1,0)</f>
        <v>#N/A</v>
      </c>
      <c r="FD159" s="138" t="e">
        <f>IF(VLOOKUP(CONCATENATE(H159,F159,FD$2),Ciencias!$A:$H,7,FALSE)=BR159,1,0)</f>
        <v>#N/A</v>
      </c>
      <c r="FE159" s="138" t="e">
        <f>IF(VLOOKUP(CONCATENATE(H159,F159,FE$2),Ciencias!$A:$H,7,FALSE)=BS159,1,0)</f>
        <v>#N/A</v>
      </c>
      <c r="FF159" s="138" t="e">
        <f>IF(VLOOKUP(CONCATENATE(H159,F159,FF$2),Ciencias!$A:$H,7,FALSE)=BT159,1,0)</f>
        <v>#N/A</v>
      </c>
      <c r="FG159" s="138" t="e">
        <f>IF(VLOOKUP(CONCATENATE(H159,F159,FG$2),Ciencias!$A:$H,7,FALSE)=BU159,1,0)</f>
        <v>#N/A</v>
      </c>
      <c r="FH159" s="138" t="e">
        <f>IF(VLOOKUP(CONCATENATE(H159,F159,FH$2),Ciencias!$A:$H,7,FALSE)=BV159,1,0)</f>
        <v>#N/A</v>
      </c>
      <c r="FI159" s="138" t="e">
        <f>IF(VLOOKUP(CONCATENATE(H159,F159,FI$2),Ciencias!$A:$H,7,FALSE)=BW159,1,0)</f>
        <v>#N/A</v>
      </c>
      <c r="FJ159" s="138" t="e">
        <f>IF(VLOOKUP(CONCATENATE(H159,F159,FJ$2),Ciencias!$A:$H,7,FALSE)=BX159,1,0)</f>
        <v>#N/A</v>
      </c>
      <c r="FK159" s="138" t="e">
        <f>IF(VLOOKUP(CONCATENATE(H159,F159,FK$2),Ciencias!$A:$H,7,FALSE)=BY159,1,0)</f>
        <v>#N/A</v>
      </c>
      <c r="FL159" s="138" t="e">
        <f>IF(VLOOKUP(CONCATENATE(H159,F159,FL$2),Ciencias!$A:$H,7,FALSE)=BZ159,1,0)</f>
        <v>#N/A</v>
      </c>
      <c r="FM159" s="138" t="e">
        <f>IF(VLOOKUP(CONCATENATE(H159,F159,FM$2),Ciencias!$A:$H,7,FALSE)=CA159,1,0)</f>
        <v>#N/A</v>
      </c>
      <c r="FN159" s="138" t="e">
        <f>IF(VLOOKUP(CONCATENATE(H159,F159,FN$2),Ciencias!$A:$H,7,FALSE)=CB159,1,0)</f>
        <v>#N/A</v>
      </c>
      <c r="FO159" s="138" t="e">
        <f>IF(VLOOKUP(CONCATENATE(H159,F159,FO$2),Ciencias!$A:$H,7,FALSE)=CC159,1,0)</f>
        <v>#N/A</v>
      </c>
      <c r="FP159" s="138" t="e">
        <f>IF(VLOOKUP(CONCATENATE(H159,F159,FP$2),GeoHis!$A:$H,7,FALSE)=CD159,1,0)</f>
        <v>#N/A</v>
      </c>
      <c r="FQ159" s="138" t="e">
        <f>IF(VLOOKUP(CONCATENATE(H159,F159,FQ$2),GeoHis!$A:$H,7,FALSE)=CE159,1,0)</f>
        <v>#N/A</v>
      </c>
      <c r="FR159" s="138" t="e">
        <f>IF(VLOOKUP(CONCATENATE(H159,F159,FR$2),GeoHis!$A:$H,7,FALSE)=CF159,1,0)</f>
        <v>#N/A</v>
      </c>
      <c r="FS159" s="138" t="e">
        <f>IF(VLOOKUP(CONCATENATE(H159,F159,FS$2),GeoHis!$A:$H,7,FALSE)=CG159,1,0)</f>
        <v>#N/A</v>
      </c>
      <c r="FT159" s="138" t="e">
        <f>IF(VLOOKUP(CONCATENATE(H159,F159,FT$2),GeoHis!$A:$H,7,FALSE)=CH159,1,0)</f>
        <v>#N/A</v>
      </c>
      <c r="FU159" s="138" t="e">
        <f>IF(VLOOKUP(CONCATENATE(H159,F159,FU$2),GeoHis!$A:$H,7,FALSE)=CI159,1,0)</f>
        <v>#N/A</v>
      </c>
      <c r="FV159" s="138" t="e">
        <f>IF(VLOOKUP(CONCATENATE(H159,F159,FV$2),GeoHis!$A:$H,7,FALSE)=CJ159,1,0)</f>
        <v>#N/A</v>
      </c>
      <c r="FW159" s="138" t="e">
        <f>IF(VLOOKUP(CONCATENATE(H159,F159,FW$2),GeoHis!$A:$H,7,FALSE)=CK159,1,0)</f>
        <v>#N/A</v>
      </c>
      <c r="FX159" s="138" t="e">
        <f>IF(VLOOKUP(CONCATENATE(H159,F159,FX$2),GeoHis!$A:$H,7,FALSE)=CL159,1,0)</f>
        <v>#N/A</v>
      </c>
      <c r="FY159" s="138" t="e">
        <f>IF(VLOOKUP(CONCATENATE(H159,F159,FY$2),GeoHis!$A:$H,7,FALSE)=CM159,1,0)</f>
        <v>#N/A</v>
      </c>
      <c r="FZ159" s="138" t="e">
        <f>IF(VLOOKUP(CONCATENATE(H159,F159,FZ$2),GeoHis!$A:$H,7,FALSE)=CN159,1,0)</f>
        <v>#N/A</v>
      </c>
      <c r="GA159" s="138" t="e">
        <f>IF(VLOOKUP(CONCATENATE(H159,F159,GA$2),GeoHis!$A:$H,7,FALSE)=CO159,1,0)</f>
        <v>#N/A</v>
      </c>
      <c r="GB159" s="138" t="e">
        <f>IF(VLOOKUP(CONCATENATE(H159,F159,GB$2),GeoHis!$A:$H,7,FALSE)=CP159,1,0)</f>
        <v>#N/A</v>
      </c>
      <c r="GC159" s="138" t="e">
        <f>IF(VLOOKUP(CONCATENATE(H159,F159,GC$2),GeoHis!$A:$H,7,FALSE)=CQ159,1,0)</f>
        <v>#N/A</v>
      </c>
      <c r="GD159" s="138" t="e">
        <f>IF(VLOOKUP(CONCATENATE(H159,F159,GD$2),GeoHis!$A:$H,7,FALSE)=CR159,1,0)</f>
        <v>#N/A</v>
      </c>
      <c r="GE159" s="135" t="str">
        <f t="shared" si="23"/>
        <v/>
      </c>
    </row>
    <row r="160" spans="1:187" x14ac:dyDescent="0.25">
      <c r="A160" s="127" t="str">
        <f>IF(C160="","",'Datos Generales'!$A$25)</f>
        <v/>
      </c>
      <c r="D160" s="126" t="str">
        <f t="shared" si="16"/>
        <v/>
      </c>
      <c r="E160" s="126">
        <f t="shared" si="17"/>
        <v>0</v>
      </c>
      <c r="F160" s="126" t="str">
        <f t="shared" si="18"/>
        <v/>
      </c>
      <c r="G160" s="126" t="str">
        <f>IF(C160="","",'Datos Generales'!$D$19)</f>
        <v/>
      </c>
      <c r="H160" s="21" t="str">
        <f>IF(C160="","",'Datos Generales'!$A$19)</f>
        <v/>
      </c>
      <c r="I160" s="126" t="str">
        <f>IF(C160="","",'Datos Generales'!$A$7)</f>
        <v/>
      </c>
      <c r="J160" s="21" t="str">
        <f>IF(C160="","",'Datos Generales'!$A$13)</f>
        <v/>
      </c>
      <c r="K160" s="21" t="str">
        <f>IF(C160="","",'Datos Generales'!$A$10)</f>
        <v/>
      </c>
      <c r="CS160" s="142" t="str">
        <f t="shared" si="19"/>
        <v/>
      </c>
      <c r="CT160" s="142" t="str">
        <f t="shared" si="20"/>
        <v/>
      </c>
      <c r="CU160" s="142" t="str">
        <f t="shared" si="21"/>
        <v/>
      </c>
      <c r="CV160" s="142" t="str">
        <f t="shared" si="22"/>
        <v/>
      </c>
      <c r="CW160" s="142" t="str">
        <f>IF(C160="","",IF('Datos Generales'!$A$19=1,AVERAGE(FP160:GD160),AVERAGE(Captura!FP160:FY160)))</f>
        <v/>
      </c>
      <c r="CX160" s="138" t="e">
        <f>IF(VLOOKUP(CONCATENATE($H$4,$F$4,CX$2),Español!$A:$H,7,FALSE)=L160,1,0)</f>
        <v>#N/A</v>
      </c>
      <c r="CY160" s="138" t="e">
        <f>IF(VLOOKUP(CONCATENATE(H160,F160,CY$2),Español!$A:$H,7,FALSE)=M160,1,0)</f>
        <v>#N/A</v>
      </c>
      <c r="CZ160" s="138" t="e">
        <f>IF(VLOOKUP(CONCATENATE(H160,F160,CZ$2),Español!$A:$H,7,FALSE)=N160,1,0)</f>
        <v>#N/A</v>
      </c>
      <c r="DA160" s="138" t="e">
        <f>IF(VLOOKUP(CONCATENATE(H160,F160,DA$2),Español!$A:$H,7,FALSE)=O160,1,0)</f>
        <v>#N/A</v>
      </c>
      <c r="DB160" s="138" t="e">
        <f>IF(VLOOKUP(CONCATENATE(H160,F160,DB$2),Español!$A:$H,7,FALSE)=P160,1,0)</f>
        <v>#N/A</v>
      </c>
      <c r="DC160" s="138" t="e">
        <f>IF(VLOOKUP(CONCATENATE(H160,F160,DC$2),Español!$A:$H,7,FALSE)=Q160,1,0)</f>
        <v>#N/A</v>
      </c>
      <c r="DD160" s="138" t="e">
        <f>IF(VLOOKUP(CONCATENATE(H160,F160,DD$2),Español!$A:$H,7,FALSE)=R160,1,0)</f>
        <v>#N/A</v>
      </c>
      <c r="DE160" s="138" t="e">
        <f>IF(VLOOKUP(CONCATENATE(H160,F160,DE$2),Español!$A:$H,7,FALSE)=S160,1,0)</f>
        <v>#N/A</v>
      </c>
      <c r="DF160" s="138" t="e">
        <f>IF(VLOOKUP(CONCATENATE(H160,F160,DF$2),Español!$A:$H,7,FALSE)=T160,1,0)</f>
        <v>#N/A</v>
      </c>
      <c r="DG160" s="138" t="e">
        <f>IF(VLOOKUP(CONCATENATE(H160,F160,DG$2),Español!$A:$H,7,FALSE)=U160,1,0)</f>
        <v>#N/A</v>
      </c>
      <c r="DH160" s="138" t="e">
        <f>IF(VLOOKUP(CONCATENATE(H160,F160,DH$2),Español!$A:$H,7,FALSE)=V160,1,0)</f>
        <v>#N/A</v>
      </c>
      <c r="DI160" s="138" t="e">
        <f>IF(VLOOKUP(CONCATENATE(H160,F160,DI$2),Español!$A:$H,7,FALSE)=W160,1,0)</f>
        <v>#N/A</v>
      </c>
      <c r="DJ160" s="138" t="e">
        <f>IF(VLOOKUP(CONCATENATE(H160,F160,DJ$2),Español!$A:$H,7,FALSE)=X160,1,0)</f>
        <v>#N/A</v>
      </c>
      <c r="DK160" s="138" t="e">
        <f>IF(VLOOKUP(CONCATENATE(H160,F160,DK$2),Español!$A:$H,7,FALSE)=Y160,1,0)</f>
        <v>#N/A</v>
      </c>
      <c r="DL160" s="138" t="e">
        <f>IF(VLOOKUP(CONCATENATE(H160,F160,DL$2),Español!$A:$H,7,FALSE)=Z160,1,0)</f>
        <v>#N/A</v>
      </c>
      <c r="DM160" s="138" t="e">
        <f>IF(VLOOKUP(CONCATENATE(H160,F160,DM$2),Español!$A:$H,7,FALSE)=AA160,1,0)</f>
        <v>#N/A</v>
      </c>
      <c r="DN160" s="138" t="e">
        <f>IF(VLOOKUP(CONCATENATE(H160,F160,DN$2),Español!$A:$H,7,FALSE)=AB160,1,0)</f>
        <v>#N/A</v>
      </c>
      <c r="DO160" s="138" t="e">
        <f>IF(VLOOKUP(CONCATENATE(H160,F160,DO$2),Español!$A:$H,7,FALSE)=AC160,1,0)</f>
        <v>#N/A</v>
      </c>
      <c r="DP160" s="138" t="e">
        <f>IF(VLOOKUP(CONCATENATE(H160,F160,DP$2),Español!$A:$H,7,FALSE)=AD160,1,0)</f>
        <v>#N/A</v>
      </c>
      <c r="DQ160" s="138" t="e">
        <f>IF(VLOOKUP(CONCATENATE(H160,F160,DQ$2),Español!$A:$H,7,FALSE)=AE160,1,0)</f>
        <v>#N/A</v>
      </c>
      <c r="DR160" s="138" t="e">
        <f>IF(VLOOKUP(CONCATENATE(H160,F160,DR$2),Inglés!$A:$H,7,FALSE)=AF160,1,0)</f>
        <v>#N/A</v>
      </c>
      <c r="DS160" s="138" t="e">
        <f>IF(VLOOKUP(CONCATENATE(H160,F160,DS$2),Inglés!$A:$H,7,FALSE)=AG160,1,0)</f>
        <v>#N/A</v>
      </c>
      <c r="DT160" s="138" t="e">
        <f>IF(VLOOKUP(CONCATENATE(H160,F160,DT$2),Inglés!$A:$H,7,FALSE)=AH160,1,0)</f>
        <v>#N/A</v>
      </c>
      <c r="DU160" s="138" t="e">
        <f>IF(VLOOKUP(CONCATENATE(H160,F160,DU$2),Inglés!$A:$H,7,FALSE)=AI160,1,0)</f>
        <v>#N/A</v>
      </c>
      <c r="DV160" s="138" t="e">
        <f>IF(VLOOKUP(CONCATENATE(H160,F160,DV$2),Inglés!$A:$H,7,FALSE)=AJ160,1,0)</f>
        <v>#N/A</v>
      </c>
      <c r="DW160" s="138" t="e">
        <f>IF(VLOOKUP(CONCATENATE(H160,F160,DW$2),Inglés!$A:$H,7,FALSE)=AK160,1,0)</f>
        <v>#N/A</v>
      </c>
      <c r="DX160" s="138" t="e">
        <f>IF(VLOOKUP(CONCATENATE(H160,F160,DX$2),Inglés!$A:$H,7,FALSE)=AL160,1,0)</f>
        <v>#N/A</v>
      </c>
      <c r="DY160" s="138" t="e">
        <f>IF(VLOOKUP(CONCATENATE(H160,F160,DY$2),Inglés!$A:$H,7,FALSE)=AM160,1,0)</f>
        <v>#N/A</v>
      </c>
      <c r="DZ160" s="138" t="e">
        <f>IF(VLOOKUP(CONCATENATE(H160,F160,DZ$2),Inglés!$A:$H,7,FALSE)=AN160,1,0)</f>
        <v>#N/A</v>
      </c>
      <c r="EA160" s="138" t="e">
        <f>IF(VLOOKUP(CONCATENATE(H160,F160,EA$2),Inglés!$A:$H,7,FALSE)=AO160,1,0)</f>
        <v>#N/A</v>
      </c>
      <c r="EB160" s="138" t="e">
        <f>IF(VLOOKUP(CONCATENATE(H160,F160,EB$2),Matemáticas!$A:$H,7,FALSE)=AP160,1,0)</f>
        <v>#N/A</v>
      </c>
      <c r="EC160" s="138" t="e">
        <f>IF(VLOOKUP(CONCATENATE(H160,F160,EC$2),Matemáticas!$A:$H,7,FALSE)=AQ160,1,0)</f>
        <v>#N/A</v>
      </c>
      <c r="ED160" s="138" t="e">
        <f>IF(VLOOKUP(CONCATENATE(H160,F160,ED$2),Matemáticas!$A:$H,7,FALSE)=AR160,1,0)</f>
        <v>#N/A</v>
      </c>
      <c r="EE160" s="138" t="e">
        <f>IF(VLOOKUP(CONCATENATE(H160,F160,EE$2),Matemáticas!$A:$H,7,FALSE)=AS160,1,0)</f>
        <v>#N/A</v>
      </c>
      <c r="EF160" s="138" t="e">
        <f>IF(VLOOKUP(CONCATENATE(H160,F160,EF$2),Matemáticas!$A:$H,7,FALSE)=AT160,1,0)</f>
        <v>#N/A</v>
      </c>
      <c r="EG160" s="138" t="e">
        <f>IF(VLOOKUP(CONCATENATE(H160,F160,EG$2),Matemáticas!$A:$H,7,FALSE)=AU160,1,0)</f>
        <v>#N/A</v>
      </c>
      <c r="EH160" s="138" t="e">
        <f>IF(VLOOKUP(CONCATENATE(H160,F160,EH$2),Matemáticas!$A:$H,7,FALSE)=AV160,1,0)</f>
        <v>#N/A</v>
      </c>
      <c r="EI160" s="138" t="e">
        <f>IF(VLOOKUP(CONCATENATE(H160,F160,EI$2),Matemáticas!$A:$H,7,FALSE)=AW160,1,0)</f>
        <v>#N/A</v>
      </c>
      <c r="EJ160" s="138" t="e">
        <f>IF(VLOOKUP(CONCATENATE(H160,F160,EJ$2),Matemáticas!$A:$H,7,FALSE)=AX160,1,0)</f>
        <v>#N/A</v>
      </c>
      <c r="EK160" s="138" t="e">
        <f>IF(VLOOKUP(CONCATENATE(H160,F160,EK$2),Matemáticas!$A:$H,7,FALSE)=AY160,1,0)</f>
        <v>#N/A</v>
      </c>
      <c r="EL160" s="138" t="e">
        <f>IF(VLOOKUP(CONCATENATE(H160,F160,EL$2),Matemáticas!$A:$H,7,FALSE)=AZ160,1,0)</f>
        <v>#N/A</v>
      </c>
      <c r="EM160" s="138" t="e">
        <f>IF(VLOOKUP(CONCATENATE(H160,F160,EM$2),Matemáticas!$A:$H,7,FALSE)=BA160,1,0)</f>
        <v>#N/A</v>
      </c>
      <c r="EN160" s="138" t="e">
        <f>IF(VLOOKUP(CONCATENATE(H160,F160,EN$2),Matemáticas!$A:$H,7,FALSE)=BB160,1,0)</f>
        <v>#N/A</v>
      </c>
      <c r="EO160" s="138" t="e">
        <f>IF(VLOOKUP(CONCATENATE(H160,F160,EO$2),Matemáticas!$A:$H,7,FALSE)=BC160,1,0)</f>
        <v>#N/A</v>
      </c>
      <c r="EP160" s="138" t="e">
        <f>IF(VLOOKUP(CONCATENATE(H160,F160,EP$2),Matemáticas!$A:$H,7,FALSE)=BD160,1,0)</f>
        <v>#N/A</v>
      </c>
      <c r="EQ160" s="138" t="e">
        <f>IF(VLOOKUP(CONCATENATE(H160,F160,EQ$2),Matemáticas!$A:$H,7,FALSE)=BE160,1,0)</f>
        <v>#N/A</v>
      </c>
      <c r="ER160" s="138" t="e">
        <f>IF(VLOOKUP(CONCATENATE(H160,F160,ER$2),Matemáticas!$A:$H,7,FALSE)=BF160,1,0)</f>
        <v>#N/A</v>
      </c>
      <c r="ES160" s="138" t="e">
        <f>IF(VLOOKUP(CONCATENATE(H160,F160,ES$2),Matemáticas!$A:$H,7,FALSE)=BG160,1,0)</f>
        <v>#N/A</v>
      </c>
      <c r="ET160" s="138" t="e">
        <f>IF(VLOOKUP(CONCATENATE(H160,F160,ET$2),Matemáticas!$A:$H,7,FALSE)=BH160,1,0)</f>
        <v>#N/A</v>
      </c>
      <c r="EU160" s="138" t="e">
        <f>IF(VLOOKUP(CONCATENATE(H160,F160,EU$2),Matemáticas!$A:$H,7,FALSE)=BI160,1,0)</f>
        <v>#N/A</v>
      </c>
      <c r="EV160" s="138" t="e">
        <f>IF(VLOOKUP(CONCATENATE(H160,F160,EV$2),Ciencias!$A:$H,7,FALSE)=BJ160,1,0)</f>
        <v>#N/A</v>
      </c>
      <c r="EW160" s="138" t="e">
        <f>IF(VLOOKUP(CONCATENATE(H160,F160,EW$2),Ciencias!$A:$H,7,FALSE)=BK160,1,0)</f>
        <v>#N/A</v>
      </c>
      <c r="EX160" s="138" t="e">
        <f>IF(VLOOKUP(CONCATENATE(H160,F160,EX$2),Ciencias!$A:$H,7,FALSE)=BL160,1,0)</f>
        <v>#N/A</v>
      </c>
      <c r="EY160" s="138" t="e">
        <f>IF(VLOOKUP(CONCATENATE(H160,F160,EY$2),Ciencias!$A:$H,7,FALSE)=BM160,1,0)</f>
        <v>#N/A</v>
      </c>
      <c r="EZ160" s="138" t="e">
        <f>IF(VLOOKUP(CONCATENATE(H160,F160,EZ$2),Ciencias!$A:$H,7,FALSE)=BN160,1,0)</f>
        <v>#N/A</v>
      </c>
      <c r="FA160" s="138" t="e">
        <f>IF(VLOOKUP(CONCATENATE(H160,F160,FA$2),Ciencias!$A:$H,7,FALSE)=BO160,1,0)</f>
        <v>#N/A</v>
      </c>
      <c r="FB160" s="138" t="e">
        <f>IF(VLOOKUP(CONCATENATE(H160,F160,FB$2),Ciencias!$A:$H,7,FALSE)=BP160,1,0)</f>
        <v>#N/A</v>
      </c>
      <c r="FC160" s="138" t="e">
        <f>IF(VLOOKUP(CONCATENATE(H160,F160,FC$2),Ciencias!$A:$H,7,FALSE)=BQ160,1,0)</f>
        <v>#N/A</v>
      </c>
      <c r="FD160" s="138" t="e">
        <f>IF(VLOOKUP(CONCATENATE(H160,F160,FD$2),Ciencias!$A:$H,7,FALSE)=BR160,1,0)</f>
        <v>#N/A</v>
      </c>
      <c r="FE160" s="138" t="e">
        <f>IF(VLOOKUP(CONCATENATE(H160,F160,FE$2),Ciencias!$A:$H,7,FALSE)=BS160,1,0)</f>
        <v>#N/A</v>
      </c>
      <c r="FF160" s="138" t="e">
        <f>IF(VLOOKUP(CONCATENATE(H160,F160,FF$2),Ciencias!$A:$H,7,FALSE)=BT160,1,0)</f>
        <v>#N/A</v>
      </c>
      <c r="FG160" s="138" t="e">
        <f>IF(VLOOKUP(CONCATENATE(H160,F160,FG$2),Ciencias!$A:$H,7,FALSE)=BU160,1,0)</f>
        <v>#N/A</v>
      </c>
      <c r="FH160" s="138" t="e">
        <f>IF(VLOOKUP(CONCATENATE(H160,F160,FH$2),Ciencias!$A:$H,7,FALSE)=BV160,1,0)</f>
        <v>#N/A</v>
      </c>
      <c r="FI160" s="138" t="e">
        <f>IF(VLOOKUP(CONCATENATE(H160,F160,FI$2),Ciencias!$A:$H,7,FALSE)=BW160,1,0)</f>
        <v>#N/A</v>
      </c>
      <c r="FJ160" s="138" t="e">
        <f>IF(VLOOKUP(CONCATENATE(H160,F160,FJ$2),Ciencias!$A:$H,7,FALSE)=BX160,1,0)</f>
        <v>#N/A</v>
      </c>
      <c r="FK160" s="138" t="e">
        <f>IF(VLOOKUP(CONCATENATE(H160,F160,FK$2),Ciencias!$A:$H,7,FALSE)=BY160,1,0)</f>
        <v>#N/A</v>
      </c>
      <c r="FL160" s="138" t="e">
        <f>IF(VLOOKUP(CONCATENATE(H160,F160,FL$2),Ciencias!$A:$H,7,FALSE)=BZ160,1,0)</f>
        <v>#N/A</v>
      </c>
      <c r="FM160" s="138" t="e">
        <f>IF(VLOOKUP(CONCATENATE(H160,F160,FM$2),Ciencias!$A:$H,7,FALSE)=CA160,1,0)</f>
        <v>#N/A</v>
      </c>
      <c r="FN160" s="138" t="e">
        <f>IF(VLOOKUP(CONCATENATE(H160,F160,FN$2),Ciencias!$A:$H,7,FALSE)=CB160,1,0)</f>
        <v>#N/A</v>
      </c>
      <c r="FO160" s="138" t="e">
        <f>IF(VLOOKUP(CONCATENATE(H160,F160,FO$2),Ciencias!$A:$H,7,FALSE)=CC160,1,0)</f>
        <v>#N/A</v>
      </c>
      <c r="FP160" s="138" t="e">
        <f>IF(VLOOKUP(CONCATENATE(H160,F160,FP$2),GeoHis!$A:$H,7,FALSE)=CD160,1,0)</f>
        <v>#N/A</v>
      </c>
      <c r="FQ160" s="138" t="e">
        <f>IF(VLOOKUP(CONCATENATE(H160,F160,FQ$2),GeoHis!$A:$H,7,FALSE)=CE160,1,0)</f>
        <v>#N/A</v>
      </c>
      <c r="FR160" s="138" t="e">
        <f>IF(VLOOKUP(CONCATENATE(H160,F160,FR$2),GeoHis!$A:$H,7,FALSE)=CF160,1,0)</f>
        <v>#N/A</v>
      </c>
      <c r="FS160" s="138" t="e">
        <f>IF(VLOOKUP(CONCATENATE(H160,F160,FS$2),GeoHis!$A:$H,7,FALSE)=CG160,1,0)</f>
        <v>#N/A</v>
      </c>
      <c r="FT160" s="138" t="e">
        <f>IF(VLOOKUP(CONCATENATE(H160,F160,FT$2),GeoHis!$A:$H,7,FALSE)=CH160,1,0)</f>
        <v>#N/A</v>
      </c>
      <c r="FU160" s="138" t="e">
        <f>IF(VLOOKUP(CONCATENATE(H160,F160,FU$2),GeoHis!$A:$H,7,FALSE)=CI160,1,0)</f>
        <v>#N/A</v>
      </c>
      <c r="FV160" s="138" t="e">
        <f>IF(VLOOKUP(CONCATENATE(H160,F160,FV$2),GeoHis!$A:$H,7,FALSE)=CJ160,1,0)</f>
        <v>#N/A</v>
      </c>
      <c r="FW160" s="138" t="e">
        <f>IF(VLOOKUP(CONCATENATE(H160,F160,FW$2),GeoHis!$A:$H,7,FALSE)=CK160,1,0)</f>
        <v>#N/A</v>
      </c>
      <c r="FX160" s="138" t="e">
        <f>IF(VLOOKUP(CONCATENATE(H160,F160,FX$2),GeoHis!$A:$H,7,FALSE)=CL160,1,0)</f>
        <v>#N/A</v>
      </c>
      <c r="FY160" s="138" t="e">
        <f>IF(VLOOKUP(CONCATENATE(H160,F160,FY$2),GeoHis!$A:$H,7,FALSE)=CM160,1,0)</f>
        <v>#N/A</v>
      </c>
      <c r="FZ160" s="138" t="e">
        <f>IF(VLOOKUP(CONCATENATE(H160,F160,FZ$2),GeoHis!$A:$H,7,FALSE)=CN160,1,0)</f>
        <v>#N/A</v>
      </c>
      <c r="GA160" s="138" t="e">
        <f>IF(VLOOKUP(CONCATENATE(H160,F160,GA$2),GeoHis!$A:$H,7,FALSE)=CO160,1,0)</f>
        <v>#N/A</v>
      </c>
      <c r="GB160" s="138" t="e">
        <f>IF(VLOOKUP(CONCATENATE(H160,F160,GB$2),GeoHis!$A:$H,7,FALSE)=CP160,1,0)</f>
        <v>#N/A</v>
      </c>
      <c r="GC160" s="138" t="e">
        <f>IF(VLOOKUP(CONCATENATE(H160,F160,GC$2),GeoHis!$A:$H,7,FALSE)=CQ160,1,0)</f>
        <v>#N/A</v>
      </c>
      <c r="GD160" s="138" t="e">
        <f>IF(VLOOKUP(CONCATENATE(H160,F160,GD$2),GeoHis!$A:$H,7,FALSE)=CR160,1,0)</f>
        <v>#N/A</v>
      </c>
      <c r="GE160" s="135" t="str">
        <f t="shared" si="23"/>
        <v/>
      </c>
    </row>
    <row r="161" spans="1:187" x14ac:dyDescent="0.25">
      <c r="A161" s="127" t="str">
        <f>IF(C161="","",'Datos Generales'!$A$25)</f>
        <v/>
      </c>
      <c r="D161" s="126" t="str">
        <f t="shared" si="16"/>
        <v/>
      </c>
      <c r="E161" s="126">
        <f t="shared" si="17"/>
        <v>0</v>
      </c>
      <c r="F161" s="126" t="str">
        <f t="shared" si="18"/>
        <v/>
      </c>
      <c r="G161" s="126" t="str">
        <f>IF(C161="","",'Datos Generales'!$D$19)</f>
        <v/>
      </c>
      <c r="H161" s="21" t="str">
        <f>IF(C161="","",'Datos Generales'!$A$19)</f>
        <v/>
      </c>
      <c r="I161" s="126" t="str">
        <f>IF(C161="","",'Datos Generales'!$A$7)</f>
        <v/>
      </c>
      <c r="J161" s="21" t="str">
        <f>IF(C161="","",'Datos Generales'!$A$13)</f>
        <v/>
      </c>
      <c r="K161" s="21" t="str">
        <f>IF(C161="","",'Datos Generales'!$A$10)</f>
        <v/>
      </c>
      <c r="CS161" s="142" t="str">
        <f t="shared" si="19"/>
        <v/>
      </c>
      <c r="CT161" s="142" t="str">
        <f t="shared" si="20"/>
        <v/>
      </c>
      <c r="CU161" s="142" t="str">
        <f t="shared" si="21"/>
        <v/>
      </c>
      <c r="CV161" s="142" t="str">
        <f t="shared" si="22"/>
        <v/>
      </c>
      <c r="CW161" s="142" t="str">
        <f>IF(C161="","",IF('Datos Generales'!$A$19=1,AVERAGE(FP161:GD161),AVERAGE(Captura!FP161:FY161)))</f>
        <v/>
      </c>
      <c r="CX161" s="138" t="e">
        <f>IF(VLOOKUP(CONCATENATE($H$4,$F$4,CX$2),Español!$A:$H,7,FALSE)=L161,1,0)</f>
        <v>#N/A</v>
      </c>
      <c r="CY161" s="138" t="e">
        <f>IF(VLOOKUP(CONCATENATE(H161,F161,CY$2),Español!$A:$H,7,FALSE)=M161,1,0)</f>
        <v>#N/A</v>
      </c>
      <c r="CZ161" s="138" t="e">
        <f>IF(VLOOKUP(CONCATENATE(H161,F161,CZ$2),Español!$A:$H,7,FALSE)=N161,1,0)</f>
        <v>#N/A</v>
      </c>
      <c r="DA161" s="138" t="e">
        <f>IF(VLOOKUP(CONCATENATE(H161,F161,DA$2),Español!$A:$H,7,FALSE)=O161,1,0)</f>
        <v>#N/A</v>
      </c>
      <c r="DB161" s="138" t="e">
        <f>IF(VLOOKUP(CONCATENATE(H161,F161,DB$2),Español!$A:$H,7,FALSE)=P161,1,0)</f>
        <v>#N/A</v>
      </c>
      <c r="DC161" s="138" t="e">
        <f>IF(VLOOKUP(CONCATENATE(H161,F161,DC$2),Español!$A:$H,7,FALSE)=Q161,1,0)</f>
        <v>#N/A</v>
      </c>
      <c r="DD161" s="138" t="e">
        <f>IF(VLOOKUP(CONCATENATE(H161,F161,DD$2),Español!$A:$H,7,FALSE)=R161,1,0)</f>
        <v>#N/A</v>
      </c>
      <c r="DE161" s="138" t="e">
        <f>IF(VLOOKUP(CONCATENATE(H161,F161,DE$2),Español!$A:$H,7,FALSE)=S161,1,0)</f>
        <v>#N/A</v>
      </c>
      <c r="DF161" s="138" t="e">
        <f>IF(VLOOKUP(CONCATENATE(H161,F161,DF$2),Español!$A:$H,7,FALSE)=T161,1,0)</f>
        <v>#N/A</v>
      </c>
      <c r="DG161" s="138" t="e">
        <f>IF(VLOOKUP(CONCATENATE(H161,F161,DG$2),Español!$A:$H,7,FALSE)=U161,1,0)</f>
        <v>#N/A</v>
      </c>
      <c r="DH161" s="138" t="e">
        <f>IF(VLOOKUP(CONCATENATE(H161,F161,DH$2),Español!$A:$H,7,FALSE)=V161,1,0)</f>
        <v>#N/A</v>
      </c>
      <c r="DI161" s="138" t="e">
        <f>IF(VLOOKUP(CONCATENATE(H161,F161,DI$2),Español!$A:$H,7,FALSE)=W161,1,0)</f>
        <v>#N/A</v>
      </c>
      <c r="DJ161" s="138" t="e">
        <f>IF(VLOOKUP(CONCATENATE(H161,F161,DJ$2),Español!$A:$H,7,FALSE)=X161,1,0)</f>
        <v>#N/A</v>
      </c>
      <c r="DK161" s="138" t="e">
        <f>IF(VLOOKUP(CONCATENATE(H161,F161,DK$2),Español!$A:$H,7,FALSE)=Y161,1,0)</f>
        <v>#N/A</v>
      </c>
      <c r="DL161" s="138" t="e">
        <f>IF(VLOOKUP(CONCATENATE(H161,F161,DL$2),Español!$A:$H,7,FALSE)=Z161,1,0)</f>
        <v>#N/A</v>
      </c>
      <c r="DM161" s="138" t="e">
        <f>IF(VLOOKUP(CONCATENATE(H161,F161,DM$2),Español!$A:$H,7,FALSE)=AA161,1,0)</f>
        <v>#N/A</v>
      </c>
      <c r="DN161" s="138" t="e">
        <f>IF(VLOOKUP(CONCATENATE(H161,F161,DN$2),Español!$A:$H,7,FALSE)=AB161,1,0)</f>
        <v>#N/A</v>
      </c>
      <c r="DO161" s="138" t="e">
        <f>IF(VLOOKUP(CONCATENATE(H161,F161,DO$2),Español!$A:$H,7,FALSE)=AC161,1,0)</f>
        <v>#N/A</v>
      </c>
      <c r="DP161" s="138" t="e">
        <f>IF(VLOOKUP(CONCATENATE(H161,F161,DP$2),Español!$A:$H,7,FALSE)=AD161,1,0)</f>
        <v>#N/A</v>
      </c>
      <c r="DQ161" s="138" t="e">
        <f>IF(VLOOKUP(CONCATENATE(H161,F161,DQ$2),Español!$A:$H,7,FALSE)=AE161,1,0)</f>
        <v>#N/A</v>
      </c>
      <c r="DR161" s="138" t="e">
        <f>IF(VLOOKUP(CONCATENATE(H161,F161,DR$2),Inglés!$A:$H,7,FALSE)=AF161,1,0)</f>
        <v>#N/A</v>
      </c>
      <c r="DS161" s="138" t="e">
        <f>IF(VLOOKUP(CONCATENATE(H161,F161,DS$2),Inglés!$A:$H,7,FALSE)=AG161,1,0)</f>
        <v>#N/A</v>
      </c>
      <c r="DT161" s="138" t="e">
        <f>IF(VLOOKUP(CONCATENATE(H161,F161,DT$2),Inglés!$A:$H,7,FALSE)=AH161,1,0)</f>
        <v>#N/A</v>
      </c>
      <c r="DU161" s="138" t="e">
        <f>IF(VLOOKUP(CONCATENATE(H161,F161,DU$2),Inglés!$A:$H,7,FALSE)=AI161,1,0)</f>
        <v>#N/A</v>
      </c>
      <c r="DV161" s="138" t="e">
        <f>IF(VLOOKUP(CONCATENATE(H161,F161,DV$2),Inglés!$A:$H,7,FALSE)=AJ161,1,0)</f>
        <v>#N/A</v>
      </c>
      <c r="DW161" s="138" t="e">
        <f>IF(VLOOKUP(CONCATENATE(H161,F161,DW$2),Inglés!$A:$H,7,FALSE)=AK161,1,0)</f>
        <v>#N/A</v>
      </c>
      <c r="DX161" s="138" t="e">
        <f>IF(VLOOKUP(CONCATENATE(H161,F161,DX$2),Inglés!$A:$H,7,FALSE)=AL161,1,0)</f>
        <v>#N/A</v>
      </c>
      <c r="DY161" s="138" t="e">
        <f>IF(VLOOKUP(CONCATENATE(H161,F161,DY$2),Inglés!$A:$H,7,FALSE)=AM161,1,0)</f>
        <v>#N/A</v>
      </c>
      <c r="DZ161" s="138" t="e">
        <f>IF(VLOOKUP(CONCATENATE(H161,F161,DZ$2),Inglés!$A:$H,7,FALSE)=AN161,1,0)</f>
        <v>#N/A</v>
      </c>
      <c r="EA161" s="138" t="e">
        <f>IF(VLOOKUP(CONCATENATE(H161,F161,EA$2),Inglés!$A:$H,7,FALSE)=AO161,1,0)</f>
        <v>#N/A</v>
      </c>
      <c r="EB161" s="138" t="e">
        <f>IF(VLOOKUP(CONCATENATE(H161,F161,EB$2),Matemáticas!$A:$H,7,FALSE)=AP161,1,0)</f>
        <v>#N/A</v>
      </c>
      <c r="EC161" s="138" t="e">
        <f>IF(VLOOKUP(CONCATENATE(H161,F161,EC$2),Matemáticas!$A:$H,7,FALSE)=AQ161,1,0)</f>
        <v>#N/A</v>
      </c>
      <c r="ED161" s="138" t="e">
        <f>IF(VLOOKUP(CONCATENATE(H161,F161,ED$2),Matemáticas!$A:$H,7,FALSE)=AR161,1,0)</f>
        <v>#N/A</v>
      </c>
      <c r="EE161" s="138" t="e">
        <f>IF(VLOOKUP(CONCATENATE(H161,F161,EE$2),Matemáticas!$A:$H,7,FALSE)=AS161,1,0)</f>
        <v>#N/A</v>
      </c>
      <c r="EF161" s="138" t="e">
        <f>IF(VLOOKUP(CONCATENATE(H161,F161,EF$2),Matemáticas!$A:$H,7,FALSE)=AT161,1,0)</f>
        <v>#N/A</v>
      </c>
      <c r="EG161" s="138" t="e">
        <f>IF(VLOOKUP(CONCATENATE(H161,F161,EG$2),Matemáticas!$A:$H,7,FALSE)=AU161,1,0)</f>
        <v>#N/A</v>
      </c>
      <c r="EH161" s="138" t="e">
        <f>IF(VLOOKUP(CONCATENATE(H161,F161,EH$2),Matemáticas!$A:$H,7,FALSE)=AV161,1,0)</f>
        <v>#N/A</v>
      </c>
      <c r="EI161" s="138" t="e">
        <f>IF(VLOOKUP(CONCATENATE(H161,F161,EI$2),Matemáticas!$A:$H,7,FALSE)=AW161,1,0)</f>
        <v>#N/A</v>
      </c>
      <c r="EJ161" s="138" t="e">
        <f>IF(VLOOKUP(CONCATENATE(H161,F161,EJ$2),Matemáticas!$A:$H,7,FALSE)=AX161,1,0)</f>
        <v>#N/A</v>
      </c>
      <c r="EK161" s="138" t="e">
        <f>IF(VLOOKUP(CONCATENATE(H161,F161,EK$2),Matemáticas!$A:$H,7,FALSE)=AY161,1,0)</f>
        <v>#N/A</v>
      </c>
      <c r="EL161" s="138" t="e">
        <f>IF(VLOOKUP(CONCATENATE(H161,F161,EL$2),Matemáticas!$A:$H,7,FALSE)=AZ161,1,0)</f>
        <v>#N/A</v>
      </c>
      <c r="EM161" s="138" t="e">
        <f>IF(VLOOKUP(CONCATENATE(H161,F161,EM$2),Matemáticas!$A:$H,7,FALSE)=BA161,1,0)</f>
        <v>#N/A</v>
      </c>
      <c r="EN161" s="138" t="e">
        <f>IF(VLOOKUP(CONCATENATE(H161,F161,EN$2),Matemáticas!$A:$H,7,FALSE)=BB161,1,0)</f>
        <v>#N/A</v>
      </c>
      <c r="EO161" s="138" t="e">
        <f>IF(VLOOKUP(CONCATENATE(H161,F161,EO$2),Matemáticas!$A:$H,7,FALSE)=BC161,1,0)</f>
        <v>#N/A</v>
      </c>
      <c r="EP161" s="138" t="e">
        <f>IF(VLOOKUP(CONCATENATE(H161,F161,EP$2),Matemáticas!$A:$H,7,FALSE)=BD161,1,0)</f>
        <v>#N/A</v>
      </c>
      <c r="EQ161" s="138" t="e">
        <f>IF(VLOOKUP(CONCATENATE(H161,F161,EQ$2),Matemáticas!$A:$H,7,FALSE)=BE161,1,0)</f>
        <v>#N/A</v>
      </c>
      <c r="ER161" s="138" t="e">
        <f>IF(VLOOKUP(CONCATENATE(H161,F161,ER$2),Matemáticas!$A:$H,7,FALSE)=BF161,1,0)</f>
        <v>#N/A</v>
      </c>
      <c r="ES161" s="138" t="e">
        <f>IF(VLOOKUP(CONCATENATE(H161,F161,ES$2),Matemáticas!$A:$H,7,FALSE)=BG161,1,0)</f>
        <v>#N/A</v>
      </c>
      <c r="ET161" s="138" t="e">
        <f>IF(VLOOKUP(CONCATENATE(H161,F161,ET$2),Matemáticas!$A:$H,7,FALSE)=BH161,1,0)</f>
        <v>#N/A</v>
      </c>
      <c r="EU161" s="138" t="e">
        <f>IF(VLOOKUP(CONCATENATE(H161,F161,EU$2),Matemáticas!$A:$H,7,FALSE)=BI161,1,0)</f>
        <v>#N/A</v>
      </c>
      <c r="EV161" s="138" t="e">
        <f>IF(VLOOKUP(CONCATENATE(H161,F161,EV$2),Ciencias!$A:$H,7,FALSE)=BJ161,1,0)</f>
        <v>#N/A</v>
      </c>
      <c r="EW161" s="138" t="e">
        <f>IF(VLOOKUP(CONCATENATE(H161,F161,EW$2),Ciencias!$A:$H,7,FALSE)=BK161,1,0)</f>
        <v>#N/A</v>
      </c>
      <c r="EX161" s="138" t="e">
        <f>IF(VLOOKUP(CONCATENATE(H161,F161,EX$2),Ciencias!$A:$H,7,FALSE)=BL161,1,0)</f>
        <v>#N/A</v>
      </c>
      <c r="EY161" s="138" t="e">
        <f>IF(VLOOKUP(CONCATENATE(H161,F161,EY$2),Ciencias!$A:$H,7,FALSE)=BM161,1,0)</f>
        <v>#N/A</v>
      </c>
      <c r="EZ161" s="138" t="e">
        <f>IF(VLOOKUP(CONCATENATE(H161,F161,EZ$2),Ciencias!$A:$H,7,FALSE)=BN161,1,0)</f>
        <v>#N/A</v>
      </c>
      <c r="FA161" s="138" t="e">
        <f>IF(VLOOKUP(CONCATENATE(H161,F161,FA$2),Ciencias!$A:$H,7,FALSE)=BO161,1,0)</f>
        <v>#N/A</v>
      </c>
      <c r="FB161" s="138" t="e">
        <f>IF(VLOOKUP(CONCATENATE(H161,F161,FB$2),Ciencias!$A:$H,7,FALSE)=BP161,1,0)</f>
        <v>#N/A</v>
      </c>
      <c r="FC161" s="138" t="e">
        <f>IF(VLOOKUP(CONCATENATE(H161,F161,FC$2),Ciencias!$A:$H,7,FALSE)=BQ161,1,0)</f>
        <v>#N/A</v>
      </c>
      <c r="FD161" s="138" t="e">
        <f>IF(VLOOKUP(CONCATENATE(H161,F161,FD$2),Ciencias!$A:$H,7,FALSE)=BR161,1,0)</f>
        <v>#N/A</v>
      </c>
      <c r="FE161" s="138" t="e">
        <f>IF(VLOOKUP(CONCATENATE(H161,F161,FE$2),Ciencias!$A:$H,7,FALSE)=BS161,1,0)</f>
        <v>#N/A</v>
      </c>
      <c r="FF161" s="138" t="e">
        <f>IF(VLOOKUP(CONCATENATE(H161,F161,FF$2),Ciencias!$A:$H,7,FALSE)=BT161,1,0)</f>
        <v>#N/A</v>
      </c>
      <c r="FG161" s="138" t="e">
        <f>IF(VLOOKUP(CONCATENATE(H161,F161,FG$2),Ciencias!$A:$H,7,FALSE)=BU161,1,0)</f>
        <v>#N/A</v>
      </c>
      <c r="FH161" s="138" t="e">
        <f>IF(VLOOKUP(CONCATENATE(H161,F161,FH$2),Ciencias!$A:$H,7,FALSE)=BV161,1,0)</f>
        <v>#N/A</v>
      </c>
      <c r="FI161" s="138" t="e">
        <f>IF(VLOOKUP(CONCATENATE(H161,F161,FI$2),Ciencias!$A:$H,7,FALSE)=BW161,1,0)</f>
        <v>#N/A</v>
      </c>
      <c r="FJ161" s="138" t="e">
        <f>IF(VLOOKUP(CONCATENATE(H161,F161,FJ$2),Ciencias!$A:$H,7,FALSE)=BX161,1,0)</f>
        <v>#N/A</v>
      </c>
      <c r="FK161" s="138" t="e">
        <f>IF(VLOOKUP(CONCATENATE(H161,F161,FK$2),Ciencias!$A:$H,7,FALSE)=BY161,1,0)</f>
        <v>#N/A</v>
      </c>
      <c r="FL161" s="138" t="e">
        <f>IF(VLOOKUP(CONCATENATE(H161,F161,FL$2),Ciencias!$A:$H,7,FALSE)=BZ161,1,0)</f>
        <v>#N/A</v>
      </c>
      <c r="FM161" s="138" t="e">
        <f>IF(VLOOKUP(CONCATENATE(H161,F161,FM$2),Ciencias!$A:$H,7,FALSE)=CA161,1,0)</f>
        <v>#N/A</v>
      </c>
      <c r="FN161" s="138" t="e">
        <f>IF(VLOOKUP(CONCATENATE(H161,F161,FN$2),Ciencias!$A:$H,7,FALSE)=CB161,1,0)</f>
        <v>#N/A</v>
      </c>
      <c r="FO161" s="138" t="e">
        <f>IF(VLOOKUP(CONCATENATE(H161,F161,FO$2),Ciencias!$A:$H,7,FALSE)=CC161,1,0)</f>
        <v>#N/A</v>
      </c>
      <c r="FP161" s="138" t="e">
        <f>IF(VLOOKUP(CONCATENATE(H161,F161,FP$2),GeoHis!$A:$H,7,FALSE)=CD161,1,0)</f>
        <v>#N/A</v>
      </c>
      <c r="FQ161" s="138" t="e">
        <f>IF(VLOOKUP(CONCATENATE(H161,F161,FQ$2),GeoHis!$A:$H,7,FALSE)=CE161,1,0)</f>
        <v>#N/A</v>
      </c>
      <c r="FR161" s="138" t="e">
        <f>IF(VLOOKUP(CONCATENATE(H161,F161,FR$2),GeoHis!$A:$H,7,FALSE)=CF161,1,0)</f>
        <v>#N/A</v>
      </c>
      <c r="FS161" s="138" t="e">
        <f>IF(VLOOKUP(CONCATENATE(H161,F161,FS$2),GeoHis!$A:$H,7,FALSE)=CG161,1,0)</f>
        <v>#N/A</v>
      </c>
      <c r="FT161" s="138" t="e">
        <f>IF(VLOOKUP(CONCATENATE(H161,F161,FT$2),GeoHis!$A:$H,7,FALSE)=CH161,1,0)</f>
        <v>#N/A</v>
      </c>
      <c r="FU161" s="138" t="e">
        <f>IF(VLOOKUP(CONCATENATE(H161,F161,FU$2),GeoHis!$A:$H,7,FALSE)=CI161,1,0)</f>
        <v>#N/A</v>
      </c>
      <c r="FV161" s="138" t="e">
        <f>IF(VLOOKUP(CONCATENATE(H161,F161,FV$2),GeoHis!$A:$H,7,FALSE)=CJ161,1,0)</f>
        <v>#N/A</v>
      </c>
      <c r="FW161" s="138" t="e">
        <f>IF(VLOOKUP(CONCATENATE(H161,F161,FW$2),GeoHis!$A:$H,7,FALSE)=CK161,1,0)</f>
        <v>#N/A</v>
      </c>
      <c r="FX161" s="138" t="e">
        <f>IF(VLOOKUP(CONCATENATE(H161,F161,FX$2),GeoHis!$A:$H,7,FALSE)=CL161,1,0)</f>
        <v>#N/A</v>
      </c>
      <c r="FY161" s="138" t="e">
        <f>IF(VLOOKUP(CONCATENATE(H161,F161,FY$2),GeoHis!$A:$H,7,FALSE)=CM161,1,0)</f>
        <v>#N/A</v>
      </c>
      <c r="FZ161" s="138" t="e">
        <f>IF(VLOOKUP(CONCATENATE(H161,F161,FZ$2),GeoHis!$A:$H,7,FALSE)=CN161,1,0)</f>
        <v>#N/A</v>
      </c>
      <c r="GA161" s="138" t="e">
        <f>IF(VLOOKUP(CONCATENATE(H161,F161,GA$2),GeoHis!$A:$H,7,FALSE)=CO161,1,0)</f>
        <v>#N/A</v>
      </c>
      <c r="GB161" s="138" t="e">
        <f>IF(VLOOKUP(CONCATENATE(H161,F161,GB$2),GeoHis!$A:$H,7,FALSE)=CP161,1,0)</f>
        <v>#N/A</v>
      </c>
      <c r="GC161" s="138" t="e">
        <f>IF(VLOOKUP(CONCATENATE(H161,F161,GC$2),GeoHis!$A:$H,7,FALSE)=CQ161,1,0)</f>
        <v>#N/A</v>
      </c>
      <c r="GD161" s="138" t="e">
        <f>IF(VLOOKUP(CONCATENATE(H161,F161,GD$2),GeoHis!$A:$H,7,FALSE)=CR161,1,0)</f>
        <v>#N/A</v>
      </c>
      <c r="GE161" s="135" t="str">
        <f t="shared" si="23"/>
        <v/>
      </c>
    </row>
    <row r="162" spans="1:187" x14ac:dyDescent="0.25">
      <c r="A162" s="127" t="str">
        <f>IF(C162="","",'Datos Generales'!$A$25)</f>
        <v/>
      </c>
      <c r="D162" s="126" t="str">
        <f t="shared" si="16"/>
        <v/>
      </c>
      <c r="E162" s="126">
        <f t="shared" si="17"/>
        <v>0</v>
      </c>
      <c r="F162" s="126" t="str">
        <f t="shared" si="18"/>
        <v/>
      </c>
      <c r="G162" s="126" t="str">
        <f>IF(C162="","",'Datos Generales'!$D$19)</f>
        <v/>
      </c>
      <c r="H162" s="21" t="str">
        <f>IF(C162="","",'Datos Generales'!$A$19)</f>
        <v/>
      </c>
      <c r="I162" s="126" t="str">
        <f>IF(C162="","",'Datos Generales'!$A$7)</f>
        <v/>
      </c>
      <c r="J162" s="21" t="str">
        <f>IF(C162="","",'Datos Generales'!$A$13)</f>
        <v/>
      </c>
      <c r="K162" s="21" t="str">
        <f>IF(C162="","",'Datos Generales'!$A$10)</f>
        <v/>
      </c>
      <c r="CS162" s="142" t="str">
        <f t="shared" si="19"/>
        <v/>
      </c>
      <c r="CT162" s="142" t="str">
        <f t="shared" si="20"/>
        <v/>
      </c>
      <c r="CU162" s="142" t="str">
        <f t="shared" si="21"/>
        <v/>
      </c>
      <c r="CV162" s="142" t="str">
        <f t="shared" si="22"/>
        <v/>
      </c>
      <c r="CW162" s="142" t="str">
        <f>IF(C162="","",IF('Datos Generales'!$A$19=1,AVERAGE(FP162:GD162),AVERAGE(Captura!FP162:FY162)))</f>
        <v/>
      </c>
      <c r="CX162" s="138" t="e">
        <f>IF(VLOOKUP(CONCATENATE($H$4,$F$4,CX$2),Español!$A:$H,7,FALSE)=L162,1,0)</f>
        <v>#N/A</v>
      </c>
      <c r="CY162" s="138" t="e">
        <f>IF(VLOOKUP(CONCATENATE(H162,F162,CY$2),Español!$A:$H,7,FALSE)=M162,1,0)</f>
        <v>#N/A</v>
      </c>
      <c r="CZ162" s="138" t="e">
        <f>IF(VLOOKUP(CONCATENATE(H162,F162,CZ$2),Español!$A:$H,7,FALSE)=N162,1,0)</f>
        <v>#N/A</v>
      </c>
      <c r="DA162" s="138" t="e">
        <f>IF(VLOOKUP(CONCATENATE(H162,F162,DA$2),Español!$A:$H,7,FALSE)=O162,1,0)</f>
        <v>#N/A</v>
      </c>
      <c r="DB162" s="138" t="e">
        <f>IF(VLOOKUP(CONCATENATE(H162,F162,DB$2),Español!$A:$H,7,FALSE)=P162,1,0)</f>
        <v>#N/A</v>
      </c>
      <c r="DC162" s="138" t="e">
        <f>IF(VLOOKUP(CONCATENATE(H162,F162,DC$2),Español!$A:$H,7,FALSE)=Q162,1,0)</f>
        <v>#N/A</v>
      </c>
      <c r="DD162" s="138" t="e">
        <f>IF(VLOOKUP(CONCATENATE(H162,F162,DD$2),Español!$A:$H,7,FALSE)=R162,1,0)</f>
        <v>#N/A</v>
      </c>
      <c r="DE162" s="138" t="e">
        <f>IF(VLOOKUP(CONCATENATE(H162,F162,DE$2),Español!$A:$H,7,FALSE)=S162,1,0)</f>
        <v>#N/A</v>
      </c>
      <c r="DF162" s="138" t="e">
        <f>IF(VLOOKUP(CONCATENATE(H162,F162,DF$2),Español!$A:$H,7,FALSE)=T162,1,0)</f>
        <v>#N/A</v>
      </c>
      <c r="DG162" s="138" t="e">
        <f>IF(VLOOKUP(CONCATENATE(H162,F162,DG$2),Español!$A:$H,7,FALSE)=U162,1,0)</f>
        <v>#N/A</v>
      </c>
      <c r="DH162" s="138" t="e">
        <f>IF(VLOOKUP(CONCATENATE(H162,F162,DH$2),Español!$A:$H,7,FALSE)=V162,1,0)</f>
        <v>#N/A</v>
      </c>
      <c r="DI162" s="138" t="e">
        <f>IF(VLOOKUP(CONCATENATE(H162,F162,DI$2),Español!$A:$H,7,FALSE)=W162,1,0)</f>
        <v>#N/A</v>
      </c>
      <c r="DJ162" s="138" t="e">
        <f>IF(VLOOKUP(CONCATENATE(H162,F162,DJ$2),Español!$A:$H,7,FALSE)=X162,1,0)</f>
        <v>#N/A</v>
      </c>
      <c r="DK162" s="138" t="e">
        <f>IF(VLOOKUP(CONCATENATE(H162,F162,DK$2),Español!$A:$H,7,FALSE)=Y162,1,0)</f>
        <v>#N/A</v>
      </c>
      <c r="DL162" s="138" t="e">
        <f>IF(VLOOKUP(CONCATENATE(H162,F162,DL$2),Español!$A:$H,7,FALSE)=Z162,1,0)</f>
        <v>#N/A</v>
      </c>
      <c r="DM162" s="138" t="e">
        <f>IF(VLOOKUP(CONCATENATE(H162,F162,DM$2),Español!$A:$H,7,FALSE)=AA162,1,0)</f>
        <v>#N/A</v>
      </c>
      <c r="DN162" s="138" t="e">
        <f>IF(VLOOKUP(CONCATENATE(H162,F162,DN$2),Español!$A:$H,7,FALSE)=AB162,1,0)</f>
        <v>#N/A</v>
      </c>
      <c r="DO162" s="138" t="e">
        <f>IF(VLOOKUP(CONCATENATE(H162,F162,DO$2),Español!$A:$H,7,FALSE)=AC162,1,0)</f>
        <v>#N/A</v>
      </c>
      <c r="DP162" s="138" t="e">
        <f>IF(VLOOKUP(CONCATENATE(H162,F162,DP$2),Español!$A:$H,7,FALSE)=AD162,1,0)</f>
        <v>#N/A</v>
      </c>
      <c r="DQ162" s="138" t="e">
        <f>IF(VLOOKUP(CONCATENATE(H162,F162,DQ$2),Español!$A:$H,7,FALSE)=AE162,1,0)</f>
        <v>#N/A</v>
      </c>
      <c r="DR162" s="138" t="e">
        <f>IF(VLOOKUP(CONCATENATE(H162,F162,DR$2),Inglés!$A:$H,7,FALSE)=AF162,1,0)</f>
        <v>#N/A</v>
      </c>
      <c r="DS162" s="138" t="e">
        <f>IF(VLOOKUP(CONCATENATE(H162,F162,DS$2),Inglés!$A:$H,7,FALSE)=AG162,1,0)</f>
        <v>#N/A</v>
      </c>
      <c r="DT162" s="138" t="e">
        <f>IF(VLOOKUP(CONCATENATE(H162,F162,DT$2),Inglés!$A:$H,7,FALSE)=AH162,1,0)</f>
        <v>#N/A</v>
      </c>
      <c r="DU162" s="138" t="e">
        <f>IF(VLOOKUP(CONCATENATE(H162,F162,DU$2),Inglés!$A:$H,7,FALSE)=AI162,1,0)</f>
        <v>#N/A</v>
      </c>
      <c r="DV162" s="138" t="e">
        <f>IF(VLOOKUP(CONCATENATE(H162,F162,DV$2),Inglés!$A:$H,7,FALSE)=AJ162,1,0)</f>
        <v>#N/A</v>
      </c>
      <c r="DW162" s="138" t="e">
        <f>IF(VLOOKUP(CONCATENATE(H162,F162,DW$2),Inglés!$A:$H,7,FALSE)=AK162,1,0)</f>
        <v>#N/A</v>
      </c>
      <c r="DX162" s="138" t="e">
        <f>IF(VLOOKUP(CONCATENATE(H162,F162,DX$2),Inglés!$A:$H,7,FALSE)=AL162,1,0)</f>
        <v>#N/A</v>
      </c>
      <c r="DY162" s="138" t="e">
        <f>IF(VLOOKUP(CONCATENATE(H162,F162,DY$2),Inglés!$A:$H,7,FALSE)=AM162,1,0)</f>
        <v>#N/A</v>
      </c>
      <c r="DZ162" s="138" t="e">
        <f>IF(VLOOKUP(CONCATENATE(H162,F162,DZ$2),Inglés!$A:$H,7,FALSE)=AN162,1,0)</f>
        <v>#N/A</v>
      </c>
      <c r="EA162" s="138" t="e">
        <f>IF(VLOOKUP(CONCATENATE(H162,F162,EA$2),Inglés!$A:$H,7,FALSE)=AO162,1,0)</f>
        <v>#N/A</v>
      </c>
      <c r="EB162" s="138" t="e">
        <f>IF(VLOOKUP(CONCATENATE(H162,F162,EB$2),Matemáticas!$A:$H,7,FALSE)=AP162,1,0)</f>
        <v>#N/A</v>
      </c>
      <c r="EC162" s="138" t="e">
        <f>IF(VLOOKUP(CONCATENATE(H162,F162,EC$2),Matemáticas!$A:$H,7,FALSE)=AQ162,1,0)</f>
        <v>#N/A</v>
      </c>
      <c r="ED162" s="138" t="e">
        <f>IF(VLOOKUP(CONCATENATE(H162,F162,ED$2),Matemáticas!$A:$H,7,FALSE)=AR162,1,0)</f>
        <v>#N/A</v>
      </c>
      <c r="EE162" s="138" t="e">
        <f>IF(VLOOKUP(CONCATENATE(H162,F162,EE$2),Matemáticas!$A:$H,7,FALSE)=AS162,1,0)</f>
        <v>#N/A</v>
      </c>
      <c r="EF162" s="138" t="e">
        <f>IF(VLOOKUP(CONCATENATE(H162,F162,EF$2),Matemáticas!$A:$H,7,FALSE)=AT162,1,0)</f>
        <v>#N/A</v>
      </c>
      <c r="EG162" s="138" t="e">
        <f>IF(VLOOKUP(CONCATENATE(H162,F162,EG$2),Matemáticas!$A:$H,7,FALSE)=AU162,1,0)</f>
        <v>#N/A</v>
      </c>
      <c r="EH162" s="138" t="e">
        <f>IF(VLOOKUP(CONCATENATE(H162,F162,EH$2),Matemáticas!$A:$H,7,FALSE)=AV162,1,0)</f>
        <v>#N/A</v>
      </c>
      <c r="EI162" s="138" t="e">
        <f>IF(VLOOKUP(CONCATENATE(H162,F162,EI$2),Matemáticas!$A:$H,7,FALSE)=AW162,1,0)</f>
        <v>#N/A</v>
      </c>
      <c r="EJ162" s="138" t="e">
        <f>IF(VLOOKUP(CONCATENATE(H162,F162,EJ$2),Matemáticas!$A:$H,7,FALSE)=AX162,1,0)</f>
        <v>#N/A</v>
      </c>
      <c r="EK162" s="138" t="e">
        <f>IF(VLOOKUP(CONCATENATE(H162,F162,EK$2),Matemáticas!$A:$H,7,FALSE)=AY162,1,0)</f>
        <v>#N/A</v>
      </c>
      <c r="EL162" s="138" t="e">
        <f>IF(VLOOKUP(CONCATENATE(H162,F162,EL$2),Matemáticas!$A:$H,7,FALSE)=AZ162,1,0)</f>
        <v>#N/A</v>
      </c>
      <c r="EM162" s="138" t="e">
        <f>IF(VLOOKUP(CONCATENATE(H162,F162,EM$2),Matemáticas!$A:$H,7,FALSE)=BA162,1,0)</f>
        <v>#N/A</v>
      </c>
      <c r="EN162" s="138" t="e">
        <f>IF(VLOOKUP(CONCATENATE(H162,F162,EN$2),Matemáticas!$A:$H,7,FALSE)=BB162,1,0)</f>
        <v>#N/A</v>
      </c>
      <c r="EO162" s="138" t="e">
        <f>IF(VLOOKUP(CONCATENATE(H162,F162,EO$2),Matemáticas!$A:$H,7,FALSE)=BC162,1,0)</f>
        <v>#N/A</v>
      </c>
      <c r="EP162" s="138" t="e">
        <f>IF(VLOOKUP(CONCATENATE(H162,F162,EP$2),Matemáticas!$A:$H,7,FALSE)=BD162,1,0)</f>
        <v>#N/A</v>
      </c>
      <c r="EQ162" s="138" t="e">
        <f>IF(VLOOKUP(CONCATENATE(H162,F162,EQ$2),Matemáticas!$A:$H,7,FALSE)=BE162,1,0)</f>
        <v>#N/A</v>
      </c>
      <c r="ER162" s="138" t="e">
        <f>IF(VLOOKUP(CONCATENATE(H162,F162,ER$2),Matemáticas!$A:$H,7,FALSE)=BF162,1,0)</f>
        <v>#N/A</v>
      </c>
      <c r="ES162" s="138" t="e">
        <f>IF(VLOOKUP(CONCATENATE(H162,F162,ES$2),Matemáticas!$A:$H,7,FALSE)=BG162,1,0)</f>
        <v>#N/A</v>
      </c>
      <c r="ET162" s="138" t="e">
        <f>IF(VLOOKUP(CONCATENATE(H162,F162,ET$2),Matemáticas!$A:$H,7,FALSE)=BH162,1,0)</f>
        <v>#N/A</v>
      </c>
      <c r="EU162" s="138" t="e">
        <f>IF(VLOOKUP(CONCATENATE(H162,F162,EU$2),Matemáticas!$A:$H,7,FALSE)=BI162,1,0)</f>
        <v>#N/A</v>
      </c>
      <c r="EV162" s="138" t="e">
        <f>IF(VLOOKUP(CONCATENATE(H162,F162,EV$2),Ciencias!$A:$H,7,FALSE)=BJ162,1,0)</f>
        <v>#N/A</v>
      </c>
      <c r="EW162" s="138" t="e">
        <f>IF(VLOOKUP(CONCATENATE(H162,F162,EW$2),Ciencias!$A:$H,7,FALSE)=BK162,1,0)</f>
        <v>#N/A</v>
      </c>
      <c r="EX162" s="138" t="e">
        <f>IF(VLOOKUP(CONCATENATE(H162,F162,EX$2),Ciencias!$A:$H,7,FALSE)=BL162,1,0)</f>
        <v>#N/A</v>
      </c>
      <c r="EY162" s="138" t="e">
        <f>IF(VLOOKUP(CONCATENATE(H162,F162,EY$2),Ciencias!$A:$H,7,FALSE)=BM162,1,0)</f>
        <v>#N/A</v>
      </c>
      <c r="EZ162" s="138" t="e">
        <f>IF(VLOOKUP(CONCATENATE(H162,F162,EZ$2),Ciencias!$A:$H,7,FALSE)=BN162,1,0)</f>
        <v>#N/A</v>
      </c>
      <c r="FA162" s="138" t="e">
        <f>IF(VLOOKUP(CONCATENATE(H162,F162,FA$2),Ciencias!$A:$H,7,FALSE)=BO162,1,0)</f>
        <v>#N/A</v>
      </c>
      <c r="FB162" s="138" t="e">
        <f>IF(VLOOKUP(CONCATENATE(H162,F162,FB$2),Ciencias!$A:$H,7,FALSE)=BP162,1,0)</f>
        <v>#N/A</v>
      </c>
      <c r="FC162" s="138" t="e">
        <f>IF(VLOOKUP(CONCATENATE(H162,F162,FC$2),Ciencias!$A:$H,7,FALSE)=BQ162,1,0)</f>
        <v>#N/A</v>
      </c>
      <c r="FD162" s="138" t="e">
        <f>IF(VLOOKUP(CONCATENATE(H162,F162,FD$2),Ciencias!$A:$H,7,FALSE)=BR162,1,0)</f>
        <v>#N/A</v>
      </c>
      <c r="FE162" s="138" t="e">
        <f>IF(VLOOKUP(CONCATENATE(H162,F162,FE$2),Ciencias!$A:$H,7,FALSE)=BS162,1,0)</f>
        <v>#N/A</v>
      </c>
      <c r="FF162" s="138" t="e">
        <f>IF(VLOOKUP(CONCATENATE(H162,F162,FF$2),Ciencias!$A:$H,7,FALSE)=BT162,1,0)</f>
        <v>#N/A</v>
      </c>
      <c r="FG162" s="138" t="e">
        <f>IF(VLOOKUP(CONCATENATE(H162,F162,FG$2),Ciencias!$A:$H,7,FALSE)=BU162,1,0)</f>
        <v>#N/A</v>
      </c>
      <c r="FH162" s="138" t="e">
        <f>IF(VLOOKUP(CONCATENATE(H162,F162,FH$2),Ciencias!$A:$H,7,FALSE)=BV162,1,0)</f>
        <v>#N/A</v>
      </c>
      <c r="FI162" s="138" t="e">
        <f>IF(VLOOKUP(CONCATENATE(H162,F162,FI$2),Ciencias!$A:$H,7,FALSE)=BW162,1,0)</f>
        <v>#N/A</v>
      </c>
      <c r="FJ162" s="138" t="e">
        <f>IF(VLOOKUP(CONCATENATE(H162,F162,FJ$2),Ciencias!$A:$H,7,FALSE)=BX162,1,0)</f>
        <v>#N/A</v>
      </c>
      <c r="FK162" s="138" t="e">
        <f>IF(VLOOKUP(CONCATENATE(H162,F162,FK$2),Ciencias!$A:$H,7,FALSE)=BY162,1,0)</f>
        <v>#N/A</v>
      </c>
      <c r="FL162" s="138" t="e">
        <f>IF(VLOOKUP(CONCATENATE(H162,F162,FL$2),Ciencias!$A:$H,7,FALSE)=BZ162,1,0)</f>
        <v>#N/A</v>
      </c>
      <c r="FM162" s="138" t="e">
        <f>IF(VLOOKUP(CONCATENATE(H162,F162,FM$2),Ciencias!$A:$H,7,FALSE)=CA162,1,0)</f>
        <v>#N/A</v>
      </c>
      <c r="FN162" s="138" t="e">
        <f>IF(VLOOKUP(CONCATENATE(H162,F162,FN$2),Ciencias!$A:$H,7,FALSE)=CB162,1,0)</f>
        <v>#N/A</v>
      </c>
      <c r="FO162" s="138" t="e">
        <f>IF(VLOOKUP(CONCATENATE(H162,F162,FO$2),Ciencias!$A:$H,7,FALSE)=CC162,1,0)</f>
        <v>#N/A</v>
      </c>
      <c r="FP162" s="138" t="e">
        <f>IF(VLOOKUP(CONCATENATE(H162,F162,FP$2),GeoHis!$A:$H,7,FALSE)=CD162,1,0)</f>
        <v>#N/A</v>
      </c>
      <c r="FQ162" s="138" t="e">
        <f>IF(VLOOKUP(CONCATENATE(H162,F162,FQ$2),GeoHis!$A:$H,7,FALSE)=CE162,1,0)</f>
        <v>#N/A</v>
      </c>
      <c r="FR162" s="138" t="e">
        <f>IF(VLOOKUP(CONCATENATE(H162,F162,FR$2),GeoHis!$A:$H,7,FALSE)=CF162,1,0)</f>
        <v>#N/A</v>
      </c>
      <c r="FS162" s="138" t="e">
        <f>IF(VLOOKUP(CONCATENATE(H162,F162,FS$2),GeoHis!$A:$H,7,FALSE)=CG162,1,0)</f>
        <v>#N/A</v>
      </c>
      <c r="FT162" s="138" t="e">
        <f>IF(VLOOKUP(CONCATENATE(H162,F162,FT$2),GeoHis!$A:$H,7,FALSE)=CH162,1,0)</f>
        <v>#N/A</v>
      </c>
      <c r="FU162" s="138" t="e">
        <f>IF(VLOOKUP(CONCATENATE(H162,F162,FU$2),GeoHis!$A:$H,7,FALSE)=CI162,1,0)</f>
        <v>#N/A</v>
      </c>
      <c r="FV162" s="138" t="e">
        <f>IF(VLOOKUP(CONCATENATE(H162,F162,FV$2),GeoHis!$A:$H,7,FALSE)=CJ162,1,0)</f>
        <v>#N/A</v>
      </c>
      <c r="FW162" s="138" t="e">
        <f>IF(VLOOKUP(CONCATENATE(H162,F162,FW$2),GeoHis!$A:$H,7,FALSE)=CK162,1,0)</f>
        <v>#N/A</v>
      </c>
      <c r="FX162" s="138" t="e">
        <f>IF(VLOOKUP(CONCATENATE(H162,F162,FX$2),GeoHis!$A:$H,7,FALSE)=CL162,1,0)</f>
        <v>#N/A</v>
      </c>
      <c r="FY162" s="138" t="e">
        <f>IF(VLOOKUP(CONCATENATE(H162,F162,FY$2),GeoHis!$A:$H,7,FALSE)=CM162,1,0)</f>
        <v>#N/A</v>
      </c>
      <c r="FZ162" s="138" t="e">
        <f>IF(VLOOKUP(CONCATENATE(H162,F162,FZ$2),GeoHis!$A:$H,7,FALSE)=CN162,1,0)</f>
        <v>#N/A</v>
      </c>
      <c r="GA162" s="138" t="e">
        <f>IF(VLOOKUP(CONCATENATE(H162,F162,GA$2),GeoHis!$A:$H,7,FALSE)=CO162,1,0)</f>
        <v>#N/A</v>
      </c>
      <c r="GB162" s="138" t="e">
        <f>IF(VLOOKUP(CONCATENATE(H162,F162,GB$2),GeoHis!$A:$H,7,FALSE)=CP162,1,0)</f>
        <v>#N/A</v>
      </c>
      <c r="GC162" s="138" t="e">
        <f>IF(VLOOKUP(CONCATENATE(H162,F162,GC$2),GeoHis!$A:$H,7,FALSE)=CQ162,1,0)</f>
        <v>#N/A</v>
      </c>
      <c r="GD162" s="138" t="e">
        <f>IF(VLOOKUP(CONCATENATE(H162,F162,GD$2),GeoHis!$A:$H,7,FALSE)=CR162,1,0)</f>
        <v>#N/A</v>
      </c>
      <c r="GE162" s="135" t="str">
        <f t="shared" si="23"/>
        <v/>
      </c>
    </row>
    <row r="163" spans="1:187" x14ac:dyDescent="0.25">
      <c r="A163" s="127" t="str">
        <f>IF(C163="","",'Datos Generales'!$A$25)</f>
        <v/>
      </c>
      <c r="D163" s="126" t="str">
        <f t="shared" si="16"/>
        <v/>
      </c>
      <c r="E163" s="126">
        <f t="shared" si="17"/>
        <v>0</v>
      </c>
      <c r="F163" s="126" t="str">
        <f t="shared" si="18"/>
        <v/>
      </c>
      <c r="G163" s="126" t="str">
        <f>IF(C163="","",'Datos Generales'!$D$19)</f>
        <v/>
      </c>
      <c r="H163" s="21" t="str">
        <f>IF(C163="","",'Datos Generales'!$A$19)</f>
        <v/>
      </c>
      <c r="I163" s="126" t="str">
        <f>IF(C163="","",'Datos Generales'!$A$7)</f>
        <v/>
      </c>
      <c r="J163" s="21" t="str">
        <f>IF(C163="","",'Datos Generales'!$A$13)</f>
        <v/>
      </c>
      <c r="K163" s="21" t="str">
        <f>IF(C163="","",'Datos Generales'!$A$10)</f>
        <v/>
      </c>
      <c r="CS163" s="142" t="str">
        <f t="shared" si="19"/>
        <v/>
      </c>
      <c r="CT163" s="142" t="str">
        <f t="shared" si="20"/>
        <v/>
      </c>
      <c r="CU163" s="142" t="str">
        <f t="shared" si="21"/>
        <v/>
      </c>
      <c r="CV163" s="142" t="str">
        <f t="shared" si="22"/>
        <v/>
      </c>
      <c r="CW163" s="142" t="str">
        <f>IF(C163="","",IF('Datos Generales'!$A$19=1,AVERAGE(FP163:GD163),AVERAGE(Captura!FP163:FY163)))</f>
        <v/>
      </c>
      <c r="CX163" s="138" t="e">
        <f>IF(VLOOKUP(CONCATENATE($H$4,$F$4,CX$2),Español!$A:$H,7,FALSE)=L163,1,0)</f>
        <v>#N/A</v>
      </c>
      <c r="CY163" s="138" t="e">
        <f>IF(VLOOKUP(CONCATENATE(H163,F163,CY$2),Español!$A:$H,7,FALSE)=M163,1,0)</f>
        <v>#N/A</v>
      </c>
      <c r="CZ163" s="138" t="e">
        <f>IF(VLOOKUP(CONCATENATE(H163,F163,CZ$2),Español!$A:$H,7,FALSE)=N163,1,0)</f>
        <v>#N/A</v>
      </c>
      <c r="DA163" s="138" t="e">
        <f>IF(VLOOKUP(CONCATENATE(H163,F163,DA$2),Español!$A:$H,7,FALSE)=O163,1,0)</f>
        <v>#N/A</v>
      </c>
      <c r="DB163" s="138" t="e">
        <f>IF(VLOOKUP(CONCATENATE(H163,F163,DB$2),Español!$A:$H,7,FALSE)=P163,1,0)</f>
        <v>#N/A</v>
      </c>
      <c r="DC163" s="138" t="e">
        <f>IF(VLOOKUP(CONCATENATE(H163,F163,DC$2),Español!$A:$H,7,FALSE)=Q163,1,0)</f>
        <v>#N/A</v>
      </c>
      <c r="DD163" s="138" t="e">
        <f>IF(VLOOKUP(CONCATENATE(H163,F163,DD$2),Español!$A:$H,7,FALSE)=R163,1,0)</f>
        <v>#N/A</v>
      </c>
      <c r="DE163" s="138" t="e">
        <f>IF(VLOOKUP(CONCATENATE(H163,F163,DE$2),Español!$A:$H,7,FALSE)=S163,1,0)</f>
        <v>#N/A</v>
      </c>
      <c r="DF163" s="138" t="e">
        <f>IF(VLOOKUP(CONCATENATE(H163,F163,DF$2),Español!$A:$H,7,FALSE)=T163,1,0)</f>
        <v>#N/A</v>
      </c>
      <c r="DG163" s="138" t="e">
        <f>IF(VLOOKUP(CONCATENATE(H163,F163,DG$2),Español!$A:$H,7,FALSE)=U163,1,0)</f>
        <v>#N/A</v>
      </c>
      <c r="DH163" s="138" t="e">
        <f>IF(VLOOKUP(CONCATENATE(H163,F163,DH$2),Español!$A:$H,7,FALSE)=V163,1,0)</f>
        <v>#N/A</v>
      </c>
      <c r="DI163" s="138" t="e">
        <f>IF(VLOOKUP(CONCATENATE(H163,F163,DI$2),Español!$A:$H,7,FALSE)=W163,1,0)</f>
        <v>#N/A</v>
      </c>
      <c r="DJ163" s="138" t="e">
        <f>IF(VLOOKUP(CONCATENATE(H163,F163,DJ$2),Español!$A:$H,7,FALSE)=X163,1,0)</f>
        <v>#N/A</v>
      </c>
      <c r="DK163" s="138" t="e">
        <f>IF(VLOOKUP(CONCATENATE(H163,F163,DK$2),Español!$A:$H,7,FALSE)=Y163,1,0)</f>
        <v>#N/A</v>
      </c>
      <c r="DL163" s="138" t="e">
        <f>IF(VLOOKUP(CONCATENATE(H163,F163,DL$2),Español!$A:$H,7,FALSE)=Z163,1,0)</f>
        <v>#N/A</v>
      </c>
      <c r="DM163" s="138" t="e">
        <f>IF(VLOOKUP(CONCATENATE(H163,F163,DM$2),Español!$A:$H,7,FALSE)=AA163,1,0)</f>
        <v>#N/A</v>
      </c>
      <c r="DN163" s="138" t="e">
        <f>IF(VLOOKUP(CONCATENATE(H163,F163,DN$2),Español!$A:$H,7,FALSE)=AB163,1,0)</f>
        <v>#N/A</v>
      </c>
      <c r="DO163" s="138" t="e">
        <f>IF(VLOOKUP(CONCATENATE(H163,F163,DO$2),Español!$A:$H,7,FALSE)=AC163,1,0)</f>
        <v>#N/A</v>
      </c>
      <c r="DP163" s="138" t="e">
        <f>IF(VLOOKUP(CONCATENATE(H163,F163,DP$2),Español!$A:$H,7,FALSE)=AD163,1,0)</f>
        <v>#N/A</v>
      </c>
      <c r="DQ163" s="138" t="e">
        <f>IF(VLOOKUP(CONCATENATE(H163,F163,DQ$2),Español!$A:$H,7,FALSE)=AE163,1,0)</f>
        <v>#N/A</v>
      </c>
      <c r="DR163" s="138" t="e">
        <f>IF(VLOOKUP(CONCATENATE(H163,F163,DR$2),Inglés!$A:$H,7,FALSE)=AF163,1,0)</f>
        <v>#N/A</v>
      </c>
      <c r="DS163" s="138" t="e">
        <f>IF(VLOOKUP(CONCATENATE(H163,F163,DS$2),Inglés!$A:$H,7,FALSE)=AG163,1,0)</f>
        <v>#N/A</v>
      </c>
      <c r="DT163" s="138" t="e">
        <f>IF(VLOOKUP(CONCATENATE(H163,F163,DT$2),Inglés!$A:$H,7,FALSE)=AH163,1,0)</f>
        <v>#N/A</v>
      </c>
      <c r="DU163" s="138" t="e">
        <f>IF(VLOOKUP(CONCATENATE(H163,F163,DU$2),Inglés!$A:$H,7,FALSE)=AI163,1,0)</f>
        <v>#N/A</v>
      </c>
      <c r="DV163" s="138" t="e">
        <f>IF(VLOOKUP(CONCATENATE(H163,F163,DV$2),Inglés!$A:$H,7,FALSE)=AJ163,1,0)</f>
        <v>#N/A</v>
      </c>
      <c r="DW163" s="138" t="e">
        <f>IF(VLOOKUP(CONCATENATE(H163,F163,DW$2),Inglés!$A:$H,7,FALSE)=AK163,1,0)</f>
        <v>#N/A</v>
      </c>
      <c r="DX163" s="138" t="e">
        <f>IF(VLOOKUP(CONCATENATE(H163,F163,DX$2),Inglés!$A:$H,7,FALSE)=AL163,1,0)</f>
        <v>#N/A</v>
      </c>
      <c r="DY163" s="138" t="e">
        <f>IF(VLOOKUP(CONCATENATE(H163,F163,DY$2),Inglés!$A:$H,7,FALSE)=AM163,1,0)</f>
        <v>#N/A</v>
      </c>
      <c r="DZ163" s="138" t="e">
        <f>IF(VLOOKUP(CONCATENATE(H163,F163,DZ$2),Inglés!$A:$H,7,FALSE)=AN163,1,0)</f>
        <v>#N/A</v>
      </c>
      <c r="EA163" s="138" t="e">
        <f>IF(VLOOKUP(CONCATENATE(H163,F163,EA$2),Inglés!$A:$H,7,FALSE)=AO163,1,0)</f>
        <v>#N/A</v>
      </c>
      <c r="EB163" s="138" t="e">
        <f>IF(VLOOKUP(CONCATENATE(H163,F163,EB$2),Matemáticas!$A:$H,7,FALSE)=AP163,1,0)</f>
        <v>#N/A</v>
      </c>
      <c r="EC163" s="138" t="e">
        <f>IF(VLOOKUP(CONCATENATE(H163,F163,EC$2),Matemáticas!$A:$H,7,FALSE)=AQ163,1,0)</f>
        <v>#N/A</v>
      </c>
      <c r="ED163" s="138" t="e">
        <f>IF(VLOOKUP(CONCATENATE(H163,F163,ED$2),Matemáticas!$A:$H,7,FALSE)=AR163,1,0)</f>
        <v>#N/A</v>
      </c>
      <c r="EE163" s="138" t="e">
        <f>IF(VLOOKUP(CONCATENATE(H163,F163,EE$2),Matemáticas!$A:$H,7,FALSE)=AS163,1,0)</f>
        <v>#N/A</v>
      </c>
      <c r="EF163" s="138" t="e">
        <f>IF(VLOOKUP(CONCATENATE(H163,F163,EF$2),Matemáticas!$A:$H,7,FALSE)=AT163,1,0)</f>
        <v>#N/A</v>
      </c>
      <c r="EG163" s="138" t="e">
        <f>IF(VLOOKUP(CONCATENATE(H163,F163,EG$2),Matemáticas!$A:$H,7,FALSE)=AU163,1,0)</f>
        <v>#N/A</v>
      </c>
      <c r="EH163" s="138" t="e">
        <f>IF(VLOOKUP(CONCATENATE(H163,F163,EH$2),Matemáticas!$A:$H,7,FALSE)=AV163,1,0)</f>
        <v>#N/A</v>
      </c>
      <c r="EI163" s="138" t="e">
        <f>IF(VLOOKUP(CONCATENATE(H163,F163,EI$2),Matemáticas!$A:$H,7,FALSE)=AW163,1,0)</f>
        <v>#N/A</v>
      </c>
      <c r="EJ163" s="138" t="e">
        <f>IF(VLOOKUP(CONCATENATE(H163,F163,EJ$2),Matemáticas!$A:$H,7,FALSE)=AX163,1,0)</f>
        <v>#N/A</v>
      </c>
      <c r="EK163" s="138" t="e">
        <f>IF(VLOOKUP(CONCATENATE(H163,F163,EK$2),Matemáticas!$A:$H,7,FALSE)=AY163,1,0)</f>
        <v>#N/A</v>
      </c>
      <c r="EL163" s="138" t="e">
        <f>IF(VLOOKUP(CONCATENATE(H163,F163,EL$2),Matemáticas!$A:$H,7,FALSE)=AZ163,1,0)</f>
        <v>#N/A</v>
      </c>
      <c r="EM163" s="138" t="e">
        <f>IF(VLOOKUP(CONCATENATE(H163,F163,EM$2),Matemáticas!$A:$H,7,FALSE)=BA163,1,0)</f>
        <v>#N/A</v>
      </c>
      <c r="EN163" s="138" t="e">
        <f>IF(VLOOKUP(CONCATENATE(H163,F163,EN$2),Matemáticas!$A:$H,7,FALSE)=BB163,1,0)</f>
        <v>#N/A</v>
      </c>
      <c r="EO163" s="138" t="e">
        <f>IF(VLOOKUP(CONCATENATE(H163,F163,EO$2),Matemáticas!$A:$H,7,FALSE)=BC163,1,0)</f>
        <v>#N/A</v>
      </c>
      <c r="EP163" s="138" t="e">
        <f>IF(VLOOKUP(CONCATENATE(H163,F163,EP$2),Matemáticas!$A:$H,7,FALSE)=BD163,1,0)</f>
        <v>#N/A</v>
      </c>
      <c r="EQ163" s="138" t="e">
        <f>IF(VLOOKUP(CONCATENATE(H163,F163,EQ$2),Matemáticas!$A:$H,7,FALSE)=BE163,1,0)</f>
        <v>#N/A</v>
      </c>
      <c r="ER163" s="138" t="e">
        <f>IF(VLOOKUP(CONCATENATE(H163,F163,ER$2),Matemáticas!$A:$H,7,FALSE)=BF163,1,0)</f>
        <v>#N/A</v>
      </c>
      <c r="ES163" s="138" t="e">
        <f>IF(VLOOKUP(CONCATENATE(H163,F163,ES$2),Matemáticas!$A:$H,7,FALSE)=BG163,1,0)</f>
        <v>#N/A</v>
      </c>
      <c r="ET163" s="138" t="e">
        <f>IF(VLOOKUP(CONCATENATE(H163,F163,ET$2),Matemáticas!$A:$H,7,FALSE)=BH163,1,0)</f>
        <v>#N/A</v>
      </c>
      <c r="EU163" s="138" t="e">
        <f>IF(VLOOKUP(CONCATENATE(H163,F163,EU$2),Matemáticas!$A:$H,7,FALSE)=BI163,1,0)</f>
        <v>#N/A</v>
      </c>
      <c r="EV163" s="138" t="e">
        <f>IF(VLOOKUP(CONCATENATE(H163,F163,EV$2),Ciencias!$A:$H,7,FALSE)=BJ163,1,0)</f>
        <v>#N/A</v>
      </c>
      <c r="EW163" s="138" t="e">
        <f>IF(VLOOKUP(CONCATENATE(H163,F163,EW$2),Ciencias!$A:$H,7,FALSE)=BK163,1,0)</f>
        <v>#N/A</v>
      </c>
      <c r="EX163" s="138" t="e">
        <f>IF(VLOOKUP(CONCATENATE(H163,F163,EX$2),Ciencias!$A:$H,7,FALSE)=BL163,1,0)</f>
        <v>#N/A</v>
      </c>
      <c r="EY163" s="138" t="e">
        <f>IF(VLOOKUP(CONCATENATE(H163,F163,EY$2),Ciencias!$A:$H,7,FALSE)=BM163,1,0)</f>
        <v>#N/A</v>
      </c>
      <c r="EZ163" s="138" t="e">
        <f>IF(VLOOKUP(CONCATENATE(H163,F163,EZ$2),Ciencias!$A:$H,7,FALSE)=BN163,1,0)</f>
        <v>#N/A</v>
      </c>
      <c r="FA163" s="138" t="e">
        <f>IF(VLOOKUP(CONCATENATE(H163,F163,FA$2),Ciencias!$A:$H,7,FALSE)=BO163,1,0)</f>
        <v>#N/A</v>
      </c>
      <c r="FB163" s="138" t="e">
        <f>IF(VLOOKUP(CONCATENATE(H163,F163,FB$2),Ciencias!$A:$H,7,FALSE)=BP163,1,0)</f>
        <v>#N/A</v>
      </c>
      <c r="FC163" s="138" t="e">
        <f>IF(VLOOKUP(CONCATENATE(H163,F163,FC$2),Ciencias!$A:$H,7,FALSE)=BQ163,1,0)</f>
        <v>#N/A</v>
      </c>
      <c r="FD163" s="138" t="e">
        <f>IF(VLOOKUP(CONCATENATE(H163,F163,FD$2),Ciencias!$A:$H,7,FALSE)=BR163,1,0)</f>
        <v>#N/A</v>
      </c>
      <c r="FE163" s="138" t="e">
        <f>IF(VLOOKUP(CONCATENATE(H163,F163,FE$2),Ciencias!$A:$H,7,FALSE)=BS163,1,0)</f>
        <v>#N/A</v>
      </c>
      <c r="FF163" s="138" t="e">
        <f>IF(VLOOKUP(CONCATENATE(H163,F163,FF$2),Ciencias!$A:$H,7,FALSE)=BT163,1,0)</f>
        <v>#N/A</v>
      </c>
      <c r="FG163" s="138" t="e">
        <f>IF(VLOOKUP(CONCATENATE(H163,F163,FG$2),Ciencias!$A:$H,7,FALSE)=BU163,1,0)</f>
        <v>#N/A</v>
      </c>
      <c r="FH163" s="138" t="e">
        <f>IF(VLOOKUP(CONCATENATE(H163,F163,FH$2),Ciencias!$A:$H,7,FALSE)=BV163,1,0)</f>
        <v>#N/A</v>
      </c>
      <c r="FI163" s="138" t="e">
        <f>IF(VLOOKUP(CONCATENATE(H163,F163,FI$2),Ciencias!$A:$H,7,FALSE)=BW163,1,0)</f>
        <v>#N/A</v>
      </c>
      <c r="FJ163" s="138" t="e">
        <f>IF(VLOOKUP(CONCATENATE(H163,F163,FJ$2),Ciencias!$A:$H,7,FALSE)=BX163,1,0)</f>
        <v>#N/A</v>
      </c>
      <c r="FK163" s="138" t="e">
        <f>IF(VLOOKUP(CONCATENATE(H163,F163,FK$2),Ciencias!$A:$H,7,FALSE)=BY163,1,0)</f>
        <v>#N/A</v>
      </c>
      <c r="FL163" s="138" t="e">
        <f>IF(VLOOKUP(CONCATENATE(H163,F163,FL$2),Ciencias!$A:$H,7,FALSE)=BZ163,1,0)</f>
        <v>#N/A</v>
      </c>
      <c r="FM163" s="138" t="e">
        <f>IF(VLOOKUP(CONCATENATE(H163,F163,FM$2),Ciencias!$A:$H,7,FALSE)=CA163,1,0)</f>
        <v>#N/A</v>
      </c>
      <c r="FN163" s="138" t="e">
        <f>IF(VLOOKUP(CONCATENATE(H163,F163,FN$2),Ciencias!$A:$H,7,FALSE)=CB163,1,0)</f>
        <v>#N/A</v>
      </c>
      <c r="FO163" s="138" t="e">
        <f>IF(VLOOKUP(CONCATENATE(H163,F163,FO$2),Ciencias!$A:$H,7,FALSE)=CC163,1,0)</f>
        <v>#N/A</v>
      </c>
      <c r="FP163" s="138" t="e">
        <f>IF(VLOOKUP(CONCATENATE(H163,F163,FP$2),GeoHis!$A:$H,7,FALSE)=CD163,1,0)</f>
        <v>#N/A</v>
      </c>
      <c r="FQ163" s="138" t="e">
        <f>IF(VLOOKUP(CONCATENATE(H163,F163,FQ$2),GeoHis!$A:$H,7,FALSE)=CE163,1,0)</f>
        <v>#N/A</v>
      </c>
      <c r="FR163" s="138" t="e">
        <f>IF(VLOOKUP(CONCATENATE(H163,F163,FR$2),GeoHis!$A:$H,7,FALSE)=CF163,1,0)</f>
        <v>#N/A</v>
      </c>
      <c r="FS163" s="138" t="e">
        <f>IF(VLOOKUP(CONCATENATE(H163,F163,FS$2),GeoHis!$A:$H,7,FALSE)=CG163,1,0)</f>
        <v>#N/A</v>
      </c>
      <c r="FT163" s="138" t="e">
        <f>IF(VLOOKUP(CONCATENATE(H163,F163,FT$2),GeoHis!$A:$H,7,FALSE)=CH163,1,0)</f>
        <v>#N/A</v>
      </c>
      <c r="FU163" s="138" t="e">
        <f>IF(VLOOKUP(CONCATENATE(H163,F163,FU$2),GeoHis!$A:$H,7,FALSE)=CI163,1,0)</f>
        <v>#N/A</v>
      </c>
      <c r="FV163" s="138" t="e">
        <f>IF(VLOOKUP(CONCATENATE(H163,F163,FV$2),GeoHis!$A:$H,7,FALSE)=CJ163,1,0)</f>
        <v>#N/A</v>
      </c>
      <c r="FW163" s="138" t="e">
        <f>IF(VLOOKUP(CONCATENATE(H163,F163,FW$2),GeoHis!$A:$H,7,FALSE)=CK163,1,0)</f>
        <v>#N/A</v>
      </c>
      <c r="FX163" s="138" t="e">
        <f>IF(VLOOKUP(CONCATENATE(H163,F163,FX$2),GeoHis!$A:$H,7,FALSE)=CL163,1,0)</f>
        <v>#N/A</v>
      </c>
      <c r="FY163" s="138" t="e">
        <f>IF(VLOOKUP(CONCATENATE(H163,F163,FY$2),GeoHis!$A:$H,7,FALSE)=CM163,1,0)</f>
        <v>#N/A</v>
      </c>
      <c r="FZ163" s="138" t="e">
        <f>IF(VLOOKUP(CONCATENATE(H163,F163,FZ$2),GeoHis!$A:$H,7,FALSE)=CN163,1,0)</f>
        <v>#N/A</v>
      </c>
      <c r="GA163" s="138" t="e">
        <f>IF(VLOOKUP(CONCATENATE(H163,F163,GA$2),GeoHis!$A:$H,7,FALSE)=CO163,1,0)</f>
        <v>#N/A</v>
      </c>
      <c r="GB163" s="138" t="e">
        <f>IF(VLOOKUP(CONCATENATE(H163,F163,GB$2),GeoHis!$A:$H,7,FALSE)=CP163,1,0)</f>
        <v>#N/A</v>
      </c>
      <c r="GC163" s="138" t="e">
        <f>IF(VLOOKUP(CONCATENATE(H163,F163,GC$2),GeoHis!$A:$H,7,FALSE)=CQ163,1,0)</f>
        <v>#N/A</v>
      </c>
      <c r="GD163" s="138" t="e">
        <f>IF(VLOOKUP(CONCATENATE(H163,F163,GD$2),GeoHis!$A:$H,7,FALSE)=CR163,1,0)</f>
        <v>#N/A</v>
      </c>
      <c r="GE163" s="135" t="str">
        <f t="shared" si="23"/>
        <v/>
      </c>
    </row>
    <row r="164" spans="1:187" x14ac:dyDescent="0.25">
      <c r="A164" s="127" t="str">
        <f>IF(C164="","",'Datos Generales'!$A$25)</f>
        <v/>
      </c>
      <c r="D164" s="126" t="str">
        <f t="shared" si="16"/>
        <v/>
      </c>
      <c r="E164" s="126">
        <f t="shared" si="17"/>
        <v>0</v>
      </c>
      <c r="F164" s="126" t="str">
        <f t="shared" si="18"/>
        <v/>
      </c>
      <c r="G164" s="126" t="str">
        <f>IF(C164="","",'Datos Generales'!$D$19)</f>
        <v/>
      </c>
      <c r="H164" s="21" t="str">
        <f>IF(C164="","",'Datos Generales'!$A$19)</f>
        <v/>
      </c>
      <c r="I164" s="126" t="str">
        <f>IF(C164="","",'Datos Generales'!$A$7)</f>
        <v/>
      </c>
      <c r="J164" s="21" t="str">
        <f>IF(C164="","",'Datos Generales'!$A$13)</f>
        <v/>
      </c>
      <c r="K164" s="21" t="str">
        <f>IF(C164="","",'Datos Generales'!$A$10)</f>
        <v/>
      </c>
      <c r="CS164" s="142" t="str">
        <f t="shared" si="19"/>
        <v/>
      </c>
      <c r="CT164" s="142" t="str">
        <f t="shared" si="20"/>
        <v/>
      </c>
      <c r="CU164" s="142" t="str">
        <f t="shared" si="21"/>
        <v/>
      </c>
      <c r="CV164" s="142" t="str">
        <f t="shared" si="22"/>
        <v/>
      </c>
      <c r="CW164" s="142" t="str">
        <f>IF(C164="","",IF('Datos Generales'!$A$19=1,AVERAGE(FP164:GD164),AVERAGE(Captura!FP164:FY164)))</f>
        <v/>
      </c>
      <c r="CX164" s="138" t="e">
        <f>IF(VLOOKUP(CONCATENATE($H$4,$F$4,CX$2),Español!$A:$H,7,FALSE)=L164,1,0)</f>
        <v>#N/A</v>
      </c>
      <c r="CY164" s="138" t="e">
        <f>IF(VLOOKUP(CONCATENATE(H164,F164,CY$2),Español!$A:$H,7,FALSE)=M164,1,0)</f>
        <v>#N/A</v>
      </c>
      <c r="CZ164" s="138" t="e">
        <f>IF(VLOOKUP(CONCATENATE(H164,F164,CZ$2),Español!$A:$H,7,FALSE)=N164,1,0)</f>
        <v>#N/A</v>
      </c>
      <c r="DA164" s="138" t="e">
        <f>IF(VLOOKUP(CONCATENATE(H164,F164,DA$2),Español!$A:$H,7,FALSE)=O164,1,0)</f>
        <v>#N/A</v>
      </c>
      <c r="DB164" s="138" t="e">
        <f>IF(VLOOKUP(CONCATENATE(H164,F164,DB$2),Español!$A:$H,7,FALSE)=P164,1,0)</f>
        <v>#N/A</v>
      </c>
      <c r="DC164" s="138" t="e">
        <f>IF(VLOOKUP(CONCATENATE(H164,F164,DC$2),Español!$A:$H,7,FALSE)=Q164,1,0)</f>
        <v>#N/A</v>
      </c>
      <c r="DD164" s="138" t="e">
        <f>IF(VLOOKUP(CONCATENATE(H164,F164,DD$2),Español!$A:$H,7,FALSE)=R164,1,0)</f>
        <v>#N/A</v>
      </c>
      <c r="DE164" s="138" t="e">
        <f>IF(VLOOKUP(CONCATENATE(H164,F164,DE$2),Español!$A:$H,7,FALSE)=S164,1,0)</f>
        <v>#N/A</v>
      </c>
      <c r="DF164" s="138" t="e">
        <f>IF(VLOOKUP(CONCATENATE(H164,F164,DF$2),Español!$A:$H,7,FALSE)=T164,1,0)</f>
        <v>#N/A</v>
      </c>
      <c r="DG164" s="138" t="e">
        <f>IF(VLOOKUP(CONCATENATE(H164,F164,DG$2),Español!$A:$H,7,FALSE)=U164,1,0)</f>
        <v>#N/A</v>
      </c>
      <c r="DH164" s="138" t="e">
        <f>IF(VLOOKUP(CONCATENATE(H164,F164,DH$2),Español!$A:$H,7,FALSE)=V164,1,0)</f>
        <v>#N/A</v>
      </c>
      <c r="DI164" s="138" t="e">
        <f>IF(VLOOKUP(CONCATENATE(H164,F164,DI$2),Español!$A:$H,7,FALSE)=W164,1,0)</f>
        <v>#N/A</v>
      </c>
      <c r="DJ164" s="138" t="e">
        <f>IF(VLOOKUP(CONCATENATE(H164,F164,DJ$2),Español!$A:$H,7,FALSE)=X164,1,0)</f>
        <v>#N/A</v>
      </c>
      <c r="DK164" s="138" t="e">
        <f>IF(VLOOKUP(CONCATENATE(H164,F164,DK$2),Español!$A:$H,7,FALSE)=Y164,1,0)</f>
        <v>#N/A</v>
      </c>
      <c r="DL164" s="138" t="e">
        <f>IF(VLOOKUP(CONCATENATE(H164,F164,DL$2),Español!$A:$H,7,FALSE)=Z164,1,0)</f>
        <v>#N/A</v>
      </c>
      <c r="DM164" s="138" t="e">
        <f>IF(VLOOKUP(CONCATENATE(H164,F164,DM$2),Español!$A:$H,7,FALSE)=AA164,1,0)</f>
        <v>#N/A</v>
      </c>
      <c r="DN164" s="138" t="e">
        <f>IF(VLOOKUP(CONCATENATE(H164,F164,DN$2),Español!$A:$H,7,FALSE)=AB164,1,0)</f>
        <v>#N/A</v>
      </c>
      <c r="DO164" s="138" t="e">
        <f>IF(VLOOKUP(CONCATENATE(H164,F164,DO$2),Español!$A:$H,7,FALSE)=AC164,1,0)</f>
        <v>#N/A</v>
      </c>
      <c r="DP164" s="138" t="e">
        <f>IF(VLOOKUP(CONCATENATE(H164,F164,DP$2),Español!$A:$H,7,FALSE)=AD164,1,0)</f>
        <v>#N/A</v>
      </c>
      <c r="DQ164" s="138" t="e">
        <f>IF(VLOOKUP(CONCATENATE(H164,F164,DQ$2),Español!$A:$H,7,FALSE)=AE164,1,0)</f>
        <v>#N/A</v>
      </c>
      <c r="DR164" s="138" t="e">
        <f>IF(VLOOKUP(CONCATENATE(H164,F164,DR$2),Inglés!$A:$H,7,FALSE)=AF164,1,0)</f>
        <v>#N/A</v>
      </c>
      <c r="DS164" s="138" t="e">
        <f>IF(VLOOKUP(CONCATENATE(H164,F164,DS$2),Inglés!$A:$H,7,FALSE)=AG164,1,0)</f>
        <v>#N/A</v>
      </c>
      <c r="DT164" s="138" t="e">
        <f>IF(VLOOKUP(CONCATENATE(H164,F164,DT$2),Inglés!$A:$H,7,FALSE)=AH164,1,0)</f>
        <v>#N/A</v>
      </c>
      <c r="DU164" s="138" t="e">
        <f>IF(VLOOKUP(CONCATENATE(H164,F164,DU$2),Inglés!$A:$H,7,FALSE)=AI164,1,0)</f>
        <v>#N/A</v>
      </c>
      <c r="DV164" s="138" t="e">
        <f>IF(VLOOKUP(CONCATENATE(H164,F164,DV$2),Inglés!$A:$H,7,FALSE)=AJ164,1,0)</f>
        <v>#N/A</v>
      </c>
      <c r="DW164" s="138" t="e">
        <f>IF(VLOOKUP(CONCATENATE(H164,F164,DW$2),Inglés!$A:$H,7,FALSE)=AK164,1,0)</f>
        <v>#N/A</v>
      </c>
      <c r="DX164" s="138" t="e">
        <f>IF(VLOOKUP(CONCATENATE(H164,F164,DX$2),Inglés!$A:$H,7,FALSE)=AL164,1,0)</f>
        <v>#N/A</v>
      </c>
      <c r="DY164" s="138" t="e">
        <f>IF(VLOOKUP(CONCATENATE(H164,F164,DY$2),Inglés!$A:$H,7,FALSE)=AM164,1,0)</f>
        <v>#N/A</v>
      </c>
      <c r="DZ164" s="138" t="e">
        <f>IF(VLOOKUP(CONCATENATE(H164,F164,DZ$2),Inglés!$A:$H,7,FALSE)=AN164,1,0)</f>
        <v>#N/A</v>
      </c>
      <c r="EA164" s="138" t="e">
        <f>IF(VLOOKUP(CONCATENATE(H164,F164,EA$2),Inglés!$A:$H,7,FALSE)=AO164,1,0)</f>
        <v>#N/A</v>
      </c>
      <c r="EB164" s="138" t="e">
        <f>IF(VLOOKUP(CONCATENATE(H164,F164,EB$2),Matemáticas!$A:$H,7,FALSE)=AP164,1,0)</f>
        <v>#N/A</v>
      </c>
      <c r="EC164" s="138" t="e">
        <f>IF(VLOOKUP(CONCATENATE(H164,F164,EC$2),Matemáticas!$A:$H,7,FALSE)=AQ164,1,0)</f>
        <v>#N/A</v>
      </c>
      <c r="ED164" s="138" t="e">
        <f>IF(VLOOKUP(CONCATENATE(H164,F164,ED$2),Matemáticas!$A:$H,7,FALSE)=AR164,1,0)</f>
        <v>#N/A</v>
      </c>
      <c r="EE164" s="138" t="e">
        <f>IF(VLOOKUP(CONCATENATE(H164,F164,EE$2),Matemáticas!$A:$H,7,FALSE)=AS164,1,0)</f>
        <v>#N/A</v>
      </c>
      <c r="EF164" s="138" t="e">
        <f>IF(VLOOKUP(CONCATENATE(H164,F164,EF$2),Matemáticas!$A:$H,7,FALSE)=AT164,1,0)</f>
        <v>#N/A</v>
      </c>
      <c r="EG164" s="138" t="e">
        <f>IF(VLOOKUP(CONCATENATE(H164,F164,EG$2),Matemáticas!$A:$H,7,FALSE)=AU164,1,0)</f>
        <v>#N/A</v>
      </c>
      <c r="EH164" s="138" t="e">
        <f>IF(VLOOKUP(CONCATENATE(H164,F164,EH$2),Matemáticas!$A:$H,7,FALSE)=AV164,1,0)</f>
        <v>#N/A</v>
      </c>
      <c r="EI164" s="138" t="e">
        <f>IF(VLOOKUP(CONCATENATE(H164,F164,EI$2),Matemáticas!$A:$H,7,FALSE)=AW164,1,0)</f>
        <v>#N/A</v>
      </c>
      <c r="EJ164" s="138" t="e">
        <f>IF(VLOOKUP(CONCATENATE(H164,F164,EJ$2),Matemáticas!$A:$H,7,FALSE)=AX164,1,0)</f>
        <v>#N/A</v>
      </c>
      <c r="EK164" s="138" t="e">
        <f>IF(VLOOKUP(CONCATENATE(H164,F164,EK$2),Matemáticas!$A:$H,7,FALSE)=AY164,1,0)</f>
        <v>#N/A</v>
      </c>
      <c r="EL164" s="138" t="e">
        <f>IF(VLOOKUP(CONCATENATE(H164,F164,EL$2),Matemáticas!$A:$H,7,FALSE)=AZ164,1,0)</f>
        <v>#N/A</v>
      </c>
      <c r="EM164" s="138" t="e">
        <f>IF(VLOOKUP(CONCATENATE(H164,F164,EM$2),Matemáticas!$A:$H,7,FALSE)=BA164,1,0)</f>
        <v>#N/A</v>
      </c>
      <c r="EN164" s="138" t="e">
        <f>IF(VLOOKUP(CONCATENATE(H164,F164,EN$2),Matemáticas!$A:$H,7,FALSE)=BB164,1,0)</f>
        <v>#N/A</v>
      </c>
      <c r="EO164" s="138" t="e">
        <f>IF(VLOOKUP(CONCATENATE(H164,F164,EO$2),Matemáticas!$A:$H,7,FALSE)=BC164,1,0)</f>
        <v>#N/A</v>
      </c>
      <c r="EP164" s="138" t="e">
        <f>IF(VLOOKUP(CONCATENATE(H164,F164,EP$2),Matemáticas!$A:$H,7,FALSE)=BD164,1,0)</f>
        <v>#N/A</v>
      </c>
      <c r="EQ164" s="138" t="e">
        <f>IF(VLOOKUP(CONCATENATE(H164,F164,EQ$2),Matemáticas!$A:$H,7,FALSE)=BE164,1,0)</f>
        <v>#N/A</v>
      </c>
      <c r="ER164" s="138" t="e">
        <f>IF(VLOOKUP(CONCATENATE(H164,F164,ER$2),Matemáticas!$A:$H,7,FALSE)=BF164,1,0)</f>
        <v>#N/A</v>
      </c>
      <c r="ES164" s="138" t="e">
        <f>IF(VLOOKUP(CONCATENATE(H164,F164,ES$2),Matemáticas!$A:$H,7,FALSE)=BG164,1,0)</f>
        <v>#N/A</v>
      </c>
      <c r="ET164" s="138" t="e">
        <f>IF(VLOOKUP(CONCATENATE(H164,F164,ET$2),Matemáticas!$A:$H,7,FALSE)=BH164,1,0)</f>
        <v>#N/A</v>
      </c>
      <c r="EU164" s="138" t="e">
        <f>IF(VLOOKUP(CONCATENATE(H164,F164,EU$2),Matemáticas!$A:$H,7,FALSE)=BI164,1,0)</f>
        <v>#N/A</v>
      </c>
      <c r="EV164" s="138" t="e">
        <f>IF(VLOOKUP(CONCATENATE(H164,F164,EV$2),Ciencias!$A:$H,7,FALSE)=BJ164,1,0)</f>
        <v>#N/A</v>
      </c>
      <c r="EW164" s="138" t="e">
        <f>IF(VLOOKUP(CONCATENATE(H164,F164,EW$2),Ciencias!$A:$H,7,FALSE)=BK164,1,0)</f>
        <v>#N/A</v>
      </c>
      <c r="EX164" s="138" t="e">
        <f>IF(VLOOKUP(CONCATENATE(H164,F164,EX$2),Ciencias!$A:$H,7,FALSE)=BL164,1,0)</f>
        <v>#N/A</v>
      </c>
      <c r="EY164" s="138" t="e">
        <f>IF(VLOOKUP(CONCATENATE(H164,F164,EY$2),Ciencias!$A:$H,7,FALSE)=BM164,1,0)</f>
        <v>#N/A</v>
      </c>
      <c r="EZ164" s="138" t="e">
        <f>IF(VLOOKUP(CONCATENATE(H164,F164,EZ$2),Ciencias!$A:$H,7,FALSE)=BN164,1,0)</f>
        <v>#N/A</v>
      </c>
      <c r="FA164" s="138" t="e">
        <f>IF(VLOOKUP(CONCATENATE(H164,F164,FA$2),Ciencias!$A:$H,7,FALSE)=BO164,1,0)</f>
        <v>#N/A</v>
      </c>
      <c r="FB164" s="138" t="e">
        <f>IF(VLOOKUP(CONCATENATE(H164,F164,FB$2),Ciencias!$A:$H,7,FALSE)=BP164,1,0)</f>
        <v>#N/A</v>
      </c>
      <c r="FC164" s="138" t="e">
        <f>IF(VLOOKUP(CONCATENATE(H164,F164,FC$2),Ciencias!$A:$H,7,FALSE)=BQ164,1,0)</f>
        <v>#N/A</v>
      </c>
      <c r="FD164" s="138" t="e">
        <f>IF(VLOOKUP(CONCATENATE(H164,F164,FD$2),Ciencias!$A:$H,7,FALSE)=BR164,1,0)</f>
        <v>#N/A</v>
      </c>
      <c r="FE164" s="138" t="e">
        <f>IF(VLOOKUP(CONCATENATE(H164,F164,FE$2),Ciencias!$A:$H,7,FALSE)=BS164,1,0)</f>
        <v>#N/A</v>
      </c>
      <c r="FF164" s="138" t="e">
        <f>IF(VLOOKUP(CONCATENATE(H164,F164,FF$2),Ciencias!$A:$H,7,FALSE)=BT164,1,0)</f>
        <v>#N/A</v>
      </c>
      <c r="FG164" s="138" t="e">
        <f>IF(VLOOKUP(CONCATENATE(H164,F164,FG$2),Ciencias!$A:$H,7,FALSE)=BU164,1,0)</f>
        <v>#N/A</v>
      </c>
      <c r="FH164" s="138" t="e">
        <f>IF(VLOOKUP(CONCATENATE(H164,F164,FH$2),Ciencias!$A:$H,7,FALSE)=BV164,1,0)</f>
        <v>#N/A</v>
      </c>
      <c r="FI164" s="138" t="e">
        <f>IF(VLOOKUP(CONCATENATE(H164,F164,FI$2),Ciencias!$A:$H,7,FALSE)=BW164,1,0)</f>
        <v>#N/A</v>
      </c>
      <c r="FJ164" s="138" t="e">
        <f>IF(VLOOKUP(CONCATENATE(H164,F164,FJ$2),Ciencias!$A:$H,7,FALSE)=BX164,1,0)</f>
        <v>#N/A</v>
      </c>
      <c r="FK164" s="138" t="e">
        <f>IF(VLOOKUP(CONCATENATE(H164,F164,FK$2),Ciencias!$A:$H,7,FALSE)=BY164,1,0)</f>
        <v>#N/A</v>
      </c>
      <c r="FL164" s="138" t="e">
        <f>IF(VLOOKUP(CONCATENATE(H164,F164,FL$2),Ciencias!$A:$H,7,FALSE)=BZ164,1,0)</f>
        <v>#N/A</v>
      </c>
      <c r="FM164" s="138" t="e">
        <f>IF(VLOOKUP(CONCATENATE(H164,F164,FM$2),Ciencias!$A:$H,7,FALSE)=CA164,1,0)</f>
        <v>#N/A</v>
      </c>
      <c r="FN164" s="138" t="e">
        <f>IF(VLOOKUP(CONCATENATE(H164,F164,FN$2),Ciencias!$A:$H,7,FALSE)=CB164,1,0)</f>
        <v>#N/A</v>
      </c>
      <c r="FO164" s="138" t="e">
        <f>IF(VLOOKUP(CONCATENATE(H164,F164,FO$2),Ciencias!$A:$H,7,FALSE)=CC164,1,0)</f>
        <v>#N/A</v>
      </c>
      <c r="FP164" s="138" t="e">
        <f>IF(VLOOKUP(CONCATENATE(H164,F164,FP$2),GeoHis!$A:$H,7,FALSE)=CD164,1,0)</f>
        <v>#N/A</v>
      </c>
      <c r="FQ164" s="138" t="e">
        <f>IF(VLOOKUP(CONCATENATE(H164,F164,FQ$2),GeoHis!$A:$H,7,FALSE)=CE164,1,0)</f>
        <v>#N/A</v>
      </c>
      <c r="FR164" s="138" t="e">
        <f>IF(VLOOKUP(CONCATENATE(H164,F164,FR$2),GeoHis!$A:$H,7,FALSE)=CF164,1,0)</f>
        <v>#N/A</v>
      </c>
      <c r="FS164" s="138" t="e">
        <f>IF(VLOOKUP(CONCATENATE(H164,F164,FS$2),GeoHis!$A:$H,7,FALSE)=CG164,1,0)</f>
        <v>#N/A</v>
      </c>
      <c r="FT164" s="138" t="e">
        <f>IF(VLOOKUP(CONCATENATE(H164,F164,FT$2),GeoHis!$A:$H,7,FALSE)=CH164,1,0)</f>
        <v>#N/A</v>
      </c>
      <c r="FU164" s="138" t="e">
        <f>IF(VLOOKUP(CONCATENATE(H164,F164,FU$2),GeoHis!$A:$H,7,FALSE)=CI164,1,0)</f>
        <v>#N/A</v>
      </c>
      <c r="FV164" s="138" t="e">
        <f>IF(VLOOKUP(CONCATENATE(H164,F164,FV$2),GeoHis!$A:$H,7,FALSE)=CJ164,1,0)</f>
        <v>#N/A</v>
      </c>
      <c r="FW164" s="138" t="e">
        <f>IF(VLOOKUP(CONCATENATE(H164,F164,FW$2),GeoHis!$A:$H,7,FALSE)=CK164,1,0)</f>
        <v>#N/A</v>
      </c>
      <c r="FX164" s="138" t="e">
        <f>IF(VLOOKUP(CONCATENATE(H164,F164,FX$2),GeoHis!$A:$H,7,FALSE)=CL164,1,0)</f>
        <v>#N/A</v>
      </c>
      <c r="FY164" s="138" t="e">
        <f>IF(VLOOKUP(CONCATENATE(H164,F164,FY$2),GeoHis!$A:$H,7,FALSE)=CM164,1,0)</f>
        <v>#N/A</v>
      </c>
      <c r="FZ164" s="138" t="e">
        <f>IF(VLOOKUP(CONCATENATE(H164,F164,FZ$2),GeoHis!$A:$H,7,FALSE)=CN164,1,0)</f>
        <v>#N/A</v>
      </c>
      <c r="GA164" s="138" t="e">
        <f>IF(VLOOKUP(CONCATENATE(H164,F164,GA$2),GeoHis!$A:$H,7,FALSE)=CO164,1,0)</f>
        <v>#N/A</v>
      </c>
      <c r="GB164" s="138" t="e">
        <f>IF(VLOOKUP(CONCATENATE(H164,F164,GB$2),GeoHis!$A:$H,7,FALSE)=CP164,1,0)</f>
        <v>#N/A</v>
      </c>
      <c r="GC164" s="138" t="e">
        <f>IF(VLOOKUP(CONCATENATE(H164,F164,GC$2),GeoHis!$A:$H,7,FALSE)=CQ164,1,0)</f>
        <v>#N/A</v>
      </c>
      <c r="GD164" s="138" t="e">
        <f>IF(VLOOKUP(CONCATENATE(H164,F164,GD$2),GeoHis!$A:$H,7,FALSE)=CR164,1,0)</f>
        <v>#N/A</v>
      </c>
      <c r="GE164" s="135" t="str">
        <f t="shared" si="23"/>
        <v/>
      </c>
    </row>
    <row r="165" spans="1:187" x14ac:dyDescent="0.25">
      <c r="A165" s="127" t="str">
        <f>IF(C165="","",'Datos Generales'!$A$25)</f>
        <v/>
      </c>
      <c r="D165" s="126" t="str">
        <f t="shared" si="16"/>
        <v/>
      </c>
      <c r="E165" s="126">
        <f t="shared" si="17"/>
        <v>0</v>
      </c>
      <c r="F165" s="126" t="str">
        <f t="shared" si="18"/>
        <v/>
      </c>
      <c r="G165" s="126" t="str">
        <f>IF(C165="","",'Datos Generales'!$D$19)</f>
        <v/>
      </c>
      <c r="H165" s="21" t="str">
        <f>IF(C165="","",'Datos Generales'!$A$19)</f>
        <v/>
      </c>
      <c r="I165" s="126" t="str">
        <f>IF(C165="","",'Datos Generales'!$A$7)</f>
        <v/>
      </c>
      <c r="J165" s="21" t="str">
        <f>IF(C165="","",'Datos Generales'!$A$13)</f>
        <v/>
      </c>
      <c r="K165" s="21" t="str">
        <f>IF(C165="","",'Datos Generales'!$A$10)</f>
        <v/>
      </c>
      <c r="CS165" s="142" t="str">
        <f t="shared" si="19"/>
        <v/>
      </c>
      <c r="CT165" s="142" t="str">
        <f t="shared" si="20"/>
        <v/>
      </c>
      <c r="CU165" s="142" t="str">
        <f t="shared" si="21"/>
        <v/>
      </c>
      <c r="CV165" s="142" t="str">
        <f t="shared" si="22"/>
        <v/>
      </c>
      <c r="CW165" s="142" t="str">
        <f>IF(C165="","",IF('Datos Generales'!$A$19=1,AVERAGE(FP165:GD165),AVERAGE(Captura!FP165:FY165)))</f>
        <v/>
      </c>
      <c r="CX165" s="138" t="e">
        <f>IF(VLOOKUP(CONCATENATE($H$4,$F$4,CX$2),Español!$A:$H,7,FALSE)=L165,1,0)</f>
        <v>#N/A</v>
      </c>
      <c r="CY165" s="138" t="e">
        <f>IF(VLOOKUP(CONCATENATE(H165,F165,CY$2),Español!$A:$H,7,FALSE)=M165,1,0)</f>
        <v>#N/A</v>
      </c>
      <c r="CZ165" s="138" t="e">
        <f>IF(VLOOKUP(CONCATENATE(H165,F165,CZ$2),Español!$A:$H,7,FALSE)=N165,1,0)</f>
        <v>#N/A</v>
      </c>
      <c r="DA165" s="138" t="e">
        <f>IF(VLOOKUP(CONCATENATE(H165,F165,DA$2),Español!$A:$H,7,FALSE)=O165,1,0)</f>
        <v>#N/A</v>
      </c>
      <c r="DB165" s="138" t="e">
        <f>IF(VLOOKUP(CONCATENATE(H165,F165,DB$2),Español!$A:$H,7,FALSE)=P165,1,0)</f>
        <v>#N/A</v>
      </c>
      <c r="DC165" s="138" t="e">
        <f>IF(VLOOKUP(CONCATENATE(H165,F165,DC$2),Español!$A:$H,7,FALSE)=Q165,1,0)</f>
        <v>#N/A</v>
      </c>
      <c r="DD165" s="138" t="e">
        <f>IF(VLOOKUP(CONCATENATE(H165,F165,DD$2),Español!$A:$H,7,FALSE)=R165,1,0)</f>
        <v>#N/A</v>
      </c>
      <c r="DE165" s="138" t="e">
        <f>IF(VLOOKUP(CONCATENATE(H165,F165,DE$2),Español!$A:$H,7,FALSE)=S165,1,0)</f>
        <v>#N/A</v>
      </c>
      <c r="DF165" s="138" t="e">
        <f>IF(VLOOKUP(CONCATENATE(H165,F165,DF$2),Español!$A:$H,7,FALSE)=T165,1,0)</f>
        <v>#N/A</v>
      </c>
      <c r="DG165" s="138" t="e">
        <f>IF(VLOOKUP(CONCATENATE(H165,F165,DG$2),Español!$A:$H,7,FALSE)=U165,1,0)</f>
        <v>#N/A</v>
      </c>
      <c r="DH165" s="138" t="e">
        <f>IF(VLOOKUP(CONCATENATE(H165,F165,DH$2),Español!$A:$H,7,FALSE)=V165,1,0)</f>
        <v>#N/A</v>
      </c>
      <c r="DI165" s="138" t="e">
        <f>IF(VLOOKUP(CONCATENATE(H165,F165,DI$2),Español!$A:$H,7,FALSE)=W165,1,0)</f>
        <v>#N/A</v>
      </c>
      <c r="DJ165" s="138" t="e">
        <f>IF(VLOOKUP(CONCATENATE(H165,F165,DJ$2),Español!$A:$H,7,FALSE)=X165,1,0)</f>
        <v>#N/A</v>
      </c>
      <c r="DK165" s="138" t="e">
        <f>IF(VLOOKUP(CONCATENATE(H165,F165,DK$2),Español!$A:$H,7,FALSE)=Y165,1,0)</f>
        <v>#N/A</v>
      </c>
      <c r="DL165" s="138" t="e">
        <f>IF(VLOOKUP(CONCATENATE(H165,F165,DL$2),Español!$A:$H,7,FALSE)=Z165,1,0)</f>
        <v>#N/A</v>
      </c>
      <c r="DM165" s="138" t="e">
        <f>IF(VLOOKUP(CONCATENATE(H165,F165,DM$2),Español!$A:$H,7,FALSE)=AA165,1,0)</f>
        <v>#N/A</v>
      </c>
      <c r="DN165" s="138" t="e">
        <f>IF(VLOOKUP(CONCATENATE(H165,F165,DN$2),Español!$A:$H,7,FALSE)=AB165,1,0)</f>
        <v>#N/A</v>
      </c>
      <c r="DO165" s="138" t="e">
        <f>IF(VLOOKUP(CONCATENATE(H165,F165,DO$2),Español!$A:$H,7,FALSE)=AC165,1,0)</f>
        <v>#N/A</v>
      </c>
      <c r="DP165" s="138" t="e">
        <f>IF(VLOOKUP(CONCATENATE(H165,F165,DP$2),Español!$A:$H,7,FALSE)=AD165,1,0)</f>
        <v>#N/A</v>
      </c>
      <c r="DQ165" s="138" t="e">
        <f>IF(VLOOKUP(CONCATENATE(H165,F165,DQ$2),Español!$A:$H,7,FALSE)=AE165,1,0)</f>
        <v>#N/A</v>
      </c>
      <c r="DR165" s="138" t="e">
        <f>IF(VLOOKUP(CONCATENATE(H165,F165,DR$2),Inglés!$A:$H,7,FALSE)=AF165,1,0)</f>
        <v>#N/A</v>
      </c>
      <c r="DS165" s="138" t="e">
        <f>IF(VLOOKUP(CONCATENATE(H165,F165,DS$2),Inglés!$A:$H,7,FALSE)=AG165,1,0)</f>
        <v>#N/A</v>
      </c>
      <c r="DT165" s="138" t="e">
        <f>IF(VLOOKUP(CONCATENATE(H165,F165,DT$2),Inglés!$A:$H,7,FALSE)=AH165,1,0)</f>
        <v>#N/A</v>
      </c>
      <c r="DU165" s="138" t="e">
        <f>IF(VLOOKUP(CONCATENATE(H165,F165,DU$2),Inglés!$A:$H,7,FALSE)=AI165,1,0)</f>
        <v>#N/A</v>
      </c>
      <c r="DV165" s="138" t="e">
        <f>IF(VLOOKUP(CONCATENATE(H165,F165,DV$2),Inglés!$A:$H,7,FALSE)=AJ165,1,0)</f>
        <v>#N/A</v>
      </c>
      <c r="DW165" s="138" t="e">
        <f>IF(VLOOKUP(CONCATENATE(H165,F165,DW$2),Inglés!$A:$H,7,FALSE)=AK165,1,0)</f>
        <v>#N/A</v>
      </c>
      <c r="DX165" s="138" t="e">
        <f>IF(VLOOKUP(CONCATENATE(H165,F165,DX$2),Inglés!$A:$H,7,FALSE)=AL165,1,0)</f>
        <v>#N/A</v>
      </c>
      <c r="DY165" s="138" t="e">
        <f>IF(VLOOKUP(CONCATENATE(H165,F165,DY$2),Inglés!$A:$H,7,FALSE)=AM165,1,0)</f>
        <v>#N/A</v>
      </c>
      <c r="DZ165" s="138" t="e">
        <f>IF(VLOOKUP(CONCATENATE(H165,F165,DZ$2),Inglés!$A:$H,7,FALSE)=AN165,1,0)</f>
        <v>#N/A</v>
      </c>
      <c r="EA165" s="138" t="e">
        <f>IF(VLOOKUP(CONCATENATE(H165,F165,EA$2),Inglés!$A:$H,7,FALSE)=AO165,1,0)</f>
        <v>#N/A</v>
      </c>
      <c r="EB165" s="138" t="e">
        <f>IF(VLOOKUP(CONCATENATE(H165,F165,EB$2),Matemáticas!$A:$H,7,FALSE)=AP165,1,0)</f>
        <v>#N/A</v>
      </c>
      <c r="EC165" s="138" t="e">
        <f>IF(VLOOKUP(CONCATENATE(H165,F165,EC$2),Matemáticas!$A:$H,7,FALSE)=AQ165,1,0)</f>
        <v>#N/A</v>
      </c>
      <c r="ED165" s="138" t="e">
        <f>IF(VLOOKUP(CONCATENATE(H165,F165,ED$2),Matemáticas!$A:$H,7,FALSE)=AR165,1,0)</f>
        <v>#N/A</v>
      </c>
      <c r="EE165" s="138" t="e">
        <f>IF(VLOOKUP(CONCATENATE(H165,F165,EE$2),Matemáticas!$A:$H,7,FALSE)=AS165,1,0)</f>
        <v>#N/A</v>
      </c>
      <c r="EF165" s="138" t="e">
        <f>IF(VLOOKUP(CONCATENATE(H165,F165,EF$2),Matemáticas!$A:$H,7,FALSE)=AT165,1,0)</f>
        <v>#N/A</v>
      </c>
      <c r="EG165" s="138" t="e">
        <f>IF(VLOOKUP(CONCATENATE(H165,F165,EG$2),Matemáticas!$A:$H,7,FALSE)=AU165,1,0)</f>
        <v>#N/A</v>
      </c>
      <c r="EH165" s="138" t="e">
        <f>IF(VLOOKUP(CONCATENATE(H165,F165,EH$2),Matemáticas!$A:$H,7,FALSE)=AV165,1,0)</f>
        <v>#N/A</v>
      </c>
      <c r="EI165" s="138" t="e">
        <f>IF(VLOOKUP(CONCATENATE(H165,F165,EI$2),Matemáticas!$A:$H,7,FALSE)=AW165,1,0)</f>
        <v>#N/A</v>
      </c>
      <c r="EJ165" s="138" t="e">
        <f>IF(VLOOKUP(CONCATENATE(H165,F165,EJ$2),Matemáticas!$A:$H,7,FALSE)=AX165,1,0)</f>
        <v>#N/A</v>
      </c>
      <c r="EK165" s="138" t="e">
        <f>IF(VLOOKUP(CONCATENATE(H165,F165,EK$2),Matemáticas!$A:$H,7,FALSE)=AY165,1,0)</f>
        <v>#N/A</v>
      </c>
      <c r="EL165" s="138" t="e">
        <f>IF(VLOOKUP(CONCATENATE(H165,F165,EL$2),Matemáticas!$A:$H,7,FALSE)=AZ165,1,0)</f>
        <v>#N/A</v>
      </c>
      <c r="EM165" s="138" t="e">
        <f>IF(VLOOKUP(CONCATENATE(H165,F165,EM$2),Matemáticas!$A:$H,7,FALSE)=BA165,1,0)</f>
        <v>#N/A</v>
      </c>
      <c r="EN165" s="138" t="e">
        <f>IF(VLOOKUP(CONCATENATE(H165,F165,EN$2),Matemáticas!$A:$H,7,FALSE)=BB165,1,0)</f>
        <v>#N/A</v>
      </c>
      <c r="EO165" s="138" t="e">
        <f>IF(VLOOKUP(CONCATENATE(H165,F165,EO$2),Matemáticas!$A:$H,7,FALSE)=BC165,1,0)</f>
        <v>#N/A</v>
      </c>
      <c r="EP165" s="138" t="e">
        <f>IF(VLOOKUP(CONCATENATE(H165,F165,EP$2),Matemáticas!$A:$H,7,FALSE)=BD165,1,0)</f>
        <v>#N/A</v>
      </c>
      <c r="EQ165" s="138" t="e">
        <f>IF(VLOOKUP(CONCATENATE(H165,F165,EQ$2),Matemáticas!$A:$H,7,FALSE)=BE165,1,0)</f>
        <v>#N/A</v>
      </c>
      <c r="ER165" s="138" t="e">
        <f>IF(VLOOKUP(CONCATENATE(H165,F165,ER$2),Matemáticas!$A:$H,7,FALSE)=BF165,1,0)</f>
        <v>#N/A</v>
      </c>
      <c r="ES165" s="138" t="e">
        <f>IF(VLOOKUP(CONCATENATE(H165,F165,ES$2),Matemáticas!$A:$H,7,FALSE)=BG165,1,0)</f>
        <v>#N/A</v>
      </c>
      <c r="ET165" s="138" t="e">
        <f>IF(VLOOKUP(CONCATENATE(H165,F165,ET$2),Matemáticas!$A:$H,7,FALSE)=BH165,1,0)</f>
        <v>#N/A</v>
      </c>
      <c r="EU165" s="138" t="e">
        <f>IF(VLOOKUP(CONCATENATE(H165,F165,EU$2),Matemáticas!$A:$H,7,FALSE)=BI165,1,0)</f>
        <v>#N/A</v>
      </c>
      <c r="EV165" s="138" t="e">
        <f>IF(VLOOKUP(CONCATENATE(H165,F165,EV$2),Ciencias!$A:$H,7,FALSE)=BJ165,1,0)</f>
        <v>#N/A</v>
      </c>
      <c r="EW165" s="138" t="e">
        <f>IF(VLOOKUP(CONCATENATE(H165,F165,EW$2),Ciencias!$A:$H,7,FALSE)=BK165,1,0)</f>
        <v>#N/A</v>
      </c>
      <c r="EX165" s="138" t="e">
        <f>IF(VLOOKUP(CONCATENATE(H165,F165,EX$2),Ciencias!$A:$H,7,FALSE)=BL165,1,0)</f>
        <v>#N/A</v>
      </c>
      <c r="EY165" s="138" t="e">
        <f>IF(VLOOKUP(CONCATENATE(H165,F165,EY$2),Ciencias!$A:$H,7,FALSE)=BM165,1,0)</f>
        <v>#N/A</v>
      </c>
      <c r="EZ165" s="138" t="e">
        <f>IF(VLOOKUP(CONCATENATE(H165,F165,EZ$2),Ciencias!$A:$H,7,FALSE)=BN165,1,0)</f>
        <v>#N/A</v>
      </c>
      <c r="FA165" s="138" t="e">
        <f>IF(VLOOKUP(CONCATENATE(H165,F165,FA$2),Ciencias!$A:$H,7,FALSE)=BO165,1,0)</f>
        <v>#N/A</v>
      </c>
      <c r="FB165" s="138" t="e">
        <f>IF(VLOOKUP(CONCATENATE(H165,F165,FB$2),Ciencias!$A:$H,7,FALSE)=BP165,1,0)</f>
        <v>#N/A</v>
      </c>
      <c r="FC165" s="138" t="e">
        <f>IF(VLOOKUP(CONCATENATE(H165,F165,FC$2),Ciencias!$A:$H,7,FALSE)=BQ165,1,0)</f>
        <v>#N/A</v>
      </c>
      <c r="FD165" s="138" t="e">
        <f>IF(VLOOKUP(CONCATENATE(H165,F165,FD$2),Ciencias!$A:$H,7,FALSE)=BR165,1,0)</f>
        <v>#N/A</v>
      </c>
      <c r="FE165" s="138" t="e">
        <f>IF(VLOOKUP(CONCATENATE(H165,F165,FE$2),Ciencias!$A:$H,7,FALSE)=BS165,1,0)</f>
        <v>#N/A</v>
      </c>
      <c r="FF165" s="138" t="e">
        <f>IF(VLOOKUP(CONCATENATE(H165,F165,FF$2),Ciencias!$A:$H,7,FALSE)=BT165,1,0)</f>
        <v>#N/A</v>
      </c>
      <c r="FG165" s="138" t="e">
        <f>IF(VLOOKUP(CONCATENATE(H165,F165,FG$2),Ciencias!$A:$H,7,FALSE)=BU165,1,0)</f>
        <v>#N/A</v>
      </c>
      <c r="FH165" s="138" t="e">
        <f>IF(VLOOKUP(CONCATENATE(H165,F165,FH$2),Ciencias!$A:$H,7,FALSE)=BV165,1,0)</f>
        <v>#N/A</v>
      </c>
      <c r="FI165" s="138" t="e">
        <f>IF(VLOOKUP(CONCATENATE(H165,F165,FI$2),Ciencias!$A:$H,7,FALSE)=BW165,1,0)</f>
        <v>#N/A</v>
      </c>
      <c r="FJ165" s="138" t="e">
        <f>IF(VLOOKUP(CONCATENATE(H165,F165,FJ$2),Ciencias!$A:$H,7,FALSE)=BX165,1,0)</f>
        <v>#N/A</v>
      </c>
      <c r="FK165" s="138" t="e">
        <f>IF(VLOOKUP(CONCATENATE(H165,F165,FK$2),Ciencias!$A:$H,7,FALSE)=BY165,1,0)</f>
        <v>#N/A</v>
      </c>
      <c r="FL165" s="138" t="e">
        <f>IF(VLOOKUP(CONCATENATE(H165,F165,FL$2),Ciencias!$A:$H,7,FALSE)=BZ165,1,0)</f>
        <v>#N/A</v>
      </c>
      <c r="FM165" s="138" t="e">
        <f>IF(VLOOKUP(CONCATENATE(H165,F165,FM$2),Ciencias!$A:$H,7,FALSE)=CA165,1,0)</f>
        <v>#N/A</v>
      </c>
      <c r="FN165" s="138" t="e">
        <f>IF(VLOOKUP(CONCATENATE(H165,F165,FN$2),Ciencias!$A:$H,7,FALSE)=CB165,1,0)</f>
        <v>#N/A</v>
      </c>
      <c r="FO165" s="138" t="e">
        <f>IF(VLOOKUP(CONCATENATE(H165,F165,FO$2),Ciencias!$A:$H,7,FALSE)=CC165,1,0)</f>
        <v>#N/A</v>
      </c>
      <c r="FP165" s="138" t="e">
        <f>IF(VLOOKUP(CONCATENATE(H165,F165,FP$2),GeoHis!$A:$H,7,FALSE)=CD165,1,0)</f>
        <v>#N/A</v>
      </c>
      <c r="FQ165" s="138" t="e">
        <f>IF(VLOOKUP(CONCATENATE(H165,F165,FQ$2),GeoHis!$A:$H,7,FALSE)=CE165,1,0)</f>
        <v>#N/A</v>
      </c>
      <c r="FR165" s="138" t="e">
        <f>IF(VLOOKUP(CONCATENATE(H165,F165,FR$2),GeoHis!$A:$H,7,FALSE)=CF165,1,0)</f>
        <v>#N/A</v>
      </c>
      <c r="FS165" s="138" t="e">
        <f>IF(VLOOKUP(CONCATENATE(H165,F165,FS$2),GeoHis!$A:$H,7,FALSE)=CG165,1,0)</f>
        <v>#N/A</v>
      </c>
      <c r="FT165" s="138" t="e">
        <f>IF(VLOOKUP(CONCATENATE(H165,F165,FT$2),GeoHis!$A:$H,7,FALSE)=CH165,1,0)</f>
        <v>#N/A</v>
      </c>
      <c r="FU165" s="138" t="e">
        <f>IF(VLOOKUP(CONCATENATE(H165,F165,FU$2),GeoHis!$A:$H,7,FALSE)=CI165,1,0)</f>
        <v>#N/A</v>
      </c>
      <c r="FV165" s="138" t="e">
        <f>IF(VLOOKUP(CONCATENATE(H165,F165,FV$2),GeoHis!$A:$H,7,FALSE)=CJ165,1,0)</f>
        <v>#N/A</v>
      </c>
      <c r="FW165" s="138" t="e">
        <f>IF(VLOOKUP(CONCATENATE(H165,F165,FW$2),GeoHis!$A:$H,7,FALSE)=CK165,1,0)</f>
        <v>#N/A</v>
      </c>
      <c r="FX165" s="138" t="e">
        <f>IF(VLOOKUP(CONCATENATE(H165,F165,FX$2),GeoHis!$A:$H,7,FALSE)=CL165,1,0)</f>
        <v>#N/A</v>
      </c>
      <c r="FY165" s="138" t="e">
        <f>IF(VLOOKUP(CONCATENATE(H165,F165,FY$2),GeoHis!$A:$H,7,FALSE)=CM165,1,0)</f>
        <v>#N/A</v>
      </c>
      <c r="FZ165" s="138" t="e">
        <f>IF(VLOOKUP(CONCATENATE(H165,F165,FZ$2),GeoHis!$A:$H,7,FALSE)=CN165,1,0)</f>
        <v>#N/A</v>
      </c>
      <c r="GA165" s="138" t="e">
        <f>IF(VLOOKUP(CONCATENATE(H165,F165,GA$2),GeoHis!$A:$H,7,FALSE)=CO165,1,0)</f>
        <v>#N/A</v>
      </c>
      <c r="GB165" s="138" t="e">
        <f>IF(VLOOKUP(CONCATENATE(H165,F165,GB$2),GeoHis!$A:$H,7,FALSE)=CP165,1,0)</f>
        <v>#N/A</v>
      </c>
      <c r="GC165" s="138" t="e">
        <f>IF(VLOOKUP(CONCATENATE(H165,F165,GC$2),GeoHis!$A:$H,7,FALSE)=CQ165,1,0)</f>
        <v>#N/A</v>
      </c>
      <c r="GD165" s="138" t="e">
        <f>IF(VLOOKUP(CONCATENATE(H165,F165,GD$2),GeoHis!$A:$H,7,FALSE)=CR165,1,0)</f>
        <v>#N/A</v>
      </c>
      <c r="GE165" s="135" t="str">
        <f t="shared" si="23"/>
        <v/>
      </c>
    </row>
    <row r="166" spans="1:187" x14ac:dyDescent="0.25">
      <c r="A166" s="127" t="str">
        <f>IF(C166="","",'Datos Generales'!$A$25)</f>
        <v/>
      </c>
      <c r="D166" s="126" t="str">
        <f t="shared" si="16"/>
        <v/>
      </c>
      <c r="E166" s="126">
        <f t="shared" si="17"/>
        <v>0</v>
      </c>
      <c r="F166" s="126" t="str">
        <f t="shared" si="18"/>
        <v/>
      </c>
      <c r="G166" s="126" t="str">
        <f>IF(C166="","",'Datos Generales'!$D$19)</f>
        <v/>
      </c>
      <c r="H166" s="21" t="str">
        <f>IF(C166="","",'Datos Generales'!$A$19)</f>
        <v/>
      </c>
      <c r="I166" s="126" t="str">
        <f>IF(C166="","",'Datos Generales'!$A$7)</f>
        <v/>
      </c>
      <c r="J166" s="21" t="str">
        <f>IF(C166="","",'Datos Generales'!$A$13)</f>
        <v/>
      </c>
      <c r="K166" s="21" t="str">
        <f>IF(C166="","",'Datos Generales'!$A$10)</f>
        <v/>
      </c>
      <c r="CS166" s="142" t="str">
        <f t="shared" si="19"/>
        <v/>
      </c>
      <c r="CT166" s="142" t="str">
        <f t="shared" si="20"/>
        <v/>
      </c>
      <c r="CU166" s="142" t="str">
        <f t="shared" si="21"/>
        <v/>
      </c>
      <c r="CV166" s="142" t="str">
        <f t="shared" si="22"/>
        <v/>
      </c>
      <c r="CW166" s="142" t="str">
        <f>IF(C166="","",IF('Datos Generales'!$A$19=1,AVERAGE(FP166:GD166),AVERAGE(Captura!FP166:FY166)))</f>
        <v/>
      </c>
      <c r="CX166" s="138" t="e">
        <f>IF(VLOOKUP(CONCATENATE($H$4,$F$4,CX$2),Español!$A:$H,7,FALSE)=L166,1,0)</f>
        <v>#N/A</v>
      </c>
      <c r="CY166" s="138" t="e">
        <f>IF(VLOOKUP(CONCATENATE(H166,F166,CY$2),Español!$A:$H,7,FALSE)=M166,1,0)</f>
        <v>#N/A</v>
      </c>
      <c r="CZ166" s="138" t="e">
        <f>IF(VLOOKUP(CONCATENATE(H166,F166,CZ$2),Español!$A:$H,7,FALSE)=N166,1,0)</f>
        <v>#N/A</v>
      </c>
      <c r="DA166" s="138" t="e">
        <f>IF(VLOOKUP(CONCATENATE(H166,F166,DA$2),Español!$A:$H,7,FALSE)=O166,1,0)</f>
        <v>#N/A</v>
      </c>
      <c r="DB166" s="138" t="e">
        <f>IF(VLOOKUP(CONCATENATE(H166,F166,DB$2),Español!$A:$H,7,FALSE)=P166,1,0)</f>
        <v>#N/A</v>
      </c>
      <c r="DC166" s="138" t="e">
        <f>IF(VLOOKUP(CONCATENATE(H166,F166,DC$2),Español!$A:$H,7,FALSE)=Q166,1,0)</f>
        <v>#N/A</v>
      </c>
      <c r="DD166" s="138" t="e">
        <f>IF(VLOOKUP(CONCATENATE(H166,F166,DD$2),Español!$A:$H,7,FALSE)=R166,1,0)</f>
        <v>#N/A</v>
      </c>
      <c r="DE166" s="138" t="e">
        <f>IF(VLOOKUP(CONCATENATE(H166,F166,DE$2),Español!$A:$H,7,FALSE)=S166,1,0)</f>
        <v>#N/A</v>
      </c>
      <c r="DF166" s="138" t="e">
        <f>IF(VLOOKUP(CONCATENATE(H166,F166,DF$2),Español!$A:$H,7,FALSE)=T166,1,0)</f>
        <v>#N/A</v>
      </c>
      <c r="DG166" s="138" t="e">
        <f>IF(VLOOKUP(CONCATENATE(H166,F166,DG$2),Español!$A:$H,7,FALSE)=U166,1,0)</f>
        <v>#N/A</v>
      </c>
      <c r="DH166" s="138" t="e">
        <f>IF(VLOOKUP(CONCATENATE(H166,F166,DH$2),Español!$A:$H,7,FALSE)=V166,1,0)</f>
        <v>#N/A</v>
      </c>
      <c r="DI166" s="138" t="e">
        <f>IF(VLOOKUP(CONCATENATE(H166,F166,DI$2),Español!$A:$H,7,FALSE)=W166,1,0)</f>
        <v>#N/A</v>
      </c>
      <c r="DJ166" s="138" t="e">
        <f>IF(VLOOKUP(CONCATENATE(H166,F166,DJ$2),Español!$A:$H,7,FALSE)=X166,1,0)</f>
        <v>#N/A</v>
      </c>
      <c r="DK166" s="138" t="e">
        <f>IF(VLOOKUP(CONCATENATE(H166,F166,DK$2),Español!$A:$H,7,FALSE)=Y166,1,0)</f>
        <v>#N/A</v>
      </c>
      <c r="DL166" s="138" t="e">
        <f>IF(VLOOKUP(CONCATENATE(H166,F166,DL$2),Español!$A:$H,7,FALSE)=Z166,1,0)</f>
        <v>#N/A</v>
      </c>
      <c r="DM166" s="138" t="e">
        <f>IF(VLOOKUP(CONCATENATE(H166,F166,DM$2),Español!$A:$H,7,FALSE)=AA166,1,0)</f>
        <v>#N/A</v>
      </c>
      <c r="DN166" s="138" t="e">
        <f>IF(VLOOKUP(CONCATENATE(H166,F166,DN$2),Español!$A:$H,7,FALSE)=AB166,1,0)</f>
        <v>#N/A</v>
      </c>
      <c r="DO166" s="138" t="e">
        <f>IF(VLOOKUP(CONCATENATE(H166,F166,DO$2),Español!$A:$H,7,FALSE)=AC166,1,0)</f>
        <v>#N/A</v>
      </c>
      <c r="DP166" s="138" t="e">
        <f>IF(VLOOKUP(CONCATENATE(H166,F166,DP$2),Español!$A:$H,7,FALSE)=AD166,1,0)</f>
        <v>#N/A</v>
      </c>
      <c r="DQ166" s="138" t="e">
        <f>IF(VLOOKUP(CONCATENATE(H166,F166,DQ$2),Español!$A:$H,7,FALSE)=AE166,1,0)</f>
        <v>#N/A</v>
      </c>
      <c r="DR166" s="138" t="e">
        <f>IF(VLOOKUP(CONCATENATE(H166,F166,DR$2),Inglés!$A:$H,7,FALSE)=AF166,1,0)</f>
        <v>#N/A</v>
      </c>
      <c r="DS166" s="138" t="e">
        <f>IF(VLOOKUP(CONCATENATE(H166,F166,DS$2),Inglés!$A:$H,7,FALSE)=AG166,1,0)</f>
        <v>#N/A</v>
      </c>
      <c r="DT166" s="138" t="e">
        <f>IF(VLOOKUP(CONCATENATE(H166,F166,DT$2),Inglés!$A:$H,7,FALSE)=AH166,1,0)</f>
        <v>#N/A</v>
      </c>
      <c r="DU166" s="138" t="e">
        <f>IF(VLOOKUP(CONCATENATE(H166,F166,DU$2),Inglés!$A:$H,7,FALSE)=AI166,1,0)</f>
        <v>#N/A</v>
      </c>
      <c r="DV166" s="138" t="e">
        <f>IF(VLOOKUP(CONCATENATE(H166,F166,DV$2),Inglés!$A:$H,7,FALSE)=AJ166,1,0)</f>
        <v>#N/A</v>
      </c>
      <c r="DW166" s="138" t="e">
        <f>IF(VLOOKUP(CONCATENATE(H166,F166,DW$2),Inglés!$A:$H,7,FALSE)=AK166,1,0)</f>
        <v>#N/A</v>
      </c>
      <c r="DX166" s="138" t="e">
        <f>IF(VLOOKUP(CONCATENATE(H166,F166,DX$2),Inglés!$A:$H,7,FALSE)=AL166,1,0)</f>
        <v>#N/A</v>
      </c>
      <c r="DY166" s="138" t="e">
        <f>IF(VLOOKUP(CONCATENATE(H166,F166,DY$2),Inglés!$A:$H,7,FALSE)=AM166,1,0)</f>
        <v>#N/A</v>
      </c>
      <c r="DZ166" s="138" t="e">
        <f>IF(VLOOKUP(CONCATENATE(H166,F166,DZ$2),Inglés!$A:$H,7,FALSE)=AN166,1,0)</f>
        <v>#N/A</v>
      </c>
      <c r="EA166" s="138" t="e">
        <f>IF(VLOOKUP(CONCATENATE(H166,F166,EA$2),Inglés!$A:$H,7,FALSE)=AO166,1,0)</f>
        <v>#N/A</v>
      </c>
      <c r="EB166" s="138" t="e">
        <f>IF(VLOOKUP(CONCATENATE(H166,F166,EB$2),Matemáticas!$A:$H,7,FALSE)=AP166,1,0)</f>
        <v>#N/A</v>
      </c>
      <c r="EC166" s="138" t="e">
        <f>IF(VLOOKUP(CONCATENATE(H166,F166,EC$2),Matemáticas!$A:$H,7,FALSE)=AQ166,1,0)</f>
        <v>#N/A</v>
      </c>
      <c r="ED166" s="138" t="e">
        <f>IF(VLOOKUP(CONCATENATE(H166,F166,ED$2),Matemáticas!$A:$H,7,FALSE)=AR166,1,0)</f>
        <v>#N/A</v>
      </c>
      <c r="EE166" s="138" t="e">
        <f>IF(VLOOKUP(CONCATENATE(H166,F166,EE$2),Matemáticas!$A:$H,7,FALSE)=AS166,1,0)</f>
        <v>#N/A</v>
      </c>
      <c r="EF166" s="138" t="e">
        <f>IF(VLOOKUP(CONCATENATE(H166,F166,EF$2),Matemáticas!$A:$H,7,FALSE)=AT166,1,0)</f>
        <v>#N/A</v>
      </c>
      <c r="EG166" s="138" t="e">
        <f>IF(VLOOKUP(CONCATENATE(H166,F166,EG$2),Matemáticas!$A:$H,7,FALSE)=AU166,1,0)</f>
        <v>#N/A</v>
      </c>
      <c r="EH166" s="138" t="e">
        <f>IF(VLOOKUP(CONCATENATE(H166,F166,EH$2),Matemáticas!$A:$H,7,FALSE)=AV166,1,0)</f>
        <v>#N/A</v>
      </c>
      <c r="EI166" s="138" t="e">
        <f>IF(VLOOKUP(CONCATENATE(H166,F166,EI$2),Matemáticas!$A:$H,7,FALSE)=AW166,1,0)</f>
        <v>#N/A</v>
      </c>
      <c r="EJ166" s="138" t="e">
        <f>IF(VLOOKUP(CONCATENATE(H166,F166,EJ$2),Matemáticas!$A:$H,7,FALSE)=AX166,1,0)</f>
        <v>#N/A</v>
      </c>
      <c r="EK166" s="138" t="e">
        <f>IF(VLOOKUP(CONCATENATE(H166,F166,EK$2),Matemáticas!$A:$H,7,FALSE)=AY166,1,0)</f>
        <v>#N/A</v>
      </c>
      <c r="EL166" s="138" t="e">
        <f>IF(VLOOKUP(CONCATENATE(H166,F166,EL$2),Matemáticas!$A:$H,7,FALSE)=AZ166,1,0)</f>
        <v>#N/A</v>
      </c>
      <c r="EM166" s="138" t="e">
        <f>IF(VLOOKUP(CONCATENATE(H166,F166,EM$2),Matemáticas!$A:$H,7,FALSE)=BA166,1,0)</f>
        <v>#N/A</v>
      </c>
      <c r="EN166" s="138" t="e">
        <f>IF(VLOOKUP(CONCATENATE(H166,F166,EN$2),Matemáticas!$A:$H,7,FALSE)=BB166,1,0)</f>
        <v>#N/A</v>
      </c>
      <c r="EO166" s="138" t="e">
        <f>IF(VLOOKUP(CONCATENATE(H166,F166,EO$2),Matemáticas!$A:$H,7,FALSE)=BC166,1,0)</f>
        <v>#N/A</v>
      </c>
      <c r="EP166" s="138" t="e">
        <f>IF(VLOOKUP(CONCATENATE(H166,F166,EP$2),Matemáticas!$A:$H,7,FALSE)=BD166,1,0)</f>
        <v>#N/A</v>
      </c>
      <c r="EQ166" s="138" t="e">
        <f>IF(VLOOKUP(CONCATENATE(H166,F166,EQ$2),Matemáticas!$A:$H,7,FALSE)=BE166,1,0)</f>
        <v>#N/A</v>
      </c>
      <c r="ER166" s="138" t="e">
        <f>IF(VLOOKUP(CONCATENATE(H166,F166,ER$2),Matemáticas!$A:$H,7,FALSE)=BF166,1,0)</f>
        <v>#N/A</v>
      </c>
      <c r="ES166" s="138" t="e">
        <f>IF(VLOOKUP(CONCATENATE(H166,F166,ES$2),Matemáticas!$A:$H,7,FALSE)=BG166,1,0)</f>
        <v>#N/A</v>
      </c>
      <c r="ET166" s="138" t="e">
        <f>IF(VLOOKUP(CONCATENATE(H166,F166,ET$2),Matemáticas!$A:$H,7,FALSE)=BH166,1,0)</f>
        <v>#N/A</v>
      </c>
      <c r="EU166" s="138" t="e">
        <f>IF(VLOOKUP(CONCATENATE(H166,F166,EU$2),Matemáticas!$A:$H,7,FALSE)=BI166,1,0)</f>
        <v>#N/A</v>
      </c>
      <c r="EV166" s="138" t="e">
        <f>IF(VLOOKUP(CONCATENATE(H166,F166,EV$2),Ciencias!$A:$H,7,FALSE)=BJ166,1,0)</f>
        <v>#N/A</v>
      </c>
      <c r="EW166" s="138" t="e">
        <f>IF(VLOOKUP(CONCATENATE(H166,F166,EW$2),Ciencias!$A:$H,7,FALSE)=BK166,1,0)</f>
        <v>#N/A</v>
      </c>
      <c r="EX166" s="138" t="e">
        <f>IF(VLOOKUP(CONCATENATE(H166,F166,EX$2),Ciencias!$A:$H,7,FALSE)=BL166,1,0)</f>
        <v>#N/A</v>
      </c>
      <c r="EY166" s="138" t="e">
        <f>IF(VLOOKUP(CONCATENATE(H166,F166,EY$2),Ciencias!$A:$H,7,FALSE)=BM166,1,0)</f>
        <v>#N/A</v>
      </c>
      <c r="EZ166" s="138" t="e">
        <f>IF(VLOOKUP(CONCATENATE(H166,F166,EZ$2),Ciencias!$A:$H,7,FALSE)=BN166,1,0)</f>
        <v>#N/A</v>
      </c>
      <c r="FA166" s="138" t="e">
        <f>IF(VLOOKUP(CONCATENATE(H166,F166,FA$2),Ciencias!$A:$H,7,FALSE)=BO166,1,0)</f>
        <v>#N/A</v>
      </c>
      <c r="FB166" s="138" t="e">
        <f>IF(VLOOKUP(CONCATENATE(H166,F166,FB$2),Ciencias!$A:$H,7,FALSE)=BP166,1,0)</f>
        <v>#N/A</v>
      </c>
      <c r="FC166" s="138" t="e">
        <f>IF(VLOOKUP(CONCATENATE(H166,F166,FC$2),Ciencias!$A:$H,7,FALSE)=BQ166,1,0)</f>
        <v>#N/A</v>
      </c>
      <c r="FD166" s="138" t="e">
        <f>IF(VLOOKUP(CONCATENATE(H166,F166,FD$2),Ciencias!$A:$H,7,FALSE)=BR166,1,0)</f>
        <v>#N/A</v>
      </c>
      <c r="FE166" s="138" t="e">
        <f>IF(VLOOKUP(CONCATENATE(H166,F166,FE$2),Ciencias!$A:$H,7,FALSE)=BS166,1,0)</f>
        <v>#N/A</v>
      </c>
      <c r="FF166" s="138" t="e">
        <f>IF(VLOOKUP(CONCATENATE(H166,F166,FF$2),Ciencias!$A:$H,7,FALSE)=BT166,1,0)</f>
        <v>#N/A</v>
      </c>
      <c r="FG166" s="138" t="e">
        <f>IF(VLOOKUP(CONCATENATE(H166,F166,FG$2),Ciencias!$A:$H,7,FALSE)=BU166,1,0)</f>
        <v>#N/A</v>
      </c>
      <c r="FH166" s="138" t="e">
        <f>IF(VLOOKUP(CONCATENATE(H166,F166,FH$2),Ciencias!$A:$H,7,FALSE)=BV166,1,0)</f>
        <v>#N/A</v>
      </c>
      <c r="FI166" s="138" t="e">
        <f>IF(VLOOKUP(CONCATENATE(H166,F166,FI$2),Ciencias!$A:$H,7,FALSE)=BW166,1,0)</f>
        <v>#N/A</v>
      </c>
      <c r="FJ166" s="138" t="e">
        <f>IF(VLOOKUP(CONCATENATE(H166,F166,FJ$2),Ciencias!$A:$H,7,FALSE)=BX166,1,0)</f>
        <v>#N/A</v>
      </c>
      <c r="FK166" s="138" t="e">
        <f>IF(VLOOKUP(CONCATENATE(H166,F166,FK$2),Ciencias!$A:$H,7,FALSE)=BY166,1,0)</f>
        <v>#N/A</v>
      </c>
      <c r="FL166" s="138" t="e">
        <f>IF(VLOOKUP(CONCATENATE(H166,F166,FL$2),Ciencias!$A:$H,7,FALSE)=BZ166,1,0)</f>
        <v>#N/A</v>
      </c>
      <c r="FM166" s="138" t="e">
        <f>IF(VLOOKUP(CONCATENATE(H166,F166,FM$2),Ciencias!$A:$H,7,FALSE)=CA166,1,0)</f>
        <v>#N/A</v>
      </c>
      <c r="FN166" s="138" t="e">
        <f>IF(VLOOKUP(CONCATENATE(H166,F166,FN$2),Ciencias!$A:$H,7,FALSE)=CB166,1,0)</f>
        <v>#N/A</v>
      </c>
      <c r="FO166" s="138" t="e">
        <f>IF(VLOOKUP(CONCATENATE(H166,F166,FO$2),Ciencias!$A:$H,7,FALSE)=CC166,1,0)</f>
        <v>#N/A</v>
      </c>
      <c r="FP166" s="138" t="e">
        <f>IF(VLOOKUP(CONCATENATE(H166,F166,FP$2),GeoHis!$A:$H,7,FALSE)=CD166,1,0)</f>
        <v>#N/A</v>
      </c>
      <c r="FQ166" s="138" t="e">
        <f>IF(VLOOKUP(CONCATENATE(H166,F166,FQ$2),GeoHis!$A:$H,7,FALSE)=CE166,1,0)</f>
        <v>#N/A</v>
      </c>
      <c r="FR166" s="138" t="e">
        <f>IF(VLOOKUP(CONCATENATE(H166,F166,FR$2),GeoHis!$A:$H,7,FALSE)=CF166,1,0)</f>
        <v>#N/A</v>
      </c>
      <c r="FS166" s="138" t="e">
        <f>IF(VLOOKUP(CONCATENATE(H166,F166,FS$2),GeoHis!$A:$H,7,FALSE)=CG166,1,0)</f>
        <v>#N/A</v>
      </c>
      <c r="FT166" s="138" t="e">
        <f>IF(VLOOKUP(CONCATENATE(H166,F166,FT$2),GeoHis!$A:$H,7,FALSE)=CH166,1,0)</f>
        <v>#N/A</v>
      </c>
      <c r="FU166" s="138" t="e">
        <f>IF(VLOOKUP(CONCATENATE(H166,F166,FU$2),GeoHis!$A:$H,7,FALSE)=CI166,1,0)</f>
        <v>#N/A</v>
      </c>
      <c r="FV166" s="138" t="e">
        <f>IF(VLOOKUP(CONCATENATE(H166,F166,FV$2),GeoHis!$A:$H,7,FALSE)=CJ166,1,0)</f>
        <v>#N/A</v>
      </c>
      <c r="FW166" s="138" t="e">
        <f>IF(VLOOKUP(CONCATENATE(H166,F166,FW$2),GeoHis!$A:$H,7,FALSE)=CK166,1,0)</f>
        <v>#N/A</v>
      </c>
      <c r="FX166" s="138" t="e">
        <f>IF(VLOOKUP(CONCATENATE(H166,F166,FX$2),GeoHis!$A:$H,7,FALSE)=CL166,1,0)</f>
        <v>#N/A</v>
      </c>
      <c r="FY166" s="138" t="e">
        <f>IF(VLOOKUP(CONCATENATE(H166,F166,FY$2),GeoHis!$A:$H,7,FALSE)=CM166,1,0)</f>
        <v>#N/A</v>
      </c>
      <c r="FZ166" s="138" t="e">
        <f>IF(VLOOKUP(CONCATENATE(H166,F166,FZ$2),GeoHis!$A:$H,7,FALSE)=CN166,1,0)</f>
        <v>#N/A</v>
      </c>
      <c r="GA166" s="138" t="e">
        <f>IF(VLOOKUP(CONCATENATE(H166,F166,GA$2),GeoHis!$A:$H,7,FALSE)=CO166,1,0)</f>
        <v>#N/A</v>
      </c>
      <c r="GB166" s="138" t="e">
        <f>IF(VLOOKUP(CONCATENATE(H166,F166,GB$2),GeoHis!$A:$H,7,FALSE)=CP166,1,0)</f>
        <v>#N/A</v>
      </c>
      <c r="GC166" s="138" t="e">
        <f>IF(VLOOKUP(CONCATENATE(H166,F166,GC$2),GeoHis!$A:$H,7,FALSE)=CQ166,1,0)</f>
        <v>#N/A</v>
      </c>
      <c r="GD166" s="138" t="e">
        <f>IF(VLOOKUP(CONCATENATE(H166,F166,GD$2),GeoHis!$A:$H,7,FALSE)=CR166,1,0)</f>
        <v>#N/A</v>
      </c>
      <c r="GE166" s="135" t="str">
        <f t="shared" si="23"/>
        <v/>
      </c>
    </row>
    <row r="167" spans="1:187" x14ac:dyDescent="0.25">
      <c r="A167" s="127" t="str">
        <f>IF(C167="","",'Datos Generales'!$A$25)</f>
        <v/>
      </c>
      <c r="D167" s="126" t="str">
        <f t="shared" si="16"/>
        <v/>
      </c>
      <c r="E167" s="126">
        <f t="shared" si="17"/>
        <v>0</v>
      </c>
      <c r="F167" s="126" t="str">
        <f t="shared" si="18"/>
        <v/>
      </c>
      <c r="G167" s="126" t="str">
        <f>IF(C167="","",'Datos Generales'!$D$19)</f>
        <v/>
      </c>
      <c r="H167" s="21" t="str">
        <f>IF(C167="","",'Datos Generales'!$A$19)</f>
        <v/>
      </c>
      <c r="I167" s="126" t="str">
        <f>IF(C167="","",'Datos Generales'!$A$7)</f>
        <v/>
      </c>
      <c r="J167" s="21" t="str">
        <f>IF(C167="","",'Datos Generales'!$A$13)</f>
        <v/>
      </c>
      <c r="K167" s="21" t="str">
        <f>IF(C167="","",'Datos Generales'!$A$10)</f>
        <v/>
      </c>
      <c r="CS167" s="142" t="str">
        <f t="shared" si="19"/>
        <v/>
      </c>
      <c r="CT167" s="142" t="str">
        <f t="shared" si="20"/>
        <v/>
      </c>
      <c r="CU167" s="142" t="str">
        <f t="shared" si="21"/>
        <v/>
      </c>
      <c r="CV167" s="142" t="str">
        <f t="shared" si="22"/>
        <v/>
      </c>
      <c r="CW167" s="142" t="str">
        <f>IF(C167="","",IF('Datos Generales'!$A$19=1,AVERAGE(FP167:GD167),AVERAGE(Captura!FP167:FY167)))</f>
        <v/>
      </c>
      <c r="CX167" s="138" t="e">
        <f>IF(VLOOKUP(CONCATENATE($H$4,$F$4,CX$2),Español!$A:$H,7,FALSE)=L167,1,0)</f>
        <v>#N/A</v>
      </c>
      <c r="CY167" s="138" t="e">
        <f>IF(VLOOKUP(CONCATENATE(H167,F167,CY$2),Español!$A:$H,7,FALSE)=M167,1,0)</f>
        <v>#N/A</v>
      </c>
      <c r="CZ167" s="138" t="e">
        <f>IF(VLOOKUP(CONCATENATE(H167,F167,CZ$2),Español!$A:$H,7,FALSE)=N167,1,0)</f>
        <v>#N/A</v>
      </c>
      <c r="DA167" s="138" t="e">
        <f>IF(VLOOKUP(CONCATENATE(H167,F167,DA$2),Español!$A:$H,7,FALSE)=O167,1,0)</f>
        <v>#N/A</v>
      </c>
      <c r="DB167" s="138" t="e">
        <f>IF(VLOOKUP(CONCATENATE(H167,F167,DB$2),Español!$A:$H,7,FALSE)=P167,1,0)</f>
        <v>#N/A</v>
      </c>
      <c r="DC167" s="138" t="e">
        <f>IF(VLOOKUP(CONCATENATE(H167,F167,DC$2),Español!$A:$H,7,FALSE)=Q167,1,0)</f>
        <v>#N/A</v>
      </c>
      <c r="DD167" s="138" t="e">
        <f>IF(VLOOKUP(CONCATENATE(H167,F167,DD$2),Español!$A:$H,7,FALSE)=R167,1,0)</f>
        <v>#N/A</v>
      </c>
      <c r="DE167" s="138" t="e">
        <f>IF(VLOOKUP(CONCATENATE(H167,F167,DE$2),Español!$A:$H,7,FALSE)=S167,1,0)</f>
        <v>#N/A</v>
      </c>
      <c r="DF167" s="138" t="e">
        <f>IF(VLOOKUP(CONCATENATE(H167,F167,DF$2),Español!$A:$H,7,FALSE)=T167,1,0)</f>
        <v>#N/A</v>
      </c>
      <c r="DG167" s="138" t="e">
        <f>IF(VLOOKUP(CONCATENATE(H167,F167,DG$2),Español!$A:$H,7,FALSE)=U167,1,0)</f>
        <v>#N/A</v>
      </c>
      <c r="DH167" s="138" t="e">
        <f>IF(VLOOKUP(CONCATENATE(H167,F167,DH$2),Español!$A:$H,7,FALSE)=V167,1,0)</f>
        <v>#N/A</v>
      </c>
      <c r="DI167" s="138" t="e">
        <f>IF(VLOOKUP(CONCATENATE(H167,F167,DI$2),Español!$A:$H,7,FALSE)=W167,1,0)</f>
        <v>#N/A</v>
      </c>
      <c r="DJ167" s="138" t="e">
        <f>IF(VLOOKUP(CONCATENATE(H167,F167,DJ$2),Español!$A:$H,7,FALSE)=X167,1,0)</f>
        <v>#N/A</v>
      </c>
      <c r="DK167" s="138" t="e">
        <f>IF(VLOOKUP(CONCATENATE(H167,F167,DK$2),Español!$A:$H,7,FALSE)=Y167,1,0)</f>
        <v>#N/A</v>
      </c>
      <c r="DL167" s="138" t="e">
        <f>IF(VLOOKUP(CONCATENATE(H167,F167,DL$2),Español!$A:$H,7,FALSE)=Z167,1,0)</f>
        <v>#N/A</v>
      </c>
      <c r="DM167" s="138" t="e">
        <f>IF(VLOOKUP(CONCATENATE(H167,F167,DM$2),Español!$A:$H,7,FALSE)=AA167,1,0)</f>
        <v>#N/A</v>
      </c>
      <c r="DN167" s="138" t="e">
        <f>IF(VLOOKUP(CONCATENATE(H167,F167,DN$2),Español!$A:$H,7,FALSE)=AB167,1,0)</f>
        <v>#N/A</v>
      </c>
      <c r="DO167" s="138" t="e">
        <f>IF(VLOOKUP(CONCATENATE(H167,F167,DO$2),Español!$A:$H,7,FALSE)=AC167,1,0)</f>
        <v>#N/A</v>
      </c>
      <c r="DP167" s="138" t="e">
        <f>IF(VLOOKUP(CONCATENATE(H167,F167,DP$2),Español!$A:$H,7,FALSE)=AD167,1,0)</f>
        <v>#N/A</v>
      </c>
      <c r="DQ167" s="138" t="e">
        <f>IF(VLOOKUP(CONCATENATE(H167,F167,DQ$2),Español!$A:$H,7,FALSE)=AE167,1,0)</f>
        <v>#N/A</v>
      </c>
      <c r="DR167" s="138" t="e">
        <f>IF(VLOOKUP(CONCATENATE(H167,F167,DR$2),Inglés!$A:$H,7,FALSE)=AF167,1,0)</f>
        <v>#N/A</v>
      </c>
      <c r="DS167" s="138" t="e">
        <f>IF(VLOOKUP(CONCATENATE(H167,F167,DS$2),Inglés!$A:$H,7,FALSE)=AG167,1,0)</f>
        <v>#N/A</v>
      </c>
      <c r="DT167" s="138" t="e">
        <f>IF(VLOOKUP(CONCATENATE(H167,F167,DT$2),Inglés!$A:$H,7,FALSE)=AH167,1,0)</f>
        <v>#N/A</v>
      </c>
      <c r="DU167" s="138" t="e">
        <f>IF(VLOOKUP(CONCATENATE(H167,F167,DU$2),Inglés!$A:$H,7,FALSE)=AI167,1,0)</f>
        <v>#N/A</v>
      </c>
      <c r="DV167" s="138" t="e">
        <f>IF(VLOOKUP(CONCATENATE(H167,F167,DV$2),Inglés!$A:$H,7,FALSE)=AJ167,1,0)</f>
        <v>#N/A</v>
      </c>
      <c r="DW167" s="138" t="e">
        <f>IF(VLOOKUP(CONCATENATE(H167,F167,DW$2),Inglés!$A:$H,7,FALSE)=AK167,1,0)</f>
        <v>#N/A</v>
      </c>
      <c r="DX167" s="138" t="e">
        <f>IF(VLOOKUP(CONCATENATE(H167,F167,DX$2),Inglés!$A:$H,7,FALSE)=AL167,1,0)</f>
        <v>#N/A</v>
      </c>
      <c r="DY167" s="138" t="e">
        <f>IF(VLOOKUP(CONCATENATE(H167,F167,DY$2),Inglés!$A:$H,7,FALSE)=AM167,1,0)</f>
        <v>#N/A</v>
      </c>
      <c r="DZ167" s="138" t="e">
        <f>IF(VLOOKUP(CONCATENATE(H167,F167,DZ$2),Inglés!$A:$H,7,FALSE)=AN167,1,0)</f>
        <v>#N/A</v>
      </c>
      <c r="EA167" s="138" t="e">
        <f>IF(VLOOKUP(CONCATENATE(H167,F167,EA$2),Inglés!$A:$H,7,FALSE)=AO167,1,0)</f>
        <v>#N/A</v>
      </c>
      <c r="EB167" s="138" t="e">
        <f>IF(VLOOKUP(CONCATENATE(H167,F167,EB$2),Matemáticas!$A:$H,7,FALSE)=AP167,1,0)</f>
        <v>#N/A</v>
      </c>
      <c r="EC167" s="138" t="e">
        <f>IF(VLOOKUP(CONCATENATE(H167,F167,EC$2),Matemáticas!$A:$H,7,FALSE)=AQ167,1,0)</f>
        <v>#N/A</v>
      </c>
      <c r="ED167" s="138" t="e">
        <f>IF(VLOOKUP(CONCATENATE(H167,F167,ED$2),Matemáticas!$A:$H,7,FALSE)=AR167,1,0)</f>
        <v>#N/A</v>
      </c>
      <c r="EE167" s="138" t="e">
        <f>IF(VLOOKUP(CONCATENATE(H167,F167,EE$2),Matemáticas!$A:$H,7,FALSE)=AS167,1,0)</f>
        <v>#N/A</v>
      </c>
      <c r="EF167" s="138" t="e">
        <f>IF(VLOOKUP(CONCATENATE(H167,F167,EF$2),Matemáticas!$A:$H,7,FALSE)=AT167,1,0)</f>
        <v>#N/A</v>
      </c>
      <c r="EG167" s="138" t="e">
        <f>IF(VLOOKUP(CONCATENATE(H167,F167,EG$2),Matemáticas!$A:$H,7,FALSE)=AU167,1,0)</f>
        <v>#N/A</v>
      </c>
      <c r="EH167" s="138" t="e">
        <f>IF(VLOOKUP(CONCATENATE(H167,F167,EH$2),Matemáticas!$A:$H,7,FALSE)=AV167,1,0)</f>
        <v>#N/A</v>
      </c>
      <c r="EI167" s="138" t="e">
        <f>IF(VLOOKUP(CONCATENATE(H167,F167,EI$2),Matemáticas!$A:$H,7,FALSE)=AW167,1,0)</f>
        <v>#N/A</v>
      </c>
      <c r="EJ167" s="138" t="e">
        <f>IF(VLOOKUP(CONCATENATE(H167,F167,EJ$2),Matemáticas!$A:$H,7,FALSE)=AX167,1,0)</f>
        <v>#N/A</v>
      </c>
      <c r="EK167" s="138" t="e">
        <f>IF(VLOOKUP(CONCATENATE(H167,F167,EK$2),Matemáticas!$A:$H,7,FALSE)=AY167,1,0)</f>
        <v>#N/A</v>
      </c>
      <c r="EL167" s="138" t="e">
        <f>IF(VLOOKUP(CONCATENATE(H167,F167,EL$2),Matemáticas!$A:$H,7,FALSE)=AZ167,1,0)</f>
        <v>#N/A</v>
      </c>
      <c r="EM167" s="138" t="e">
        <f>IF(VLOOKUP(CONCATENATE(H167,F167,EM$2),Matemáticas!$A:$H,7,FALSE)=BA167,1,0)</f>
        <v>#N/A</v>
      </c>
      <c r="EN167" s="138" t="e">
        <f>IF(VLOOKUP(CONCATENATE(H167,F167,EN$2),Matemáticas!$A:$H,7,FALSE)=BB167,1,0)</f>
        <v>#N/A</v>
      </c>
      <c r="EO167" s="138" t="e">
        <f>IF(VLOOKUP(CONCATENATE(H167,F167,EO$2),Matemáticas!$A:$H,7,FALSE)=BC167,1,0)</f>
        <v>#N/A</v>
      </c>
      <c r="EP167" s="138" t="e">
        <f>IF(VLOOKUP(CONCATENATE(H167,F167,EP$2),Matemáticas!$A:$H,7,FALSE)=BD167,1,0)</f>
        <v>#N/A</v>
      </c>
      <c r="EQ167" s="138" t="e">
        <f>IF(VLOOKUP(CONCATENATE(H167,F167,EQ$2),Matemáticas!$A:$H,7,FALSE)=BE167,1,0)</f>
        <v>#N/A</v>
      </c>
      <c r="ER167" s="138" t="e">
        <f>IF(VLOOKUP(CONCATENATE(H167,F167,ER$2),Matemáticas!$A:$H,7,FALSE)=BF167,1,0)</f>
        <v>#N/A</v>
      </c>
      <c r="ES167" s="138" t="e">
        <f>IF(VLOOKUP(CONCATENATE(H167,F167,ES$2),Matemáticas!$A:$H,7,FALSE)=BG167,1,0)</f>
        <v>#N/A</v>
      </c>
      <c r="ET167" s="138" t="e">
        <f>IF(VLOOKUP(CONCATENATE(H167,F167,ET$2),Matemáticas!$A:$H,7,FALSE)=BH167,1,0)</f>
        <v>#N/A</v>
      </c>
      <c r="EU167" s="138" t="e">
        <f>IF(VLOOKUP(CONCATENATE(H167,F167,EU$2),Matemáticas!$A:$H,7,FALSE)=BI167,1,0)</f>
        <v>#N/A</v>
      </c>
      <c r="EV167" s="138" t="e">
        <f>IF(VLOOKUP(CONCATENATE(H167,F167,EV$2),Ciencias!$A:$H,7,FALSE)=BJ167,1,0)</f>
        <v>#N/A</v>
      </c>
      <c r="EW167" s="138" t="e">
        <f>IF(VLOOKUP(CONCATENATE(H167,F167,EW$2),Ciencias!$A:$H,7,FALSE)=BK167,1,0)</f>
        <v>#N/A</v>
      </c>
      <c r="EX167" s="138" t="e">
        <f>IF(VLOOKUP(CONCATENATE(H167,F167,EX$2),Ciencias!$A:$H,7,FALSE)=BL167,1,0)</f>
        <v>#N/A</v>
      </c>
      <c r="EY167" s="138" t="e">
        <f>IF(VLOOKUP(CONCATENATE(H167,F167,EY$2),Ciencias!$A:$H,7,FALSE)=BM167,1,0)</f>
        <v>#N/A</v>
      </c>
      <c r="EZ167" s="138" t="e">
        <f>IF(VLOOKUP(CONCATENATE(H167,F167,EZ$2),Ciencias!$A:$H,7,FALSE)=BN167,1,0)</f>
        <v>#N/A</v>
      </c>
      <c r="FA167" s="138" t="e">
        <f>IF(VLOOKUP(CONCATENATE(H167,F167,FA$2),Ciencias!$A:$H,7,FALSE)=BO167,1,0)</f>
        <v>#N/A</v>
      </c>
      <c r="FB167" s="138" t="e">
        <f>IF(VLOOKUP(CONCATENATE(H167,F167,FB$2),Ciencias!$A:$H,7,FALSE)=BP167,1,0)</f>
        <v>#N/A</v>
      </c>
      <c r="FC167" s="138" t="e">
        <f>IF(VLOOKUP(CONCATENATE(H167,F167,FC$2),Ciencias!$A:$H,7,FALSE)=BQ167,1,0)</f>
        <v>#N/A</v>
      </c>
      <c r="FD167" s="138" t="e">
        <f>IF(VLOOKUP(CONCATENATE(H167,F167,FD$2),Ciencias!$A:$H,7,FALSE)=BR167,1,0)</f>
        <v>#N/A</v>
      </c>
      <c r="FE167" s="138" t="e">
        <f>IF(VLOOKUP(CONCATENATE(H167,F167,FE$2),Ciencias!$A:$H,7,FALSE)=BS167,1,0)</f>
        <v>#N/A</v>
      </c>
      <c r="FF167" s="138" t="e">
        <f>IF(VLOOKUP(CONCATENATE(H167,F167,FF$2),Ciencias!$A:$H,7,FALSE)=BT167,1,0)</f>
        <v>#N/A</v>
      </c>
      <c r="FG167" s="138" t="e">
        <f>IF(VLOOKUP(CONCATENATE(H167,F167,FG$2),Ciencias!$A:$H,7,FALSE)=BU167,1,0)</f>
        <v>#N/A</v>
      </c>
      <c r="FH167" s="138" t="e">
        <f>IF(VLOOKUP(CONCATENATE(H167,F167,FH$2),Ciencias!$A:$H,7,FALSE)=BV167,1,0)</f>
        <v>#N/A</v>
      </c>
      <c r="FI167" s="138" t="e">
        <f>IF(VLOOKUP(CONCATENATE(H167,F167,FI$2),Ciencias!$A:$H,7,FALSE)=BW167,1,0)</f>
        <v>#N/A</v>
      </c>
      <c r="FJ167" s="138" t="e">
        <f>IF(VLOOKUP(CONCATENATE(H167,F167,FJ$2),Ciencias!$A:$H,7,FALSE)=BX167,1,0)</f>
        <v>#N/A</v>
      </c>
      <c r="FK167" s="138" t="e">
        <f>IF(VLOOKUP(CONCATENATE(H167,F167,FK$2),Ciencias!$A:$H,7,FALSE)=BY167,1,0)</f>
        <v>#N/A</v>
      </c>
      <c r="FL167" s="138" t="e">
        <f>IF(VLOOKUP(CONCATENATE(H167,F167,FL$2),Ciencias!$A:$H,7,FALSE)=BZ167,1,0)</f>
        <v>#N/A</v>
      </c>
      <c r="FM167" s="138" t="e">
        <f>IF(VLOOKUP(CONCATENATE(H167,F167,FM$2),Ciencias!$A:$H,7,FALSE)=CA167,1,0)</f>
        <v>#N/A</v>
      </c>
      <c r="FN167" s="138" t="e">
        <f>IF(VLOOKUP(CONCATENATE(H167,F167,FN$2),Ciencias!$A:$H,7,FALSE)=CB167,1,0)</f>
        <v>#N/A</v>
      </c>
      <c r="FO167" s="138" t="e">
        <f>IF(VLOOKUP(CONCATENATE(H167,F167,FO$2),Ciencias!$A:$H,7,FALSE)=CC167,1,0)</f>
        <v>#N/A</v>
      </c>
      <c r="FP167" s="138" t="e">
        <f>IF(VLOOKUP(CONCATENATE(H167,F167,FP$2),GeoHis!$A:$H,7,FALSE)=CD167,1,0)</f>
        <v>#N/A</v>
      </c>
      <c r="FQ167" s="138" t="e">
        <f>IF(VLOOKUP(CONCATENATE(H167,F167,FQ$2),GeoHis!$A:$H,7,FALSE)=CE167,1,0)</f>
        <v>#N/A</v>
      </c>
      <c r="FR167" s="138" t="e">
        <f>IF(VLOOKUP(CONCATENATE(H167,F167,FR$2),GeoHis!$A:$H,7,FALSE)=CF167,1,0)</f>
        <v>#N/A</v>
      </c>
      <c r="FS167" s="138" t="e">
        <f>IF(VLOOKUP(CONCATENATE(H167,F167,FS$2),GeoHis!$A:$H,7,FALSE)=CG167,1,0)</f>
        <v>#N/A</v>
      </c>
      <c r="FT167" s="138" t="e">
        <f>IF(VLOOKUP(CONCATENATE(H167,F167,FT$2),GeoHis!$A:$H,7,FALSE)=CH167,1,0)</f>
        <v>#N/A</v>
      </c>
      <c r="FU167" s="138" t="e">
        <f>IF(VLOOKUP(CONCATENATE(H167,F167,FU$2),GeoHis!$A:$H,7,FALSE)=CI167,1,0)</f>
        <v>#N/A</v>
      </c>
      <c r="FV167" s="138" t="e">
        <f>IF(VLOOKUP(CONCATENATE(H167,F167,FV$2),GeoHis!$A:$H,7,FALSE)=CJ167,1,0)</f>
        <v>#N/A</v>
      </c>
      <c r="FW167" s="138" t="e">
        <f>IF(VLOOKUP(CONCATENATE(H167,F167,FW$2),GeoHis!$A:$H,7,FALSE)=CK167,1,0)</f>
        <v>#N/A</v>
      </c>
      <c r="FX167" s="138" t="e">
        <f>IF(VLOOKUP(CONCATENATE(H167,F167,FX$2),GeoHis!$A:$H,7,FALSE)=CL167,1,0)</f>
        <v>#N/A</v>
      </c>
      <c r="FY167" s="138" t="e">
        <f>IF(VLOOKUP(CONCATENATE(H167,F167,FY$2),GeoHis!$A:$H,7,FALSE)=CM167,1,0)</f>
        <v>#N/A</v>
      </c>
      <c r="FZ167" s="138" t="e">
        <f>IF(VLOOKUP(CONCATENATE(H167,F167,FZ$2),GeoHis!$A:$H,7,FALSE)=CN167,1,0)</f>
        <v>#N/A</v>
      </c>
      <c r="GA167" s="138" t="e">
        <f>IF(VLOOKUP(CONCATENATE(H167,F167,GA$2),GeoHis!$A:$H,7,FALSE)=CO167,1,0)</f>
        <v>#N/A</v>
      </c>
      <c r="GB167" s="138" t="e">
        <f>IF(VLOOKUP(CONCATENATE(H167,F167,GB$2),GeoHis!$A:$H,7,FALSE)=CP167,1,0)</f>
        <v>#N/A</v>
      </c>
      <c r="GC167" s="138" t="e">
        <f>IF(VLOOKUP(CONCATENATE(H167,F167,GC$2),GeoHis!$A:$H,7,FALSE)=CQ167,1,0)</f>
        <v>#N/A</v>
      </c>
      <c r="GD167" s="138" t="e">
        <f>IF(VLOOKUP(CONCATENATE(H167,F167,GD$2),GeoHis!$A:$H,7,FALSE)=CR167,1,0)</f>
        <v>#N/A</v>
      </c>
      <c r="GE167" s="135" t="str">
        <f t="shared" si="23"/>
        <v/>
      </c>
    </row>
    <row r="168" spans="1:187" x14ac:dyDescent="0.25">
      <c r="A168" s="127" t="str">
        <f>IF(C168="","",'Datos Generales'!$A$25)</f>
        <v/>
      </c>
      <c r="D168" s="126" t="str">
        <f t="shared" si="16"/>
        <v/>
      </c>
      <c r="E168" s="126">
        <f t="shared" si="17"/>
        <v>0</v>
      </c>
      <c r="F168" s="126" t="str">
        <f t="shared" si="18"/>
        <v/>
      </c>
      <c r="G168" s="126" t="str">
        <f>IF(C168="","",'Datos Generales'!$D$19)</f>
        <v/>
      </c>
      <c r="H168" s="21" t="str">
        <f>IF(C168="","",'Datos Generales'!$A$19)</f>
        <v/>
      </c>
      <c r="I168" s="126" t="str">
        <f>IF(C168="","",'Datos Generales'!$A$7)</f>
        <v/>
      </c>
      <c r="J168" s="21" t="str">
        <f>IF(C168="","",'Datos Generales'!$A$13)</f>
        <v/>
      </c>
      <c r="K168" s="21" t="str">
        <f>IF(C168="","",'Datos Generales'!$A$10)</f>
        <v/>
      </c>
      <c r="CS168" s="142" t="str">
        <f t="shared" si="19"/>
        <v/>
      </c>
      <c r="CT168" s="142" t="str">
        <f t="shared" si="20"/>
        <v/>
      </c>
      <c r="CU168" s="142" t="str">
        <f t="shared" si="21"/>
        <v/>
      </c>
      <c r="CV168" s="142" t="str">
        <f t="shared" si="22"/>
        <v/>
      </c>
      <c r="CW168" s="142" t="str">
        <f>IF(C168="","",IF('Datos Generales'!$A$19=1,AVERAGE(FP168:GD168),AVERAGE(Captura!FP168:FY168)))</f>
        <v/>
      </c>
      <c r="CX168" s="138" t="e">
        <f>IF(VLOOKUP(CONCATENATE($H$4,$F$4,CX$2),Español!$A:$H,7,FALSE)=L168,1,0)</f>
        <v>#N/A</v>
      </c>
      <c r="CY168" s="138" t="e">
        <f>IF(VLOOKUP(CONCATENATE(H168,F168,CY$2),Español!$A:$H,7,FALSE)=M168,1,0)</f>
        <v>#N/A</v>
      </c>
      <c r="CZ168" s="138" t="e">
        <f>IF(VLOOKUP(CONCATENATE(H168,F168,CZ$2),Español!$A:$H,7,FALSE)=N168,1,0)</f>
        <v>#N/A</v>
      </c>
      <c r="DA168" s="138" t="e">
        <f>IF(VLOOKUP(CONCATENATE(H168,F168,DA$2),Español!$A:$H,7,FALSE)=O168,1,0)</f>
        <v>#N/A</v>
      </c>
      <c r="DB168" s="138" t="e">
        <f>IF(VLOOKUP(CONCATENATE(H168,F168,DB$2),Español!$A:$H,7,FALSE)=P168,1,0)</f>
        <v>#N/A</v>
      </c>
      <c r="DC168" s="138" t="e">
        <f>IF(VLOOKUP(CONCATENATE(H168,F168,DC$2),Español!$A:$H,7,FALSE)=Q168,1,0)</f>
        <v>#N/A</v>
      </c>
      <c r="DD168" s="138" t="e">
        <f>IF(VLOOKUP(CONCATENATE(H168,F168,DD$2),Español!$A:$H,7,FALSE)=R168,1,0)</f>
        <v>#N/A</v>
      </c>
      <c r="DE168" s="138" t="e">
        <f>IF(VLOOKUP(CONCATENATE(H168,F168,DE$2),Español!$A:$H,7,FALSE)=S168,1,0)</f>
        <v>#N/A</v>
      </c>
      <c r="DF168" s="138" t="e">
        <f>IF(VLOOKUP(CONCATENATE(H168,F168,DF$2),Español!$A:$H,7,FALSE)=T168,1,0)</f>
        <v>#N/A</v>
      </c>
      <c r="DG168" s="138" t="e">
        <f>IF(VLOOKUP(CONCATENATE(H168,F168,DG$2),Español!$A:$H,7,FALSE)=U168,1,0)</f>
        <v>#N/A</v>
      </c>
      <c r="DH168" s="138" t="e">
        <f>IF(VLOOKUP(CONCATENATE(H168,F168,DH$2),Español!$A:$H,7,FALSE)=V168,1,0)</f>
        <v>#N/A</v>
      </c>
      <c r="DI168" s="138" t="e">
        <f>IF(VLOOKUP(CONCATENATE(H168,F168,DI$2),Español!$A:$H,7,FALSE)=W168,1,0)</f>
        <v>#N/A</v>
      </c>
      <c r="DJ168" s="138" t="e">
        <f>IF(VLOOKUP(CONCATENATE(H168,F168,DJ$2),Español!$A:$H,7,FALSE)=X168,1,0)</f>
        <v>#N/A</v>
      </c>
      <c r="DK168" s="138" t="e">
        <f>IF(VLOOKUP(CONCATENATE(H168,F168,DK$2),Español!$A:$H,7,FALSE)=Y168,1,0)</f>
        <v>#N/A</v>
      </c>
      <c r="DL168" s="138" t="e">
        <f>IF(VLOOKUP(CONCATENATE(H168,F168,DL$2),Español!$A:$H,7,FALSE)=Z168,1,0)</f>
        <v>#N/A</v>
      </c>
      <c r="DM168" s="138" t="e">
        <f>IF(VLOOKUP(CONCATENATE(H168,F168,DM$2),Español!$A:$H,7,FALSE)=AA168,1,0)</f>
        <v>#N/A</v>
      </c>
      <c r="DN168" s="138" t="e">
        <f>IF(VLOOKUP(CONCATENATE(H168,F168,DN$2),Español!$A:$H,7,FALSE)=AB168,1,0)</f>
        <v>#N/A</v>
      </c>
      <c r="DO168" s="138" t="e">
        <f>IF(VLOOKUP(CONCATENATE(H168,F168,DO$2),Español!$A:$H,7,FALSE)=AC168,1,0)</f>
        <v>#N/A</v>
      </c>
      <c r="DP168" s="138" t="e">
        <f>IF(VLOOKUP(CONCATENATE(H168,F168,DP$2),Español!$A:$H,7,FALSE)=AD168,1,0)</f>
        <v>#N/A</v>
      </c>
      <c r="DQ168" s="138" t="e">
        <f>IF(VLOOKUP(CONCATENATE(H168,F168,DQ$2),Español!$A:$H,7,FALSE)=AE168,1,0)</f>
        <v>#N/A</v>
      </c>
      <c r="DR168" s="138" t="e">
        <f>IF(VLOOKUP(CONCATENATE(H168,F168,DR$2),Inglés!$A:$H,7,FALSE)=AF168,1,0)</f>
        <v>#N/A</v>
      </c>
      <c r="DS168" s="138" t="e">
        <f>IF(VLOOKUP(CONCATENATE(H168,F168,DS$2),Inglés!$A:$H,7,FALSE)=AG168,1,0)</f>
        <v>#N/A</v>
      </c>
      <c r="DT168" s="138" t="e">
        <f>IF(VLOOKUP(CONCATENATE(H168,F168,DT$2),Inglés!$A:$H,7,FALSE)=AH168,1,0)</f>
        <v>#N/A</v>
      </c>
      <c r="DU168" s="138" t="e">
        <f>IF(VLOOKUP(CONCATENATE(H168,F168,DU$2),Inglés!$A:$H,7,FALSE)=AI168,1,0)</f>
        <v>#N/A</v>
      </c>
      <c r="DV168" s="138" t="e">
        <f>IF(VLOOKUP(CONCATENATE(H168,F168,DV$2),Inglés!$A:$H,7,FALSE)=AJ168,1,0)</f>
        <v>#N/A</v>
      </c>
      <c r="DW168" s="138" t="e">
        <f>IF(VLOOKUP(CONCATENATE(H168,F168,DW$2),Inglés!$A:$H,7,FALSE)=AK168,1,0)</f>
        <v>#N/A</v>
      </c>
      <c r="DX168" s="138" t="e">
        <f>IF(VLOOKUP(CONCATENATE(H168,F168,DX$2),Inglés!$A:$H,7,FALSE)=AL168,1,0)</f>
        <v>#N/A</v>
      </c>
      <c r="DY168" s="138" t="e">
        <f>IF(VLOOKUP(CONCATENATE(H168,F168,DY$2),Inglés!$A:$H,7,FALSE)=AM168,1,0)</f>
        <v>#N/A</v>
      </c>
      <c r="DZ168" s="138" t="e">
        <f>IF(VLOOKUP(CONCATENATE(H168,F168,DZ$2),Inglés!$A:$H,7,FALSE)=AN168,1,0)</f>
        <v>#N/A</v>
      </c>
      <c r="EA168" s="138" t="e">
        <f>IF(VLOOKUP(CONCATENATE(H168,F168,EA$2),Inglés!$A:$H,7,FALSE)=AO168,1,0)</f>
        <v>#N/A</v>
      </c>
      <c r="EB168" s="138" t="e">
        <f>IF(VLOOKUP(CONCATENATE(H168,F168,EB$2),Matemáticas!$A:$H,7,FALSE)=AP168,1,0)</f>
        <v>#N/A</v>
      </c>
      <c r="EC168" s="138" t="e">
        <f>IF(VLOOKUP(CONCATENATE(H168,F168,EC$2),Matemáticas!$A:$H,7,FALSE)=AQ168,1,0)</f>
        <v>#N/A</v>
      </c>
      <c r="ED168" s="138" t="e">
        <f>IF(VLOOKUP(CONCATENATE(H168,F168,ED$2),Matemáticas!$A:$H,7,FALSE)=AR168,1,0)</f>
        <v>#N/A</v>
      </c>
      <c r="EE168" s="138" t="e">
        <f>IF(VLOOKUP(CONCATENATE(H168,F168,EE$2),Matemáticas!$A:$H,7,FALSE)=AS168,1,0)</f>
        <v>#N/A</v>
      </c>
      <c r="EF168" s="138" t="e">
        <f>IF(VLOOKUP(CONCATENATE(H168,F168,EF$2),Matemáticas!$A:$H,7,FALSE)=AT168,1,0)</f>
        <v>#N/A</v>
      </c>
      <c r="EG168" s="138" t="e">
        <f>IF(VLOOKUP(CONCATENATE(H168,F168,EG$2),Matemáticas!$A:$H,7,FALSE)=AU168,1,0)</f>
        <v>#N/A</v>
      </c>
      <c r="EH168" s="138" t="e">
        <f>IF(VLOOKUP(CONCATENATE(H168,F168,EH$2),Matemáticas!$A:$H,7,FALSE)=AV168,1,0)</f>
        <v>#N/A</v>
      </c>
      <c r="EI168" s="138" t="e">
        <f>IF(VLOOKUP(CONCATENATE(H168,F168,EI$2),Matemáticas!$A:$H,7,FALSE)=AW168,1,0)</f>
        <v>#N/A</v>
      </c>
      <c r="EJ168" s="138" t="e">
        <f>IF(VLOOKUP(CONCATENATE(H168,F168,EJ$2),Matemáticas!$A:$H,7,FALSE)=AX168,1,0)</f>
        <v>#N/A</v>
      </c>
      <c r="EK168" s="138" t="e">
        <f>IF(VLOOKUP(CONCATENATE(H168,F168,EK$2),Matemáticas!$A:$H,7,FALSE)=AY168,1,0)</f>
        <v>#N/A</v>
      </c>
      <c r="EL168" s="138" t="e">
        <f>IF(VLOOKUP(CONCATENATE(H168,F168,EL$2),Matemáticas!$A:$H,7,FALSE)=AZ168,1,0)</f>
        <v>#N/A</v>
      </c>
      <c r="EM168" s="138" t="e">
        <f>IF(VLOOKUP(CONCATENATE(H168,F168,EM$2),Matemáticas!$A:$H,7,FALSE)=BA168,1,0)</f>
        <v>#N/A</v>
      </c>
      <c r="EN168" s="138" t="e">
        <f>IF(VLOOKUP(CONCATENATE(H168,F168,EN$2),Matemáticas!$A:$H,7,FALSE)=BB168,1,0)</f>
        <v>#N/A</v>
      </c>
      <c r="EO168" s="138" t="e">
        <f>IF(VLOOKUP(CONCATENATE(H168,F168,EO$2),Matemáticas!$A:$H,7,FALSE)=BC168,1,0)</f>
        <v>#N/A</v>
      </c>
      <c r="EP168" s="138" t="e">
        <f>IF(VLOOKUP(CONCATENATE(H168,F168,EP$2),Matemáticas!$A:$H,7,FALSE)=BD168,1,0)</f>
        <v>#N/A</v>
      </c>
      <c r="EQ168" s="138" t="e">
        <f>IF(VLOOKUP(CONCATENATE(H168,F168,EQ$2),Matemáticas!$A:$H,7,FALSE)=BE168,1,0)</f>
        <v>#N/A</v>
      </c>
      <c r="ER168" s="138" t="e">
        <f>IF(VLOOKUP(CONCATENATE(H168,F168,ER$2),Matemáticas!$A:$H,7,FALSE)=BF168,1,0)</f>
        <v>#N/A</v>
      </c>
      <c r="ES168" s="138" t="e">
        <f>IF(VLOOKUP(CONCATENATE(H168,F168,ES$2),Matemáticas!$A:$H,7,FALSE)=BG168,1,0)</f>
        <v>#N/A</v>
      </c>
      <c r="ET168" s="138" t="e">
        <f>IF(VLOOKUP(CONCATENATE(H168,F168,ET$2),Matemáticas!$A:$H,7,FALSE)=BH168,1,0)</f>
        <v>#N/A</v>
      </c>
      <c r="EU168" s="138" t="e">
        <f>IF(VLOOKUP(CONCATENATE(H168,F168,EU$2),Matemáticas!$A:$H,7,FALSE)=BI168,1,0)</f>
        <v>#N/A</v>
      </c>
      <c r="EV168" s="138" t="e">
        <f>IF(VLOOKUP(CONCATENATE(H168,F168,EV$2),Ciencias!$A:$H,7,FALSE)=BJ168,1,0)</f>
        <v>#N/A</v>
      </c>
      <c r="EW168" s="138" t="e">
        <f>IF(VLOOKUP(CONCATENATE(H168,F168,EW$2),Ciencias!$A:$H,7,FALSE)=BK168,1,0)</f>
        <v>#N/A</v>
      </c>
      <c r="EX168" s="138" t="e">
        <f>IF(VLOOKUP(CONCATENATE(H168,F168,EX$2),Ciencias!$A:$H,7,FALSE)=BL168,1,0)</f>
        <v>#N/A</v>
      </c>
      <c r="EY168" s="138" t="e">
        <f>IF(VLOOKUP(CONCATENATE(H168,F168,EY$2),Ciencias!$A:$H,7,FALSE)=BM168,1,0)</f>
        <v>#N/A</v>
      </c>
      <c r="EZ168" s="138" t="e">
        <f>IF(VLOOKUP(CONCATENATE(H168,F168,EZ$2),Ciencias!$A:$H,7,FALSE)=BN168,1,0)</f>
        <v>#N/A</v>
      </c>
      <c r="FA168" s="138" t="e">
        <f>IF(VLOOKUP(CONCATENATE(H168,F168,FA$2),Ciencias!$A:$H,7,FALSE)=BO168,1,0)</f>
        <v>#N/A</v>
      </c>
      <c r="FB168" s="138" t="e">
        <f>IF(VLOOKUP(CONCATENATE(H168,F168,FB$2),Ciencias!$A:$H,7,FALSE)=BP168,1,0)</f>
        <v>#N/A</v>
      </c>
      <c r="FC168" s="138" t="e">
        <f>IF(VLOOKUP(CONCATENATE(H168,F168,FC$2),Ciencias!$A:$H,7,FALSE)=BQ168,1,0)</f>
        <v>#N/A</v>
      </c>
      <c r="FD168" s="138" t="e">
        <f>IF(VLOOKUP(CONCATENATE(H168,F168,FD$2),Ciencias!$A:$H,7,FALSE)=BR168,1,0)</f>
        <v>#N/A</v>
      </c>
      <c r="FE168" s="138" t="e">
        <f>IF(VLOOKUP(CONCATENATE(H168,F168,FE$2),Ciencias!$A:$H,7,FALSE)=BS168,1,0)</f>
        <v>#N/A</v>
      </c>
      <c r="FF168" s="138" t="e">
        <f>IF(VLOOKUP(CONCATENATE(H168,F168,FF$2),Ciencias!$A:$H,7,FALSE)=BT168,1,0)</f>
        <v>#N/A</v>
      </c>
      <c r="FG168" s="138" t="e">
        <f>IF(VLOOKUP(CONCATENATE(H168,F168,FG$2),Ciencias!$A:$H,7,FALSE)=BU168,1,0)</f>
        <v>#N/A</v>
      </c>
      <c r="FH168" s="138" t="e">
        <f>IF(VLOOKUP(CONCATENATE(H168,F168,FH$2),Ciencias!$A:$H,7,FALSE)=BV168,1,0)</f>
        <v>#N/A</v>
      </c>
      <c r="FI168" s="138" t="e">
        <f>IF(VLOOKUP(CONCATENATE(H168,F168,FI$2),Ciencias!$A:$H,7,FALSE)=BW168,1,0)</f>
        <v>#N/A</v>
      </c>
      <c r="FJ168" s="138" t="e">
        <f>IF(VLOOKUP(CONCATENATE(H168,F168,FJ$2),Ciencias!$A:$H,7,FALSE)=BX168,1,0)</f>
        <v>#N/A</v>
      </c>
      <c r="FK168" s="138" t="e">
        <f>IF(VLOOKUP(CONCATENATE(H168,F168,FK$2),Ciencias!$A:$H,7,FALSE)=BY168,1,0)</f>
        <v>#N/A</v>
      </c>
      <c r="FL168" s="138" t="e">
        <f>IF(VLOOKUP(CONCATENATE(H168,F168,FL$2),Ciencias!$A:$H,7,FALSE)=BZ168,1,0)</f>
        <v>#N/A</v>
      </c>
      <c r="FM168" s="138" t="e">
        <f>IF(VLOOKUP(CONCATENATE(H168,F168,FM$2),Ciencias!$A:$H,7,FALSE)=CA168,1,0)</f>
        <v>#N/A</v>
      </c>
      <c r="FN168" s="138" t="e">
        <f>IF(VLOOKUP(CONCATENATE(H168,F168,FN$2),Ciencias!$A:$H,7,FALSE)=CB168,1,0)</f>
        <v>#N/A</v>
      </c>
      <c r="FO168" s="138" t="e">
        <f>IF(VLOOKUP(CONCATENATE(H168,F168,FO$2),Ciencias!$A:$H,7,FALSE)=CC168,1,0)</f>
        <v>#N/A</v>
      </c>
      <c r="FP168" s="138" t="e">
        <f>IF(VLOOKUP(CONCATENATE(H168,F168,FP$2),GeoHis!$A:$H,7,FALSE)=CD168,1,0)</f>
        <v>#N/A</v>
      </c>
      <c r="FQ168" s="138" t="e">
        <f>IF(VLOOKUP(CONCATENATE(H168,F168,FQ$2),GeoHis!$A:$H,7,FALSE)=CE168,1,0)</f>
        <v>#N/A</v>
      </c>
      <c r="FR168" s="138" t="e">
        <f>IF(VLOOKUP(CONCATENATE(H168,F168,FR$2),GeoHis!$A:$H,7,FALSE)=CF168,1,0)</f>
        <v>#N/A</v>
      </c>
      <c r="FS168" s="138" t="e">
        <f>IF(VLOOKUP(CONCATENATE(H168,F168,FS$2),GeoHis!$A:$H,7,FALSE)=CG168,1,0)</f>
        <v>#N/A</v>
      </c>
      <c r="FT168" s="138" t="e">
        <f>IF(VLOOKUP(CONCATENATE(H168,F168,FT$2),GeoHis!$A:$H,7,FALSE)=CH168,1,0)</f>
        <v>#N/A</v>
      </c>
      <c r="FU168" s="138" t="e">
        <f>IF(VLOOKUP(CONCATENATE(H168,F168,FU$2),GeoHis!$A:$H,7,FALSE)=CI168,1,0)</f>
        <v>#N/A</v>
      </c>
      <c r="FV168" s="138" t="e">
        <f>IF(VLOOKUP(CONCATENATE(H168,F168,FV$2),GeoHis!$A:$H,7,FALSE)=CJ168,1,0)</f>
        <v>#N/A</v>
      </c>
      <c r="FW168" s="138" t="e">
        <f>IF(VLOOKUP(CONCATENATE(H168,F168,FW$2),GeoHis!$A:$H,7,FALSE)=CK168,1,0)</f>
        <v>#N/A</v>
      </c>
      <c r="FX168" s="138" t="e">
        <f>IF(VLOOKUP(CONCATENATE(H168,F168,FX$2),GeoHis!$A:$H,7,FALSE)=CL168,1,0)</f>
        <v>#N/A</v>
      </c>
      <c r="FY168" s="138" t="e">
        <f>IF(VLOOKUP(CONCATENATE(H168,F168,FY$2),GeoHis!$A:$H,7,FALSE)=CM168,1,0)</f>
        <v>#N/A</v>
      </c>
      <c r="FZ168" s="138" t="e">
        <f>IF(VLOOKUP(CONCATENATE(H168,F168,FZ$2),GeoHis!$A:$H,7,FALSE)=CN168,1,0)</f>
        <v>#N/A</v>
      </c>
      <c r="GA168" s="138" t="e">
        <f>IF(VLOOKUP(CONCATENATE(H168,F168,GA$2),GeoHis!$A:$H,7,FALSE)=CO168,1,0)</f>
        <v>#N/A</v>
      </c>
      <c r="GB168" s="138" t="e">
        <f>IF(VLOOKUP(CONCATENATE(H168,F168,GB$2),GeoHis!$A:$H,7,FALSE)=CP168,1,0)</f>
        <v>#N/A</v>
      </c>
      <c r="GC168" s="138" t="e">
        <f>IF(VLOOKUP(CONCATENATE(H168,F168,GC$2),GeoHis!$A:$H,7,FALSE)=CQ168,1,0)</f>
        <v>#N/A</v>
      </c>
      <c r="GD168" s="138" t="e">
        <f>IF(VLOOKUP(CONCATENATE(H168,F168,GD$2),GeoHis!$A:$H,7,FALSE)=CR168,1,0)</f>
        <v>#N/A</v>
      </c>
      <c r="GE168" s="135" t="str">
        <f t="shared" si="23"/>
        <v/>
      </c>
    </row>
    <row r="169" spans="1:187" x14ac:dyDescent="0.25">
      <c r="A169" s="127" t="str">
        <f>IF(C169="","",'Datos Generales'!$A$25)</f>
        <v/>
      </c>
      <c r="D169" s="126" t="str">
        <f t="shared" si="16"/>
        <v/>
      </c>
      <c r="E169" s="126">
        <f t="shared" si="17"/>
        <v>0</v>
      </c>
      <c r="F169" s="126" t="str">
        <f t="shared" si="18"/>
        <v/>
      </c>
      <c r="G169" s="126" t="str">
        <f>IF(C169="","",'Datos Generales'!$D$19)</f>
        <v/>
      </c>
      <c r="H169" s="21" t="str">
        <f>IF(C169="","",'Datos Generales'!$A$19)</f>
        <v/>
      </c>
      <c r="I169" s="126" t="str">
        <f>IF(C169="","",'Datos Generales'!$A$7)</f>
        <v/>
      </c>
      <c r="J169" s="21" t="str">
        <f>IF(C169="","",'Datos Generales'!$A$13)</f>
        <v/>
      </c>
      <c r="K169" s="21" t="str">
        <f>IF(C169="","",'Datos Generales'!$A$10)</f>
        <v/>
      </c>
      <c r="CS169" s="142" t="str">
        <f t="shared" si="19"/>
        <v/>
      </c>
      <c r="CT169" s="142" t="str">
        <f t="shared" si="20"/>
        <v/>
      </c>
      <c r="CU169" s="142" t="str">
        <f t="shared" si="21"/>
        <v/>
      </c>
      <c r="CV169" s="142" t="str">
        <f t="shared" si="22"/>
        <v/>
      </c>
      <c r="CW169" s="142" t="str">
        <f>IF(C169="","",IF('Datos Generales'!$A$19=1,AVERAGE(FP169:GD169),AVERAGE(Captura!FP169:FY169)))</f>
        <v/>
      </c>
      <c r="CX169" s="138" t="e">
        <f>IF(VLOOKUP(CONCATENATE($H$4,$F$4,CX$2),Español!$A:$H,7,FALSE)=L169,1,0)</f>
        <v>#N/A</v>
      </c>
      <c r="CY169" s="138" t="e">
        <f>IF(VLOOKUP(CONCATENATE(H169,F169,CY$2),Español!$A:$H,7,FALSE)=M169,1,0)</f>
        <v>#N/A</v>
      </c>
      <c r="CZ169" s="138" t="e">
        <f>IF(VLOOKUP(CONCATENATE(H169,F169,CZ$2),Español!$A:$H,7,FALSE)=N169,1,0)</f>
        <v>#N/A</v>
      </c>
      <c r="DA169" s="138" t="e">
        <f>IF(VLOOKUP(CONCATENATE(H169,F169,DA$2),Español!$A:$H,7,FALSE)=O169,1,0)</f>
        <v>#N/A</v>
      </c>
      <c r="DB169" s="138" t="e">
        <f>IF(VLOOKUP(CONCATENATE(H169,F169,DB$2),Español!$A:$H,7,FALSE)=P169,1,0)</f>
        <v>#N/A</v>
      </c>
      <c r="DC169" s="138" t="e">
        <f>IF(VLOOKUP(CONCATENATE(H169,F169,DC$2),Español!$A:$H,7,FALSE)=Q169,1,0)</f>
        <v>#N/A</v>
      </c>
      <c r="DD169" s="138" t="e">
        <f>IF(VLOOKUP(CONCATENATE(H169,F169,DD$2),Español!$A:$H,7,FALSE)=R169,1,0)</f>
        <v>#N/A</v>
      </c>
      <c r="DE169" s="138" t="e">
        <f>IF(VLOOKUP(CONCATENATE(H169,F169,DE$2),Español!$A:$H,7,FALSE)=S169,1,0)</f>
        <v>#N/A</v>
      </c>
      <c r="DF169" s="138" t="e">
        <f>IF(VLOOKUP(CONCATENATE(H169,F169,DF$2),Español!$A:$H,7,FALSE)=T169,1,0)</f>
        <v>#N/A</v>
      </c>
      <c r="DG169" s="138" t="e">
        <f>IF(VLOOKUP(CONCATENATE(H169,F169,DG$2),Español!$A:$H,7,FALSE)=U169,1,0)</f>
        <v>#N/A</v>
      </c>
      <c r="DH169" s="138" t="e">
        <f>IF(VLOOKUP(CONCATENATE(H169,F169,DH$2),Español!$A:$H,7,FALSE)=V169,1,0)</f>
        <v>#N/A</v>
      </c>
      <c r="DI169" s="138" t="e">
        <f>IF(VLOOKUP(CONCATENATE(H169,F169,DI$2),Español!$A:$H,7,FALSE)=W169,1,0)</f>
        <v>#N/A</v>
      </c>
      <c r="DJ169" s="138" t="e">
        <f>IF(VLOOKUP(CONCATENATE(H169,F169,DJ$2),Español!$A:$H,7,FALSE)=X169,1,0)</f>
        <v>#N/A</v>
      </c>
      <c r="DK169" s="138" t="e">
        <f>IF(VLOOKUP(CONCATENATE(H169,F169,DK$2),Español!$A:$H,7,FALSE)=Y169,1,0)</f>
        <v>#N/A</v>
      </c>
      <c r="DL169" s="138" t="e">
        <f>IF(VLOOKUP(CONCATENATE(H169,F169,DL$2),Español!$A:$H,7,FALSE)=Z169,1,0)</f>
        <v>#N/A</v>
      </c>
      <c r="DM169" s="138" t="e">
        <f>IF(VLOOKUP(CONCATENATE(H169,F169,DM$2),Español!$A:$H,7,FALSE)=AA169,1,0)</f>
        <v>#N/A</v>
      </c>
      <c r="DN169" s="138" t="e">
        <f>IF(VLOOKUP(CONCATENATE(H169,F169,DN$2),Español!$A:$H,7,FALSE)=AB169,1,0)</f>
        <v>#N/A</v>
      </c>
      <c r="DO169" s="138" t="e">
        <f>IF(VLOOKUP(CONCATENATE(H169,F169,DO$2),Español!$A:$H,7,FALSE)=AC169,1,0)</f>
        <v>#N/A</v>
      </c>
      <c r="DP169" s="138" t="e">
        <f>IF(VLOOKUP(CONCATENATE(H169,F169,DP$2),Español!$A:$H,7,FALSE)=AD169,1,0)</f>
        <v>#N/A</v>
      </c>
      <c r="DQ169" s="138" t="e">
        <f>IF(VLOOKUP(CONCATENATE(H169,F169,DQ$2),Español!$A:$H,7,FALSE)=AE169,1,0)</f>
        <v>#N/A</v>
      </c>
      <c r="DR169" s="138" t="e">
        <f>IF(VLOOKUP(CONCATENATE(H169,F169,DR$2),Inglés!$A:$H,7,FALSE)=AF169,1,0)</f>
        <v>#N/A</v>
      </c>
      <c r="DS169" s="138" t="e">
        <f>IF(VLOOKUP(CONCATENATE(H169,F169,DS$2),Inglés!$A:$H,7,FALSE)=AG169,1,0)</f>
        <v>#N/A</v>
      </c>
      <c r="DT169" s="138" t="e">
        <f>IF(VLOOKUP(CONCATENATE(H169,F169,DT$2),Inglés!$A:$H,7,FALSE)=AH169,1,0)</f>
        <v>#N/A</v>
      </c>
      <c r="DU169" s="138" t="e">
        <f>IF(VLOOKUP(CONCATENATE(H169,F169,DU$2),Inglés!$A:$H,7,FALSE)=AI169,1,0)</f>
        <v>#N/A</v>
      </c>
      <c r="DV169" s="138" t="e">
        <f>IF(VLOOKUP(CONCATENATE(H169,F169,DV$2),Inglés!$A:$H,7,FALSE)=AJ169,1,0)</f>
        <v>#N/A</v>
      </c>
      <c r="DW169" s="138" t="e">
        <f>IF(VLOOKUP(CONCATENATE(H169,F169,DW$2),Inglés!$A:$H,7,FALSE)=AK169,1,0)</f>
        <v>#N/A</v>
      </c>
      <c r="DX169" s="138" t="e">
        <f>IF(VLOOKUP(CONCATENATE(H169,F169,DX$2),Inglés!$A:$H,7,FALSE)=AL169,1,0)</f>
        <v>#N/A</v>
      </c>
      <c r="DY169" s="138" t="e">
        <f>IF(VLOOKUP(CONCATENATE(H169,F169,DY$2),Inglés!$A:$H,7,FALSE)=AM169,1,0)</f>
        <v>#N/A</v>
      </c>
      <c r="DZ169" s="138" t="e">
        <f>IF(VLOOKUP(CONCATENATE(H169,F169,DZ$2),Inglés!$A:$H,7,FALSE)=AN169,1,0)</f>
        <v>#N/A</v>
      </c>
      <c r="EA169" s="138" t="e">
        <f>IF(VLOOKUP(CONCATENATE(H169,F169,EA$2),Inglés!$A:$H,7,FALSE)=AO169,1,0)</f>
        <v>#N/A</v>
      </c>
      <c r="EB169" s="138" t="e">
        <f>IF(VLOOKUP(CONCATENATE(H169,F169,EB$2),Matemáticas!$A:$H,7,FALSE)=AP169,1,0)</f>
        <v>#N/A</v>
      </c>
      <c r="EC169" s="138" t="e">
        <f>IF(VLOOKUP(CONCATENATE(H169,F169,EC$2),Matemáticas!$A:$H,7,FALSE)=AQ169,1,0)</f>
        <v>#N/A</v>
      </c>
      <c r="ED169" s="138" t="e">
        <f>IF(VLOOKUP(CONCATENATE(H169,F169,ED$2),Matemáticas!$A:$H,7,FALSE)=AR169,1,0)</f>
        <v>#N/A</v>
      </c>
      <c r="EE169" s="138" t="e">
        <f>IF(VLOOKUP(CONCATENATE(H169,F169,EE$2),Matemáticas!$A:$H,7,FALSE)=AS169,1,0)</f>
        <v>#N/A</v>
      </c>
      <c r="EF169" s="138" t="e">
        <f>IF(VLOOKUP(CONCATENATE(H169,F169,EF$2),Matemáticas!$A:$H,7,FALSE)=AT169,1,0)</f>
        <v>#N/A</v>
      </c>
      <c r="EG169" s="138" t="e">
        <f>IF(VLOOKUP(CONCATENATE(H169,F169,EG$2),Matemáticas!$A:$H,7,FALSE)=AU169,1,0)</f>
        <v>#N/A</v>
      </c>
      <c r="EH169" s="138" t="e">
        <f>IF(VLOOKUP(CONCATENATE(H169,F169,EH$2),Matemáticas!$A:$H,7,FALSE)=AV169,1,0)</f>
        <v>#N/A</v>
      </c>
      <c r="EI169" s="138" t="e">
        <f>IF(VLOOKUP(CONCATENATE(H169,F169,EI$2),Matemáticas!$A:$H,7,FALSE)=AW169,1,0)</f>
        <v>#N/A</v>
      </c>
      <c r="EJ169" s="138" t="e">
        <f>IF(VLOOKUP(CONCATENATE(H169,F169,EJ$2),Matemáticas!$A:$H,7,FALSE)=AX169,1,0)</f>
        <v>#N/A</v>
      </c>
      <c r="EK169" s="138" t="e">
        <f>IF(VLOOKUP(CONCATENATE(H169,F169,EK$2),Matemáticas!$A:$H,7,FALSE)=AY169,1,0)</f>
        <v>#N/A</v>
      </c>
      <c r="EL169" s="138" t="e">
        <f>IF(VLOOKUP(CONCATENATE(H169,F169,EL$2),Matemáticas!$A:$H,7,FALSE)=AZ169,1,0)</f>
        <v>#N/A</v>
      </c>
      <c r="EM169" s="138" t="e">
        <f>IF(VLOOKUP(CONCATENATE(H169,F169,EM$2),Matemáticas!$A:$H,7,FALSE)=BA169,1,0)</f>
        <v>#N/A</v>
      </c>
      <c r="EN169" s="138" t="e">
        <f>IF(VLOOKUP(CONCATENATE(H169,F169,EN$2),Matemáticas!$A:$H,7,FALSE)=BB169,1,0)</f>
        <v>#N/A</v>
      </c>
      <c r="EO169" s="138" t="e">
        <f>IF(VLOOKUP(CONCATENATE(H169,F169,EO$2),Matemáticas!$A:$H,7,FALSE)=BC169,1,0)</f>
        <v>#N/A</v>
      </c>
      <c r="EP169" s="138" t="e">
        <f>IF(VLOOKUP(CONCATENATE(H169,F169,EP$2),Matemáticas!$A:$H,7,FALSE)=BD169,1,0)</f>
        <v>#N/A</v>
      </c>
      <c r="EQ169" s="138" t="e">
        <f>IF(VLOOKUP(CONCATENATE(H169,F169,EQ$2),Matemáticas!$A:$H,7,FALSE)=BE169,1,0)</f>
        <v>#N/A</v>
      </c>
      <c r="ER169" s="138" t="e">
        <f>IF(VLOOKUP(CONCATENATE(H169,F169,ER$2),Matemáticas!$A:$H,7,FALSE)=BF169,1,0)</f>
        <v>#N/A</v>
      </c>
      <c r="ES169" s="138" t="e">
        <f>IF(VLOOKUP(CONCATENATE(H169,F169,ES$2),Matemáticas!$A:$H,7,FALSE)=BG169,1,0)</f>
        <v>#N/A</v>
      </c>
      <c r="ET169" s="138" t="e">
        <f>IF(VLOOKUP(CONCATENATE(H169,F169,ET$2),Matemáticas!$A:$H,7,FALSE)=BH169,1,0)</f>
        <v>#N/A</v>
      </c>
      <c r="EU169" s="138" t="e">
        <f>IF(VLOOKUP(CONCATENATE(H169,F169,EU$2),Matemáticas!$A:$H,7,FALSE)=BI169,1,0)</f>
        <v>#N/A</v>
      </c>
      <c r="EV169" s="138" t="e">
        <f>IF(VLOOKUP(CONCATENATE(H169,F169,EV$2),Ciencias!$A:$H,7,FALSE)=BJ169,1,0)</f>
        <v>#N/A</v>
      </c>
      <c r="EW169" s="138" t="e">
        <f>IF(VLOOKUP(CONCATENATE(H169,F169,EW$2),Ciencias!$A:$H,7,FALSE)=BK169,1,0)</f>
        <v>#N/A</v>
      </c>
      <c r="EX169" s="138" t="e">
        <f>IF(VLOOKUP(CONCATENATE(H169,F169,EX$2),Ciencias!$A:$H,7,FALSE)=BL169,1,0)</f>
        <v>#N/A</v>
      </c>
      <c r="EY169" s="138" t="e">
        <f>IF(VLOOKUP(CONCATENATE(H169,F169,EY$2),Ciencias!$A:$H,7,FALSE)=BM169,1,0)</f>
        <v>#N/A</v>
      </c>
      <c r="EZ169" s="138" t="e">
        <f>IF(VLOOKUP(CONCATENATE(H169,F169,EZ$2),Ciencias!$A:$H,7,FALSE)=BN169,1,0)</f>
        <v>#N/A</v>
      </c>
      <c r="FA169" s="138" t="e">
        <f>IF(VLOOKUP(CONCATENATE(H169,F169,FA$2),Ciencias!$A:$H,7,FALSE)=BO169,1,0)</f>
        <v>#N/A</v>
      </c>
      <c r="FB169" s="138" t="e">
        <f>IF(VLOOKUP(CONCATENATE(H169,F169,FB$2),Ciencias!$A:$H,7,FALSE)=BP169,1,0)</f>
        <v>#N/A</v>
      </c>
      <c r="FC169" s="138" t="e">
        <f>IF(VLOOKUP(CONCATENATE(H169,F169,FC$2),Ciencias!$A:$H,7,FALSE)=BQ169,1,0)</f>
        <v>#N/A</v>
      </c>
      <c r="FD169" s="138" t="e">
        <f>IF(VLOOKUP(CONCATENATE(H169,F169,FD$2),Ciencias!$A:$H,7,FALSE)=BR169,1,0)</f>
        <v>#N/A</v>
      </c>
      <c r="FE169" s="138" t="e">
        <f>IF(VLOOKUP(CONCATENATE(H169,F169,FE$2),Ciencias!$A:$H,7,FALSE)=BS169,1,0)</f>
        <v>#N/A</v>
      </c>
      <c r="FF169" s="138" t="e">
        <f>IF(VLOOKUP(CONCATENATE(H169,F169,FF$2),Ciencias!$A:$H,7,FALSE)=BT169,1,0)</f>
        <v>#N/A</v>
      </c>
      <c r="FG169" s="138" t="e">
        <f>IF(VLOOKUP(CONCATENATE(H169,F169,FG$2),Ciencias!$A:$H,7,FALSE)=BU169,1,0)</f>
        <v>#N/A</v>
      </c>
      <c r="FH169" s="138" t="e">
        <f>IF(VLOOKUP(CONCATENATE(H169,F169,FH$2),Ciencias!$A:$H,7,FALSE)=BV169,1,0)</f>
        <v>#N/A</v>
      </c>
      <c r="FI169" s="138" t="e">
        <f>IF(VLOOKUP(CONCATENATE(H169,F169,FI$2),Ciencias!$A:$H,7,FALSE)=BW169,1,0)</f>
        <v>#N/A</v>
      </c>
      <c r="FJ169" s="138" t="e">
        <f>IF(VLOOKUP(CONCATENATE(H169,F169,FJ$2),Ciencias!$A:$H,7,FALSE)=BX169,1,0)</f>
        <v>#N/A</v>
      </c>
      <c r="FK169" s="138" t="e">
        <f>IF(VLOOKUP(CONCATENATE(H169,F169,FK$2),Ciencias!$A:$H,7,FALSE)=BY169,1,0)</f>
        <v>#N/A</v>
      </c>
      <c r="FL169" s="138" t="e">
        <f>IF(VLOOKUP(CONCATENATE(H169,F169,FL$2),Ciencias!$A:$H,7,FALSE)=BZ169,1,0)</f>
        <v>#N/A</v>
      </c>
      <c r="FM169" s="138" t="e">
        <f>IF(VLOOKUP(CONCATENATE(H169,F169,FM$2),Ciencias!$A:$H,7,FALSE)=CA169,1,0)</f>
        <v>#N/A</v>
      </c>
      <c r="FN169" s="138" t="e">
        <f>IF(VLOOKUP(CONCATENATE(H169,F169,FN$2),Ciencias!$A:$H,7,FALSE)=CB169,1,0)</f>
        <v>#N/A</v>
      </c>
      <c r="FO169" s="138" t="e">
        <f>IF(VLOOKUP(CONCATENATE(H169,F169,FO$2),Ciencias!$A:$H,7,FALSE)=CC169,1,0)</f>
        <v>#N/A</v>
      </c>
      <c r="FP169" s="138" t="e">
        <f>IF(VLOOKUP(CONCATENATE(H169,F169,FP$2),GeoHis!$A:$H,7,FALSE)=CD169,1,0)</f>
        <v>#N/A</v>
      </c>
      <c r="FQ169" s="138" t="e">
        <f>IF(VLOOKUP(CONCATENATE(H169,F169,FQ$2),GeoHis!$A:$H,7,FALSE)=CE169,1,0)</f>
        <v>#N/A</v>
      </c>
      <c r="FR169" s="138" t="e">
        <f>IF(VLOOKUP(CONCATENATE(H169,F169,FR$2),GeoHis!$A:$H,7,FALSE)=CF169,1,0)</f>
        <v>#N/A</v>
      </c>
      <c r="FS169" s="138" t="e">
        <f>IF(VLOOKUP(CONCATENATE(H169,F169,FS$2),GeoHis!$A:$H,7,FALSE)=CG169,1,0)</f>
        <v>#N/A</v>
      </c>
      <c r="FT169" s="138" t="e">
        <f>IF(VLOOKUP(CONCATENATE(H169,F169,FT$2),GeoHis!$A:$H,7,FALSE)=CH169,1,0)</f>
        <v>#N/A</v>
      </c>
      <c r="FU169" s="138" t="e">
        <f>IF(VLOOKUP(CONCATENATE(H169,F169,FU$2),GeoHis!$A:$H,7,FALSE)=CI169,1,0)</f>
        <v>#N/A</v>
      </c>
      <c r="FV169" s="138" t="e">
        <f>IF(VLOOKUP(CONCATENATE(H169,F169,FV$2),GeoHis!$A:$H,7,FALSE)=CJ169,1,0)</f>
        <v>#N/A</v>
      </c>
      <c r="FW169" s="138" t="e">
        <f>IF(VLOOKUP(CONCATENATE(H169,F169,FW$2),GeoHis!$A:$H,7,FALSE)=CK169,1,0)</f>
        <v>#N/A</v>
      </c>
      <c r="FX169" s="138" t="e">
        <f>IF(VLOOKUP(CONCATENATE(H169,F169,FX$2),GeoHis!$A:$H,7,FALSE)=CL169,1,0)</f>
        <v>#N/A</v>
      </c>
      <c r="FY169" s="138" t="e">
        <f>IF(VLOOKUP(CONCATENATE(H169,F169,FY$2),GeoHis!$A:$H,7,FALSE)=CM169,1,0)</f>
        <v>#N/A</v>
      </c>
      <c r="FZ169" s="138" t="e">
        <f>IF(VLOOKUP(CONCATENATE(H169,F169,FZ$2),GeoHis!$A:$H,7,FALSE)=CN169,1,0)</f>
        <v>#N/A</v>
      </c>
      <c r="GA169" s="138" t="e">
        <f>IF(VLOOKUP(CONCATENATE(H169,F169,GA$2),GeoHis!$A:$H,7,FALSE)=CO169,1,0)</f>
        <v>#N/A</v>
      </c>
      <c r="GB169" s="138" t="e">
        <f>IF(VLOOKUP(CONCATENATE(H169,F169,GB$2),GeoHis!$A:$H,7,FALSE)=CP169,1,0)</f>
        <v>#N/A</v>
      </c>
      <c r="GC169" s="138" t="e">
        <f>IF(VLOOKUP(CONCATENATE(H169,F169,GC$2),GeoHis!$A:$H,7,FALSE)=CQ169,1,0)</f>
        <v>#N/A</v>
      </c>
      <c r="GD169" s="138" t="e">
        <f>IF(VLOOKUP(CONCATENATE(H169,F169,GD$2),GeoHis!$A:$H,7,FALSE)=CR169,1,0)</f>
        <v>#N/A</v>
      </c>
      <c r="GE169" s="135" t="str">
        <f t="shared" si="23"/>
        <v/>
      </c>
    </row>
    <row r="170" spans="1:187" x14ac:dyDescent="0.25">
      <c r="A170" s="127" t="str">
        <f>IF(C170="","",'Datos Generales'!$A$25)</f>
        <v/>
      </c>
      <c r="D170" s="126" t="str">
        <f t="shared" si="16"/>
        <v/>
      </c>
      <c r="E170" s="126">
        <f t="shared" si="17"/>
        <v>0</v>
      </c>
      <c r="F170" s="126" t="str">
        <f t="shared" si="18"/>
        <v/>
      </c>
      <c r="G170" s="126" t="str">
        <f>IF(C170="","",'Datos Generales'!$D$19)</f>
        <v/>
      </c>
      <c r="H170" s="21" t="str">
        <f>IF(C170="","",'Datos Generales'!$A$19)</f>
        <v/>
      </c>
      <c r="I170" s="126" t="str">
        <f>IF(C170="","",'Datos Generales'!$A$7)</f>
        <v/>
      </c>
      <c r="J170" s="21" t="str">
        <f>IF(C170="","",'Datos Generales'!$A$13)</f>
        <v/>
      </c>
      <c r="K170" s="21" t="str">
        <f>IF(C170="","",'Datos Generales'!$A$10)</f>
        <v/>
      </c>
      <c r="CS170" s="142" t="str">
        <f t="shared" si="19"/>
        <v/>
      </c>
      <c r="CT170" s="142" t="str">
        <f t="shared" si="20"/>
        <v/>
      </c>
      <c r="CU170" s="142" t="str">
        <f t="shared" si="21"/>
        <v/>
      </c>
      <c r="CV170" s="142" t="str">
        <f t="shared" si="22"/>
        <v/>
      </c>
      <c r="CW170" s="142" t="str">
        <f>IF(C170="","",IF('Datos Generales'!$A$19=1,AVERAGE(FP170:GD170),AVERAGE(Captura!FP170:FY170)))</f>
        <v/>
      </c>
      <c r="CX170" s="138" t="e">
        <f>IF(VLOOKUP(CONCATENATE($H$4,$F$4,CX$2),Español!$A:$H,7,FALSE)=L170,1,0)</f>
        <v>#N/A</v>
      </c>
      <c r="CY170" s="138" t="e">
        <f>IF(VLOOKUP(CONCATENATE(H170,F170,CY$2),Español!$A:$H,7,FALSE)=M170,1,0)</f>
        <v>#N/A</v>
      </c>
      <c r="CZ170" s="138" t="e">
        <f>IF(VLOOKUP(CONCATENATE(H170,F170,CZ$2),Español!$A:$H,7,FALSE)=N170,1,0)</f>
        <v>#N/A</v>
      </c>
      <c r="DA170" s="138" t="e">
        <f>IF(VLOOKUP(CONCATENATE(H170,F170,DA$2),Español!$A:$H,7,FALSE)=O170,1,0)</f>
        <v>#N/A</v>
      </c>
      <c r="DB170" s="138" t="e">
        <f>IF(VLOOKUP(CONCATENATE(H170,F170,DB$2),Español!$A:$H,7,FALSE)=P170,1,0)</f>
        <v>#N/A</v>
      </c>
      <c r="DC170" s="138" t="e">
        <f>IF(VLOOKUP(CONCATENATE(H170,F170,DC$2),Español!$A:$H,7,FALSE)=Q170,1,0)</f>
        <v>#N/A</v>
      </c>
      <c r="DD170" s="138" t="e">
        <f>IF(VLOOKUP(CONCATENATE(H170,F170,DD$2),Español!$A:$H,7,FALSE)=R170,1,0)</f>
        <v>#N/A</v>
      </c>
      <c r="DE170" s="138" t="e">
        <f>IF(VLOOKUP(CONCATENATE(H170,F170,DE$2),Español!$A:$H,7,FALSE)=S170,1,0)</f>
        <v>#N/A</v>
      </c>
      <c r="DF170" s="138" t="e">
        <f>IF(VLOOKUP(CONCATENATE(H170,F170,DF$2),Español!$A:$H,7,FALSE)=T170,1,0)</f>
        <v>#N/A</v>
      </c>
      <c r="DG170" s="138" t="e">
        <f>IF(VLOOKUP(CONCATENATE(H170,F170,DG$2),Español!$A:$H,7,FALSE)=U170,1,0)</f>
        <v>#N/A</v>
      </c>
      <c r="DH170" s="138" t="e">
        <f>IF(VLOOKUP(CONCATENATE(H170,F170,DH$2),Español!$A:$H,7,FALSE)=V170,1,0)</f>
        <v>#N/A</v>
      </c>
      <c r="DI170" s="138" t="e">
        <f>IF(VLOOKUP(CONCATENATE(H170,F170,DI$2),Español!$A:$H,7,FALSE)=W170,1,0)</f>
        <v>#N/A</v>
      </c>
      <c r="DJ170" s="138" t="e">
        <f>IF(VLOOKUP(CONCATENATE(H170,F170,DJ$2),Español!$A:$H,7,FALSE)=X170,1,0)</f>
        <v>#N/A</v>
      </c>
      <c r="DK170" s="138" t="e">
        <f>IF(VLOOKUP(CONCATENATE(H170,F170,DK$2),Español!$A:$H,7,FALSE)=Y170,1,0)</f>
        <v>#N/A</v>
      </c>
      <c r="DL170" s="138" t="e">
        <f>IF(VLOOKUP(CONCATENATE(H170,F170,DL$2),Español!$A:$H,7,FALSE)=Z170,1,0)</f>
        <v>#N/A</v>
      </c>
      <c r="DM170" s="138" t="e">
        <f>IF(VLOOKUP(CONCATENATE(H170,F170,DM$2),Español!$A:$H,7,FALSE)=AA170,1,0)</f>
        <v>#N/A</v>
      </c>
      <c r="DN170" s="138" t="e">
        <f>IF(VLOOKUP(CONCATENATE(H170,F170,DN$2),Español!$A:$H,7,FALSE)=AB170,1,0)</f>
        <v>#N/A</v>
      </c>
      <c r="DO170" s="138" t="e">
        <f>IF(VLOOKUP(CONCATENATE(H170,F170,DO$2),Español!$A:$H,7,FALSE)=AC170,1,0)</f>
        <v>#N/A</v>
      </c>
      <c r="DP170" s="138" t="e">
        <f>IF(VLOOKUP(CONCATENATE(H170,F170,DP$2),Español!$A:$H,7,FALSE)=AD170,1,0)</f>
        <v>#N/A</v>
      </c>
      <c r="DQ170" s="138" t="e">
        <f>IF(VLOOKUP(CONCATENATE(H170,F170,DQ$2),Español!$A:$H,7,FALSE)=AE170,1,0)</f>
        <v>#N/A</v>
      </c>
      <c r="DR170" s="138" t="e">
        <f>IF(VLOOKUP(CONCATENATE(H170,F170,DR$2),Inglés!$A:$H,7,FALSE)=AF170,1,0)</f>
        <v>#N/A</v>
      </c>
      <c r="DS170" s="138" t="e">
        <f>IF(VLOOKUP(CONCATENATE(H170,F170,DS$2),Inglés!$A:$H,7,FALSE)=AG170,1,0)</f>
        <v>#N/A</v>
      </c>
      <c r="DT170" s="138" t="e">
        <f>IF(VLOOKUP(CONCATENATE(H170,F170,DT$2),Inglés!$A:$H,7,FALSE)=AH170,1,0)</f>
        <v>#N/A</v>
      </c>
      <c r="DU170" s="138" t="e">
        <f>IF(VLOOKUP(CONCATENATE(H170,F170,DU$2),Inglés!$A:$H,7,FALSE)=AI170,1,0)</f>
        <v>#N/A</v>
      </c>
      <c r="DV170" s="138" t="e">
        <f>IF(VLOOKUP(CONCATENATE(H170,F170,DV$2),Inglés!$A:$H,7,FALSE)=AJ170,1,0)</f>
        <v>#N/A</v>
      </c>
      <c r="DW170" s="138" t="e">
        <f>IF(VLOOKUP(CONCATENATE(H170,F170,DW$2),Inglés!$A:$H,7,FALSE)=AK170,1,0)</f>
        <v>#N/A</v>
      </c>
      <c r="DX170" s="138" t="e">
        <f>IF(VLOOKUP(CONCATENATE(H170,F170,DX$2),Inglés!$A:$H,7,FALSE)=AL170,1,0)</f>
        <v>#N/A</v>
      </c>
      <c r="DY170" s="138" t="e">
        <f>IF(VLOOKUP(CONCATENATE(H170,F170,DY$2),Inglés!$A:$H,7,FALSE)=AM170,1,0)</f>
        <v>#N/A</v>
      </c>
      <c r="DZ170" s="138" t="e">
        <f>IF(VLOOKUP(CONCATENATE(H170,F170,DZ$2),Inglés!$A:$H,7,FALSE)=AN170,1,0)</f>
        <v>#N/A</v>
      </c>
      <c r="EA170" s="138" t="e">
        <f>IF(VLOOKUP(CONCATENATE(H170,F170,EA$2),Inglés!$A:$H,7,FALSE)=AO170,1,0)</f>
        <v>#N/A</v>
      </c>
      <c r="EB170" s="138" t="e">
        <f>IF(VLOOKUP(CONCATENATE(H170,F170,EB$2),Matemáticas!$A:$H,7,FALSE)=AP170,1,0)</f>
        <v>#N/A</v>
      </c>
      <c r="EC170" s="138" t="e">
        <f>IF(VLOOKUP(CONCATENATE(H170,F170,EC$2),Matemáticas!$A:$H,7,FALSE)=AQ170,1,0)</f>
        <v>#N/A</v>
      </c>
      <c r="ED170" s="138" t="e">
        <f>IF(VLOOKUP(CONCATENATE(H170,F170,ED$2),Matemáticas!$A:$H,7,FALSE)=AR170,1,0)</f>
        <v>#N/A</v>
      </c>
      <c r="EE170" s="138" t="e">
        <f>IF(VLOOKUP(CONCATENATE(H170,F170,EE$2),Matemáticas!$A:$H,7,FALSE)=AS170,1,0)</f>
        <v>#N/A</v>
      </c>
      <c r="EF170" s="138" t="e">
        <f>IF(VLOOKUP(CONCATENATE(H170,F170,EF$2),Matemáticas!$A:$H,7,FALSE)=AT170,1,0)</f>
        <v>#N/A</v>
      </c>
      <c r="EG170" s="138" t="e">
        <f>IF(VLOOKUP(CONCATENATE(H170,F170,EG$2),Matemáticas!$A:$H,7,FALSE)=AU170,1,0)</f>
        <v>#N/A</v>
      </c>
      <c r="EH170" s="138" t="e">
        <f>IF(VLOOKUP(CONCATENATE(H170,F170,EH$2),Matemáticas!$A:$H,7,FALSE)=AV170,1,0)</f>
        <v>#N/A</v>
      </c>
      <c r="EI170" s="138" t="e">
        <f>IF(VLOOKUP(CONCATENATE(H170,F170,EI$2),Matemáticas!$A:$H,7,FALSE)=AW170,1,0)</f>
        <v>#N/A</v>
      </c>
      <c r="EJ170" s="138" t="e">
        <f>IF(VLOOKUP(CONCATENATE(H170,F170,EJ$2),Matemáticas!$A:$H,7,FALSE)=AX170,1,0)</f>
        <v>#N/A</v>
      </c>
      <c r="EK170" s="138" t="e">
        <f>IF(VLOOKUP(CONCATENATE(H170,F170,EK$2),Matemáticas!$A:$H,7,FALSE)=AY170,1,0)</f>
        <v>#N/A</v>
      </c>
      <c r="EL170" s="138" t="e">
        <f>IF(VLOOKUP(CONCATENATE(H170,F170,EL$2),Matemáticas!$A:$H,7,FALSE)=AZ170,1,0)</f>
        <v>#N/A</v>
      </c>
      <c r="EM170" s="138" t="e">
        <f>IF(VLOOKUP(CONCATENATE(H170,F170,EM$2),Matemáticas!$A:$H,7,FALSE)=BA170,1,0)</f>
        <v>#N/A</v>
      </c>
      <c r="EN170" s="138" t="e">
        <f>IF(VLOOKUP(CONCATENATE(H170,F170,EN$2),Matemáticas!$A:$H,7,FALSE)=BB170,1,0)</f>
        <v>#N/A</v>
      </c>
      <c r="EO170" s="138" t="e">
        <f>IF(VLOOKUP(CONCATENATE(H170,F170,EO$2),Matemáticas!$A:$H,7,FALSE)=BC170,1,0)</f>
        <v>#N/A</v>
      </c>
      <c r="EP170" s="138" t="e">
        <f>IF(VLOOKUP(CONCATENATE(H170,F170,EP$2),Matemáticas!$A:$H,7,FALSE)=BD170,1,0)</f>
        <v>#N/A</v>
      </c>
      <c r="EQ170" s="138" t="e">
        <f>IF(VLOOKUP(CONCATENATE(H170,F170,EQ$2),Matemáticas!$A:$H,7,FALSE)=BE170,1,0)</f>
        <v>#N/A</v>
      </c>
      <c r="ER170" s="138" t="e">
        <f>IF(VLOOKUP(CONCATENATE(H170,F170,ER$2),Matemáticas!$A:$H,7,FALSE)=BF170,1,0)</f>
        <v>#N/A</v>
      </c>
      <c r="ES170" s="138" t="e">
        <f>IF(VLOOKUP(CONCATENATE(H170,F170,ES$2),Matemáticas!$A:$H,7,FALSE)=BG170,1,0)</f>
        <v>#N/A</v>
      </c>
      <c r="ET170" s="138" t="e">
        <f>IF(VLOOKUP(CONCATENATE(H170,F170,ET$2),Matemáticas!$A:$H,7,FALSE)=BH170,1,0)</f>
        <v>#N/A</v>
      </c>
      <c r="EU170" s="138" t="e">
        <f>IF(VLOOKUP(CONCATENATE(H170,F170,EU$2),Matemáticas!$A:$H,7,FALSE)=BI170,1,0)</f>
        <v>#N/A</v>
      </c>
      <c r="EV170" s="138" t="e">
        <f>IF(VLOOKUP(CONCATENATE(H170,F170,EV$2),Ciencias!$A:$H,7,FALSE)=BJ170,1,0)</f>
        <v>#N/A</v>
      </c>
      <c r="EW170" s="138" t="e">
        <f>IF(VLOOKUP(CONCATENATE(H170,F170,EW$2),Ciencias!$A:$H,7,FALSE)=BK170,1,0)</f>
        <v>#N/A</v>
      </c>
      <c r="EX170" s="138" t="e">
        <f>IF(VLOOKUP(CONCATENATE(H170,F170,EX$2),Ciencias!$A:$H,7,FALSE)=BL170,1,0)</f>
        <v>#N/A</v>
      </c>
      <c r="EY170" s="138" t="e">
        <f>IF(VLOOKUP(CONCATENATE(H170,F170,EY$2),Ciencias!$A:$H,7,FALSE)=BM170,1,0)</f>
        <v>#N/A</v>
      </c>
      <c r="EZ170" s="138" t="e">
        <f>IF(VLOOKUP(CONCATENATE(H170,F170,EZ$2),Ciencias!$A:$H,7,FALSE)=BN170,1,0)</f>
        <v>#N/A</v>
      </c>
      <c r="FA170" s="138" t="e">
        <f>IF(VLOOKUP(CONCATENATE(H170,F170,FA$2),Ciencias!$A:$H,7,FALSE)=BO170,1,0)</f>
        <v>#N/A</v>
      </c>
      <c r="FB170" s="138" t="e">
        <f>IF(VLOOKUP(CONCATENATE(H170,F170,FB$2),Ciencias!$A:$H,7,FALSE)=BP170,1,0)</f>
        <v>#N/A</v>
      </c>
      <c r="FC170" s="138" t="e">
        <f>IF(VLOOKUP(CONCATENATE(H170,F170,FC$2),Ciencias!$A:$H,7,FALSE)=BQ170,1,0)</f>
        <v>#N/A</v>
      </c>
      <c r="FD170" s="138" t="e">
        <f>IF(VLOOKUP(CONCATENATE(H170,F170,FD$2),Ciencias!$A:$H,7,FALSE)=BR170,1,0)</f>
        <v>#N/A</v>
      </c>
      <c r="FE170" s="138" t="e">
        <f>IF(VLOOKUP(CONCATENATE(H170,F170,FE$2),Ciencias!$A:$H,7,FALSE)=BS170,1,0)</f>
        <v>#N/A</v>
      </c>
      <c r="FF170" s="138" t="e">
        <f>IF(VLOOKUP(CONCATENATE(H170,F170,FF$2),Ciencias!$A:$H,7,FALSE)=BT170,1,0)</f>
        <v>#N/A</v>
      </c>
      <c r="FG170" s="138" t="e">
        <f>IF(VLOOKUP(CONCATENATE(H170,F170,FG$2),Ciencias!$A:$H,7,FALSE)=BU170,1,0)</f>
        <v>#N/A</v>
      </c>
      <c r="FH170" s="138" t="e">
        <f>IF(VLOOKUP(CONCATENATE(H170,F170,FH$2),Ciencias!$A:$H,7,FALSE)=BV170,1,0)</f>
        <v>#N/A</v>
      </c>
      <c r="FI170" s="138" t="e">
        <f>IF(VLOOKUP(CONCATENATE(H170,F170,FI$2),Ciencias!$A:$H,7,FALSE)=BW170,1,0)</f>
        <v>#N/A</v>
      </c>
      <c r="FJ170" s="138" t="e">
        <f>IF(VLOOKUP(CONCATENATE(H170,F170,FJ$2),Ciencias!$A:$H,7,FALSE)=BX170,1,0)</f>
        <v>#N/A</v>
      </c>
      <c r="FK170" s="138" t="e">
        <f>IF(VLOOKUP(CONCATENATE(H170,F170,FK$2),Ciencias!$A:$H,7,FALSE)=BY170,1,0)</f>
        <v>#N/A</v>
      </c>
      <c r="FL170" s="138" t="e">
        <f>IF(VLOOKUP(CONCATENATE(H170,F170,FL$2),Ciencias!$A:$H,7,FALSE)=BZ170,1,0)</f>
        <v>#N/A</v>
      </c>
      <c r="FM170" s="138" t="e">
        <f>IF(VLOOKUP(CONCATENATE(H170,F170,FM$2),Ciencias!$A:$H,7,FALSE)=CA170,1,0)</f>
        <v>#N/A</v>
      </c>
      <c r="FN170" s="138" t="e">
        <f>IF(VLOOKUP(CONCATENATE(H170,F170,FN$2),Ciencias!$A:$H,7,FALSE)=CB170,1,0)</f>
        <v>#N/A</v>
      </c>
      <c r="FO170" s="138" t="e">
        <f>IF(VLOOKUP(CONCATENATE(H170,F170,FO$2),Ciencias!$A:$H,7,FALSE)=CC170,1,0)</f>
        <v>#N/A</v>
      </c>
      <c r="FP170" s="138" t="e">
        <f>IF(VLOOKUP(CONCATENATE(H170,F170,FP$2),GeoHis!$A:$H,7,FALSE)=CD170,1,0)</f>
        <v>#N/A</v>
      </c>
      <c r="FQ170" s="138" t="e">
        <f>IF(VLOOKUP(CONCATENATE(H170,F170,FQ$2),GeoHis!$A:$H,7,FALSE)=CE170,1,0)</f>
        <v>#N/A</v>
      </c>
      <c r="FR170" s="138" t="e">
        <f>IF(VLOOKUP(CONCATENATE(H170,F170,FR$2),GeoHis!$A:$H,7,FALSE)=CF170,1,0)</f>
        <v>#N/A</v>
      </c>
      <c r="FS170" s="138" t="e">
        <f>IF(VLOOKUP(CONCATENATE(H170,F170,FS$2),GeoHis!$A:$H,7,FALSE)=CG170,1,0)</f>
        <v>#N/A</v>
      </c>
      <c r="FT170" s="138" t="e">
        <f>IF(VLOOKUP(CONCATENATE(H170,F170,FT$2),GeoHis!$A:$H,7,FALSE)=CH170,1,0)</f>
        <v>#N/A</v>
      </c>
      <c r="FU170" s="138" t="e">
        <f>IF(VLOOKUP(CONCATENATE(H170,F170,FU$2),GeoHis!$A:$H,7,FALSE)=CI170,1,0)</f>
        <v>#N/A</v>
      </c>
      <c r="FV170" s="138" t="e">
        <f>IF(VLOOKUP(CONCATENATE(H170,F170,FV$2),GeoHis!$A:$H,7,FALSE)=CJ170,1,0)</f>
        <v>#N/A</v>
      </c>
      <c r="FW170" s="138" t="e">
        <f>IF(VLOOKUP(CONCATENATE(H170,F170,FW$2),GeoHis!$A:$H,7,FALSE)=CK170,1,0)</f>
        <v>#N/A</v>
      </c>
      <c r="FX170" s="138" t="e">
        <f>IF(VLOOKUP(CONCATENATE(H170,F170,FX$2),GeoHis!$A:$H,7,FALSE)=CL170,1,0)</f>
        <v>#N/A</v>
      </c>
      <c r="FY170" s="138" t="e">
        <f>IF(VLOOKUP(CONCATENATE(H170,F170,FY$2),GeoHis!$A:$H,7,FALSE)=CM170,1,0)</f>
        <v>#N/A</v>
      </c>
      <c r="FZ170" s="138" t="e">
        <f>IF(VLOOKUP(CONCATENATE(H170,F170,FZ$2),GeoHis!$A:$H,7,FALSE)=CN170,1,0)</f>
        <v>#N/A</v>
      </c>
      <c r="GA170" s="138" t="e">
        <f>IF(VLOOKUP(CONCATENATE(H170,F170,GA$2),GeoHis!$A:$H,7,FALSE)=CO170,1,0)</f>
        <v>#N/A</v>
      </c>
      <c r="GB170" s="138" t="e">
        <f>IF(VLOOKUP(CONCATENATE(H170,F170,GB$2),GeoHis!$A:$H,7,FALSE)=CP170,1,0)</f>
        <v>#N/A</v>
      </c>
      <c r="GC170" s="138" t="e">
        <f>IF(VLOOKUP(CONCATENATE(H170,F170,GC$2),GeoHis!$A:$H,7,FALSE)=CQ170,1,0)</f>
        <v>#N/A</v>
      </c>
      <c r="GD170" s="138" t="e">
        <f>IF(VLOOKUP(CONCATENATE(H170,F170,GD$2),GeoHis!$A:$H,7,FALSE)=CR170,1,0)</f>
        <v>#N/A</v>
      </c>
      <c r="GE170" s="135" t="str">
        <f t="shared" si="23"/>
        <v/>
      </c>
    </row>
    <row r="171" spans="1:187" x14ac:dyDescent="0.25">
      <c r="A171" s="127" t="str">
        <f>IF(C171="","",'Datos Generales'!$A$25)</f>
        <v/>
      </c>
      <c r="D171" s="126" t="str">
        <f t="shared" si="16"/>
        <v/>
      </c>
      <c r="E171" s="126">
        <f t="shared" si="17"/>
        <v>0</v>
      </c>
      <c r="F171" s="126" t="str">
        <f t="shared" si="18"/>
        <v/>
      </c>
      <c r="G171" s="126" t="str">
        <f>IF(C171="","",'Datos Generales'!$D$19)</f>
        <v/>
      </c>
      <c r="H171" s="21" t="str">
        <f>IF(C171="","",'Datos Generales'!$A$19)</f>
        <v/>
      </c>
      <c r="I171" s="126" t="str">
        <f>IF(C171="","",'Datos Generales'!$A$7)</f>
        <v/>
      </c>
      <c r="J171" s="21" t="str">
        <f>IF(C171="","",'Datos Generales'!$A$13)</f>
        <v/>
      </c>
      <c r="K171" s="21" t="str">
        <f>IF(C171="","",'Datos Generales'!$A$10)</f>
        <v/>
      </c>
      <c r="CS171" s="142" t="str">
        <f t="shared" si="19"/>
        <v/>
      </c>
      <c r="CT171" s="142" t="str">
        <f t="shared" si="20"/>
        <v/>
      </c>
      <c r="CU171" s="142" t="str">
        <f t="shared" si="21"/>
        <v/>
      </c>
      <c r="CV171" s="142" t="str">
        <f t="shared" si="22"/>
        <v/>
      </c>
      <c r="CW171" s="142" t="str">
        <f>IF(C171="","",IF('Datos Generales'!$A$19=1,AVERAGE(FP171:GD171),AVERAGE(Captura!FP171:FY171)))</f>
        <v/>
      </c>
      <c r="CX171" s="138" t="e">
        <f>IF(VLOOKUP(CONCATENATE($H$4,$F$4,CX$2),Español!$A:$H,7,FALSE)=L171,1,0)</f>
        <v>#N/A</v>
      </c>
      <c r="CY171" s="138" t="e">
        <f>IF(VLOOKUP(CONCATENATE(H171,F171,CY$2),Español!$A:$H,7,FALSE)=M171,1,0)</f>
        <v>#N/A</v>
      </c>
      <c r="CZ171" s="138" t="e">
        <f>IF(VLOOKUP(CONCATENATE(H171,F171,CZ$2),Español!$A:$H,7,FALSE)=N171,1,0)</f>
        <v>#N/A</v>
      </c>
      <c r="DA171" s="138" t="e">
        <f>IF(VLOOKUP(CONCATENATE(H171,F171,DA$2),Español!$A:$H,7,FALSE)=O171,1,0)</f>
        <v>#N/A</v>
      </c>
      <c r="DB171" s="138" t="e">
        <f>IF(VLOOKUP(CONCATENATE(H171,F171,DB$2),Español!$A:$H,7,FALSE)=P171,1,0)</f>
        <v>#N/A</v>
      </c>
      <c r="DC171" s="138" t="e">
        <f>IF(VLOOKUP(CONCATENATE(H171,F171,DC$2),Español!$A:$H,7,FALSE)=Q171,1,0)</f>
        <v>#N/A</v>
      </c>
      <c r="DD171" s="138" t="e">
        <f>IF(VLOOKUP(CONCATENATE(H171,F171,DD$2),Español!$A:$H,7,FALSE)=R171,1,0)</f>
        <v>#N/A</v>
      </c>
      <c r="DE171" s="138" t="e">
        <f>IF(VLOOKUP(CONCATENATE(H171,F171,DE$2),Español!$A:$H,7,FALSE)=S171,1,0)</f>
        <v>#N/A</v>
      </c>
      <c r="DF171" s="138" t="e">
        <f>IF(VLOOKUP(CONCATENATE(H171,F171,DF$2),Español!$A:$H,7,FALSE)=T171,1,0)</f>
        <v>#N/A</v>
      </c>
      <c r="DG171" s="138" t="e">
        <f>IF(VLOOKUP(CONCATENATE(H171,F171,DG$2),Español!$A:$H,7,FALSE)=U171,1,0)</f>
        <v>#N/A</v>
      </c>
      <c r="DH171" s="138" t="e">
        <f>IF(VLOOKUP(CONCATENATE(H171,F171,DH$2),Español!$A:$H,7,FALSE)=V171,1,0)</f>
        <v>#N/A</v>
      </c>
      <c r="DI171" s="138" t="e">
        <f>IF(VLOOKUP(CONCATENATE(H171,F171,DI$2),Español!$A:$H,7,FALSE)=W171,1,0)</f>
        <v>#N/A</v>
      </c>
      <c r="DJ171" s="138" t="e">
        <f>IF(VLOOKUP(CONCATENATE(H171,F171,DJ$2),Español!$A:$H,7,FALSE)=X171,1,0)</f>
        <v>#N/A</v>
      </c>
      <c r="DK171" s="138" t="e">
        <f>IF(VLOOKUP(CONCATENATE(H171,F171,DK$2),Español!$A:$H,7,FALSE)=Y171,1,0)</f>
        <v>#N/A</v>
      </c>
      <c r="DL171" s="138" t="e">
        <f>IF(VLOOKUP(CONCATENATE(H171,F171,DL$2),Español!$A:$H,7,FALSE)=Z171,1,0)</f>
        <v>#N/A</v>
      </c>
      <c r="DM171" s="138" t="e">
        <f>IF(VLOOKUP(CONCATENATE(H171,F171,DM$2),Español!$A:$H,7,FALSE)=AA171,1,0)</f>
        <v>#N/A</v>
      </c>
      <c r="DN171" s="138" t="e">
        <f>IF(VLOOKUP(CONCATENATE(H171,F171,DN$2),Español!$A:$H,7,FALSE)=AB171,1,0)</f>
        <v>#N/A</v>
      </c>
      <c r="DO171" s="138" t="e">
        <f>IF(VLOOKUP(CONCATENATE(H171,F171,DO$2),Español!$A:$H,7,FALSE)=AC171,1,0)</f>
        <v>#N/A</v>
      </c>
      <c r="DP171" s="138" t="e">
        <f>IF(VLOOKUP(CONCATENATE(H171,F171,DP$2),Español!$A:$H,7,FALSE)=AD171,1,0)</f>
        <v>#N/A</v>
      </c>
      <c r="DQ171" s="138" t="e">
        <f>IF(VLOOKUP(CONCATENATE(H171,F171,DQ$2),Español!$A:$H,7,FALSE)=AE171,1,0)</f>
        <v>#N/A</v>
      </c>
      <c r="DR171" s="138" t="e">
        <f>IF(VLOOKUP(CONCATENATE(H171,F171,DR$2),Inglés!$A:$H,7,FALSE)=AF171,1,0)</f>
        <v>#N/A</v>
      </c>
      <c r="DS171" s="138" t="e">
        <f>IF(VLOOKUP(CONCATENATE(H171,F171,DS$2),Inglés!$A:$H,7,FALSE)=AG171,1,0)</f>
        <v>#N/A</v>
      </c>
      <c r="DT171" s="138" t="e">
        <f>IF(VLOOKUP(CONCATENATE(H171,F171,DT$2),Inglés!$A:$H,7,FALSE)=AH171,1,0)</f>
        <v>#N/A</v>
      </c>
      <c r="DU171" s="138" t="e">
        <f>IF(VLOOKUP(CONCATENATE(H171,F171,DU$2),Inglés!$A:$H,7,FALSE)=AI171,1,0)</f>
        <v>#N/A</v>
      </c>
      <c r="DV171" s="138" t="e">
        <f>IF(VLOOKUP(CONCATENATE(H171,F171,DV$2),Inglés!$A:$H,7,FALSE)=AJ171,1,0)</f>
        <v>#N/A</v>
      </c>
      <c r="DW171" s="138" t="e">
        <f>IF(VLOOKUP(CONCATENATE(H171,F171,DW$2),Inglés!$A:$H,7,FALSE)=AK171,1,0)</f>
        <v>#N/A</v>
      </c>
      <c r="DX171" s="138" t="e">
        <f>IF(VLOOKUP(CONCATENATE(H171,F171,DX$2),Inglés!$A:$H,7,FALSE)=AL171,1,0)</f>
        <v>#N/A</v>
      </c>
      <c r="DY171" s="138" t="e">
        <f>IF(VLOOKUP(CONCATENATE(H171,F171,DY$2),Inglés!$A:$H,7,FALSE)=AM171,1,0)</f>
        <v>#N/A</v>
      </c>
      <c r="DZ171" s="138" t="e">
        <f>IF(VLOOKUP(CONCATENATE(H171,F171,DZ$2),Inglés!$A:$H,7,FALSE)=AN171,1,0)</f>
        <v>#N/A</v>
      </c>
      <c r="EA171" s="138" t="e">
        <f>IF(VLOOKUP(CONCATENATE(H171,F171,EA$2),Inglés!$A:$H,7,FALSE)=AO171,1,0)</f>
        <v>#N/A</v>
      </c>
      <c r="EB171" s="138" t="e">
        <f>IF(VLOOKUP(CONCATENATE(H171,F171,EB$2),Matemáticas!$A:$H,7,FALSE)=AP171,1,0)</f>
        <v>#N/A</v>
      </c>
      <c r="EC171" s="138" t="e">
        <f>IF(VLOOKUP(CONCATENATE(H171,F171,EC$2),Matemáticas!$A:$H,7,FALSE)=AQ171,1,0)</f>
        <v>#N/A</v>
      </c>
      <c r="ED171" s="138" t="e">
        <f>IF(VLOOKUP(CONCATENATE(H171,F171,ED$2),Matemáticas!$A:$H,7,FALSE)=AR171,1,0)</f>
        <v>#N/A</v>
      </c>
      <c r="EE171" s="138" t="e">
        <f>IF(VLOOKUP(CONCATENATE(H171,F171,EE$2),Matemáticas!$A:$H,7,FALSE)=AS171,1,0)</f>
        <v>#N/A</v>
      </c>
      <c r="EF171" s="138" t="e">
        <f>IF(VLOOKUP(CONCATENATE(H171,F171,EF$2),Matemáticas!$A:$H,7,FALSE)=AT171,1,0)</f>
        <v>#N/A</v>
      </c>
      <c r="EG171" s="138" t="e">
        <f>IF(VLOOKUP(CONCATENATE(H171,F171,EG$2),Matemáticas!$A:$H,7,FALSE)=AU171,1,0)</f>
        <v>#N/A</v>
      </c>
      <c r="EH171" s="138" t="e">
        <f>IF(VLOOKUP(CONCATENATE(H171,F171,EH$2),Matemáticas!$A:$H,7,FALSE)=AV171,1,0)</f>
        <v>#N/A</v>
      </c>
      <c r="EI171" s="138" t="e">
        <f>IF(VLOOKUP(CONCATENATE(H171,F171,EI$2),Matemáticas!$A:$H,7,FALSE)=AW171,1,0)</f>
        <v>#N/A</v>
      </c>
      <c r="EJ171" s="138" t="e">
        <f>IF(VLOOKUP(CONCATENATE(H171,F171,EJ$2),Matemáticas!$A:$H,7,FALSE)=AX171,1,0)</f>
        <v>#N/A</v>
      </c>
      <c r="EK171" s="138" t="e">
        <f>IF(VLOOKUP(CONCATENATE(H171,F171,EK$2),Matemáticas!$A:$H,7,FALSE)=AY171,1,0)</f>
        <v>#N/A</v>
      </c>
      <c r="EL171" s="138" t="e">
        <f>IF(VLOOKUP(CONCATENATE(H171,F171,EL$2),Matemáticas!$A:$H,7,FALSE)=AZ171,1,0)</f>
        <v>#N/A</v>
      </c>
      <c r="EM171" s="138" t="e">
        <f>IF(VLOOKUP(CONCATENATE(H171,F171,EM$2),Matemáticas!$A:$H,7,FALSE)=BA171,1,0)</f>
        <v>#N/A</v>
      </c>
      <c r="EN171" s="138" t="e">
        <f>IF(VLOOKUP(CONCATENATE(H171,F171,EN$2),Matemáticas!$A:$H,7,FALSE)=BB171,1,0)</f>
        <v>#N/A</v>
      </c>
      <c r="EO171" s="138" t="e">
        <f>IF(VLOOKUP(CONCATENATE(H171,F171,EO$2),Matemáticas!$A:$H,7,FALSE)=BC171,1,0)</f>
        <v>#N/A</v>
      </c>
      <c r="EP171" s="138" t="e">
        <f>IF(VLOOKUP(CONCATENATE(H171,F171,EP$2),Matemáticas!$A:$H,7,FALSE)=BD171,1,0)</f>
        <v>#N/A</v>
      </c>
      <c r="EQ171" s="138" t="e">
        <f>IF(VLOOKUP(CONCATENATE(H171,F171,EQ$2),Matemáticas!$A:$H,7,FALSE)=BE171,1,0)</f>
        <v>#N/A</v>
      </c>
      <c r="ER171" s="138" t="e">
        <f>IF(VLOOKUP(CONCATENATE(H171,F171,ER$2),Matemáticas!$A:$H,7,FALSE)=BF171,1,0)</f>
        <v>#N/A</v>
      </c>
      <c r="ES171" s="138" t="e">
        <f>IF(VLOOKUP(CONCATENATE(H171,F171,ES$2),Matemáticas!$A:$H,7,FALSE)=BG171,1,0)</f>
        <v>#N/A</v>
      </c>
      <c r="ET171" s="138" t="e">
        <f>IF(VLOOKUP(CONCATENATE(H171,F171,ET$2),Matemáticas!$A:$H,7,FALSE)=BH171,1,0)</f>
        <v>#N/A</v>
      </c>
      <c r="EU171" s="138" t="e">
        <f>IF(VLOOKUP(CONCATENATE(H171,F171,EU$2),Matemáticas!$A:$H,7,FALSE)=BI171,1,0)</f>
        <v>#N/A</v>
      </c>
      <c r="EV171" s="138" t="e">
        <f>IF(VLOOKUP(CONCATENATE(H171,F171,EV$2),Ciencias!$A:$H,7,FALSE)=BJ171,1,0)</f>
        <v>#N/A</v>
      </c>
      <c r="EW171" s="138" t="e">
        <f>IF(VLOOKUP(CONCATENATE(H171,F171,EW$2),Ciencias!$A:$H,7,FALSE)=BK171,1,0)</f>
        <v>#N/A</v>
      </c>
      <c r="EX171" s="138" t="e">
        <f>IF(VLOOKUP(CONCATENATE(H171,F171,EX$2),Ciencias!$A:$H,7,FALSE)=BL171,1,0)</f>
        <v>#N/A</v>
      </c>
      <c r="EY171" s="138" t="e">
        <f>IF(VLOOKUP(CONCATENATE(H171,F171,EY$2),Ciencias!$A:$H,7,FALSE)=BM171,1,0)</f>
        <v>#N/A</v>
      </c>
      <c r="EZ171" s="138" t="e">
        <f>IF(VLOOKUP(CONCATENATE(H171,F171,EZ$2),Ciencias!$A:$H,7,FALSE)=BN171,1,0)</f>
        <v>#N/A</v>
      </c>
      <c r="FA171" s="138" t="e">
        <f>IF(VLOOKUP(CONCATENATE(H171,F171,FA$2),Ciencias!$A:$H,7,FALSE)=BO171,1,0)</f>
        <v>#N/A</v>
      </c>
      <c r="FB171" s="138" t="e">
        <f>IF(VLOOKUP(CONCATENATE(H171,F171,FB$2),Ciencias!$A:$H,7,FALSE)=BP171,1,0)</f>
        <v>#N/A</v>
      </c>
      <c r="FC171" s="138" t="e">
        <f>IF(VLOOKUP(CONCATENATE(H171,F171,FC$2),Ciencias!$A:$H,7,FALSE)=BQ171,1,0)</f>
        <v>#N/A</v>
      </c>
      <c r="FD171" s="138" t="e">
        <f>IF(VLOOKUP(CONCATENATE(H171,F171,FD$2),Ciencias!$A:$H,7,FALSE)=BR171,1,0)</f>
        <v>#N/A</v>
      </c>
      <c r="FE171" s="138" t="e">
        <f>IF(VLOOKUP(CONCATENATE(H171,F171,FE$2),Ciencias!$A:$H,7,FALSE)=BS171,1,0)</f>
        <v>#N/A</v>
      </c>
      <c r="FF171" s="138" t="e">
        <f>IF(VLOOKUP(CONCATENATE(H171,F171,FF$2),Ciencias!$A:$H,7,FALSE)=BT171,1,0)</f>
        <v>#N/A</v>
      </c>
      <c r="FG171" s="138" t="e">
        <f>IF(VLOOKUP(CONCATENATE(H171,F171,FG$2),Ciencias!$A:$H,7,FALSE)=BU171,1,0)</f>
        <v>#N/A</v>
      </c>
      <c r="FH171" s="138" t="e">
        <f>IF(VLOOKUP(CONCATENATE(H171,F171,FH$2),Ciencias!$A:$H,7,FALSE)=BV171,1,0)</f>
        <v>#N/A</v>
      </c>
      <c r="FI171" s="138" t="e">
        <f>IF(VLOOKUP(CONCATENATE(H171,F171,FI$2),Ciencias!$A:$H,7,FALSE)=BW171,1,0)</f>
        <v>#N/A</v>
      </c>
      <c r="FJ171" s="138" t="e">
        <f>IF(VLOOKUP(CONCATENATE(H171,F171,FJ$2),Ciencias!$A:$H,7,FALSE)=BX171,1,0)</f>
        <v>#N/A</v>
      </c>
      <c r="FK171" s="138" t="e">
        <f>IF(VLOOKUP(CONCATENATE(H171,F171,FK$2),Ciencias!$A:$H,7,FALSE)=BY171,1,0)</f>
        <v>#N/A</v>
      </c>
      <c r="FL171" s="138" t="e">
        <f>IF(VLOOKUP(CONCATENATE(H171,F171,FL$2),Ciencias!$A:$H,7,FALSE)=BZ171,1,0)</f>
        <v>#N/A</v>
      </c>
      <c r="FM171" s="138" t="e">
        <f>IF(VLOOKUP(CONCATENATE(H171,F171,FM$2),Ciencias!$A:$H,7,FALSE)=CA171,1,0)</f>
        <v>#N/A</v>
      </c>
      <c r="FN171" s="138" t="e">
        <f>IF(VLOOKUP(CONCATENATE(H171,F171,FN$2),Ciencias!$A:$H,7,FALSE)=CB171,1,0)</f>
        <v>#N/A</v>
      </c>
      <c r="FO171" s="138" t="e">
        <f>IF(VLOOKUP(CONCATENATE(H171,F171,FO$2),Ciencias!$A:$H,7,FALSE)=CC171,1,0)</f>
        <v>#N/A</v>
      </c>
      <c r="FP171" s="138" t="e">
        <f>IF(VLOOKUP(CONCATENATE(H171,F171,FP$2),GeoHis!$A:$H,7,FALSE)=CD171,1,0)</f>
        <v>#N/A</v>
      </c>
      <c r="FQ171" s="138" t="e">
        <f>IF(VLOOKUP(CONCATENATE(H171,F171,FQ$2),GeoHis!$A:$H,7,FALSE)=CE171,1,0)</f>
        <v>#N/A</v>
      </c>
      <c r="FR171" s="138" t="e">
        <f>IF(VLOOKUP(CONCATENATE(H171,F171,FR$2),GeoHis!$A:$H,7,FALSE)=CF171,1,0)</f>
        <v>#N/A</v>
      </c>
      <c r="FS171" s="138" t="e">
        <f>IF(VLOOKUP(CONCATENATE(H171,F171,FS$2),GeoHis!$A:$H,7,FALSE)=CG171,1,0)</f>
        <v>#N/A</v>
      </c>
      <c r="FT171" s="138" t="e">
        <f>IF(VLOOKUP(CONCATENATE(H171,F171,FT$2),GeoHis!$A:$H,7,FALSE)=CH171,1,0)</f>
        <v>#N/A</v>
      </c>
      <c r="FU171" s="138" t="e">
        <f>IF(VLOOKUP(CONCATENATE(H171,F171,FU$2),GeoHis!$A:$H,7,FALSE)=CI171,1,0)</f>
        <v>#N/A</v>
      </c>
      <c r="FV171" s="138" t="e">
        <f>IF(VLOOKUP(CONCATENATE(H171,F171,FV$2),GeoHis!$A:$H,7,FALSE)=CJ171,1,0)</f>
        <v>#N/A</v>
      </c>
      <c r="FW171" s="138" t="e">
        <f>IF(VLOOKUP(CONCATENATE(H171,F171,FW$2),GeoHis!$A:$H,7,FALSE)=CK171,1,0)</f>
        <v>#N/A</v>
      </c>
      <c r="FX171" s="138" t="e">
        <f>IF(VLOOKUP(CONCATENATE(H171,F171,FX$2),GeoHis!$A:$H,7,FALSE)=CL171,1,0)</f>
        <v>#N/A</v>
      </c>
      <c r="FY171" s="138" t="e">
        <f>IF(VLOOKUP(CONCATENATE(H171,F171,FY$2),GeoHis!$A:$H,7,FALSE)=CM171,1,0)</f>
        <v>#N/A</v>
      </c>
      <c r="FZ171" s="138" t="e">
        <f>IF(VLOOKUP(CONCATENATE(H171,F171,FZ$2),GeoHis!$A:$H,7,FALSE)=CN171,1,0)</f>
        <v>#N/A</v>
      </c>
      <c r="GA171" s="138" t="e">
        <f>IF(VLOOKUP(CONCATENATE(H171,F171,GA$2),GeoHis!$A:$H,7,FALSE)=CO171,1,0)</f>
        <v>#N/A</v>
      </c>
      <c r="GB171" s="138" t="e">
        <f>IF(VLOOKUP(CONCATENATE(H171,F171,GB$2),GeoHis!$A:$H,7,FALSE)=CP171,1,0)</f>
        <v>#N/A</v>
      </c>
      <c r="GC171" s="138" t="e">
        <f>IF(VLOOKUP(CONCATENATE(H171,F171,GC$2),GeoHis!$A:$H,7,FALSE)=CQ171,1,0)</f>
        <v>#N/A</v>
      </c>
      <c r="GD171" s="138" t="e">
        <f>IF(VLOOKUP(CONCATENATE(H171,F171,GD$2),GeoHis!$A:$H,7,FALSE)=CR171,1,0)</f>
        <v>#N/A</v>
      </c>
      <c r="GE171" s="135" t="str">
        <f t="shared" si="23"/>
        <v/>
      </c>
    </row>
    <row r="172" spans="1:187" x14ac:dyDescent="0.25">
      <c r="A172" s="127" t="str">
        <f>IF(C172="","",'Datos Generales'!$A$25)</f>
        <v/>
      </c>
      <c r="D172" s="126" t="str">
        <f t="shared" si="16"/>
        <v/>
      </c>
      <c r="E172" s="126">
        <f t="shared" si="17"/>
        <v>0</v>
      </c>
      <c r="F172" s="126" t="str">
        <f t="shared" si="18"/>
        <v/>
      </c>
      <c r="G172" s="126" t="str">
        <f>IF(C172="","",'Datos Generales'!$D$19)</f>
        <v/>
      </c>
      <c r="H172" s="21" t="str">
        <f>IF(C172="","",'Datos Generales'!$A$19)</f>
        <v/>
      </c>
      <c r="I172" s="126" t="str">
        <f>IF(C172="","",'Datos Generales'!$A$7)</f>
        <v/>
      </c>
      <c r="J172" s="21" t="str">
        <f>IF(C172="","",'Datos Generales'!$A$13)</f>
        <v/>
      </c>
      <c r="K172" s="21" t="str">
        <f>IF(C172="","",'Datos Generales'!$A$10)</f>
        <v/>
      </c>
      <c r="CS172" s="142" t="str">
        <f t="shared" si="19"/>
        <v/>
      </c>
      <c r="CT172" s="142" t="str">
        <f t="shared" si="20"/>
        <v/>
      </c>
      <c r="CU172" s="142" t="str">
        <f t="shared" si="21"/>
        <v/>
      </c>
      <c r="CV172" s="142" t="str">
        <f t="shared" si="22"/>
        <v/>
      </c>
      <c r="CW172" s="142" t="str">
        <f>IF(C172="","",IF('Datos Generales'!$A$19=1,AVERAGE(FP172:GD172),AVERAGE(Captura!FP172:FY172)))</f>
        <v/>
      </c>
      <c r="CX172" s="138" t="e">
        <f>IF(VLOOKUP(CONCATENATE($H$4,$F$4,CX$2),Español!$A:$H,7,FALSE)=L172,1,0)</f>
        <v>#N/A</v>
      </c>
      <c r="CY172" s="138" t="e">
        <f>IF(VLOOKUP(CONCATENATE(H172,F172,CY$2),Español!$A:$H,7,FALSE)=M172,1,0)</f>
        <v>#N/A</v>
      </c>
      <c r="CZ172" s="138" t="e">
        <f>IF(VLOOKUP(CONCATENATE(H172,F172,CZ$2),Español!$A:$H,7,FALSE)=N172,1,0)</f>
        <v>#N/A</v>
      </c>
      <c r="DA172" s="138" t="e">
        <f>IF(VLOOKUP(CONCATENATE(H172,F172,DA$2),Español!$A:$H,7,FALSE)=O172,1,0)</f>
        <v>#N/A</v>
      </c>
      <c r="DB172" s="138" t="e">
        <f>IF(VLOOKUP(CONCATENATE(H172,F172,DB$2),Español!$A:$H,7,FALSE)=P172,1,0)</f>
        <v>#N/A</v>
      </c>
      <c r="DC172" s="138" t="e">
        <f>IF(VLOOKUP(CONCATENATE(H172,F172,DC$2),Español!$A:$H,7,FALSE)=Q172,1,0)</f>
        <v>#N/A</v>
      </c>
      <c r="DD172" s="138" t="e">
        <f>IF(VLOOKUP(CONCATENATE(H172,F172,DD$2),Español!$A:$H,7,FALSE)=R172,1,0)</f>
        <v>#N/A</v>
      </c>
      <c r="DE172" s="138" t="e">
        <f>IF(VLOOKUP(CONCATENATE(H172,F172,DE$2),Español!$A:$H,7,FALSE)=S172,1,0)</f>
        <v>#N/A</v>
      </c>
      <c r="DF172" s="138" t="e">
        <f>IF(VLOOKUP(CONCATENATE(H172,F172,DF$2),Español!$A:$H,7,FALSE)=T172,1,0)</f>
        <v>#N/A</v>
      </c>
      <c r="DG172" s="138" t="e">
        <f>IF(VLOOKUP(CONCATENATE(H172,F172,DG$2),Español!$A:$H,7,FALSE)=U172,1,0)</f>
        <v>#N/A</v>
      </c>
      <c r="DH172" s="138" t="e">
        <f>IF(VLOOKUP(CONCATENATE(H172,F172,DH$2),Español!$A:$H,7,FALSE)=V172,1,0)</f>
        <v>#N/A</v>
      </c>
      <c r="DI172" s="138" t="e">
        <f>IF(VLOOKUP(CONCATENATE(H172,F172,DI$2),Español!$A:$H,7,FALSE)=W172,1,0)</f>
        <v>#N/A</v>
      </c>
      <c r="DJ172" s="138" t="e">
        <f>IF(VLOOKUP(CONCATENATE(H172,F172,DJ$2),Español!$A:$H,7,FALSE)=X172,1,0)</f>
        <v>#N/A</v>
      </c>
      <c r="DK172" s="138" t="e">
        <f>IF(VLOOKUP(CONCATENATE(H172,F172,DK$2),Español!$A:$H,7,FALSE)=Y172,1,0)</f>
        <v>#N/A</v>
      </c>
      <c r="DL172" s="138" t="e">
        <f>IF(VLOOKUP(CONCATENATE(H172,F172,DL$2),Español!$A:$H,7,FALSE)=Z172,1,0)</f>
        <v>#N/A</v>
      </c>
      <c r="DM172" s="138" t="e">
        <f>IF(VLOOKUP(CONCATENATE(H172,F172,DM$2),Español!$A:$H,7,FALSE)=AA172,1,0)</f>
        <v>#N/A</v>
      </c>
      <c r="DN172" s="138" t="e">
        <f>IF(VLOOKUP(CONCATENATE(H172,F172,DN$2),Español!$A:$H,7,FALSE)=AB172,1,0)</f>
        <v>#N/A</v>
      </c>
      <c r="DO172" s="138" t="e">
        <f>IF(VLOOKUP(CONCATENATE(H172,F172,DO$2),Español!$A:$H,7,FALSE)=AC172,1,0)</f>
        <v>#N/A</v>
      </c>
      <c r="DP172" s="138" t="e">
        <f>IF(VLOOKUP(CONCATENATE(H172,F172,DP$2),Español!$A:$H,7,FALSE)=AD172,1,0)</f>
        <v>#N/A</v>
      </c>
      <c r="DQ172" s="138" t="e">
        <f>IF(VLOOKUP(CONCATENATE(H172,F172,DQ$2),Español!$A:$H,7,FALSE)=AE172,1,0)</f>
        <v>#N/A</v>
      </c>
      <c r="DR172" s="138" t="e">
        <f>IF(VLOOKUP(CONCATENATE(H172,F172,DR$2),Inglés!$A:$H,7,FALSE)=AF172,1,0)</f>
        <v>#N/A</v>
      </c>
      <c r="DS172" s="138" t="e">
        <f>IF(VLOOKUP(CONCATENATE(H172,F172,DS$2),Inglés!$A:$H,7,FALSE)=AG172,1,0)</f>
        <v>#N/A</v>
      </c>
      <c r="DT172" s="138" t="e">
        <f>IF(VLOOKUP(CONCATENATE(H172,F172,DT$2),Inglés!$A:$H,7,FALSE)=AH172,1,0)</f>
        <v>#N/A</v>
      </c>
      <c r="DU172" s="138" t="e">
        <f>IF(VLOOKUP(CONCATENATE(H172,F172,DU$2),Inglés!$A:$H,7,FALSE)=AI172,1,0)</f>
        <v>#N/A</v>
      </c>
      <c r="DV172" s="138" t="e">
        <f>IF(VLOOKUP(CONCATENATE(H172,F172,DV$2),Inglés!$A:$H,7,FALSE)=AJ172,1,0)</f>
        <v>#N/A</v>
      </c>
      <c r="DW172" s="138" t="e">
        <f>IF(VLOOKUP(CONCATENATE(H172,F172,DW$2),Inglés!$A:$H,7,FALSE)=AK172,1,0)</f>
        <v>#N/A</v>
      </c>
      <c r="DX172" s="138" t="e">
        <f>IF(VLOOKUP(CONCATENATE(H172,F172,DX$2),Inglés!$A:$H,7,FALSE)=AL172,1,0)</f>
        <v>#N/A</v>
      </c>
      <c r="DY172" s="138" t="e">
        <f>IF(VLOOKUP(CONCATENATE(H172,F172,DY$2),Inglés!$A:$H,7,FALSE)=AM172,1,0)</f>
        <v>#N/A</v>
      </c>
      <c r="DZ172" s="138" t="e">
        <f>IF(VLOOKUP(CONCATENATE(H172,F172,DZ$2),Inglés!$A:$H,7,FALSE)=AN172,1,0)</f>
        <v>#N/A</v>
      </c>
      <c r="EA172" s="138" t="e">
        <f>IF(VLOOKUP(CONCATENATE(H172,F172,EA$2),Inglés!$A:$H,7,FALSE)=AO172,1,0)</f>
        <v>#N/A</v>
      </c>
      <c r="EB172" s="138" t="e">
        <f>IF(VLOOKUP(CONCATENATE(H172,F172,EB$2),Matemáticas!$A:$H,7,FALSE)=AP172,1,0)</f>
        <v>#N/A</v>
      </c>
      <c r="EC172" s="138" t="e">
        <f>IF(VLOOKUP(CONCATENATE(H172,F172,EC$2),Matemáticas!$A:$H,7,FALSE)=AQ172,1,0)</f>
        <v>#N/A</v>
      </c>
      <c r="ED172" s="138" t="e">
        <f>IF(VLOOKUP(CONCATENATE(H172,F172,ED$2),Matemáticas!$A:$H,7,FALSE)=AR172,1,0)</f>
        <v>#N/A</v>
      </c>
      <c r="EE172" s="138" t="e">
        <f>IF(VLOOKUP(CONCATENATE(H172,F172,EE$2),Matemáticas!$A:$H,7,FALSE)=AS172,1,0)</f>
        <v>#N/A</v>
      </c>
      <c r="EF172" s="138" t="e">
        <f>IF(VLOOKUP(CONCATENATE(H172,F172,EF$2),Matemáticas!$A:$H,7,FALSE)=AT172,1,0)</f>
        <v>#N/A</v>
      </c>
      <c r="EG172" s="138" t="e">
        <f>IF(VLOOKUP(CONCATENATE(H172,F172,EG$2),Matemáticas!$A:$H,7,FALSE)=AU172,1,0)</f>
        <v>#N/A</v>
      </c>
      <c r="EH172" s="138" t="e">
        <f>IF(VLOOKUP(CONCATENATE(H172,F172,EH$2),Matemáticas!$A:$H,7,FALSE)=AV172,1,0)</f>
        <v>#N/A</v>
      </c>
      <c r="EI172" s="138" t="e">
        <f>IF(VLOOKUP(CONCATENATE(H172,F172,EI$2),Matemáticas!$A:$H,7,FALSE)=AW172,1,0)</f>
        <v>#N/A</v>
      </c>
      <c r="EJ172" s="138" t="e">
        <f>IF(VLOOKUP(CONCATENATE(H172,F172,EJ$2),Matemáticas!$A:$H,7,FALSE)=AX172,1,0)</f>
        <v>#N/A</v>
      </c>
      <c r="EK172" s="138" t="e">
        <f>IF(VLOOKUP(CONCATENATE(H172,F172,EK$2),Matemáticas!$A:$H,7,FALSE)=AY172,1,0)</f>
        <v>#N/A</v>
      </c>
      <c r="EL172" s="138" t="e">
        <f>IF(VLOOKUP(CONCATENATE(H172,F172,EL$2),Matemáticas!$A:$H,7,FALSE)=AZ172,1,0)</f>
        <v>#N/A</v>
      </c>
      <c r="EM172" s="138" t="e">
        <f>IF(VLOOKUP(CONCATENATE(H172,F172,EM$2),Matemáticas!$A:$H,7,FALSE)=BA172,1,0)</f>
        <v>#N/A</v>
      </c>
      <c r="EN172" s="138" t="e">
        <f>IF(VLOOKUP(CONCATENATE(H172,F172,EN$2),Matemáticas!$A:$H,7,FALSE)=BB172,1,0)</f>
        <v>#N/A</v>
      </c>
      <c r="EO172" s="138" t="e">
        <f>IF(VLOOKUP(CONCATENATE(H172,F172,EO$2),Matemáticas!$A:$H,7,FALSE)=BC172,1,0)</f>
        <v>#N/A</v>
      </c>
      <c r="EP172" s="138" t="e">
        <f>IF(VLOOKUP(CONCATENATE(H172,F172,EP$2),Matemáticas!$A:$H,7,FALSE)=BD172,1,0)</f>
        <v>#N/A</v>
      </c>
      <c r="EQ172" s="138" t="e">
        <f>IF(VLOOKUP(CONCATENATE(H172,F172,EQ$2),Matemáticas!$A:$H,7,FALSE)=BE172,1,0)</f>
        <v>#N/A</v>
      </c>
      <c r="ER172" s="138" t="e">
        <f>IF(VLOOKUP(CONCATENATE(H172,F172,ER$2),Matemáticas!$A:$H,7,FALSE)=BF172,1,0)</f>
        <v>#N/A</v>
      </c>
      <c r="ES172" s="138" t="e">
        <f>IF(VLOOKUP(CONCATENATE(H172,F172,ES$2),Matemáticas!$A:$H,7,FALSE)=BG172,1,0)</f>
        <v>#N/A</v>
      </c>
      <c r="ET172" s="138" t="e">
        <f>IF(VLOOKUP(CONCATENATE(H172,F172,ET$2),Matemáticas!$A:$H,7,FALSE)=BH172,1,0)</f>
        <v>#N/A</v>
      </c>
      <c r="EU172" s="138" t="e">
        <f>IF(VLOOKUP(CONCATENATE(H172,F172,EU$2),Matemáticas!$A:$H,7,FALSE)=BI172,1,0)</f>
        <v>#N/A</v>
      </c>
      <c r="EV172" s="138" t="e">
        <f>IF(VLOOKUP(CONCATENATE(H172,F172,EV$2),Ciencias!$A:$H,7,FALSE)=BJ172,1,0)</f>
        <v>#N/A</v>
      </c>
      <c r="EW172" s="138" t="e">
        <f>IF(VLOOKUP(CONCATENATE(H172,F172,EW$2),Ciencias!$A:$H,7,FALSE)=BK172,1,0)</f>
        <v>#N/A</v>
      </c>
      <c r="EX172" s="138" t="e">
        <f>IF(VLOOKUP(CONCATENATE(H172,F172,EX$2),Ciencias!$A:$H,7,FALSE)=BL172,1,0)</f>
        <v>#N/A</v>
      </c>
      <c r="EY172" s="138" t="e">
        <f>IF(VLOOKUP(CONCATENATE(H172,F172,EY$2),Ciencias!$A:$H,7,FALSE)=BM172,1,0)</f>
        <v>#N/A</v>
      </c>
      <c r="EZ172" s="138" t="e">
        <f>IF(VLOOKUP(CONCATENATE(H172,F172,EZ$2),Ciencias!$A:$H,7,FALSE)=BN172,1,0)</f>
        <v>#N/A</v>
      </c>
      <c r="FA172" s="138" t="e">
        <f>IF(VLOOKUP(CONCATENATE(H172,F172,FA$2),Ciencias!$A:$H,7,FALSE)=BO172,1,0)</f>
        <v>#N/A</v>
      </c>
      <c r="FB172" s="138" t="e">
        <f>IF(VLOOKUP(CONCATENATE(H172,F172,FB$2),Ciencias!$A:$H,7,FALSE)=BP172,1,0)</f>
        <v>#N/A</v>
      </c>
      <c r="FC172" s="138" t="e">
        <f>IF(VLOOKUP(CONCATENATE(H172,F172,FC$2),Ciencias!$A:$H,7,FALSE)=BQ172,1,0)</f>
        <v>#N/A</v>
      </c>
      <c r="FD172" s="138" t="e">
        <f>IF(VLOOKUP(CONCATENATE(H172,F172,FD$2),Ciencias!$A:$H,7,FALSE)=BR172,1,0)</f>
        <v>#N/A</v>
      </c>
      <c r="FE172" s="138" t="e">
        <f>IF(VLOOKUP(CONCATENATE(H172,F172,FE$2),Ciencias!$A:$H,7,FALSE)=BS172,1,0)</f>
        <v>#N/A</v>
      </c>
      <c r="FF172" s="138" t="e">
        <f>IF(VLOOKUP(CONCATENATE(H172,F172,FF$2),Ciencias!$A:$H,7,FALSE)=BT172,1,0)</f>
        <v>#N/A</v>
      </c>
      <c r="FG172" s="138" t="e">
        <f>IF(VLOOKUP(CONCATENATE(H172,F172,FG$2),Ciencias!$A:$H,7,FALSE)=BU172,1,0)</f>
        <v>#N/A</v>
      </c>
      <c r="FH172" s="138" t="e">
        <f>IF(VLOOKUP(CONCATENATE(H172,F172,FH$2),Ciencias!$A:$H,7,FALSE)=BV172,1,0)</f>
        <v>#N/A</v>
      </c>
      <c r="FI172" s="138" t="e">
        <f>IF(VLOOKUP(CONCATENATE(H172,F172,FI$2),Ciencias!$A:$H,7,FALSE)=BW172,1,0)</f>
        <v>#N/A</v>
      </c>
      <c r="FJ172" s="138" t="e">
        <f>IF(VLOOKUP(CONCATENATE(H172,F172,FJ$2),Ciencias!$A:$H,7,FALSE)=BX172,1,0)</f>
        <v>#N/A</v>
      </c>
      <c r="FK172" s="138" t="e">
        <f>IF(VLOOKUP(CONCATENATE(H172,F172,FK$2),Ciencias!$A:$H,7,FALSE)=BY172,1,0)</f>
        <v>#N/A</v>
      </c>
      <c r="FL172" s="138" t="e">
        <f>IF(VLOOKUP(CONCATENATE(H172,F172,FL$2),Ciencias!$A:$H,7,FALSE)=BZ172,1,0)</f>
        <v>#N/A</v>
      </c>
      <c r="FM172" s="138" t="e">
        <f>IF(VLOOKUP(CONCATENATE(H172,F172,FM$2),Ciencias!$A:$H,7,FALSE)=CA172,1,0)</f>
        <v>#N/A</v>
      </c>
      <c r="FN172" s="138" t="e">
        <f>IF(VLOOKUP(CONCATENATE(H172,F172,FN$2),Ciencias!$A:$H,7,FALSE)=CB172,1,0)</f>
        <v>#N/A</v>
      </c>
      <c r="FO172" s="138" t="e">
        <f>IF(VLOOKUP(CONCATENATE(H172,F172,FO$2),Ciencias!$A:$H,7,FALSE)=CC172,1,0)</f>
        <v>#N/A</v>
      </c>
      <c r="FP172" s="138" t="e">
        <f>IF(VLOOKUP(CONCATENATE(H172,F172,FP$2),GeoHis!$A:$H,7,FALSE)=CD172,1,0)</f>
        <v>#N/A</v>
      </c>
      <c r="FQ172" s="138" t="e">
        <f>IF(VLOOKUP(CONCATENATE(H172,F172,FQ$2),GeoHis!$A:$H,7,FALSE)=CE172,1,0)</f>
        <v>#N/A</v>
      </c>
      <c r="FR172" s="138" t="e">
        <f>IF(VLOOKUP(CONCATENATE(H172,F172,FR$2),GeoHis!$A:$H,7,FALSE)=CF172,1,0)</f>
        <v>#N/A</v>
      </c>
      <c r="FS172" s="138" t="e">
        <f>IF(VLOOKUP(CONCATENATE(H172,F172,FS$2),GeoHis!$A:$H,7,FALSE)=CG172,1,0)</f>
        <v>#N/A</v>
      </c>
      <c r="FT172" s="138" t="e">
        <f>IF(VLOOKUP(CONCATENATE(H172,F172,FT$2),GeoHis!$A:$H,7,FALSE)=CH172,1,0)</f>
        <v>#N/A</v>
      </c>
      <c r="FU172" s="138" t="e">
        <f>IF(VLOOKUP(CONCATENATE(H172,F172,FU$2),GeoHis!$A:$H,7,FALSE)=CI172,1,0)</f>
        <v>#N/A</v>
      </c>
      <c r="FV172" s="138" t="e">
        <f>IF(VLOOKUP(CONCATENATE(H172,F172,FV$2),GeoHis!$A:$H,7,FALSE)=CJ172,1,0)</f>
        <v>#N/A</v>
      </c>
      <c r="FW172" s="138" t="e">
        <f>IF(VLOOKUP(CONCATENATE(H172,F172,FW$2),GeoHis!$A:$H,7,FALSE)=CK172,1,0)</f>
        <v>#N/A</v>
      </c>
      <c r="FX172" s="138" t="e">
        <f>IF(VLOOKUP(CONCATENATE(H172,F172,FX$2),GeoHis!$A:$H,7,FALSE)=CL172,1,0)</f>
        <v>#N/A</v>
      </c>
      <c r="FY172" s="138" t="e">
        <f>IF(VLOOKUP(CONCATENATE(H172,F172,FY$2),GeoHis!$A:$H,7,FALSE)=CM172,1,0)</f>
        <v>#N/A</v>
      </c>
      <c r="FZ172" s="138" t="e">
        <f>IF(VLOOKUP(CONCATENATE(H172,F172,FZ$2),GeoHis!$A:$H,7,FALSE)=CN172,1,0)</f>
        <v>#N/A</v>
      </c>
      <c r="GA172" s="138" t="e">
        <f>IF(VLOOKUP(CONCATENATE(H172,F172,GA$2),GeoHis!$A:$H,7,FALSE)=CO172,1,0)</f>
        <v>#N/A</v>
      </c>
      <c r="GB172" s="138" t="e">
        <f>IF(VLOOKUP(CONCATENATE(H172,F172,GB$2),GeoHis!$A:$H,7,FALSE)=CP172,1,0)</f>
        <v>#N/A</v>
      </c>
      <c r="GC172" s="138" t="e">
        <f>IF(VLOOKUP(CONCATENATE(H172,F172,GC$2),GeoHis!$A:$H,7,FALSE)=CQ172,1,0)</f>
        <v>#N/A</v>
      </c>
      <c r="GD172" s="138" t="e">
        <f>IF(VLOOKUP(CONCATENATE(H172,F172,GD$2),GeoHis!$A:$H,7,FALSE)=CR172,1,0)</f>
        <v>#N/A</v>
      </c>
      <c r="GE172" s="135" t="str">
        <f t="shared" si="23"/>
        <v/>
      </c>
    </row>
    <row r="173" spans="1:187" x14ac:dyDescent="0.25">
      <c r="A173" s="127" t="str">
        <f>IF(C173="","",'Datos Generales'!$A$25)</f>
        <v/>
      </c>
      <c r="D173" s="126" t="str">
        <f t="shared" si="16"/>
        <v/>
      </c>
      <c r="E173" s="126">
        <f t="shared" si="17"/>
        <v>0</v>
      </c>
      <c r="F173" s="126" t="str">
        <f t="shared" si="18"/>
        <v/>
      </c>
      <c r="G173" s="126" t="str">
        <f>IF(C173="","",'Datos Generales'!$D$19)</f>
        <v/>
      </c>
      <c r="H173" s="21" t="str">
        <f>IF(C173="","",'Datos Generales'!$A$19)</f>
        <v/>
      </c>
      <c r="I173" s="126" t="str">
        <f>IF(C173="","",'Datos Generales'!$A$7)</f>
        <v/>
      </c>
      <c r="J173" s="21" t="str">
        <f>IF(C173="","",'Datos Generales'!$A$13)</f>
        <v/>
      </c>
      <c r="K173" s="21" t="str">
        <f>IF(C173="","",'Datos Generales'!$A$10)</f>
        <v/>
      </c>
      <c r="CS173" s="142" t="str">
        <f t="shared" si="19"/>
        <v/>
      </c>
      <c r="CT173" s="142" t="str">
        <f t="shared" si="20"/>
        <v/>
      </c>
      <c r="CU173" s="142" t="str">
        <f t="shared" si="21"/>
        <v/>
      </c>
      <c r="CV173" s="142" t="str">
        <f t="shared" si="22"/>
        <v/>
      </c>
      <c r="CW173" s="142" t="str">
        <f>IF(C173="","",IF('Datos Generales'!$A$19=1,AVERAGE(FP173:GD173),AVERAGE(Captura!FP173:FY173)))</f>
        <v/>
      </c>
      <c r="CX173" s="138" t="e">
        <f>IF(VLOOKUP(CONCATENATE($H$4,$F$4,CX$2),Español!$A:$H,7,FALSE)=L173,1,0)</f>
        <v>#N/A</v>
      </c>
      <c r="CY173" s="138" t="e">
        <f>IF(VLOOKUP(CONCATENATE(H173,F173,CY$2),Español!$A:$H,7,FALSE)=M173,1,0)</f>
        <v>#N/A</v>
      </c>
      <c r="CZ173" s="138" t="e">
        <f>IF(VLOOKUP(CONCATENATE(H173,F173,CZ$2),Español!$A:$H,7,FALSE)=N173,1,0)</f>
        <v>#N/A</v>
      </c>
      <c r="DA173" s="138" t="e">
        <f>IF(VLOOKUP(CONCATENATE(H173,F173,DA$2),Español!$A:$H,7,FALSE)=O173,1,0)</f>
        <v>#N/A</v>
      </c>
      <c r="DB173" s="138" t="e">
        <f>IF(VLOOKUP(CONCATENATE(H173,F173,DB$2),Español!$A:$H,7,FALSE)=P173,1,0)</f>
        <v>#N/A</v>
      </c>
      <c r="DC173" s="138" t="e">
        <f>IF(VLOOKUP(CONCATENATE(H173,F173,DC$2),Español!$A:$H,7,FALSE)=Q173,1,0)</f>
        <v>#N/A</v>
      </c>
      <c r="DD173" s="138" t="e">
        <f>IF(VLOOKUP(CONCATENATE(H173,F173,DD$2),Español!$A:$H,7,FALSE)=R173,1,0)</f>
        <v>#N/A</v>
      </c>
      <c r="DE173" s="138" t="e">
        <f>IF(VLOOKUP(CONCATENATE(H173,F173,DE$2),Español!$A:$H,7,FALSE)=S173,1,0)</f>
        <v>#N/A</v>
      </c>
      <c r="DF173" s="138" t="e">
        <f>IF(VLOOKUP(CONCATENATE(H173,F173,DF$2),Español!$A:$H,7,FALSE)=T173,1,0)</f>
        <v>#N/A</v>
      </c>
      <c r="DG173" s="138" t="e">
        <f>IF(VLOOKUP(CONCATENATE(H173,F173,DG$2),Español!$A:$H,7,FALSE)=U173,1,0)</f>
        <v>#N/A</v>
      </c>
      <c r="DH173" s="138" t="e">
        <f>IF(VLOOKUP(CONCATENATE(H173,F173,DH$2),Español!$A:$H,7,FALSE)=V173,1,0)</f>
        <v>#N/A</v>
      </c>
      <c r="DI173" s="138" t="e">
        <f>IF(VLOOKUP(CONCATENATE(H173,F173,DI$2),Español!$A:$H,7,FALSE)=W173,1,0)</f>
        <v>#N/A</v>
      </c>
      <c r="DJ173" s="138" t="e">
        <f>IF(VLOOKUP(CONCATENATE(H173,F173,DJ$2),Español!$A:$H,7,FALSE)=X173,1,0)</f>
        <v>#N/A</v>
      </c>
      <c r="DK173" s="138" t="e">
        <f>IF(VLOOKUP(CONCATENATE(H173,F173,DK$2),Español!$A:$H,7,FALSE)=Y173,1,0)</f>
        <v>#N/A</v>
      </c>
      <c r="DL173" s="138" t="e">
        <f>IF(VLOOKUP(CONCATENATE(H173,F173,DL$2),Español!$A:$H,7,FALSE)=Z173,1,0)</f>
        <v>#N/A</v>
      </c>
      <c r="DM173" s="138" t="e">
        <f>IF(VLOOKUP(CONCATENATE(H173,F173,DM$2),Español!$A:$H,7,FALSE)=AA173,1,0)</f>
        <v>#N/A</v>
      </c>
      <c r="DN173" s="138" t="e">
        <f>IF(VLOOKUP(CONCATENATE(H173,F173,DN$2),Español!$A:$H,7,FALSE)=AB173,1,0)</f>
        <v>#N/A</v>
      </c>
      <c r="DO173" s="138" t="e">
        <f>IF(VLOOKUP(CONCATENATE(H173,F173,DO$2),Español!$A:$H,7,FALSE)=AC173,1,0)</f>
        <v>#N/A</v>
      </c>
      <c r="DP173" s="138" t="e">
        <f>IF(VLOOKUP(CONCATENATE(H173,F173,DP$2),Español!$A:$H,7,FALSE)=AD173,1,0)</f>
        <v>#N/A</v>
      </c>
      <c r="DQ173" s="138" t="e">
        <f>IF(VLOOKUP(CONCATENATE(H173,F173,DQ$2),Español!$A:$H,7,FALSE)=AE173,1,0)</f>
        <v>#N/A</v>
      </c>
      <c r="DR173" s="138" t="e">
        <f>IF(VLOOKUP(CONCATENATE(H173,F173,DR$2),Inglés!$A:$H,7,FALSE)=AF173,1,0)</f>
        <v>#N/A</v>
      </c>
      <c r="DS173" s="138" t="e">
        <f>IF(VLOOKUP(CONCATENATE(H173,F173,DS$2),Inglés!$A:$H,7,FALSE)=AG173,1,0)</f>
        <v>#N/A</v>
      </c>
      <c r="DT173" s="138" t="e">
        <f>IF(VLOOKUP(CONCATENATE(H173,F173,DT$2),Inglés!$A:$H,7,FALSE)=AH173,1,0)</f>
        <v>#N/A</v>
      </c>
      <c r="DU173" s="138" t="e">
        <f>IF(VLOOKUP(CONCATENATE(H173,F173,DU$2),Inglés!$A:$H,7,FALSE)=AI173,1,0)</f>
        <v>#N/A</v>
      </c>
      <c r="DV173" s="138" t="e">
        <f>IF(VLOOKUP(CONCATENATE(H173,F173,DV$2),Inglés!$A:$H,7,FALSE)=AJ173,1,0)</f>
        <v>#N/A</v>
      </c>
      <c r="DW173" s="138" t="e">
        <f>IF(VLOOKUP(CONCATENATE(H173,F173,DW$2),Inglés!$A:$H,7,FALSE)=AK173,1,0)</f>
        <v>#N/A</v>
      </c>
      <c r="DX173" s="138" t="e">
        <f>IF(VLOOKUP(CONCATENATE(H173,F173,DX$2),Inglés!$A:$H,7,FALSE)=AL173,1,0)</f>
        <v>#N/A</v>
      </c>
      <c r="DY173" s="138" t="e">
        <f>IF(VLOOKUP(CONCATENATE(H173,F173,DY$2),Inglés!$A:$H,7,FALSE)=AM173,1,0)</f>
        <v>#N/A</v>
      </c>
      <c r="DZ173" s="138" t="e">
        <f>IF(VLOOKUP(CONCATENATE(H173,F173,DZ$2),Inglés!$A:$H,7,FALSE)=AN173,1,0)</f>
        <v>#N/A</v>
      </c>
      <c r="EA173" s="138" t="e">
        <f>IF(VLOOKUP(CONCATENATE(H173,F173,EA$2),Inglés!$A:$H,7,FALSE)=AO173,1,0)</f>
        <v>#N/A</v>
      </c>
      <c r="EB173" s="138" t="e">
        <f>IF(VLOOKUP(CONCATENATE(H173,F173,EB$2),Matemáticas!$A:$H,7,FALSE)=AP173,1,0)</f>
        <v>#N/A</v>
      </c>
      <c r="EC173" s="138" t="e">
        <f>IF(VLOOKUP(CONCATENATE(H173,F173,EC$2),Matemáticas!$A:$H,7,FALSE)=AQ173,1,0)</f>
        <v>#N/A</v>
      </c>
      <c r="ED173" s="138" t="e">
        <f>IF(VLOOKUP(CONCATENATE(H173,F173,ED$2),Matemáticas!$A:$H,7,FALSE)=AR173,1,0)</f>
        <v>#N/A</v>
      </c>
      <c r="EE173" s="138" t="e">
        <f>IF(VLOOKUP(CONCATENATE(H173,F173,EE$2),Matemáticas!$A:$H,7,FALSE)=AS173,1,0)</f>
        <v>#N/A</v>
      </c>
      <c r="EF173" s="138" t="e">
        <f>IF(VLOOKUP(CONCATENATE(H173,F173,EF$2),Matemáticas!$A:$H,7,FALSE)=AT173,1,0)</f>
        <v>#N/A</v>
      </c>
      <c r="EG173" s="138" t="e">
        <f>IF(VLOOKUP(CONCATENATE(H173,F173,EG$2),Matemáticas!$A:$H,7,FALSE)=AU173,1,0)</f>
        <v>#N/A</v>
      </c>
      <c r="EH173" s="138" t="e">
        <f>IF(VLOOKUP(CONCATENATE(H173,F173,EH$2),Matemáticas!$A:$H,7,FALSE)=AV173,1,0)</f>
        <v>#N/A</v>
      </c>
      <c r="EI173" s="138" t="e">
        <f>IF(VLOOKUP(CONCATENATE(H173,F173,EI$2),Matemáticas!$A:$H,7,FALSE)=AW173,1,0)</f>
        <v>#N/A</v>
      </c>
      <c r="EJ173" s="138" t="e">
        <f>IF(VLOOKUP(CONCATENATE(H173,F173,EJ$2),Matemáticas!$A:$H,7,FALSE)=AX173,1,0)</f>
        <v>#N/A</v>
      </c>
      <c r="EK173" s="138" t="e">
        <f>IF(VLOOKUP(CONCATENATE(H173,F173,EK$2),Matemáticas!$A:$H,7,FALSE)=AY173,1,0)</f>
        <v>#N/A</v>
      </c>
      <c r="EL173" s="138" t="e">
        <f>IF(VLOOKUP(CONCATENATE(H173,F173,EL$2),Matemáticas!$A:$H,7,FALSE)=AZ173,1,0)</f>
        <v>#N/A</v>
      </c>
      <c r="EM173" s="138" t="e">
        <f>IF(VLOOKUP(CONCATENATE(H173,F173,EM$2),Matemáticas!$A:$H,7,FALSE)=BA173,1,0)</f>
        <v>#N/A</v>
      </c>
      <c r="EN173" s="138" t="e">
        <f>IF(VLOOKUP(CONCATENATE(H173,F173,EN$2),Matemáticas!$A:$H,7,FALSE)=BB173,1,0)</f>
        <v>#N/A</v>
      </c>
      <c r="EO173" s="138" t="e">
        <f>IF(VLOOKUP(CONCATENATE(H173,F173,EO$2),Matemáticas!$A:$H,7,FALSE)=BC173,1,0)</f>
        <v>#N/A</v>
      </c>
      <c r="EP173" s="138" t="e">
        <f>IF(VLOOKUP(CONCATENATE(H173,F173,EP$2),Matemáticas!$A:$H,7,FALSE)=BD173,1,0)</f>
        <v>#N/A</v>
      </c>
      <c r="EQ173" s="138" t="e">
        <f>IF(VLOOKUP(CONCATENATE(H173,F173,EQ$2),Matemáticas!$A:$H,7,FALSE)=BE173,1,0)</f>
        <v>#N/A</v>
      </c>
      <c r="ER173" s="138" t="e">
        <f>IF(VLOOKUP(CONCATENATE(H173,F173,ER$2),Matemáticas!$A:$H,7,FALSE)=BF173,1,0)</f>
        <v>#N/A</v>
      </c>
      <c r="ES173" s="138" t="e">
        <f>IF(VLOOKUP(CONCATENATE(H173,F173,ES$2),Matemáticas!$A:$H,7,FALSE)=BG173,1,0)</f>
        <v>#N/A</v>
      </c>
      <c r="ET173" s="138" t="e">
        <f>IF(VLOOKUP(CONCATENATE(H173,F173,ET$2),Matemáticas!$A:$H,7,FALSE)=BH173,1,0)</f>
        <v>#N/A</v>
      </c>
      <c r="EU173" s="138" t="e">
        <f>IF(VLOOKUP(CONCATENATE(H173,F173,EU$2),Matemáticas!$A:$H,7,FALSE)=BI173,1,0)</f>
        <v>#N/A</v>
      </c>
      <c r="EV173" s="138" t="e">
        <f>IF(VLOOKUP(CONCATENATE(H173,F173,EV$2),Ciencias!$A:$H,7,FALSE)=BJ173,1,0)</f>
        <v>#N/A</v>
      </c>
      <c r="EW173" s="138" t="e">
        <f>IF(VLOOKUP(CONCATENATE(H173,F173,EW$2),Ciencias!$A:$H,7,FALSE)=BK173,1,0)</f>
        <v>#N/A</v>
      </c>
      <c r="EX173" s="138" t="e">
        <f>IF(VLOOKUP(CONCATENATE(H173,F173,EX$2),Ciencias!$A:$H,7,FALSE)=BL173,1,0)</f>
        <v>#N/A</v>
      </c>
      <c r="EY173" s="138" t="e">
        <f>IF(VLOOKUP(CONCATENATE(H173,F173,EY$2),Ciencias!$A:$H,7,FALSE)=BM173,1,0)</f>
        <v>#N/A</v>
      </c>
      <c r="EZ173" s="138" t="e">
        <f>IF(VLOOKUP(CONCATENATE(H173,F173,EZ$2),Ciencias!$A:$H,7,FALSE)=BN173,1,0)</f>
        <v>#N/A</v>
      </c>
      <c r="FA173" s="138" t="e">
        <f>IF(VLOOKUP(CONCATENATE(H173,F173,FA$2),Ciencias!$A:$H,7,FALSE)=BO173,1,0)</f>
        <v>#N/A</v>
      </c>
      <c r="FB173" s="138" t="e">
        <f>IF(VLOOKUP(CONCATENATE(H173,F173,FB$2),Ciencias!$A:$H,7,FALSE)=BP173,1,0)</f>
        <v>#N/A</v>
      </c>
      <c r="FC173" s="138" t="e">
        <f>IF(VLOOKUP(CONCATENATE(H173,F173,FC$2),Ciencias!$A:$H,7,FALSE)=BQ173,1,0)</f>
        <v>#N/A</v>
      </c>
      <c r="FD173" s="138" t="e">
        <f>IF(VLOOKUP(CONCATENATE(H173,F173,FD$2),Ciencias!$A:$H,7,FALSE)=BR173,1,0)</f>
        <v>#N/A</v>
      </c>
      <c r="FE173" s="138" t="e">
        <f>IF(VLOOKUP(CONCATENATE(H173,F173,FE$2),Ciencias!$A:$H,7,FALSE)=BS173,1,0)</f>
        <v>#N/A</v>
      </c>
      <c r="FF173" s="138" t="e">
        <f>IF(VLOOKUP(CONCATENATE(H173,F173,FF$2),Ciencias!$A:$H,7,FALSE)=BT173,1,0)</f>
        <v>#N/A</v>
      </c>
      <c r="FG173" s="138" t="e">
        <f>IF(VLOOKUP(CONCATENATE(H173,F173,FG$2),Ciencias!$A:$H,7,FALSE)=BU173,1,0)</f>
        <v>#N/A</v>
      </c>
      <c r="FH173" s="138" t="e">
        <f>IF(VLOOKUP(CONCATENATE(H173,F173,FH$2),Ciencias!$A:$H,7,FALSE)=BV173,1,0)</f>
        <v>#N/A</v>
      </c>
      <c r="FI173" s="138" t="e">
        <f>IF(VLOOKUP(CONCATENATE(H173,F173,FI$2),Ciencias!$A:$H,7,FALSE)=BW173,1,0)</f>
        <v>#N/A</v>
      </c>
      <c r="FJ173" s="138" t="e">
        <f>IF(VLOOKUP(CONCATENATE(H173,F173,FJ$2),Ciencias!$A:$H,7,FALSE)=BX173,1,0)</f>
        <v>#N/A</v>
      </c>
      <c r="FK173" s="138" t="e">
        <f>IF(VLOOKUP(CONCATENATE(H173,F173,FK$2),Ciencias!$A:$H,7,FALSE)=BY173,1,0)</f>
        <v>#N/A</v>
      </c>
      <c r="FL173" s="138" t="e">
        <f>IF(VLOOKUP(CONCATENATE(H173,F173,FL$2),Ciencias!$A:$H,7,FALSE)=BZ173,1,0)</f>
        <v>#N/A</v>
      </c>
      <c r="FM173" s="138" t="e">
        <f>IF(VLOOKUP(CONCATENATE(H173,F173,FM$2),Ciencias!$A:$H,7,FALSE)=CA173,1,0)</f>
        <v>#N/A</v>
      </c>
      <c r="FN173" s="138" t="e">
        <f>IF(VLOOKUP(CONCATENATE(H173,F173,FN$2),Ciencias!$A:$H,7,FALSE)=CB173,1,0)</f>
        <v>#N/A</v>
      </c>
      <c r="FO173" s="138" t="e">
        <f>IF(VLOOKUP(CONCATENATE(H173,F173,FO$2),Ciencias!$A:$H,7,FALSE)=CC173,1,0)</f>
        <v>#N/A</v>
      </c>
      <c r="FP173" s="138" t="e">
        <f>IF(VLOOKUP(CONCATENATE(H173,F173,FP$2),GeoHis!$A:$H,7,FALSE)=CD173,1,0)</f>
        <v>#N/A</v>
      </c>
      <c r="FQ173" s="138" t="e">
        <f>IF(VLOOKUP(CONCATENATE(H173,F173,FQ$2),GeoHis!$A:$H,7,FALSE)=CE173,1,0)</f>
        <v>#N/A</v>
      </c>
      <c r="FR173" s="138" t="e">
        <f>IF(VLOOKUP(CONCATENATE(H173,F173,FR$2),GeoHis!$A:$H,7,FALSE)=CF173,1,0)</f>
        <v>#N/A</v>
      </c>
      <c r="FS173" s="138" t="e">
        <f>IF(VLOOKUP(CONCATENATE(H173,F173,FS$2),GeoHis!$A:$H,7,FALSE)=CG173,1,0)</f>
        <v>#N/A</v>
      </c>
      <c r="FT173" s="138" t="e">
        <f>IF(VLOOKUP(CONCATENATE(H173,F173,FT$2),GeoHis!$A:$H,7,FALSE)=CH173,1,0)</f>
        <v>#N/A</v>
      </c>
      <c r="FU173" s="138" t="e">
        <f>IF(VLOOKUP(CONCATENATE(H173,F173,FU$2),GeoHis!$A:$H,7,FALSE)=CI173,1,0)</f>
        <v>#N/A</v>
      </c>
      <c r="FV173" s="138" t="e">
        <f>IF(VLOOKUP(CONCATENATE(H173,F173,FV$2),GeoHis!$A:$H,7,FALSE)=CJ173,1,0)</f>
        <v>#N/A</v>
      </c>
      <c r="FW173" s="138" t="e">
        <f>IF(VLOOKUP(CONCATENATE(H173,F173,FW$2),GeoHis!$A:$H,7,FALSE)=CK173,1,0)</f>
        <v>#N/A</v>
      </c>
      <c r="FX173" s="138" t="e">
        <f>IF(VLOOKUP(CONCATENATE(H173,F173,FX$2),GeoHis!$A:$H,7,FALSE)=CL173,1,0)</f>
        <v>#N/A</v>
      </c>
      <c r="FY173" s="138" t="e">
        <f>IF(VLOOKUP(CONCATENATE(H173,F173,FY$2),GeoHis!$A:$H,7,FALSE)=CM173,1,0)</f>
        <v>#N/A</v>
      </c>
      <c r="FZ173" s="138" t="e">
        <f>IF(VLOOKUP(CONCATENATE(H173,F173,FZ$2),GeoHis!$A:$H,7,FALSE)=CN173,1,0)</f>
        <v>#N/A</v>
      </c>
      <c r="GA173" s="138" t="e">
        <f>IF(VLOOKUP(CONCATENATE(H173,F173,GA$2),GeoHis!$A:$H,7,FALSE)=CO173,1,0)</f>
        <v>#N/A</v>
      </c>
      <c r="GB173" s="138" t="e">
        <f>IF(VLOOKUP(CONCATENATE(H173,F173,GB$2),GeoHis!$A:$H,7,FALSE)=CP173,1,0)</f>
        <v>#N/A</v>
      </c>
      <c r="GC173" s="138" t="e">
        <f>IF(VLOOKUP(CONCATENATE(H173,F173,GC$2),GeoHis!$A:$H,7,FALSE)=CQ173,1,0)</f>
        <v>#N/A</v>
      </c>
      <c r="GD173" s="138" t="e">
        <f>IF(VLOOKUP(CONCATENATE(H173,F173,GD$2),GeoHis!$A:$H,7,FALSE)=CR173,1,0)</f>
        <v>#N/A</v>
      </c>
      <c r="GE173" s="135" t="str">
        <f t="shared" si="23"/>
        <v/>
      </c>
    </row>
    <row r="174" spans="1:187" x14ac:dyDescent="0.25">
      <c r="A174" s="127" t="str">
        <f>IF(C174="","",'Datos Generales'!$A$25)</f>
        <v/>
      </c>
      <c r="D174" s="126" t="str">
        <f t="shared" si="16"/>
        <v/>
      </c>
      <c r="E174" s="126">
        <f t="shared" si="17"/>
        <v>0</v>
      </c>
      <c r="F174" s="126" t="str">
        <f t="shared" si="18"/>
        <v/>
      </c>
      <c r="G174" s="126" t="str">
        <f>IF(C174="","",'Datos Generales'!$D$19)</f>
        <v/>
      </c>
      <c r="H174" s="21" t="str">
        <f>IF(C174="","",'Datos Generales'!$A$19)</f>
        <v/>
      </c>
      <c r="I174" s="126" t="str">
        <f>IF(C174="","",'Datos Generales'!$A$7)</f>
        <v/>
      </c>
      <c r="J174" s="21" t="str">
        <f>IF(C174="","",'Datos Generales'!$A$13)</f>
        <v/>
      </c>
      <c r="K174" s="21" t="str">
        <f>IF(C174="","",'Datos Generales'!$A$10)</f>
        <v/>
      </c>
      <c r="CS174" s="142" t="str">
        <f t="shared" si="19"/>
        <v/>
      </c>
      <c r="CT174" s="142" t="str">
        <f t="shared" si="20"/>
        <v/>
      </c>
      <c r="CU174" s="142" t="str">
        <f t="shared" si="21"/>
        <v/>
      </c>
      <c r="CV174" s="142" t="str">
        <f t="shared" si="22"/>
        <v/>
      </c>
      <c r="CW174" s="142" t="str">
        <f>IF(C174="","",IF('Datos Generales'!$A$19=1,AVERAGE(FP174:GD174),AVERAGE(Captura!FP174:FY174)))</f>
        <v/>
      </c>
      <c r="CX174" s="138" t="e">
        <f>IF(VLOOKUP(CONCATENATE($H$4,$F$4,CX$2),Español!$A:$H,7,FALSE)=L174,1,0)</f>
        <v>#N/A</v>
      </c>
      <c r="CY174" s="138" t="e">
        <f>IF(VLOOKUP(CONCATENATE(H174,F174,CY$2),Español!$A:$H,7,FALSE)=M174,1,0)</f>
        <v>#N/A</v>
      </c>
      <c r="CZ174" s="138" t="e">
        <f>IF(VLOOKUP(CONCATENATE(H174,F174,CZ$2),Español!$A:$H,7,FALSE)=N174,1,0)</f>
        <v>#N/A</v>
      </c>
      <c r="DA174" s="138" t="e">
        <f>IF(VLOOKUP(CONCATENATE(H174,F174,DA$2),Español!$A:$H,7,FALSE)=O174,1,0)</f>
        <v>#N/A</v>
      </c>
      <c r="DB174" s="138" t="e">
        <f>IF(VLOOKUP(CONCATENATE(H174,F174,DB$2),Español!$A:$H,7,FALSE)=P174,1,0)</f>
        <v>#N/A</v>
      </c>
      <c r="DC174" s="138" t="e">
        <f>IF(VLOOKUP(CONCATENATE(H174,F174,DC$2),Español!$A:$H,7,FALSE)=Q174,1,0)</f>
        <v>#N/A</v>
      </c>
      <c r="DD174" s="138" t="e">
        <f>IF(VLOOKUP(CONCATENATE(H174,F174,DD$2),Español!$A:$H,7,FALSE)=R174,1,0)</f>
        <v>#N/A</v>
      </c>
      <c r="DE174" s="138" t="e">
        <f>IF(VLOOKUP(CONCATENATE(H174,F174,DE$2),Español!$A:$H,7,FALSE)=S174,1,0)</f>
        <v>#N/A</v>
      </c>
      <c r="DF174" s="138" t="e">
        <f>IF(VLOOKUP(CONCATENATE(H174,F174,DF$2),Español!$A:$H,7,FALSE)=T174,1,0)</f>
        <v>#N/A</v>
      </c>
      <c r="DG174" s="138" t="e">
        <f>IF(VLOOKUP(CONCATENATE(H174,F174,DG$2),Español!$A:$H,7,FALSE)=U174,1,0)</f>
        <v>#N/A</v>
      </c>
      <c r="DH174" s="138" t="e">
        <f>IF(VLOOKUP(CONCATENATE(H174,F174,DH$2),Español!$A:$H,7,FALSE)=V174,1,0)</f>
        <v>#N/A</v>
      </c>
      <c r="DI174" s="138" t="e">
        <f>IF(VLOOKUP(CONCATENATE(H174,F174,DI$2),Español!$A:$H,7,FALSE)=W174,1,0)</f>
        <v>#N/A</v>
      </c>
      <c r="DJ174" s="138" t="e">
        <f>IF(VLOOKUP(CONCATENATE(H174,F174,DJ$2),Español!$A:$H,7,FALSE)=X174,1,0)</f>
        <v>#N/A</v>
      </c>
      <c r="DK174" s="138" t="e">
        <f>IF(VLOOKUP(CONCATENATE(H174,F174,DK$2),Español!$A:$H,7,FALSE)=Y174,1,0)</f>
        <v>#N/A</v>
      </c>
      <c r="DL174" s="138" t="e">
        <f>IF(VLOOKUP(CONCATENATE(H174,F174,DL$2),Español!$A:$H,7,FALSE)=Z174,1,0)</f>
        <v>#N/A</v>
      </c>
      <c r="DM174" s="138" t="e">
        <f>IF(VLOOKUP(CONCATENATE(H174,F174,DM$2),Español!$A:$H,7,FALSE)=AA174,1,0)</f>
        <v>#N/A</v>
      </c>
      <c r="DN174" s="138" t="e">
        <f>IF(VLOOKUP(CONCATENATE(H174,F174,DN$2),Español!$A:$H,7,FALSE)=AB174,1,0)</f>
        <v>#N/A</v>
      </c>
      <c r="DO174" s="138" t="e">
        <f>IF(VLOOKUP(CONCATENATE(H174,F174,DO$2),Español!$A:$H,7,FALSE)=AC174,1,0)</f>
        <v>#N/A</v>
      </c>
      <c r="DP174" s="138" t="e">
        <f>IF(VLOOKUP(CONCATENATE(H174,F174,DP$2),Español!$A:$H,7,FALSE)=AD174,1,0)</f>
        <v>#N/A</v>
      </c>
      <c r="DQ174" s="138" t="e">
        <f>IF(VLOOKUP(CONCATENATE(H174,F174,DQ$2),Español!$A:$H,7,FALSE)=AE174,1,0)</f>
        <v>#N/A</v>
      </c>
      <c r="DR174" s="138" t="e">
        <f>IF(VLOOKUP(CONCATENATE(H174,F174,DR$2),Inglés!$A:$H,7,FALSE)=AF174,1,0)</f>
        <v>#N/A</v>
      </c>
      <c r="DS174" s="138" t="e">
        <f>IF(VLOOKUP(CONCATENATE(H174,F174,DS$2),Inglés!$A:$H,7,FALSE)=AG174,1,0)</f>
        <v>#N/A</v>
      </c>
      <c r="DT174" s="138" t="e">
        <f>IF(VLOOKUP(CONCATENATE(H174,F174,DT$2),Inglés!$A:$H,7,FALSE)=AH174,1,0)</f>
        <v>#N/A</v>
      </c>
      <c r="DU174" s="138" t="e">
        <f>IF(VLOOKUP(CONCATENATE(H174,F174,DU$2),Inglés!$A:$H,7,FALSE)=AI174,1,0)</f>
        <v>#N/A</v>
      </c>
      <c r="DV174" s="138" t="e">
        <f>IF(VLOOKUP(CONCATENATE(H174,F174,DV$2),Inglés!$A:$H,7,FALSE)=AJ174,1,0)</f>
        <v>#N/A</v>
      </c>
      <c r="DW174" s="138" t="e">
        <f>IF(VLOOKUP(CONCATENATE(H174,F174,DW$2),Inglés!$A:$H,7,FALSE)=AK174,1,0)</f>
        <v>#N/A</v>
      </c>
      <c r="DX174" s="138" t="e">
        <f>IF(VLOOKUP(CONCATENATE(H174,F174,DX$2),Inglés!$A:$H,7,FALSE)=AL174,1,0)</f>
        <v>#N/A</v>
      </c>
      <c r="DY174" s="138" t="e">
        <f>IF(VLOOKUP(CONCATENATE(H174,F174,DY$2),Inglés!$A:$H,7,FALSE)=AM174,1,0)</f>
        <v>#N/A</v>
      </c>
      <c r="DZ174" s="138" t="e">
        <f>IF(VLOOKUP(CONCATENATE(H174,F174,DZ$2),Inglés!$A:$H,7,FALSE)=AN174,1,0)</f>
        <v>#N/A</v>
      </c>
      <c r="EA174" s="138" t="e">
        <f>IF(VLOOKUP(CONCATENATE(H174,F174,EA$2),Inglés!$A:$H,7,FALSE)=AO174,1,0)</f>
        <v>#N/A</v>
      </c>
      <c r="EB174" s="138" t="e">
        <f>IF(VLOOKUP(CONCATENATE(H174,F174,EB$2),Matemáticas!$A:$H,7,FALSE)=AP174,1,0)</f>
        <v>#N/A</v>
      </c>
      <c r="EC174" s="138" t="e">
        <f>IF(VLOOKUP(CONCATENATE(H174,F174,EC$2),Matemáticas!$A:$H,7,FALSE)=AQ174,1,0)</f>
        <v>#N/A</v>
      </c>
      <c r="ED174" s="138" t="e">
        <f>IF(VLOOKUP(CONCATENATE(H174,F174,ED$2),Matemáticas!$A:$H,7,FALSE)=AR174,1,0)</f>
        <v>#N/A</v>
      </c>
      <c r="EE174" s="138" t="e">
        <f>IF(VLOOKUP(CONCATENATE(H174,F174,EE$2),Matemáticas!$A:$H,7,FALSE)=AS174,1,0)</f>
        <v>#N/A</v>
      </c>
      <c r="EF174" s="138" t="e">
        <f>IF(VLOOKUP(CONCATENATE(H174,F174,EF$2),Matemáticas!$A:$H,7,FALSE)=AT174,1,0)</f>
        <v>#N/A</v>
      </c>
      <c r="EG174" s="138" t="e">
        <f>IF(VLOOKUP(CONCATENATE(H174,F174,EG$2),Matemáticas!$A:$H,7,FALSE)=AU174,1,0)</f>
        <v>#N/A</v>
      </c>
      <c r="EH174" s="138" t="e">
        <f>IF(VLOOKUP(CONCATENATE(H174,F174,EH$2),Matemáticas!$A:$H,7,FALSE)=AV174,1,0)</f>
        <v>#N/A</v>
      </c>
      <c r="EI174" s="138" t="e">
        <f>IF(VLOOKUP(CONCATENATE(H174,F174,EI$2),Matemáticas!$A:$H,7,FALSE)=AW174,1,0)</f>
        <v>#N/A</v>
      </c>
      <c r="EJ174" s="138" t="e">
        <f>IF(VLOOKUP(CONCATENATE(H174,F174,EJ$2),Matemáticas!$A:$H,7,FALSE)=AX174,1,0)</f>
        <v>#N/A</v>
      </c>
      <c r="EK174" s="138" t="e">
        <f>IF(VLOOKUP(CONCATENATE(H174,F174,EK$2),Matemáticas!$A:$H,7,FALSE)=AY174,1,0)</f>
        <v>#N/A</v>
      </c>
      <c r="EL174" s="138" t="e">
        <f>IF(VLOOKUP(CONCATENATE(H174,F174,EL$2),Matemáticas!$A:$H,7,FALSE)=AZ174,1,0)</f>
        <v>#N/A</v>
      </c>
      <c r="EM174" s="138" t="e">
        <f>IF(VLOOKUP(CONCATENATE(H174,F174,EM$2),Matemáticas!$A:$H,7,FALSE)=BA174,1,0)</f>
        <v>#N/A</v>
      </c>
      <c r="EN174" s="138" t="e">
        <f>IF(VLOOKUP(CONCATENATE(H174,F174,EN$2),Matemáticas!$A:$H,7,FALSE)=BB174,1,0)</f>
        <v>#N/A</v>
      </c>
      <c r="EO174" s="138" t="e">
        <f>IF(VLOOKUP(CONCATENATE(H174,F174,EO$2),Matemáticas!$A:$H,7,FALSE)=BC174,1,0)</f>
        <v>#N/A</v>
      </c>
      <c r="EP174" s="138" t="e">
        <f>IF(VLOOKUP(CONCATENATE(H174,F174,EP$2),Matemáticas!$A:$H,7,FALSE)=BD174,1,0)</f>
        <v>#N/A</v>
      </c>
      <c r="EQ174" s="138" t="e">
        <f>IF(VLOOKUP(CONCATENATE(H174,F174,EQ$2),Matemáticas!$A:$H,7,FALSE)=BE174,1,0)</f>
        <v>#N/A</v>
      </c>
      <c r="ER174" s="138" t="e">
        <f>IF(VLOOKUP(CONCATENATE(H174,F174,ER$2),Matemáticas!$A:$H,7,FALSE)=BF174,1,0)</f>
        <v>#N/A</v>
      </c>
      <c r="ES174" s="138" t="e">
        <f>IF(VLOOKUP(CONCATENATE(H174,F174,ES$2),Matemáticas!$A:$H,7,FALSE)=BG174,1,0)</f>
        <v>#N/A</v>
      </c>
      <c r="ET174" s="138" t="e">
        <f>IF(VLOOKUP(CONCATENATE(H174,F174,ET$2),Matemáticas!$A:$H,7,FALSE)=BH174,1,0)</f>
        <v>#N/A</v>
      </c>
      <c r="EU174" s="138" t="e">
        <f>IF(VLOOKUP(CONCATENATE(H174,F174,EU$2),Matemáticas!$A:$H,7,FALSE)=BI174,1,0)</f>
        <v>#N/A</v>
      </c>
      <c r="EV174" s="138" t="e">
        <f>IF(VLOOKUP(CONCATENATE(H174,F174,EV$2),Ciencias!$A:$H,7,FALSE)=BJ174,1,0)</f>
        <v>#N/A</v>
      </c>
      <c r="EW174" s="138" t="e">
        <f>IF(VLOOKUP(CONCATENATE(H174,F174,EW$2),Ciencias!$A:$H,7,FALSE)=BK174,1,0)</f>
        <v>#N/A</v>
      </c>
      <c r="EX174" s="138" t="e">
        <f>IF(VLOOKUP(CONCATENATE(H174,F174,EX$2),Ciencias!$A:$H,7,FALSE)=BL174,1,0)</f>
        <v>#N/A</v>
      </c>
      <c r="EY174" s="138" t="e">
        <f>IF(VLOOKUP(CONCATENATE(H174,F174,EY$2),Ciencias!$A:$H,7,FALSE)=BM174,1,0)</f>
        <v>#N/A</v>
      </c>
      <c r="EZ174" s="138" t="e">
        <f>IF(VLOOKUP(CONCATENATE(H174,F174,EZ$2),Ciencias!$A:$H,7,FALSE)=BN174,1,0)</f>
        <v>#N/A</v>
      </c>
      <c r="FA174" s="138" t="e">
        <f>IF(VLOOKUP(CONCATENATE(H174,F174,FA$2),Ciencias!$A:$H,7,FALSE)=BO174,1,0)</f>
        <v>#N/A</v>
      </c>
      <c r="FB174" s="138" t="e">
        <f>IF(VLOOKUP(CONCATENATE(H174,F174,FB$2),Ciencias!$A:$H,7,FALSE)=BP174,1,0)</f>
        <v>#N/A</v>
      </c>
      <c r="FC174" s="138" t="e">
        <f>IF(VLOOKUP(CONCATENATE(H174,F174,FC$2),Ciencias!$A:$H,7,FALSE)=BQ174,1,0)</f>
        <v>#N/A</v>
      </c>
      <c r="FD174" s="138" t="e">
        <f>IF(VLOOKUP(CONCATENATE(H174,F174,FD$2),Ciencias!$A:$H,7,FALSE)=BR174,1,0)</f>
        <v>#N/A</v>
      </c>
      <c r="FE174" s="138" t="e">
        <f>IF(VLOOKUP(CONCATENATE(H174,F174,FE$2),Ciencias!$A:$H,7,FALSE)=BS174,1,0)</f>
        <v>#N/A</v>
      </c>
      <c r="FF174" s="138" t="e">
        <f>IF(VLOOKUP(CONCATENATE(H174,F174,FF$2),Ciencias!$A:$H,7,FALSE)=BT174,1,0)</f>
        <v>#N/A</v>
      </c>
      <c r="FG174" s="138" t="e">
        <f>IF(VLOOKUP(CONCATENATE(H174,F174,FG$2),Ciencias!$A:$H,7,FALSE)=BU174,1,0)</f>
        <v>#N/A</v>
      </c>
      <c r="FH174" s="138" t="e">
        <f>IF(VLOOKUP(CONCATENATE(H174,F174,FH$2),Ciencias!$A:$H,7,FALSE)=BV174,1,0)</f>
        <v>#N/A</v>
      </c>
      <c r="FI174" s="138" t="e">
        <f>IF(VLOOKUP(CONCATENATE(H174,F174,FI$2),Ciencias!$A:$H,7,FALSE)=BW174,1,0)</f>
        <v>#N/A</v>
      </c>
      <c r="FJ174" s="138" t="e">
        <f>IF(VLOOKUP(CONCATENATE(H174,F174,FJ$2),Ciencias!$A:$H,7,FALSE)=BX174,1,0)</f>
        <v>#N/A</v>
      </c>
      <c r="FK174" s="138" t="e">
        <f>IF(VLOOKUP(CONCATENATE(H174,F174,FK$2),Ciencias!$A:$H,7,FALSE)=BY174,1,0)</f>
        <v>#N/A</v>
      </c>
      <c r="FL174" s="138" t="e">
        <f>IF(VLOOKUP(CONCATENATE(H174,F174,FL$2),Ciencias!$A:$H,7,FALSE)=BZ174,1,0)</f>
        <v>#N/A</v>
      </c>
      <c r="FM174" s="138" t="e">
        <f>IF(VLOOKUP(CONCATENATE(H174,F174,FM$2),Ciencias!$A:$H,7,FALSE)=CA174,1,0)</f>
        <v>#N/A</v>
      </c>
      <c r="FN174" s="138" t="e">
        <f>IF(VLOOKUP(CONCATENATE(H174,F174,FN$2),Ciencias!$A:$H,7,FALSE)=CB174,1,0)</f>
        <v>#N/A</v>
      </c>
      <c r="FO174" s="138" t="e">
        <f>IF(VLOOKUP(CONCATENATE(H174,F174,FO$2),Ciencias!$A:$H,7,FALSE)=CC174,1,0)</f>
        <v>#N/A</v>
      </c>
      <c r="FP174" s="138" t="e">
        <f>IF(VLOOKUP(CONCATENATE(H174,F174,FP$2),GeoHis!$A:$H,7,FALSE)=CD174,1,0)</f>
        <v>#N/A</v>
      </c>
      <c r="FQ174" s="138" t="e">
        <f>IF(VLOOKUP(CONCATENATE(H174,F174,FQ$2),GeoHis!$A:$H,7,FALSE)=CE174,1,0)</f>
        <v>#N/A</v>
      </c>
      <c r="FR174" s="138" t="e">
        <f>IF(VLOOKUP(CONCATENATE(H174,F174,FR$2),GeoHis!$A:$H,7,FALSE)=CF174,1,0)</f>
        <v>#N/A</v>
      </c>
      <c r="FS174" s="138" t="e">
        <f>IF(VLOOKUP(CONCATENATE(H174,F174,FS$2),GeoHis!$A:$H,7,FALSE)=CG174,1,0)</f>
        <v>#N/A</v>
      </c>
      <c r="FT174" s="138" t="e">
        <f>IF(VLOOKUP(CONCATENATE(H174,F174,FT$2),GeoHis!$A:$H,7,FALSE)=CH174,1,0)</f>
        <v>#N/A</v>
      </c>
      <c r="FU174" s="138" t="e">
        <f>IF(VLOOKUP(CONCATENATE(H174,F174,FU$2),GeoHis!$A:$H,7,FALSE)=CI174,1,0)</f>
        <v>#N/A</v>
      </c>
      <c r="FV174" s="138" t="e">
        <f>IF(VLOOKUP(CONCATENATE(H174,F174,FV$2),GeoHis!$A:$H,7,FALSE)=CJ174,1,0)</f>
        <v>#N/A</v>
      </c>
      <c r="FW174" s="138" t="e">
        <f>IF(VLOOKUP(CONCATENATE(H174,F174,FW$2),GeoHis!$A:$H,7,FALSE)=CK174,1,0)</f>
        <v>#N/A</v>
      </c>
      <c r="FX174" s="138" t="e">
        <f>IF(VLOOKUP(CONCATENATE(H174,F174,FX$2),GeoHis!$A:$H,7,FALSE)=CL174,1,0)</f>
        <v>#N/A</v>
      </c>
      <c r="FY174" s="138" t="e">
        <f>IF(VLOOKUP(CONCATENATE(H174,F174,FY$2),GeoHis!$A:$H,7,FALSE)=CM174,1,0)</f>
        <v>#N/A</v>
      </c>
      <c r="FZ174" s="138" t="e">
        <f>IF(VLOOKUP(CONCATENATE(H174,F174,FZ$2),GeoHis!$A:$H,7,FALSE)=CN174,1,0)</f>
        <v>#N/A</v>
      </c>
      <c r="GA174" s="138" t="e">
        <f>IF(VLOOKUP(CONCATENATE(H174,F174,GA$2),GeoHis!$A:$H,7,FALSE)=CO174,1,0)</f>
        <v>#N/A</v>
      </c>
      <c r="GB174" s="138" t="e">
        <f>IF(VLOOKUP(CONCATENATE(H174,F174,GB$2),GeoHis!$A:$H,7,FALSE)=CP174,1,0)</f>
        <v>#N/A</v>
      </c>
      <c r="GC174" s="138" t="e">
        <f>IF(VLOOKUP(CONCATENATE(H174,F174,GC$2),GeoHis!$A:$H,7,FALSE)=CQ174,1,0)</f>
        <v>#N/A</v>
      </c>
      <c r="GD174" s="138" t="e">
        <f>IF(VLOOKUP(CONCATENATE(H174,F174,GD$2),GeoHis!$A:$H,7,FALSE)=CR174,1,0)</f>
        <v>#N/A</v>
      </c>
      <c r="GE174" s="135" t="str">
        <f t="shared" si="23"/>
        <v/>
      </c>
    </row>
    <row r="175" spans="1:187" x14ac:dyDescent="0.25">
      <c r="A175" s="127" t="str">
        <f>IF(C175="","",'Datos Generales'!$A$25)</f>
        <v/>
      </c>
      <c r="D175" s="126" t="str">
        <f t="shared" si="16"/>
        <v/>
      </c>
      <c r="E175" s="126">
        <f t="shared" si="17"/>
        <v>0</v>
      </c>
      <c r="F175" s="126" t="str">
        <f t="shared" si="18"/>
        <v/>
      </c>
      <c r="G175" s="126" t="str">
        <f>IF(C175="","",'Datos Generales'!$D$19)</f>
        <v/>
      </c>
      <c r="H175" s="21" t="str">
        <f>IF(C175="","",'Datos Generales'!$A$19)</f>
        <v/>
      </c>
      <c r="I175" s="126" t="str">
        <f>IF(C175="","",'Datos Generales'!$A$7)</f>
        <v/>
      </c>
      <c r="J175" s="21" t="str">
        <f>IF(C175="","",'Datos Generales'!$A$13)</f>
        <v/>
      </c>
      <c r="K175" s="21" t="str">
        <f>IF(C175="","",'Datos Generales'!$A$10)</f>
        <v/>
      </c>
      <c r="CS175" s="142" t="str">
        <f t="shared" si="19"/>
        <v/>
      </c>
      <c r="CT175" s="142" t="str">
        <f t="shared" si="20"/>
        <v/>
      </c>
      <c r="CU175" s="142" t="str">
        <f t="shared" si="21"/>
        <v/>
      </c>
      <c r="CV175" s="142" t="str">
        <f t="shared" si="22"/>
        <v/>
      </c>
      <c r="CW175" s="142" t="str">
        <f>IF(C175="","",IF('Datos Generales'!$A$19=1,AVERAGE(FP175:GD175),AVERAGE(Captura!FP175:FY175)))</f>
        <v/>
      </c>
      <c r="CX175" s="138" t="e">
        <f>IF(VLOOKUP(CONCATENATE($H$4,$F$4,CX$2),Español!$A:$H,7,FALSE)=L175,1,0)</f>
        <v>#N/A</v>
      </c>
      <c r="CY175" s="138" t="e">
        <f>IF(VLOOKUP(CONCATENATE(H175,F175,CY$2),Español!$A:$H,7,FALSE)=M175,1,0)</f>
        <v>#N/A</v>
      </c>
      <c r="CZ175" s="138" t="e">
        <f>IF(VLOOKUP(CONCATENATE(H175,F175,CZ$2),Español!$A:$H,7,FALSE)=N175,1,0)</f>
        <v>#N/A</v>
      </c>
      <c r="DA175" s="138" t="e">
        <f>IF(VLOOKUP(CONCATENATE(H175,F175,DA$2),Español!$A:$H,7,FALSE)=O175,1,0)</f>
        <v>#N/A</v>
      </c>
      <c r="DB175" s="138" t="e">
        <f>IF(VLOOKUP(CONCATENATE(H175,F175,DB$2),Español!$A:$H,7,FALSE)=P175,1,0)</f>
        <v>#N/A</v>
      </c>
      <c r="DC175" s="138" t="e">
        <f>IF(VLOOKUP(CONCATENATE(H175,F175,DC$2),Español!$A:$H,7,FALSE)=Q175,1,0)</f>
        <v>#N/A</v>
      </c>
      <c r="DD175" s="138" t="e">
        <f>IF(VLOOKUP(CONCATENATE(H175,F175,DD$2),Español!$A:$H,7,FALSE)=R175,1,0)</f>
        <v>#N/A</v>
      </c>
      <c r="DE175" s="138" t="e">
        <f>IF(VLOOKUP(CONCATENATE(H175,F175,DE$2),Español!$A:$H,7,FALSE)=S175,1,0)</f>
        <v>#N/A</v>
      </c>
      <c r="DF175" s="138" t="e">
        <f>IF(VLOOKUP(CONCATENATE(H175,F175,DF$2),Español!$A:$H,7,FALSE)=T175,1,0)</f>
        <v>#N/A</v>
      </c>
      <c r="DG175" s="138" t="e">
        <f>IF(VLOOKUP(CONCATENATE(H175,F175,DG$2),Español!$A:$H,7,FALSE)=U175,1,0)</f>
        <v>#N/A</v>
      </c>
      <c r="DH175" s="138" t="e">
        <f>IF(VLOOKUP(CONCATENATE(H175,F175,DH$2),Español!$A:$H,7,FALSE)=V175,1,0)</f>
        <v>#N/A</v>
      </c>
      <c r="DI175" s="138" t="e">
        <f>IF(VLOOKUP(CONCATENATE(H175,F175,DI$2),Español!$A:$H,7,FALSE)=W175,1,0)</f>
        <v>#N/A</v>
      </c>
      <c r="DJ175" s="138" t="e">
        <f>IF(VLOOKUP(CONCATENATE(H175,F175,DJ$2),Español!$A:$H,7,FALSE)=X175,1,0)</f>
        <v>#N/A</v>
      </c>
      <c r="DK175" s="138" t="e">
        <f>IF(VLOOKUP(CONCATENATE(H175,F175,DK$2),Español!$A:$H,7,FALSE)=Y175,1,0)</f>
        <v>#N/A</v>
      </c>
      <c r="DL175" s="138" t="e">
        <f>IF(VLOOKUP(CONCATENATE(H175,F175,DL$2),Español!$A:$H,7,FALSE)=Z175,1,0)</f>
        <v>#N/A</v>
      </c>
      <c r="DM175" s="138" t="e">
        <f>IF(VLOOKUP(CONCATENATE(H175,F175,DM$2),Español!$A:$H,7,FALSE)=AA175,1,0)</f>
        <v>#N/A</v>
      </c>
      <c r="DN175" s="138" t="e">
        <f>IF(VLOOKUP(CONCATENATE(H175,F175,DN$2),Español!$A:$H,7,FALSE)=AB175,1,0)</f>
        <v>#N/A</v>
      </c>
      <c r="DO175" s="138" t="e">
        <f>IF(VLOOKUP(CONCATENATE(H175,F175,DO$2),Español!$A:$H,7,FALSE)=AC175,1,0)</f>
        <v>#N/A</v>
      </c>
      <c r="DP175" s="138" t="e">
        <f>IF(VLOOKUP(CONCATENATE(H175,F175,DP$2),Español!$A:$H,7,FALSE)=AD175,1,0)</f>
        <v>#N/A</v>
      </c>
      <c r="DQ175" s="138" t="e">
        <f>IF(VLOOKUP(CONCATENATE(H175,F175,DQ$2),Español!$A:$H,7,FALSE)=AE175,1,0)</f>
        <v>#N/A</v>
      </c>
      <c r="DR175" s="138" t="e">
        <f>IF(VLOOKUP(CONCATENATE(H175,F175,DR$2),Inglés!$A:$H,7,FALSE)=AF175,1,0)</f>
        <v>#N/A</v>
      </c>
      <c r="DS175" s="138" t="e">
        <f>IF(VLOOKUP(CONCATENATE(H175,F175,DS$2),Inglés!$A:$H,7,FALSE)=AG175,1,0)</f>
        <v>#N/A</v>
      </c>
      <c r="DT175" s="138" t="e">
        <f>IF(VLOOKUP(CONCATENATE(H175,F175,DT$2),Inglés!$A:$H,7,FALSE)=AH175,1,0)</f>
        <v>#N/A</v>
      </c>
      <c r="DU175" s="138" t="e">
        <f>IF(VLOOKUP(CONCATENATE(H175,F175,DU$2),Inglés!$A:$H,7,FALSE)=AI175,1,0)</f>
        <v>#N/A</v>
      </c>
      <c r="DV175" s="138" t="e">
        <f>IF(VLOOKUP(CONCATENATE(H175,F175,DV$2),Inglés!$A:$H,7,FALSE)=AJ175,1,0)</f>
        <v>#N/A</v>
      </c>
      <c r="DW175" s="138" t="e">
        <f>IF(VLOOKUP(CONCATENATE(H175,F175,DW$2),Inglés!$A:$H,7,FALSE)=AK175,1,0)</f>
        <v>#N/A</v>
      </c>
      <c r="DX175" s="138" t="e">
        <f>IF(VLOOKUP(CONCATENATE(H175,F175,DX$2),Inglés!$A:$H,7,FALSE)=AL175,1,0)</f>
        <v>#N/A</v>
      </c>
      <c r="DY175" s="138" t="e">
        <f>IF(VLOOKUP(CONCATENATE(H175,F175,DY$2),Inglés!$A:$H,7,FALSE)=AM175,1,0)</f>
        <v>#N/A</v>
      </c>
      <c r="DZ175" s="138" t="e">
        <f>IF(VLOOKUP(CONCATENATE(H175,F175,DZ$2),Inglés!$A:$H,7,FALSE)=AN175,1,0)</f>
        <v>#N/A</v>
      </c>
      <c r="EA175" s="138" t="e">
        <f>IF(VLOOKUP(CONCATENATE(H175,F175,EA$2),Inglés!$A:$H,7,FALSE)=AO175,1,0)</f>
        <v>#N/A</v>
      </c>
      <c r="EB175" s="138" t="e">
        <f>IF(VLOOKUP(CONCATENATE(H175,F175,EB$2),Matemáticas!$A:$H,7,FALSE)=AP175,1,0)</f>
        <v>#N/A</v>
      </c>
      <c r="EC175" s="138" t="e">
        <f>IF(VLOOKUP(CONCATENATE(H175,F175,EC$2),Matemáticas!$A:$H,7,FALSE)=AQ175,1,0)</f>
        <v>#N/A</v>
      </c>
      <c r="ED175" s="138" t="e">
        <f>IF(VLOOKUP(CONCATENATE(H175,F175,ED$2),Matemáticas!$A:$H,7,FALSE)=AR175,1,0)</f>
        <v>#N/A</v>
      </c>
      <c r="EE175" s="138" t="e">
        <f>IF(VLOOKUP(CONCATENATE(H175,F175,EE$2),Matemáticas!$A:$H,7,FALSE)=AS175,1,0)</f>
        <v>#N/A</v>
      </c>
      <c r="EF175" s="138" t="e">
        <f>IF(VLOOKUP(CONCATENATE(H175,F175,EF$2),Matemáticas!$A:$H,7,FALSE)=AT175,1,0)</f>
        <v>#N/A</v>
      </c>
      <c r="EG175" s="138" t="e">
        <f>IF(VLOOKUP(CONCATENATE(H175,F175,EG$2),Matemáticas!$A:$H,7,FALSE)=AU175,1,0)</f>
        <v>#N/A</v>
      </c>
      <c r="EH175" s="138" t="e">
        <f>IF(VLOOKUP(CONCATENATE(H175,F175,EH$2),Matemáticas!$A:$H,7,FALSE)=AV175,1,0)</f>
        <v>#N/A</v>
      </c>
      <c r="EI175" s="138" t="e">
        <f>IF(VLOOKUP(CONCATENATE(H175,F175,EI$2),Matemáticas!$A:$H,7,FALSE)=AW175,1,0)</f>
        <v>#N/A</v>
      </c>
      <c r="EJ175" s="138" t="e">
        <f>IF(VLOOKUP(CONCATENATE(H175,F175,EJ$2),Matemáticas!$A:$H,7,FALSE)=AX175,1,0)</f>
        <v>#N/A</v>
      </c>
      <c r="EK175" s="138" t="e">
        <f>IF(VLOOKUP(CONCATENATE(H175,F175,EK$2),Matemáticas!$A:$H,7,FALSE)=AY175,1,0)</f>
        <v>#N/A</v>
      </c>
      <c r="EL175" s="138" t="e">
        <f>IF(VLOOKUP(CONCATENATE(H175,F175,EL$2),Matemáticas!$A:$H,7,FALSE)=AZ175,1,0)</f>
        <v>#N/A</v>
      </c>
      <c r="EM175" s="138" t="e">
        <f>IF(VLOOKUP(CONCATENATE(H175,F175,EM$2),Matemáticas!$A:$H,7,FALSE)=BA175,1,0)</f>
        <v>#N/A</v>
      </c>
      <c r="EN175" s="138" t="e">
        <f>IF(VLOOKUP(CONCATENATE(H175,F175,EN$2),Matemáticas!$A:$H,7,FALSE)=BB175,1,0)</f>
        <v>#N/A</v>
      </c>
      <c r="EO175" s="138" t="e">
        <f>IF(VLOOKUP(CONCATENATE(H175,F175,EO$2),Matemáticas!$A:$H,7,FALSE)=BC175,1,0)</f>
        <v>#N/A</v>
      </c>
      <c r="EP175" s="138" t="e">
        <f>IF(VLOOKUP(CONCATENATE(H175,F175,EP$2),Matemáticas!$A:$H,7,FALSE)=BD175,1,0)</f>
        <v>#N/A</v>
      </c>
      <c r="EQ175" s="138" t="e">
        <f>IF(VLOOKUP(CONCATENATE(H175,F175,EQ$2),Matemáticas!$A:$H,7,FALSE)=BE175,1,0)</f>
        <v>#N/A</v>
      </c>
      <c r="ER175" s="138" t="e">
        <f>IF(VLOOKUP(CONCATENATE(H175,F175,ER$2),Matemáticas!$A:$H,7,FALSE)=BF175,1,0)</f>
        <v>#N/A</v>
      </c>
      <c r="ES175" s="138" t="e">
        <f>IF(VLOOKUP(CONCATENATE(H175,F175,ES$2),Matemáticas!$A:$H,7,FALSE)=BG175,1,0)</f>
        <v>#N/A</v>
      </c>
      <c r="ET175" s="138" t="e">
        <f>IF(VLOOKUP(CONCATENATE(H175,F175,ET$2),Matemáticas!$A:$H,7,FALSE)=BH175,1,0)</f>
        <v>#N/A</v>
      </c>
      <c r="EU175" s="138" t="e">
        <f>IF(VLOOKUP(CONCATENATE(H175,F175,EU$2),Matemáticas!$A:$H,7,FALSE)=BI175,1,0)</f>
        <v>#N/A</v>
      </c>
      <c r="EV175" s="138" t="e">
        <f>IF(VLOOKUP(CONCATENATE(H175,F175,EV$2),Ciencias!$A:$H,7,FALSE)=BJ175,1,0)</f>
        <v>#N/A</v>
      </c>
      <c r="EW175" s="138" t="e">
        <f>IF(VLOOKUP(CONCATENATE(H175,F175,EW$2),Ciencias!$A:$H,7,FALSE)=BK175,1,0)</f>
        <v>#N/A</v>
      </c>
      <c r="EX175" s="138" t="e">
        <f>IF(VLOOKUP(CONCATENATE(H175,F175,EX$2),Ciencias!$A:$H,7,FALSE)=BL175,1,0)</f>
        <v>#N/A</v>
      </c>
      <c r="EY175" s="138" t="e">
        <f>IF(VLOOKUP(CONCATENATE(H175,F175,EY$2),Ciencias!$A:$H,7,FALSE)=BM175,1,0)</f>
        <v>#N/A</v>
      </c>
      <c r="EZ175" s="138" t="e">
        <f>IF(VLOOKUP(CONCATENATE(H175,F175,EZ$2),Ciencias!$A:$H,7,FALSE)=BN175,1,0)</f>
        <v>#N/A</v>
      </c>
      <c r="FA175" s="138" t="e">
        <f>IF(VLOOKUP(CONCATENATE(H175,F175,FA$2),Ciencias!$A:$H,7,FALSE)=BO175,1,0)</f>
        <v>#N/A</v>
      </c>
      <c r="FB175" s="138" t="e">
        <f>IF(VLOOKUP(CONCATENATE(H175,F175,FB$2),Ciencias!$A:$H,7,FALSE)=BP175,1,0)</f>
        <v>#N/A</v>
      </c>
      <c r="FC175" s="138" t="e">
        <f>IF(VLOOKUP(CONCATENATE(H175,F175,FC$2),Ciencias!$A:$H,7,FALSE)=BQ175,1,0)</f>
        <v>#N/A</v>
      </c>
      <c r="FD175" s="138" t="e">
        <f>IF(VLOOKUP(CONCATENATE(H175,F175,FD$2),Ciencias!$A:$H,7,FALSE)=BR175,1,0)</f>
        <v>#N/A</v>
      </c>
      <c r="FE175" s="138" t="e">
        <f>IF(VLOOKUP(CONCATENATE(H175,F175,FE$2),Ciencias!$A:$H,7,FALSE)=BS175,1,0)</f>
        <v>#N/A</v>
      </c>
      <c r="FF175" s="138" t="e">
        <f>IF(VLOOKUP(CONCATENATE(H175,F175,FF$2),Ciencias!$A:$H,7,FALSE)=BT175,1,0)</f>
        <v>#N/A</v>
      </c>
      <c r="FG175" s="138" t="e">
        <f>IF(VLOOKUP(CONCATENATE(H175,F175,FG$2),Ciencias!$A:$H,7,FALSE)=BU175,1,0)</f>
        <v>#N/A</v>
      </c>
      <c r="FH175" s="138" t="e">
        <f>IF(VLOOKUP(CONCATENATE(H175,F175,FH$2),Ciencias!$A:$H,7,FALSE)=BV175,1,0)</f>
        <v>#N/A</v>
      </c>
      <c r="FI175" s="138" t="e">
        <f>IF(VLOOKUP(CONCATENATE(H175,F175,FI$2),Ciencias!$A:$H,7,FALSE)=BW175,1,0)</f>
        <v>#N/A</v>
      </c>
      <c r="FJ175" s="138" t="e">
        <f>IF(VLOOKUP(CONCATENATE(H175,F175,FJ$2),Ciencias!$A:$H,7,FALSE)=BX175,1,0)</f>
        <v>#N/A</v>
      </c>
      <c r="FK175" s="138" t="e">
        <f>IF(VLOOKUP(CONCATENATE(H175,F175,FK$2),Ciencias!$A:$H,7,FALSE)=BY175,1,0)</f>
        <v>#N/A</v>
      </c>
      <c r="FL175" s="138" t="e">
        <f>IF(VLOOKUP(CONCATENATE(H175,F175,FL$2),Ciencias!$A:$H,7,FALSE)=BZ175,1,0)</f>
        <v>#N/A</v>
      </c>
      <c r="FM175" s="138" t="e">
        <f>IF(VLOOKUP(CONCATENATE(H175,F175,FM$2),Ciencias!$A:$H,7,FALSE)=CA175,1,0)</f>
        <v>#N/A</v>
      </c>
      <c r="FN175" s="138" t="e">
        <f>IF(VLOOKUP(CONCATENATE(H175,F175,FN$2),Ciencias!$A:$H,7,FALSE)=CB175,1,0)</f>
        <v>#N/A</v>
      </c>
      <c r="FO175" s="138" t="e">
        <f>IF(VLOOKUP(CONCATENATE(H175,F175,FO$2),Ciencias!$A:$H,7,FALSE)=CC175,1,0)</f>
        <v>#N/A</v>
      </c>
      <c r="FP175" s="138" t="e">
        <f>IF(VLOOKUP(CONCATENATE(H175,F175,FP$2),GeoHis!$A:$H,7,FALSE)=CD175,1,0)</f>
        <v>#N/A</v>
      </c>
      <c r="FQ175" s="138" t="e">
        <f>IF(VLOOKUP(CONCATENATE(H175,F175,FQ$2),GeoHis!$A:$H,7,FALSE)=CE175,1,0)</f>
        <v>#N/A</v>
      </c>
      <c r="FR175" s="138" t="e">
        <f>IF(VLOOKUP(CONCATENATE(H175,F175,FR$2),GeoHis!$A:$H,7,FALSE)=CF175,1,0)</f>
        <v>#N/A</v>
      </c>
      <c r="FS175" s="138" t="e">
        <f>IF(VLOOKUP(CONCATENATE(H175,F175,FS$2),GeoHis!$A:$H,7,FALSE)=CG175,1,0)</f>
        <v>#N/A</v>
      </c>
      <c r="FT175" s="138" t="e">
        <f>IF(VLOOKUP(CONCATENATE(H175,F175,FT$2),GeoHis!$A:$H,7,FALSE)=CH175,1,0)</f>
        <v>#N/A</v>
      </c>
      <c r="FU175" s="138" t="e">
        <f>IF(VLOOKUP(CONCATENATE(H175,F175,FU$2),GeoHis!$A:$H,7,FALSE)=CI175,1,0)</f>
        <v>#N/A</v>
      </c>
      <c r="FV175" s="138" t="e">
        <f>IF(VLOOKUP(CONCATENATE(H175,F175,FV$2),GeoHis!$A:$H,7,FALSE)=CJ175,1,0)</f>
        <v>#N/A</v>
      </c>
      <c r="FW175" s="138" t="e">
        <f>IF(VLOOKUP(CONCATENATE(H175,F175,FW$2),GeoHis!$A:$H,7,FALSE)=CK175,1,0)</f>
        <v>#N/A</v>
      </c>
      <c r="FX175" s="138" t="e">
        <f>IF(VLOOKUP(CONCATENATE(H175,F175,FX$2),GeoHis!$A:$H,7,FALSE)=CL175,1,0)</f>
        <v>#N/A</v>
      </c>
      <c r="FY175" s="138" t="e">
        <f>IF(VLOOKUP(CONCATENATE(H175,F175,FY$2),GeoHis!$A:$H,7,FALSE)=CM175,1,0)</f>
        <v>#N/A</v>
      </c>
      <c r="FZ175" s="138" t="e">
        <f>IF(VLOOKUP(CONCATENATE(H175,F175,FZ$2),GeoHis!$A:$H,7,FALSE)=CN175,1,0)</f>
        <v>#N/A</v>
      </c>
      <c r="GA175" s="138" t="e">
        <f>IF(VLOOKUP(CONCATENATE(H175,F175,GA$2),GeoHis!$A:$H,7,FALSE)=CO175,1,0)</f>
        <v>#N/A</v>
      </c>
      <c r="GB175" s="138" t="e">
        <f>IF(VLOOKUP(CONCATENATE(H175,F175,GB$2),GeoHis!$A:$H,7,FALSE)=CP175,1,0)</f>
        <v>#N/A</v>
      </c>
      <c r="GC175" s="138" t="e">
        <f>IF(VLOOKUP(CONCATENATE(H175,F175,GC$2),GeoHis!$A:$H,7,FALSE)=CQ175,1,0)</f>
        <v>#N/A</v>
      </c>
      <c r="GD175" s="138" t="e">
        <f>IF(VLOOKUP(CONCATENATE(H175,F175,GD$2),GeoHis!$A:$H,7,FALSE)=CR175,1,0)</f>
        <v>#N/A</v>
      </c>
      <c r="GE175" s="135" t="str">
        <f t="shared" si="23"/>
        <v/>
      </c>
    </row>
    <row r="176" spans="1:187" x14ac:dyDescent="0.25">
      <c r="A176" s="127" t="str">
        <f>IF(C176="","",'Datos Generales'!$A$25)</f>
        <v/>
      </c>
      <c r="D176" s="126" t="str">
        <f t="shared" si="16"/>
        <v/>
      </c>
      <c r="E176" s="126">
        <f t="shared" si="17"/>
        <v>0</v>
      </c>
      <c r="F176" s="126" t="str">
        <f t="shared" si="18"/>
        <v/>
      </c>
      <c r="G176" s="126" t="str">
        <f>IF(C176="","",'Datos Generales'!$D$19)</f>
        <v/>
      </c>
      <c r="H176" s="21" t="str">
        <f>IF(C176="","",'Datos Generales'!$A$19)</f>
        <v/>
      </c>
      <c r="I176" s="126" t="str">
        <f>IF(C176="","",'Datos Generales'!$A$7)</f>
        <v/>
      </c>
      <c r="J176" s="21" t="str">
        <f>IF(C176="","",'Datos Generales'!$A$13)</f>
        <v/>
      </c>
      <c r="K176" s="21" t="str">
        <f>IF(C176="","",'Datos Generales'!$A$10)</f>
        <v/>
      </c>
      <c r="CS176" s="142" t="str">
        <f t="shared" si="19"/>
        <v/>
      </c>
      <c r="CT176" s="142" t="str">
        <f t="shared" si="20"/>
        <v/>
      </c>
      <c r="CU176" s="142" t="str">
        <f t="shared" si="21"/>
        <v/>
      </c>
      <c r="CV176" s="142" t="str">
        <f t="shared" si="22"/>
        <v/>
      </c>
      <c r="CW176" s="142" t="str">
        <f>IF(C176="","",IF('Datos Generales'!$A$19=1,AVERAGE(FP176:GD176),AVERAGE(Captura!FP176:FY176)))</f>
        <v/>
      </c>
      <c r="CX176" s="138" t="e">
        <f>IF(VLOOKUP(CONCATENATE($H$4,$F$4,CX$2),Español!$A:$H,7,FALSE)=L176,1,0)</f>
        <v>#N/A</v>
      </c>
      <c r="CY176" s="138" t="e">
        <f>IF(VLOOKUP(CONCATENATE(H176,F176,CY$2),Español!$A:$H,7,FALSE)=M176,1,0)</f>
        <v>#N/A</v>
      </c>
      <c r="CZ176" s="138" t="e">
        <f>IF(VLOOKUP(CONCATENATE(H176,F176,CZ$2),Español!$A:$H,7,FALSE)=N176,1,0)</f>
        <v>#N/A</v>
      </c>
      <c r="DA176" s="138" t="e">
        <f>IF(VLOOKUP(CONCATENATE(H176,F176,DA$2),Español!$A:$H,7,FALSE)=O176,1,0)</f>
        <v>#N/A</v>
      </c>
      <c r="DB176" s="138" t="e">
        <f>IF(VLOOKUP(CONCATENATE(H176,F176,DB$2),Español!$A:$H,7,FALSE)=P176,1,0)</f>
        <v>#N/A</v>
      </c>
      <c r="DC176" s="138" t="e">
        <f>IF(VLOOKUP(CONCATENATE(H176,F176,DC$2),Español!$A:$H,7,FALSE)=Q176,1,0)</f>
        <v>#N/A</v>
      </c>
      <c r="DD176" s="138" t="e">
        <f>IF(VLOOKUP(CONCATENATE(H176,F176,DD$2),Español!$A:$H,7,FALSE)=R176,1,0)</f>
        <v>#N/A</v>
      </c>
      <c r="DE176" s="138" t="e">
        <f>IF(VLOOKUP(CONCATENATE(H176,F176,DE$2),Español!$A:$H,7,FALSE)=S176,1,0)</f>
        <v>#N/A</v>
      </c>
      <c r="DF176" s="138" t="e">
        <f>IF(VLOOKUP(CONCATENATE(H176,F176,DF$2),Español!$A:$H,7,FALSE)=T176,1,0)</f>
        <v>#N/A</v>
      </c>
      <c r="DG176" s="138" t="e">
        <f>IF(VLOOKUP(CONCATENATE(H176,F176,DG$2),Español!$A:$H,7,FALSE)=U176,1,0)</f>
        <v>#N/A</v>
      </c>
      <c r="DH176" s="138" t="e">
        <f>IF(VLOOKUP(CONCATENATE(H176,F176,DH$2),Español!$A:$H,7,FALSE)=V176,1,0)</f>
        <v>#N/A</v>
      </c>
      <c r="DI176" s="138" t="e">
        <f>IF(VLOOKUP(CONCATENATE(H176,F176,DI$2),Español!$A:$H,7,FALSE)=W176,1,0)</f>
        <v>#N/A</v>
      </c>
      <c r="DJ176" s="138" t="e">
        <f>IF(VLOOKUP(CONCATENATE(H176,F176,DJ$2),Español!$A:$H,7,FALSE)=X176,1,0)</f>
        <v>#N/A</v>
      </c>
      <c r="DK176" s="138" t="e">
        <f>IF(VLOOKUP(CONCATENATE(H176,F176,DK$2),Español!$A:$H,7,FALSE)=Y176,1,0)</f>
        <v>#N/A</v>
      </c>
      <c r="DL176" s="138" t="e">
        <f>IF(VLOOKUP(CONCATENATE(H176,F176,DL$2),Español!$A:$H,7,FALSE)=Z176,1,0)</f>
        <v>#N/A</v>
      </c>
      <c r="DM176" s="138" t="e">
        <f>IF(VLOOKUP(CONCATENATE(H176,F176,DM$2),Español!$A:$H,7,FALSE)=AA176,1,0)</f>
        <v>#N/A</v>
      </c>
      <c r="DN176" s="138" t="e">
        <f>IF(VLOOKUP(CONCATENATE(H176,F176,DN$2),Español!$A:$H,7,FALSE)=AB176,1,0)</f>
        <v>#N/A</v>
      </c>
      <c r="DO176" s="138" t="e">
        <f>IF(VLOOKUP(CONCATENATE(H176,F176,DO$2),Español!$A:$H,7,FALSE)=AC176,1,0)</f>
        <v>#N/A</v>
      </c>
      <c r="DP176" s="138" t="e">
        <f>IF(VLOOKUP(CONCATENATE(H176,F176,DP$2),Español!$A:$H,7,FALSE)=AD176,1,0)</f>
        <v>#N/A</v>
      </c>
      <c r="DQ176" s="138" t="e">
        <f>IF(VLOOKUP(CONCATENATE(H176,F176,DQ$2),Español!$A:$H,7,FALSE)=AE176,1,0)</f>
        <v>#N/A</v>
      </c>
      <c r="DR176" s="138" t="e">
        <f>IF(VLOOKUP(CONCATENATE(H176,F176,DR$2),Inglés!$A:$H,7,FALSE)=AF176,1,0)</f>
        <v>#N/A</v>
      </c>
      <c r="DS176" s="138" t="e">
        <f>IF(VLOOKUP(CONCATENATE(H176,F176,DS$2),Inglés!$A:$H,7,FALSE)=AG176,1,0)</f>
        <v>#N/A</v>
      </c>
      <c r="DT176" s="138" t="e">
        <f>IF(VLOOKUP(CONCATENATE(H176,F176,DT$2),Inglés!$A:$H,7,FALSE)=AH176,1,0)</f>
        <v>#N/A</v>
      </c>
      <c r="DU176" s="138" t="e">
        <f>IF(VLOOKUP(CONCATENATE(H176,F176,DU$2),Inglés!$A:$H,7,FALSE)=AI176,1,0)</f>
        <v>#N/A</v>
      </c>
      <c r="DV176" s="138" t="e">
        <f>IF(VLOOKUP(CONCATENATE(H176,F176,DV$2),Inglés!$A:$H,7,FALSE)=AJ176,1,0)</f>
        <v>#N/A</v>
      </c>
      <c r="DW176" s="138" t="e">
        <f>IF(VLOOKUP(CONCATENATE(H176,F176,DW$2),Inglés!$A:$H,7,FALSE)=AK176,1,0)</f>
        <v>#N/A</v>
      </c>
      <c r="DX176" s="138" t="e">
        <f>IF(VLOOKUP(CONCATENATE(H176,F176,DX$2),Inglés!$A:$H,7,FALSE)=AL176,1,0)</f>
        <v>#N/A</v>
      </c>
      <c r="DY176" s="138" t="e">
        <f>IF(VLOOKUP(CONCATENATE(H176,F176,DY$2),Inglés!$A:$H,7,FALSE)=AM176,1,0)</f>
        <v>#N/A</v>
      </c>
      <c r="DZ176" s="138" t="e">
        <f>IF(VLOOKUP(CONCATENATE(H176,F176,DZ$2),Inglés!$A:$H,7,FALSE)=AN176,1,0)</f>
        <v>#N/A</v>
      </c>
      <c r="EA176" s="138" t="e">
        <f>IF(VLOOKUP(CONCATENATE(H176,F176,EA$2),Inglés!$A:$H,7,FALSE)=AO176,1,0)</f>
        <v>#N/A</v>
      </c>
      <c r="EB176" s="138" t="e">
        <f>IF(VLOOKUP(CONCATENATE(H176,F176,EB$2),Matemáticas!$A:$H,7,FALSE)=AP176,1,0)</f>
        <v>#N/A</v>
      </c>
      <c r="EC176" s="138" t="e">
        <f>IF(VLOOKUP(CONCATENATE(H176,F176,EC$2),Matemáticas!$A:$H,7,FALSE)=AQ176,1,0)</f>
        <v>#N/A</v>
      </c>
      <c r="ED176" s="138" t="e">
        <f>IF(VLOOKUP(CONCATENATE(H176,F176,ED$2),Matemáticas!$A:$H,7,FALSE)=AR176,1,0)</f>
        <v>#N/A</v>
      </c>
      <c r="EE176" s="138" t="e">
        <f>IF(VLOOKUP(CONCATENATE(H176,F176,EE$2),Matemáticas!$A:$H,7,FALSE)=AS176,1,0)</f>
        <v>#N/A</v>
      </c>
      <c r="EF176" s="138" t="e">
        <f>IF(VLOOKUP(CONCATENATE(H176,F176,EF$2),Matemáticas!$A:$H,7,FALSE)=AT176,1,0)</f>
        <v>#N/A</v>
      </c>
      <c r="EG176" s="138" t="e">
        <f>IF(VLOOKUP(CONCATENATE(H176,F176,EG$2),Matemáticas!$A:$H,7,FALSE)=AU176,1,0)</f>
        <v>#N/A</v>
      </c>
      <c r="EH176" s="138" t="e">
        <f>IF(VLOOKUP(CONCATENATE(H176,F176,EH$2),Matemáticas!$A:$H,7,FALSE)=AV176,1,0)</f>
        <v>#N/A</v>
      </c>
      <c r="EI176" s="138" t="e">
        <f>IF(VLOOKUP(CONCATENATE(H176,F176,EI$2),Matemáticas!$A:$H,7,FALSE)=AW176,1,0)</f>
        <v>#N/A</v>
      </c>
      <c r="EJ176" s="138" t="e">
        <f>IF(VLOOKUP(CONCATENATE(H176,F176,EJ$2),Matemáticas!$A:$H,7,FALSE)=AX176,1,0)</f>
        <v>#N/A</v>
      </c>
      <c r="EK176" s="138" t="e">
        <f>IF(VLOOKUP(CONCATENATE(H176,F176,EK$2),Matemáticas!$A:$H,7,FALSE)=AY176,1,0)</f>
        <v>#N/A</v>
      </c>
      <c r="EL176" s="138" t="e">
        <f>IF(VLOOKUP(CONCATENATE(H176,F176,EL$2),Matemáticas!$A:$H,7,FALSE)=AZ176,1,0)</f>
        <v>#N/A</v>
      </c>
      <c r="EM176" s="138" t="e">
        <f>IF(VLOOKUP(CONCATENATE(H176,F176,EM$2),Matemáticas!$A:$H,7,FALSE)=BA176,1,0)</f>
        <v>#N/A</v>
      </c>
      <c r="EN176" s="138" t="e">
        <f>IF(VLOOKUP(CONCATENATE(H176,F176,EN$2),Matemáticas!$A:$H,7,FALSE)=BB176,1,0)</f>
        <v>#N/A</v>
      </c>
      <c r="EO176" s="138" t="e">
        <f>IF(VLOOKUP(CONCATENATE(H176,F176,EO$2),Matemáticas!$A:$H,7,FALSE)=BC176,1,0)</f>
        <v>#N/A</v>
      </c>
      <c r="EP176" s="138" t="e">
        <f>IF(VLOOKUP(CONCATENATE(H176,F176,EP$2),Matemáticas!$A:$H,7,FALSE)=BD176,1,0)</f>
        <v>#N/A</v>
      </c>
      <c r="EQ176" s="138" t="e">
        <f>IF(VLOOKUP(CONCATENATE(H176,F176,EQ$2),Matemáticas!$A:$H,7,FALSE)=BE176,1,0)</f>
        <v>#N/A</v>
      </c>
      <c r="ER176" s="138" t="e">
        <f>IF(VLOOKUP(CONCATENATE(H176,F176,ER$2),Matemáticas!$A:$H,7,FALSE)=BF176,1,0)</f>
        <v>#N/A</v>
      </c>
      <c r="ES176" s="138" t="e">
        <f>IF(VLOOKUP(CONCATENATE(H176,F176,ES$2),Matemáticas!$A:$H,7,FALSE)=BG176,1,0)</f>
        <v>#N/A</v>
      </c>
      <c r="ET176" s="138" t="e">
        <f>IF(VLOOKUP(CONCATENATE(H176,F176,ET$2),Matemáticas!$A:$H,7,FALSE)=BH176,1,0)</f>
        <v>#N/A</v>
      </c>
      <c r="EU176" s="138" t="e">
        <f>IF(VLOOKUP(CONCATENATE(H176,F176,EU$2),Matemáticas!$A:$H,7,FALSE)=BI176,1,0)</f>
        <v>#N/A</v>
      </c>
      <c r="EV176" s="138" t="e">
        <f>IF(VLOOKUP(CONCATENATE(H176,F176,EV$2),Ciencias!$A:$H,7,FALSE)=BJ176,1,0)</f>
        <v>#N/A</v>
      </c>
      <c r="EW176" s="138" t="e">
        <f>IF(VLOOKUP(CONCATENATE(H176,F176,EW$2),Ciencias!$A:$H,7,FALSE)=BK176,1,0)</f>
        <v>#N/A</v>
      </c>
      <c r="EX176" s="138" t="e">
        <f>IF(VLOOKUP(CONCATENATE(H176,F176,EX$2),Ciencias!$A:$H,7,FALSE)=BL176,1,0)</f>
        <v>#N/A</v>
      </c>
      <c r="EY176" s="138" t="e">
        <f>IF(VLOOKUP(CONCATENATE(H176,F176,EY$2),Ciencias!$A:$H,7,FALSE)=BM176,1,0)</f>
        <v>#N/A</v>
      </c>
      <c r="EZ176" s="138" t="e">
        <f>IF(VLOOKUP(CONCATENATE(H176,F176,EZ$2),Ciencias!$A:$H,7,FALSE)=BN176,1,0)</f>
        <v>#N/A</v>
      </c>
      <c r="FA176" s="138" t="e">
        <f>IF(VLOOKUP(CONCATENATE(H176,F176,FA$2),Ciencias!$A:$H,7,FALSE)=BO176,1,0)</f>
        <v>#N/A</v>
      </c>
      <c r="FB176" s="138" t="e">
        <f>IF(VLOOKUP(CONCATENATE(H176,F176,FB$2),Ciencias!$A:$H,7,FALSE)=BP176,1,0)</f>
        <v>#N/A</v>
      </c>
      <c r="FC176" s="138" t="e">
        <f>IF(VLOOKUP(CONCATENATE(H176,F176,FC$2),Ciencias!$A:$H,7,FALSE)=BQ176,1,0)</f>
        <v>#N/A</v>
      </c>
      <c r="FD176" s="138" t="e">
        <f>IF(VLOOKUP(CONCATENATE(H176,F176,FD$2),Ciencias!$A:$H,7,FALSE)=BR176,1,0)</f>
        <v>#N/A</v>
      </c>
      <c r="FE176" s="138" t="e">
        <f>IF(VLOOKUP(CONCATENATE(H176,F176,FE$2),Ciencias!$A:$H,7,FALSE)=BS176,1,0)</f>
        <v>#N/A</v>
      </c>
      <c r="FF176" s="138" t="e">
        <f>IF(VLOOKUP(CONCATENATE(H176,F176,FF$2),Ciencias!$A:$H,7,FALSE)=BT176,1,0)</f>
        <v>#N/A</v>
      </c>
      <c r="FG176" s="138" t="e">
        <f>IF(VLOOKUP(CONCATENATE(H176,F176,FG$2),Ciencias!$A:$H,7,FALSE)=BU176,1,0)</f>
        <v>#N/A</v>
      </c>
      <c r="FH176" s="138" t="e">
        <f>IF(VLOOKUP(CONCATENATE(H176,F176,FH$2),Ciencias!$A:$H,7,FALSE)=BV176,1,0)</f>
        <v>#N/A</v>
      </c>
      <c r="FI176" s="138" t="e">
        <f>IF(VLOOKUP(CONCATENATE(H176,F176,FI$2),Ciencias!$A:$H,7,FALSE)=BW176,1,0)</f>
        <v>#N/A</v>
      </c>
      <c r="FJ176" s="138" t="e">
        <f>IF(VLOOKUP(CONCATENATE(H176,F176,FJ$2),Ciencias!$A:$H,7,FALSE)=BX176,1,0)</f>
        <v>#N/A</v>
      </c>
      <c r="FK176" s="138" t="e">
        <f>IF(VLOOKUP(CONCATENATE(H176,F176,FK$2),Ciencias!$A:$H,7,FALSE)=BY176,1,0)</f>
        <v>#N/A</v>
      </c>
      <c r="FL176" s="138" t="e">
        <f>IF(VLOOKUP(CONCATENATE(H176,F176,FL$2),Ciencias!$A:$H,7,FALSE)=BZ176,1,0)</f>
        <v>#N/A</v>
      </c>
      <c r="FM176" s="138" t="e">
        <f>IF(VLOOKUP(CONCATENATE(H176,F176,FM$2),Ciencias!$A:$H,7,FALSE)=CA176,1,0)</f>
        <v>#N/A</v>
      </c>
      <c r="FN176" s="138" t="e">
        <f>IF(VLOOKUP(CONCATENATE(H176,F176,FN$2),Ciencias!$A:$H,7,FALSE)=CB176,1,0)</f>
        <v>#N/A</v>
      </c>
      <c r="FO176" s="138" t="e">
        <f>IF(VLOOKUP(CONCATENATE(H176,F176,FO$2),Ciencias!$A:$H,7,FALSE)=CC176,1,0)</f>
        <v>#N/A</v>
      </c>
      <c r="FP176" s="138" t="e">
        <f>IF(VLOOKUP(CONCATENATE(H176,F176,FP$2),GeoHis!$A:$H,7,FALSE)=CD176,1,0)</f>
        <v>#N/A</v>
      </c>
      <c r="FQ176" s="138" t="e">
        <f>IF(VLOOKUP(CONCATENATE(H176,F176,FQ$2),GeoHis!$A:$H,7,FALSE)=CE176,1,0)</f>
        <v>#N/A</v>
      </c>
      <c r="FR176" s="138" t="e">
        <f>IF(VLOOKUP(CONCATENATE(H176,F176,FR$2),GeoHis!$A:$H,7,FALSE)=CF176,1,0)</f>
        <v>#N/A</v>
      </c>
      <c r="FS176" s="138" t="e">
        <f>IF(VLOOKUP(CONCATENATE(H176,F176,FS$2),GeoHis!$A:$H,7,FALSE)=CG176,1,0)</f>
        <v>#N/A</v>
      </c>
      <c r="FT176" s="138" t="e">
        <f>IF(VLOOKUP(CONCATENATE(H176,F176,FT$2),GeoHis!$A:$H,7,FALSE)=CH176,1,0)</f>
        <v>#N/A</v>
      </c>
      <c r="FU176" s="138" t="e">
        <f>IF(VLOOKUP(CONCATENATE(H176,F176,FU$2),GeoHis!$A:$H,7,FALSE)=CI176,1,0)</f>
        <v>#N/A</v>
      </c>
      <c r="FV176" s="138" t="e">
        <f>IF(VLOOKUP(CONCATENATE(H176,F176,FV$2),GeoHis!$A:$H,7,FALSE)=CJ176,1,0)</f>
        <v>#N/A</v>
      </c>
      <c r="FW176" s="138" t="e">
        <f>IF(VLOOKUP(CONCATENATE(H176,F176,FW$2),GeoHis!$A:$H,7,FALSE)=CK176,1,0)</f>
        <v>#N/A</v>
      </c>
      <c r="FX176" s="138" t="e">
        <f>IF(VLOOKUP(CONCATENATE(H176,F176,FX$2),GeoHis!$A:$H,7,FALSE)=CL176,1,0)</f>
        <v>#N/A</v>
      </c>
      <c r="FY176" s="138" t="e">
        <f>IF(VLOOKUP(CONCATENATE(H176,F176,FY$2),GeoHis!$A:$H,7,FALSE)=CM176,1,0)</f>
        <v>#N/A</v>
      </c>
      <c r="FZ176" s="138" t="e">
        <f>IF(VLOOKUP(CONCATENATE(H176,F176,FZ$2),GeoHis!$A:$H,7,FALSE)=CN176,1,0)</f>
        <v>#N/A</v>
      </c>
      <c r="GA176" s="138" t="e">
        <f>IF(VLOOKUP(CONCATENATE(H176,F176,GA$2),GeoHis!$A:$H,7,FALSE)=CO176,1,0)</f>
        <v>#N/A</v>
      </c>
      <c r="GB176" s="138" t="e">
        <f>IF(VLOOKUP(CONCATENATE(H176,F176,GB$2),GeoHis!$A:$H,7,FALSE)=CP176,1,0)</f>
        <v>#N/A</v>
      </c>
      <c r="GC176" s="138" t="e">
        <f>IF(VLOOKUP(CONCATENATE(H176,F176,GC$2),GeoHis!$A:$H,7,FALSE)=CQ176,1,0)</f>
        <v>#N/A</v>
      </c>
      <c r="GD176" s="138" t="e">
        <f>IF(VLOOKUP(CONCATENATE(H176,F176,GD$2),GeoHis!$A:$H,7,FALSE)=CR176,1,0)</f>
        <v>#N/A</v>
      </c>
      <c r="GE176" s="135" t="str">
        <f t="shared" si="23"/>
        <v/>
      </c>
    </row>
    <row r="177" spans="1:187" x14ac:dyDescent="0.25">
      <c r="A177" s="127" t="str">
        <f>IF(C177="","",'Datos Generales'!$A$25)</f>
        <v/>
      </c>
      <c r="D177" s="126" t="str">
        <f t="shared" si="16"/>
        <v/>
      </c>
      <c r="E177" s="126">
        <f t="shared" si="17"/>
        <v>0</v>
      </c>
      <c r="F177" s="126" t="str">
        <f t="shared" si="18"/>
        <v/>
      </c>
      <c r="G177" s="126" t="str">
        <f>IF(C177="","",'Datos Generales'!$D$19)</f>
        <v/>
      </c>
      <c r="H177" s="21" t="str">
        <f>IF(C177="","",'Datos Generales'!$A$19)</f>
        <v/>
      </c>
      <c r="I177" s="126" t="str">
        <f>IF(C177="","",'Datos Generales'!$A$7)</f>
        <v/>
      </c>
      <c r="J177" s="21" t="str">
        <f>IF(C177="","",'Datos Generales'!$A$13)</f>
        <v/>
      </c>
      <c r="K177" s="21" t="str">
        <f>IF(C177="","",'Datos Generales'!$A$10)</f>
        <v/>
      </c>
      <c r="CS177" s="142" t="str">
        <f t="shared" si="19"/>
        <v/>
      </c>
      <c r="CT177" s="142" t="str">
        <f t="shared" si="20"/>
        <v/>
      </c>
      <c r="CU177" s="142" t="str">
        <f t="shared" si="21"/>
        <v/>
      </c>
      <c r="CV177" s="142" t="str">
        <f t="shared" si="22"/>
        <v/>
      </c>
      <c r="CW177" s="142" t="str">
        <f>IF(C177="","",IF('Datos Generales'!$A$19=1,AVERAGE(FP177:GD177),AVERAGE(Captura!FP177:FY177)))</f>
        <v/>
      </c>
      <c r="CX177" s="138" t="e">
        <f>IF(VLOOKUP(CONCATENATE($H$4,$F$4,CX$2),Español!$A:$H,7,FALSE)=L177,1,0)</f>
        <v>#N/A</v>
      </c>
      <c r="CY177" s="138" t="e">
        <f>IF(VLOOKUP(CONCATENATE(H177,F177,CY$2),Español!$A:$H,7,FALSE)=M177,1,0)</f>
        <v>#N/A</v>
      </c>
      <c r="CZ177" s="138" t="e">
        <f>IF(VLOOKUP(CONCATENATE(H177,F177,CZ$2),Español!$A:$H,7,FALSE)=N177,1,0)</f>
        <v>#N/A</v>
      </c>
      <c r="DA177" s="138" t="e">
        <f>IF(VLOOKUP(CONCATENATE(H177,F177,DA$2),Español!$A:$H,7,FALSE)=O177,1,0)</f>
        <v>#N/A</v>
      </c>
      <c r="DB177" s="138" t="e">
        <f>IF(VLOOKUP(CONCATENATE(H177,F177,DB$2),Español!$A:$H,7,FALSE)=P177,1,0)</f>
        <v>#N/A</v>
      </c>
      <c r="DC177" s="138" t="e">
        <f>IF(VLOOKUP(CONCATENATE(H177,F177,DC$2),Español!$A:$H,7,FALSE)=Q177,1,0)</f>
        <v>#N/A</v>
      </c>
      <c r="DD177" s="138" t="e">
        <f>IF(VLOOKUP(CONCATENATE(H177,F177,DD$2),Español!$A:$H,7,FALSE)=R177,1,0)</f>
        <v>#N/A</v>
      </c>
      <c r="DE177" s="138" t="e">
        <f>IF(VLOOKUP(CONCATENATE(H177,F177,DE$2),Español!$A:$H,7,FALSE)=S177,1,0)</f>
        <v>#N/A</v>
      </c>
      <c r="DF177" s="138" t="e">
        <f>IF(VLOOKUP(CONCATENATE(H177,F177,DF$2),Español!$A:$H,7,FALSE)=T177,1,0)</f>
        <v>#N/A</v>
      </c>
      <c r="DG177" s="138" t="e">
        <f>IF(VLOOKUP(CONCATENATE(H177,F177,DG$2),Español!$A:$H,7,FALSE)=U177,1,0)</f>
        <v>#N/A</v>
      </c>
      <c r="DH177" s="138" t="e">
        <f>IF(VLOOKUP(CONCATENATE(H177,F177,DH$2),Español!$A:$H,7,FALSE)=V177,1,0)</f>
        <v>#N/A</v>
      </c>
      <c r="DI177" s="138" t="e">
        <f>IF(VLOOKUP(CONCATENATE(H177,F177,DI$2),Español!$A:$H,7,FALSE)=W177,1,0)</f>
        <v>#N/A</v>
      </c>
      <c r="DJ177" s="138" t="e">
        <f>IF(VLOOKUP(CONCATENATE(H177,F177,DJ$2),Español!$A:$H,7,FALSE)=X177,1,0)</f>
        <v>#N/A</v>
      </c>
      <c r="DK177" s="138" t="e">
        <f>IF(VLOOKUP(CONCATENATE(H177,F177,DK$2),Español!$A:$H,7,FALSE)=Y177,1,0)</f>
        <v>#N/A</v>
      </c>
      <c r="DL177" s="138" t="e">
        <f>IF(VLOOKUP(CONCATENATE(H177,F177,DL$2),Español!$A:$H,7,FALSE)=Z177,1,0)</f>
        <v>#N/A</v>
      </c>
      <c r="DM177" s="138" t="e">
        <f>IF(VLOOKUP(CONCATENATE(H177,F177,DM$2),Español!$A:$H,7,FALSE)=AA177,1,0)</f>
        <v>#N/A</v>
      </c>
      <c r="DN177" s="138" t="e">
        <f>IF(VLOOKUP(CONCATENATE(H177,F177,DN$2),Español!$A:$H,7,FALSE)=AB177,1,0)</f>
        <v>#N/A</v>
      </c>
      <c r="DO177" s="138" t="e">
        <f>IF(VLOOKUP(CONCATENATE(H177,F177,DO$2),Español!$A:$H,7,FALSE)=AC177,1,0)</f>
        <v>#N/A</v>
      </c>
      <c r="DP177" s="138" t="e">
        <f>IF(VLOOKUP(CONCATENATE(H177,F177,DP$2),Español!$A:$H,7,FALSE)=AD177,1,0)</f>
        <v>#N/A</v>
      </c>
      <c r="DQ177" s="138" t="e">
        <f>IF(VLOOKUP(CONCATENATE(H177,F177,DQ$2),Español!$A:$H,7,FALSE)=AE177,1,0)</f>
        <v>#N/A</v>
      </c>
      <c r="DR177" s="138" t="e">
        <f>IF(VLOOKUP(CONCATENATE(H177,F177,DR$2),Inglés!$A:$H,7,FALSE)=AF177,1,0)</f>
        <v>#N/A</v>
      </c>
      <c r="DS177" s="138" t="e">
        <f>IF(VLOOKUP(CONCATENATE(H177,F177,DS$2),Inglés!$A:$H,7,FALSE)=AG177,1,0)</f>
        <v>#N/A</v>
      </c>
      <c r="DT177" s="138" t="e">
        <f>IF(VLOOKUP(CONCATENATE(H177,F177,DT$2),Inglés!$A:$H,7,FALSE)=AH177,1,0)</f>
        <v>#N/A</v>
      </c>
      <c r="DU177" s="138" t="e">
        <f>IF(VLOOKUP(CONCATENATE(H177,F177,DU$2),Inglés!$A:$H,7,FALSE)=AI177,1,0)</f>
        <v>#N/A</v>
      </c>
      <c r="DV177" s="138" t="e">
        <f>IF(VLOOKUP(CONCATENATE(H177,F177,DV$2),Inglés!$A:$H,7,FALSE)=AJ177,1,0)</f>
        <v>#N/A</v>
      </c>
      <c r="DW177" s="138" t="e">
        <f>IF(VLOOKUP(CONCATENATE(H177,F177,DW$2),Inglés!$A:$H,7,FALSE)=AK177,1,0)</f>
        <v>#N/A</v>
      </c>
      <c r="DX177" s="138" t="e">
        <f>IF(VLOOKUP(CONCATENATE(H177,F177,DX$2),Inglés!$A:$H,7,FALSE)=AL177,1,0)</f>
        <v>#N/A</v>
      </c>
      <c r="DY177" s="138" t="e">
        <f>IF(VLOOKUP(CONCATENATE(H177,F177,DY$2),Inglés!$A:$H,7,FALSE)=AM177,1,0)</f>
        <v>#N/A</v>
      </c>
      <c r="DZ177" s="138" t="e">
        <f>IF(VLOOKUP(CONCATENATE(H177,F177,DZ$2),Inglés!$A:$H,7,FALSE)=AN177,1,0)</f>
        <v>#N/A</v>
      </c>
      <c r="EA177" s="138" t="e">
        <f>IF(VLOOKUP(CONCATENATE(H177,F177,EA$2),Inglés!$A:$H,7,FALSE)=AO177,1,0)</f>
        <v>#N/A</v>
      </c>
      <c r="EB177" s="138" t="e">
        <f>IF(VLOOKUP(CONCATENATE(H177,F177,EB$2),Matemáticas!$A:$H,7,FALSE)=AP177,1,0)</f>
        <v>#N/A</v>
      </c>
      <c r="EC177" s="138" t="e">
        <f>IF(VLOOKUP(CONCATENATE(H177,F177,EC$2),Matemáticas!$A:$H,7,FALSE)=AQ177,1,0)</f>
        <v>#N/A</v>
      </c>
      <c r="ED177" s="138" t="e">
        <f>IF(VLOOKUP(CONCATENATE(H177,F177,ED$2),Matemáticas!$A:$H,7,FALSE)=AR177,1,0)</f>
        <v>#N/A</v>
      </c>
      <c r="EE177" s="138" t="e">
        <f>IF(VLOOKUP(CONCATENATE(H177,F177,EE$2),Matemáticas!$A:$H,7,FALSE)=AS177,1,0)</f>
        <v>#N/A</v>
      </c>
      <c r="EF177" s="138" t="e">
        <f>IF(VLOOKUP(CONCATENATE(H177,F177,EF$2),Matemáticas!$A:$H,7,FALSE)=AT177,1,0)</f>
        <v>#N/A</v>
      </c>
      <c r="EG177" s="138" t="e">
        <f>IF(VLOOKUP(CONCATENATE(H177,F177,EG$2),Matemáticas!$A:$H,7,FALSE)=AU177,1,0)</f>
        <v>#N/A</v>
      </c>
      <c r="EH177" s="138" t="e">
        <f>IF(VLOOKUP(CONCATENATE(H177,F177,EH$2),Matemáticas!$A:$H,7,FALSE)=AV177,1,0)</f>
        <v>#N/A</v>
      </c>
      <c r="EI177" s="138" t="e">
        <f>IF(VLOOKUP(CONCATENATE(H177,F177,EI$2),Matemáticas!$A:$H,7,FALSE)=AW177,1,0)</f>
        <v>#N/A</v>
      </c>
      <c r="EJ177" s="138" t="e">
        <f>IF(VLOOKUP(CONCATENATE(H177,F177,EJ$2),Matemáticas!$A:$H,7,FALSE)=AX177,1,0)</f>
        <v>#N/A</v>
      </c>
      <c r="EK177" s="138" t="e">
        <f>IF(VLOOKUP(CONCATENATE(H177,F177,EK$2),Matemáticas!$A:$H,7,FALSE)=AY177,1,0)</f>
        <v>#N/A</v>
      </c>
      <c r="EL177" s="138" t="e">
        <f>IF(VLOOKUP(CONCATENATE(H177,F177,EL$2),Matemáticas!$A:$H,7,FALSE)=AZ177,1,0)</f>
        <v>#N/A</v>
      </c>
      <c r="EM177" s="138" t="e">
        <f>IF(VLOOKUP(CONCATENATE(H177,F177,EM$2),Matemáticas!$A:$H,7,FALSE)=BA177,1,0)</f>
        <v>#N/A</v>
      </c>
      <c r="EN177" s="138" t="e">
        <f>IF(VLOOKUP(CONCATENATE(H177,F177,EN$2),Matemáticas!$A:$H,7,FALSE)=BB177,1,0)</f>
        <v>#N/A</v>
      </c>
      <c r="EO177" s="138" t="e">
        <f>IF(VLOOKUP(CONCATENATE(H177,F177,EO$2),Matemáticas!$A:$H,7,FALSE)=BC177,1,0)</f>
        <v>#N/A</v>
      </c>
      <c r="EP177" s="138" t="e">
        <f>IF(VLOOKUP(CONCATENATE(H177,F177,EP$2),Matemáticas!$A:$H,7,FALSE)=BD177,1,0)</f>
        <v>#N/A</v>
      </c>
      <c r="EQ177" s="138" t="e">
        <f>IF(VLOOKUP(CONCATENATE(H177,F177,EQ$2),Matemáticas!$A:$H,7,FALSE)=BE177,1,0)</f>
        <v>#N/A</v>
      </c>
      <c r="ER177" s="138" t="e">
        <f>IF(VLOOKUP(CONCATENATE(H177,F177,ER$2),Matemáticas!$A:$H,7,FALSE)=BF177,1,0)</f>
        <v>#N/A</v>
      </c>
      <c r="ES177" s="138" t="e">
        <f>IF(VLOOKUP(CONCATENATE(H177,F177,ES$2),Matemáticas!$A:$H,7,FALSE)=BG177,1,0)</f>
        <v>#N/A</v>
      </c>
      <c r="ET177" s="138" t="e">
        <f>IF(VLOOKUP(CONCATENATE(H177,F177,ET$2),Matemáticas!$A:$H,7,FALSE)=BH177,1,0)</f>
        <v>#N/A</v>
      </c>
      <c r="EU177" s="138" t="e">
        <f>IF(VLOOKUP(CONCATENATE(H177,F177,EU$2),Matemáticas!$A:$H,7,FALSE)=BI177,1,0)</f>
        <v>#N/A</v>
      </c>
      <c r="EV177" s="138" t="e">
        <f>IF(VLOOKUP(CONCATENATE(H177,F177,EV$2),Ciencias!$A:$H,7,FALSE)=BJ177,1,0)</f>
        <v>#N/A</v>
      </c>
      <c r="EW177" s="138" t="e">
        <f>IF(VLOOKUP(CONCATENATE(H177,F177,EW$2),Ciencias!$A:$H,7,FALSE)=BK177,1,0)</f>
        <v>#N/A</v>
      </c>
      <c r="EX177" s="138" t="e">
        <f>IF(VLOOKUP(CONCATENATE(H177,F177,EX$2),Ciencias!$A:$H,7,FALSE)=BL177,1,0)</f>
        <v>#N/A</v>
      </c>
      <c r="EY177" s="138" t="e">
        <f>IF(VLOOKUP(CONCATENATE(H177,F177,EY$2),Ciencias!$A:$H,7,FALSE)=BM177,1,0)</f>
        <v>#N/A</v>
      </c>
      <c r="EZ177" s="138" t="e">
        <f>IF(VLOOKUP(CONCATENATE(H177,F177,EZ$2),Ciencias!$A:$H,7,FALSE)=BN177,1,0)</f>
        <v>#N/A</v>
      </c>
      <c r="FA177" s="138" t="e">
        <f>IF(VLOOKUP(CONCATENATE(H177,F177,FA$2),Ciencias!$A:$H,7,FALSE)=BO177,1,0)</f>
        <v>#N/A</v>
      </c>
      <c r="FB177" s="138" t="e">
        <f>IF(VLOOKUP(CONCATENATE(H177,F177,FB$2),Ciencias!$A:$H,7,FALSE)=BP177,1,0)</f>
        <v>#N/A</v>
      </c>
      <c r="FC177" s="138" t="e">
        <f>IF(VLOOKUP(CONCATENATE(H177,F177,FC$2),Ciencias!$A:$H,7,FALSE)=BQ177,1,0)</f>
        <v>#N/A</v>
      </c>
      <c r="FD177" s="138" t="e">
        <f>IF(VLOOKUP(CONCATENATE(H177,F177,FD$2),Ciencias!$A:$H,7,FALSE)=BR177,1,0)</f>
        <v>#N/A</v>
      </c>
      <c r="FE177" s="138" t="e">
        <f>IF(VLOOKUP(CONCATENATE(H177,F177,FE$2),Ciencias!$A:$H,7,FALSE)=BS177,1,0)</f>
        <v>#N/A</v>
      </c>
      <c r="FF177" s="138" t="e">
        <f>IF(VLOOKUP(CONCATENATE(H177,F177,FF$2),Ciencias!$A:$H,7,FALSE)=BT177,1,0)</f>
        <v>#N/A</v>
      </c>
      <c r="FG177" s="138" t="e">
        <f>IF(VLOOKUP(CONCATENATE(H177,F177,FG$2),Ciencias!$A:$H,7,FALSE)=BU177,1,0)</f>
        <v>#N/A</v>
      </c>
      <c r="FH177" s="138" t="e">
        <f>IF(VLOOKUP(CONCATENATE(H177,F177,FH$2),Ciencias!$A:$H,7,FALSE)=BV177,1,0)</f>
        <v>#N/A</v>
      </c>
      <c r="FI177" s="138" t="e">
        <f>IF(VLOOKUP(CONCATENATE(H177,F177,FI$2),Ciencias!$A:$H,7,FALSE)=BW177,1,0)</f>
        <v>#N/A</v>
      </c>
      <c r="FJ177" s="138" t="e">
        <f>IF(VLOOKUP(CONCATENATE(H177,F177,FJ$2),Ciencias!$A:$H,7,FALSE)=BX177,1,0)</f>
        <v>#N/A</v>
      </c>
      <c r="FK177" s="138" t="e">
        <f>IF(VLOOKUP(CONCATENATE(H177,F177,FK$2),Ciencias!$A:$H,7,FALSE)=BY177,1,0)</f>
        <v>#N/A</v>
      </c>
      <c r="FL177" s="138" t="e">
        <f>IF(VLOOKUP(CONCATENATE(H177,F177,FL$2),Ciencias!$A:$H,7,FALSE)=BZ177,1,0)</f>
        <v>#N/A</v>
      </c>
      <c r="FM177" s="138" t="e">
        <f>IF(VLOOKUP(CONCATENATE(H177,F177,FM$2),Ciencias!$A:$H,7,FALSE)=CA177,1,0)</f>
        <v>#N/A</v>
      </c>
      <c r="FN177" s="138" t="e">
        <f>IF(VLOOKUP(CONCATENATE(H177,F177,FN$2),Ciencias!$A:$H,7,FALSE)=CB177,1,0)</f>
        <v>#N/A</v>
      </c>
      <c r="FO177" s="138" t="e">
        <f>IF(VLOOKUP(CONCATENATE(H177,F177,FO$2),Ciencias!$A:$H,7,FALSE)=CC177,1,0)</f>
        <v>#N/A</v>
      </c>
      <c r="FP177" s="138" t="e">
        <f>IF(VLOOKUP(CONCATENATE(H177,F177,FP$2),GeoHis!$A:$H,7,FALSE)=CD177,1,0)</f>
        <v>#N/A</v>
      </c>
      <c r="FQ177" s="138" t="e">
        <f>IF(VLOOKUP(CONCATENATE(H177,F177,FQ$2),GeoHis!$A:$H,7,FALSE)=CE177,1,0)</f>
        <v>#N/A</v>
      </c>
      <c r="FR177" s="138" t="e">
        <f>IF(VLOOKUP(CONCATENATE(H177,F177,FR$2),GeoHis!$A:$H,7,FALSE)=CF177,1,0)</f>
        <v>#N/A</v>
      </c>
      <c r="FS177" s="138" t="e">
        <f>IF(VLOOKUP(CONCATENATE(H177,F177,FS$2),GeoHis!$A:$H,7,FALSE)=CG177,1,0)</f>
        <v>#N/A</v>
      </c>
      <c r="FT177" s="138" t="e">
        <f>IF(VLOOKUP(CONCATENATE(H177,F177,FT$2),GeoHis!$A:$H,7,FALSE)=CH177,1,0)</f>
        <v>#N/A</v>
      </c>
      <c r="FU177" s="138" t="e">
        <f>IF(VLOOKUP(CONCATENATE(H177,F177,FU$2),GeoHis!$A:$H,7,FALSE)=CI177,1,0)</f>
        <v>#N/A</v>
      </c>
      <c r="FV177" s="138" t="e">
        <f>IF(VLOOKUP(CONCATENATE(H177,F177,FV$2),GeoHis!$A:$H,7,FALSE)=CJ177,1,0)</f>
        <v>#N/A</v>
      </c>
      <c r="FW177" s="138" t="e">
        <f>IF(VLOOKUP(CONCATENATE(H177,F177,FW$2),GeoHis!$A:$H,7,FALSE)=CK177,1,0)</f>
        <v>#N/A</v>
      </c>
      <c r="FX177" s="138" t="e">
        <f>IF(VLOOKUP(CONCATENATE(H177,F177,FX$2),GeoHis!$A:$H,7,FALSE)=CL177,1,0)</f>
        <v>#N/A</v>
      </c>
      <c r="FY177" s="138" t="e">
        <f>IF(VLOOKUP(CONCATENATE(H177,F177,FY$2),GeoHis!$A:$H,7,FALSE)=CM177,1,0)</f>
        <v>#N/A</v>
      </c>
      <c r="FZ177" s="138" t="e">
        <f>IF(VLOOKUP(CONCATENATE(H177,F177,FZ$2),GeoHis!$A:$H,7,FALSE)=CN177,1,0)</f>
        <v>#N/A</v>
      </c>
      <c r="GA177" s="138" t="e">
        <f>IF(VLOOKUP(CONCATENATE(H177,F177,GA$2),GeoHis!$A:$H,7,FALSE)=CO177,1,0)</f>
        <v>#N/A</v>
      </c>
      <c r="GB177" s="138" t="e">
        <f>IF(VLOOKUP(CONCATENATE(H177,F177,GB$2),GeoHis!$A:$H,7,FALSE)=CP177,1,0)</f>
        <v>#N/A</v>
      </c>
      <c r="GC177" s="138" t="e">
        <f>IF(VLOOKUP(CONCATENATE(H177,F177,GC$2),GeoHis!$A:$H,7,FALSE)=CQ177,1,0)</f>
        <v>#N/A</v>
      </c>
      <c r="GD177" s="138" t="e">
        <f>IF(VLOOKUP(CONCATENATE(H177,F177,GD$2),GeoHis!$A:$H,7,FALSE)=CR177,1,0)</f>
        <v>#N/A</v>
      </c>
      <c r="GE177" s="135" t="str">
        <f t="shared" si="23"/>
        <v/>
      </c>
    </row>
    <row r="178" spans="1:187" x14ac:dyDescent="0.25">
      <c r="A178" s="127" t="str">
        <f>IF(C178="","",'Datos Generales'!$A$25)</f>
        <v/>
      </c>
      <c r="D178" s="126" t="str">
        <f t="shared" si="16"/>
        <v/>
      </c>
      <c r="E178" s="126">
        <f t="shared" si="17"/>
        <v>0</v>
      </c>
      <c r="F178" s="126" t="str">
        <f t="shared" si="18"/>
        <v/>
      </c>
      <c r="G178" s="126" t="str">
        <f>IF(C178="","",'Datos Generales'!$D$19)</f>
        <v/>
      </c>
      <c r="H178" s="21" t="str">
        <f>IF(C178="","",'Datos Generales'!$A$19)</f>
        <v/>
      </c>
      <c r="I178" s="126" t="str">
        <f>IF(C178="","",'Datos Generales'!$A$7)</f>
        <v/>
      </c>
      <c r="J178" s="21" t="str">
        <f>IF(C178="","",'Datos Generales'!$A$13)</f>
        <v/>
      </c>
      <c r="K178" s="21" t="str">
        <f>IF(C178="","",'Datos Generales'!$A$10)</f>
        <v/>
      </c>
      <c r="CS178" s="142" t="str">
        <f t="shared" si="19"/>
        <v/>
      </c>
      <c r="CT178" s="142" t="str">
        <f t="shared" si="20"/>
        <v/>
      </c>
      <c r="CU178" s="142" t="str">
        <f t="shared" si="21"/>
        <v/>
      </c>
      <c r="CV178" s="142" t="str">
        <f t="shared" si="22"/>
        <v/>
      </c>
      <c r="CW178" s="142" t="str">
        <f>IF(C178="","",IF('Datos Generales'!$A$19=1,AVERAGE(FP178:GD178),AVERAGE(Captura!FP178:FY178)))</f>
        <v/>
      </c>
      <c r="CX178" s="138" t="e">
        <f>IF(VLOOKUP(CONCATENATE($H$4,$F$4,CX$2),Español!$A:$H,7,FALSE)=L178,1,0)</f>
        <v>#N/A</v>
      </c>
      <c r="CY178" s="138" t="e">
        <f>IF(VLOOKUP(CONCATENATE(H178,F178,CY$2),Español!$A:$H,7,FALSE)=M178,1,0)</f>
        <v>#N/A</v>
      </c>
      <c r="CZ178" s="138" t="e">
        <f>IF(VLOOKUP(CONCATENATE(H178,F178,CZ$2),Español!$A:$H,7,FALSE)=N178,1,0)</f>
        <v>#N/A</v>
      </c>
      <c r="DA178" s="138" t="e">
        <f>IF(VLOOKUP(CONCATENATE(H178,F178,DA$2),Español!$A:$H,7,FALSE)=O178,1,0)</f>
        <v>#N/A</v>
      </c>
      <c r="DB178" s="138" t="e">
        <f>IF(VLOOKUP(CONCATENATE(H178,F178,DB$2),Español!$A:$H,7,FALSE)=P178,1,0)</f>
        <v>#N/A</v>
      </c>
      <c r="DC178" s="138" t="e">
        <f>IF(VLOOKUP(CONCATENATE(H178,F178,DC$2),Español!$A:$H,7,FALSE)=Q178,1,0)</f>
        <v>#N/A</v>
      </c>
      <c r="DD178" s="138" t="e">
        <f>IF(VLOOKUP(CONCATENATE(H178,F178,DD$2),Español!$A:$H,7,FALSE)=R178,1,0)</f>
        <v>#N/A</v>
      </c>
      <c r="DE178" s="138" t="e">
        <f>IF(VLOOKUP(CONCATENATE(H178,F178,DE$2),Español!$A:$H,7,FALSE)=S178,1,0)</f>
        <v>#N/A</v>
      </c>
      <c r="DF178" s="138" t="e">
        <f>IF(VLOOKUP(CONCATENATE(H178,F178,DF$2),Español!$A:$H,7,FALSE)=T178,1,0)</f>
        <v>#N/A</v>
      </c>
      <c r="DG178" s="138" t="e">
        <f>IF(VLOOKUP(CONCATENATE(H178,F178,DG$2),Español!$A:$H,7,FALSE)=U178,1,0)</f>
        <v>#N/A</v>
      </c>
      <c r="DH178" s="138" t="e">
        <f>IF(VLOOKUP(CONCATENATE(H178,F178,DH$2),Español!$A:$H,7,FALSE)=V178,1,0)</f>
        <v>#N/A</v>
      </c>
      <c r="DI178" s="138" t="e">
        <f>IF(VLOOKUP(CONCATENATE(H178,F178,DI$2),Español!$A:$H,7,FALSE)=W178,1,0)</f>
        <v>#N/A</v>
      </c>
      <c r="DJ178" s="138" t="e">
        <f>IF(VLOOKUP(CONCATENATE(H178,F178,DJ$2),Español!$A:$H,7,FALSE)=X178,1,0)</f>
        <v>#N/A</v>
      </c>
      <c r="DK178" s="138" t="e">
        <f>IF(VLOOKUP(CONCATENATE(H178,F178,DK$2),Español!$A:$H,7,FALSE)=Y178,1,0)</f>
        <v>#N/A</v>
      </c>
      <c r="DL178" s="138" t="e">
        <f>IF(VLOOKUP(CONCATENATE(H178,F178,DL$2),Español!$A:$H,7,FALSE)=Z178,1,0)</f>
        <v>#N/A</v>
      </c>
      <c r="DM178" s="138" t="e">
        <f>IF(VLOOKUP(CONCATENATE(H178,F178,DM$2),Español!$A:$H,7,FALSE)=AA178,1,0)</f>
        <v>#N/A</v>
      </c>
      <c r="DN178" s="138" t="e">
        <f>IF(VLOOKUP(CONCATENATE(H178,F178,DN$2),Español!$A:$H,7,FALSE)=AB178,1,0)</f>
        <v>#N/A</v>
      </c>
      <c r="DO178" s="138" t="e">
        <f>IF(VLOOKUP(CONCATENATE(H178,F178,DO$2),Español!$A:$H,7,FALSE)=AC178,1,0)</f>
        <v>#N/A</v>
      </c>
      <c r="DP178" s="138" t="e">
        <f>IF(VLOOKUP(CONCATENATE(H178,F178,DP$2),Español!$A:$H,7,FALSE)=AD178,1,0)</f>
        <v>#N/A</v>
      </c>
      <c r="DQ178" s="138" t="e">
        <f>IF(VLOOKUP(CONCATENATE(H178,F178,DQ$2),Español!$A:$H,7,FALSE)=AE178,1,0)</f>
        <v>#N/A</v>
      </c>
      <c r="DR178" s="138" t="e">
        <f>IF(VLOOKUP(CONCATENATE(H178,F178,DR$2),Inglés!$A:$H,7,FALSE)=AF178,1,0)</f>
        <v>#N/A</v>
      </c>
      <c r="DS178" s="138" t="e">
        <f>IF(VLOOKUP(CONCATENATE(H178,F178,DS$2),Inglés!$A:$H,7,FALSE)=AG178,1,0)</f>
        <v>#N/A</v>
      </c>
      <c r="DT178" s="138" t="e">
        <f>IF(VLOOKUP(CONCATENATE(H178,F178,DT$2),Inglés!$A:$H,7,FALSE)=AH178,1,0)</f>
        <v>#N/A</v>
      </c>
      <c r="DU178" s="138" t="e">
        <f>IF(VLOOKUP(CONCATENATE(H178,F178,DU$2),Inglés!$A:$H,7,FALSE)=AI178,1,0)</f>
        <v>#N/A</v>
      </c>
      <c r="DV178" s="138" t="e">
        <f>IF(VLOOKUP(CONCATENATE(H178,F178,DV$2),Inglés!$A:$H,7,FALSE)=AJ178,1,0)</f>
        <v>#N/A</v>
      </c>
      <c r="DW178" s="138" t="e">
        <f>IF(VLOOKUP(CONCATENATE(H178,F178,DW$2),Inglés!$A:$H,7,FALSE)=AK178,1,0)</f>
        <v>#N/A</v>
      </c>
      <c r="DX178" s="138" t="e">
        <f>IF(VLOOKUP(CONCATENATE(H178,F178,DX$2),Inglés!$A:$H,7,FALSE)=AL178,1,0)</f>
        <v>#N/A</v>
      </c>
      <c r="DY178" s="138" t="e">
        <f>IF(VLOOKUP(CONCATENATE(H178,F178,DY$2),Inglés!$A:$H,7,FALSE)=AM178,1,0)</f>
        <v>#N/A</v>
      </c>
      <c r="DZ178" s="138" t="e">
        <f>IF(VLOOKUP(CONCATENATE(H178,F178,DZ$2),Inglés!$A:$H,7,FALSE)=AN178,1,0)</f>
        <v>#N/A</v>
      </c>
      <c r="EA178" s="138" t="e">
        <f>IF(VLOOKUP(CONCATENATE(H178,F178,EA$2),Inglés!$A:$H,7,FALSE)=AO178,1,0)</f>
        <v>#N/A</v>
      </c>
      <c r="EB178" s="138" t="e">
        <f>IF(VLOOKUP(CONCATENATE(H178,F178,EB$2),Matemáticas!$A:$H,7,FALSE)=AP178,1,0)</f>
        <v>#N/A</v>
      </c>
      <c r="EC178" s="138" t="e">
        <f>IF(VLOOKUP(CONCATENATE(H178,F178,EC$2),Matemáticas!$A:$H,7,FALSE)=AQ178,1,0)</f>
        <v>#N/A</v>
      </c>
      <c r="ED178" s="138" t="e">
        <f>IF(VLOOKUP(CONCATENATE(H178,F178,ED$2),Matemáticas!$A:$H,7,FALSE)=AR178,1,0)</f>
        <v>#N/A</v>
      </c>
      <c r="EE178" s="138" t="e">
        <f>IF(VLOOKUP(CONCATENATE(H178,F178,EE$2),Matemáticas!$A:$H,7,FALSE)=AS178,1,0)</f>
        <v>#N/A</v>
      </c>
      <c r="EF178" s="138" t="e">
        <f>IF(VLOOKUP(CONCATENATE(H178,F178,EF$2),Matemáticas!$A:$H,7,FALSE)=AT178,1,0)</f>
        <v>#N/A</v>
      </c>
      <c r="EG178" s="138" t="e">
        <f>IF(VLOOKUP(CONCATENATE(H178,F178,EG$2),Matemáticas!$A:$H,7,FALSE)=AU178,1,0)</f>
        <v>#N/A</v>
      </c>
      <c r="EH178" s="138" t="e">
        <f>IF(VLOOKUP(CONCATENATE(H178,F178,EH$2),Matemáticas!$A:$H,7,FALSE)=AV178,1,0)</f>
        <v>#N/A</v>
      </c>
      <c r="EI178" s="138" t="e">
        <f>IF(VLOOKUP(CONCATENATE(H178,F178,EI$2),Matemáticas!$A:$H,7,FALSE)=AW178,1,0)</f>
        <v>#N/A</v>
      </c>
      <c r="EJ178" s="138" t="e">
        <f>IF(VLOOKUP(CONCATENATE(H178,F178,EJ$2),Matemáticas!$A:$H,7,FALSE)=AX178,1,0)</f>
        <v>#N/A</v>
      </c>
      <c r="EK178" s="138" t="e">
        <f>IF(VLOOKUP(CONCATENATE(H178,F178,EK$2),Matemáticas!$A:$H,7,FALSE)=AY178,1,0)</f>
        <v>#N/A</v>
      </c>
      <c r="EL178" s="138" t="e">
        <f>IF(VLOOKUP(CONCATENATE(H178,F178,EL$2),Matemáticas!$A:$H,7,FALSE)=AZ178,1,0)</f>
        <v>#N/A</v>
      </c>
      <c r="EM178" s="138" t="e">
        <f>IF(VLOOKUP(CONCATENATE(H178,F178,EM$2),Matemáticas!$A:$H,7,FALSE)=BA178,1,0)</f>
        <v>#N/A</v>
      </c>
      <c r="EN178" s="138" t="e">
        <f>IF(VLOOKUP(CONCATENATE(H178,F178,EN$2),Matemáticas!$A:$H,7,FALSE)=BB178,1,0)</f>
        <v>#N/A</v>
      </c>
      <c r="EO178" s="138" t="e">
        <f>IF(VLOOKUP(CONCATENATE(H178,F178,EO$2),Matemáticas!$A:$H,7,FALSE)=BC178,1,0)</f>
        <v>#N/A</v>
      </c>
      <c r="EP178" s="138" t="e">
        <f>IF(VLOOKUP(CONCATENATE(H178,F178,EP$2),Matemáticas!$A:$H,7,FALSE)=BD178,1,0)</f>
        <v>#N/A</v>
      </c>
      <c r="EQ178" s="138" t="e">
        <f>IF(VLOOKUP(CONCATENATE(H178,F178,EQ$2),Matemáticas!$A:$H,7,FALSE)=BE178,1,0)</f>
        <v>#N/A</v>
      </c>
      <c r="ER178" s="138" t="e">
        <f>IF(VLOOKUP(CONCATENATE(H178,F178,ER$2),Matemáticas!$A:$H,7,FALSE)=BF178,1,0)</f>
        <v>#N/A</v>
      </c>
      <c r="ES178" s="138" t="e">
        <f>IF(VLOOKUP(CONCATENATE(H178,F178,ES$2),Matemáticas!$A:$H,7,FALSE)=BG178,1,0)</f>
        <v>#N/A</v>
      </c>
      <c r="ET178" s="138" t="e">
        <f>IF(VLOOKUP(CONCATENATE(H178,F178,ET$2),Matemáticas!$A:$H,7,FALSE)=BH178,1,0)</f>
        <v>#N/A</v>
      </c>
      <c r="EU178" s="138" t="e">
        <f>IF(VLOOKUP(CONCATENATE(H178,F178,EU$2),Matemáticas!$A:$H,7,FALSE)=BI178,1,0)</f>
        <v>#N/A</v>
      </c>
      <c r="EV178" s="138" t="e">
        <f>IF(VLOOKUP(CONCATENATE(H178,F178,EV$2),Ciencias!$A:$H,7,FALSE)=BJ178,1,0)</f>
        <v>#N/A</v>
      </c>
      <c r="EW178" s="138" t="e">
        <f>IF(VLOOKUP(CONCATENATE(H178,F178,EW$2),Ciencias!$A:$H,7,FALSE)=BK178,1,0)</f>
        <v>#N/A</v>
      </c>
      <c r="EX178" s="138" t="e">
        <f>IF(VLOOKUP(CONCATENATE(H178,F178,EX$2),Ciencias!$A:$H,7,FALSE)=BL178,1,0)</f>
        <v>#N/A</v>
      </c>
      <c r="EY178" s="138" t="e">
        <f>IF(VLOOKUP(CONCATENATE(H178,F178,EY$2),Ciencias!$A:$H,7,FALSE)=BM178,1,0)</f>
        <v>#N/A</v>
      </c>
      <c r="EZ178" s="138" t="e">
        <f>IF(VLOOKUP(CONCATENATE(H178,F178,EZ$2),Ciencias!$A:$H,7,FALSE)=BN178,1,0)</f>
        <v>#N/A</v>
      </c>
      <c r="FA178" s="138" t="e">
        <f>IF(VLOOKUP(CONCATENATE(H178,F178,FA$2),Ciencias!$A:$H,7,FALSE)=BO178,1,0)</f>
        <v>#N/A</v>
      </c>
      <c r="FB178" s="138" t="e">
        <f>IF(VLOOKUP(CONCATENATE(H178,F178,FB$2),Ciencias!$A:$H,7,FALSE)=BP178,1,0)</f>
        <v>#N/A</v>
      </c>
      <c r="FC178" s="138" t="e">
        <f>IF(VLOOKUP(CONCATENATE(H178,F178,FC$2),Ciencias!$A:$H,7,FALSE)=BQ178,1,0)</f>
        <v>#N/A</v>
      </c>
      <c r="FD178" s="138" t="e">
        <f>IF(VLOOKUP(CONCATENATE(H178,F178,FD$2),Ciencias!$A:$H,7,FALSE)=BR178,1,0)</f>
        <v>#N/A</v>
      </c>
      <c r="FE178" s="138" t="e">
        <f>IF(VLOOKUP(CONCATENATE(H178,F178,FE$2),Ciencias!$A:$H,7,FALSE)=BS178,1,0)</f>
        <v>#N/A</v>
      </c>
      <c r="FF178" s="138" t="e">
        <f>IF(VLOOKUP(CONCATENATE(H178,F178,FF$2),Ciencias!$A:$H,7,FALSE)=BT178,1,0)</f>
        <v>#N/A</v>
      </c>
      <c r="FG178" s="138" t="e">
        <f>IF(VLOOKUP(CONCATENATE(H178,F178,FG$2),Ciencias!$A:$H,7,FALSE)=BU178,1,0)</f>
        <v>#N/A</v>
      </c>
      <c r="FH178" s="138" t="e">
        <f>IF(VLOOKUP(CONCATENATE(H178,F178,FH$2),Ciencias!$A:$H,7,FALSE)=BV178,1,0)</f>
        <v>#N/A</v>
      </c>
      <c r="FI178" s="138" t="e">
        <f>IF(VLOOKUP(CONCATENATE(H178,F178,FI$2),Ciencias!$A:$H,7,FALSE)=BW178,1,0)</f>
        <v>#N/A</v>
      </c>
      <c r="FJ178" s="138" t="e">
        <f>IF(VLOOKUP(CONCATENATE(H178,F178,FJ$2),Ciencias!$A:$H,7,FALSE)=BX178,1,0)</f>
        <v>#N/A</v>
      </c>
      <c r="FK178" s="138" t="e">
        <f>IF(VLOOKUP(CONCATENATE(H178,F178,FK$2),Ciencias!$A:$H,7,FALSE)=BY178,1,0)</f>
        <v>#N/A</v>
      </c>
      <c r="FL178" s="138" t="e">
        <f>IF(VLOOKUP(CONCATENATE(H178,F178,FL$2),Ciencias!$A:$H,7,FALSE)=BZ178,1,0)</f>
        <v>#N/A</v>
      </c>
      <c r="FM178" s="138" t="e">
        <f>IF(VLOOKUP(CONCATENATE(H178,F178,FM$2),Ciencias!$A:$H,7,FALSE)=CA178,1,0)</f>
        <v>#N/A</v>
      </c>
      <c r="FN178" s="138" t="e">
        <f>IF(VLOOKUP(CONCATENATE(H178,F178,FN$2),Ciencias!$A:$H,7,FALSE)=CB178,1,0)</f>
        <v>#N/A</v>
      </c>
      <c r="FO178" s="138" t="e">
        <f>IF(VLOOKUP(CONCATENATE(H178,F178,FO$2),Ciencias!$A:$H,7,FALSE)=CC178,1,0)</f>
        <v>#N/A</v>
      </c>
      <c r="FP178" s="138" t="e">
        <f>IF(VLOOKUP(CONCATENATE(H178,F178,FP$2),GeoHis!$A:$H,7,FALSE)=CD178,1,0)</f>
        <v>#N/A</v>
      </c>
      <c r="FQ178" s="138" t="e">
        <f>IF(VLOOKUP(CONCATENATE(H178,F178,FQ$2),GeoHis!$A:$H,7,FALSE)=CE178,1,0)</f>
        <v>#N/A</v>
      </c>
      <c r="FR178" s="138" t="e">
        <f>IF(VLOOKUP(CONCATENATE(H178,F178,FR$2),GeoHis!$A:$H,7,FALSE)=CF178,1,0)</f>
        <v>#N/A</v>
      </c>
      <c r="FS178" s="138" t="e">
        <f>IF(VLOOKUP(CONCATENATE(H178,F178,FS$2),GeoHis!$A:$H,7,FALSE)=CG178,1,0)</f>
        <v>#N/A</v>
      </c>
      <c r="FT178" s="138" t="e">
        <f>IF(VLOOKUP(CONCATENATE(H178,F178,FT$2),GeoHis!$A:$H,7,FALSE)=CH178,1,0)</f>
        <v>#N/A</v>
      </c>
      <c r="FU178" s="138" t="e">
        <f>IF(VLOOKUP(CONCATENATE(H178,F178,FU$2),GeoHis!$A:$H,7,FALSE)=CI178,1,0)</f>
        <v>#N/A</v>
      </c>
      <c r="FV178" s="138" t="e">
        <f>IF(VLOOKUP(CONCATENATE(H178,F178,FV$2),GeoHis!$A:$H,7,FALSE)=CJ178,1,0)</f>
        <v>#N/A</v>
      </c>
      <c r="FW178" s="138" t="e">
        <f>IF(VLOOKUP(CONCATENATE(H178,F178,FW$2),GeoHis!$A:$H,7,FALSE)=CK178,1,0)</f>
        <v>#N/A</v>
      </c>
      <c r="FX178" s="138" t="e">
        <f>IF(VLOOKUP(CONCATENATE(H178,F178,FX$2),GeoHis!$A:$H,7,FALSE)=CL178,1,0)</f>
        <v>#N/A</v>
      </c>
      <c r="FY178" s="138" t="e">
        <f>IF(VLOOKUP(CONCATENATE(H178,F178,FY$2),GeoHis!$A:$H,7,FALSE)=CM178,1,0)</f>
        <v>#N/A</v>
      </c>
      <c r="FZ178" s="138" t="e">
        <f>IF(VLOOKUP(CONCATENATE(H178,F178,FZ$2),GeoHis!$A:$H,7,FALSE)=CN178,1,0)</f>
        <v>#N/A</v>
      </c>
      <c r="GA178" s="138" t="e">
        <f>IF(VLOOKUP(CONCATENATE(H178,F178,GA$2),GeoHis!$A:$H,7,FALSE)=CO178,1,0)</f>
        <v>#N/A</v>
      </c>
      <c r="GB178" s="138" t="e">
        <f>IF(VLOOKUP(CONCATENATE(H178,F178,GB$2),GeoHis!$A:$H,7,FALSE)=CP178,1,0)</f>
        <v>#N/A</v>
      </c>
      <c r="GC178" s="138" t="e">
        <f>IF(VLOOKUP(CONCATENATE(H178,F178,GC$2),GeoHis!$A:$H,7,FALSE)=CQ178,1,0)</f>
        <v>#N/A</v>
      </c>
      <c r="GD178" s="138" t="e">
        <f>IF(VLOOKUP(CONCATENATE(H178,F178,GD$2),GeoHis!$A:$H,7,FALSE)=CR178,1,0)</f>
        <v>#N/A</v>
      </c>
      <c r="GE178" s="135" t="str">
        <f t="shared" si="23"/>
        <v/>
      </c>
    </row>
    <row r="179" spans="1:187" x14ac:dyDescent="0.25">
      <c r="A179" s="127" t="str">
        <f>IF(C179="","",'Datos Generales'!$A$25)</f>
        <v/>
      </c>
      <c r="D179" s="126" t="str">
        <f t="shared" si="16"/>
        <v/>
      </c>
      <c r="E179" s="126">
        <f t="shared" si="17"/>
        <v>0</v>
      </c>
      <c r="F179" s="126" t="str">
        <f t="shared" si="18"/>
        <v/>
      </c>
      <c r="G179" s="126" t="str">
        <f>IF(C179="","",'Datos Generales'!$D$19)</f>
        <v/>
      </c>
      <c r="H179" s="21" t="str">
        <f>IF(C179="","",'Datos Generales'!$A$19)</f>
        <v/>
      </c>
      <c r="I179" s="126" t="str">
        <f>IF(C179="","",'Datos Generales'!$A$7)</f>
        <v/>
      </c>
      <c r="J179" s="21" t="str">
        <f>IF(C179="","",'Datos Generales'!$A$13)</f>
        <v/>
      </c>
      <c r="K179" s="21" t="str">
        <f>IF(C179="","",'Datos Generales'!$A$10)</f>
        <v/>
      </c>
      <c r="CS179" s="142" t="str">
        <f t="shared" si="19"/>
        <v/>
      </c>
      <c r="CT179" s="142" t="str">
        <f t="shared" si="20"/>
        <v/>
      </c>
      <c r="CU179" s="142" t="str">
        <f t="shared" si="21"/>
        <v/>
      </c>
      <c r="CV179" s="142" t="str">
        <f t="shared" si="22"/>
        <v/>
      </c>
      <c r="CW179" s="142" t="str">
        <f>IF(C179="","",IF('Datos Generales'!$A$19=1,AVERAGE(FP179:GD179),AVERAGE(Captura!FP179:FY179)))</f>
        <v/>
      </c>
      <c r="CX179" s="138" t="e">
        <f>IF(VLOOKUP(CONCATENATE($H$4,$F$4,CX$2),Español!$A:$H,7,FALSE)=L179,1,0)</f>
        <v>#N/A</v>
      </c>
      <c r="CY179" s="138" t="e">
        <f>IF(VLOOKUP(CONCATENATE(H179,F179,CY$2),Español!$A:$H,7,FALSE)=M179,1,0)</f>
        <v>#N/A</v>
      </c>
      <c r="CZ179" s="138" t="e">
        <f>IF(VLOOKUP(CONCATENATE(H179,F179,CZ$2),Español!$A:$H,7,FALSE)=N179,1,0)</f>
        <v>#N/A</v>
      </c>
      <c r="DA179" s="138" t="e">
        <f>IF(VLOOKUP(CONCATENATE(H179,F179,DA$2),Español!$A:$H,7,FALSE)=O179,1,0)</f>
        <v>#N/A</v>
      </c>
      <c r="DB179" s="138" t="e">
        <f>IF(VLOOKUP(CONCATENATE(H179,F179,DB$2),Español!$A:$H,7,FALSE)=P179,1,0)</f>
        <v>#N/A</v>
      </c>
      <c r="DC179" s="138" t="e">
        <f>IF(VLOOKUP(CONCATENATE(H179,F179,DC$2),Español!$A:$H,7,FALSE)=Q179,1,0)</f>
        <v>#N/A</v>
      </c>
      <c r="DD179" s="138" t="e">
        <f>IF(VLOOKUP(CONCATENATE(H179,F179,DD$2),Español!$A:$H,7,FALSE)=R179,1,0)</f>
        <v>#N/A</v>
      </c>
      <c r="DE179" s="138" t="e">
        <f>IF(VLOOKUP(CONCATENATE(H179,F179,DE$2),Español!$A:$H,7,FALSE)=S179,1,0)</f>
        <v>#N/A</v>
      </c>
      <c r="DF179" s="138" t="e">
        <f>IF(VLOOKUP(CONCATENATE(H179,F179,DF$2),Español!$A:$H,7,FALSE)=T179,1,0)</f>
        <v>#N/A</v>
      </c>
      <c r="DG179" s="138" t="e">
        <f>IF(VLOOKUP(CONCATENATE(H179,F179,DG$2),Español!$A:$H,7,FALSE)=U179,1,0)</f>
        <v>#N/A</v>
      </c>
      <c r="DH179" s="138" t="e">
        <f>IF(VLOOKUP(CONCATENATE(H179,F179,DH$2),Español!$A:$H,7,FALSE)=V179,1,0)</f>
        <v>#N/A</v>
      </c>
      <c r="DI179" s="138" t="e">
        <f>IF(VLOOKUP(CONCATENATE(H179,F179,DI$2),Español!$A:$H,7,FALSE)=W179,1,0)</f>
        <v>#N/A</v>
      </c>
      <c r="DJ179" s="138" t="e">
        <f>IF(VLOOKUP(CONCATENATE(H179,F179,DJ$2),Español!$A:$H,7,FALSE)=X179,1,0)</f>
        <v>#N/A</v>
      </c>
      <c r="DK179" s="138" t="e">
        <f>IF(VLOOKUP(CONCATENATE(H179,F179,DK$2),Español!$A:$H,7,FALSE)=Y179,1,0)</f>
        <v>#N/A</v>
      </c>
      <c r="DL179" s="138" t="e">
        <f>IF(VLOOKUP(CONCATENATE(H179,F179,DL$2),Español!$A:$H,7,FALSE)=Z179,1,0)</f>
        <v>#N/A</v>
      </c>
      <c r="DM179" s="138" t="e">
        <f>IF(VLOOKUP(CONCATENATE(H179,F179,DM$2),Español!$A:$H,7,FALSE)=AA179,1,0)</f>
        <v>#N/A</v>
      </c>
      <c r="DN179" s="138" t="e">
        <f>IF(VLOOKUP(CONCATENATE(H179,F179,DN$2),Español!$A:$H,7,FALSE)=AB179,1,0)</f>
        <v>#N/A</v>
      </c>
      <c r="DO179" s="138" t="e">
        <f>IF(VLOOKUP(CONCATENATE(H179,F179,DO$2),Español!$A:$H,7,FALSE)=AC179,1,0)</f>
        <v>#N/A</v>
      </c>
      <c r="DP179" s="138" t="e">
        <f>IF(VLOOKUP(CONCATENATE(H179,F179,DP$2),Español!$A:$H,7,FALSE)=AD179,1,0)</f>
        <v>#N/A</v>
      </c>
      <c r="DQ179" s="138" t="e">
        <f>IF(VLOOKUP(CONCATENATE(H179,F179,DQ$2),Español!$A:$H,7,FALSE)=AE179,1,0)</f>
        <v>#N/A</v>
      </c>
      <c r="DR179" s="138" t="e">
        <f>IF(VLOOKUP(CONCATENATE(H179,F179,DR$2),Inglés!$A:$H,7,FALSE)=AF179,1,0)</f>
        <v>#N/A</v>
      </c>
      <c r="DS179" s="138" t="e">
        <f>IF(VLOOKUP(CONCATENATE(H179,F179,DS$2),Inglés!$A:$H,7,FALSE)=AG179,1,0)</f>
        <v>#N/A</v>
      </c>
      <c r="DT179" s="138" t="e">
        <f>IF(VLOOKUP(CONCATENATE(H179,F179,DT$2),Inglés!$A:$H,7,FALSE)=AH179,1,0)</f>
        <v>#N/A</v>
      </c>
      <c r="DU179" s="138" t="e">
        <f>IF(VLOOKUP(CONCATENATE(H179,F179,DU$2),Inglés!$A:$H,7,FALSE)=AI179,1,0)</f>
        <v>#N/A</v>
      </c>
      <c r="DV179" s="138" t="e">
        <f>IF(VLOOKUP(CONCATENATE(H179,F179,DV$2),Inglés!$A:$H,7,FALSE)=AJ179,1,0)</f>
        <v>#N/A</v>
      </c>
      <c r="DW179" s="138" t="e">
        <f>IF(VLOOKUP(CONCATENATE(H179,F179,DW$2),Inglés!$A:$H,7,FALSE)=AK179,1,0)</f>
        <v>#N/A</v>
      </c>
      <c r="DX179" s="138" t="e">
        <f>IF(VLOOKUP(CONCATENATE(H179,F179,DX$2),Inglés!$A:$H,7,FALSE)=AL179,1,0)</f>
        <v>#N/A</v>
      </c>
      <c r="DY179" s="138" t="e">
        <f>IF(VLOOKUP(CONCATENATE(H179,F179,DY$2),Inglés!$A:$H,7,FALSE)=AM179,1,0)</f>
        <v>#N/A</v>
      </c>
      <c r="DZ179" s="138" t="e">
        <f>IF(VLOOKUP(CONCATENATE(H179,F179,DZ$2),Inglés!$A:$H,7,FALSE)=AN179,1,0)</f>
        <v>#N/A</v>
      </c>
      <c r="EA179" s="138" t="e">
        <f>IF(VLOOKUP(CONCATENATE(H179,F179,EA$2),Inglés!$A:$H,7,FALSE)=AO179,1,0)</f>
        <v>#N/A</v>
      </c>
      <c r="EB179" s="138" t="e">
        <f>IF(VLOOKUP(CONCATENATE(H179,F179,EB$2),Matemáticas!$A:$H,7,FALSE)=AP179,1,0)</f>
        <v>#N/A</v>
      </c>
      <c r="EC179" s="138" t="e">
        <f>IF(VLOOKUP(CONCATENATE(H179,F179,EC$2),Matemáticas!$A:$H,7,FALSE)=AQ179,1,0)</f>
        <v>#N/A</v>
      </c>
      <c r="ED179" s="138" t="e">
        <f>IF(VLOOKUP(CONCATENATE(H179,F179,ED$2),Matemáticas!$A:$H,7,FALSE)=AR179,1,0)</f>
        <v>#N/A</v>
      </c>
      <c r="EE179" s="138" t="e">
        <f>IF(VLOOKUP(CONCATENATE(H179,F179,EE$2),Matemáticas!$A:$H,7,FALSE)=AS179,1,0)</f>
        <v>#N/A</v>
      </c>
      <c r="EF179" s="138" t="e">
        <f>IF(VLOOKUP(CONCATENATE(H179,F179,EF$2),Matemáticas!$A:$H,7,FALSE)=AT179,1,0)</f>
        <v>#N/A</v>
      </c>
      <c r="EG179" s="138" t="e">
        <f>IF(VLOOKUP(CONCATENATE(H179,F179,EG$2),Matemáticas!$A:$H,7,FALSE)=AU179,1,0)</f>
        <v>#N/A</v>
      </c>
      <c r="EH179" s="138" t="e">
        <f>IF(VLOOKUP(CONCATENATE(H179,F179,EH$2),Matemáticas!$A:$H,7,FALSE)=AV179,1,0)</f>
        <v>#N/A</v>
      </c>
      <c r="EI179" s="138" t="e">
        <f>IF(VLOOKUP(CONCATENATE(H179,F179,EI$2),Matemáticas!$A:$H,7,FALSE)=AW179,1,0)</f>
        <v>#N/A</v>
      </c>
      <c r="EJ179" s="138" t="e">
        <f>IF(VLOOKUP(CONCATENATE(H179,F179,EJ$2),Matemáticas!$A:$H,7,FALSE)=AX179,1,0)</f>
        <v>#N/A</v>
      </c>
      <c r="EK179" s="138" t="e">
        <f>IF(VLOOKUP(CONCATENATE(H179,F179,EK$2),Matemáticas!$A:$H,7,FALSE)=AY179,1,0)</f>
        <v>#N/A</v>
      </c>
      <c r="EL179" s="138" t="e">
        <f>IF(VLOOKUP(CONCATENATE(H179,F179,EL$2),Matemáticas!$A:$H,7,FALSE)=AZ179,1,0)</f>
        <v>#N/A</v>
      </c>
      <c r="EM179" s="138" t="e">
        <f>IF(VLOOKUP(CONCATENATE(H179,F179,EM$2),Matemáticas!$A:$H,7,FALSE)=BA179,1,0)</f>
        <v>#N/A</v>
      </c>
      <c r="EN179" s="138" t="e">
        <f>IF(VLOOKUP(CONCATENATE(H179,F179,EN$2),Matemáticas!$A:$H,7,FALSE)=BB179,1,0)</f>
        <v>#N/A</v>
      </c>
      <c r="EO179" s="138" t="e">
        <f>IF(VLOOKUP(CONCATENATE(H179,F179,EO$2),Matemáticas!$A:$H,7,FALSE)=BC179,1,0)</f>
        <v>#N/A</v>
      </c>
      <c r="EP179" s="138" t="e">
        <f>IF(VLOOKUP(CONCATENATE(H179,F179,EP$2),Matemáticas!$A:$H,7,FALSE)=BD179,1,0)</f>
        <v>#N/A</v>
      </c>
      <c r="EQ179" s="138" t="e">
        <f>IF(VLOOKUP(CONCATENATE(H179,F179,EQ$2),Matemáticas!$A:$H,7,FALSE)=BE179,1,0)</f>
        <v>#N/A</v>
      </c>
      <c r="ER179" s="138" t="e">
        <f>IF(VLOOKUP(CONCATENATE(H179,F179,ER$2),Matemáticas!$A:$H,7,FALSE)=BF179,1,0)</f>
        <v>#N/A</v>
      </c>
      <c r="ES179" s="138" t="e">
        <f>IF(VLOOKUP(CONCATENATE(H179,F179,ES$2),Matemáticas!$A:$H,7,FALSE)=BG179,1,0)</f>
        <v>#N/A</v>
      </c>
      <c r="ET179" s="138" t="e">
        <f>IF(VLOOKUP(CONCATENATE(H179,F179,ET$2),Matemáticas!$A:$H,7,FALSE)=BH179,1,0)</f>
        <v>#N/A</v>
      </c>
      <c r="EU179" s="138" t="e">
        <f>IF(VLOOKUP(CONCATENATE(H179,F179,EU$2),Matemáticas!$A:$H,7,FALSE)=BI179,1,0)</f>
        <v>#N/A</v>
      </c>
      <c r="EV179" s="138" t="e">
        <f>IF(VLOOKUP(CONCATENATE(H179,F179,EV$2),Ciencias!$A:$H,7,FALSE)=BJ179,1,0)</f>
        <v>#N/A</v>
      </c>
      <c r="EW179" s="138" t="e">
        <f>IF(VLOOKUP(CONCATENATE(H179,F179,EW$2),Ciencias!$A:$H,7,FALSE)=BK179,1,0)</f>
        <v>#N/A</v>
      </c>
      <c r="EX179" s="138" t="e">
        <f>IF(VLOOKUP(CONCATENATE(H179,F179,EX$2),Ciencias!$A:$H,7,FALSE)=BL179,1,0)</f>
        <v>#N/A</v>
      </c>
      <c r="EY179" s="138" t="e">
        <f>IF(VLOOKUP(CONCATENATE(H179,F179,EY$2),Ciencias!$A:$H,7,FALSE)=BM179,1,0)</f>
        <v>#N/A</v>
      </c>
      <c r="EZ179" s="138" t="e">
        <f>IF(VLOOKUP(CONCATENATE(H179,F179,EZ$2),Ciencias!$A:$H,7,FALSE)=BN179,1,0)</f>
        <v>#N/A</v>
      </c>
      <c r="FA179" s="138" t="e">
        <f>IF(VLOOKUP(CONCATENATE(H179,F179,FA$2),Ciencias!$A:$H,7,FALSE)=BO179,1,0)</f>
        <v>#N/A</v>
      </c>
      <c r="FB179" s="138" t="e">
        <f>IF(VLOOKUP(CONCATENATE(H179,F179,FB$2),Ciencias!$A:$H,7,FALSE)=BP179,1,0)</f>
        <v>#N/A</v>
      </c>
      <c r="FC179" s="138" t="e">
        <f>IF(VLOOKUP(CONCATENATE(H179,F179,FC$2),Ciencias!$A:$H,7,FALSE)=BQ179,1,0)</f>
        <v>#N/A</v>
      </c>
      <c r="FD179" s="138" t="e">
        <f>IF(VLOOKUP(CONCATENATE(H179,F179,FD$2),Ciencias!$A:$H,7,FALSE)=BR179,1,0)</f>
        <v>#N/A</v>
      </c>
      <c r="FE179" s="138" t="e">
        <f>IF(VLOOKUP(CONCATENATE(H179,F179,FE$2),Ciencias!$A:$H,7,FALSE)=BS179,1,0)</f>
        <v>#N/A</v>
      </c>
      <c r="FF179" s="138" t="e">
        <f>IF(VLOOKUP(CONCATENATE(H179,F179,FF$2),Ciencias!$A:$H,7,FALSE)=BT179,1,0)</f>
        <v>#N/A</v>
      </c>
      <c r="FG179" s="138" t="e">
        <f>IF(VLOOKUP(CONCATENATE(H179,F179,FG$2),Ciencias!$A:$H,7,FALSE)=BU179,1,0)</f>
        <v>#N/A</v>
      </c>
      <c r="FH179" s="138" t="e">
        <f>IF(VLOOKUP(CONCATENATE(H179,F179,FH$2),Ciencias!$A:$H,7,FALSE)=BV179,1,0)</f>
        <v>#N/A</v>
      </c>
      <c r="FI179" s="138" t="e">
        <f>IF(VLOOKUP(CONCATENATE(H179,F179,FI$2),Ciencias!$A:$H,7,FALSE)=BW179,1,0)</f>
        <v>#N/A</v>
      </c>
      <c r="FJ179" s="138" t="e">
        <f>IF(VLOOKUP(CONCATENATE(H179,F179,FJ$2),Ciencias!$A:$H,7,FALSE)=BX179,1,0)</f>
        <v>#N/A</v>
      </c>
      <c r="FK179" s="138" t="e">
        <f>IF(VLOOKUP(CONCATENATE(H179,F179,FK$2),Ciencias!$A:$H,7,FALSE)=BY179,1,0)</f>
        <v>#N/A</v>
      </c>
      <c r="FL179" s="138" t="e">
        <f>IF(VLOOKUP(CONCATENATE(H179,F179,FL$2),Ciencias!$A:$H,7,FALSE)=BZ179,1,0)</f>
        <v>#N/A</v>
      </c>
      <c r="FM179" s="138" t="e">
        <f>IF(VLOOKUP(CONCATENATE(H179,F179,FM$2),Ciencias!$A:$H,7,FALSE)=CA179,1,0)</f>
        <v>#N/A</v>
      </c>
      <c r="FN179" s="138" t="e">
        <f>IF(VLOOKUP(CONCATENATE(H179,F179,FN$2),Ciencias!$A:$H,7,FALSE)=CB179,1,0)</f>
        <v>#N/A</v>
      </c>
      <c r="FO179" s="138" t="e">
        <f>IF(VLOOKUP(CONCATENATE(H179,F179,FO$2),Ciencias!$A:$H,7,FALSE)=CC179,1,0)</f>
        <v>#N/A</v>
      </c>
      <c r="FP179" s="138" t="e">
        <f>IF(VLOOKUP(CONCATENATE(H179,F179,FP$2),GeoHis!$A:$H,7,FALSE)=CD179,1,0)</f>
        <v>#N/A</v>
      </c>
      <c r="FQ179" s="138" t="e">
        <f>IF(VLOOKUP(CONCATENATE(H179,F179,FQ$2),GeoHis!$A:$H,7,FALSE)=CE179,1,0)</f>
        <v>#N/A</v>
      </c>
      <c r="FR179" s="138" t="e">
        <f>IF(VLOOKUP(CONCATENATE(H179,F179,FR$2),GeoHis!$A:$H,7,FALSE)=CF179,1,0)</f>
        <v>#N/A</v>
      </c>
      <c r="FS179" s="138" t="e">
        <f>IF(VLOOKUP(CONCATENATE(H179,F179,FS$2),GeoHis!$A:$H,7,FALSE)=CG179,1,0)</f>
        <v>#N/A</v>
      </c>
      <c r="FT179" s="138" t="e">
        <f>IF(VLOOKUP(CONCATENATE(H179,F179,FT$2),GeoHis!$A:$H,7,FALSE)=CH179,1,0)</f>
        <v>#N/A</v>
      </c>
      <c r="FU179" s="138" t="e">
        <f>IF(VLOOKUP(CONCATENATE(H179,F179,FU$2),GeoHis!$A:$H,7,FALSE)=CI179,1,0)</f>
        <v>#N/A</v>
      </c>
      <c r="FV179" s="138" t="e">
        <f>IF(VLOOKUP(CONCATENATE(H179,F179,FV$2),GeoHis!$A:$H,7,FALSE)=CJ179,1,0)</f>
        <v>#N/A</v>
      </c>
      <c r="FW179" s="138" t="e">
        <f>IF(VLOOKUP(CONCATENATE(H179,F179,FW$2),GeoHis!$A:$H,7,FALSE)=CK179,1,0)</f>
        <v>#N/A</v>
      </c>
      <c r="FX179" s="138" t="e">
        <f>IF(VLOOKUP(CONCATENATE(H179,F179,FX$2),GeoHis!$A:$H,7,FALSE)=CL179,1,0)</f>
        <v>#N/A</v>
      </c>
      <c r="FY179" s="138" t="e">
        <f>IF(VLOOKUP(CONCATENATE(H179,F179,FY$2),GeoHis!$A:$H,7,FALSE)=CM179,1,0)</f>
        <v>#N/A</v>
      </c>
      <c r="FZ179" s="138" t="e">
        <f>IF(VLOOKUP(CONCATENATE(H179,F179,FZ$2),GeoHis!$A:$H,7,FALSE)=CN179,1,0)</f>
        <v>#N/A</v>
      </c>
      <c r="GA179" s="138" t="e">
        <f>IF(VLOOKUP(CONCATENATE(H179,F179,GA$2),GeoHis!$A:$H,7,FALSE)=CO179,1,0)</f>
        <v>#N/A</v>
      </c>
      <c r="GB179" s="138" t="e">
        <f>IF(VLOOKUP(CONCATENATE(H179,F179,GB$2),GeoHis!$A:$H,7,FALSE)=CP179,1,0)</f>
        <v>#N/A</v>
      </c>
      <c r="GC179" s="138" t="e">
        <f>IF(VLOOKUP(CONCATENATE(H179,F179,GC$2),GeoHis!$A:$H,7,FALSE)=CQ179,1,0)</f>
        <v>#N/A</v>
      </c>
      <c r="GD179" s="138" t="e">
        <f>IF(VLOOKUP(CONCATENATE(H179,F179,GD$2),GeoHis!$A:$H,7,FALSE)=CR179,1,0)</f>
        <v>#N/A</v>
      </c>
      <c r="GE179" s="135" t="str">
        <f t="shared" si="23"/>
        <v/>
      </c>
    </row>
    <row r="180" spans="1:187" x14ac:dyDescent="0.25">
      <c r="A180" s="127" t="str">
        <f>IF(C180="","",'Datos Generales'!$A$25)</f>
        <v/>
      </c>
      <c r="D180" s="126" t="str">
        <f t="shared" si="16"/>
        <v/>
      </c>
      <c r="E180" s="126">
        <f t="shared" si="17"/>
        <v>0</v>
      </c>
      <c r="F180" s="126" t="str">
        <f t="shared" si="18"/>
        <v/>
      </c>
      <c r="G180" s="126" t="str">
        <f>IF(C180="","",'Datos Generales'!$D$19)</f>
        <v/>
      </c>
      <c r="H180" s="21" t="str">
        <f>IF(C180="","",'Datos Generales'!$A$19)</f>
        <v/>
      </c>
      <c r="I180" s="126" t="str">
        <f>IF(C180="","",'Datos Generales'!$A$7)</f>
        <v/>
      </c>
      <c r="J180" s="21" t="str">
        <f>IF(C180="","",'Datos Generales'!$A$13)</f>
        <v/>
      </c>
      <c r="K180" s="21" t="str">
        <f>IF(C180="","",'Datos Generales'!$A$10)</f>
        <v/>
      </c>
      <c r="CS180" s="142" t="str">
        <f t="shared" si="19"/>
        <v/>
      </c>
      <c r="CT180" s="142" t="str">
        <f t="shared" si="20"/>
        <v/>
      </c>
      <c r="CU180" s="142" t="str">
        <f t="shared" si="21"/>
        <v/>
      </c>
      <c r="CV180" s="142" t="str">
        <f t="shared" si="22"/>
        <v/>
      </c>
      <c r="CW180" s="142" t="str">
        <f>IF(C180="","",IF('Datos Generales'!$A$19=1,AVERAGE(FP180:GD180),AVERAGE(Captura!FP180:FY180)))</f>
        <v/>
      </c>
      <c r="CX180" s="138" t="e">
        <f>IF(VLOOKUP(CONCATENATE($H$4,$F$4,CX$2),Español!$A:$H,7,FALSE)=L180,1,0)</f>
        <v>#N/A</v>
      </c>
      <c r="CY180" s="138" t="e">
        <f>IF(VLOOKUP(CONCATENATE(H180,F180,CY$2),Español!$A:$H,7,FALSE)=M180,1,0)</f>
        <v>#N/A</v>
      </c>
      <c r="CZ180" s="138" t="e">
        <f>IF(VLOOKUP(CONCATENATE(H180,F180,CZ$2),Español!$A:$H,7,FALSE)=N180,1,0)</f>
        <v>#N/A</v>
      </c>
      <c r="DA180" s="138" t="e">
        <f>IF(VLOOKUP(CONCATENATE(H180,F180,DA$2),Español!$A:$H,7,FALSE)=O180,1,0)</f>
        <v>#N/A</v>
      </c>
      <c r="DB180" s="138" t="e">
        <f>IF(VLOOKUP(CONCATENATE(H180,F180,DB$2),Español!$A:$H,7,FALSE)=P180,1,0)</f>
        <v>#N/A</v>
      </c>
      <c r="DC180" s="138" t="e">
        <f>IF(VLOOKUP(CONCATENATE(H180,F180,DC$2),Español!$A:$H,7,FALSE)=Q180,1,0)</f>
        <v>#N/A</v>
      </c>
      <c r="DD180" s="138" t="e">
        <f>IF(VLOOKUP(CONCATENATE(H180,F180,DD$2),Español!$A:$H,7,FALSE)=R180,1,0)</f>
        <v>#N/A</v>
      </c>
      <c r="DE180" s="138" t="e">
        <f>IF(VLOOKUP(CONCATENATE(H180,F180,DE$2),Español!$A:$H,7,FALSE)=S180,1,0)</f>
        <v>#N/A</v>
      </c>
      <c r="DF180" s="138" t="e">
        <f>IF(VLOOKUP(CONCATENATE(H180,F180,DF$2),Español!$A:$H,7,FALSE)=T180,1,0)</f>
        <v>#N/A</v>
      </c>
      <c r="DG180" s="138" t="e">
        <f>IF(VLOOKUP(CONCATENATE(H180,F180,DG$2),Español!$A:$H,7,FALSE)=U180,1,0)</f>
        <v>#N/A</v>
      </c>
      <c r="DH180" s="138" t="e">
        <f>IF(VLOOKUP(CONCATENATE(H180,F180,DH$2),Español!$A:$H,7,FALSE)=V180,1,0)</f>
        <v>#N/A</v>
      </c>
      <c r="DI180" s="138" t="e">
        <f>IF(VLOOKUP(CONCATENATE(H180,F180,DI$2),Español!$A:$H,7,FALSE)=W180,1,0)</f>
        <v>#N/A</v>
      </c>
      <c r="DJ180" s="138" t="e">
        <f>IF(VLOOKUP(CONCATENATE(H180,F180,DJ$2),Español!$A:$H,7,FALSE)=X180,1,0)</f>
        <v>#N/A</v>
      </c>
      <c r="DK180" s="138" t="e">
        <f>IF(VLOOKUP(CONCATENATE(H180,F180,DK$2),Español!$A:$H,7,FALSE)=Y180,1,0)</f>
        <v>#N/A</v>
      </c>
      <c r="DL180" s="138" t="e">
        <f>IF(VLOOKUP(CONCATENATE(H180,F180,DL$2),Español!$A:$H,7,FALSE)=Z180,1,0)</f>
        <v>#N/A</v>
      </c>
      <c r="DM180" s="138" t="e">
        <f>IF(VLOOKUP(CONCATENATE(H180,F180,DM$2),Español!$A:$H,7,FALSE)=AA180,1,0)</f>
        <v>#N/A</v>
      </c>
      <c r="DN180" s="138" t="e">
        <f>IF(VLOOKUP(CONCATENATE(H180,F180,DN$2),Español!$A:$H,7,FALSE)=AB180,1,0)</f>
        <v>#N/A</v>
      </c>
      <c r="DO180" s="138" t="e">
        <f>IF(VLOOKUP(CONCATENATE(H180,F180,DO$2),Español!$A:$H,7,FALSE)=AC180,1,0)</f>
        <v>#N/A</v>
      </c>
      <c r="DP180" s="138" t="e">
        <f>IF(VLOOKUP(CONCATENATE(H180,F180,DP$2),Español!$A:$H,7,FALSE)=AD180,1,0)</f>
        <v>#N/A</v>
      </c>
      <c r="DQ180" s="138" t="e">
        <f>IF(VLOOKUP(CONCATENATE(H180,F180,DQ$2),Español!$A:$H,7,FALSE)=AE180,1,0)</f>
        <v>#N/A</v>
      </c>
      <c r="DR180" s="138" t="e">
        <f>IF(VLOOKUP(CONCATENATE(H180,F180,DR$2),Inglés!$A:$H,7,FALSE)=AF180,1,0)</f>
        <v>#N/A</v>
      </c>
      <c r="DS180" s="138" t="e">
        <f>IF(VLOOKUP(CONCATENATE(H180,F180,DS$2),Inglés!$A:$H,7,FALSE)=AG180,1,0)</f>
        <v>#N/A</v>
      </c>
      <c r="DT180" s="138" t="e">
        <f>IF(VLOOKUP(CONCATENATE(H180,F180,DT$2),Inglés!$A:$H,7,FALSE)=AH180,1,0)</f>
        <v>#N/A</v>
      </c>
      <c r="DU180" s="138" t="e">
        <f>IF(VLOOKUP(CONCATENATE(H180,F180,DU$2),Inglés!$A:$H,7,FALSE)=AI180,1,0)</f>
        <v>#N/A</v>
      </c>
      <c r="DV180" s="138" t="e">
        <f>IF(VLOOKUP(CONCATENATE(H180,F180,DV$2),Inglés!$A:$H,7,FALSE)=AJ180,1,0)</f>
        <v>#N/A</v>
      </c>
      <c r="DW180" s="138" t="e">
        <f>IF(VLOOKUP(CONCATENATE(H180,F180,DW$2),Inglés!$A:$H,7,FALSE)=AK180,1,0)</f>
        <v>#N/A</v>
      </c>
      <c r="DX180" s="138" t="e">
        <f>IF(VLOOKUP(CONCATENATE(H180,F180,DX$2),Inglés!$A:$H,7,FALSE)=AL180,1,0)</f>
        <v>#N/A</v>
      </c>
      <c r="DY180" s="138" t="e">
        <f>IF(VLOOKUP(CONCATENATE(H180,F180,DY$2),Inglés!$A:$H,7,FALSE)=AM180,1,0)</f>
        <v>#N/A</v>
      </c>
      <c r="DZ180" s="138" t="e">
        <f>IF(VLOOKUP(CONCATENATE(H180,F180,DZ$2),Inglés!$A:$H,7,FALSE)=AN180,1,0)</f>
        <v>#N/A</v>
      </c>
      <c r="EA180" s="138" t="e">
        <f>IF(VLOOKUP(CONCATENATE(H180,F180,EA$2),Inglés!$A:$H,7,FALSE)=AO180,1,0)</f>
        <v>#N/A</v>
      </c>
      <c r="EB180" s="138" t="e">
        <f>IF(VLOOKUP(CONCATENATE(H180,F180,EB$2),Matemáticas!$A:$H,7,FALSE)=AP180,1,0)</f>
        <v>#N/A</v>
      </c>
      <c r="EC180" s="138" t="e">
        <f>IF(VLOOKUP(CONCATENATE(H180,F180,EC$2),Matemáticas!$A:$H,7,FALSE)=AQ180,1,0)</f>
        <v>#N/A</v>
      </c>
      <c r="ED180" s="138" t="e">
        <f>IF(VLOOKUP(CONCATENATE(H180,F180,ED$2),Matemáticas!$A:$H,7,FALSE)=AR180,1,0)</f>
        <v>#N/A</v>
      </c>
      <c r="EE180" s="138" t="e">
        <f>IF(VLOOKUP(CONCATENATE(H180,F180,EE$2),Matemáticas!$A:$H,7,FALSE)=AS180,1,0)</f>
        <v>#N/A</v>
      </c>
      <c r="EF180" s="138" t="e">
        <f>IF(VLOOKUP(CONCATENATE(H180,F180,EF$2),Matemáticas!$A:$H,7,FALSE)=AT180,1,0)</f>
        <v>#N/A</v>
      </c>
      <c r="EG180" s="138" t="e">
        <f>IF(VLOOKUP(CONCATENATE(H180,F180,EG$2),Matemáticas!$A:$H,7,FALSE)=AU180,1,0)</f>
        <v>#N/A</v>
      </c>
      <c r="EH180" s="138" t="e">
        <f>IF(VLOOKUP(CONCATENATE(H180,F180,EH$2),Matemáticas!$A:$H,7,FALSE)=AV180,1,0)</f>
        <v>#N/A</v>
      </c>
      <c r="EI180" s="138" t="e">
        <f>IF(VLOOKUP(CONCATENATE(H180,F180,EI$2),Matemáticas!$A:$H,7,FALSE)=AW180,1,0)</f>
        <v>#N/A</v>
      </c>
      <c r="EJ180" s="138" t="e">
        <f>IF(VLOOKUP(CONCATENATE(H180,F180,EJ$2),Matemáticas!$A:$H,7,FALSE)=AX180,1,0)</f>
        <v>#N/A</v>
      </c>
      <c r="EK180" s="138" t="e">
        <f>IF(VLOOKUP(CONCATENATE(H180,F180,EK$2),Matemáticas!$A:$H,7,FALSE)=AY180,1,0)</f>
        <v>#N/A</v>
      </c>
      <c r="EL180" s="138" t="e">
        <f>IF(VLOOKUP(CONCATENATE(H180,F180,EL$2),Matemáticas!$A:$H,7,FALSE)=AZ180,1,0)</f>
        <v>#N/A</v>
      </c>
      <c r="EM180" s="138" t="e">
        <f>IF(VLOOKUP(CONCATENATE(H180,F180,EM$2),Matemáticas!$A:$H,7,FALSE)=BA180,1,0)</f>
        <v>#N/A</v>
      </c>
      <c r="EN180" s="138" t="e">
        <f>IF(VLOOKUP(CONCATENATE(H180,F180,EN$2),Matemáticas!$A:$H,7,FALSE)=BB180,1,0)</f>
        <v>#N/A</v>
      </c>
      <c r="EO180" s="138" t="e">
        <f>IF(VLOOKUP(CONCATENATE(H180,F180,EO$2),Matemáticas!$A:$H,7,FALSE)=BC180,1,0)</f>
        <v>#N/A</v>
      </c>
      <c r="EP180" s="138" t="e">
        <f>IF(VLOOKUP(CONCATENATE(H180,F180,EP$2),Matemáticas!$A:$H,7,FALSE)=BD180,1,0)</f>
        <v>#N/A</v>
      </c>
      <c r="EQ180" s="138" t="e">
        <f>IF(VLOOKUP(CONCATENATE(H180,F180,EQ$2),Matemáticas!$A:$H,7,FALSE)=BE180,1,0)</f>
        <v>#N/A</v>
      </c>
      <c r="ER180" s="138" t="e">
        <f>IF(VLOOKUP(CONCATENATE(H180,F180,ER$2),Matemáticas!$A:$H,7,FALSE)=BF180,1,0)</f>
        <v>#N/A</v>
      </c>
      <c r="ES180" s="138" t="e">
        <f>IF(VLOOKUP(CONCATENATE(H180,F180,ES$2),Matemáticas!$A:$H,7,FALSE)=BG180,1,0)</f>
        <v>#N/A</v>
      </c>
      <c r="ET180" s="138" t="e">
        <f>IF(VLOOKUP(CONCATENATE(H180,F180,ET$2),Matemáticas!$A:$H,7,FALSE)=BH180,1,0)</f>
        <v>#N/A</v>
      </c>
      <c r="EU180" s="138" t="e">
        <f>IF(VLOOKUP(CONCATENATE(H180,F180,EU$2),Matemáticas!$A:$H,7,FALSE)=BI180,1,0)</f>
        <v>#N/A</v>
      </c>
      <c r="EV180" s="138" t="e">
        <f>IF(VLOOKUP(CONCATENATE(H180,F180,EV$2),Ciencias!$A:$H,7,FALSE)=BJ180,1,0)</f>
        <v>#N/A</v>
      </c>
      <c r="EW180" s="138" t="e">
        <f>IF(VLOOKUP(CONCATENATE(H180,F180,EW$2),Ciencias!$A:$H,7,FALSE)=BK180,1,0)</f>
        <v>#N/A</v>
      </c>
      <c r="EX180" s="138" t="e">
        <f>IF(VLOOKUP(CONCATENATE(H180,F180,EX$2),Ciencias!$A:$H,7,FALSE)=BL180,1,0)</f>
        <v>#N/A</v>
      </c>
      <c r="EY180" s="138" t="e">
        <f>IF(VLOOKUP(CONCATENATE(H180,F180,EY$2),Ciencias!$A:$H,7,FALSE)=BM180,1,0)</f>
        <v>#N/A</v>
      </c>
      <c r="EZ180" s="138" t="e">
        <f>IF(VLOOKUP(CONCATENATE(H180,F180,EZ$2),Ciencias!$A:$H,7,FALSE)=BN180,1,0)</f>
        <v>#N/A</v>
      </c>
      <c r="FA180" s="138" t="e">
        <f>IF(VLOOKUP(CONCATENATE(H180,F180,FA$2),Ciencias!$A:$H,7,FALSE)=BO180,1,0)</f>
        <v>#N/A</v>
      </c>
      <c r="FB180" s="138" t="e">
        <f>IF(VLOOKUP(CONCATENATE(H180,F180,FB$2),Ciencias!$A:$H,7,FALSE)=BP180,1,0)</f>
        <v>#N/A</v>
      </c>
      <c r="FC180" s="138" t="e">
        <f>IF(VLOOKUP(CONCATENATE(H180,F180,FC$2),Ciencias!$A:$H,7,FALSE)=BQ180,1,0)</f>
        <v>#N/A</v>
      </c>
      <c r="FD180" s="138" t="e">
        <f>IF(VLOOKUP(CONCATENATE(H180,F180,FD$2),Ciencias!$A:$H,7,FALSE)=BR180,1,0)</f>
        <v>#N/A</v>
      </c>
      <c r="FE180" s="138" t="e">
        <f>IF(VLOOKUP(CONCATENATE(H180,F180,FE$2),Ciencias!$A:$H,7,FALSE)=BS180,1,0)</f>
        <v>#N/A</v>
      </c>
      <c r="FF180" s="138" t="e">
        <f>IF(VLOOKUP(CONCATENATE(H180,F180,FF$2),Ciencias!$A:$H,7,FALSE)=BT180,1,0)</f>
        <v>#N/A</v>
      </c>
      <c r="FG180" s="138" t="e">
        <f>IF(VLOOKUP(CONCATENATE(H180,F180,FG$2),Ciencias!$A:$H,7,FALSE)=BU180,1,0)</f>
        <v>#N/A</v>
      </c>
      <c r="FH180" s="138" t="e">
        <f>IF(VLOOKUP(CONCATENATE(H180,F180,FH$2),Ciencias!$A:$H,7,FALSE)=BV180,1,0)</f>
        <v>#N/A</v>
      </c>
      <c r="FI180" s="138" t="e">
        <f>IF(VLOOKUP(CONCATENATE(H180,F180,FI$2),Ciencias!$A:$H,7,FALSE)=BW180,1,0)</f>
        <v>#N/A</v>
      </c>
      <c r="FJ180" s="138" t="e">
        <f>IF(VLOOKUP(CONCATENATE(H180,F180,FJ$2),Ciencias!$A:$H,7,FALSE)=BX180,1,0)</f>
        <v>#N/A</v>
      </c>
      <c r="FK180" s="138" t="e">
        <f>IF(VLOOKUP(CONCATENATE(H180,F180,FK$2),Ciencias!$A:$H,7,FALSE)=BY180,1,0)</f>
        <v>#N/A</v>
      </c>
      <c r="FL180" s="138" t="e">
        <f>IF(VLOOKUP(CONCATENATE(H180,F180,FL$2),Ciencias!$A:$H,7,FALSE)=BZ180,1,0)</f>
        <v>#N/A</v>
      </c>
      <c r="FM180" s="138" t="e">
        <f>IF(VLOOKUP(CONCATENATE(H180,F180,FM$2),Ciencias!$A:$H,7,FALSE)=CA180,1,0)</f>
        <v>#N/A</v>
      </c>
      <c r="FN180" s="138" t="e">
        <f>IF(VLOOKUP(CONCATENATE(H180,F180,FN$2),Ciencias!$A:$H,7,FALSE)=CB180,1,0)</f>
        <v>#N/A</v>
      </c>
      <c r="FO180" s="138" t="e">
        <f>IF(VLOOKUP(CONCATENATE(H180,F180,FO$2),Ciencias!$A:$H,7,FALSE)=CC180,1,0)</f>
        <v>#N/A</v>
      </c>
      <c r="FP180" s="138" t="e">
        <f>IF(VLOOKUP(CONCATENATE(H180,F180,FP$2),GeoHis!$A:$H,7,FALSE)=CD180,1,0)</f>
        <v>#N/A</v>
      </c>
      <c r="FQ180" s="138" t="e">
        <f>IF(VLOOKUP(CONCATENATE(H180,F180,FQ$2),GeoHis!$A:$H,7,FALSE)=CE180,1,0)</f>
        <v>#N/A</v>
      </c>
      <c r="FR180" s="138" t="e">
        <f>IF(VLOOKUP(CONCATENATE(H180,F180,FR$2),GeoHis!$A:$H,7,FALSE)=CF180,1,0)</f>
        <v>#N/A</v>
      </c>
      <c r="FS180" s="138" t="e">
        <f>IF(VLOOKUP(CONCATENATE(H180,F180,FS$2),GeoHis!$A:$H,7,FALSE)=CG180,1,0)</f>
        <v>#N/A</v>
      </c>
      <c r="FT180" s="138" t="e">
        <f>IF(VLOOKUP(CONCATENATE(H180,F180,FT$2),GeoHis!$A:$H,7,FALSE)=CH180,1,0)</f>
        <v>#N/A</v>
      </c>
      <c r="FU180" s="138" t="e">
        <f>IF(VLOOKUP(CONCATENATE(H180,F180,FU$2),GeoHis!$A:$H,7,FALSE)=CI180,1,0)</f>
        <v>#N/A</v>
      </c>
      <c r="FV180" s="138" t="e">
        <f>IF(VLOOKUP(CONCATENATE(H180,F180,FV$2),GeoHis!$A:$H,7,FALSE)=CJ180,1,0)</f>
        <v>#N/A</v>
      </c>
      <c r="FW180" s="138" t="e">
        <f>IF(VLOOKUP(CONCATENATE(H180,F180,FW$2),GeoHis!$A:$H,7,FALSE)=CK180,1,0)</f>
        <v>#N/A</v>
      </c>
      <c r="FX180" s="138" t="e">
        <f>IF(VLOOKUP(CONCATENATE(H180,F180,FX$2),GeoHis!$A:$H,7,FALSE)=CL180,1,0)</f>
        <v>#N/A</v>
      </c>
      <c r="FY180" s="138" t="e">
        <f>IF(VLOOKUP(CONCATENATE(H180,F180,FY$2),GeoHis!$A:$H,7,FALSE)=CM180,1,0)</f>
        <v>#N/A</v>
      </c>
      <c r="FZ180" s="138" t="e">
        <f>IF(VLOOKUP(CONCATENATE(H180,F180,FZ$2),GeoHis!$A:$H,7,FALSE)=CN180,1,0)</f>
        <v>#N/A</v>
      </c>
      <c r="GA180" s="138" t="e">
        <f>IF(VLOOKUP(CONCATENATE(H180,F180,GA$2),GeoHis!$A:$H,7,FALSE)=CO180,1,0)</f>
        <v>#N/A</v>
      </c>
      <c r="GB180" s="138" t="e">
        <f>IF(VLOOKUP(CONCATENATE(H180,F180,GB$2),GeoHis!$A:$H,7,FALSE)=CP180,1,0)</f>
        <v>#N/A</v>
      </c>
      <c r="GC180" s="138" t="e">
        <f>IF(VLOOKUP(CONCATENATE(H180,F180,GC$2),GeoHis!$A:$H,7,FALSE)=CQ180,1,0)</f>
        <v>#N/A</v>
      </c>
      <c r="GD180" s="138" t="e">
        <f>IF(VLOOKUP(CONCATENATE(H180,F180,GD$2),GeoHis!$A:$H,7,FALSE)=CR180,1,0)</f>
        <v>#N/A</v>
      </c>
      <c r="GE180" s="135" t="str">
        <f t="shared" si="23"/>
        <v/>
      </c>
    </row>
    <row r="181" spans="1:187" x14ac:dyDescent="0.25">
      <c r="A181" s="127" t="str">
        <f>IF(C181="","",'Datos Generales'!$A$25)</f>
        <v/>
      </c>
      <c r="D181" s="126" t="str">
        <f t="shared" si="16"/>
        <v/>
      </c>
      <c r="E181" s="126">
        <f t="shared" si="17"/>
        <v>0</v>
      </c>
      <c r="F181" s="126" t="str">
        <f t="shared" si="18"/>
        <v/>
      </c>
      <c r="G181" s="126" t="str">
        <f>IF(C181="","",'Datos Generales'!$D$19)</f>
        <v/>
      </c>
      <c r="H181" s="21" t="str">
        <f>IF(C181="","",'Datos Generales'!$A$19)</f>
        <v/>
      </c>
      <c r="I181" s="126" t="str">
        <f>IF(C181="","",'Datos Generales'!$A$7)</f>
        <v/>
      </c>
      <c r="J181" s="21" t="str">
        <f>IF(C181="","",'Datos Generales'!$A$13)</f>
        <v/>
      </c>
      <c r="K181" s="21" t="str">
        <f>IF(C181="","",'Datos Generales'!$A$10)</f>
        <v/>
      </c>
      <c r="CS181" s="142" t="str">
        <f t="shared" si="19"/>
        <v/>
      </c>
      <c r="CT181" s="142" t="str">
        <f t="shared" si="20"/>
        <v/>
      </c>
      <c r="CU181" s="142" t="str">
        <f t="shared" si="21"/>
        <v/>
      </c>
      <c r="CV181" s="142" t="str">
        <f t="shared" si="22"/>
        <v/>
      </c>
      <c r="CW181" s="142" t="str">
        <f>IF(C181="","",IF('Datos Generales'!$A$19=1,AVERAGE(FP181:GD181),AVERAGE(Captura!FP181:FY181)))</f>
        <v/>
      </c>
      <c r="CX181" s="138" t="e">
        <f>IF(VLOOKUP(CONCATENATE($H$4,$F$4,CX$2),Español!$A:$H,7,FALSE)=L181,1,0)</f>
        <v>#N/A</v>
      </c>
      <c r="CY181" s="138" t="e">
        <f>IF(VLOOKUP(CONCATENATE(H181,F181,CY$2),Español!$A:$H,7,FALSE)=M181,1,0)</f>
        <v>#N/A</v>
      </c>
      <c r="CZ181" s="138" t="e">
        <f>IF(VLOOKUP(CONCATENATE(H181,F181,CZ$2),Español!$A:$H,7,FALSE)=N181,1,0)</f>
        <v>#N/A</v>
      </c>
      <c r="DA181" s="138" t="e">
        <f>IF(VLOOKUP(CONCATENATE(H181,F181,DA$2),Español!$A:$H,7,FALSE)=O181,1,0)</f>
        <v>#N/A</v>
      </c>
      <c r="DB181" s="138" t="e">
        <f>IF(VLOOKUP(CONCATENATE(H181,F181,DB$2),Español!$A:$H,7,FALSE)=P181,1,0)</f>
        <v>#N/A</v>
      </c>
      <c r="DC181" s="138" t="e">
        <f>IF(VLOOKUP(CONCATENATE(H181,F181,DC$2),Español!$A:$H,7,FALSE)=Q181,1,0)</f>
        <v>#N/A</v>
      </c>
      <c r="DD181" s="138" t="e">
        <f>IF(VLOOKUP(CONCATENATE(H181,F181,DD$2),Español!$A:$H,7,FALSE)=R181,1,0)</f>
        <v>#N/A</v>
      </c>
      <c r="DE181" s="138" t="e">
        <f>IF(VLOOKUP(CONCATENATE(H181,F181,DE$2),Español!$A:$H,7,FALSE)=S181,1,0)</f>
        <v>#N/A</v>
      </c>
      <c r="DF181" s="138" t="e">
        <f>IF(VLOOKUP(CONCATENATE(H181,F181,DF$2),Español!$A:$H,7,FALSE)=T181,1,0)</f>
        <v>#N/A</v>
      </c>
      <c r="DG181" s="138" t="e">
        <f>IF(VLOOKUP(CONCATENATE(H181,F181,DG$2),Español!$A:$H,7,FALSE)=U181,1,0)</f>
        <v>#N/A</v>
      </c>
      <c r="DH181" s="138" t="e">
        <f>IF(VLOOKUP(CONCATENATE(H181,F181,DH$2),Español!$A:$H,7,FALSE)=V181,1,0)</f>
        <v>#N/A</v>
      </c>
      <c r="DI181" s="138" t="e">
        <f>IF(VLOOKUP(CONCATENATE(H181,F181,DI$2),Español!$A:$H,7,FALSE)=W181,1,0)</f>
        <v>#N/A</v>
      </c>
      <c r="DJ181" s="138" t="e">
        <f>IF(VLOOKUP(CONCATENATE(H181,F181,DJ$2),Español!$A:$H,7,FALSE)=X181,1,0)</f>
        <v>#N/A</v>
      </c>
      <c r="DK181" s="138" t="e">
        <f>IF(VLOOKUP(CONCATENATE(H181,F181,DK$2),Español!$A:$H,7,FALSE)=Y181,1,0)</f>
        <v>#N/A</v>
      </c>
      <c r="DL181" s="138" t="e">
        <f>IF(VLOOKUP(CONCATENATE(H181,F181,DL$2),Español!$A:$H,7,FALSE)=Z181,1,0)</f>
        <v>#N/A</v>
      </c>
      <c r="DM181" s="138" t="e">
        <f>IF(VLOOKUP(CONCATENATE(H181,F181,DM$2),Español!$A:$H,7,FALSE)=AA181,1,0)</f>
        <v>#N/A</v>
      </c>
      <c r="DN181" s="138" t="e">
        <f>IF(VLOOKUP(CONCATENATE(H181,F181,DN$2),Español!$A:$H,7,FALSE)=AB181,1,0)</f>
        <v>#N/A</v>
      </c>
      <c r="DO181" s="138" t="e">
        <f>IF(VLOOKUP(CONCATENATE(H181,F181,DO$2),Español!$A:$H,7,FALSE)=AC181,1,0)</f>
        <v>#N/A</v>
      </c>
      <c r="DP181" s="138" t="e">
        <f>IF(VLOOKUP(CONCATENATE(H181,F181,DP$2),Español!$A:$H,7,FALSE)=AD181,1,0)</f>
        <v>#N/A</v>
      </c>
      <c r="DQ181" s="138" t="e">
        <f>IF(VLOOKUP(CONCATENATE(H181,F181,DQ$2),Español!$A:$H,7,FALSE)=AE181,1,0)</f>
        <v>#N/A</v>
      </c>
      <c r="DR181" s="138" t="e">
        <f>IF(VLOOKUP(CONCATENATE(H181,F181,DR$2),Inglés!$A:$H,7,FALSE)=AF181,1,0)</f>
        <v>#N/A</v>
      </c>
      <c r="DS181" s="138" t="e">
        <f>IF(VLOOKUP(CONCATENATE(H181,F181,DS$2),Inglés!$A:$H,7,FALSE)=AG181,1,0)</f>
        <v>#N/A</v>
      </c>
      <c r="DT181" s="138" t="e">
        <f>IF(VLOOKUP(CONCATENATE(H181,F181,DT$2),Inglés!$A:$H,7,FALSE)=AH181,1,0)</f>
        <v>#N/A</v>
      </c>
      <c r="DU181" s="138" t="e">
        <f>IF(VLOOKUP(CONCATENATE(H181,F181,DU$2),Inglés!$A:$H,7,FALSE)=AI181,1,0)</f>
        <v>#N/A</v>
      </c>
      <c r="DV181" s="138" t="e">
        <f>IF(VLOOKUP(CONCATENATE(H181,F181,DV$2),Inglés!$A:$H,7,FALSE)=AJ181,1,0)</f>
        <v>#N/A</v>
      </c>
      <c r="DW181" s="138" t="e">
        <f>IF(VLOOKUP(CONCATENATE(H181,F181,DW$2),Inglés!$A:$H,7,FALSE)=AK181,1,0)</f>
        <v>#N/A</v>
      </c>
      <c r="DX181" s="138" t="e">
        <f>IF(VLOOKUP(CONCATENATE(H181,F181,DX$2),Inglés!$A:$H,7,FALSE)=AL181,1,0)</f>
        <v>#N/A</v>
      </c>
      <c r="DY181" s="138" t="e">
        <f>IF(VLOOKUP(CONCATENATE(H181,F181,DY$2),Inglés!$A:$H,7,FALSE)=AM181,1,0)</f>
        <v>#N/A</v>
      </c>
      <c r="DZ181" s="138" t="e">
        <f>IF(VLOOKUP(CONCATENATE(H181,F181,DZ$2),Inglés!$A:$H,7,FALSE)=AN181,1,0)</f>
        <v>#N/A</v>
      </c>
      <c r="EA181" s="138" t="e">
        <f>IF(VLOOKUP(CONCATENATE(H181,F181,EA$2),Inglés!$A:$H,7,FALSE)=AO181,1,0)</f>
        <v>#N/A</v>
      </c>
      <c r="EB181" s="138" t="e">
        <f>IF(VLOOKUP(CONCATENATE(H181,F181,EB$2),Matemáticas!$A:$H,7,FALSE)=AP181,1,0)</f>
        <v>#N/A</v>
      </c>
      <c r="EC181" s="138" t="e">
        <f>IF(VLOOKUP(CONCATENATE(H181,F181,EC$2),Matemáticas!$A:$H,7,FALSE)=AQ181,1,0)</f>
        <v>#N/A</v>
      </c>
      <c r="ED181" s="138" t="e">
        <f>IF(VLOOKUP(CONCATENATE(H181,F181,ED$2),Matemáticas!$A:$H,7,FALSE)=AR181,1,0)</f>
        <v>#N/A</v>
      </c>
      <c r="EE181" s="138" t="e">
        <f>IF(VLOOKUP(CONCATENATE(H181,F181,EE$2),Matemáticas!$A:$H,7,FALSE)=AS181,1,0)</f>
        <v>#N/A</v>
      </c>
      <c r="EF181" s="138" t="e">
        <f>IF(VLOOKUP(CONCATENATE(H181,F181,EF$2),Matemáticas!$A:$H,7,FALSE)=AT181,1,0)</f>
        <v>#N/A</v>
      </c>
      <c r="EG181" s="138" t="e">
        <f>IF(VLOOKUP(CONCATENATE(H181,F181,EG$2),Matemáticas!$A:$H,7,FALSE)=AU181,1,0)</f>
        <v>#N/A</v>
      </c>
      <c r="EH181" s="138" t="e">
        <f>IF(VLOOKUP(CONCATENATE(H181,F181,EH$2),Matemáticas!$A:$H,7,FALSE)=AV181,1,0)</f>
        <v>#N/A</v>
      </c>
      <c r="EI181" s="138" t="e">
        <f>IF(VLOOKUP(CONCATENATE(H181,F181,EI$2),Matemáticas!$A:$H,7,FALSE)=AW181,1,0)</f>
        <v>#N/A</v>
      </c>
      <c r="EJ181" s="138" t="e">
        <f>IF(VLOOKUP(CONCATENATE(H181,F181,EJ$2),Matemáticas!$A:$H,7,FALSE)=AX181,1,0)</f>
        <v>#N/A</v>
      </c>
      <c r="EK181" s="138" t="e">
        <f>IF(VLOOKUP(CONCATENATE(H181,F181,EK$2),Matemáticas!$A:$H,7,FALSE)=AY181,1,0)</f>
        <v>#N/A</v>
      </c>
      <c r="EL181" s="138" t="e">
        <f>IF(VLOOKUP(CONCATENATE(H181,F181,EL$2),Matemáticas!$A:$H,7,FALSE)=AZ181,1,0)</f>
        <v>#N/A</v>
      </c>
      <c r="EM181" s="138" t="e">
        <f>IF(VLOOKUP(CONCATENATE(H181,F181,EM$2),Matemáticas!$A:$H,7,FALSE)=BA181,1,0)</f>
        <v>#N/A</v>
      </c>
      <c r="EN181" s="138" t="e">
        <f>IF(VLOOKUP(CONCATENATE(H181,F181,EN$2),Matemáticas!$A:$H,7,FALSE)=BB181,1,0)</f>
        <v>#N/A</v>
      </c>
      <c r="EO181" s="138" t="e">
        <f>IF(VLOOKUP(CONCATENATE(H181,F181,EO$2),Matemáticas!$A:$H,7,FALSE)=BC181,1,0)</f>
        <v>#N/A</v>
      </c>
      <c r="EP181" s="138" t="e">
        <f>IF(VLOOKUP(CONCATENATE(H181,F181,EP$2),Matemáticas!$A:$H,7,FALSE)=BD181,1,0)</f>
        <v>#N/A</v>
      </c>
      <c r="EQ181" s="138" t="e">
        <f>IF(VLOOKUP(CONCATENATE(H181,F181,EQ$2),Matemáticas!$A:$H,7,FALSE)=BE181,1,0)</f>
        <v>#N/A</v>
      </c>
      <c r="ER181" s="138" t="e">
        <f>IF(VLOOKUP(CONCATENATE(H181,F181,ER$2),Matemáticas!$A:$H,7,FALSE)=BF181,1,0)</f>
        <v>#N/A</v>
      </c>
      <c r="ES181" s="138" t="e">
        <f>IF(VLOOKUP(CONCATENATE(H181,F181,ES$2),Matemáticas!$A:$H,7,FALSE)=BG181,1,0)</f>
        <v>#N/A</v>
      </c>
      <c r="ET181" s="138" t="e">
        <f>IF(VLOOKUP(CONCATENATE(H181,F181,ET$2),Matemáticas!$A:$H,7,FALSE)=BH181,1,0)</f>
        <v>#N/A</v>
      </c>
      <c r="EU181" s="138" t="e">
        <f>IF(VLOOKUP(CONCATENATE(H181,F181,EU$2),Matemáticas!$A:$H,7,FALSE)=BI181,1,0)</f>
        <v>#N/A</v>
      </c>
      <c r="EV181" s="138" t="e">
        <f>IF(VLOOKUP(CONCATENATE(H181,F181,EV$2),Ciencias!$A:$H,7,FALSE)=BJ181,1,0)</f>
        <v>#N/A</v>
      </c>
      <c r="EW181" s="138" t="e">
        <f>IF(VLOOKUP(CONCATENATE(H181,F181,EW$2),Ciencias!$A:$H,7,FALSE)=BK181,1,0)</f>
        <v>#N/A</v>
      </c>
      <c r="EX181" s="138" t="e">
        <f>IF(VLOOKUP(CONCATENATE(H181,F181,EX$2),Ciencias!$A:$H,7,FALSE)=BL181,1,0)</f>
        <v>#N/A</v>
      </c>
      <c r="EY181" s="138" t="e">
        <f>IF(VLOOKUP(CONCATENATE(H181,F181,EY$2),Ciencias!$A:$H,7,FALSE)=BM181,1,0)</f>
        <v>#N/A</v>
      </c>
      <c r="EZ181" s="138" t="e">
        <f>IF(VLOOKUP(CONCATENATE(H181,F181,EZ$2),Ciencias!$A:$H,7,FALSE)=BN181,1,0)</f>
        <v>#N/A</v>
      </c>
      <c r="FA181" s="138" t="e">
        <f>IF(VLOOKUP(CONCATENATE(H181,F181,FA$2),Ciencias!$A:$H,7,FALSE)=BO181,1,0)</f>
        <v>#N/A</v>
      </c>
      <c r="FB181" s="138" t="e">
        <f>IF(VLOOKUP(CONCATENATE(H181,F181,FB$2),Ciencias!$A:$H,7,FALSE)=BP181,1,0)</f>
        <v>#N/A</v>
      </c>
      <c r="FC181" s="138" t="e">
        <f>IF(VLOOKUP(CONCATENATE(H181,F181,FC$2),Ciencias!$A:$H,7,FALSE)=BQ181,1,0)</f>
        <v>#N/A</v>
      </c>
      <c r="FD181" s="138" t="e">
        <f>IF(VLOOKUP(CONCATENATE(H181,F181,FD$2),Ciencias!$A:$H,7,FALSE)=BR181,1,0)</f>
        <v>#N/A</v>
      </c>
      <c r="FE181" s="138" t="e">
        <f>IF(VLOOKUP(CONCATENATE(H181,F181,FE$2),Ciencias!$A:$H,7,FALSE)=BS181,1,0)</f>
        <v>#N/A</v>
      </c>
      <c r="FF181" s="138" t="e">
        <f>IF(VLOOKUP(CONCATENATE(H181,F181,FF$2),Ciencias!$A:$H,7,FALSE)=BT181,1,0)</f>
        <v>#N/A</v>
      </c>
      <c r="FG181" s="138" t="e">
        <f>IF(VLOOKUP(CONCATENATE(H181,F181,FG$2),Ciencias!$A:$H,7,FALSE)=BU181,1,0)</f>
        <v>#N/A</v>
      </c>
      <c r="FH181" s="138" t="e">
        <f>IF(VLOOKUP(CONCATENATE(H181,F181,FH$2),Ciencias!$A:$H,7,FALSE)=BV181,1,0)</f>
        <v>#N/A</v>
      </c>
      <c r="FI181" s="138" t="e">
        <f>IF(VLOOKUP(CONCATENATE(H181,F181,FI$2),Ciencias!$A:$H,7,FALSE)=BW181,1,0)</f>
        <v>#N/A</v>
      </c>
      <c r="FJ181" s="138" t="e">
        <f>IF(VLOOKUP(CONCATENATE(H181,F181,FJ$2),Ciencias!$A:$H,7,FALSE)=BX181,1,0)</f>
        <v>#N/A</v>
      </c>
      <c r="FK181" s="138" t="e">
        <f>IF(VLOOKUP(CONCATENATE(H181,F181,FK$2),Ciencias!$A:$H,7,FALSE)=BY181,1,0)</f>
        <v>#N/A</v>
      </c>
      <c r="FL181" s="138" t="e">
        <f>IF(VLOOKUP(CONCATENATE(H181,F181,FL$2),Ciencias!$A:$H,7,FALSE)=BZ181,1,0)</f>
        <v>#N/A</v>
      </c>
      <c r="FM181" s="138" t="e">
        <f>IF(VLOOKUP(CONCATENATE(H181,F181,FM$2),Ciencias!$A:$H,7,FALSE)=CA181,1,0)</f>
        <v>#N/A</v>
      </c>
      <c r="FN181" s="138" t="e">
        <f>IF(VLOOKUP(CONCATENATE(H181,F181,FN$2),Ciencias!$A:$H,7,FALSE)=CB181,1,0)</f>
        <v>#N/A</v>
      </c>
      <c r="FO181" s="138" t="e">
        <f>IF(VLOOKUP(CONCATENATE(H181,F181,FO$2),Ciencias!$A:$H,7,FALSE)=CC181,1,0)</f>
        <v>#N/A</v>
      </c>
      <c r="FP181" s="138" t="e">
        <f>IF(VLOOKUP(CONCATENATE(H181,F181,FP$2),GeoHis!$A:$H,7,FALSE)=CD181,1,0)</f>
        <v>#N/A</v>
      </c>
      <c r="FQ181" s="138" t="e">
        <f>IF(VLOOKUP(CONCATENATE(H181,F181,FQ$2),GeoHis!$A:$H,7,FALSE)=CE181,1,0)</f>
        <v>#N/A</v>
      </c>
      <c r="FR181" s="138" t="e">
        <f>IF(VLOOKUP(CONCATENATE(H181,F181,FR$2),GeoHis!$A:$H,7,FALSE)=CF181,1,0)</f>
        <v>#N/A</v>
      </c>
      <c r="FS181" s="138" t="e">
        <f>IF(VLOOKUP(CONCATENATE(H181,F181,FS$2),GeoHis!$A:$H,7,FALSE)=CG181,1,0)</f>
        <v>#N/A</v>
      </c>
      <c r="FT181" s="138" t="e">
        <f>IF(VLOOKUP(CONCATENATE(H181,F181,FT$2),GeoHis!$A:$H,7,FALSE)=CH181,1,0)</f>
        <v>#N/A</v>
      </c>
      <c r="FU181" s="138" t="e">
        <f>IF(VLOOKUP(CONCATENATE(H181,F181,FU$2),GeoHis!$A:$H,7,FALSE)=CI181,1,0)</f>
        <v>#N/A</v>
      </c>
      <c r="FV181" s="138" t="e">
        <f>IF(VLOOKUP(CONCATENATE(H181,F181,FV$2),GeoHis!$A:$H,7,FALSE)=CJ181,1,0)</f>
        <v>#N/A</v>
      </c>
      <c r="FW181" s="138" t="e">
        <f>IF(VLOOKUP(CONCATENATE(H181,F181,FW$2),GeoHis!$A:$H,7,FALSE)=CK181,1,0)</f>
        <v>#N/A</v>
      </c>
      <c r="FX181" s="138" t="e">
        <f>IF(VLOOKUP(CONCATENATE(H181,F181,FX$2),GeoHis!$A:$H,7,FALSE)=CL181,1,0)</f>
        <v>#N/A</v>
      </c>
      <c r="FY181" s="138" t="e">
        <f>IF(VLOOKUP(CONCATENATE(H181,F181,FY$2),GeoHis!$A:$H,7,FALSE)=CM181,1,0)</f>
        <v>#N/A</v>
      </c>
      <c r="FZ181" s="138" t="e">
        <f>IF(VLOOKUP(CONCATENATE(H181,F181,FZ$2),GeoHis!$A:$H,7,FALSE)=CN181,1,0)</f>
        <v>#N/A</v>
      </c>
      <c r="GA181" s="138" t="e">
        <f>IF(VLOOKUP(CONCATENATE(H181,F181,GA$2),GeoHis!$A:$H,7,FALSE)=CO181,1,0)</f>
        <v>#N/A</v>
      </c>
      <c r="GB181" s="138" t="e">
        <f>IF(VLOOKUP(CONCATENATE(H181,F181,GB$2),GeoHis!$A:$H,7,FALSE)=CP181,1,0)</f>
        <v>#N/A</v>
      </c>
      <c r="GC181" s="138" t="e">
        <f>IF(VLOOKUP(CONCATENATE(H181,F181,GC$2),GeoHis!$A:$H,7,FALSE)=CQ181,1,0)</f>
        <v>#N/A</v>
      </c>
      <c r="GD181" s="138" t="e">
        <f>IF(VLOOKUP(CONCATENATE(H181,F181,GD$2),GeoHis!$A:$H,7,FALSE)=CR181,1,0)</f>
        <v>#N/A</v>
      </c>
      <c r="GE181" s="135" t="str">
        <f t="shared" si="23"/>
        <v/>
      </c>
    </row>
    <row r="182" spans="1:187" x14ac:dyDescent="0.25">
      <c r="A182" s="127" t="str">
        <f>IF(C182="","",'Datos Generales'!$A$25)</f>
        <v/>
      </c>
      <c r="D182" s="126" t="str">
        <f t="shared" si="16"/>
        <v/>
      </c>
      <c r="E182" s="126">
        <f t="shared" si="17"/>
        <v>0</v>
      </c>
      <c r="F182" s="126" t="str">
        <f t="shared" si="18"/>
        <v/>
      </c>
      <c r="G182" s="126" t="str">
        <f>IF(C182="","",'Datos Generales'!$D$19)</f>
        <v/>
      </c>
      <c r="H182" s="21" t="str">
        <f>IF(C182="","",'Datos Generales'!$A$19)</f>
        <v/>
      </c>
      <c r="I182" s="126" t="str">
        <f>IF(C182="","",'Datos Generales'!$A$7)</f>
        <v/>
      </c>
      <c r="J182" s="21" t="str">
        <f>IF(C182="","",'Datos Generales'!$A$13)</f>
        <v/>
      </c>
      <c r="K182" s="21" t="str">
        <f>IF(C182="","",'Datos Generales'!$A$10)</f>
        <v/>
      </c>
      <c r="CS182" s="142" t="str">
        <f t="shared" si="19"/>
        <v/>
      </c>
      <c r="CT182" s="142" t="str">
        <f t="shared" si="20"/>
        <v/>
      </c>
      <c r="CU182" s="142" t="str">
        <f t="shared" si="21"/>
        <v/>
      </c>
      <c r="CV182" s="142" t="str">
        <f t="shared" si="22"/>
        <v/>
      </c>
      <c r="CW182" s="142" t="str">
        <f>IF(C182="","",IF('Datos Generales'!$A$19=1,AVERAGE(FP182:GD182),AVERAGE(Captura!FP182:FY182)))</f>
        <v/>
      </c>
      <c r="CX182" s="138" t="e">
        <f>IF(VLOOKUP(CONCATENATE($H$4,$F$4,CX$2),Español!$A:$H,7,FALSE)=L182,1,0)</f>
        <v>#N/A</v>
      </c>
      <c r="CY182" s="138" t="e">
        <f>IF(VLOOKUP(CONCATENATE(H182,F182,CY$2),Español!$A:$H,7,FALSE)=M182,1,0)</f>
        <v>#N/A</v>
      </c>
      <c r="CZ182" s="138" t="e">
        <f>IF(VLOOKUP(CONCATENATE(H182,F182,CZ$2),Español!$A:$H,7,FALSE)=N182,1,0)</f>
        <v>#N/A</v>
      </c>
      <c r="DA182" s="138" t="e">
        <f>IF(VLOOKUP(CONCATENATE(H182,F182,DA$2),Español!$A:$H,7,FALSE)=O182,1,0)</f>
        <v>#N/A</v>
      </c>
      <c r="DB182" s="138" t="e">
        <f>IF(VLOOKUP(CONCATENATE(H182,F182,DB$2),Español!$A:$H,7,FALSE)=P182,1,0)</f>
        <v>#N/A</v>
      </c>
      <c r="DC182" s="138" t="e">
        <f>IF(VLOOKUP(CONCATENATE(H182,F182,DC$2),Español!$A:$H,7,FALSE)=Q182,1,0)</f>
        <v>#N/A</v>
      </c>
      <c r="DD182" s="138" t="e">
        <f>IF(VLOOKUP(CONCATENATE(H182,F182,DD$2),Español!$A:$H,7,FALSE)=R182,1,0)</f>
        <v>#N/A</v>
      </c>
      <c r="DE182" s="138" t="e">
        <f>IF(VLOOKUP(CONCATENATE(H182,F182,DE$2),Español!$A:$H,7,FALSE)=S182,1,0)</f>
        <v>#N/A</v>
      </c>
      <c r="DF182" s="138" t="e">
        <f>IF(VLOOKUP(CONCATENATE(H182,F182,DF$2),Español!$A:$H,7,FALSE)=T182,1,0)</f>
        <v>#N/A</v>
      </c>
      <c r="DG182" s="138" t="e">
        <f>IF(VLOOKUP(CONCATENATE(H182,F182,DG$2),Español!$A:$H,7,FALSE)=U182,1,0)</f>
        <v>#N/A</v>
      </c>
      <c r="DH182" s="138" t="e">
        <f>IF(VLOOKUP(CONCATENATE(H182,F182,DH$2),Español!$A:$H,7,FALSE)=V182,1,0)</f>
        <v>#N/A</v>
      </c>
      <c r="DI182" s="138" t="e">
        <f>IF(VLOOKUP(CONCATENATE(H182,F182,DI$2),Español!$A:$H,7,FALSE)=W182,1,0)</f>
        <v>#N/A</v>
      </c>
      <c r="DJ182" s="138" t="e">
        <f>IF(VLOOKUP(CONCATENATE(H182,F182,DJ$2),Español!$A:$H,7,FALSE)=X182,1,0)</f>
        <v>#N/A</v>
      </c>
      <c r="DK182" s="138" t="e">
        <f>IF(VLOOKUP(CONCATENATE(H182,F182,DK$2),Español!$A:$H,7,FALSE)=Y182,1,0)</f>
        <v>#N/A</v>
      </c>
      <c r="DL182" s="138" t="e">
        <f>IF(VLOOKUP(CONCATENATE(H182,F182,DL$2),Español!$A:$H,7,FALSE)=Z182,1,0)</f>
        <v>#N/A</v>
      </c>
      <c r="DM182" s="138" t="e">
        <f>IF(VLOOKUP(CONCATENATE(H182,F182,DM$2),Español!$A:$H,7,FALSE)=AA182,1,0)</f>
        <v>#N/A</v>
      </c>
      <c r="DN182" s="138" t="e">
        <f>IF(VLOOKUP(CONCATENATE(H182,F182,DN$2),Español!$A:$H,7,FALSE)=AB182,1,0)</f>
        <v>#N/A</v>
      </c>
      <c r="DO182" s="138" t="e">
        <f>IF(VLOOKUP(CONCATENATE(H182,F182,DO$2),Español!$A:$H,7,FALSE)=AC182,1,0)</f>
        <v>#N/A</v>
      </c>
      <c r="DP182" s="138" t="e">
        <f>IF(VLOOKUP(CONCATENATE(H182,F182,DP$2),Español!$A:$H,7,FALSE)=AD182,1,0)</f>
        <v>#N/A</v>
      </c>
      <c r="DQ182" s="138" t="e">
        <f>IF(VLOOKUP(CONCATENATE(H182,F182,DQ$2),Español!$A:$H,7,FALSE)=AE182,1,0)</f>
        <v>#N/A</v>
      </c>
      <c r="DR182" s="138" t="e">
        <f>IF(VLOOKUP(CONCATENATE(H182,F182,DR$2),Inglés!$A:$H,7,FALSE)=AF182,1,0)</f>
        <v>#N/A</v>
      </c>
      <c r="DS182" s="138" t="e">
        <f>IF(VLOOKUP(CONCATENATE(H182,F182,DS$2),Inglés!$A:$H,7,FALSE)=AG182,1,0)</f>
        <v>#N/A</v>
      </c>
      <c r="DT182" s="138" t="e">
        <f>IF(VLOOKUP(CONCATENATE(H182,F182,DT$2),Inglés!$A:$H,7,FALSE)=AH182,1,0)</f>
        <v>#N/A</v>
      </c>
      <c r="DU182" s="138" t="e">
        <f>IF(VLOOKUP(CONCATENATE(H182,F182,DU$2),Inglés!$A:$H,7,FALSE)=AI182,1,0)</f>
        <v>#N/A</v>
      </c>
      <c r="DV182" s="138" t="e">
        <f>IF(VLOOKUP(CONCATENATE(H182,F182,DV$2),Inglés!$A:$H,7,FALSE)=AJ182,1,0)</f>
        <v>#N/A</v>
      </c>
      <c r="DW182" s="138" t="e">
        <f>IF(VLOOKUP(CONCATENATE(H182,F182,DW$2),Inglés!$A:$H,7,FALSE)=AK182,1,0)</f>
        <v>#N/A</v>
      </c>
      <c r="DX182" s="138" t="e">
        <f>IF(VLOOKUP(CONCATENATE(H182,F182,DX$2),Inglés!$A:$H,7,FALSE)=AL182,1,0)</f>
        <v>#N/A</v>
      </c>
      <c r="DY182" s="138" t="e">
        <f>IF(VLOOKUP(CONCATENATE(H182,F182,DY$2),Inglés!$A:$H,7,FALSE)=AM182,1,0)</f>
        <v>#N/A</v>
      </c>
      <c r="DZ182" s="138" t="e">
        <f>IF(VLOOKUP(CONCATENATE(H182,F182,DZ$2),Inglés!$A:$H,7,FALSE)=AN182,1,0)</f>
        <v>#N/A</v>
      </c>
      <c r="EA182" s="138" t="e">
        <f>IF(VLOOKUP(CONCATENATE(H182,F182,EA$2),Inglés!$A:$H,7,FALSE)=AO182,1,0)</f>
        <v>#N/A</v>
      </c>
      <c r="EB182" s="138" t="e">
        <f>IF(VLOOKUP(CONCATENATE(H182,F182,EB$2),Matemáticas!$A:$H,7,FALSE)=AP182,1,0)</f>
        <v>#N/A</v>
      </c>
      <c r="EC182" s="138" t="e">
        <f>IF(VLOOKUP(CONCATENATE(H182,F182,EC$2),Matemáticas!$A:$H,7,FALSE)=AQ182,1,0)</f>
        <v>#N/A</v>
      </c>
      <c r="ED182" s="138" t="e">
        <f>IF(VLOOKUP(CONCATENATE(H182,F182,ED$2),Matemáticas!$A:$H,7,FALSE)=AR182,1,0)</f>
        <v>#N/A</v>
      </c>
      <c r="EE182" s="138" t="e">
        <f>IF(VLOOKUP(CONCATENATE(H182,F182,EE$2),Matemáticas!$A:$H,7,FALSE)=AS182,1,0)</f>
        <v>#N/A</v>
      </c>
      <c r="EF182" s="138" t="e">
        <f>IF(VLOOKUP(CONCATENATE(H182,F182,EF$2),Matemáticas!$A:$H,7,FALSE)=AT182,1,0)</f>
        <v>#N/A</v>
      </c>
      <c r="EG182" s="138" t="e">
        <f>IF(VLOOKUP(CONCATENATE(H182,F182,EG$2),Matemáticas!$A:$H,7,FALSE)=AU182,1,0)</f>
        <v>#N/A</v>
      </c>
      <c r="EH182" s="138" t="e">
        <f>IF(VLOOKUP(CONCATENATE(H182,F182,EH$2),Matemáticas!$A:$H,7,FALSE)=AV182,1,0)</f>
        <v>#N/A</v>
      </c>
      <c r="EI182" s="138" t="e">
        <f>IF(VLOOKUP(CONCATENATE(H182,F182,EI$2),Matemáticas!$A:$H,7,FALSE)=AW182,1,0)</f>
        <v>#N/A</v>
      </c>
      <c r="EJ182" s="138" t="e">
        <f>IF(VLOOKUP(CONCATENATE(H182,F182,EJ$2),Matemáticas!$A:$H,7,FALSE)=AX182,1,0)</f>
        <v>#N/A</v>
      </c>
      <c r="EK182" s="138" t="e">
        <f>IF(VLOOKUP(CONCATENATE(H182,F182,EK$2),Matemáticas!$A:$H,7,FALSE)=AY182,1,0)</f>
        <v>#N/A</v>
      </c>
      <c r="EL182" s="138" t="e">
        <f>IF(VLOOKUP(CONCATENATE(H182,F182,EL$2),Matemáticas!$A:$H,7,FALSE)=AZ182,1,0)</f>
        <v>#N/A</v>
      </c>
      <c r="EM182" s="138" t="e">
        <f>IF(VLOOKUP(CONCATENATE(H182,F182,EM$2),Matemáticas!$A:$H,7,FALSE)=BA182,1,0)</f>
        <v>#N/A</v>
      </c>
      <c r="EN182" s="138" t="e">
        <f>IF(VLOOKUP(CONCATENATE(H182,F182,EN$2),Matemáticas!$A:$H,7,FALSE)=BB182,1,0)</f>
        <v>#N/A</v>
      </c>
      <c r="EO182" s="138" t="e">
        <f>IF(VLOOKUP(CONCATENATE(H182,F182,EO$2),Matemáticas!$A:$H,7,FALSE)=BC182,1,0)</f>
        <v>#N/A</v>
      </c>
      <c r="EP182" s="138" t="e">
        <f>IF(VLOOKUP(CONCATENATE(H182,F182,EP$2),Matemáticas!$A:$H,7,FALSE)=BD182,1,0)</f>
        <v>#N/A</v>
      </c>
      <c r="EQ182" s="138" t="e">
        <f>IF(VLOOKUP(CONCATENATE(H182,F182,EQ$2),Matemáticas!$A:$H,7,FALSE)=BE182,1,0)</f>
        <v>#N/A</v>
      </c>
      <c r="ER182" s="138" t="e">
        <f>IF(VLOOKUP(CONCATENATE(H182,F182,ER$2),Matemáticas!$A:$H,7,FALSE)=BF182,1,0)</f>
        <v>#N/A</v>
      </c>
      <c r="ES182" s="138" t="e">
        <f>IF(VLOOKUP(CONCATENATE(H182,F182,ES$2),Matemáticas!$A:$H,7,FALSE)=BG182,1,0)</f>
        <v>#N/A</v>
      </c>
      <c r="ET182" s="138" t="e">
        <f>IF(VLOOKUP(CONCATENATE(H182,F182,ET$2),Matemáticas!$A:$H,7,FALSE)=BH182,1,0)</f>
        <v>#N/A</v>
      </c>
      <c r="EU182" s="138" t="e">
        <f>IF(VLOOKUP(CONCATENATE(H182,F182,EU$2),Matemáticas!$A:$H,7,FALSE)=BI182,1,0)</f>
        <v>#N/A</v>
      </c>
      <c r="EV182" s="138" t="e">
        <f>IF(VLOOKUP(CONCATENATE(H182,F182,EV$2),Ciencias!$A:$H,7,FALSE)=BJ182,1,0)</f>
        <v>#N/A</v>
      </c>
      <c r="EW182" s="138" t="e">
        <f>IF(VLOOKUP(CONCATENATE(H182,F182,EW$2),Ciencias!$A:$H,7,FALSE)=BK182,1,0)</f>
        <v>#N/A</v>
      </c>
      <c r="EX182" s="138" t="e">
        <f>IF(VLOOKUP(CONCATENATE(H182,F182,EX$2),Ciencias!$A:$H,7,FALSE)=BL182,1,0)</f>
        <v>#N/A</v>
      </c>
      <c r="EY182" s="138" t="e">
        <f>IF(VLOOKUP(CONCATENATE(H182,F182,EY$2),Ciencias!$A:$H,7,FALSE)=BM182,1,0)</f>
        <v>#N/A</v>
      </c>
      <c r="EZ182" s="138" t="e">
        <f>IF(VLOOKUP(CONCATENATE(H182,F182,EZ$2),Ciencias!$A:$H,7,FALSE)=BN182,1,0)</f>
        <v>#N/A</v>
      </c>
      <c r="FA182" s="138" t="e">
        <f>IF(VLOOKUP(CONCATENATE(H182,F182,FA$2),Ciencias!$A:$H,7,FALSE)=BO182,1,0)</f>
        <v>#N/A</v>
      </c>
      <c r="FB182" s="138" t="e">
        <f>IF(VLOOKUP(CONCATENATE(H182,F182,FB$2),Ciencias!$A:$H,7,FALSE)=BP182,1,0)</f>
        <v>#N/A</v>
      </c>
      <c r="FC182" s="138" t="e">
        <f>IF(VLOOKUP(CONCATENATE(H182,F182,FC$2),Ciencias!$A:$H,7,FALSE)=BQ182,1,0)</f>
        <v>#N/A</v>
      </c>
      <c r="FD182" s="138" t="e">
        <f>IF(VLOOKUP(CONCATENATE(H182,F182,FD$2),Ciencias!$A:$H,7,FALSE)=BR182,1,0)</f>
        <v>#N/A</v>
      </c>
      <c r="FE182" s="138" t="e">
        <f>IF(VLOOKUP(CONCATENATE(H182,F182,FE$2),Ciencias!$A:$H,7,FALSE)=BS182,1,0)</f>
        <v>#N/A</v>
      </c>
      <c r="FF182" s="138" t="e">
        <f>IF(VLOOKUP(CONCATENATE(H182,F182,FF$2),Ciencias!$A:$H,7,FALSE)=BT182,1,0)</f>
        <v>#N/A</v>
      </c>
      <c r="FG182" s="138" t="e">
        <f>IF(VLOOKUP(CONCATENATE(H182,F182,FG$2),Ciencias!$A:$H,7,FALSE)=BU182,1,0)</f>
        <v>#N/A</v>
      </c>
      <c r="FH182" s="138" t="e">
        <f>IF(VLOOKUP(CONCATENATE(H182,F182,FH$2),Ciencias!$A:$H,7,FALSE)=BV182,1,0)</f>
        <v>#N/A</v>
      </c>
      <c r="FI182" s="138" t="e">
        <f>IF(VLOOKUP(CONCATENATE(H182,F182,FI$2),Ciencias!$A:$H,7,FALSE)=BW182,1,0)</f>
        <v>#N/A</v>
      </c>
      <c r="FJ182" s="138" t="e">
        <f>IF(VLOOKUP(CONCATENATE(H182,F182,FJ$2),Ciencias!$A:$H,7,FALSE)=BX182,1,0)</f>
        <v>#N/A</v>
      </c>
      <c r="FK182" s="138" t="e">
        <f>IF(VLOOKUP(CONCATENATE(H182,F182,FK$2),Ciencias!$A:$H,7,FALSE)=BY182,1,0)</f>
        <v>#N/A</v>
      </c>
      <c r="FL182" s="138" t="e">
        <f>IF(VLOOKUP(CONCATENATE(H182,F182,FL$2),Ciencias!$A:$H,7,FALSE)=BZ182,1,0)</f>
        <v>#N/A</v>
      </c>
      <c r="FM182" s="138" t="e">
        <f>IF(VLOOKUP(CONCATENATE(H182,F182,FM$2),Ciencias!$A:$H,7,FALSE)=CA182,1,0)</f>
        <v>#N/A</v>
      </c>
      <c r="FN182" s="138" t="e">
        <f>IF(VLOOKUP(CONCATENATE(H182,F182,FN$2),Ciencias!$A:$H,7,FALSE)=CB182,1,0)</f>
        <v>#N/A</v>
      </c>
      <c r="FO182" s="138" t="e">
        <f>IF(VLOOKUP(CONCATENATE(H182,F182,FO$2),Ciencias!$A:$H,7,FALSE)=CC182,1,0)</f>
        <v>#N/A</v>
      </c>
      <c r="FP182" s="138" t="e">
        <f>IF(VLOOKUP(CONCATENATE(H182,F182,FP$2),GeoHis!$A:$H,7,FALSE)=CD182,1,0)</f>
        <v>#N/A</v>
      </c>
      <c r="FQ182" s="138" t="e">
        <f>IF(VLOOKUP(CONCATENATE(H182,F182,FQ$2),GeoHis!$A:$H,7,FALSE)=CE182,1,0)</f>
        <v>#N/A</v>
      </c>
      <c r="FR182" s="138" t="e">
        <f>IF(VLOOKUP(CONCATENATE(H182,F182,FR$2),GeoHis!$A:$H,7,FALSE)=CF182,1,0)</f>
        <v>#N/A</v>
      </c>
      <c r="FS182" s="138" t="e">
        <f>IF(VLOOKUP(CONCATENATE(H182,F182,FS$2),GeoHis!$A:$H,7,FALSE)=CG182,1,0)</f>
        <v>#N/A</v>
      </c>
      <c r="FT182" s="138" t="e">
        <f>IF(VLOOKUP(CONCATENATE(H182,F182,FT$2),GeoHis!$A:$H,7,FALSE)=CH182,1,0)</f>
        <v>#N/A</v>
      </c>
      <c r="FU182" s="138" t="e">
        <f>IF(VLOOKUP(CONCATENATE(H182,F182,FU$2),GeoHis!$A:$H,7,FALSE)=CI182,1,0)</f>
        <v>#N/A</v>
      </c>
      <c r="FV182" s="138" t="e">
        <f>IF(VLOOKUP(CONCATENATE(H182,F182,FV$2),GeoHis!$A:$H,7,FALSE)=CJ182,1,0)</f>
        <v>#N/A</v>
      </c>
      <c r="FW182" s="138" t="e">
        <f>IF(VLOOKUP(CONCATENATE(H182,F182,FW$2),GeoHis!$A:$H,7,FALSE)=CK182,1,0)</f>
        <v>#N/A</v>
      </c>
      <c r="FX182" s="138" t="e">
        <f>IF(VLOOKUP(CONCATENATE(H182,F182,FX$2),GeoHis!$A:$H,7,FALSE)=CL182,1,0)</f>
        <v>#N/A</v>
      </c>
      <c r="FY182" s="138" t="e">
        <f>IF(VLOOKUP(CONCATENATE(H182,F182,FY$2),GeoHis!$A:$H,7,FALSE)=CM182,1,0)</f>
        <v>#N/A</v>
      </c>
      <c r="FZ182" s="138" t="e">
        <f>IF(VLOOKUP(CONCATENATE(H182,F182,FZ$2),GeoHis!$A:$H,7,FALSE)=CN182,1,0)</f>
        <v>#N/A</v>
      </c>
      <c r="GA182" s="138" t="e">
        <f>IF(VLOOKUP(CONCATENATE(H182,F182,GA$2),GeoHis!$A:$H,7,FALSE)=CO182,1,0)</f>
        <v>#N/A</v>
      </c>
      <c r="GB182" s="138" t="e">
        <f>IF(VLOOKUP(CONCATENATE(H182,F182,GB$2),GeoHis!$A:$H,7,FALSE)=CP182,1,0)</f>
        <v>#N/A</v>
      </c>
      <c r="GC182" s="138" t="e">
        <f>IF(VLOOKUP(CONCATENATE(H182,F182,GC$2),GeoHis!$A:$H,7,FALSE)=CQ182,1,0)</f>
        <v>#N/A</v>
      </c>
      <c r="GD182" s="138" t="e">
        <f>IF(VLOOKUP(CONCATENATE(H182,F182,GD$2),GeoHis!$A:$H,7,FALSE)=CR182,1,0)</f>
        <v>#N/A</v>
      </c>
      <c r="GE182" s="135" t="str">
        <f t="shared" si="23"/>
        <v/>
      </c>
    </row>
    <row r="183" spans="1:187" x14ac:dyDescent="0.25">
      <c r="A183" s="127" t="str">
        <f>IF(C183="","",'Datos Generales'!$A$25)</f>
        <v/>
      </c>
      <c r="D183" s="126" t="str">
        <f t="shared" si="16"/>
        <v/>
      </c>
      <c r="E183" s="126">
        <f t="shared" si="17"/>
        <v>0</v>
      </c>
      <c r="F183" s="126" t="str">
        <f t="shared" si="18"/>
        <v/>
      </c>
      <c r="G183" s="126" t="str">
        <f>IF(C183="","",'Datos Generales'!$D$19)</f>
        <v/>
      </c>
      <c r="H183" s="21" t="str">
        <f>IF(C183="","",'Datos Generales'!$A$19)</f>
        <v/>
      </c>
      <c r="I183" s="126" t="str">
        <f>IF(C183="","",'Datos Generales'!$A$7)</f>
        <v/>
      </c>
      <c r="J183" s="21" t="str">
        <f>IF(C183="","",'Datos Generales'!$A$13)</f>
        <v/>
      </c>
      <c r="K183" s="21" t="str">
        <f>IF(C183="","",'Datos Generales'!$A$10)</f>
        <v/>
      </c>
      <c r="CS183" s="142" t="str">
        <f t="shared" si="19"/>
        <v/>
      </c>
      <c r="CT183" s="142" t="str">
        <f t="shared" si="20"/>
        <v/>
      </c>
      <c r="CU183" s="142" t="str">
        <f t="shared" si="21"/>
        <v/>
      </c>
      <c r="CV183" s="142" t="str">
        <f t="shared" si="22"/>
        <v/>
      </c>
      <c r="CW183" s="142" t="str">
        <f>IF(C183="","",IF('Datos Generales'!$A$19=1,AVERAGE(FP183:GD183),AVERAGE(Captura!FP183:FY183)))</f>
        <v/>
      </c>
      <c r="CX183" s="138" t="e">
        <f>IF(VLOOKUP(CONCATENATE($H$4,$F$4,CX$2),Español!$A:$H,7,FALSE)=L183,1,0)</f>
        <v>#N/A</v>
      </c>
      <c r="CY183" s="138" t="e">
        <f>IF(VLOOKUP(CONCATENATE(H183,F183,CY$2),Español!$A:$H,7,FALSE)=M183,1,0)</f>
        <v>#N/A</v>
      </c>
      <c r="CZ183" s="138" t="e">
        <f>IF(VLOOKUP(CONCATENATE(H183,F183,CZ$2),Español!$A:$H,7,FALSE)=N183,1,0)</f>
        <v>#N/A</v>
      </c>
      <c r="DA183" s="138" t="e">
        <f>IF(VLOOKUP(CONCATENATE(H183,F183,DA$2),Español!$A:$H,7,FALSE)=O183,1,0)</f>
        <v>#N/A</v>
      </c>
      <c r="DB183" s="138" t="e">
        <f>IF(VLOOKUP(CONCATENATE(H183,F183,DB$2),Español!$A:$H,7,FALSE)=P183,1,0)</f>
        <v>#N/A</v>
      </c>
      <c r="DC183" s="138" t="e">
        <f>IF(VLOOKUP(CONCATENATE(H183,F183,DC$2),Español!$A:$H,7,FALSE)=Q183,1,0)</f>
        <v>#N/A</v>
      </c>
      <c r="DD183" s="138" t="e">
        <f>IF(VLOOKUP(CONCATENATE(H183,F183,DD$2),Español!$A:$H,7,FALSE)=R183,1,0)</f>
        <v>#N/A</v>
      </c>
      <c r="DE183" s="138" t="e">
        <f>IF(VLOOKUP(CONCATENATE(H183,F183,DE$2),Español!$A:$H,7,FALSE)=S183,1,0)</f>
        <v>#N/A</v>
      </c>
      <c r="DF183" s="138" t="e">
        <f>IF(VLOOKUP(CONCATENATE(H183,F183,DF$2),Español!$A:$H,7,FALSE)=T183,1,0)</f>
        <v>#N/A</v>
      </c>
      <c r="DG183" s="138" t="e">
        <f>IF(VLOOKUP(CONCATENATE(H183,F183,DG$2),Español!$A:$H,7,FALSE)=U183,1,0)</f>
        <v>#N/A</v>
      </c>
      <c r="DH183" s="138" t="e">
        <f>IF(VLOOKUP(CONCATENATE(H183,F183,DH$2),Español!$A:$H,7,FALSE)=V183,1,0)</f>
        <v>#N/A</v>
      </c>
      <c r="DI183" s="138" t="e">
        <f>IF(VLOOKUP(CONCATENATE(H183,F183,DI$2),Español!$A:$H,7,FALSE)=W183,1,0)</f>
        <v>#N/A</v>
      </c>
      <c r="DJ183" s="138" t="e">
        <f>IF(VLOOKUP(CONCATENATE(H183,F183,DJ$2),Español!$A:$H,7,FALSE)=X183,1,0)</f>
        <v>#N/A</v>
      </c>
      <c r="DK183" s="138" t="e">
        <f>IF(VLOOKUP(CONCATENATE(H183,F183,DK$2),Español!$A:$H,7,FALSE)=Y183,1,0)</f>
        <v>#N/A</v>
      </c>
      <c r="DL183" s="138" t="e">
        <f>IF(VLOOKUP(CONCATENATE(H183,F183,DL$2),Español!$A:$H,7,FALSE)=Z183,1,0)</f>
        <v>#N/A</v>
      </c>
      <c r="DM183" s="138" t="e">
        <f>IF(VLOOKUP(CONCATENATE(H183,F183,DM$2),Español!$A:$H,7,FALSE)=AA183,1,0)</f>
        <v>#N/A</v>
      </c>
      <c r="DN183" s="138" t="e">
        <f>IF(VLOOKUP(CONCATENATE(H183,F183,DN$2),Español!$A:$H,7,FALSE)=AB183,1,0)</f>
        <v>#N/A</v>
      </c>
      <c r="DO183" s="138" t="e">
        <f>IF(VLOOKUP(CONCATENATE(H183,F183,DO$2),Español!$A:$H,7,FALSE)=AC183,1,0)</f>
        <v>#N/A</v>
      </c>
      <c r="DP183" s="138" t="e">
        <f>IF(VLOOKUP(CONCATENATE(H183,F183,DP$2),Español!$A:$H,7,FALSE)=AD183,1,0)</f>
        <v>#N/A</v>
      </c>
      <c r="DQ183" s="138" t="e">
        <f>IF(VLOOKUP(CONCATENATE(H183,F183,DQ$2),Español!$A:$H,7,FALSE)=AE183,1,0)</f>
        <v>#N/A</v>
      </c>
      <c r="DR183" s="138" t="e">
        <f>IF(VLOOKUP(CONCATENATE(H183,F183,DR$2),Inglés!$A:$H,7,FALSE)=AF183,1,0)</f>
        <v>#N/A</v>
      </c>
      <c r="DS183" s="138" t="e">
        <f>IF(VLOOKUP(CONCATENATE(H183,F183,DS$2),Inglés!$A:$H,7,FALSE)=AG183,1,0)</f>
        <v>#N/A</v>
      </c>
      <c r="DT183" s="138" t="e">
        <f>IF(VLOOKUP(CONCATENATE(H183,F183,DT$2),Inglés!$A:$H,7,FALSE)=AH183,1,0)</f>
        <v>#N/A</v>
      </c>
      <c r="DU183" s="138" t="e">
        <f>IF(VLOOKUP(CONCATENATE(H183,F183,DU$2),Inglés!$A:$H,7,FALSE)=AI183,1,0)</f>
        <v>#N/A</v>
      </c>
      <c r="DV183" s="138" t="e">
        <f>IF(VLOOKUP(CONCATENATE(H183,F183,DV$2),Inglés!$A:$H,7,FALSE)=AJ183,1,0)</f>
        <v>#N/A</v>
      </c>
      <c r="DW183" s="138" t="e">
        <f>IF(VLOOKUP(CONCATENATE(H183,F183,DW$2),Inglés!$A:$H,7,FALSE)=AK183,1,0)</f>
        <v>#N/A</v>
      </c>
      <c r="DX183" s="138" t="e">
        <f>IF(VLOOKUP(CONCATENATE(H183,F183,DX$2),Inglés!$A:$H,7,FALSE)=AL183,1,0)</f>
        <v>#N/A</v>
      </c>
      <c r="DY183" s="138" t="e">
        <f>IF(VLOOKUP(CONCATENATE(H183,F183,DY$2),Inglés!$A:$H,7,FALSE)=AM183,1,0)</f>
        <v>#N/A</v>
      </c>
      <c r="DZ183" s="138" t="e">
        <f>IF(VLOOKUP(CONCATENATE(H183,F183,DZ$2),Inglés!$A:$H,7,FALSE)=AN183,1,0)</f>
        <v>#N/A</v>
      </c>
      <c r="EA183" s="138" t="e">
        <f>IF(VLOOKUP(CONCATENATE(H183,F183,EA$2),Inglés!$A:$H,7,FALSE)=AO183,1,0)</f>
        <v>#N/A</v>
      </c>
      <c r="EB183" s="138" t="e">
        <f>IF(VLOOKUP(CONCATENATE(H183,F183,EB$2),Matemáticas!$A:$H,7,FALSE)=AP183,1,0)</f>
        <v>#N/A</v>
      </c>
      <c r="EC183" s="138" t="e">
        <f>IF(VLOOKUP(CONCATENATE(H183,F183,EC$2),Matemáticas!$A:$H,7,FALSE)=AQ183,1,0)</f>
        <v>#N/A</v>
      </c>
      <c r="ED183" s="138" t="e">
        <f>IF(VLOOKUP(CONCATENATE(H183,F183,ED$2),Matemáticas!$A:$H,7,FALSE)=AR183,1,0)</f>
        <v>#N/A</v>
      </c>
      <c r="EE183" s="138" t="e">
        <f>IF(VLOOKUP(CONCATENATE(H183,F183,EE$2),Matemáticas!$A:$H,7,FALSE)=AS183,1,0)</f>
        <v>#N/A</v>
      </c>
      <c r="EF183" s="138" t="e">
        <f>IF(VLOOKUP(CONCATENATE(H183,F183,EF$2),Matemáticas!$A:$H,7,FALSE)=AT183,1,0)</f>
        <v>#N/A</v>
      </c>
      <c r="EG183" s="138" t="e">
        <f>IF(VLOOKUP(CONCATENATE(H183,F183,EG$2),Matemáticas!$A:$H,7,FALSE)=AU183,1,0)</f>
        <v>#N/A</v>
      </c>
      <c r="EH183" s="138" t="e">
        <f>IF(VLOOKUP(CONCATENATE(H183,F183,EH$2),Matemáticas!$A:$H,7,FALSE)=AV183,1,0)</f>
        <v>#N/A</v>
      </c>
      <c r="EI183" s="138" t="e">
        <f>IF(VLOOKUP(CONCATENATE(H183,F183,EI$2),Matemáticas!$A:$H,7,FALSE)=AW183,1,0)</f>
        <v>#N/A</v>
      </c>
      <c r="EJ183" s="138" t="e">
        <f>IF(VLOOKUP(CONCATENATE(H183,F183,EJ$2),Matemáticas!$A:$H,7,FALSE)=AX183,1,0)</f>
        <v>#N/A</v>
      </c>
      <c r="EK183" s="138" t="e">
        <f>IF(VLOOKUP(CONCATENATE(H183,F183,EK$2),Matemáticas!$A:$H,7,FALSE)=AY183,1,0)</f>
        <v>#N/A</v>
      </c>
      <c r="EL183" s="138" t="e">
        <f>IF(VLOOKUP(CONCATENATE(H183,F183,EL$2),Matemáticas!$A:$H,7,FALSE)=AZ183,1,0)</f>
        <v>#N/A</v>
      </c>
      <c r="EM183" s="138" t="e">
        <f>IF(VLOOKUP(CONCATENATE(H183,F183,EM$2),Matemáticas!$A:$H,7,FALSE)=BA183,1,0)</f>
        <v>#N/A</v>
      </c>
      <c r="EN183" s="138" t="e">
        <f>IF(VLOOKUP(CONCATENATE(H183,F183,EN$2),Matemáticas!$A:$H,7,FALSE)=BB183,1,0)</f>
        <v>#N/A</v>
      </c>
      <c r="EO183" s="138" t="e">
        <f>IF(VLOOKUP(CONCATENATE(H183,F183,EO$2),Matemáticas!$A:$H,7,FALSE)=BC183,1,0)</f>
        <v>#N/A</v>
      </c>
      <c r="EP183" s="138" t="e">
        <f>IF(VLOOKUP(CONCATENATE(H183,F183,EP$2),Matemáticas!$A:$H,7,FALSE)=BD183,1,0)</f>
        <v>#N/A</v>
      </c>
      <c r="EQ183" s="138" t="e">
        <f>IF(VLOOKUP(CONCATENATE(H183,F183,EQ$2),Matemáticas!$A:$H,7,FALSE)=BE183,1,0)</f>
        <v>#N/A</v>
      </c>
      <c r="ER183" s="138" t="e">
        <f>IF(VLOOKUP(CONCATENATE(H183,F183,ER$2),Matemáticas!$A:$H,7,FALSE)=BF183,1,0)</f>
        <v>#N/A</v>
      </c>
      <c r="ES183" s="138" t="e">
        <f>IF(VLOOKUP(CONCATENATE(H183,F183,ES$2),Matemáticas!$A:$H,7,FALSE)=BG183,1,0)</f>
        <v>#N/A</v>
      </c>
      <c r="ET183" s="138" t="e">
        <f>IF(VLOOKUP(CONCATENATE(H183,F183,ET$2),Matemáticas!$A:$H,7,FALSE)=BH183,1,0)</f>
        <v>#N/A</v>
      </c>
      <c r="EU183" s="138" t="e">
        <f>IF(VLOOKUP(CONCATENATE(H183,F183,EU$2),Matemáticas!$A:$H,7,FALSE)=BI183,1,0)</f>
        <v>#N/A</v>
      </c>
      <c r="EV183" s="138" t="e">
        <f>IF(VLOOKUP(CONCATENATE(H183,F183,EV$2),Ciencias!$A:$H,7,FALSE)=BJ183,1,0)</f>
        <v>#N/A</v>
      </c>
      <c r="EW183" s="138" t="e">
        <f>IF(VLOOKUP(CONCATENATE(H183,F183,EW$2),Ciencias!$A:$H,7,FALSE)=BK183,1,0)</f>
        <v>#N/A</v>
      </c>
      <c r="EX183" s="138" t="e">
        <f>IF(VLOOKUP(CONCATENATE(H183,F183,EX$2),Ciencias!$A:$H,7,FALSE)=BL183,1,0)</f>
        <v>#N/A</v>
      </c>
      <c r="EY183" s="138" t="e">
        <f>IF(VLOOKUP(CONCATENATE(H183,F183,EY$2),Ciencias!$A:$H,7,FALSE)=BM183,1,0)</f>
        <v>#N/A</v>
      </c>
      <c r="EZ183" s="138" t="e">
        <f>IF(VLOOKUP(CONCATENATE(H183,F183,EZ$2),Ciencias!$A:$H,7,FALSE)=BN183,1,0)</f>
        <v>#N/A</v>
      </c>
      <c r="FA183" s="138" t="e">
        <f>IF(VLOOKUP(CONCATENATE(H183,F183,FA$2),Ciencias!$A:$H,7,FALSE)=BO183,1,0)</f>
        <v>#N/A</v>
      </c>
      <c r="FB183" s="138" t="e">
        <f>IF(VLOOKUP(CONCATENATE(H183,F183,FB$2),Ciencias!$A:$H,7,FALSE)=BP183,1,0)</f>
        <v>#N/A</v>
      </c>
      <c r="FC183" s="138" t="e">
        <f>IF(VLOOKUP(CONCATENATE(H183,F183,FC$2),Ciencias!$A:$H,7,FALSE)=BQ183,1,0)</f>
        <v>#N/A</v>
      </c>
      <c r="FD183" s="138" t="e">
        <f>IF(VLOOKUP(CONCATENATE(H183,F183,FD$2),Ciencias!$A:$H,7,FALSE)=BR183,1,0)</f>
        <v>#N/A</v>
      </c>
      <c r="FE183" s="138" t="e">
        <f>IF(VLOOKUP(CONCATENATE(H183,F183,FE$2),Ciencias!$A:$H,7,FALSE)=BS183,1,0)</f>
        <v>#N/A</v>
      </c>
      <c r="FF183" s="138" t="e">
        <f>IF(VLOOKUP(CONCATENATE(H183,F183,FF$2),Ciencias!$A:$H,7,FALSE)=BT183,1,0)</f>
        <v>#N/A</v>
      </c>
      <c r="FG183" s="138" t="e">
        <f>IF(VLOOKUP(CONCATENATE(H183,F183,FG$2),Ciencias!$A:$H,7,FALSE)=BU183,1,0)</f>
        <v>#N/A</v>
      </c>
      <c r="FH183" s="138" t="e">
        <f>IF(VLOOKUP(CONCATENATE(H183,F183,FH$2),Ciencias!$A:$H,7,FALSE)=BV183,1,0)</f>
        <v>#N/A</v>
      </c>
      <c r="FI183" s="138" t="e">
        <f>IF(VLOOKUP(CONCATENATE(H183,F183,FI$2),Ciencias!$A:$H,7,FALSE)=BW183,1,0)</f>
        <v>#N/A</v>
      </c>
      <c r="FJ183" s="138" t="e">
        <f>IF(VLOOKUP(CONCATENATE(H183,F183,FJ$2),Ciencias!$A:$H,7,FALSE)=BX183,1,0)</f>
        <v>#N/A</v>
      </c>
      <c r="FK183" s="138" t="e">
        <f>IF(VLOOKUP(CONCATENATE(H183,F183,FK$2),Ciencias!$A:$H,7,FALSE)=BY183,1,0)</f>
        <v>#N/A</v>
      </c>
      <c r="FL183" s="138" t="e">
        <f>IF(VLOOKUP(CONCATENATE(H183,F183,FL$2),Ciencias!$A:$H,7,FALSE)=BZ183,1,0)</f>
        <v>#N/A</v>
      </c>
      <c r="FM183" s="138" t="e">
        <f>IF(VLOOKUP(CONCATENATE(H183,F183,FM$2),Ciencias!$A:$H,7,FALSE)=CA183,1,0)</f>
        <v>#N/A</v>
      </c>
      <c r="FN183" s="138" t="e">
        <f>IF(VLOOKUP(CONCATENATE(H183,F183,FN$2),Ciencias!$A:$H,7,FALSE)=CB183,1,0)</f>
        <v>#N/A</v>
      </c>
      <c r="FO183" s="138" t="e">
        <f>IF(VLOOKUP(CONCATENATE(H183,F183,FO$2),Ciencias!$A:$H,7,FALSE)=CC183,1,0)</f>
        <v>#N/A</v>
      </c>
      <c r="FP183" s="138" t="e">
        <f>IF(VLOOKUP(CONCATENATE(H183,F183,FP$2),GeoHis!$A:$H,7,FALSE)=CD183,1,0)</f>
        <v>#N/A</v>
      </c>
      <c r="FQ183" s="138" t="e">
        <f>IF(VLOOKUP(CONCATENATE(H183,F183,FQ$2),GeoHis!$A:$H,7,FALSE)=CE183,1,0)</f>
        <v>#N/A</v>
      </c>
      <c r="FR183" s="138" t="e">
        <f>IF(VLOOKUP(CONCATENATE(H183,F183,FR$2),GeoHis!$A:$H,7,FALSE)=CF183,1,0)</f>
        <v>#N/A</v>
      </c>
      <c r="FS183" s="138" t="e">
        <f>IF(VLOOKUP(CONCATENATE(H183,F183,FS$2),GeoHis!$A:$H,7,FALSE)=CG183,1,0)</f>
        <v>#N/A</v>
      </c>
      <c r="FT183" s="138" t="e">
        <f>IF(VLOOKUP(CONCATENATE(H183,F183,FT$2),GeoHis!$A:$H,7,FALSE)=CH183,1,0)</f>
        <v>#N/A</v>
      </c>
      <c r="FU183" s="138" t="e">
        <f>IF(VLOOKUP(CONCATENATE(H183,F183,FU$2),GeoHis!$A:$H,7,FALSE)=CI183,1,0)</f>
        <v>#N/A</v>
      </c>
      <c r="FV183" s="138" t="e">
        <f>IF(VLOOKUP(CONCATENATE(H183,F183,FV$2),GeoHis!$A:$H,7,FALSE)=CJ183,1,0)</f>
        <v>#N/A</v>
      </c>
      <c r="FW183" s="138" t="e">
        <f>IF(VLOOKUP(CONCATENATE(H183,F183,FW$2),GeoHis!$A:$H,7,FALSE)=CK183,1,0)</f>
        <v>#N/A</v>
      </c>
      <c r="FX183" s="138" t="e">
        <f>IF(VLOOKUP(CONCATENATE(H183,F183,FX$2),GeoHis!$A:$H,7,FALSE)=CL183,1,0)</f>
        <v>#N/A</v>
      </c>
      <c r="FY183" s="138" t="e">
        <f>IF(VLOOKUP(CONCATENATE(H183,F183,FY$2),GeoHis!$A:$H,7,FALSE)=CM183,1,0)</f>
        <v>#N/A</v>
      </c>
      <c r="FZ183" s="138" t="e">
        <f>IF(VLOOKUP(CONCATENATE(H183,F183,FZ$2),GeoHis!$A:$H,7,FALSE)=CN183,1,0)</f>
        <v>#N/A</v>
      </c>
      <c r="GA183" s="138" t="e">
        <f>IF(VLOOKUP(CONCATENATE(H183,F183,GA$2),GeoHis!$A:$H,7,FALSE)=CO183,1,0)</f>
        <v>#N/A</v>
      </c>
      <c r="GB183" s="138" t="e">
        <f>IF(VLOOKUP(CONCATENATE(H183,F183,GB$2),GeoHis!$A:$H,7,FALSE)=CP183,1,0)</f>
        <v>#N/A</v>
      </c>
      <c r="GC183" s="138" t="e">
        <f>IF(VLOOKUP(CONCATENATE(H183,F183,GC$2),GeoHis!$A:$H,7,FALSE)=CQ183,1,0)</f>
        <v>#N/A</v>
      </c>
      <c r="GD183" s="138" t="e">
        <f>IF(VLOOKUP(CONCATENATE(H183,F183,GD$2),GeoHis!$A:$H,7,FALSE)=CR183,1,0)</f>
        <v>#N/A</v>
      </c>
      <c r="GE183" s="135" t="str">
        <f t="shared" si="23"/>
        <v/>
      </c>
    </row>
    <row r="184" spans="1:187" x14ac:dyDescent="0.25">
      <c r="A184" s="127" t="str">
        <f>IF(C184="","",'Datos Generales'!$A$25)</f>
        <v/>
      </c>
      <c r="D184" s="126" t="str">
        <f t="shared" si="16"/>
        <v/>
      </c>
      <c r="E184" s="126">
        <f t="shared" si="17"/>
        <v>0</v>
      </c>
      <c r="F184" s="126" t="str">
        <f t="shared" si="18"/>
        <v/>
      </c>
      <c r="G184" s="126" t="str">
        <f>IF(C184="","",'Datos Generales'!$D$19)</f>
        <v/>
      </c>
      <c r="H184" s="21" t="str">
        <f>IF(C184="","",'Datos Generales'!$A$19)</f>
        <v/>
      </c>
      <c r="I184" s="126" t="str">
        <f>IF(C184="","",'Datos Generales'!$A$7)</f>
        <v/>
      </c>
      <c r="J184" s="21" t="str">
        <f>IF(C184="","",'Datos Generales'!$A$13)</f>
        <v/>
      </c>
      <c r="K184" s="21" t="str">
        <f>IF(C184="","",'Datos Generales'!$A$10)</f>
        <v/>
      </c>
      <c r="CS184" s="142" t="str">
        <f t="shared" si="19"/>
        <v/>
      </c>
      <c r="CT184" s="142" t="str">
        <f t="shared" si="20"/>
        <v/>
      </c>
      <c r="CU184" s="142" t="str">
        <f t="shared" si="21"/>
        <v/>
      </c>
      <c r="CV184" s="142" t="str">
        <f t="shared" si="22"/>
        <v/>
      </c>
      <c r="CW184" s="142" t="str">
        <f>IF(C184="","",IF('Datos Generales'!$A$19=1,AVERAGE(FP184:GD184),AVERAGE(Captura!FP184:FY184)))</f>
        <v/>
      </c>
      <c r="CX184" s="138" t="e">
        <f>IF(VLOOKUP(CONCATENATE($H$4,$F$4,CX$2),Español!$A:$H,7,FALSE)=L184,1,0)</f>
        <v>#N/A</v>
      </c>
      <c r="CY184" s="138" t="e">
        <f>IF(VLOOKUP(CONCATENATE(H184,F184,CY$2),Español!$A:$H,7,FALSE)=M184,1,0)</f>
        <v>#N/A</v>
      </c>
      <c r="CZ184" s="138" t="e">
        <f>IF(VLOOKUP(CONCATENATE(H184,F184,CZ$2),Español!$A:$H,7,FALSE)=N184,1,0)</f>
        <v>#N/A</v>
      </c>
      <c r="DA184" s="138" t="e">
        <f>IF(VLOOKUP(CONCATENATE(H184,F184,DA$2),Español!$A:$H,7,FALSE)=O184,1,0)</f>
        <v>#N/A</v>
      </c>
      <c r="DB184" s="138" t="e">
        <f>IF(VLOOKUP(CONCATENATE(H184,F184,DB$2),Español!$A:$H,7,FALSE)=P184,1,0)</f>
        <v>#N/A</v>
      </c>
      <c r="DC184" s="138" t="e">
        <f>IF(VLOOKUP(CONCATENATE(H184,F184,DC$2),Español!$A:$H,7,FALSE)=Q184,1,0)</f>
        <v>#N/A</v>
      </c>
      <c r="DD184" s="138" t="e">
        <f>IF(VLOOKUP(CONCATENATE(H184,F184,DD$2),Español!$A:$H,7,FALSE)=R184,1,0)</f>
        <v>#N/A</v>
      </c>
      <c r="DE184" s="138" t="e">
        <f>IF(VLOOKUP(CONCATENATE(H184,F184,DE$2),Español!$A:$H,7,FALSE)=S184,1,0)</f>
        <v>#N/A</v>
      </c>
      <c r="DF184" s="138" t="e">
        <f>IF(VLOOKUP(CONCATENATE(H184,F184,DF$2),Español!$A:$H,7,FALSE)=T184,1,0)</f>
        <v>#N/A</v>
      </c>
      <c r="DG184" s="138" t="e">
        <f>IF(VLOOKUP(CONCATENATE(H184,F184,DG$2),Español!$A:$H,7,FALSE)=U184,1,0)</f>
        <v>#N/A</v>
      </c>
      <c r="DH184" s="138" t="e">
        <f>IF(VLOOKUP(CONCATENATE(H184,F184,DH$2),Español!$A:$H,7,FALSE)=V184,1,0)</f>
        <v>#N/A</v>
      </c>
      <c r="DI184" s="138" t="e">
        <f>IF(VLOOKUP(CONCATENATE(H184,F184,DI$2),Español!$A:$H,7,FALSE)=W184,1,0)</f>
        <v>#N/A</v>
      </c>
      <c r="DJ184" s="138" t="e">
        <f>IF(VLOOKUP(CONCATENATE(H184,F184,DJ$2),Español!$A:$H,7,FALSE)=X184,1,0)</f>
        <v>#N/A</v>
      </c>
      <c r="DK184" s="138" t="e">
        <f>IF(VLOOKUP(CONCATENATE(H184,F184,DK$2),Español!$A:$H,7,FALSE)=Y184,1,0)</f>
        <v>#N/A</v>
      </c>
      <c r="DL184" s="138" t="e">
        <f>IF(VLOOKUP(CONCATENATE(H184,F184,DL$2),Español!$A:$H,7,FALSE)=Z184,1,0)</f>
        <v>#N/A</v>
      </c>
      <c r="DM184" s="138" t="e">
        <f>IF(VLOOKUP(CONCATENATE(H184,F184,DM$2),Español!$A:$H,7,FALSE)=AA184,1,0)</f>
        <v>#N/A</v>
      </c>
      <c r="DN184" s="138" t="e">
        <f>IF(VLOOKUP(CONCATENATE(H184,F184,DN$2),Español!$A:$H,7,FALSE)=AB184,1,0)</f>
        <v>#N/A</v>
      </c>
      <c r="DO184" s="138" t="e">
        <f>IF(VLOOKUP(CONCATENATE(H184,F184,DO$2),Español!$A:$H,7,FALSE)=AC184,1,0)</f>
        <v>#N/A</v>
      </c>
      <c r="DP184" s="138" t="e">
        <f>IF(VLOOKUP(CONCATENATE(H184,F184,DP$2),Español!$A:$H,7,FALSE)=AD184,1,0)</f>
        <v>#N/A</v>
      </c>
      <c r="DQ184" s="138" t="e">
        <f>IF(VLOOKUP(CONCATENATE(H184,F184,DQ$2),Español!$A:$H,7,FALSE)=AE184,1,0)</f>
        <v>#N/A</v>
      </c>
      <c r="DR184" s="138" t="e">
        <f>IF(VLOOKUP(CONCATENATE(H184,F184,DR$2),Inglés!$A:$H,7,FALSE)=AF184,1,0)</f>
        <v>#N/A</v>
      </c>
      <c r="DS184" s="138" t="e">
        <f>IF(VLOOKUP(CONCATENATE(H184,F184,DS$2),Inglés!$A:$H,7,FALSE)=AG184,1,0)</f>
        <v>#N/A</v>
      </c>
      <c r="DT184" s="138" t="e">
        <f>IF(VLOOKUP(CONCATENATE(H184,F184,DT$2),Inglés!$A:$H,7,FALSE)=AH184,1,0)</f>
        <v>#N/A</v>
      </c>
      <c r="DU184" s="138" t="e">
        <f>IF(VLOOKUP(CONCATENATE(H184,F184,DU$2),Inglés!$A:$H,7,FALSE)=AI184,1,0)</f>
        <v>#N/A</v>
      </c>
      <c r="DV184" s="138" t="e">
        <f>IF(VLOOKUP(CONCATENATE(H184,F184,DV$2),Inglés!$A:$H,7,FALSE)=AJ184,1,0)</f>
        <v>#N/A</v>
      </c>
      <c r="DW184" s="138" t="e">
        <f>IF(VLOOKUP(CONCATENATE(H184,F184,DW$2),Inglés!$A:$H,7,FALSE)=AK184,1,0)</f>
        <v>#N/A</v>
      </c>
      <c r="DX184" s="138" t="e">
        <f>IF(VLOOKUP(CONCATENATE(H184,F184,DX$2),Inglés!$A:$H,7,FALSE)=AL184,1,0)</f>
        <v>#N/A</v>
      </c>
      <c r="DY184" s="138" t="e">
        <f>IF(VLOOKUP(CONCATENATE(H184,F184,DY$2),Inglés!$A:$H,7,FALSE)=AM184,1,0)</f>
        <v>#N/A</v>
      </c>
      <c r="DZ184" s="138" t="e">
        <f>IF(VLOOKUP(CONCATENATE(H184,F184,DZ$2),Inglés!$A:$H,7,FALSE)=AN184,1,0)</f>
        <v>#N/A</v>
      </c>
      <c r="EA184" s="138" t="e">
        <f>IF(VLOOKUP(CONCATENATE(H184,F184,EA$2),Inglés!$A:$H,7,FALSE)=AO184,1,0)</f>
        <v>#N/A</v>
      </c>
      <c r="EB184" s="138" t="e">
        <f>IF(VLOOKUP(CONCATENATE(H184,F184,EB$2),Matemáticas!$A:$H,7,FALSE)=AP184,1,0)</f>
        <v>#N/A</v>
      </c>
      <c r="EC184" s="138" t="e">
        <f>IF(VLOOKUP(CONCATENATE(H184,F184,EC$2),Matemáticas!$A:$H,7,FALSE)=AQ184,1,0)</f>
        <v>#N/A</v>
      </c>
      <c r="ED184" s="138" t="e">
        <f>IF(VLOOKUP(CONCATENATE(H184,F184,ED$2),Matemáticas!$A:$H,7,FALSE)=AR184,1,0)</f>
        <v>#N/A</v>
      </c>
      <c r="EE184" s="138" t="e">
        <f>IF(VLOOKUP(CONCATENATE(H184,F184,EE$2),Matemáticas!$A:$H,7,FALSE)=AS184,1,0)</f>
        <v>#N/A</v>
      </c>
      <c r="EF184" s="138" t="e">
        <f>IF(VLOOKUP(CONCATENATE(H184,F184,EF$2),Matemáticas!$A:$H,7,FALSE)=AT184,1,0)</f>
        <v>#N/A</v>
      </c>
      <c r="EG184" s="138" t="e">
        <f>IF(VLOOKUP(CONCATENATE(H184,F184,EG$2),Matemáticas!$A:$H,7,FALSE)=AU184,1,0)</f>
        <v>#N/A</v>
      </c>
      <c r="EH184" s="138" t="e">
        <f>IF(VLOOKUP(CONCATENATE(H184,F184,EH$2),Matemáticas!$A:$H,7,FALSE)=AV184,1,0)</f>
        <v>#N/A</v>
      </c>
      <c r="EI184" s="138" t="e">
        <f>IF(VLOOKUP(CONCATENATE(H184,F184,EI$2),Matemáticas!$A:$H,7,FALSE)=AW184,1,0)</f>
        <v>#N/A</v>
      </c>
      <c r="EJ184" s="138" t="e">
        <f>IF(VLOOKUP(CONCATENATE(H184,F184,EJ$2),Matemáticas!$A:$H,7,FALSE)=AX184,1,0)</f>
        <v>#N/A</v>
      </c>
      <c r="EK184" s="138" t="e">
        <f>IF(VLOOKUP(CONCATENATE(H184,F184,EK$2),Matemáticas!$A:$H,7,FALSE)=AY184,1,0)</f>
        <v>#N/A</v>
      </c>
      <c r="EL184" s="138" t="e">
        <f>IF(VLOOKUP(CONCATENATE(H184,F184,EL$2),Matemáticas!$A:$H,7,FALSE)=AZ184,1,0)</f>
        <v>#N/A</v>
      </c>
      <c r="EM184" s="138" t="e">
        <f>IF(VLOOKUP(CONCATENATE(H184,F184,EM$2),Matemáticas!$A:$H,7,FALSE)=BA184,1,0)</f>
        <v>#N/A</v>
      </c>
      <c r="EN184" s="138" t="e">
        <f>IF(VLOOKUP(CONCATENATE(H184,F184,EN$2),Matemáticas!$A:$H,7,FALSE)=BB184,1,0)</f>
        <v>#N/A</v>
      </c>
      <c r="EO184" s="138" t="e">
        <f>IF(VLOOKUP(CONCATENATE(H184,F184,EO$2),Matemáticas!$A:$H,7,FALSE)=BC184,1,0)</f>
        <v>#N/A</v>
      </c>
      <c r="EP184" s="138" t="e">
        <f>IF(VLOOKUP(CONCATENATE(H184,F184,EP$2),Matemáticas!$A:$H,7,FALSE)=BD184,1,0)</f>
        <v>#N/A</v>
      </c>
      <c r="EQ184" s="138" t="e">
        <f>IF(VLOOKUP(CONCATENATE(H184,F184,EQ$2),Matemáticas!$A:$H,7,FALSE)=BE184,1,0)</f>
        <v>#N/A</v>
      </c>
      <c r="ER184" s="138" t="e">
        <f>IF(VLOOKUP(CONCATENATE(H184,F184,ER$2),Matemáticas!$A:$H,7,FALSE)=BF184,1,0)</f>
        <v>#N/A</v>
      </c>
      <c r="ES184" s="138" t="e">
        <f>IF(VLOOKUP(CONCATENATE(H184,F184,ES$2),Matemáticas!$A:$H,7,FALSE)=BG184,1,0)</f>
        <v>#N/A</v>
      </c>
      <c r="ET184" s="138" t="e">
        <f>IF(VLOOKUP(CONCATENATE(H184,F184,ET$2),Matemáticas!$A:$H,7,FALSE)=BH184,1,0)</f>
        <v>#N/A</v>
      </c>
      <c r="EU184" s="138" t="e">
        <f>IF(VLOOKUP(CONCATENATE(H184,F184,EU$2),Matemáticas!$A:$H,7,FALSE)=BI184,1,0)</f>
        <v>#N/A</v>
      </c>
      <c r="EV184" s="138" t="e">
        <f>IF(VLOOKUP(CONCATENATE(H184,F184,EV$2),Ciencias!$A:$H,7,FALSE)=BJ184,1,0)</f>
        <v>#N/A</v>
      </c>
      <c r="EW184" s="138" t="e">
        <f>IF(VLOOKUP(CONCATENATE(H184,F184,EW$2),Ciencias!$A:$H,7,FALSE)=BK184,1,0)</f>
        <v>#N/A</v>
      </c>
      <c r="EX184" s="138" t="e">
        <f>IF(VLOOKUP(CONCATENATE(H184,F184,EX$2),Ciencias!$A:$H,7,FALSE)=BL184,1,0)</f>
        <v>#N/A</v>
      </c>
      <c r="EY184" s="138" t="e">
        <f>IF(VLOOKUP(CONCATENATE(H184,F184,EY$2),Ciencias!$A:$H,7,FALSE)=BM184,1,0)</f>
        <v>#N/A</v>
      </c>
      <c r="EZ184" s="138" t="e">
        <f>IF(VLOOKUP(CONCATENATE(H184,F184,EZ$2),Ciencias!$A:$H,7,FALSE)=BN184,1,0)</f>
        <v>#N/A</v>
      </c>
      <c r="FA184" s="138" t="e">
        <f>IF(VLOOKUP(CONCATENATE(H184,F184,FA$2),Ciencias!$A:$H,7,FALSE)=BO184,1,0)</f>
        <v>#N/A</v>
      </c>
      <c r="FB184" s="138" t="e">
        <f>IF(VLOOKUP(CONCATENATE(H184,F184,FB$2),Ciencias!$A:$H,7,FALSE)=BP184,1,0)</f>
        <v>#N/A</v>
      </c>
      <c r="FC184" s="138" t="e">
        <f>IF(VLOOKUP(CONCATENATE(H184,F184,FC$2),Ciencias!$A:$H,7,FALSE)=BQ184,1,0)</f>
        <v>#N/A</v>
      </c>
      <c r="FD184" s="138" t="e">
        <f>IF(VLOOKUP(CONCATENATE(H184,F184,FD$2),Ciencias!$A:$H,7,FALSE)=BR184,1,0)</f>
        <v>#N/A</v>
      </c>
      <c r="FE184" s="138" t="e">
        <f>IF(VLOOKUP(CONCATENATE(H184,F184,FE$2),Ciencias!$A:$H,7,FALSE)=BS184,1,0)</f>
        <v>#N/A</v>
      </c>
      <c r="FF184" s="138" t="e">
        <f>IF(VLOOKUP(CONCATENATE(H184,F184,FF$2),Ciencias!$A:$H,7,FALSE)=BT184,1,0)</f>
        <v>#N/A</v>
      </c>
      <c r="FG184" s="138" t="e">
        <f>IF(VLOOKUP(CONCATENATE(H184,F184,FG$2),Ciencias!$A:$H,7,FALSE)=BU184,1,0)</f>
        <v>#N/A</v>
      </c>
      <c r="FH184" s="138" t="e">
        <f>IF(VLOOKUP(CONCATENATE(H184,F184,FH$2),Ciencias!$A:$H,7,FALSE)=BV184,1,0)</f>
        <v>#N/A</v>
      </c>
      <c r="FI184" s="138" t="e">
        <f>IF(VLOOKUP(CONCATENATE(H184,F184,FI$2),Ciencias!$A:$H,7,FALSE)=BW184,1,0)</f>
        <v>#N/A</v>
      </c>
      <c r="FJ184" s="138" t="e">
        <f>IF(VLOOKUP(CONCATENATE(H184,F184,FJ$2),Ciencias!$A:$H,7,FALSE)=BX184,1,0)</f>
        <v>#N/A</v>
      </c>
      <c r="FK184" s="138" t="e">
        <f>IF(VLOOKUP(CONCATENATE(H184,F184,FK$2),Ciencias!$A:$H,7,FALSE)=BY184,1,0)</f>
        <v>#N/A</v>
      </c>
      <c r="FL184" s="138" t="e">
        <f>IF(VLOOKUP(CONCATENATE(H184,F184,FL$2),Ciencias!$A:$H,7,FALSE)=BZ184,1,0)</f>
        <v>#N/A</v>
      </c>
      <c r="FM184" s="138" t="e">
        <f>IF(VLOOKUP(CONCATENATE(H184,F184,FM$2),Ciencias!$A:$H,7,FALSE)=CA184,1,0)</f>
        <v>#N/A</v>
      </c>
      <c r="FN184" s="138" t="e">
        <f>IF(VLOOKUP(CONCATENATE(H184,F184,FN$2),Ciencias!$A:$H,7,FALSE)=CB184,1,0)</f>
        <v>#N/A</v>
      </c>
      <c r="FO184" s="138" t="e">
        <f>IF(VLOOKUP(CONCATENATE(H184,F184,FO$2),Ciencias!$A:$H,7,FALSE)=CC184,1,0)</f>
        <v>#N/A</v>
      </c>
      <c r="FP184" s="138" t="e">
        <f>IF(VLOOKUP(CONCATENATE(H184,F184,FP$2),GeoHis!$A:$H,7,FALSE)=CD184,1,0)</f>
        <v>#N/A</v>
      </c>
      <c r="FQ184" s="138" t="e">
        <f>IF(VLOOKUP(CONCATENATE(H184,F184,FQ$2),GeoHis!$A:$H,7,FALSE)=CE184,1,0)</f>
        <v>#N/A</v>
      </c>
      <c r="FR184" s="138" t="e">
        <f>IF(VLOOKUP(CONCATENATE(H184,F184,FR$2),GeoHis!$A:$H,7,FALSE)=CF184,1,0)</f>
        <v>#N/A</v>
      </c>
      <c r="FS184" s="138" t="e">
        <f>IF(VLOOKUP(CONCATENATE(H184,F184,FS$2),GeoHis!$A:$H,7,FALSE)=CG184,1,0)</f>
        <v>#N/A</v>
      </c>
      <c r="FT184" s="138" t="e">
        <f>IF(VLOOKUP(CONCATENATE(H184,F184,FT$2),GeoHis!$A:$H,7,FALSE)=CH184,1,0)</f>
        <v>#N/A</v>
      </c>
      <c r="FU184" s="138" t="e">
        <f>IF(VLOOKUP(CONCATENATE(H184,F184,FU$2),GeoHis!$A:$H,7,FALSE)=CI184,1,0)</f>
        <v>#N/A</v>
      </c>
      <c r="FV184" s="138" t="e">
        <f>IF(VLOOKUP(CONCATENATE(H184,F184,FV$2),GeoHis!$A:$H,7,FALSE)=CJ184,1,0)</f>
        <v>#N/A</v>
      </c>
      <c r="FW184" s="138" t="e">
        <f>IF(VLOOKUP(CONCATENATE(H184,F184,FW$2),GeoHis!$A:$H,7,FALSE)=CK184,1,0)</f>
        <v>#N/A</v>
      </c>
      <c r="FX184" s="138" t="e">
        <f>IF(VLOOKUP(CONCATENATE(H184,F184,FX$2),GeoHis!$A:$H,7,FALSE)=CL184,1,0)</f>
        <v>#N/A</v>
      </c>
      <c r="FY184" s="138" t="e">
        <f>IF(VLOOKUP(CONCATENATE(H184,F184,FY$2),GeoHis!$A:$H,7,FALSE)=CM184,1,0)</f>
        <v>#N/A</v>
      </c>
      <c r="FZ184" s="138" t="e">
        <f>IF(VLOOKUP(CONCATENATE(H184,F184,FZ$2),GeoHis!$A:$H,7,FALSE)=CN184,1,0)</f>
        <v>#N/A</v>
      </c>
      <c r="GA184" s="138" t="e">
        <f>IF(VLOOKUP(CONCATENATE(H184,F184,GA$2),GeoHis!$A:$H,7,FALSE)=CO184,1,0)</f>
        <v>#N/A</v>
      </c>
      <c r="GB184" s="138" t="e">
        <f>IF(VLOOKUP(CONCATENATE(H184,F184,GB$2),GeoHis!$A:$H,7,FALSE)=CP184,1,0)</f>
        <v>#N/A</v>
      </c>
      <c r="GC184" s="138" t="e">
        <f>IF(VLOOKUP(CONCATENATE(H184,F184,GC$2),GeoHis!$A:$H,7,FALSE)=CQ184,1,0)</f>
        <v>#N/A</v>
      </c>
      <c r="GD184" s="138" t="e">
        <f>IF(VLOOKUP(CONCATENATE(H184,F184,GD$2),GeoHis!$A:$H,7,FALSE)=CR184,1,0)</f>
        <v>#N/A</v>
      </c>
      <c r="GE184" s="135" t="str">
        <f t="shared" si="23"/>
        <v/>
      </c>
    </row>
    <row r="185" spans="1:187" x14ac:dyDescent="0.25">
      <c r="A185" s="127" t="str">
        <f>IF(C185="","",'Datos Generales'!$A$25)</f>
        <v/>
      </c>
      <c r="D185" s="126" t="str">
        <f t="shared" si="16"/>
        <v/>
      </c>
      <c r="E185" s="126">
        <f t="shared" si="17"/>
        <v>0</v>
      </c>
      <c r="F185" s="126" t="str">
        <f t="shared" si="18"/>
        <v/>
      </c>
      <c r="G185" s="126" t="str">
        <f>IF(C185="","",'Datos Generales'!$D$19)</f>
        <v/>
      </c>
      <c r="H185" s="21" t="str">
        <f>IF(C185="","",'Datos Generales'!$A$19)</f>
        <v/>
      </c>
      <c r="I185" s="126" t="str">
        <f>IF(C185="","",'Datos Generales'!$A$7)</f>
        <v/>
      </c>
      <c r="J185" s="21" t="str">
        <f>IF(C185="","",'Datos Generales'!$A$13)</f>
        <v/>
      </c>
      <c r="K185" s="21" t="str">
        <f>IF(C185="","",'Datos Generales'!$A$10)</f>
        <v/>
      </c>
      <c r="CS185" s="142" t="str">
        <f t="shared" si="19"/>
        <v/>
      </c>
      <c r="CT185" s="142" t="str">
        <f t="shared" si="20"/>
        <v/>
      </c>
      <c r="CU185" s="142" t="str">
        <f t="shared" si="21"/>
        <v/>
      </c>
      <c r="CV185" s="142" t="str">
        <f t="shared" si="22"/>
        <v/>
      </c>
      <c r="CW185" s="142" t="str">
        <f>IF(C185="","",IF('Datos Generales'!$A$19=1,AVERAGE(FP185:GD185),AVERAGE(Captura!FP185:FY185)))</f>
        <v/>
      </c>
      <c r="CX185" s="138" t="e">
        <f>IF(VLOOKUP(CONCATENATE($H$4,$F$4,CX$2),Español!$A:$H,7,FALSE)=L185,1,0)</f>
        <v>#N/A</v>
      </c>
      <c r="CY185" s="138" t="e">
        <f>IF(VLOOKUP(CONCATENATE(H185,F185,CY$2),Español!$A:$H,7,FALSE)=M185,1,0)</f>
        <v>#N/A</v>
      </c>
      <c r="CZ185" s="138" t="e">
        <f>IF(VLOOKUP(CONCATENATE(H185,F185,CZ$2),Español!$A:$H,7,FALSE)=N185,1,0)</f>
        <v>#N/A</v>
      </c>
      <c r="DA185" s="138" t="e">
        <f>IF(VLOOKUP(CONCATENATE(H185,F185,DA$2),Español!$A:$H,7,FALSE)=O185,1,0)</f>
        <v>#N/A</v>
      </c>
      <c r="DB185" s="138" t="e">
        <f>IF(VLOOKUP(CONCATENATE(H185,F185,DB$2),Español!$A:$H,7,FALSE)=P185,1,0)</f>
        <v>#N/A</v>
      </c>
      <c r="DC185" s="138" t="e">
        <f>IF(VLOOKUP(CONCATENATE(H185,F185,DC$2),Español!$A:$H,7,FALSE)=Q185,1,0)</f>
        <v>#N/A</v>
      </c>
      <c r="DD185" s="138" t="e">
        <f>IF(VLOOKUP(CONCATENATE(H185,F185,DD$2),Español!$A:$H,7,FALSE)=R185,1,0)</f>
        <v>#N/A</v>
      </c>
      <c r="DE185" s="138" t="e">
        <f>IF(VLOOKUP(CONCATENATE(H185,F185,DE$2),Español!$A:$H,7,FALSE)=S185,1,0)</f>
        <v>#N/A</v>
      </c>
      <c r="DF185" s="138" t="e">
        <f>IF(VLOOKUP(CONCATENATE(H185,F185,DF$2),Español!$A:$H,7,FALSE)=T185,1,0)</f>
        <v>#N/A</v>
      </c>
      <c r="DG185" s="138" t="e">
        <f>IF(VLOOKUP(CONCATENATE(H185,F185,DG$2),Español!$A:$H,7,FALSE)=U185,1,0)</f>
        <v>#N/A</v>
      </c>
      <c r="DH185" s="138" t="e">
        <f>IF(VLOOKUP(CONCATENATE(H185,F185,DH$2),Español!$A:$H,7,FALSE)=V185,1,0)</f>
        <v>#N/A</v>
      </c>
      <c r="DI185" s="138" t="e">
        <f>IF(VLOOKUP(CONCATENATE(H185,F185,DI$2),Español!$A:$H,7,FALSE)=W185,1,0)</f>
        <v>#N/A</v>
      </c>
      <c r="DJ185" s="138" t="e">
        <f>IF(VLOOKUP(CONCATENATE(H185,F185,DJ$2),Español!$A:$H,7,FALSE)=X185,1,0)</f>
        <v>#N/A</v>
      </c>
      <c r="DK185" s="138" t="e">
        <f>IF(VLOOKUP(CONCATENATE(H185,F185,DK$2),Español!$A:$H,7,FALSE)=Y185,1,0)</f>
        <v>#N/A</v>
      </c>
      <c r="DL185" s="138" t="e">
        <f>IF(VLOOKUP(CONCATENATE(H185,F185,DL$2),Español!$A:$H,7,FALSE)=Z185,1,0)</f>
        <v>#N/A</v>
      </c>
      <c r="DM185" s="138" t="e">
        <f>IF(VLOOKUP(CONCATENATE(H185,F185,DM$2),Español!$A:$H,7,FALSE)=AA185,1,0)</f>
        <v>#N/A</v>
      </c>
      <c r="DN185" s="138" t="e">
        <f>IF(VLOOKUP(CONCATENATE(H185,F185,DN$2),Español!$A:$H,7,FALSE)=AB185,1,0)</f>
        <v>#N/A</v>
      </c>
      <c r="DO185" s="138" t="e">
        <f>IF(VLOOKUP(CONCATENATE(H185,F185,DO$2),Español!$A:$H,7,FALSE)=AC185,1,0)</f>
        <v>#N/A</v>
      </c>
      <c r="DP185" s="138" t="e">
        <f>IF(VLOOKUP(CONCATENATE(H185,F185,DP$2),Español!$A:$H,7,FALSE)=AD185,1,0)</f>
        <v>#N/A</v>
      </c>
      <c r="DQ185" s="138" t="e">
        <f>IF(VLOOKUP(CONCATENATE(H185,F185,DQ$2),Español!$A:$H,7,FALSE)=AE185,1,0)</f>
        <v>#N/A</v>
      </c>
      <c r="DR185" s="138" t="e">
        <f>IF(VLOOKUP(CONCATENATE(H185,F185,DR$2),Inglés!$A:$H,7,FALSE)=AF185,1,0)</f>
        <v>#N/A</v>
      </c>
      <c r="DS185" s="138" t="e">
        <f>IF(VLOOKUP(CONCATENATE(H185,F185,DS$2),Inglés!$A:$H,7,FALSE)=AG185,1,0)</f>
        <v>#N/A</v>
      </c>
      <c r="DT185" s="138" t="e">
        <f>IF(VLOOKUP(CONCATENATE(H185,F185,DT$2),Inglés!$A:$H,7,FALSE)=AH185,1,0)</f>
        <v>#N/A</v>
      </c>
      <c r="DU185" s="138" t="e">
        <f>IF(VLOOKUP(CONCATENATE(H185,F185,DU$2),Inglés!$A:$H,7,FALSE)=AI185,1,0)</f>
        <v>#N/A</v>
      </c>
      <c r="DV185" s="138" t="e">
        <f>IF(VLOOKUP(CONCATENATE(H185,F185,DV$2),Inglés!$A:$H,7,FALSE)=AJ185,1,0)</f>
        <v>#N/A</v>
      </c>
      <c r="DW185" s="138" t="e">
        <f>IF(VLOOKUP(CONCATENATE(H185,F185,DW$2),Inglés!$A:$H,7,FALSE)=AK185,1,0)</f>
        <v>#N/A</v>
      </c>
      <c r="DX185" s="138" t="e">
        <f>IF(VLOOKUP(CONCATENATE(H185,F185,DX$2),Inglés!$A:$H,7,FALSE)=AL185,1,0)</f>
        <v>#N/A</v>
      </c>
      <c r="DY185" s="138" t="e">
        <f>IF(VLOOKUP(CONCATENATE(H185,F185,DY$2),Inglés!$A:$H,7,FALSE)=AM185,1,0)</f>
        <v>#N/A</v>
      </c>
      <c r="DZ185" s="138" t="e">
        <f>IF(VLOOKUP(CONCATENATE(H185,F185,DZ$2),Inglés!$A:$H,7,FALSE)=AN185,1,0)</f>
        <v>#N/A</v>
      </c>
      <c r="EA185" s="138" t="e">
        <f>IF(VLOOKUP(CONCATENATE(H185,F185,EA$2),Inglés!$A:$H,7,FALSE)=AO185,1,0)</f>
        <v>#N/A</v>
      </c>
      <c r="EB185" s="138" t="e">
        <f>IF(VLOOKUP(CONCATENATE(H185,F185,EB$2),Matemáticas!$A:$H,7,FALSE)=AP185,1,0)</f>
        <v>#N/A</v>
      </c>
      <c r="EC185" s="138" t="e">
        <f>IF(VLOOKUP(CONCATENATE(H185,F185,EC$2),Matemáticas!$A:$H,7,FALSE)=AQ185,1,0)</f>
        <v>#N/A</v>
      </c>
      <c r="ED185" s="138" t="e">
        <f>IF(VLOOKUP(CONCATENATE(H185,F185,ED$2),Matemáticas!$A:$H,7,FALSE)=AR185,1,0)</f>
        <v>#N/A</v>
      </c>
      <c r="EE185" s="138" t="e">
        <f>IF(VLOOKUP(CONCATENATE(H185,F185,EE$2),Matemáticas!$A:$H,7,FALSE)=AS185,1,0)</f>
        <v>#N/A</v>
      </c>
      <c r="EF185" s="138" t="e">
        <f>IF(VLOOKUP(CONCATENATE(H185,F185,EF$2),Matemáticas!$A:$H,7,FALSE)=AT185,1,0)</f>
        <v>#N/A</v>
      </c>
      <c r="EG185" s="138" t="e">
        <f>IF(VLOOKUP(CONCATENATE(H185,F185,EG$2),Matemáticas!$A:$H,7,FALSE)=AU185,1,0)</f>
        <v>#N/A</v>
      </c>
      <c r="EH185" s="138" t="e">
        <f>IF(VLOOKUP(CONCATENATE(H185,F185,EH$2),Matemáticas!$A:$H,7,FALSE)=AV185,1,0)</f>
        <v>#N/A</v>
      </c>
      <c r="EI185" s="138" t="e">
        <f>IF(VLOOKUP(CONCATENATE(H185,F185,EI$2),Matemáticas!$A:$H,7,FALSE)=AW185,1,0)</f>
        <v>#N/A</v>
      </c>
      <c r="EJ185" s="138" t="e">
        <f>IF(VLOOKUP(CONCATENATE(H185,F185,EJ$2),Matemáticas!$A:$H,7,FALSE)=AX185,1,0)</f>
        <v>#N/A</v>
      </c>
      <c r="EK185" s="138" t="e">
        <f>IF(VLOOKUP(CONCATENATE(H185,F185,EK$2),Matemáticas!$A:$H,7,FALSE)=AY185,1,0)</f>
        <v>#N/A</v>
      </c>
      <c r="EL185" s="138" t="e">
        <f>IF(VLOOKUP(CONCATENATE(H185,F185,EL$2),Matemáticas!$A:$H,7,FALSE)=AZ185,1,0)</f>
        <v>#N/A</v>
      </c>
      <c r="EM185" s="138" t="e">
        <f>IF(VLOOKUP(CONCATENATE(H185,F185,EM$2),Matemáticas!$A:$H,7,FALSE)=BA185,1,0)</f>
        <v>#N/A</v>
      </c>
      <c r="EN185" s="138" t="e">
        <f>IF(VLOOKUP(CONCATENATE(H185,F185,EN$2),Matemáticas!$A:$H,7,FALSE)=BB185,1,0)</f>
        <v>#N/A</v>
      </c>
      <c r="EO185" s="138" t="e">
        <f>IF(VLOOKUP(CONCATENATE(H185,F185,EO$2),Matemáticas!$A:$H,7,FALSE)=BC185,1,0)</f>
        <v>#N/A</v>
      </c>
      <c r="EP185" s="138" t="e">
        <f>IF(VLOOKUP(CONCATENATE(H185,F185,EP$2),Matemáticas!$A:$H,7,FALSE)=BD185,1,0)</f>
        <v>#N/A</v>
      </c>
      <c r="EQ185" s="138" t="e">
        <f>IF(VLOOKUP(CONCATENATE(H185,F185,EQ$2),Matemáticas!$A:$H,7,FALSE)=BE185,1,0)</f>
        <v>#N/A</v>
      </c>
      <c r="ER185" s="138" t="e">
        <f>IF(VLOOKUP(CONCATENATE(H185,F185,ER$2),Matemáticas!$A:$H,7,FALSE)=BF185,1,0)</f>
        <v>#N/A</v>
      </c>
      <c r="ES185" s="138" t="e">
        <f>IF(VLOOKUP(CONCATENATE(H185,F185,ES$2),Matemáticas!$A:$H,7,FALSE)=BG185,1,0)</f>
        <v>#N/A</v>
      </c>
      <c r="ET185" s="138" t="e">
        <f>IF(VLOOKUP(CONCATENATE(H185,F185,ET$2),Matemáticas!$A:$H,7,FALSE)=BH185,1,0)</f>
        <v>#N/A</v>
      </c>
      <c r="EU185" s="138" t="e">
        <f>IF(VLOOKUP(CONCATENATE(H185,F185,EU$2),Matemáticas!$A:$H,7,FALSE)=BI185,1,0)</f>
        <v>#N/A</v>
      </c>
      <c r="EV185" s="138" t="e">
        <f>IF(VLOOKUP(CONCATENATE(H185,F185,EV$2),Ciencias!$A:$H,7,FALSE)=BJ185,1,0)</f>
        <v>#N/A</v>
      </c>
      <c r="EW185" s="138" t="e">
        <f>IF(VLOOKUP(CONCATENATE(H185,F185,EW$2),Ciencias!$A:$H,7,FALSE)=BK185,1,0)</f>
        <v>#N/A</v>
      </c>
      <c r="EX185" s="138" t="e">
        <f>IF(VLOOKUP(CONCATENATE(H185,F185,EX$2),Ciencias!$A:$H,7,FALSE)=BL185,1,0)</f>
        <v>#N/A</v>
      </c>
      <c r="EY185" s="138" t="e">
        <f>IF(VLOOKUP(CONCATENATE(H185,F185,EY$2),Ciencias!$A:$H,7,FALSE)=BM185,1,0)</f>
        <v>#N/A</v>
      </c>
      <c r="EZ185" s="138" t="e">
        <f>IF(VLOOKUP(CONCATENATE(H185,F185,EZ$2),Ciencias!$A:$H,7,FALSE)=BN185,1,0)</f>
        <v>#N/A</v>
      </c>
      <c r="FA185" s="138" t="e">
        <f>IF(VLOOKUP(CONCATENATE(H185,F185,FA$2),Ciencias!$A:$H,7,FALSE)=BO185,1,0)</f>
        <v>#N/A</v>
      </c>
      <c r="FB185" s="138" t="e">
        <f>IF(VLOOKUP(CONCATENATE(H185,F185,FB$2),Ciencias!$A:$H,7,FALSE)=BP185,1,0)</f>
        <v>#N/A</v>
      </c>
      <c r="FC185" s="138" t="e">
        <f>IF(VLOOKUP(CONCATENATE(H185,F185,FC$2),Ciencias!$A:$H,7,FALSE)=BQ185,1,0)</f>
        <v>#N/A</v>
      </c>
      <c r="FD185" s="138" t="e">
        <f>IF(VLOOKUP(CONCATENATE(H185,F185,FD$2),Ciencias!$A:$H,7,FALSE)=BR185,1,0)</f>
        <v>#N/A</v>
      </c>
      <c r="FE185" s="138" t="e">
        <f>IF(VLOOKUP(CONCATENATE(H185,F185,FE$2),Ciencias!$A:$H,7,FALSE)=BS185,1,0)</f>
        <v>#N/A</v>
      </c>
      <c r="FF185" s="138" t="e">
        <f>IF(VLOOKUP(CONCATENATE(H185,F185,FF$2),Ciencias!$A:$H,7,FALSE)=BT185,1,0)</f>
        <v>#N/A</v>
      </c>
      <c r="FG185" s="138" t="e">
        <f>IF(VLOOKUP(CONCATENATE(H185,F185,FG$2),Ciencias!$A:$H,7,FALSE)=BU185,1,0)</f>
        <v>#N/A</v>
      </c>
      <c r="FH185" s="138" t="e">
        <f>IF(VLOOKUP(CONCATENATE(H185,F185,FH$2),Ciencias!$A:$H,7,FALSE)=BV185,1,0)</f>
        <v>#N/A</v>
      </c>
      <c r="FI185" s="138" t="e">
        <f>IF(VLOOKUP(CONCATENATE(H185,F185,FI$2),Ciencias!$A:$H,7,FALSE)=BW185,1,0)</f>
        <v>#N/A</v>
      </c>
      <c r="FJ185" s="138" t="e">
        <f>IF(VLOOKUP(CONCATENATE(H185,F185,FJ$2),Ciencias!$A:$H,7,FALSE)=BX185,1,0)</f>
        <v>#N/A</v>
      </c>
      <c r="FK185" s="138" t="e">
        <f>IF(VLOOKUP(CONCATENATE(H185,F185,FK$2),Ciencias!$A:$H,7,FALSE)=BY185,1,0)</f>
        <v>#N/A</v>
      </c>
      <c r="FL185" s="138" t="e">
        <f>IF(VLOOKUP(CONCATENATE(H185,F185,FL$2),Ciencias!$A:$H,7,FALSE)=BZ185,1,0)</f>
        <v>#N/A</v>
      </c>
      <c r="FM185" s="138" t="e">
        <f>IF(VLOOKUP(CONCATENATE(H185,F185,FM$2),Ciencias!$A:$H,7,FALSE)=CA185,1,0)</f>
        <v>#N/A</v>
      </c>
      <c r="FN185" s="138" t="e">
        <f>IF(VLOOKUP(CONCATENATE(H185,F185,FN$2),Ciencias!$A:$H,7,FALSE)=CB185,1,0)</f>
        <v>#N/A</v>
      </c>
      <c r="FO185" s="138" t="e">
        <f>IF(VLOOKUP(CONCATENATE(H185,F185,FO$2),Ciencias!$A:$H,7,FALSE)=CC185,1,0)</f>
        <v>#N/A</v>
      </c>
      <c r="FP185" s="138" t="e">
        <f>IF(VLOOKUP(CONCATENATE(H185,F185,FP$2),GeoHis!$A:$H,7,FALSE)=CD185,1,0)</f>
        <v>#N/A</v>
      </c>
      <c r="FQ185" s="138" t="e">
        <f>IF(VLOOKUP(CONCATENATE(H185,F185,FQ$2),GeoHis!$A:$H,7,FALSE)=CE185,1,0)</f>
        <v>#N/A</v>
      </c>
      <c r="FR185" s="138" t="e">
        <f>IF(VLOOKUP(CONCATENATE(H185,F185,FR$2),GeoHis!$A:$H,7,FALSE)=CF185,1,0)</f>
        <v>#N/A</v>
      </c>
      <c r="FS185" s="138" t="e">
        <f>IF(VLOOKUP(CONCATENATE(H185,F185,FS$2),GeoHis!$A:$H,7,FALSE)=CG185,1,0)</f>
        <v>#N/A</v>
      </c>
      <c r="FT185" s="138" t="e">
        <f>IF(VLOOKUP(CONCATENATE(H185,F185,FT$2),GeoHis!$A:$H,7,FALSE)=CH185,1,0)</f>
        <v>#N/A</v>
      </c>
      <c r="FU185" s="138" t="e">
        <f>IF(VLOOKUP(CONCATENATE(H185,F185,FU$2),GeoHis!$A:$H,7,FALSE)=CI185,1,0)</f>
        <v>#N/A</v>
      </c>
      <c r="FV185" s="138" t="e">
        <f>IF(VLOOKUP(CONCATENATE(H185,F185,FV$2),GeoHis!$A:$H,7,FALSE)=CJ185,1,0)</f>
        <v>#N/A</v>
      </c>
      <c r="FW185" s="138" t="e">
        <f>IF(VLOOKUP(CONCATENATE(H185,F185,FW$2),GeoHis!$A:$H,7,FALSE)=CK185,1,0)</f>
        <v>#N/A</v>
      </c>
      <c r="FX185" s="138" t="e">
        <f>IF(VLOOKUP(CONCATENATE(H185,F185,FX$2),GeoHis!$A:$H,7,FALSE)=CL185,1,0)</f>
        <v>#N/A</v>
      </c>
      <c r="FY185" s="138" t="e">
        <f>IF(VLOOKUP(CONCATENATE(H185,F185,FY$2),GeoHis!$A:$H,7,FALSE)=CM185,1,0)</f>
        <v>#N/A</v>
      </c>
      <c r="FZ185" s="138" t="e">
        <f>IF(VLOOKUP(CONCATENATE(H185,F185,FZ$2),GeoHis!$A:$H,7,FALSE)=CN185,1,0)</f>
        <v>#N/A</v>
      </c>
      <c r="GA185" s="138" t="e">
        <f>IF(VLOOKUP(CONCATENATE(H185,F185,GA$2),GeoHis!$A:$H,7,FALSE)=CO185,1,0)</f>
        <v>#N/A</v>
      </c>
      <c r="GB185" s="138" t="e">
        <f>IF(VLOOKUP(CONCATENATE(H185,F185,GB$2),GeoHis!$A:$H,7,FALSE)=CP185,1,0)</f>
        <v>#N/A</v>
      </c>
      <c r="GC185" s="138" t="e">
        <f>IF(VLOOKUP(CONCATENATE(H185,F185,GC$2),GeoHis!$A:$H,7,FALSE)=CQ185,1,0)</f>
        <v>#N/A</v>
      </c>
      <c r="GD185" s="138" t="e">
        <f>IF(VLOOKUP(CONCATENATE(H185,F185,GD$2),GeoHis!$A:$H,7,FALSE)=CR185,1,0)</f>
        <v>#N/A</v>
      </c>
      <c r="GE185" s="135" t="str">
        <f t="shared" si="23"/>
        <v/>
      </c>
    </row>
    <row r="186" spans="1:187" x14ac:dyDescent="0.25">
      <c r="A186" s="127" t="str">
        <f>IF(C186="","",'Datos Generales'!$A$25)</f>
        <v/>
      </c>
      <c r="D186" s="126" t="str">
        <f t="shared" si="16"/>
        <v/>
      </c>
      <c r="E186" s="126">
        <f t="shared" si="17"/>
        <v>0</v>
      </c>
      <c r="F186" s="126" t="str">
        <f t="shared" si="18"/>
        <v/>
      </c>
      <c r="G186" s="126" t="str">
        <f>IF(C186="","",'Datos Generales'!$D$19)</f>
        <v/>
      </c>
      <c r="H186" s="21" t="str">
        <f>IF(C186="","",'Datos Generales'!$A$19)</f>
        <v/>
      </c>
      <c r="I186" s="126" t="str">
        <f>IF(C186="","",'Datos Generales'!$A$7)</f>
        <v/>
      </c>
      <c r="J186" s="21" t="str">
        <f>IF(C186="","",'Datos Generales'!$A$13)</f>
        <v/>
      </c>
      <c r="K186" s="21" t="str">
        <f>IF(C186="","",'Datos Generales'!$A$10)</f>
        <v/>
      </c>
      <c r="CS186" s="142" t="str">
        <f t="shared" si="19"/>
        <v/>
      </c>
      <c r="CT186" s="142" t="str">
        <f t="shared" si="20"/>
        <v/>
      </c>
      <c r="CU186" s="142" t="str">
        <f t="shared" si="21"/>
        <v/>
      </c>
      <c r="CV186" s="142" t="str">
        <f t="shared" si="22"/>
        <v/>
      </c>
      <c r="CW186" s="142" t="str">
        <f>IF(C186="","",IF('Datos Generales'!$A$19=1,AVERAGE(FP186:GD186),AVERAGE(Captura!FP186:FY186)))</f>
        <v/>
      </c>
      <c r="CX186" s="138" t="e">
        <f>IF(VLOOKUP(CONCATENATE($H$4,$F$4,CX$2),Español!$A:$H,7,FALSE)=L186,1,0)</f>
        <v>#N/A</v>
      </c>
      <c r="CY186" s="138" t="e">
        <f>IF(VLOOKUP(CONCATENATE(H186,F186,CY$2),Español!$A:$H,7,FALSE)=M186,1,0)</f>
        <v>#N/A</v>
      </c>
      <c r="CZ186" s="138" t="e">
        <f>IF(VLOOKUP(CONCATENATE(H186,F186,CZ$2),Español!$A:$H,7,FALSE)=N186,1,0)</f>
        <v>#N/A</v>
      </c>
      <c r="DA186" s="138" t="e">
        <f>IF(VLOOKUP(CONCATENATE(H186,F186,DA$2),Español!$A:$H,7,FALSE)=O186,1,0)</f>
        <v>#N/A</v>
      </c>
      <c r="DB186" s="138" t="e">
        <f>IF(VLOOKUP(CONCATENATE(H186,F186,DB$2),Español!$A:$H,7,FALSE)=P186,1,0)</f>
        <v>#N/A</v>
      </c>
      <c r="DC186" s="138" t="e">
        <f>IF(VLOOKUP(CONCATENATE(H186,F186,DC$2),Español!$A:$H,7,FALSE)=Q186,1,0)</f>
        <v>#N/A</v>
      </c>
      <c r="DD186" s="138" t="e">
        <f>IF(VLOOKUP(CONCATENATE(H186,F186,DD$2),Español!$A:$H,7,FALSE)=R186,1,0)</f>
        <v>#N/A</v>
      </c>
      <c r="DE186" s="138" t="e">
        <f>IF(VLOOKUP(CONCATENATE(H186,F186,DE$2),Español!$A:$H,7,FALSE)=S186,1,0)</f>
        <v>#N/A</v>
      </c>
      <c r="DF186" s="138" t="e">
        <f>IF(VLOOKUP(CONCATENATE(H186,F186,DF$2),Español!$A:$H,7,FALSE)=T186,1,0)</f>
        <v>#N/A</v>
      </c>
      <c r="DG186" s="138" t="e">
        <f>IF(VLOOKUP(CONCATENATE(H186,F186,DG$2),Español!$A:$H,7,FALSE)=U186,1,0)</f>
        <v>#N/A</v>
      </c>
      <c r="DH186" s="138" t="e">
        <f>IF(VLOOKUP(CONCATENATE(H186,F186,DH$2),Español!$A:$H,7,FALSE)=V186,1,0)</f>
        <v>#N/A</v>
      </c>
      <c r="DI186" s="138" t="e">
        <f>IF(VLOOKUP(CONCATENATE(H186,F186,DI$2),Español!$A:$H,7,FALSE)=W186,1,0)</f>
        <v>#N/A</v>
      </c>
      <c r="DJ186" s="138" t="e">
        <f>IF(VLOOKUP(CONCATENATE(H186,F186,DJ$2),Español!$A:$H,7,FALSE)=X186,1,0)</f>
        <v>#N/A</v>
      </c>
      <c r="DK186" s="138" t="e">
        <f>IF(VLOOKUP(CONCATENATE(H186,F186,DK$2),Español!$A:$H,7,FALSE)=Y186,1,0)</f>
        <v>#N/A</v>
      </c>
      <c r="DL186" s="138" t="e">
        <f>IF(VLOOKUP(CONCATENATE(H186,F186,DL$2),Español!$A:$H,7,FALSE)=Z186,1,0)</f>
        <v>#N/A</v>
      </c>
      <c r="DM186" s="138" t="e">
        <f>IF(VLOOKUP(CONCATENATE(H186,F186,DM$2),Español!$A:$H,7,FALSE)=AA186,1,0)</f>
        <v>#N/A</v>
      </c>
      <c r="DN186" s="138" t="e">
        <f>IF(VLOOKUP(CONCATENATE(H186,F186,DN$2),Español!$A:$H,7,FALSE)=AB186,1,0)</f>
        <v>#N/A</v>
      </c>
      <c r="DO186" s="138" t="e">
        <f>IF(VLOOKUP(CONCATENATE(H186,F186,DO$2),Español!$A:$H,7,FALSE)=AC186,1,0)</f>
        <v>#N/A</v>
      </c>
      <c r="DP186" s="138" t="e">
        <f>IF(VLOOKUP(CONCATENATE(H186,F186,DP$2),Español!$A:$H,7,FALSE)=AD186,1,0)</f>
        <v>#N/A</v>
      </c>
      <c r="DQ186" s="138" t="e">
        <f>IF(VLOOKUP(CONCATENATE(H186,F186,DQ$2),Español!$A:$H,7,FALSE)=AE186,1,0)</f>
        <v>#N/A</v>
      </c>
      <c r="DR186" s="138" t="e">
        <f>IF(VLOOKUP(CONCATENATE(H186,F186,DR$2),Inglés!$A:$H,7,FALSE)=AF186,1,0)</f>
        <v>#N/A</v>
      </c>
      <c r="DS186" s="138" t="e">
        <f>IF(VLOOKUP(CONCATENATE(H186,F186,DS$2),Inglés!$A:$H,7,FALSE)=AG186,1,0)</f>
        <v>#N/A</v>
      </c>
      <c r="DT186" s="138" t="e">
        <f>IF(VLOOKUP(CONCATENATE(H186,F186,DT$2),Inglés!$A:$H,7,FALSE)=AH186,1,0)</f>
        <v>#N/A</v>
      </c>
      <c r="DU186" s="138" t="e">
        <f>IF(VLOOKUP(CONCATENATE(H186,F186,DU$2),Inglés!$A:$H,7,FALSE)=AI186,1,0)</f>
        <v>#N/A</v>
      </c>
      <c r="DV186" s="138" t="e">
        <f>IF(VLOOKUP(CONCATENATE(H186,F186,DV$2),Inglés!$A:$H,7,FALSE)=AJ186,1,0)</f>
        <v>#N/A</v>
      </c>
      <c r="DW186" s="138" t="e">
        <f>IF(VLOOKUP(CONCATENATE(H186,F186,DW$2),Inglés!$A:$H,7,FALSE)=AK186,1,0)</f>
        <v>#N/A</v>
      </c>
      <c r="DX186" s="138" t="e">
        <f>IF(VLOOKUP(CONCATENATE(H186,F186,DX$2),Inglés!$A:$H,7,FALSE)=AL186,1,0)</f>
        <v>#N/A</v>
      </c>
      <c r="DY186" s="138" t="e">
        <f>IF(VLOOKUP(CONCATENATE(H186,F186,DY$2),Inglés!$A:$H,7,FALSE)=AM186,1,0)</f>
        <v>#N/A</v>
      </c>
      <c r="DZ186" s="138" t="e">
        <f>IF(VLOOKUP(CONCATENATE(H186,F186,DZ$2),Inglés!$A:$H,7,FALSE)=AN186,1,0)</f>
        <v>#N/A</v>
      </c>
      <c r="EA186" s="138" t="e">
        <f>IF(VLOOKUP(CONCATENATE(H186,F186,EA$2),Inglés!$A:$H,7,FALSE)=AO186,1,0)</f>
        <v>#N/A</v>
      </c>
      <c r="EB186" s="138" t="e">
        <f>IF(VLOOKUP(CONCATENATE(H186,F186,EB$2),Matemáticas!$A:$H,7,FALSE)=AP186,1,0)</f>
        <v>#N/A</v>
      </c>
      <c r="EC186" s="138" t="e">
        <f>IF(VLOOKUP(CONCATENATE(H186,F186,EC$2),Matemáticas!$A:$H,7,FALSE)=AQ186,1,0)</f>
        <v>#N/A</v>
      </c>
      <c r="ED186" s="138" t="e">
        <f>IF(VLOOKUP(CONCATENATE(H186,F186,ED$2),Matemáticas!$A:$H,7,FALSE)=AR186,1,0)</f>
        <v>#N/A</v>
      </c>
      <c r="EE186" s="138" t="e">
        <f>IF(VLOOKUP(CONCATENATE(H186,F186,EE$2),Matemáticas!$A:$H,7,FALSE)=AS186,1,0)</f>
        <v>#N/A</v>
      </c>
      <c r="EF186" s="138" t="e">
        <f>IF(VLOOKUP(CONCATENATE(H186,F186,EF$2),Matemáticas!$A:$H,7,FALSE)=AT186,1,0)</f>
        <v>#N/A</v>
      </c>
      <c r="EG186" s="138" t="e">
        <f>IF(VLOOKUP(CONCATENATE(H186,F186,EG$2),Matemáticas!$A:$H,7,FALSE)=AU186,1,0)</f>
        <v>#N/A</v>
      </c>
      <c r="EH186" s="138" t="e">
        <f>IF(VLOOKUP(CONCATENATE(H186,F186,EH$2),Matemáticas!$A:$H,7,FALSE)=AV186,1,0)</f>
        <v>#N/A</v>
      </c>
      <c r="EI186" s="138" t="e">
        <f>IF(VLOOKUP(CONCATENATE(H186,F186,EI$2),Matemáticas!$A:$H,7,FALSE)=AW186,1,0)</f>
        <v>#N/A</v>
      </c>
      <c r="EJ186" s="138" t="e">
        <f>IF(VLOOKUP(CONCATENATE(H186,F186,EJ$2),Matemáticas!$A:$H,7,FALSE)=AX186,1,0)</f>
        <v>#N/A</v>
      </c>
      <c r="EK186" s="138" t="e">
        <f>IF(VLOOKUP(CONCATENATE(H186,F186,EK$2),Matemáticas!$A:$H,7,FALSE)=AY186,1,0)</f>
        <v>#N/A</v>
      </c>
      <c r="EL186" s="138" t="e">
        <f>IF(VLOOKUP(CONCATENATE(H186,F186,EL$2),Matemáticas!$A:$H,7,FALSE)=AZ186,1,0)</f>
        <v>#N/A</v>
      </c>
      <c r="EM186" s="138" t="e">
        <f>IF(VLOOKUP(CONCATENATE(H186,F186,EM$2),Matemáticas!$A:$H,7,FALSE)=BA186,1,0)</f>
        <v>#N/A</v>
      </c>
      <c r="EN186" s="138" t="e">
        <f>IF(VLOOKUP(CONCATENATE(H186,F186,EN$2),Matemáticas!$A:$H,7,FALSE)=BB186,1,0)</f>
        <v>#N/A</v>
      </c>
      <c r="EO186" s="138" t="e">
        <f>IF(VLOOKUP(CONCATENATE(H186,F186,EO$2),Matemáticas!$A:$H,7,FALSE)=BC186,1,0)</f>
        <v>#N/A</v>
      </c>
      <c r="EP186" s="138" t="e">
        <f>IF(VLOOKUP(CONCATENATE(H186,F186,EP$2),Matemáticas!$A:$H,7,FALSE)=BD186,1,0)</f>
        <v>#N/A</v>
      </c>
      <c r="EQ186" s="138" t="e">
        <f>IF(VLOOKUP(CONCATENATE(H186,F186,EQ$2),Matemáticas!$A:$H,7,FALSE)=BE186,1,0)</f>
        <v>#N/A</v>
      </c>
      <c r="ER186" s="138" t="e">
        <f>IF(VLOOKUP(CONCATENATE(H186,F186,ER$2),Matemáticas!$A:$H,7,FALSE)=BF186,1,0)</f>
        <v>#N/A</v>
      </c>
      <c r="ES186" s="138" t="e">
        <f>IF(VLOOKUP(CONCATENATE(H186,F186,ES$2),Matemáticas!$A:$H,7,FALSE)=BG186,1,0)</f>
        <v>#N/A</v>
      </c>
      <c r="ET186" s="138" t="e">
        <f>IF(VLOOKUP(CONCATENATE(H186,F186,ET$2),Matemáticas!$A:$H,7,FALSE)=BH186,1,0)</f>
        <v>#N/A</v>
      </c>
      <c r="EU186" s="138" t="e">
        <f>IF(VLOOKUP(CONCATENATE(H186,F186,EU$2),Matemáticas!$A:$H,7,FALSE)=BI186,1,0)</f>
        <v>#N/A</v>
      </c>
      <c r="EV186" s="138" t="e">
        <f>IF(VLOOKUP(CONCATENATE(H186,F186,EV$2),Ciencias!$A:$H,7,FALSE)=BJ186,1,0)</f>
        <v>#N/A</v>
      </c>
      <c r="EW186" s="138" t="e">
        <f>IF(VLOOKUP(CONCATENATE(H186,F186,EW$2),Ciencias!$A:$H,7,FALSE)=BK186,1,0)</f>
        <v>#N/A</v>
      </c>
      <c r="EX186" s="138" t="e">
        <f>IF(VLOOKUP(CONCATENATE(H186,F186,EX$2),Ciencias!$A:$H,7,FALSE)=BL186,1,0)</f>
        <v>#N/A</v>
      </c>
      <c r="EY186" s="138" t="e">
        <f>IF(VLOOKUP(CONCATENATE(H186,F186,EY$2),Ciencias!$A:$H,7,FALSE)=BM186,1,0)</f>
        <v>#N/A</v>
      </c>
      <c r="EZ186" s="138" t="e">
        <f>IF(VLOOKUP(CONCATENATE(H186,F186,EZ$2),Ciencias!$A:$H,7,FALSE)=BN186,1,0)</f>
        <v>#N/A</v>
      </c>
      <c r="FA186" s="138" t="e">
        <f>IF(VLOOKUP(CONCATENATE(H186,F186,FA$2),Ciencias!$A:$H,7,FALSE)=BO186,1,0)</f>
        <v>#N/A</v>
      </c>
      <c r="FB186" s="138" t="e">
        <f>IF(VLOOKUP(CONCATENATE(H186,F186,FB$2),Ciencias!$A:$H,7,FALSE)=BP186,1,0)</f>
        <v>#N/A</v>
      </c>
      <c r="FC186" s="138" t="e">
        <f>IF(VLOOKUP(CONCATENATE(H186,F186,FC$2),Ciencias!$A:$H,7,FALSE)=BQ186,1,0)</f>
        <v>#N/A</v>
      </c>
      <c r="FD186" s="138" t="e">
        <f>IF(VLOOKUP(CONCATENATE(H186,F186,FD$2),Ciencias!$A:$H,7,FALSE)=BR186,1,0)</f>
        <v>#N/A</v>
      </c>
      <c r="FE186" s="138" t="e">
        <f>IF(VLOOKUP(CONCATENATE(H186,F186,FE$2),Ciencias!$A:$H,7,FALSE)=BS186,1,0)</f>
        <v>#N/A</v>
      </c>
      <c r="FF186" s="138" t="e">
        <f>IF(VLOOKUP(CONCATENATE(H186,F186,FF$2),Ciencias!$A:$H,7,FALSE)=BT186,1,0)</f>
        <v>#N/A</v>
      </c>
      <c r="FG186" s="138" t="e">
        <f>IF(VLOOKUP(CONCATENATE(H186,F186,FG$2),Ciencias!$A:$H,7,FALSE)=BU186,1,0)</f>
        <v>#N/A</v>
      </c>
      <c r="FH186" s="138" t="e">
        <f>IF(VLOOKUP(CONCATENATE(H186,F186,FH$2),Ciencias!$A:$H,7,FALSE)=BV186,1,0)</f>
        <v>#N/A</v>
      </c>
      <c r="FI186" s="138" t="e">
        <f>IF(VLOOKUP(CONCATENATE(H186,F186,FI$2),Ciencias!$A:$H,7,FALSE)=BW186,1,0)</f>
        <v>#N/A</v>
      </c>
      <c r="FJ186" s="138" t="e">
        <f>IF(VLOOKUP(CONCATENATE(H186,F186,FJ$2),Ciencias!$A:$H,7,FALSE)=BX186,1,0)</f>
        <v>#N/A</v>
      </c>
      <c r="FK186" s="138" t="e">
        <f>IF(VLOOKUP(CONCATENATE(H186,F186,FK$2),Ciencias!$A:$H,7,FALSE)=BY186,1,0)</f>
        <v>#N/A</v>
      </c>
      <c r="FL186" s="138" t="e">
        <f>IF(VLOOKUP(CONCATENATE(H186,F186,FL$2),Ciencias!$A:$H,7,FALSE)=BZ186,1,0)</f>
        <v>#N/A</v>
      </c>
      <c r="FM186" s="138" t="e">
        <f>IF(VLOOKUP(CONCATENATE(H186,F186,FM$2),Ciencias!$A:$H,7,FALSE)=CA186,1,0)</f>
        <v>#N/A</v>
      </c>
      <c r="FN186" s="138" t="e">
        <f>IF(VLOOKUP(CONCATENATE(H186,F186,FN$2),Ciencias!$A:$H,7,FALSE)=CB186,1,0)</f>
        <v>#N/A</v>
      </c>
      <c r="FO186" s="138" t="e">
        <f>IF(VLOOKUP(CONCATENATE(H186,F186,FO$2),Ciencias!$A:$H,7,FALSE)=CC186,1,0)</f>
        <v>#N/A</v>
      </c>
      <c r="FP186" s="138" t="e">
        <f>IF(VLOOKUP(CONCATENATE(H186,F186,FP$2),GeoHis!$A:$H,7,FALSE)=CD186,1,0)</f>
        <v>#N/A</v>
      </c>
      <c r="FQ186" s="138" t="e">
        <f>IF(VLOOKUP(CONCATENATE(H186,F186,FQ$2),GeoHis!$A:$H,7,FALSE)=CE186,1,0)</f>
        <v>#N/A</v>
      </c>
      <c r="FR186" s="138" t="e">
        <f>IF(VLOOKUP(CONCATENATE(H186,F186,FR$2),GeoHis!$A:$H,7,FALSE)=CF186,1,0)</f>
        <v>#N/A</v>
      </c>
      <c r="FS186" s="138" t="e">
        <f>IF(VLOOKUP(CONCATENATE(H186,F186,FS$2),GeoHis!$A:$H,7,FALSE)=CG186,1,0)</f>
        <v>#N/A</v>
      </c>
      <c r="FT186" s="138" t="e">
        <f>IF(VLOOKUP(CONCATENATE(H186,F186,FT$2),GeoHis!$A:$H,7,FALSE)=CH186,1,0)</f>
        <v>#N/A</v>
      </c>
      <c r="FU186" s="138" t="e">
        <f>IF(VLOOKUP(CONCATENATE(H186,F186,FU$2),GeoHis!$A:$H,7,FALSE)=CI186,1,0)</f>
        <v>#N/A</v>
      </c>
      <c r="FV186" s="138" t="e">
        <f>IF(VLOOKUP(CONCATENATE(H186,F186,FV$2),GeoHis!$A:$H,7,FALSE)=CJ186,1,0)</f>
        <v>#N/A</v>
      </c>
      <c r="FW186" s="138" t="e">
        <f>IF(VLOOKUP(CONCATENATE(H186,F186,FW$2),GeoHis!$A:$H,7,FALSE)=CK186,1,0)</f>
        <v>#N/A</v>
      </c>
      <c r="FX186" s="138" t="e">
        <f>IF(VLOOKUP(CONCATENATE(H186,F186,FX$2),GeoHis!$A:$H,7,FALSE)=CL186,1,0)</f>
        <v>#N/A</v>
      </c>
      <c r="FY186" s="138" t="e">
        <f>IF(VLOOKUP(CONCATENATE(H186,F186,FY$2),GeoHis!$A:$H,7,FALSE)=CM186,1,0)</f>
        <v>#N/A</v>
      </c>
      <c r="FZ186" s="138" t="e">
        <f>IF(VLOOKUP(CONCATENATE(H186,F186,FZ$2),GeoHis!$A:$H,7,FALSE)=CN186,1,0)</f>
        <v>#N/A</v>
      </c>
      <c r="GA186" s="138" t="e">
        <f>IF(VLOOKUP(CONCATENATE(H186,F186,GA$2),GeoHis!$A:$H,7,FALSE)=CO186,1,0)</f>
        <v>#N/A</v>
      </c>
      <c r="GB186" s="138" t="e">
        <f>IF(VLOOKUP(CONCATENATE(H186,F186,GB$2),GeoHis!$A:$H,7,FALSE)=CP186,1,0)</f>
        <v>#N/A</v>
      </c>
      <c r="GC186" s="138" t="e">
        <f>IF(VLOOKUP(CONCATENATE(H186,F186,GC$2),GeoHis!$A:$H,7,FALSE)=CQ186,1,0)</f>
        <v>#N/A</v>
      </c>
      <c r="GD186" s="138" t="e">
        <f>IF(VLOOKUP(CONCATENATE(H186,F186,GD$2),GeoHis!$A:$H,7,FALSE)=CR186,1,0)</f>
        <v>#N/A</v>
      </c>
      <c r="GE186" s="135" t="str">
        <f t="shared" si="23"/>
        <v/>
      </c>
    </row>
    <row r="187" spans="1:187" x14ac:dyDescent="0.25">
      <c r="A187" s="127" t="str">
        <f>IF(C187="","",'Datos Generales'!$A$25)</f>
        <v/>
      </c>
      <c r="D187" s="126" t="str">
        <f t="shared" si="16"/>
        <v/>
      </c>
      <c r="E187" s="126">
        <f t="shared" si="17"/>
        <v>0</v>
      </c>
      <c r="F187" s="126" t="str">
        <f t="shared" si="18"/>
        <v/>
      </c>
      <c r="G187" s="126" t="str">
        <f>IF(C187="","",'Datos Generales'!$D$19)</f>
        <v/>
      </c>
      <c r="H187" s="21" t="str">
        <f>IF(C187="","",'Datos Generales'!$A$19)</f>
        <v/>
      </c>
      <c r="I187" s="126" t="str">
        <f>IF(C187="","",'Datos Generales'!$A$7)</f>
        <v/>
      </c>
      <c r="J187" s="21" t="str">
        <f>IF(C187="","",'Datos Generales'!$A$13)</f>
        <v/>
      </c>
      <c r="K187" s="21" t="str">
        <f>IF(C187="","",'Datos Generales'!$A$10)</f>
        <v/>
      </c>
      <c r="CS187" s="142" t="str">
        <f t="shared" si="19"/>
        <v/>
      </c>
      <c r="CT187" s="142" t="str">
        <f t="shared" si="20"/>
        <v/>
      </c>
      <c r="CU187" s="142" t="str">
        <f t="shared" si="21"/>
        <v/>
      </c>
      <c r="CV187" s="142" t="str">
        <f t="shared" si="22"/>
        <v/>
      </c>
      <c r="CW187" s="142" t="str">
        <f>IF(C187="","",IF('Datos Generales'!$A$19=1,AVERAGE(FP187:GD187),AVERAGE(Captura!FP187:FY187)))</f>
        <v/>
      </c>
      <c r="CX187" s="138" t="e">
        <f>IF(VLOOKUP(CONCATENATE($H$4,$F$4,CX$2),Español!$A:$H,7,FALSE)=L187,1,0)</f>
        <v>#N/A</v>
      </c>
      <c r="CY187" s="138" t="e">
        <f>IF(VLOOKUP(CONCATENATE(H187,F187,CY$2),Español!$A:$H,7,FALSE)=M187,1,0)</f>
        <v>#N/A</v>
      </c>
      <c r="CZ187" s="138" t="e">
        <f>IF(VLOOKUP(CONCATENATE(H187,F187,CZ$2),Español!$A:$H,7,FALSE)=N187,1,0)</f>
        <v>#N/A</v>
      </c>
      <c r="DA187" s="138" t="e">
        <f>IF(VLOOKUP(CONCATENATE(H187,F187,DA$2),Español!$A:$H,7,FALSE)=O187,1,0)</f>
        <v>#N/A</v>
      </c>
      <c r="DB187" s="138" t="e">
        <f>IF(VLOOKUP(CONCATENATE(H187,F187,DB$2),Español!$A:$H,7,FALSE)=P187,1,0)</f>
        <v>#N/A</v>
      </c>
      <c r="DC187" s="138" t="e">
        <f>IF(VLOOKUP(CONCATENATE(H187,F187,DC$2),Español!$A:$H,7,FALSE)=Q187,1,0)</f>
        <v>#N/A</v>
      </c>
      <c r="DD187" s="138" t="e">
        <f>IF(VLOOKUP(CONCATENATE(H187,F187,DD$2),Español!$A:$H,7,FALSE)=R187,1,0)</f>
        <v>#N/A</v>
      </c>
      <c r="DE187" s="138" t="e">
        <f>IF(VLOOKUP(CONCATENATE(H187,F187,DE$2),Español!$A:$H,7,FALSE)=S187,1,0)</f>
        <v>#N/A</v>
      </c>
      <c r="DF187" s="138" t="e">
        <f>IF(VLOOKUP(CONCATENATE(H187,F187,DF$2),Español!$A:$H,7,FALSE)=T187,1,0)</f>
        <v>#N/A</v>
      </c>
      <c r="DG187" s="138" t="e">
        <f>IF(VLOOKUP(CONCATENATE(H187,F187,DG$2),Español!$A:$H,7,FALSE)=U187,1,0)</f>
        <v>#N/A</v>
      </c>
      <c r="DH187" s="138" t="e">
        <f>IF(VLOOKUP(CONCATENATE(H187,F187,DH$2),Español!$A:$H,7,FALSE)=V187,1,0)</f>
        <v>#N/A</v>
      </c>
      <c r="DI187" s="138" t="e">
        <f>IF(VLOOKUP(CONCATENATE(H187,F187,DI$2),Español!$A:$H,7,FALSE)=W187,1,0)</f>
        <v>#N/A</v>
      </c>
      <c r="DJ187" s="138" t="e">
        <f>IF(VLOOKUP(CONCATENATE(H187,F187,DJ$2),Español!$A:$H,7,FALSE)=X187,1,0)</f>
        <v>#N/A</v>
      </c>
      <c r="DK187" s="138" t="e">
        <f>IF(VLOOKUP(CONCATENATE(H187,F187,DK$2),Español!$A:$H,7,FALSE)=Y187,1,0)</f>
        <v>#N/A</v>
      </c>
      <c r="DL187" s="138" t="e">
        <f>IF(VLOOKUP(CONCATENATE(H187,F187,DL$2),Español!$A:$H,7,FALSE)=Z187,1,0)</f>
        <v>#N/A</v>
      </c>
      <c r="DM187" s="138" t="e">
        <f>IF(VLOOKUP(CONCATENATE(H187,F187,DM$2),Español!$A:$H,7,FALSE)=AA187,1,0)</f>
        <v>#N/A</v>
      </c>
      <c r="DN187" s="138" t="e">
        <f>IF(VLOOKUP(CONCATENATE(H187,F187,DN$2),Español!$A:$H,7,FALSE)=AB187,1,0)</f>
        <v>#N/A</v>
      </c>
      <c r="DO187" s="138" t="e">
        <f>IF(VLOOKUP(CONCATENATE(H187,F187,DO$2),Español!$A:$H,7,FALSE)=AC187,1,0)</f>
        <v>#N/A</v>
      </c>
      <c r="DP187" s="138" t="e">
        <f>IF(VLOOKUP(CONCATENATE(H187,F187,DP$2),Español!$A:$H,7,FALSE)=AD187,1,0)</f>
        <v>#N/A</v>
      </c>
      <c r="DQ187" s="138" t="e">
        <f>IF(VLOOKUP(CONCATENATE(H187,F187,DQ$2),Español!$A:$H,7,FALSE)=AE187,1,0)</f>
        <v>#N/A</v>
      </c>
      <c r="DR187" s="138" t="e">
        <f>IF(VLOOKUP(CONCATENATE(H187,F187,DR$2),Inglés!$A:$H,7,FALSE)=AF187,1,0)</f>
        <v>#N/A</v>
      </c>
      <c r="DS187" s="138" t="e">
        <f>IF(VLOOKUP(CONCATENATE(H187,F187,DS$2),Inglés!$A:$H,7,FALSE)=AG187,1,0)</f>
        <v>#N/A</v>
      </c>
      <c r="DT187" s="138" t="e">
        <f>IF(VLOOKUP(CONCATENATE(H187,F187,DT$2),Inglés!$A:$H,7,FALSE)=AH187,1,0)</f>
        <v>#N/A</v>
      </c>
      <c r="DU187" s="138" t="e">
        <f>IF(VLOOKUP(CONCATENATE(H187,F187,DU$2),Inglés!$A:$H,7,FALSE)=AI187,1,0)</f>
        <v>#N/A</v>
      </c>
      <c r="DV187" s="138" t="e">
        <f>IF(VLOOKUP(CONCATENATE(H187,F187,DV$2),Inglés!$A:$H,7,FALSE)=AJ187,1,0)</f>
        <v>#N/A</v>
      </c>
      <c r="DW187" s="138" t="e">
        <f>IF(VLOOKUP(CONCATENATE(H187,F187,DW$2),Inglés!$A:$H,7,FALSE)=AK187,1,0)</f>
        <v>#N/A</v>
      </c>
      <c r="DX187" s="138" t="e">
        <f>IF(VLOOKUP(CONCATENATE(H187,F187,DX$2),Inglés!$A:$H,7,FALSE)=AL187,1,0)</f>
        <v>#N/A</v>
      </c>
      <c r="DY187" s="138" t="e">
        <f>IF(VLOOKUP(CONCATENATE(H187,F187,DY$2),Inglés!$A:$H,7,FALSE)=AM187,1,0)</f>
        <v>#N/A</v>
      </c>
      <c r="DZ187" s="138" t="e">
        <f>IF(VLOOKUP(CONCATENATE(H187,F187,DZ$2),Inglés!$A:$H,7,FALSE)=AN187,1,0)</f>
        <v>#N/A</v>
      </c>
      <c r="EA187" s="138" t="e">
        <f>IF(VLOOKUP(CONCATENATE(H187,F187,EA$2),Inglés!$A:$H,7,FALSE)=AO187,1,0)</f>
        <v>#N/A</v>
      </c>
      <c r="EB187" s="138" t="e">
        <f>IF(VLOOKUP(CONCATENATE(H187,F187,EB$2),Matemáticas!$A:$H,7,FALSE)=AP187,1,0)</f>
        <v>#N/A</v>
      </c>
      <c r="EC187" s="138" t="e">
        <f>IF(VLOOKUP(CONCATENATE(H187,F187,EC$2),Matemáticas!$A:$H,7,FALSE)=AQ187,1,0)</f>
        <v>#N/A</v>
      </c>
      <c r="ED187" s="138" t="e">
        <f>IF(VLOOKUP(CONCATENATE(H187,F187,ED$2),Matemáticas!$A:$H,7,FALSE)=AR187,1,0)</f>
        <v>#N/A</v>
      </c>
      <c r="EE187" s="138" t="e">
        <f>IF(VLOOKUP(CONCATENATE(H187,F187,EE$2),Matemáticas!$A:$H,7,FALSE)=AS187,1,0)</f>
        <v>#N/A</v>
      </c>
      <c r="EF187" s="138" t="e">
        <f>IF(VLOOKUP(CONCATENATE(H187,F187,EF$2),Matemáticas!$A:$H,7,FALSE)=AT187,1,0)</f>
        <v>#N/A</v>
      </c>
      <c r="EG187" s="138" t="e">
        <f>IF(VLOOKUP(CONCATENATE(H187,F187,EG$2),Matemáticas!$A:$H,7,FALSE)=AU187,1,0)</f>
        <v>#N/A</v>
      </c>
      <c r="EH187" s="138" t="e">
        <f>IF(VLOOKUP(CONCATENATE(H187,F187,EH$2),Matemáticas!$A:$H,7,FALSE)=AV187,1,0)</f>
        <v>#N/A</v>
      </c>
      <c r="EI187" s="138" t="e">
        <f>IF(VLOOKUP(CONCATENATE(H187,F187,EI$2),Matemáticas!$A:$H,7,FALSE)=AW187,1,0)</f>
        <v>#N/A</v>
      </c>
      <c r="EJ187" s="138" t="e">
        <f>IF(VLOOKUP(CONCATENATE(H187,F187,EJ$2),Matemáticas!$A:$H,7,FALSE)=AX187,1,0)</f>
        <v>#N/A</v>
      </c>
      <c r="EK187" s="138" t="e">
        <f>IF(VLOOKUP(CONCATENATE(H187,F187,EK$2),Matemáticas!$A:$H,7,FALSE)=AY187,1,0)</f>
        <v>#N/A</v>
      </c>
      <c r="EL187" s="138" t="e">
        <f>IF(VLOOKUP(CONCATENATE(H187,F187,EL$2),Matemáticas!$A:$H,7,FALSE)=AZ187,1,0)</f>
        <v>#N/A</v>
      </c>
      <c r="EM187" s="138" t="e">
        <f>IF(VLOOKUP(CONCATENATE(H187,F187,EM$2),Matemáticas!$A:$H,7,FALSE)=BA187,1,0)</f>
        <v>#N/A</v>
      </c>
      <c r="EN187" s="138" t="e">
        <f>IF(VLOOKUP(CONCATENATE(H187,F187,EN$2),Matemáticas!$A:$H,7,FALSE)=BB187,1,0)</f>
        <v>#N/A</v>
      </c>
      <c r="EO187" s="138" t="e">
        <f>IF(VLOOKUP(CONCATENATE(H187,F187,EO$2),Matemáticas!$A:$H,7,FALSE)=BC187,1,0)</f>
        <v>#N/A</v>
      </c>
      <c r="EP187" s="138" t="e">
        <f>IF(VLOOKUP(CONCATENATE(H187,F187,EP$2),Matemáticas!$A:$H,7,FALSE)=BD187,1,0)</f>
        <v>#N/A</v>
      </c>
      <c r="EQ187" s="138" t="e">
        <f>IF(VLOOKUP(CONCATENATE(H187,F187,EQ$2),Matemáticas!$A:$H,7,FALSE)=BE187,1,0)</f>
        <v>#N/A</v>
      </c>
      <c r="ER187" s="138" t="e">
        <f>IF(VLOOKUP(CONCATENATE(H187,F187,ER$2),Matemáticas!$A:$H,7,FALSE)=BF187,1,0)</f>
        <v>#N/A</v>
      </c>
      <c r="ES187" s="138" t="e">
        <f>IF(VLOOKUP(CONCATENATE(H187,F187,ES$2),Matemáticas!$A:$H,7,FALSE)=BG187,1,0)</f>
        <v>#N/A</v>
      </c>
      <c r="ET187" s="138" t="e">
        <f>IF(VLOOKUP(CONCATENATE(H187,F187,ET$2),Matemáticas!$A:$H,7,FALSE)=BH187,1,0)</f>
        <v>#N/A</v>
      </c>
      <c r="EU187" s="138" t="e">
        <f>IF(VLOOKUP(CONCATENATE(H187,F187,EU$2),Matemáticas!$A:$H,7,FALSE)=BI187,1,0)</f>
        <v>#N/A</v>
      </c>
      <c r="EV187" s="138" t="e">
        <f>IF(VLOOKUP(CONCATENATE(H187,F187,EV$2),Ciencias!$A:$H,7,FALSE)=BJ187,1,0)</f>
        <v>#N/A</v>
      </c>
      <c r="EW187" s="138" t="e">
        <f>IF(VLOOKUP(CONCATENATE(H187,F187,EW$2),Ciencias!$A:$H,7,FALSE)=BK187,1,0)</f>
        <v>#N/A</v>
      </c>
      <c r="EX187" s="138" t="e">
        <f>IF(VLOOKUP(CONCATENATE(H187,F187,EX$2),Ciencias!$A:$H,7,FALSE)=BL187,1,0)</f>
        <v>#N/A</v>
      </c>
      <c r="EY187" s="138" t="e">
        <f>IF(VLOOKUP(CONCATENATE(H187,F187,EY$2),Ciencias!$A:$H,7,FALSE)=BM187,1,0)</f>
        <v>#N/A</v>
      </c>
      <c r="EZ187" s="138" t="e">
        <f>IF(VLOOKUP(CONCATENATE(H187,F187,EZ$2),Ciencias!$A:$H,7,FALSE)=BN187,1,0)</f>
        <v>#N/A</v>
      </c>
      <c r="FA187" s="138" t="e">
        <f>IF(VLOOKUP(CONCATENATE(H187,F187,FA$2),Ciencias!$A:$H,7,FALSE)=BO187,1,0)</f>
        <v>#N/A</v>
      </c>
      <c r="FB187" s="138" t="e">
        <f>IF(VLOOKUP(CONCATENATE(H187,F187,FB$2),Ciencias!$A:$H,7,FALSE)=BP187,1,0)</f>
        <v>#N/A</v>
      </c>
      <c r="FC187" s="138" t="e">
        <f>IF(VLOOKUP(CONCATENATE(H187,F187,FC$2),Ciencias!$A:$H,7,FALSE)=BQ187,1,0)</f>
        <v>#N/A</v>
      </c>
      <c r="FD187" s="138" t="e">
        <f>IF(VLOOKUP(CONCATENATE(H187,F187,FD$2),Ciencias!$A:$H,7,FALSE)=BR187,1,0)</f>
        <v>#N/A</v>
      </c>
      <c r="FE187" s="138" t="e">
        <f>IF(VLOOKUP(CONCATENATE(H187,F187,FE$2),Ciencias!$A:$H,7,FALSE)=BS187,1,0)</f>
        <v>#N/A</v>
      </c>
      <c r="FF187" s="138" t="e">
        <f>IF(VLOOKUP(CONCATENATE(H187,F187,FF$2),Ciencias!$A:$H,7,FALSE)=BT187,1,0)</f>
        <v>#N/A</v>
      </c>
      <c r="FG187" s="138" t="e">
        <f>IF(VLOOKUP(CONCATENATE(H187,F187,FG$2),Ciencias!$A:$H,7,FALSE)=BU187,1,0)</f>
        <v>#N/A</v>
      </c>
      <c r="FH187" s="138" t="e">
        <f>IF(VLOOKUP(CONCATENATE(H187,F187,FH$2),Ciencias!$A:$H,7,FALSE)=BV187,1,0)</f>
        <v>#N/A</v>
      </c>
      <c r="FI187" s="138" t="e">
        <f>IF(VLOOKUP(CONCATENATE(H187,F187,FI$2),Ciencias!$A:$H,7,FALSE)=BW187,1,0)</f>
        <v>#N/A</v>
      </c>
      <c r="FJ187" s="138" t="e">
        <f>IF(VLOOKUP(CONCATENATE(H187,F187,FJ$2),Ciencias!$A:$H,7,FALSE)=BX187,1,0)</f>
        <v>#N/A</v>
      </c>
      <c r="FK187" s="138" t="e">
        <f>IF(VLOOKUP(CONCATENATE(H187,F187,FK$2),Ciencias!$A:$H,7,FALSE)=BY187,1,0)</f>
        <v>#N/A</v>
      </c>
      <c r="FL187" s="138" t="e">
        <f>IF(VLOOKUP(CONCATENATE(H187,F187,FL$2),Ciencias!$A:$H,7,FALSE)=BZ187,1,0)</f>
        <v>#N/A</v>
      </c>
      <c r="FM187" s="138" t="e">
        <f>IF(VLOOKUP(CONCATENATE(H187,F187,FM$2),Ciencias!$A:$H,7,FALSE)=CA187,1,0)</f>
        <v>#N/A</v>
      </c>
      <c r="FN187" s="138" t="e">
        <f>IF(VLOOKUP(CONCATENATE(H187,F187,FN$2),Ciencias!$A:$H,7,FALSE)=CB187,1,0)</f>
        <v>#N/A</v>
      </c>
      <c r="FO187" s="138" t="e">
        <f>IF(VLOOKUP(CONCATENATE(H187,F187,FO$2),Ciencias!$A:$H,7,FALSE)=CC187,1,0)</f>
        <v>#N/A</v>
      </c>
      <c r="FP187" s="138" t="e">
        <f>IF(VLOOKUP(CONCATENATE(H187,F187,FP$2),GeoHis!$A:$H,7,FALSE)=CD187,1,0)</f>
        <v>#N/A</v>
      </c>
      <c r="FQ187" s="138" t="e">
        <f>IF(VLOOKUP(CONCATENATE(H187,F187,FQ$2),GeoHis!$A:$H,7,FALSE)=CE187,1,0)</f>
        <v>#N/A</v>
      </c>
      <c r="FR187" s="138" t="e">
        <f>IF(VLOOKUP(CONCATENATE(H187,F187,FR$2),GeoHis!$A:$H,7,FALSE)=CF187,1,0)</f>
        <v>#N/A</v>
      </c>
      <c r="FS187" s="138" t="e">
        <f>IF(VLOOKUP(CONCATENATE(H187,F187,FS$2),GeoHis!$A:$H,7,FALSE)=CG187,1,0)</f>
        <v>#N/A</v>
      </c>
      <c r="FT187" s="138" t="e">
        <f>IF(VLOOKUP(CONCATENATE(H187,F187,FT$2),GeoHis!$A:$H,7,FALSE)=CH187,1,0)</f>
        <v>#N/A</v>
      </c>
      <c r="FU187" s="138" t="e">
        <f>IF(VLOOKUP(CONCATENATE(H187,F187,FU$2),GeoHis!$A:$H,7,FALSE)=CI187,1,0)</f>
        <v>#N/A</v>
      </c>
      <c r="FV187" s="138" t="e">
        <f>IF(VLOOKUP(CONCATENATE(H187,F187,FV$2),GeoHis!$A:$H,7,FALSE)=CJ187,1,0)</f>
        <v>#N/A</v>
      </c>
      <c r="FW187" s="138" t="e">
        <f>IF(VLOOKUP(CONCATENATE(H187,F187,FW$2),GeoHis!$A:$H,7,FALSE)=CK187,1,0)</f>
        <v>#N/A</v>
      </c>
      <c r="FX187" s="138" t="e">
        <f>IF(VLOOKUP(CONCATENATE(H187,F187,FX$2),GeoHis!$A:$H,7,FALSE)=CL187,1,0)</f>
        <v>#N/A</v>
      </c>
      <c r="FY187" s="138" t="e">
        <f>IF(VLOOKUP(CONCATENATE(H187,F187,FY$2),GeoHis!$A:$H,7,FALSE)=CM187,1,0)</f>
        <v>#N/A</v>
      </c>
      <c r="FZ187" s="138" t="e">
        <f>IF(VLOOKUP(CONCATENATE(H187,F187,FZ$2),GeoHis!$A:$H,7,FALSE)=CN187,1,0)</f>
        <v>#N/A</v>
      </c>
      <c r="GA187" s="138" t="e">
        <f>IF(VLOOKUP(CONCATENATE(H187,F187,GA$2),GeoHis!$A:$H,7,FALSE)=CO187,1,0)</f>
        <v>#N/A</v>
      </c>
      <c r="GB187" s="138" t="e">
        <f>IF(VLOOKUP(CONCATENATE(H187,F187,GB$2),GeoHis!$A:$H,7,FALSE)=CP187,1,0)</f>
        <v>#N/A</v>
      </c>
      <c r="GC187" s="138" t="e">
        <f>IF(VLOOKUP(CONCATENATE(H187,F187,GC$2),GeoHis!$A:$H,7,FALSE)=CQ187,1,0)</f>
        <v>#N/A</v>
      </c>
      <c r="GD187" s="138" t="e">
        <f>IF(VLOOKUP(CONCATENATE(H187,F187,GD$2),GeoHis!$A:$H,7,FALSE)=CR187,1,0)</f>
        <v>#N/A</v>
      </c>
      <c r="GE187" s="135" t="str">
        <f t="shared" si="23"/>
        <v/>
      </c>
    </row>
    <row r="188" spans="1:187" x14ac:dyDescent="0.25">
      <c r="A188" s="127" t="str">
        <f>IF(C188="","",'Datos Generales'!$A$25)</f>
        <v/>
      </c>
      <c r="D188" s="126" t="str">
        <f t="shared" si="16"/>
        <v/>
      </c>
      <c r="E188" s="126">
        <f t="shared" si="17"/>
        <v>0</v>
      </c>
      <c r="F188" s="126" t="str">
        <f t="shared" si="18"/>
        <v/>
      </c>
      <c r="G188" s="126" t="str">
        <f>IF(C188="","",'Datos Generales'!$D$19)</f>
        <v/>
      </c>
      <c r="H188" s="21" t="str">
        <f>IF(C188="","",'Datos Generales'!$A$19)</f>
        <v/>
      </c>
      <c r="I188" s="126" t="str">
        <f>IF(C188="","",'Datos Generales'!$A$7)</f>
        <v/>
      </c>
      <c r="J188" s="21" t="str">
        <f>IF(C188="","",'Datos Generales'!$A$13)</f>
        <v/>
      </c>
      <c r="K188" s="21" t="str">
        <f>IF(C188="","",'Datos Generales'!$A$10)</f>
        <v/>
      </c>
      <c r="CS188" s="142" t="str">
        <f t="shared" si="19"/>
        <v/>
      </c>
      <c r="CT188" s="142" t="str">
        <f t="shared" si="20"/>
        <v/>
      </c>
      <c r="CU188" s="142" t="str">
        <f t="shared" si="21"/>
        <v/>
      </c>
      <c r="CV188" s="142" t="str">
        <f t="shared" si="22"/>
        <v/>
      </c>
      <c r="CW188" s="142" t="str">
        <f>IF(C188="","",IF('Datos Generales'!$A$19=1,AVERAGE(FP188:GD188),AVERAGE(Captura!FP188:FY188)))</f>
        <v/>
      </c>
      <c r="CX188" s="138" t="e">
        <f>IF(VLOOKUP(CONCATENATE($H$4,$F$4,CX$2),Español!$A:$H,7,FALSE)=L188,1,0)</f>
        <v>#N/A</v>
      </c>
      <c r="CY188" s="138" t="e">
        <f>IF(VLOOKUP(CONCATENATE(H188,F188,CY$2),Español!$A:$H,7,FALSE)=M188,1,0)</f>
        <v>#N/A</v>
      </c>
      <c r="CZ188" s="138" t="e">
        <f>IF(VLOOKUP(CONCATENATE(H188,F188,CZ$2),Español!$A:$H,7,FALSE)=N188,1,0)</f>
        <v>#N/A</v>
      </c>
      <c r="DA188" s="138" t="e">
        <f>IF(VLOOKUP(CONCATENATE(H188,F188,DA$2),Español!$A:$H,7,FALSE)=O188,1,0)</f>
        <v>#N/A</v>
      </c>
      <c r="DB188" s="138" t="e">
        <f>IF(VLOOKUP(CONCATENATE(H188,F188,DB$2),Español!$A:$H,7,FALSE)=P188,1,0)</f>
        <v>#N/A</v>
      </c>
      <c r="DC188" s="138" t="e">
        <f>IF(VLOOKUP(CONCATENATE(H188,F188,DC$2),Español!$A:$H,7,FALSE)=Q188,1,0)</f>
        <v>#N/A</v>
      </c>
      <c r="DD188" s="138" t="e">
        <f>IF(VLOOKUP(CONCATENATE(H188,F188,DD$2),Español!$A:$H,7,FALSE)=R188,1,0)</f>
        <v>#N/A</v>
      </c>
      <c r="DE188" s="138" t="e">
        <f>IF(VLOOKUP(CONCATENATE(H188,F188,DE$2),Español!$A:$H,7,FALSE)=S188,1,0)</f>
        <v>#N/A</v>
      </c>
      <c r="DF188" s="138" t="e">
        <f>IF(VLOOKUP(CONCATENATE(H188,F188,DF$2),Español!$A:$H,7,FALSE)=T188,1,0)</f>
        <v>#N/A</v>
      </c>
      <c r="DG188" s="138" t="e">
        <f>IF(VLOOKUP(CONCATENATE(H188,F188,DG$2),Español!$A:$H,7,FALSE)=U188,1,0)</f>
        <v>#N/A</v>
      </c>
      <c r="DH188" s="138" t="e">
        <f>IF(VLOOKUP(CONCATENATE(H188,F188,DH$2),Español!$A:$H,7,FALSE)=V188,1,0)</f>
        <v>#N/A</v>
      </c>
      <c r="DI188" s="138" t="e">
        <f>IF(VLOOKUP(CONCATENATE(H188,F188,DI$2),Español!$A:$H,7,FALSE)=W188,1,0)</f>
        <v>#N/A</v>
      </c>
      <c r="DJ188" s="138" t="e">
        <f>IF(VLOOKUP(CONCATENATE(H188,F188,DJ$2),Español!$A:$H,7,FALSE)=X188,1,0)</f>
        <v>#N/A</v>
      </c>
      <c r="DK188" s="138" t="e">
        <f>IF(VLOOKUP(CONCATENATE(H188,F188,DK$2),Español!$A:$H,7,FALSE)=Y188,1,0)</f>
        <v>#N/A</v>
      </c>
      <c r="DL188" s="138" t="e">
        <f>IF(VLOOKUP(CONCATENATE(H188,F188,DL$2),Español!$A:$H,7,FALSE)=Z188,1,0)</f>
        <v>#N/A</v>
      </c>
      <c r="DM188" s="138" t="e">
        <f>IF(VLOOKUP(CONCATENATE(H188,F188,DM$2),Español!$A:$H,7,FALSE)=AA188,1,0)</f>
        <v>#N/A</v>
      </c>
      <c r="DN188" s="138" t="e">
        <f>IF(VLOOKUP(CONCATENATE(H188,F188,DN$2),Español!$A:$H,7,FALSE)=AB188,1,0)</f>
        <v>#N/A</v>
      </c>
      <c r="DO188" s="138" t="e">
        <f>IF(VLOOKUP(CONCATENATE(H188,F188,DO$2),Español!$A:$H,7,FALSE)=AC188,1,0)</f>
        <v>#N/A</v>
      </c>
      <c r="DP188" s="138" t="e">
        <f>IF(VLOOKUP(CONCATENATE(H188,F188,DP$2),Español!$A:$H,7,FALSE)=AD188,1,0)</f>
        <v>#N/A</v>
      </c>
      <c r="DQ188" s="138" t="e">
        <f>IF(VLOOKUP(CONCATENATE(H188,F188,DQ$2),Español!$A:$H,7,FALSE)=AE188,1,0)</f>
        <v>#N/A</v>
      </c>
      <c r="DR188" s="138" t="e">
        <f>IF(VLOOKUP(CONCATENATE(H188,F188,DR$2),Inglés!$A:$H,7,FALSE)=AF188,1,0)</f>
        <v>#N/A</v>
      </c>
      <c r="DS188" s="138" t="e">
        <f>IF(VLOOKUP(CONCATENATE(H188,F188,DS$2),Inglés!$A:$H,7,FALSE)=AG188,1,0)</f>
        <v>#N/A</v>
      </c>
      <c r="DT188" s="138" t="e">
        <f>IF(VLOOKUP(CONCATENATE(H188,F188,DT$2),Inglés!$A:$H,7,FALSE)=AH188,1,0)</f>
        <v>#N/A</v>
      </c>
      <c r="DU188" s="138" t="e">
        <f>IF(VLOOKUP(CONCATENATE(H188,F188,DU$2),Inglés!$A:$H,7,FALSE)=AI188,1,0)</f>
        <v>#N/A</v>
      </c>
      <c r="DV188" s="138" t="e">
        <f>IF(VLOOKUP(CONCATENATE(H188,F188,DV$2),Inglés!$A:$H,7,FALSE)=AJ188,1,0)</f>
        <v>#N/A</v>
      </c>
      <c r="DW188" s="138" t="e">
        <f>IF(VLOOKUP(CONCATENATE(H188,F188,DW$2),Inglés!$A:$H,7,FALSE)=AK188,1,0)</f>
        <v>#N/A</v>
      </c>
      <c r="DX188" s="138" t="e">
        <f>IF(VLOOKUP(CONCATENATE(H188,F188,DX$2),Inglés!$A:$H,7,FALSE)=AL188,1,0)</f>
        <v>#N/A</v>
      </c>
      <c r="DY188" s="138" t="e">
        <f>IF(VLOOKUP(CONCATENATE(H188,F188,DY$2),Inglés!$A:$H,7,FALSE)=AM188,1,0)</f>
        <v>#N/A</v>
      </c>
      <c r="DZ188" s="138" t="e">
        <f>IF(VLOOKUP(CONCATENATE(H188,F188,DZ$2),Inglés!$A:$H,7,FALSE)=AN188,1,0)</f>
        <v>#N/A</v>
      </c>
      <c r="EA188" s="138" t="e">
        <f>IF(VLOOKUP(CONCATENATE(H188,F188,EA$2),Inglés!$A:$H,7,FALSE)=AO188,1,0)</f>
        <v>#N/A</v>
      </c>
      <c r="EB188" s="138" t="e">
        <f>IF(VLOOKUP(CONCATENATE(H188,F188,EB$2),Matemáticas!$A:$H,7,FALSE)=AP188,1,0)</f>
        <v>#N/A</v>
      </c>
      <c r="EC188" s="138" t="e">
        <f>IF(VLOOKUP(CONCATENATE(H188,F188,EC$2),Matemáticas!$A:$H,7,FALSE)=AQ188,1,0)</f>
        <v>#N/A</v>
      </c>
      <c r="ED188" s="138" t="e">
        <f>IF(VLOOKUP(CONCATENATE(H188,F188,ED$2),Matemáticas!$A:$H,7,FALSE)=AR188,1,0)</f>
        <v>#N/A</v>
      </c>
      <c r="EE188" s="138" t="e">
        <f>IF(VLOOKUP(CONCATENATE(H188,F188,EE$2),Matemáticas!$A:$H,7,FALSE)=AS188,1,0)</f>
        <v>#N/A</v>
      </c>
      <c r="EF188" s="138" t="e">
        <f>IF(VLOOKUP(CONCATENATE(H188,F188,EF$2),Matemáticas!$A:$H,7,FALSE)=AT188,1,0)</f>
        <v>#N/A</v>
      </c>
      <c r="EG188" s="138" t="e">
        <f>IF(VLOOKUP(CONCATENATE(H188,F188,EG$2),Matemáticas!$A:$H,7,FALSE)=AU188,1,0)</f>
        <v>#N/A</v>
      </c>
      <c r="EH188" s="138" t="e">
        <f>IF(VLOOKUP(CONCATENATE(H188,F188,EH$2),Matemáticas!$A:$H,7,FALSE)=AV188,1,0)</f>
        <v>#N/A</v>
      </c>
      <c r="EI188" s="138" t="e">
        <f>IF(VLOOKUP(CONCATENATE(H188,F188,EI$2),Matemáticas!$A:$H,7,FALSE)=AW188,1,0)</f>
        <v>#N/A</v>
      </c>
      <c r="EJ188" s="138" t="e">
        <f>IF(VLOOKUP(CONCATENATE(H188,F188,EJ$2),Matemáticas!$A:$H,7,FALSE)=AX188,1,0)</f>
        <v>#N/A</v>
      </c>
      <c r="EK188" s="138" t="e">
        <f>IF(VLOOKUP(CONCATENATE(H188,F188,EK$2),Matemáticas!$A:$H,7,FALSE)=AY188,1,0)</f>
        <v>#N/A</v>
      </c>
      <c r="EL188" s="138" t="e">
        <f>IF(VLOOKUP(CONCATENATE(H188,F188,EL$2),Matemáticas!$A:$H,7,FALSE)=AZ188,1,0)</f>
        <v>#N/A</v>
      </c>
      <c r="EM188" s="138" t="e">
        <f>IF(VLOOKUP(CONCATENATE(H188,F188,EM$2),Matemáticas!$A:$H,7,FALSE)=BA188,1,0)</f>
        <v>#N/A</v>
      </c>
      <c r="EN188" s="138" t="e">
        <f>IF(VLOOKUP(CONCATENATE(H188,F188,EN$2),Matemáticas!$A:$H,7,FALSE)=BB188,1,0)</f>
        <v>#N/A</v>
      </c>
      <c r="EO188" s="138" t="e">
        <f>IF(VLOOKUP(CONCATENATE(H188,F188,EO$2),Matemáticas!$A:$H,7,FALSE)=BC188,1,0)</f>
        <v>#N/A</v>
      </c>
      <c r="EP188" s="138" t="e">
        <f>IF(VLOOKUP(CONCATENATE(H188,F188,EP$2),Matemáticas!$A:$H,7,FALSE)=BD188,1,0)</f>
        <v>#N/A</v>
      </c>
      <c r="EQ188" s="138" t="e">
        <f>IF(VLOOKUP(CONCATENATE(H188,F188,EQ$2),Matemáticas!$A:$H,7,FALSE)=BE188,1,0)</f>
        <v>#N/A</v>
      </c>
      <c r="ER188" s="138" t="e">
        <f>IF(VLOOKUP(CONCATENATE(H188,F188,ER$2),Matemáticas!$A:$H,7,FALSE)=BF188,1,0)</f>
        <v>#N/A</v>
      </c>
      <c r="ES188" s="138" t="e">
        <f>IF(VLOOKUP(CONCATENATE(H188,F188,ES$2),Matemáticas!$A:$H,7,FALSE)=BG188,1,0)</f>
        <v>#N/A</v>
      </c>
      <c r="ET188" s="138" t="e">
        <f>IF(VLOOKUP(CONCATENATE(H188,F188,ET$2),Matemáticas!$A:$H,7,FALSE)=BH188,1,0)</f>
        <v>#N/A</v>
      </c>
      <c r="EU188" s="138" t="e">
        <f>IF(VLOOKUP(CONCATENATE(H188,F188,EU$2),Matemáticas!$A:$H,7,FALSE)=BI188,1,0)</f>
        <v>#N/A</v>
      </c>
      <c r="EV188" s="138" t="e">
        <f>IF(VLOOKUP(CONCATENATE(H188,F188,EV$2),Ciencias!$A:$H,7,FALSE)=BJ188,1,0)</f>
        <v>#N/A</v>
      </c>
      <c r="EW188" s="138" t="e">
        <f>IF(VLOOKUP(CONCATENATE(H188,F188,EW$2),Ciencias!$A:$H,7,FALSE)=BK188,1,0)</f>
        <v>#N/A</v>
      </c>
      <c r="EX188" s="138" t="e">
        <f>IF(VLOOKUP(CONCATENATE(H188,F188,EX$2),Ciencias!$A:$H,7,FALSE)=BL188,1,0)</f>
        <v>#N/A</v>
      </c>
      <c r="EY188" s="138" t="e">
        <f>IF(VLOOKUP(CONCATENATE(H188,F188,EY$2),Ciencias!$A:$H,7,FALSE)=BM188,1,0)</f>
        <v>#N/A</v>
      </c>
      <c r="EZ188" s="138" t="e">
        <f>IF(VLOOKUP(CONCATENATE(H188,F188,EZ$2),Ciencias!$A:$H,7,FALSE)=BN188,1,0)</f>
        <v>#N/A</v>
      </c>
      <c r="FA188" s="138" t="e">
        <f>IF(VLOOKUP(CONCATENATE(H188,F188,FA$2),Ciencias!$A:$H,7,FALSE)=BO188,1,0)</f>
        <v>#N/A</v>
      </c>
      <c r="FB188" s="138" t="e">
        <f>IF(VLOOKUP(CONCATENATE(H188,F188,FB$2),Ciencias!$A:$H,7,FALSE)=BP188,1,0)</f>
        <v>#N/A</v>
      </c>
      <c r="FC188" s="138" t="e">
        <f>IF(VLOOKUP(CONCATENATE(H188,F188,FC$2),Ciencias!$A:$H,7,FALSE)=BQ188,1,0)</f>
        <v>#N/A</v>
      </c>
      <c r="FD188" s="138" t="e">
        <f>IF(VLOOKUP(CONCATENATE(H188,F188,FD$2),Ciencias!$A:$H,7,FALSE)=BR188,1,0)</f>
        <v>#N/A</v>
      </c>
      <c r="FE188" s="138" t="e">
        <f>IF(VLOOKUP(CONCATENATE(H188,F188,FE$2),Ciencias!$A:$H,7,FALSE)=BS188,1,0)</f>
        <v>#N/A</v>
      </c>
      <c r="FF188" s="138" t="e">
        <f>IF(VLOOKUP(CONCATENATE(H188,F188,FF$2),Ciencias!$A:$H,7,FALSE)=BT188,1,0)</f>
        <v>#N/A</v>
      </c>
      <c r="FG188" s="138" t="e">
        <f>IF(VLOOKUP(CONCATENATE(H188,F188,FG$2),Ciencias!$A:$H,7,FALSE)=BU188,1,0)</f>
        <v>#N/A</v>
      </c>
      <c r="FH188" s="138" t="e">
        <f>IF(VLOOKUP(CONCATENATE(H188,F188,FH$2),Ciencias!$A:$H,7,FALSE)=BV188,1,0)</f>
        <v>#N/A</v>
      </c>
      <c r="FI188" s="138" t="e">
        <f>IF(VLOOKUP(CONCATENATE(H188,F188,FI$2),Ciencias!$A:$H,7,FALSE)=BW188,1,0)</f>
        <v>#N/A</v>
      </c>
      <c r="FJ188" s="138" t="e">
        <f>IF(VLOOKUP(CONCATENATE(H188,F188,FJ$2),Ciencias!$A:$H,7,FALSE)=BX188,1,0)</f>
        <v>#N/A</v>
      </c>
      <c r="FK188" s="138" t="e">
        <f>IF(VLOOKUP(CONCATENATE(H188,F188,FK$2),Ciencias!$A:$H,7,FALSE)=BY188,1,0)</f>
        <v>#N/A</v>
      </c>
      <c r="FL188" s="138" t="e">
        <f>IF(VLOOKUP(CONCATENATE(H188,F188,FL$2),Ciencias!$A:$H,7,FALSE)=BZ188,1,0)</f>
        <v>#N/A</v>
      </c>
      <c r="FM188" s="138" t="e">
        <f>IF(VLOOKUP(CONCATENATE(H188,F188,FM$2),Ciencias!$A:$H,7,FALSE)=CA188,1,0)</f>
        <v>#N/A</v>
      </c>
      <c r="FN188" s="138" t="e">
        <f>IF(VLOOKUP(CONCATENATE(H188,F188,FN$2),Ciencias!$A:$H,7,FALSE)=CB188,1,0)</f>
        <v>#N/A</v>
      </c>
      <c r="FO188" s="138" t="e">
        <f>IF(VLOOKUP(CONCATENATE(H188,F188,FO$2),Ciencias!$A:$H,7,FALSE)=CC188,1,0)</f>
        <v>#N/A</v>
      </c>
      <c r="FP188" s="138" t="e">
        <f>IF(VLOOKUP(CONCATENATE(H188,F188,FP$2),GeoHis!$A:$H,7,FALSE)=CD188,1,0)</f>
        <v>#N/A</v>
      </c>
      <c r="FQ188" s="138" t="e">
        <f>IF(VLOOKUP(CONCATENATE(H188,F188,FQ$2),GeoHis!$A:$H,7,FALSE)=CE188,1,0)</f>
        <v>#N/A</v>
      </c>
      <c r="FR188" s="138" t="e">
        <f>IF(VLOOKUP(CONCATENATE(H188,F188,FR$2),GeoHis!$A:$H,7,FALSE)=CF188,1,0)</f>
        <v>#N/A</v>
      </c>
      <c r="FS188" s="138" t="e">
        <f>IF(VLOOKUP(CONCATENATE(H188,F188,FS$2),GeoHis!$A:$H,7,FALSE)=CG188,1,0)</f>
        <v>#N/A</v>
      </c>
      <c r="FT188" s="138" t="e">
        <f>IF(VLOOKUP(CONCATENATE(H188,F188,FT$2),GeoHis!$A:$H,7,FALSE)=CH188,1,0)</f>
        <v>#N/A</v>
      </c>
      <c r="FU188" s="138" t="e">
        <f>IF(VLOOKUP(CONCATENATE(H188,F188,FU$2),GeoHis!$A:$H,7,FALSE)=CI188,1,0)</f>
        <v>#N/A</v>
      </c>
      <c r="FV188" s="138" t="e">
        <f>IF(VLOOKUP(CONCATENATE(H188,F188,FV$2),GeoHis!$A:$H,7,FALSE)=CJ188,1,0)</f>
        <v>#N/A</v>
      </c>
      <c r="FW188" s="138" t="e">
        <f>IF(VLOOKUP(CONCATENATE(H188,F188,FW$2),GeoHis!$A:$H,7,FALSE)=CK188,1,0)</f>
        <v>#N/A</v>
      </c>
      <c r="FX188" s="138" t="e">
        <f>IF(VLOOKUP(CONCATENATE(H188,F188,FX$2),GeoHis!$A:$H,7,FALSE)=CL188,1,0)</f>
        <v>#N/A</v>
      </c>
      <c r="FY188" s="138" t="e">
        <f>IF(VLOOKUP(CONCATENATE(H188,F188,FY$2),GeoHis!$A:$H,7,FALSE)=CM188,1,0)</f>
        <v>#N/A</v>
      </c>
      <c r="FZ188" s="138" t="e">
        <f>IF(VLOOKUP(CONCATENATE(H188,F188,FZ$2),GeoHis!$A:$H,7,FALSE)=CN188,1,0)</f>
        <v>#N/A</v>
      </c>
      <c r="GA188" s="138" t="e">
        <f>IF(VLOOKUP(CONCATENATE(H188,F188,GA$2),GeoHis!$A:$H,7,FALSE)=CO188,1,0)</f>
        <v>#N/A</v>
      </c>
      <c r="GB188" s="138" t="e">
        <f>IF(VLOOKUP(CONCATENATE(H188,F188,GB$2),GeoHis!$A:$H,7,FALSE)=CP188,1,0)</f>
        <v>#N/A</v>
      </c>
      <c r="GC188" s="138" t="e">
        <f>IF(VLOOKUP(CONCATENATE(H188,F188,GC$2),GeoHis!$A:$H,7,FALSE)=CQ188,1,0)</f>
        <v>#N/A</v>
      </c>
      <c r="GD188" s="138" t="e">
        <f>IF(VLOOKUP(CONCATENATE(H188,F188,GD$2),GeoHis!$A:$H,7,FALSE)=CR188,1,0)</f>
        <v>#N/A</v>
      </c>
      <c r="GE188" s="135" t="str">
        <f t="shared" si="23"/>
        <v/>
      </c>
    </row>
    <row r="189" spans="1:187" x14ac:dyDescent="0.25">
      <c r="A189" s="127" t="str">
        <f>IF(C189="","",'Datos Generales'!$A$25)</f>
        <v/>
      </c>
      <c r="D189" s="126" t="str">
        <f t="shared" si="16"/>
        <v/>
      </c>
      <c r="E189" s="126">
        <f t="shared" si="17"/>
        <v>0</v>
      </c>
      <c r="F189" s="126" t="str">
        <f t="shared" si="18"/>
        <v/>
      </c>
      <c r="G189" s="126" t="str">
        <f>IF(C189="","",'Datos Generales'!$D$19)</f>
        <v/>
      </c>
      <c r="H189" s="21" t="str">
        <f>IF(C189="","",'Datos Generales'!$A$19)</f>
        <v/>
      </c>
      <c r="I189" s="126" t="str">
        <f>IF(C189="","",'Datos Generales'!$A$7)</f>
        <v/>
      </c>
      <c r="J189" s="21" t="str">
        <f>IF(C189="","",'Datos Generales'!$A$13)</f>
        <v/>
      </c>
      <c r="K189" s="21" t="str">
        <f>IF(C189="","",'Datos Generales'!$A$10)</f>
        <v/>
      </c>
      <c r="CS189" s="142" t="str">
        <f t="shared" si="19"/>
        <v/>
      </c>
      <c r="CT189" s="142" t="str">
        <f t="shared" si="20"/>
        <v/>
      </c>
      <c r="CU189" s="142" t="str">
        <f t="shared" si="21"/>
        <v/>
      </c>
      <c r="CV189" s="142" t="str">
        <f t="shared" si="22"/>
        <v/>
      </c>
      <c r="CW189" s="142" t="str">
        <f>IF(C189="","",IF('Datos Generales'!$A$19=1,AVERAGE(FP189:GD189),AVERAGE(Captura!FP189:FY189)))</f>
        <v/>
      </c>
      <c r="CX189" s="138" t="e">
        <f>IF(VLOOKUP(CONCATENATE($H$4,$F$4,CX$2),Español!$A:$H,7,FALSE)=L189,1,0)</f>
        <v>#N/A</v>
      </c>
      <c r="CY189" s="138" t="e">
        <f>IF(VLOOKUP(CONCATENATE(H189,F189,CY$2),Español!$A:$H,7,FALSE)=M189,1,0)</f>
        <v>#N/A</v>
      </c>
      <c r="CZ189" s="138" t="e">
        <f>IF(VLOOKUP(CONCATENATE(H189,F189,CZ$2),Español!$A:$H,7,FALSE)=N189,1,0)</f>
        <v>#N/A</v>
      </c>
      <c r="DA189" s="138" t="e">
        <f>IF(VLOOKUP(CONCATENATE(H189,F189,DA$2),Español!$A:$H,7,FALSE)=O189,1,0)</f>
        <v>#N/A</v>
      </c>
      <c r="DB189" s="138" t="e">
        <f>IF(VLOOKUP(CONCATENATE(H189,F189,DB$2),Español!$A:$H,7,FALSE)=P189,1,0)</f>
        <v>#N/A</v>
      </c>
      <c r="DC189" s="138" t="e">
        <f>IF(VLOOKUP(CONCATENATE(H189,F189,DC$2),Español!$A:$H,7,FALSE)=Q189,1,0)</f>
        <v>#N/A</v>
      </c>
      <c r="DD189" s="138" t="e">
        <f>IF(VLOOKUP(CONCATENATE(H189,F189,DD$2),Español!$A:$H,7,FALSE)=R189,1,0)</f>
        <v>#N/A</v>
      </c>
      <c r="DE189" s="138" t="e">
        <f>IF(VLOOKUP(CONCATENATE(H189,F189,DE$2),Español!$A:$H,7,FALSE)=S189,1,0)</f>
        <v>#N/A</v>
      </c>
      <c r="DF189" s="138" t="e">
        <f>IF(VLOOKUP(CONCATENATE(H189,F189,DF$2),Español!$A:$H,7,FALSE)=T189,1,0)</f>
        <v>#N/A</v>
      </c>
      <c r="DG189" s="138" t="e">
        <f>IF(VLOOKUP(CONCATENATE(H189,F189,DG$2),Español!$A:$H,7,FALSE)=U189,1,0)</f>
        <v>#N/A</v>
      </c>
      <c r="DH189" s="138" t="e">
        <f>IF(VLOOKUP(CONCATENATE(H189,F189,DH$2),Español!$A:$H,7,FALSE)=V189,1,0)</f>
        <v>#N/A</v>
      </c>
      <c r="DI189" s="138" t="e">
        <f>IF(VLOOKUP(CONCATENATE(H189,F189,DI$2),Español!$A:$H,7,FALSE)=W189,1,0)</f>
        <v>#N/A</v>
      </c>
      <c r="DJ189" s="138" t="e">
        <f>IF(VLOOKUP(CONCATENATE(H189,F189,DJ$2),Español!$A:$H,7,FALSE)=X189,1,0)</f>
        <v>#N/A</v>
      </c>
      <c r="DK189" s="138" t="e">
        <f>IF(VLOOKUP(CONCATENATE(H189,F189,DK$2),Español!$A:$H,7,FALSE)=Y189,1,0)</f>
        <v>#N/A</v>
      </c>
      <c r="DL189" s="138" t="e">
        <f>IF(VLOOKUP(CONCATENATE(H189,F189,DL$2),Español!$A:$H,7,FALSE)=Z189,1,0)</f>
        <v>#N/A</v>
      </c>
      <c r="DM189" s="138" t="e">
        <f>IF(VLOOKUP(CONCATENATE(H189,F189,DM$2),Español!$A:$H,7,FALSE)=AA189,1,0)</f>
        <v>#N/A</v>
      </c>
      <c r="DN189" s="138" t="e">
        <f>IF(VLOOKUP(CONCATENATE(H189,F189,DN$2),Español!$A:$H,7,FALSE)=AB189,1,0)</f>
        <v>#N/A</v>
      </c>
      <c r="DO189" s="138" t="e">
        <f>IF(VLOOKUP(CONCATENATE(H189,F189,DO$2),Español!$A:$H,7,FALSE)=AC189,1,0)</f>
        <v>#N/A</v>
      </c>
      <c r="DP189" s="138" t="e">
        <f>IF(VLOOKUP(CONCATENATE(H189,F189,DP$2),Español!$A:$H,7,FALSE)=AD189,1,0)</f>
        <v>#N/A</v>
      </c>
      <c r="DQ189" s="138" t="e">
        <f>IF(VLOOKUP(CONCATENATE(H189,F189,DQ$2),Español!$A:$H,7,FALSE)=AE189,1,0)</f>
        <v>#N/A</v>
      </c>
      <c r="DR189" s="138" t="e">
        <f>IF(VLOOKUP(CONCATENATE(H189,F189,DR$2),Inglés!$A:$H,7,FALSE)=AF189,1,0)</f>
        <v>#N/A</v>
      </c>
      <c r="DS189" s="138" t="e">
        <f>IF(VLOOKUP(CONCATENATE(H189,F189,DS$2),Inglés!$A:$H,7,FALSE)=AG189,1,0)</f>
        <v>#N/A</v>
      </c>
      <c r="DT189" s="138" t="e">
        <f>IF(VLOOKUP(CONCATENATE(H189,F189,DT$2),Inglés!$A:$H,7,FALSE)=AH189,1,0)</f>
        <v>#N/A</v>
      </c>
      <c r="DU189" s="138" t="e">
        <f>IF(VLOOKUP(CONCATENATE(H189,F189,DU$2),Inglés!$A:$H,7,FALSE)=AI189,1,0)</f>
        <v>#N/A</v>
      </c>
      <c r="DV189" s="138" t="e">
        <f>IF(VLOOKUP(CONCATENATE(H189,F189,DV$2),Inglés!$A:$H,7,FALSE)=AJ189,1,0)</f>
        <v>#N/A</v>
      </c>
      <c r="DW189" s="138" t="e">
        <f>IF(VLOOKUP(CONCATENATE(H189,F189,DW$2),Inglés!$A:$H,7,FALSE)=AK189,1,0)</f>
        <v>#N/A</v>
      </c>
      <c r="DX189" s="138" t="e">
        <f>IF(VLOOKUP(CONCATENATE(H189,F189,DX$2),Inglés!$A:$H,7,FALSE)=AL189,1,0)</f>
        <v>#N/A</v>
      </c>
      <c r="DY189" s="138" t="e">
        <f>IF(VLOOKUP(CONCATENATE(H189,F189,DY$2),Inglés!$A:$H,7,FALSE)=AM189,1,0)</f>
        <v>#N/A</v>
      </c>
      <c r="DZ189" s="138" t="e">
        <f>IF(VLOOKUP(CONCATENATE(H189,F189,DZ$2),Inglés!$A:$H,7,FALSE)=AN189,1,0)</f>
        <v>#N/A</v>
      </c>
      <c r="EA189" s="138" t="e">
        <f>IF(VLOOKUP(CONCATENATE(H189,F189,EA$2),Inglés!$A:$H,7,FALSE)=AO189,1,0)</f>
        <v>#N/A</v>
      </c>
      <c r="EB189" s="138" t="e">
        <f>IF(VLOOKUP(CONCATENATE(H189,F189,EB$2),Matemáticas!$A:$H,7,FALSE)=AP189,1,0)</f>
        <v>#N/A</v>
      </c>
      <c r="EC189" s="138" t="e">
        <f>IF(VLOOKUP(CONCATENATE(H189,F189,EC$2),Matemáticas!$A:$H,7,FALSE)=AQ189,1,0)</f>
        <v>#N/A</v>
      </c>
      <c r="ED189" s="138" t="e">
        <f>IF(VLOOKUP(CONCATENATE(H189,F189,ED$2),Matemáticas!$A:$H,7,FALSE)=AR189,1,0)</f>
        <v>#N/A</v>
      </c>
      <c r="EE189" s="138" t="e">
        <f>IF(VLOOKUP(CONCATENATE(H189,F189,EE$2),Matemáticas!$A:$H,7,FALSE)=AS189,1,0)</f>
        <v>#N/A</v>
      </c>
      <c r="EF189" s="138" t="e">
        <f>IF(VLOOKUP(CONCATENATE(H189,F189,EF$2),Matemáticas!$A:$H,7,FALSE)=AT189,1,0)</f>
        <v>#N/A</v>
      </c>
      <c r="EG189" s="138" t="e">
        <f>IF(VLOOKUP(CONCATENATE(H189,F189,EG$2),Matemáticas!$A:$H,7,FALSE)=AU189,1,0)</f>
        <v>#N/A</v>
      </c>
      <c r="EH189" s="138" t="e">
        <f>IF(VLOOKUP(CONCATENATE(H189,F189,EH$2),Matemáticas!$A:$H,7,FALSE)=AV189,1,0)</f>
        <v>#N/A</v>
      </c>
      <c r="EI189" s="138" t="e">
        <f>IF(VLOOKUP(CONCATENATE(H189,F189,EI$2),Matemáticas!$A:$H,7,FALSE)=AW189,1,0)</f>
        <v>#N/A</v>
      </c>
      <c r="EJ189" s="138" t="e">
        <f>IF(VLOOKUP(CONCATENATE(H189,F189,EJ$2),Matemáticas!$A:$H,7,FALSE)=AX189,1,0)</f>
        <v>#N/A</v>
      </c>
      <c r="EK189" s="138" t="e">
        <f>IF(VLOOKUP(CONCATENATE(H189,F189,EK$2),Matemáticas!$A:$H,7,FALSE)=AY189,1,0)</f>
        <v>#N/A</v>
      </c>
      <c r="EL189" s="138" t="e">
        <f>IF(VLOOKUP(CONCATENATE(H189,F189,EL$2),Matemáticas!$A:$H,7,FALSE)=AZ189,1,0)</f>
        <v>#N/A</v>
      </c>
      <c r="EM189" s="138" t="e">
        <f>IF(VLOOKUP(CONCATENATE(H189,F189,EM$2),Matemáticas!$A:$H,7,FALSE)=BA189,1,0)</f>
        <v>#N/A</v>
      </c>
      <c r="EN189" s="138" t="e">
        <f>IF(VLOOKUP(CONCATENATE(H189,F189,EN$2),Matemáticas!$A:$H,7,FALSE)=BB189,1,0)</f>
        <v>#N/A</v>
      </c>
      <c r="EO189" s="138" t="e">
        <f>IF(VLOOKUP(CONCATENATE(H189,F189,EO$2),Matemáticas!$A:$H,7,FALSE)=BC189,1,0)</f>
        <v>#N/A</v>
      </c>
      <c r="EP189" s="138" t="e">
        <f>IF(VLOOKUP(CONCATENATE(H189,F189,EP$2),Matemáticas!$A:$H,7,FALSE)=BD189,1,0)</f>
        <v>#N/A</v>
      </c>
      <c r="EQ189" s="138" t="e">
        <f>IF(VLOOKUP(CONCATENATE(H189,F189,EQ$2),Matemáticas!$A:$H,7,FALSE)=BE189,1,0)</f>
        <v>#N/A</v>
      </c>
      <c r="ER189" s="138" t="e">
        <f>IF(VLOOKUP(CONCATENATE(H189,F189,ER$2),Matemáticas!$A:$H,7,FALSE)=BF189,1,0)</f>
        <v>#N/A</v>
      </c>
      <c r="ES189" s="138" t="e">
        <f>IF(VLOOKUP(CONCATENATE(H189,F189,ES$2),Matemáticas!$A:$H,7,FALSE)=BG189,1,0)</f>
        <v>#N/A</v>
      </c>
      <c r="ET189" s="138" t="e">
        <f>IF(VLOOKUP(CONCATENATE(H189,F189,ET$2),Matemáticas!$A:$H,7,FALSE)=BH189,1,0)</f>
        <v>#N/A</v>
      </c>
      <c r="EU189" s="138" t="e">
        <f>IF(VLOOKUP(CONCATENATE(H189,F189,EU$2),Matemáticas!$A:$H,7,FALSE)=BI189,1,0)</f>
        <v>#N/A</v>
      </c>
      <c r="EV189" s="138" t="e">
        <f>IF(VLOOKUP(CONCATENATE(H189,F189,EV$2),Ciencias!$A:$H,7,FALSE)=BJ189,1,0)</f>
        <v>#N/A</v>
      </c>
      <c r="EW189" s="138" t="e">
        <f>IF(VLOOKUP(CONCATENATE(H189,F189,EW$2),Ciencias!$A:$H,7,FALSE)=BK189,1,0)</f>
        <v>#N/A</v>
      </c>
      <c r="EX189" s="138" t="e">
        <f>IF(VLOOKUP(CONCATENATE(H189,F189,EX$2),Ciencias!$A:$H,7,FALSE)=BL189,1,0)</f>
        <v>#N/A</v>
      </c>
      <c r="EY189" s="138" t="e">
        <f>IF(VLOOKUP(CONCATENATE(H189,F189,EY$2),Ciencias!$A:$H,7,FALSE)=BM189,1,0)</f>
        <v>#N/A</v>
      </c>
      <c r="EZ189" s="138" t="e">
        <f>IF(VLOOKUP(CONCATENATE(H189,F189,EZ$2),Ciencias!$A:$H,7,FALSE)=BN189,1,0)</f>
        <v>#N/A</v>
      </c>
      <c r="FA189" s="138" t="e">
        <f>IF(VLOOKUP(CONCATENATE(H189,F189,FA$2),Ciencias!$A:$H,7,FALSE)=BO189,1,0)</f>
        <v>#N/A</v>
      </c>
      <c r="FB189" s="138" t="e">
        <f>IF(VLOOKUP(CONCATENATE(H189,F189,FB$2),Ciencias!$A:$H,7,FALSE)=BP189,1,0)</f>
        <v>#N/A</v>
      </c>
      <c r="FC189" s="138" t="e">
        <f>IF(VLOOKUP(CONCATENATE(H189,F189,FC$2),Ciencias!$A:$H,7,FALSE)=BQ189,1,0)</f>
        <v>#N/A</v>
      </c>
      <c r="FD189" s="138" t="e">
        <f>IF(VLOOKUP(CONCATENATE(H189,F189,FD$2),Ciencias!$A:$H,7,FALSE)=BR189,1,0)</f>
        <v>#N/A</v>
      </c>
      <c r="FE189" s="138" t="e">
        <f>IF(VLOOKUP(CONCATENATE(H189,F189,FE$2),Ciencias!$A:$H,7,FALSE)=BS189,1,0)</f>
        <v>#N/A</v>
      </c>
      <c r="FF189" s="138" t="e">
        <f>IF(VLOOKUP(CONCATENATE(H189,F189,FF$2),Ciencias!$A:$H,7,FALSE)=BT189,1,0)</f>
        <v>#N/A</v>
      </c>
      <c r="FG189" s="138" t="e">
        <f>IF(VLOOKUP(CONCATENATE(H189,F189,FG$2),Ciencias!$A:$H,7,FALSE)=BU189,1,0)</f>
        <v>#N/A</v>
      </c>
      <c r="FH189" s="138" t="e">
        <f>IF(VLOOKUP(CONCATENATE(H189,F189,FH$2),Ciencias!$A:$H,7,FALSE)=BV189,1,0)</f>
        <v>#N/A</v>
      </c>
      <c r="FI189" s="138" t="e">
        <f>IF(VLOOKUP(CONCATENATE(H189,F189,FI$2),Ciencias!$A:$H,7,FALSE)=BW189,1,0)</f>
        <v>#N/A</v>
      </c>
      <c r="FJ189" s="138" t="e">
        <f>IF(VLOOKUP(CONCATENATE(H189,F189,FJ$2),Ciencias!$A:$H,7,FALSE)=BX189,1,0)</f>
        <v>#N/A</v>
      </c>
      <c r="FK189" s="138" t="e">
        <f>IF(VLOOKUP(CONCATENATE(H189,F189,FK$2),Ciencias!$A:$H,7,FALSE)=BY189,1,0)</f>
        <v>#N/A</v>
      </c>
      <c r="FL189" s="138" t="e">
        <f>IF(VLOOKUP(CONCATENATE(H189,F189,FL$2),Ciencias!$A:$H,7,FALSE)=BZ189,1,0)</f>
        <v>#N/A</v>
      </c>
      <c r="FM189" s="138" t="e">
        <f>IF(VLOOKUP(CONCATENATE(H189,F189,FM$2),Ciencias!$A:$H,7,FALSE)=CA189,1,0)</f>
        <v>#N/A</v>
      </c>
      <c r="FN189" s="138" t="e">
        <f>IF(VLOOKUP(CONCATENATE(H189,F189,FN$2),Ciencias!$A:$H,7,FALSE)=CB189,1,0)</f>
        <v>#N/A</v>
      </c>
      <c r="FO189" s="138" t="e">
        <f>IF(VLOOKUP(CONCATENATE(H189,F189,FO$2),Ciencias!$A:$H,7,FALSE)=CC189,1,0)</f>
        <v>#N/A</v>
      </c>
      <c r="FP189" s="138" t="e">
        <f>IF(VLOOKUP(CONCATENATE(H189,F189,FP$2),GeoHis!$A:$H,7,FALSE)=CD189,1,0)</f>
        <v>#N/A</v>
      </c>
      <c r="FQ189" s="138" t="e">
        <f>IF(VLOOKUP(CONCATENATE(H189,F189,FQ$2),GeoHis!$A:$H,7,FALSE)=CE189,1,0)</f>
        <v>#N/A</v>
      </c>
      <c r="FR189" s="138" t="e">
        <f>IF(VLOOKUP(CONCATENATE(H189,F189,FR$2),GeoHis!$A:$H,7,FALSE)=CF189,1,0)</f>
        <v>#N/A</v>
      </c>
      <c r="FS189" s="138" t="e">
        <f>IF(VLOOKUP(CONCATENATE(H189,F189,FS$2),GeoHis!$A:$H,7,FALSE)=CG189,1,0)</f>
        <v>#N/A</v>
      </c>
      <c r="FT189" s="138" t="e">
        <f>IF(VLOOKUP(CONCATENATE(H189,F189,FT$2),GeoHis!$A:$H,7,FALSE)=CH189,1,0)</f>
        <v>#N/A</v>
      </c>
      <c r="FU189" s="138" t="e">
        <f>IF(VLOOKUP(CONCATENATE(H189,F189,FU$2),GeoHis!$A:$H,7,FALSE)=CI189,1,0)</f>
        <v>#N/A</v>
      </c>
      <c r="FV189" s="138" t="e">
        <f>IF(VLOOKUP(CONCATENATE(H189,F189,FV$2),GeoHis!$A:$H,7,FALSE)=CJ189,1,0)</f>
        <v>#N/A</v>
      </c>
      <c r="FW189" s="138" t="e">
        <f>IF(VLOOKUP(CONCATENATE(H189,F189,FW$2),GeoHis!$A:$H,7,FALSE)=CK189,1,0)</f>
        <v>#N/A</v>
      </c>
      <c r="FX189" s="138" t="e">
        <f>IF(VLOOKUP(CONCATENATE(H189,F189,FX$2),GeoHis!$A:$H,7,FALSE)=CL189,1,0)</f>
        <v>#N/A</v>
      </c>
      <c r="FY189" s="138" t="e">
        <f>IF(VLOOKUP(CONCATENATE(H189,F189,FY$2),GeoHis!$A:$H,7,FALSE)=CM189,1,0)</f>
        <v>#N/A</v>
      </c>
      <c r="FZ189" s="138" t="e">
        <f>IF(VLOOKUP(CONCATENATE(H189,F189,FZ$2),GeoHis!$A:$H,7,FALSE)=CN189,1,0)</f>
        <v>#N/A</v>
      </c>
      <c r="GA189" s="138" t="e">
        <f>IF(VLOOKUP(CONCATENATE(H189,F189,GA$2),GeoHis!$A:$H,7,FALSE)=CO189,1,0)</f>
        <v>#N/A</v>
      </c>
      <c r="GB189" s="138" t="e">
        <f>IF(VLOOKUP(CONCATENATE(H189,F189,GB$2),GeoHis!$A:$H,7,FALSE)=CP189,1,0)</f>
        <v>#N/A</v>
      </c>
      <c r="GC189" s="138" t="e">
        <f>IF(VLOOKUP(CONCATENATE(H189,F189,GC$2),GeoHis!$A:$H,7,FALSE)=CQ189,1,0)</f>
        <v>#N/A</v>
      </c>
      <c r="GD189" s="138" t="e">
        <f>IF(VLOOKUP(CONCATENATE(H189,F189,GD$2),GeoHis!$A:$H,7,FALSE)=CR189,1,0)</f>
        <v>#N/A</v>
      </c>
      <c r="GE189" s="135" t="str">
        <f t="shared" si="23"/>
        <v/>
      </c>
    </row>
    <row r="190" spans="1:187" x14ac:dyDescent="0.25">
      <c r="A190" s="127" t="str">
        <f>IF(C190="","",'Datos Generales'!$A$25)</f>
        <v/>
      </c>
      <c r="D190" s="126" t="str">
        <f t="shared" si="16"/>
        <v/>
      </c>
      <c r="E190" s="126">
        <f t="shared" si="17"/>
        <v>0</v>
      </c>
      <c r="F190" s="126" t="str">
        <f t="shared" si="18"/>
        <v/>
      </c>
      <c r="G190" s="126" t="str">
        <f>IF(C190="","",'Datos Generales'!$D$19)</f>
        <v/>
      </c>
      <c r="H190" s="21" t="str">
        <f>IF(C190="","",'Datos Generales'!$A$19)</f>
        <v/>
      </c>
      <c r="I190" s="126" t="str">
        <f>IF(C190="","",'Datos Generales'!$A$7)</f>
        <v/>
      </c>
      <c r="J190" s="21" t="str">
        <f>IF(C190="","",'Datos Generales'!$A$13)</f>
        <v/>
      </c>
      <c r="K190" s="21" t="str">
        <f>IF(C190="","",'Datos Generales'!$A$10)</f>
        <v/>
      </c>
      <c r="CS190" s="142" t="str">
        <f t="shared" si="19"/>
        <v/>
      </c>
      <c r="CT190" s="142" t="str">
        <f t="shared" si="20"/>
        <v/>
      </c>
      <c r="CU190" s="142" t="str">
        <f t="shared" si="21"/>
        <v/>
      </c>
      <c r="CV190" s="142" t="str">
        <f t="shared" si="22"/>
        <v/>
      </c>
      <c r="CW190" s="142" t="str">
        <f>IF(C190="","",IF('Datos Generales'!$A$19=1,AVERAGE(FP190:GD190),AVERAGE(Captura!FP190:FY190)))</f>
        <v/>
      </c>
      <c r="CX190" s="138" t="e">
        <f>IF(VLOOKUP(CONCATENATE($H$4,$F$4,CX$2),Español!$A:$H,7,FALSE)=L190,1,0)</f>
        <v>#N/A</v>
      </c>
      <c r="CY190" s="138" t="e">
        <f>IF(VLOOKUP(CONCATENATE(H190,F190,CY$2),Español!$A:$H,7,FALSE)=M190,1,0)</f>
        <v>#N/A</v>
      </c>
      <c r="CZ190" s="138" t="e">
        <f>IF(VLOOKUP(CONCATENATE(H190,F190,CZ$2),Español!$A:$H,7,FALSE)=N190,1,0)</f>
        <v>#N/A</v>
      </c>
      <c r="DA190" s="138" t="e">
        <f>IF(VLOOKUP(CONCATENATE(H190,F190,DA$2),Español!$A:$H,7,FALSE)=O190,1,0)</f>
        <v>#N/A</v>
      </c>
      <c r="DB190" s="138" t="e">
        <f>IF(VLOOKUP(CONCATENATE(H190,F190,DB$2),Español!$A:$H,7,FALSE)=P190,1,0)</f>
        <v>#N/A</v>
      </c>
      <c r="DC190" s="138" t="e">
        <f>IF(VLOOKUP(CONCATENATE(H190,F190,DC$2),Español!$A:$H,7,FALSE)=Q190,1,0)</f>
        <v>#N/A</v>
      </c>
      <c r="DD190" s="138" t="e">
        <f>IF(VLOOKUP(CONCATENATE(H190,F190,DD$2),Español!$A:$H,7,FALSE)=R190,1,0)</f>
        <v>#N/A</v>
      </c>
      <c r="DE190" s="138" t="e">
        <f>IF(VLOOKUP(CONCATENATE(H190,F190,DE$2),Español!$A:$H,7,FALSE)=S190,1,0)</f>
        <v>#N/A</v>
      </c>
      <c r="DF190" s="138" t="e">
        <f>IF(VLOOKUP(CONCATENATE(H190,F190,DF$2),Español!$A:$H,7,FALSE)=T190,1,0)</f>
        <v>#N/A</v>
      </c>
      <c r="DG190" s="138" t="e">
        <f>IF(VLOOKUP(CONCATENATE(H190,F190,DG$2),Español!$A:$H,7,FALSE)=U190,1,0)</f>
        <v>#N/A</v>
      </c>
      <c r="DH190" s="138" t="e">
        <f>IF(VLOOKUP(CONCATENATE(H190,F190,DH$2),Español!$A:$H,7,FALSE)=V190,1,0)</f>
        <v>#N/A</v>
      </c>
      <c r="DI190" s="138" t="e">
        <f>IF(VLOOKUP(CONCATENATE(H190,F190,DI$2),Español!$A:$H,7,FALSE)=W190,1,0)</f>
        <v>#N/A</v>
      </c>
      <c r="DJ190" s="138" t="e">
        <f>IF(VLOOKUP(CONCATENATE(H190,F190,DJ$2),Español!$A:$H,7,FALSE)=X190,1,0)</f>
        <v>#N/A</v>
      </c>
      <c r="DK190" s="138" t="e">
        <f>IF(VLOOKUP(CONCATENATE(H190,F190,DK$2),Español!$A:$H,7,FALSE)=Y190,1,0)</f>
        <v>#N/A</v>
      </c>
      <c r="DL190" s="138" t="e">
        <f>IF(VLOOKUP(CONCATENATE(H190,F190,DL$2),Español!$A:$H,7,FALSE)=Z190,1,0)</f>
        <v>#N/A</v>
      </c>
      <c r="DM190" s="138" t="e">
        <f>IF(VLOOKUP(CONCATENATE(H190,F190,DM$2),Español!$A:$H,7,FALSE)=AA190,1,0)</f>
        <v>#N/A</v>
      </c>
      <c r="DN190" s="138" t="e">
        <f>IF(VLOOKUP(CONCATENATE(H190,F190,DN$2),Español!$A:$H,7,FALSE)=AB190,1,0)</f>
        <v>#N/A</v>
      </c>
      <c r="DO190" s="138" t="e">
        <f>IF(VLOOKUP(CONCATENATE(H190,F190,DO$2),Español!$A:$H,7,FALSE)=AC190,1,0)</f>
        <v>#N/A</v>
      </c>
      <c r="DP190" s="138" t="e">
        <f>IF(VLOOKUP(CONCATENATE(H190,F190,DP$2),Español!$A:$H,7,FALSE)=AD190,1,0)</f>
        <v>#N/A</v>
      </c>
      <c r="DQ190" s="138" t="e">
        <f>IF(VLOOKUP(CONCATENATE(H190,F190,DQ$2),Español!$A:$H,7,FALSE)=AE190,1,0)</f>
        <v>#N/A</v>
      </c>
      <c r="DR190" s="138" t="e">
        <f>IF(VLOOKUP(CONCATENATE(H190,F190,DR$2),Inglés!$A:$H,7,FALSE)=AF190,1,0)</f>
        <v>#N/A</v>
      </c>
      <c r="DS190" s="138" t="e">
        <f>IF(VLOOKUP(CONCATENATE(H190,F190,DS$2),Inglés!$A:$H,7,FALSE)=AG190,1,0)</f>
        <v>#N/A</v>
      </c>
      <c r="DT190" s="138" t="e">
        <f>IF(VLOOKUP(CONCATENATE(H190,F190,DT$2),Inglés!$A:$H,7,FALSE)=AH190,1,0)</f>
        <v>#N/A</v>
      </c>
      <c r="DU190" s="138" t="e">
        <f>IF(VLOOKUP(CONCATENATE(H190,F190,DU$2),Inglés!$A:$H,7,FALSE)=AI190,1,0)</f>
        <v>#N/A</v>
      </c>
      <c r="DV190" s="138" t="e">
        <f>IF(VLOOKUP(CONCATENATE(H190,F190,DV$2),Inglés!$A:$H,7,FALSE)=AJ190,1,0)</f>
        <v>#N/A</v>
      </c>
      <c r="DW190" s="138" t="e">
        <f>IF(VLOOKUP(CONCATENATE(H190,F190,DW$2),Inglés!$A:$H,7,FALSE)=AK190,1,0)</f>
        <v>#N/A</v>
      </c>
      <c r="DX190" s="138" t="e">
        <f>IF(VLOOKUP(CONCATENATE(H190,F190,DX$2),Inglés!$A:$H,7,FALSE)=AL190,1,0)</f>
        <v>#N/A</v>
      </c>
      <c r="DY190" s="138" t="e">
        <f>IF(VLOOKUP(CONCATENATE(H190,F190,DY$2),Inglés!$A:$H,7,FALSE)=AM190,1,0)</f>
        <v>#N/A</v>
      </c>
      <c r="DZ190" s="138" t="e">
        <f>IF(VLOOKUP(CONCATENATE(H190,F190,DZ$2),Inglés!$A:$H,7,FALSE)=AN190,1,0)</f>
        <v>#N/A</v>
      </c>
      <c r="EA190" s="138" t="e">
        <f>IF(VLOOKUP(CONCATENATE(H190,F190,EA$2),Inglés!$A:$H,7,FALSE)=AO190,1,0)</f>
        <v>#N/A</v>
      </c>
      <c r="EB190" s="138" t="e">
        <f>IF(VLOOKUP(CONCATENATE(H190,F190,EB$2),Matemáticas!$A:$H,7,FALSE)=AP190,1,0)</f>
        <v>#N/A</v>
      </c>
      <c r="EC190" s="138" t="e">
        <f>IF(VLOOKUP(CONCATENATE(H190,F190,EC$2),Matemáticas!$A:$H,7,FALSE)=AQ190,1,0)</f>
        <v>#N/A</v>
      </c>
      <c r="ED190" s="138" t="e">
        <f>IF(VLOOKUP(CONCATENATE(H190,F190,ED$2),Matemáticas!$A:$H,7,FALSE)=AR190,1,0)</f>
        <v>#N/A</v>
      </c>
      <c r="EE190" s="138" t="e">
        <f>IF(VLOOKUP(CONCATENATE(H190,F190,EE$2),Matemáticas!$A:$H,7,FALSE)=AS190,1,0)</f>
        <v>#N/A</v>
      </c>
      <c r="EF190" s="138" t="e">
        <f>IF(VLOOKUP(CONCATENATE(H190,F190,EF$2),Matemáticas!$A:$H,7,FALSE)=AT190,1,0)</f>
        <v>#N/A</v>
      </c>
      <c r="EG190" s="138" t="e">
        <f>IF(VLOOKUP(CONCATENATE(H190,F190,EG$2),Matemáticas!$A:$H,7,FALSE)=AU190,1,0)</f>
        <v>#N/A</v>
      </c>
      <c r="EH190" s="138" t="e">
        <f>IF(VLOOKUP(CONCATENATE(H190,F190,EH$2),Matemáticas!$A:$H,7,FALSE)=AV190,1,0)</f>
        <v>#N/A</v>
      </c>
      <c r="EI190" s="138" t="e">
        <f>IF(VLOOKUP(CONCATENATE(H190,F190,EI$2),Matemáticas!$A:$H,7,FALSE)=AW190,1,0)</f>
        <v>#N/A</v>
      </c>
      <c r="EJ190" s="138" t="e">
        <f>IF(VLOOKUP(CONCATENATE(H190,F190,EJ$2),Matemáticas!$A:$H,7,FALSE)=AX190,1,0)</f>
        <v>#N/A</v>
      </c>
      <c r="EK190" s="138" t="e">
        <f>IF(VLOOKUP(CONCATENATE(H190,F190,EK$2),Matemáticas!$A:$H,7,FALSE)=AY190,1,0)</f>
        <v>#N/A</v>
      </c>
      <c r="EL190" s="138" t="e">
        <f>IF(VLOOKUP(CONCATENATE(H190,F190,EL$2),Matemáticas!$A:$H,7,FALSE)=AZ190,1,0)</f>
        <v>#N/A</v>
      </c>
      <c r="EM190" s="138" t="e">
        <f>IF(VLOOKUP(CONCATENATE(H190,F190,EM$2),Matemáticas!$A:$H,7,FALSE)=BA190,1,0)</f>
        <v>#N/A</v>
      </c>
      <c r="EN190" s="138" t="e">
        <f>IF(VLOOKUP(CONCATENATE(H190,F190,EN$2),Matemáticas!$A:$H,7,FALSE)=BB190,1,0)</f>
        <v>#N/A</v>
      </c>
      <c r="EO190" s="138" t="e">
        <f>IF(VLOOKUP(CONCATENATE(H190,F190,EO$2),Matemáticas!$A:$H,7,FALSE)=BC190,1,0)</f>
        <v>#N/A</v>
      </c>
      <c r="EP190" s="138" t="e">
        <f>IF(VLOOKUP(CONCATENATE(H190,F190,EP$2),Matemáticas!$A:$H,7,FALSE)=BD190,1,0)</f>
        <v>#N/A</v>
      </c>
      <c r="EQ190" s="138" t="e">
        <f>IF(VLOOKUP(CONCATENATE(H190,F190,EQ$2),Matemáticas!$A:$H,7,FALSE)=BE190,1,0)</f>
        <v>#N/A</v>
      </c>
      <c r="ER190" s="138" t="e">
        <f>IF(VLOOKUP(CONCATENATE(H190,F190,ER$2),Matemáticas!$A:$H,7,FALSE)=BF190,1,0)</f>
        <v>#N/A</v>
      </c>
      <c r="ES190" s="138" t="e">
        <f>IF(VLOOKUP(CONCATENATE(H190,F190,ES$2),Matemáticas!$A:$H,7,FALSE)=BG190,1,0)</f>
        <v>#N/A</v>
      </c>
      <c r="ET190" s="138" t="e">
        <f>IF(VLOOKUP(CONCATENATE(H190,F190,ET$2),Matemáticas!$A:$H,7,FALSE)=BH190,1,0)</f>
        <v>#N/A</v>
      </c>
      <c r="EU190" s="138" t="e">
        <f>IF(VLOOKUP(CONCATENATE(H190,F190,EU$2),Matemáticas!$A:$H,7,FALSE)=BI190,1,0)</f>
        <v>#N/A</v>
      </c>
      <c r="EV190" s="138" t="e">
        <f>IF(VLOOKUP(CONCATENATE(H190,F190,EV$2),Ciencias!$A:$H,7,FALSE)=BJ190,1,0)</f>
        <v>#N/A</v>
      </c>
      <c r="EW190" s="138" t="e">
        <f>IF(VLOOKUP(CONCATENATE(H190,F190,EW$2),Ciencias!$A:$H,7,FALSE)=BK190,1,0)</f>
        <v>#N/A</v>
      </c>
      <c r="EX190" s="138" t="e">
        <f>IF(VLOOKUP(CONCATENATE(H190,F190,EX$2),Ciencias!$A:$H,7,FALSE)=BL190,1,0)</f>
        <v>#N/A</v>
      </c>
      <c r="EY190" s="138" t="e">
        <f>IF(VLOOKUP(CONCATENATE(H190,F190,EY$2),Ciencias!$A:$H,7,FALSE)=BM190,1,0)</f>
        <v>#N/A</v>
      </c>
      <c r="EZ190" s="138" t="e">
        <f>IF(VLOOKUP(CONCATENATE(H190,F190,EZ$2),Ciencias!$A:$H,7,FALSE)=BN190,1,0)</f>
        <v>#N/A</v>
      </c>
      <c r="FA190" s="138" t="e">
        <f>IF(VLOOKUP(CONCATENATE(H190,F190,FA$2),Ciencias!$A:$H,7,FALSE)=BO190,1,0)</f>
        <v>#N/A</v>
      </c>
      <c r="FB190" s="138" t="e">
        <f>IF(VLOOKUP(CONCATENATE(H190,F190,FB$2),Ciencias!$A:$H,7,FALSE)=BP190,1,0)</f>
        <v>#N/A</v>
      </c>
      <c r="FC190" s="138" t="e">
        <f>IF(VLOOKUP(CONCATENATE(H190,F190,FC$2),Ciencias!$A:$H,7,FALSE)=BQ190,1,0)</f>
        <v>#N/A</v>
      </c>
      <c r="FD190" s="138" t="e">
        <f>IF(VLOOKUP(CONCATENATE(H190,F190,FD$2),Ciencias!$A:$H,7,FALSE)=BR190,1,0)</f>
        <v>#N/A</v>
      </c>
      <c r="FE190" s="138" t="e">
        <f>IF(VLOOKUP(CONCATENATE(H190,F190,FE$2),Ciencias!$A:$H,7,FALSE)=BS190,1,0)</f>
        <v>#N/A</v>
      </c>
      <c r="FF190" s="138" t="e">
        <f>IF(VLOOKUP(CONCATENATE(H190,F190,FF$2),Ciencias!$A:$H,7,FALSE)=BT190,1,0)</f>
        <v>#N/A</v>
      </c>
      <c r="FG190" s="138" t="e">
        <f>IF(VLOOKUP(CONCATENATE(H190,F190,FG$2),Ciencias!$A:$H,7,FALSE)=BU190,1,0)</f>
        <v>#N/A</v>
      </c>
      <c r="FH190" s="138" t="e">
        <f>IF(VLOOKUP(CONCATENATE(H190,F190,FH$2),Ciencias!$A:$H,7,FALSE)=BV190,1,0)</f>
        <v>#N/A</v>
      </c>
      <c r="FI190" s="138" t="e">
        <f>IF(VLOOKUP(CONCATENATE(H190,F190,FI$2),Ciencias!$A:$H,7,FALSE)=BW190,1,0)</f>
        <v>#N/A</v>
      </c>
      <c r="FJ190" s="138" t="e">
        <f>IF(VLOOKUP(CONCATENATE(H190,F190,FJ$2),Ciencias!$A:$H,7,FALSE)=BX190,1,0)</f>
        <v>#N/A</v>
      </c>
      <c r="FK190" s="138" t="e">
        <f>IF(VLOOKUP(CONCATENATE(H190,F190,FK$2),Ciencias!$A:$H,7,FALSE)=BY190,1,0)</f>
        <v>#N/A</v>
      </c>
      <c r="FL190" s="138" t="e">
        <f>IF(VLOOKUP(CONCATENATE(H190,F190,FL$2),Ciencias!$A:$H,7,FALSE)=BZ190,1,0)</f>
        <v>#N/A</v>
      </c>
      <c r="FM190" s="138" t="e">
        <f>IF(VLOOKUP(CONCATENATE(H190,F190,FM$2),Ciencias!$A:$H,7,FALSE)=CA190,1,0)</f>
        <v>#N/A</v>
      </c>
      <c r="FN190" s="138" t="e">
        <f>IF(VLOOKUP(CONCATENATE(H190,F190,FN$2),Ciencias!$A:$H,7,FALSE)=CB190,1,0)</f>
        <v>#N/A</v>
      </c>
      <c r="FO190" s="138" t="e">
        <f>IF(VLOOKUP(CONCATENATE(H190,F190,FO$2),Ciencias!$A:$H,7,FALSE)=CC190,1,0)</f>
        <v>#N/A</v>
      </c>
      <c r="FP190" s="138" t="e">
        <f>IF(VLOOKUP(CONCATENATE(H190,F190,FP$2),GeoHis!$A:$H,7,FALSE)=CD190,1,0)</f>
        <v>#N/A</v>
      </c>
      <c r="FQ190" s="138" t="e">
        <f>IF(VLOOKUP(CONCATENATE(H190,F190,FQ$2),GeoHis!$A:$H,7,FALSE)=CE190,1,0)</f>
        <v>#N/A</v>
      </c>
      <c r="FR190" s="138" t="e">
        <f>IF(VLOOKUP(CONCATENATE(H190,F190,FR$2),GeoHis!$A:$H,7,FALSE)=CF190,1,0)</f>
        <v>#N/A</v>
      </c>
      <c r="FS190" s="138" t="e">
        <f>IF(VLOOKUP(CONCATENATE(H190,F190,FS$2),GeoHis!$A:$H,7,FALSE)=CG190,1,0)</f>
        <v>#N/A</v>
      </c>
      <c r="FT190" s="138" t="e">
        <f>IF(VLOOKUP(CONCATENATE(H190,F190,FT$2),GeoHis!$A:$H,7,FALSE)=CH190,1,0)</f>
        <v>#N/A</v>
      </c>
      <c r="FU190" s="138" t="e">
        <f>IF(VLOOKUP(CONCATENATE(H190,F190,FU$2),GeoHis!$A:$H,7,FALSE)=CI190,1,0)</f>
        <v>#N/A</v>
      </c>
      <c r="FV190" s="138" t="e">
        <f>IF(VLOOKUP(CONCATENATE(H190,F190,FV$2),GeoHis!$A:$H,7,FALSE)=CJ190,1,0)</f>
        <v>#N/A</v>
      </c>
      <c r="FW190" s="138" t="e">
        <f>IF(VLOOKUP(CONCATENATE(H190,F190,FW$2),GeoHis!$A:$H,7,FALSE)=CK190,1,0)</f>
        <v>#N/A</v>
      </c>
      <c r="FX190" s="138" t="e">
        <f>IF(VLOOKUP(CONCATENATE(H190,F190,FX$2),GeoHis!$A:$H,7,FALSE)=CL190,1,0)</f>
        <v>#N/A</v>
      </c>
      <c r="FY190" s="138" t="e">
        <f>IF(VLOOKUP(CONCATENATE(H190,F190,FY$2),GeoHis!$A:$H,7,FALSE)=CM190,1,0)</f>
        <v>#N/A</v>
      </c>
      <c r="FZ190" s="138" t="e">
        <f>IF(VLOOKUP(CONCATENATE(H190,F190,FZ$2),GeoHis!$A:$H,7,FALSE)=CN190,1,0)</f>
        <v>#N/A</v>
      </c>
      <c r="GA190" s="138" t="e">
        <f>IF(VLOOKUP(CONCATENATE(H190,F190,GA$2),GeoHis!$A:$H,7,FALSE)=CO190,1,0)</f>
        <v>#N/A</v>
      </c>
      <c r="GB190" s="138" t="e">
        <f>IF(VLOOKUP(CONCATENATE(H190,F190,GB$2),GeoHis!$A:$H,7,FALSE)=CP190,1,0)</f>
        <v>#N/A</v>
      </c>
      <c r="GC190" s="138" t="e">
        <f>IF(VLOOKUP(CONCATENATE(H190,F190,GC$2),GeoHis!$A:$H,7,FALSE)=CQ190,1,0)</f>
        <v>#N/A</v>
      </c>
      <c r="GD190" s="138" t="e">
        <f>IF(VLOOKUP(CONCATENATE(H190,F190,GD$2),GeoHis!$A:$H,7,FALSE)=CR190,1,0)</f>
        <v>#N/A</v>
      </c>
      <c r="GE190" s="135" t="str">
        <f t="shared" si="23"/>
        <v/>
      </c>
    </row>
    <row r="191" spans="1:187" x14ac:dyDescent="0.25">
      <c r="A191" s="127" t="str">
        <f>IF(C191="","",'Datos Generales'!$A$25)</f>
        <v/>
      </c>
      <c r="D191" s="126" t="str">
        <f t="shared" si="16"/>
        <v/>
      </c>
      <c r="E191" s="126">
        <f t="shared" si="17"/>
        <v>0</v>
      </c>
      <c r="F191" s="126" t="str">
        <f t="shared" si="18"/>
        <v/>
      </c>
      <c r="G191" s="126" t="str">
        <f>IF(C191="","",'Datos Generales'!$D$19)</f>
        <v/>
      </c>
      <c r="H191" s="21" t="str">
        <f>IF(C191="","",'Datos Generales'!$A$19)</f>
        <v/>
      </c>
      <c r="I191" s="126" t="str">
        <f>IF(C191="","",'Datos Generales'!$A$7)</f>
        <v/>
      </c>
      <c r="J191" s="21" t="str">
        <f>IF(C191="","",'Datos Generales'!$A$13)</f>
        <v/>
      </c>
      <c r="K191" s="21" t="str">
        <f>IF(C191="","",'Datos Generales'!$A$10)</f>
        <v/>
      </c>
      <c r="CS191" s="142" t="str">
        <f t="shared" si="19"/>
        <v/>
      </c>
      <c r="CT191" s="142" t="str">
        <f t="shared" si="20"/>
        <v/>
      </c>
      <c r="CU191" s="142" t="str">
        <f t="shared" si="21"/>
        <v/>
      </c>
      <c r="CV191" s="142" t="str">
        <f t="shared" si="22"/>
        <v/>
      </c>
      <c r="CW191" s="142" t="str">
        <f>IF(C191="","",IF('Datos Generales'!$A$19=1,AVERAGE(FP191:GD191),AVERAGE(Captura!FP191:FY191)))</f>
        <v/>
      </c>
      <c r="CX191" s="138" t="e">
        <f>IF(VLOOKUP(CONCATENATE($H$4,$F$4,CX$2),Español!$A:$H,7,FALSE)=L191,1,0)</f>
        <v>#N/A</v>
      </c>
      <c r="CY191" s="138" t="e">
        <f>IF(VLOOKUP(CONCATENATE(H191,F191,CY$2),Español!$A:$H,7,FALSE)=M191,1,0)</f>
        <v>#N/A</v>
      </c>
      <c r="CZ191" s="138" t="e">
        <f>IF(VLOOKUP(CONCATENATE(H191,F191,CZ$2),Español!$A:$H,7,FALSE)=N191,1,0)</f>
        <v>#N/A</v>
      </c>
      <c r="DA191" s="138" t="e">
        <f>IF(VLOOKUP(CONCATENATE(H191,F191,DA$2),Español!$A:$H,7,FALSE)=O191,1,0)</f>
        <v>#N/A</v>
      </c>
      <c r="DB191" s="138" t="e">
        <f>IF(VLOOKUP(CONCATENATE(H191,F191,DB$2),Español!$A:$H,7,FALSE)=P191,1,0)</f>
        <v>#N/A</v>
      </c>
      <c r="DC191" s="138" t="e">
        <f>IF(VLOOKUP(CONCATENATE(H191,F191,DC$2),Español!$A:$H,7,FALSE)=Q191,1,0)</f>
        <v>#N/A</v>
      </c>
      <c r="DD191" s="138" t="e">
        <f>IF(VLOOKUP(CONCATENATE(H191,F191,DD$2),Español!$A:$H,7,FALSE)=R191,1,0)</f>
        <v>#N/A</v>
      </c>
      <c r="DE191" s="138" t="e">
        <f>IF(VLOOKUP(CONCATENATE(H191,F191,DE$2),Español!$A:$H,7,FALSE)=S191,1,0)</f>
        <v>#N/A</v>
      </c>
      <c r="DF191" s="138" t="e">
        <f>IF(VLOOKUP(CONCATENATE(H191,F191,DF$2),Español!$A:$H,7,FALSE)=T191,1,0)</f>
        <v>#N/A</v>
      </c>
      <c r="DG191" s="138" t="e">
        <f>IF(VLOOKUP(CONCATENATE(H191,F191,DG$2),Español!$A:$H,7,FALSE)=U191,1,0)</f>
        <v>#N/A</v>
      </c>
      <c r="DH191" s="138" t="e">
        <f>IF(VLOOKUP(CONCATENATE(H191,F191,DH$2),Español!$A:$H,7,FALSE)=V191,1,0)</f>
        <v>#N/A</v>
      </c>
      <c r="DI191" s="138" t="e">
        <f>IF(VLOOKUP(CONCATENATE(H191,F191,DI$2),Español!$A:$H,7,FALSE)=W191,1,0)</f>
        <v>#N/A</v>
      </c>
      <c r="DJ191" s="138" t="e">
        <f>IF(VLOOKUP(CONCATENATE(H191,F191,DJ$2),Español!$A:$H,7,FALSE)=X191,1,0)</f>
        <v>#N/A</v>
      </c>
      <c r="DK191" s="138" t="e">
        <f>IF(VLOOKUP(CONCATENATE(H191,F191,DK$2),Español!$A:$H,7,FALSE)=Y191,1,0)</f>
        <v>#N/A</v>
      </c>
      <c r="DL191" s="138" t="e">
        <f>IF(VLOOKUP(CONCATENATE(H191,F191,DL$2),Español!$A:$H,7,FALSE)=Z191,1,0)</f>
        <v>#N/A</v>
      </c>
      <c r="DM191" s="138" t="e">
        <f>IF(VLOOKUP(CONCATENATE(H191,F191,DM$2),Español!$A:$H,7,FALSE)=AA191,1,0)</f>
        <v>#N/A</v>
      </c>
      <c r="DN191" s="138" t="e">
        <f>IF(VLOOKUP(CONCATENATE(H191,F191,DN$2),Español!$A:$H,7,FALSE)=AB191,1,0)</f>
        <v>#N/A</v>
      </c>
      <c r="DO191" s="138" t="e">
        <f>IF(VLOOKUP(CONCATENATE(H191,F191,DO$2),Español!$A:$H,7,FALSE)=AC191,1,0)</f>
        <v>#N/A</v>
      </c>
      <c r="DP191" s="138" t="e">
        <f>IF(VLOOKUP(CONCATENATE(H191,F191,DP$2),Español!$A:$H,7,FALSE)=AD191,1,0)</f>
        <v>#N/A</v>
      </c>
      <c r="DQ191" s="138" t="e">
        <f>IF(VLOOKUP(CONCATENATE(H191,F191,DQ$2),Español!$A:$H,7,FALSE)=AE191,1,0)</f>
        <v>#N/A</v>
      </c>
      <c r="DR191" s="138" t="e">
        <f>IF(VLOOKUP(CONCATENATE(H191,F191,DR$2),Inglés!$A:$H,7,FALSE)=AF191,1,0)</f>
        <v>#N/A</v>
      </c>
      <c r="DS191" s="138" t="e">
        <f>IF(VLOOKUP(CONCATENATE(H191,F191,DS$2),Inglés!$A:$H,7,FALSE)=AG191,1,0)</f>
        <v>#N/A</v>
      </c>
      <c r="DT191" s="138" t="e">
        <f>IF(VLOOKUP(CONCATENATE(H191,F191,DT$2),Inglés!$A:$H,7,FALSE)=AH191,1,0)</f>
        <v>#N/A</v>
      </c>
      <c r="DU191" s="138" t="e">
        <f>IF(VLOOKUP(CONCATENATE(H191,F191,DU$2),Inglés!$A:$H,7,FALSE)=AI191,1,0)</f>
        <v>#N/A</v>
      </c>
      <c r="DV191" s="138" t="e">
        <f>IF(VLOOKUP(CONCATENATE(H191,F191,DV$2),Inglés!$A:$H,7,FALSE)=AJ191,1,0)</f>
        <v>#N/A</v>
      </c>
      <c r="DW191" s="138" t="e">
        <f>IF(VLOOKUP(CONCATENATE(H191,F191,DW$2),Inglés!$A:$H,7,FALSE)=AK191,1,0)</f>
        <v>#N/A</v>
      </c>
      <c r="DX191" s="138" t="e">
        <f>IF(VLOOKUP(CONCATENATE(H191,F191,DX$2),Inglés!$A:$H,7,FALSE)=AL191,1,0)</f>
        <v>#N/A</v>
      </c>
      <c r="DY191" s="138" t="e">
        <f>IF(VLOOKUP(CONCATENATE(H191,F191,DY$2),Inglés!$A:$H,7,FALSE)=AM191,1,0)</f>
        <v>#N/A</v>
      </c>
      <c r="DZ191" s="138" t="e">
        <f>IF(VLOOKUP(CONCATENATE(H191,F191,DZ$2),Inglés!$A:$H,7,FALSE)=AN191,1,0)</f>
        <v>#N/A</v>
      </c>
      <c r="EA191" s="138" t="e">
        <f>IF(VLOOKUP(CONCATENATE(H191,F191,EA$2),Inglés!$A:$H,7,FALSE)=AO191,1,0)</f>
        <v>#N/A</v>
      </c>
      <c r="EB191" s="138" t="e">
        <f>IF(VLOOKUP(CONCATENATE(H191,F191,EB$2),Matemáticas!$A:$H,7,FALSE)=AP191,1,0)</f>
        <v>#N/A</v>
      </c>
      <c r="EC191" s="138" t="e">
        <f>IF(VLOOKUP(CONCATENATE(H191,F191,EC$2),Matemáticas!$A:$H,7,FALSE)=AQ191,1,0)</f>
        <v>#N/A</v>
      </c>
      <c r="ED191" s="138" t="e">
        <f>IF(VLOOKUP(CONCATENATE(H191,F191,ED$2),Matemáticas!$A:$H,7,FALSE)=AR191,1,0)</f>
        <v>#N/A</v>
      </c>
      <c r="EE191" s="138" t="e">
        <f>IF(VLOOKUP(CONCATENATE(H191,F191,EE$2),Matemáticas!$A:$H,7,FALSE)=AS191,1,0)</f>
        <v>#N/A</v>
      </c>
      <c r="EF191" s="138" t="e">
        <f>IF(VLOOKUP(CONCATENATE(H191,F191,EF$2),Matemáticas!$A:$H,7,FALSE)=AT191,1,0)</f>
        <v>#N/A</v>
      </c>
      <c r="EG191" s="138" t="e">
        <f>IF(VLOOKUP(CONCATENATE(H191,F191,EG$2),Matemáticas!$A:$H,7,FALSE)=AU191,1,0)</f>
        <v>#N/A</v>
      </c>
      <c r="EH191" s="138" t="e">
        <f>IF(VLOOKUP(CONCATENATE(H191,F191,EH$2),Matemáticas!$A:$H,7,FALSE)=AV191,1,0)</f>
        <v>#N/A</v>
      </c>
      <c r="EI191" s="138" t="e">
        <f>IF(VLOOKUP(CONCATENATE(H191,F191,EI$2),Matemáticas!$A:$H,7,FALSE)=AW191,1,0)</f>
        <v>#N/A</v>
      </c>
      <c r="EJ191" s="138" t="e">
        <f>IF(VLOOKUP(CONCATENATE(H191,F191,EJ$2),Matemáticas!$A:$H,7,FALSE)=AX191,1,0)</f>
        <v>#N/A</v>
      </c>
      <c r="EK191" s="138" t="e">
        <f>IF(VLOOKUP(CONCATENATE(H191,F191,EK$2),Matemáticas!$A:$H,7,FALSE)=AY191,1,0)</f>
        <v>#N/A</v>
      </c>
      <c r="EL191" s="138" t="e">
        <f>IF(VLOOKUP(CONCATENATE(H191,F191,EL$2),Matemáticas!$A:$H,7,FALSE)=AZ191,1,0)</f>
        <v>#N/A</v>
      </c>
      <c r="EM191" s="138" t="e">
        <f>IF(VLOOKUP(CONCATENATE(H191,F191,EM$2),Matemáticas!$A:$H,7,FALSE)=BA191,1,0)</f>
        <v>#N/A</v>
      </c>
      <c r="EN191" s="138" t="e">
        <f>IF(VLOOKUP(CONCATENATE(H191,F191,EN$2),Matemáticas!$A:$H,7,FALSE)=BB191,1,0)</f>
        <v>#N/A</v>
      </c>
      <c r="EO191" s="138" t="e">
        <f>IF(VLOOKUP(CONCATENATE(H191,F191,EO$2),Matemáticas!$A:$H,7,FALSE)=BC191,1,0)</f>
        <v>#N/A</v>
      </c>
      <c r="EP191" s="138" t="e">
        <f>IF(VLOOKUP(CONCATENATE(H191,F191,EP$2),Matemáticas!$A:$H,7,FALSE)=BD191,1,0)</f>
        <v>#N/A</v>
      </c>
      <c r="EQ191" s="138" t="e">
        <f>IF(VLOOKUP(CONCATENATE(H191,F191,EQ$2),Matemáticas!$A:$H,7,FALSE)=BE191,1,0)</f>
        <v>#N/A</v>
      </c>
      <c r="ER191" s="138" t="e">
        <f>IF(VLOOKUP(CONCATENATE(H191,F191,ER$2),Matemáticas!$A:$H,7,FALSE)=BF191,1,0)</f>
        <v>#N/A</v>
      </c>
      <c r="ES191" s="138" t="e">
        <f>IF(VLOOKUP(CONCATENATE(H191,F191,ES$2),Matemáticas!$A:$H,7,FALSE)=BG191,1,0)</f>
        <v>#N/A</v>
      </c>
      <c r="ET191" s="138" t="e">
        <f>IF(VLOOKUP(CONCATENATE(H191,F191,ET$2),Matemáticas!$A:$H,7,FALSE)=BH191,1,0)</f>
        <v>#N/A</v>
      </c>
      <c r="EU191" s="138" t="e">
        <f>IF(VLOOKUP(CONCATENATE(H191,F191,EU$2),Matemáticas!$A:$H,7,FALSE)=BI191,1,0)</f>
        <v>#N/A</v>
      </c>
      <c r="EV191" s="138" t="e">
        <f>IF(VLOOKUP(CONCATENATE(H191,F191,EV$2),Ciencias!$A:$H,7,FALSE)=BJ191,1,0)</f>
        <v>#N/A</v>
      </c>
      <c r="EW191" s="138" t="e">
        <f>IF(VLOOKUP(CONCATENATE(H191,F191,EW$2),Ciencias!$A:$H,7,FALSE)=BK191,1,0)</f>
        <v>#N/A</v>
      </c>
      <c r="EX191" s="138" t="e">
        <f>IF(VLOOKUP(CONCATENATE(H191,F191,EX$2),Ciencias!$A:$H,7,FALSE)=BL191,1,0)</f>
        <v>#N/A</v>
      </c>
      <c r="EY191" s="138" t="e">
        <f>IF(VLOOKUP(CONCATENATE(H191,F191,EY$2),Ciencias!$A:$H,7,FALSE)=BM191,1,0)</f>
        <v>#N/A</v>
      </c>
      <c r="EZ191" s="138" t="e">
        <f>IF(VLOOKUP(CONCATENATE(H191,F191,EZ$2),Ciencias!$A:$H,7,FALSE)=BN191,1,0)</f>
        <v>#N/A</v>
      </c>
      <c r="FA191" s="138" t="e">
        <f>IF(VLOOKUP(CONCATENATE(H191,F191,FA$2),Ciencias!$A:$H,7,FALSE)=BO191,1,0)</f>
        <v>#N/A</v>
      </c>
      <c r="FB191" s="138" t="e">
        <f>IF(VLOOKUP(CONCATENATE(H191,F191,FB$2),Ciencias!$A:$H,7,FALSE)=BP191,1,0)</f>
        <v>#N/A</v>
      </c>
      <c r="FC191" s="138" t="e">
        <f>IF(VLOOKUP(CONCATENATE(H191,F191,FC$2),Ciencias!$A:$H,7,FALSE)=BQ191,1,0)</f>
        <v>#N/A</v>
      </c>
      <c r="FD191" s="138" t="e">
        <f>IF(VLOOKUP(CONCATENATE(H191,F191,FD$2),Ciencias!$A:$H,7,FALSE)=BR191,1,0)</f>
        <v>#N/A</v>
      </c>
      <c r="FE191" s="138" t="e">
        <f>IF(VLOOKUP(CONCATENATE(H191,F191,FE$2),Ciencias!$A:$H,7,FALSE)=BS191,1,0)</f>
        <v>#N/A</v>
      </c>
      <c r="FF191" s="138" t="e">
        <f>IF(VLOOKUP(CONCATENATE(H191,F191,FF$2),Ciencias!$A:$H,7,FALSE)=BT191,1,0)</f>
        <v>#N/A</v>
      </c>
      <c r="FG191" s="138" t="e">
        <f>IF(VLOOKUP(CONCATENATE(H191,F191,FG$2),Ciencias!$A:$H,7,FALSE)=BU191,1,0)</f>
        <v>#N/A</v>
      </c>
      <c r="FH191" s="138" t="e">
        <f>IF(VLOOKUP(CONCATENATE(H191,F191,FH$2),Ciencias!$A:$H,7,FALSE)=BV191,1,0)</f>
        <v>#N/A</v>
      </c>
      <c r="FI191" s="138" t="e">
        <f>IF(VLOOKUP(CONCATENATE(H191,F191,FI$2),Ciencias!$A:$H,7,FALSE)=BW191,1,0)</f>
        <v>#N/A</v>
      </c>
      <c r="FJ191" s="138" t="e">
        <f>IF(VLOOKUP(CONCATENATE(H191,F191,FJ$2),Ciencias!$A:$H,7,FALSE)=BX191,1,0)</f>
        <v>#N/A</v>
      </c>
      <c r="FK191" s="138" t="e">
        <f>IF(VLOOKUP(CONCATENATE(H191,F191,FK$2),Ciencias!$A:$H,7,FALSE)=BY191,1,0)</f>
        <v>#N/A</v>
      </c>
      <c r="FL191" s="138" t="e">
        <f>IF(VLOOKUP(CONCATENATE(H191,F191,FL$2),Ciencias!$A:$H,7,FALSE)=BZ191,1,0)</f>
        <v>#N/A</v>
      </c>
      <c r="FM191" s="138" t="e">
        <f>IF(VLOOKUP(CONCATENATE(H191,F191,FM$2),Ciencias!$A:$H,7,FALSE)=CA191,1,0)</f>
        <v>#N/A</v>
      </c>
      <c r="FN191" s="138" t="e">
        <f>IF(VLOOKUP(CONCATENATE(H191,F191,FN$2),Ciencias!$A:$H,7,FALSE)=CB191,1,0)</f>
        <v>#N/A</v>
      </c>
      <c r="FO191" s="138" t="e">
        <f>IF(VLOOKUP(CONCATENATE(H191,F191,FO$2),Ciencias!$A:$H,7,FALSE)=CC191,1,0)</f>
        <v>#N/A</v>
      </c>
      <c r="FP191" s="138" t="e">
        <f>IF(VLOOKUP(CONCATENATE(H191,F191,FP$2),GeoHis!$A:$H,7,FALSE)=CD191,1,0)</f>
        <v>#N/A</v>
      </c>
      <c r="FQ191" s="138" t="e">
        <f>IF(VLOOKUP(CONCATENATE(H191,F191,FQ$2),GeoHis!$A:$H,7,FALSE)=CE191,1,0)</f>
        <v>#N/A</v>
      </c>
      <c r="FR191" s="138" t="e">
        <f>IF(VLOOKUP(CONCATENATE(H191,F191,FR$2),GeoHis!$A:$H,7,FALSE)=CF191,1,0)</f>
        <v>#N/A</v>
      </c>
      <c r="FS191" s="138" t="e">
        <f>IF(VLOOKUP(CONCATENATE(H191,F191,FS$2),GeoHis!$A:$H,7,FALSE)=CG191,1,0)</f>
        <v>#N/A</v>
      </c>
      <c r="FT191" s="138" t="e">
        <f>IF(VLOOKUP(CONCATENATE(H191,F191,FT$2),GeoHis!$A:$H,7,FALSE)=CH191,1,0)</f>
        <v>#N/A</v>
      </c>
      <c r="FU191" s="138" t="e">
        <f>IF(VLOOKUP(CONCATENATE(H191,F191,FU$2),GeoHis!$A:$H,7,FALSE)=CI191,1,0)</f>
        <v>#N/A</v>
      </c>
      <c r="FV191" s="138" t="e">
        <f>IF(VLOOKUP(CONCATENATE(H191,F191,FV$2),GeoHis!$A:$H,7,FALSE)=CJ191,1,0)</f>
        <v>#N/A</v>
      </c>
      <c r="FW191" s="138" t="e">
        <f>IF(VLOOKUP(CONCATENATE(H191,F191,FW$2),GeoHis!$A:$H,7,FALSE)=CK191,1,0)</f>
        <v>#N/A</v>
      </c>
      <c r="FX191" s="138" t="e">
        <f>IF(VLOOKUP(CONCATENATE(H191,F191,FX$2),GeoHis!$A:$H,7,FALSE)=CL191,1,0)</f>
        <v>#N/A</v>
      </c>
      <c r="FY191" s="138" t="e">
        <f>IF(VLOOKUP(CONCATENATE(H191,F191,FY$2),GeoHis!$A:$H,7,FALSE)=CM191,1,0)</f>
        <v>#N/A</v>
      </c>
      <c r="FZ191" s="138" t="e">
        <f>IF(VLOOKUP(CONCATENATE(H191,F191,FZ$2),GeoHis!$A:$H,7,FALSE)=CN191,1,0)</f>
        <v>#N/A</v>
      </c>
      <c r="GA191" s="138" t="e">
        <f>IF(VLOOKUP(CONCATENATE(H191,F191,GA$2),GeoHis!$A:$H,7,FALSE)=CO191,1,0)</f>
        <v>#N/A</v>
      </c>
      <c r="GB191" s="138" t="e">
        <f>IF(VLOOKUP(CONCATENATE(H191,F191,GB$2),GeoHis!$A:$H,7,FALSE)=CP191,1,0)</f>
        <v>#N/A</v>
      </c>
      <c r="GC191" s="138" t="e">
        <f>IF(VLOOKUP(CONCATENATE(H191,F191,GC$2),GeoHis!$A:$H,7,FALSE)=CQ191,1,0)</f>
        <v>#N/A</v>
      </c>
      <c r="GD191" s="138" t="e">
        <f>IF(VLOOKUP(CONCATENATE(H191,F191,GD$2),GeoHis!$A:$H,7,FALSE)=CR191,1,0)</f>
        <v>#N/A</v>
      </c>
      <c r="GE191" s="135" t="str">
        <f t="shared" si="23"/>
        <v/>
      </c>
    </row>
    <row r="192" spans="1:187" x14ac:dyDescent="0.25">
      <c r="A192" s="127" t="str">
        <f>IF(C192="","",'Datos Generales'!$A$25)</f>
        <v/>
      </c>
      <c r="D192" s="126" t="str">
        <f t="shared" si="16"/>
        <v/>
      </c>
      <c r="E192" s="126">
        <f t="shared" si="17"/>
        <v>0</v>
      </c>
      <c r="F192" s="126" t="str">
        <f t="shared" si="18"/>
        <v/>
      </c>
      <c r="G192" s="126" t="str">
        <f>IF(C192="","",'Datos Generales'!$D$19)</f>
        <v/>
      </c>
      <c r="H192" s="21" t="str">
        <f>IF(C192="","",'Datos Generales'!$A$19)</f>
        <v/>
      </c>
      <c r="I192" s="126" t="str">
        <f>IF(C192="","",'Datos Generales'!$A$7)</f>
        <v/>
      </c>
      <c r="J192" s="21" t="str">
        <f>IF(C192="","",'Datos Generales'!$A$13)</f>
        <v/>
      </c>
      <c r="K192" s="21" t="str">
        <f>IF(C192="","",'Datos Generales'!$A$10)</f>
        <v/>
      </c>
      <c r="CS192" s="142" t="str">
        <f t="shared" si="19"/>
        <v/>
      </c>
      <c r="CT192" s="142" t="str">
        <f t="shared" si="20"/>
        <v/>
      </c>
      <c r="CU192" s="142" t="str">
        <f t="shared" si="21"/>
        <v/>
      </c>
      <c r="CV192" s="142" t="str">
        <f t="shared" si="22"/>
        <v/>
      </c>
      <c r="CW192" s="142" t="str">
        <f>IF(C192="","",IF('Datos Generales'!$A$19=1,AVERAGE(FP192:GD192),AVERAGE(Captura!FP192:FY192)))</f>
        <v/>
      </c>
      <c r="CX192" s="138" t="e">
        <f>IF(VLOOKUP(CONCATENATE($H$4,$F$4,CX$2),Español!$A:$H,7,FALSE)=L192,1,0)</f>
        <v>#N/A</v>
      </c>
      <c r="CY192" s="138" t="e">
        <f>IF(VLOOKUP(CONCATENATE(H192,F192,CY$2),Español!$A:$H,7,FALSE)=M192,1,0)</f>
        <v>#N/A</v>
      </c>
      <c r="CZ192" s="138" t="e">
        <f>IF(VLOOKUP(CONCATENATE(H192,F192,CZ$2),Español!$A:$H,7,FALSE)=N192,1,0)</f>
        <v>#N/A</v>
      </c>
      <c r="DA192" s="138" t="e">
        <f>IF(VLOOKUP(CONCATENATE(H192,F192,DA$2),Español!$A:$H,7,FALSE)=O192,1,0)</f>
        <v>#N/A</v>
      </c>
      <c r="DB192" s="138" t="e">
        <f>IF(VLOOKUP(CONCATENATE(H192,F192,DB$2),Español!$A:$H,7,FALSE)=P192,1,0)</f>
        <v>#N/A</v>
      </c>
      <c r="DC192" s="138" t="e">
        <f>IF(VLOOKUP(CONCATENATE(H192,F192,DC$2),Español!$A:$H,7,FALSE)=Q192,1,0)</f>
        <v>#N/A</v>
      </c>
      <c r="DD192" s="138" t="e">
        <f>IF(VLOOKUP(CONCATENATE(H192,F192,DD$2),Español!$A:$H,7,FALSE)=R192,1,0)</f>
        <v>#N/A</v>
      </c>
      <c r="DE192" s="138" t="e">
        <f>IF(VLOOKUP(CONCATENATE(H192,F192,DE$2),Español!$A:$H,7,FALSE)=S192,1,0)</f>
        <v>#N/A</v>
      </c>
      <c r="DF192" s="138" t="e">
        <f>IF(VLOOKUP(CONCATENATE(H192,F192,DF$2),Español!$A:$H,7,FALSE)=T192,1,0)</f>
        <v>#N/A</v>
      </c>
      <c r="DG192" s="138" t="e">
        <f>IF(VLOOKUP(CONCATENATE(H192,F192,DG$2),Español!$A:$H,7,FALSE)=U192,1,0)</f>
        <v>#N/A</v>
      </c>
      <c r="DH192" s="138" t="e">
        <f>IF(VLOOKUP(CONCATENATE(H192,F192,DH$2),Español!$A:$H,7,FALSE)=V192,1,0)</f>
        <v>#N/A</v>
      </c>
      <c r="DI192" s="138" t="e">
        <f>IF(VLOOKUP(CONCATENATE(H192,F192,DI$2),Español!$A:$H,7,FALSE)=W192,1,0)</f>
        <v>#N/A</v>
      </c>
      <c r="DJ192" s="138" t="e">
        <f>IF(VLOOKUP(CONCATENATE(H192,F192,DJ$2),Español!$A:$H,7,FALSE)=X192,1,0)</f>
        <v>#N/A</v>
      </c>
      <c r="DK192" s="138" t="e">
        <f>IF(VLOOKUP(CONCATENATE(H192,F192,DK$2),Español!$A:$H,7,FALSE)=Y192,1,0)</f>
        <v>#N/A</v>
      </c>
      <c r="DL192" s="138" t="e">
        <f>IF(VLOOKUP(CONCATENATE(H192,F192,DL$2),Español!$A:$H,7,FALSE)=Z192,1,0)</f>
        <v>#N/A</v>
      </c>
      <c r="DM192" s="138" t="e">
        <f>IF(VLOOKUP(CONCATENATE(H192,F192,DM$2),Español!$A:$H,7,FALSE)=AA192,1,0)</f>
        <v>#N/A</v>
      </c>
      <c r="DN192" s="138" t="e">
        <f>IF(VLOOKUP(CONCATENATE(H192,F192,DN$2),Español!$A:$H,7,FALSE)=AB192,1,0)</f>
        <v>#N/A</v>
      </c>
      <c r="DO192" s="138" t="e">
        <f>IF(VLOOKUP(CONCATENATE(H192,F192,DO$2),Español!$A:$H,7,FALSE)=AC192,1,0)</f>
        <v>#N/A</v>
      </c>
      <c r="DP192" s="138" t="e">
        <f>IF(VLOOKUP(CONCATENATE(H192,F192,DP$2),Español!$A:$H,7,FALSE)=AD192,1,0)</f>
        <v>#N/A</v>
      </c>
      <c r="DQ192" s="138" t="e">
        <f>IF(VLOOKUP(CONCATENATE(H192,F192,DQ$2),Español!$A:$H,7,FALSE)=AE192,1,0)</f>
        <v>#N/A</v>
      </c>
      <c r="DR192" s="138" t="e">
        <f>IF(VLOOKUP(CONCATENATE(H192,F192,DR$2),Inglés!$A:$H,7,FALSE)=AF192,1,0)</f>
        <v>#N/A</v>
      </c>
      <c r="DS192" s="138" t="e">
        <f>IF(VLOOKUP(CONCATENATE(H192,F192,DS$2),Inglés!$A:$H,7,FALSE)=AG192,1,0)</f>
        <v>#N/A</v>
      </c>
      <c r="DT192" s="138" t="e">
        <f>IF(VLOOKUP(CONCATENATE(H192,F192,DT$2),Inglés!$A:$H,7,FALSE)=AH192,1,0)</f>
        <v>#N/A</v>
      </c>
      <c r="DU192" s="138" t="e">
        <f>IF(VLOOKUP(CONCATENATE(H192,F192,DU$2),Inglés!$A:$H,7,FALSE)=AI192,1,0)</f>
        <v>#N/A</v>
      </c>
      <c r="DV192" s="138" t="e">
        <f>IF(VLOOKUP(CONCATENATE(H192,F192,DV$2),Inglés!$A:$H,7,FALSE)=AJ192,1,0)</f>
        <v>#N/A</v>
      </c>
      <c r="DW192" s="138" t="e">
        <f>IF(VLOOKUP(CONCATENATE(H192,F192,DW$2),Inglés!$A:$H,7,FALSE)=AK192,1,0)</f>
        <v>#N/A</v>
      </c>
      <c r="DX192" s="138" t="e">
        <f>IF(VLOOKUP(CONCATENATE(H192,F192,DX$2),Inglés!$A:$H,7,FALSE)=AL192,1,0)</f>
        <v>#N/A</v>
      </c>
      <c r="DY192" s="138" t="e">
        <f>IF(VLOOKUP(CONCATENATE(H192,F192,DY$2),Inglés!$A:$H,7,FALSE)=AM192,1,0)</f>
        <v>#N/A</v>
      </c>
      <c r="DZ192" s="138" t="e">
        <f>IF(VLOOKUP(CONCATENATE(H192,F192,DZ$2),Inglés!$A:$H,7,FALSE)=AN192,1,0)</f>
        <v>#N/A</v>
      </c>
      <c r="EA192" s="138" t="e">
        <f>IF(VLOOKUP(CONCATENATE(H192,F192,EA$2),Inglés!$A:$H,7,FALSE)=AO192,1,0)</f>
        <v>#N/A</v>
      </c>
      <c r="EB192" s="138" t="e">
        <f>IF(VLOOKUP(CONCATENATE(H192,F192,EB$2),Matemáticas!$A:$H,7,FALSE)=AP192,1,0)</f>
        <v>#N/A</v>
      </c>
      <c r="EC192" s="138" t="e">
        <f>IF(VLOOKUP(CONCATENATE(H192,F192,EC$2),Matemáticas!$A:$H,7,FALSE)=AQ192,1,0)</f>
        <v>#N/A</v>
      </c>
      <c r="ED192" s="138" t="e">
        <f>IF(VLOOKUP(CONCATENATE(H192,F192,ED$2),Matemáticas!$A:$H,7,FALSE)=AR192,1,0)</f>
        <v>#N/A</v>
      </c>
      <c r="EE192" s="138" t="e">
        <f>IF(VLOOKUP(CONCATENATE(H192,F192,EE$2),Matemáticas!$A:$H,7,FALSE)=AS192,1,0)</f>
        <v>#N/A</v>
      </c>
      <c r="EF192" s="138" t="e">
        <f>IF(VLOOKUP(CONCATENATE(H192,F192,EF$2),Matemáticas!$A:$H,7,FALSE)=AT192,1,0)</f>
        <v>#N/A</v>
      </c>
      <c r="EG192" s="138" t="e">
        <f>IF(VLOOKUP(CONCATENATE(H192,F192,EG$2),Matemáticas!$A:$H,7,FALSE)=AU192,1,0)</f>
        <v>#N/A</v>
      </c>
      <c r="EH192" s="138" t="e">
        <f>IF(VLOOKUP(CONCATENATE(H192,F192,EH$2),Matemáticas!$A:$H,7,FALSE)=AV192,1,0)</f>
        <v>#N/A</v>
      </c>
      <c r="EI192" s="138" t="e">
        <f>IF(VLOOKUP(CONCATENATE(H192,F192,EI$2),Matemáticas!$A:$H,7,FALSE)=AW192,1,0)</f>
        <v>#N/A</v>
      </c>
      <c r="EJ192" s="138" t="e">
        <f>IF(VLOOKUP(CONCATENATE(H192,F192,EJ$2),Matemáticas!$A:$H,7,FALSE)=AX192,1,0)</f>
        <v>#N/A</v>
      </c>
      <c r="EK192" s="138" t="e">
        <f>IF(VLOOKUP(CONCATENATE(H192,F192,EK$2),Matemáticas!$A:$H,7,FALSE)=AY192,1,0)</f>
        <v>#N/A</v>
      </c>
      <c r="EL192" s="138" t="e">
        <f>IF(VLOOKUP(CONCATENATE(H192,F192,EL$2),Matemáticas!$A:$H,7,FALSE)=AZ192,1,0)</f>
        <v>#N/A</v>
      </c>
      <c r="EM192" s="138" t="e">
        <f>IF(VLOOKUP(CONCATENATE(H192,F192,EM$2),Matemáticas!$A:$H,7,FALSE)=BA192,1,0)</f>
        <v>#N/A</v>
      </c>
      <c r="EN192" s="138" t="e">
        <f>IF(VLOOKUP(CONCATENATE(H192,F192,EN$2),Matemáticas!$A:$H,7,FALSE)=BB192,1,0)</f>
        <v>#N/A</v>
      </c>
      <c r="EO192" s="138" t="e">
        <f>IF(VLOOKUP(CONCATENATE(H192,F192,EO$2),Matemáticas!$A:$H,7,FALSE)=BC192,1,0)</f>
        <v>#N/A</v>
      </c>
      <c r="EP192" s="138" t="e">
        <f>IF(VLOOKUP(CONCATENATE(H192,F192,EP$2),Matemáticas!$A:$H,7,FALSE)=BD192,1,0)</f>
        <v>#N/A</v>
      </c>
      <c r="EQ192" s="138" t="e">
        <f>IF(VLOOKUP(CONCATENATE(H192,F192,EQ$2),Matemáticas!$A:$H,7,FALSE)=BE192,1,0)</f>
        <v>#N/A</v>
      </c>
      <c r="ER192" s="138" t="e">
        <f>IF(VLOOKUP(CONCATENATE(H192,F192,ER$2),Matemáticas!$A:$H,7,FALSE)=BF192,1,0)</f>
        <v>#N/A</v>
      </c>
      <c r="ES192" s="138" t="e">
        <f>IF(VLOOKUP(CONCATENATE(H192,F192,ES$2),Matemáticas!$A:$H,7,FALSE)=BG192,1,0)</f>
        <v>#N/A</v>
      </c>
      <c r="ET192" s="138" t="e">
        <f>IF(VLOOKUP(CONCATENATE(H192,F192,ET$2),Matemáticas!$A:$H,7,FALSE)=BH192,1,0)</f>
        <v>#N/A</v>
      </c>
      <c r="EU192" s="138" t="e">
        <f>IF(VLOOKUP(CONCATENATE(H192,F192,EU$2),Matemáticas!$A:$H,7,FALSE)=BI192,1,0)</f>
        <v>#N/A</v>
      </c>
      <c r="EV192" s="138" t="e">
        <f>IF(VLOOKUP(CONCATENATE(H192,F192,EV$2),Ciencias!$A:$H,7,FALSE)=BJ192,1,0)</f>
        <v>#N/A</v>
      </c>
      <c r="EW192" s="138" t="e">
        <f>IF(VLOOKUP(CONCATENATE(H192,F192,EW$2),Ciencias!$A:$H,7,FALSE)=BK192,1,0)</f>
        <v>#N/A</v>
      </c>
      <c r="EX192" s="138" t="e">
        <f>IF(VLOOKUP(CONCATENATE(H192,F192,EX$2),Ciencias!$A:$H,7,FALSE)=BL192,1,0)</f>
        <v>#N/A</v>
      </c>
      <c r="EY192" s="138" t="e">
        <f>IF(VLOOKUP(CONCATENATE(H192,F192,EY$2),Ciencias!$A:$H,7,FALSE)=BM192,1,0)</f>
        <v>#N/A</v>
      </c>
      <c r="EZ192" s="138" t="e">
        <f>IF(VLOOKUP(CONCATENATE(H192,F192,EZ$2),Ciencias!$A:$H,7,FALSE)=BN192,1,0)</f>
        <v>#N/A</v>
      </c>
      <c r="FA192" s="138" t="e">
        <f>IF(VLOOKUP(CONCATENATE(H192,F192,FA$2),Ciencias!$A:$H,7,FALSE)=BO192,1,0)</f>
        <v>#N/A</v>
      </c>
      <c r="FB192" s="138" t="e">
        <f>IF(VLOOKUP(CONCATENATE(H192,F192,FB$2),Ciencias!$A:$H,7,FALSE)=BP192,1,0)</f>
        <v>#N/A</v>
      </c>
      <c r="FC192" s="138" t="e">
        <f>IF(VLOOKUP(CONCATENATE(H192,F192,FC$2),Ciencias!$A:$H,7,FALSE)=BQ192,1,0)</f>
        <v>#N/A</v>
      </c>
      <c r="FD192" s="138" t="e">
        <f>IF(VLOOKUP(CONCATENATE(H192,F192,FD$2),Ciencias!$A:$H,7,FALSE)=BR192,1,0)</f>
        <v>#N/A</v>
      </c>
      <c r="FE192" s="138" t="e">
        <f>IF(VLOOKUP(CONCATENATE(H192,F192,FE$2),Ciencias!$A:$H,7,FALSE)=BS192,1,0)</f>
        <v>#N/A</v>
      </c>
      <c r="FF192" s="138" t="e">
        <f>IF(VLOOKUP(CONCATENATE(H192,F192,FF$2),Ciencias!$A:$H,7,FALSE)=BT192,1,0)</f>
        <v>#N/A</v>
      </c>
      <c r="FG192" s="138" t="e">
        <f>IF(VLOOKUP(CONCATENATE(H192,F192,FG$2),Ciencias!$A:$H,7,FALSE)=BU192,1,0)</f>
        <v>#N/A</v>
      </c>
      <c r="FH192" s="138" t="e">
        <f>IF(VLOOKUP(CONCATENATE(H192,F192,FH$2),Ciencias!$A:$H,7,FALSE)=BV192,1,0)</f>
        <v>#N/A</v>
      </c>
      <c r="FI192" s="138" t="e">
        <f>IF(VLOOKUP(CONCATENATE(H192,F192,FI$2),Ciencias!$A:$H,7,FALSE)=BW192,1,0)</f>
        <v>#N/A</v>
      </c>
      <c r="FJ192" s="138" t="e">
        <f>IF(VLOOKUP(CONCATENATE(H192,F192,FJ$2),Ciencias!$A:$H,7,FALSE)=BX192,1,0)</f>
        <v>#N/A</v>
      </c>
      <c r="FK192" s="138" t="e">
        <f>IF(VLOOKUP(CONCATENATE(H192,F192,FK$2),Ciencias!$A:$H,7,FALSE)=BY192,1,0)</f>
        <v>#N/A</v>
      </c>
      <c r="FL192" s="138" t="e">
        <f>IF(VLOOKUP(CONCATENATE(H192,F192,FL$2),Ciencias!$A:$H,7,FALSE)=BZ192,1,0)</f>
        <v>#N/A</v>
      </c>
      <c r="FM192" s="138" t="e">
        <f>IF(VLOOKUP(CONCATENATE(H192,F192,FM$2),Ciencias!$A:$H,7,FALSE)=CA192,1,0)</f>
        <v>#N/A</v>
      </c>
      <c r="FN192" s="138" t="e">
        <f>IF(VLOOKUP(CONCATENATE(H192,F192,FN$2),Ciencias!$A:$H,7,FALSE)=CB192,1,0)</f>
        <v>#N/A</v>
      </c>
      <c r="FO192" s="138" t="e">
        <f>IF(VLOOKUP(CONCATENATE(H192,F192,FO$2),Ciencias!$A:$H,7,FALSE)=CC192,1,0)</f>
        <v>#N/A</v>
      </c>
      <c r="FP192" s="138" t="e">
        <f>IF(VLOOKUP(CONCATENATE(H192,F192,FP$2),GeoHis!$A:$H,7,FALSE)=CD192,1,0)</f>
        <v>#N/A</v>
      </c>
      <c r="FQ192" s="138" t="e">
        <f>IF(VLOOKUP(CONCATENATE(H192,F192,FQ$2),GeoHis!$A:$H,7,FALSE)=CE192,1,0)</f>
        <v>#N/A</v>
      </c>
      <c r="FR192" s="138" t="e">
        <f>IF(VLOOKUP(CONCATENATE(H192,F192,FR$2),GeoHis!$A:$H,7,FALSE)=CF192,1,0)</f>
        <v>#N/A</v>
      </c>
      <c r="FS192" s="138" t="e">
        <f>IF(VLOOKUP(CONCATENATE(H192,F192,FS$2),GeoHis!$A:$H,7,FALSE)=CG192,1,0)</f>
        <v>#N/A</v>
      </c>
      <c r="FT192" s="138" t="e">
        <f>IF(VLOOKUP(CONCATENATE(H192,F192,FT$2),GeoHis!$A:$H,7,FALSE)=CH192,1,0)</f>
        <v>#N/A</v>
      </c>
      <c r="FU192" s="138" t="e">
        <f>IF(VLOOKUP(CONCATENATE(H192,F192,FU$2),GeoHis!$A:$H,7,FALSE)=CI192,1,0)</f>
        <v>#N/A</v>
      </c>
      <c r="FV192" s="138" t="e">
        <f>IF(VLOOKUP(CONCATENATE(H192,F192,FV$2),GeoHis!$A:$H,7,FALSE)=CJ192,1,0)</f>
        <v>#N/A</v>
      </c>
      <c r="FW192" s="138" t="e">
        <f>IF(VLOOKUP(CONCATENATE(H192,F192,FW$2),GeoHis!$A:$H,7,FALSE)=CK192,1,0)</f>
        <v>#N/A</v>
      </c>
      <c r="FX192" s="138" t="e">
        <f>IF(VLOOKUP(CONCATENATE(H192,F192,FX$2),GeoHis!$A:$H,7,FALSE)=CL192,1,0)</f>
        <v>#N/A</v>
      </c>
      <c r="FY192" s="138" t="e">
        <f>IF(VLOOKUP(CONCATENATE(H192,F192,FY$2),GeoHis!$A:$H,7,FALSE)=CM192,1,0)</f>
        <v>#N/A</v>
      </c>
      <c r="FZ192" s="138" t="e">
        <f>IF(VLOOKUP(CONCATENATE(H192,F192,FZ$2),GeoHis!$A:$H,7,FALSE)=CN192,1,0)</f>
        <v>#N/A</v>
      </c>
      <c r="GA192" s="138" t="e">
        <f>IF(VLOOKUP(CONCATENATE(H192,F192,GA$2),GeoHis!$A:$H,7,FALSE)=CO192,1,0)</f>
        <v>#N/A</v>
      </c>
      <c r="GB192" s="138" t="e">
        <f>IF(VLOOKUP(CONCATENATE(H192,F192,GB$2),GeoHis!$A:$H,7,FALSE)=CP192,1,0)</f>
        <v>#N/A</v>
      </c>
      <c r="GC192" s="138" t="e">
        <f>IF(VLOOKUP(CONCATENATE(H192,F192,GC$2),GeoHis!$A:$H,7,FALSE)=CQ192,1,0)</f>
        <v>#N/A</v>
      </c>
      <c r="GD192" s="138" t="e">
        <f>IF(VLOOKUP(CONCATENATE(H192,F192,GD$2),GeoHis!$A:$H,7,FALSE)=CR192,1,0)</f>
        <v>#N/A</v>
      </c>
      <c r="GE192" s="135" t="str">
        <f t="shared" si="23"/>
        <v/>
      </c>
    </row>
    <row r="193" spans="1:187" x14ac:dyDescent="0.25">
      <c r="A193" s="127" t="str">
        <f>IF(C193="","",'Datos Generales'!$A$25)</f>
        <v/>
      </c>
      <c r="D193" s="126" t="str">
        <f t="shared" si="16"/>
        <v/>
      </c>
      <c r="E193" s="126">
        <f t="shared" si="17"/>
        <v>0</v>
      </c>
      <c r="F193" s="126" t="str">
        <f t="shared" si="18"/>
        <v/>
      </c>
      <c r="G193" s="126" t="str">
        <f>IF(C193="","",'Datos Generales'!$D$19)</f>
        <v/>
      </c>
      <c r="H193" s="21" t="str">
        <f>IF(C193="","",'Datos Generales'!$A$19)</f>
        <v/>
      </c>
      <c r="I193" s="126" t="str">
        <f>IF(C193="","",'Datos Generales'!$A$7)</f>
        <v/>
      </c>
      <c r="J193" s="21" t="str">
        <f>IF(C193="","",'Datos Generales'!$A$13)</f>
        <v/>
      </c>
      <c r="K193" s="21" t="str">
        <f>IF(C193="","",'Datos Generales'!$A$10)</f>
        <v/>
      </c>
      <c r="CS193" s="142" t="str">
        <f t="shared" si="19"/>
        <v/>
      </c>
      <c r="CT193" s="142" t="str">
        <f t="shared" si="20"/>
        <v/>
      </c>
      <c r="CU193" s="142" t="str">
        <f t="shared" si="21"/>
        <v/>
      </c>
      <c r="CV193" s="142" t="str">
        <f t="shared" si="22"/>
        <v/>
      </c>
      <c r="CW193" s="142" t="str">
        <f>IF(C193="","",IF('Datos Generales'!$A$19=1,AVERAGE(FP193:GD193),AVERAGE(Captura!FP193:FY193)))</f>
        <v/>
      </c>
      <c r="CX193" s="138" t="e">
        <f>IF(VLOOKUP(CONCATENATE($H$4,$F$4,CX$2),Español!$A:$H,7,FALSE)=L193,1,0)</f>
        <v>#N/A</v>
      </c>
      <c r="CY193" s="138" t="e">
        <f>IF(VLOOKUP(CONCATENATE(H193,F193,CY$2),Español!$A:$H,7,FALSE)=M193,1,0)</f>
        <v>#N/A</v>
      </c>
      <c r="CZ193" s="138" t="e">
        <f>IF(VLOOKUP(CONCATENATE(H193,F193,CZ$2),Español!$A:$H,7,FALSE)=N193,1,0)</f>
        <v>#N/A</v>
      </c>
      <c r="DA193" s="138" t="e">
        <f>IF(VLOOKUP(CONCATENATE(H193,F193,DA$2),Español!$A:$H,7,FALSE)=O193,1,0)</f>
        <v>#N/A</v>
      </c>
      <c r="DB193" s="138" t="e">
        <f>IF(VLOOKUP(CONCATENATE(H193,F193,DB$2),Español!$A:$H,7,FALSE)=P193,1,0)</f>
        <v>#N/A</v>
      </c>
      <c r="DC193" s="138" t="e">
        <f>IF(VLOOKUP(CONCATENATE(H193,F193,DC$2),Español!$A:$H,7,FALSE)=Q193,1,0)</f>
        <v>#N/A</v>
      </c>
      <c r="DD193" s="138" t="e">
        <f>IF(VLOOKUP(CONCATENATE(H193,F193,DD$2),Español!$A:$H,7,FALSE)=R193,1,0)</f>
        <v>#N/A</v>
      </c>
      <c r="DE193" s="138" t="e">
        <f>IF(VLOOKUP(CONCATENATE(H193,F193,DE$2),Español!$A:$H,7,FALSE)=S193,1,0)</f>
        <v>#N/A</v>
      </c>
      <c r="DF193" s="138" t="e">
        <f>IF(VLOOKUP(CONCATENATE(H193,F193,DF$2),Español!$A:$H,7,FALSE)=T193,1,0)</f>
        <v>#N/A</v>
      </c>
      <c r="DG193" s="138" t="e">
        <f>IF(VLOOKUP(CONCATENATE(H193,F193,DG$2),Español!$A:$H,7,FALSE)=U193,1,0)</f>
        <v>#N/A</v>
      </c>
      <c r="DH193" s="138" t="e">
        <f>IF(VLOOKUP(CONCATENATE(H193,F193,DH$2),Español!$A:$H,7,FALSE)=V193,1,0)</f>
        <v>#N/A</v>
      </c>
      <c r="DI193" s="138" t="e">
        <f>IF(VLOOKUP(CONCATENATE(H193,F193,DI$2),Español!$A:$H,7,FALSE)=W193,1,0)</f>
        <v>#N/A</v>
      </c>
      <c r="DJ193" s="138" t="e">
        <f>IF(VLOOKUP(CONCATENATE(H193,F193,DJ$2),Español!$A:$H,7,FALSE)=X193,1,0)</f>
        <v>#N/A</v>
      </c>
      <c r="DK193" s="138" t="e">
        <f>IF(VLOOKUP(CONCATENATE(H193,F193,DK$2),Español!$A:$H,7,FALSE)=Y193,1,0)</f>
        <v>#N/A</v>
      </c>
      <c r="DL193" s="138" t="e">
        <f>IF(VLOOKUP(CONCATENATE(H193,F193,DL$2),Español!$A:$H,7,FALSE)=Z193,1,0)</f>
        <v>#N/A</v>
      </c>
      <c r="DM193" s="138" t="e">
        <f>IF(VLOOKUP(CONCATENATE(H193,F193,DM$2),Español!$A:$H,7,FALSE)=AA193,1,0)</f>
        <v>#N/A</v>
      </c>
      <c r="DN193" s="138" t="e">
        <f>IF(VLOOKUP(CONCATENATE(H193,F193,DN$2),Español!$A:$H,7,FALSE)=AB193,1,0)</f>
        <v>#N/A</v>
      </c>
      <c r="DO193" s="138" t="e">
        <f>IF(VLOOKUP(CONCATENATE(H193,F193,DO$2),Español!$A:$H,7,FALSE)=AC193,1,0)</f>
        <v>#N/A</v>
      </c>
      <c r="DP193" s="138" t="e">
        <f>IF(VLOOKUP(CONCATENATE(H193,F193,DP$2),Español!$A:$H,7,FALSE)=AD193,1,0)</f>
        <v>#N/A</v>
      </c>
      <c r="DQ193" s="138" t="e">
        <f>IF(VLOOKUP(CONCATENATE(H193,F193,DQ$2),Español!$A:$H,7,FALSE)=AE193,1,0)</f>
        <v>#N/A</v>
      </c>
      <c r="DR193" s="138" t="e">
        <f>IF(VLOOKUP(CONCATENATE(H193,F193,DR$2),Inglés!$A:$H,7,FALSE)=AF193,1,0)</f>
        <v>#N/A</v>
      </c>
      <c r="DS193" s="138" t="e">
        <f>IF(VLOOKUP(CONCATENATE(H193,F193,DS$2),Inglés!$A:$H,7,FALSE)=AG193,1,0)</f>
        <v>#N/A</v>
      </c>
      <c r="DT193" s="138" t="e">
        <f>IF(VLOOKUP(CONCATENATE(H193,F193,DT$2),Inglés!$A:$H,7,FALSE)=AH193,1,0)</f>
        <v>#N/A</v>
      </c>
      <c r="DU193" s="138" t="e">
        <f>IF(VLOOKUP(CONCATENATE(H193,F193,DU$2),Inglés!$A:$H,7,FALSE)=AI193,1,0)</f>
        <v>#N/A</v>
      </c>
      <c r="DV193" s="138" t="e">
        <f>IF(VLOOKUP(CONCATENATE(H193,F193,DV$2),Inglés!$A:$H,7,FALSE)=AJ193,1,0)</f>
        <v>#N/A</v>
      </c>
      <c r="DW193" s="138" t="e">
        <f>IF(VLOOKUP(CONCATENATE(H193,F193,DW$2),Inglés!$A:$H,7,FALSE)=AK193,1,0)</f>
        <v>#N/A</v>
      </c>
      <c r="DX193" s="138" t="e">
        <f>IF(VLOOKUP(CONCATENATE(H193,F193,DX$2),Inglés!$A:$H,7,FALSE)=AL193,1,0)</f>
        <v>#N/A</v>
      </c>
      <c r="DY193" s="138" t="e">
        <f>IF(VLOOKUP(CONCATENATE(H193,F193,DY$2),Inglés!$A:$H,7,FALSE)=AM193,1,0)</f>
        <v>#N/A</v>
      </c>
      <c r="DZ193" s="138" t="e">
        <f>IF(VLOOKUP(CONCATENATE(H193,F193,DZ$2),Inglés!$A:$H,7,FALSE)=AN193,1,0)</f>
        <v>#N/A</v>
      </c>
      <c r="EA193" s="138" t="e">
        <f>IF(VLOOKUP(CONCATENATE(H193,F193,EA$2),Inglés!$A:$H,7,FALSE)=AO193,1,0)</f>
        <v>#N/A</v>
      </c>
      <c r="EB193" s="138" t="e">
        <f>IF(VLOOKUP(CONCATENATE(H193,F193,EB$2),Matemáticas!$A:$H,7,FALSE)=AP193,1,0)</f>
        <v>#N/A</v>
      </c>
      <c r="EC193" s="138" t="e">
        <f>IF(VLOOKUP(CONCATENATE(H193,F193,EC$2),Matemáticas!$A:$H,7,FALSE)=AQ193,1,0)</f>
        <v>#N/A</v>
      </c>
      <c r="ED193" s="138" t="e">
        <f>IF(VLOOKUP(CONCATENATE(H193,F193,ED$2),Matemáticas!$A:$H,7,FALSE)=AR193,1,0)</f>
        <v>#N/A</v>
      </c>
      <c r="EE193" s="138" t="e">
        <f>IF(VLOOKUP(CONCATENATE(H193,F193,EE$2),Matemáticas!$A:$H,7,FALSE)=AS193,1,0)</f>
        <v>#N/A</v>
      </c>
      <c r="EF193" s="138" t="e">
        <f>IF(VLOOKUP(CONCATENATE(H193,F193,EF$2),Matemáticas!$A:$H,7,FALSE)=AT193,1,0)</f>
        <v>#N/A</v>
      </c>
      <c r="EG193" s="138" t="e">
        <f>IF(VLOOKUP(CONCATENATE(H193,F193,EG$2),Matemáticas!$A:$H,7,FALSE)=AU193,1,0)</f>
        <v>#N/A</v>
      </c>
      <c r="EH193" s="138" t="e">
        <f>IF(VLOOKUP(CONCATENATE(H193,F193,EH$2),Matemáticas!$A:$H,7,FALSE)=AV193,1,0)</f>
        <v>#N/A</v>
      </c>
      <c r="EI193" s="138" t="e">
        <f>IF(VLOOKUP(CONCATENATE(H193,F193,EI$2),Matemáticas!$A:$H,7,FALSE)=AW193,1,0)</f>
        <v>#N/A</v>
      </c>
      <c r="EJ193" s="138" t="e">
        <f>IF(VLOOKUP(CONCATENATE(H193,F193,EJ$2),Matemáticas!$A:$H,7,FALSE)=AX193,1,0)</f>
        <v>#N/A</v>
      </c>
      <c r="EK193" s="138" t="e">
        <f>IF(VLOOKUP(CONCATENATE(H193,F193,EK$2),Matemáticas!$A:$H,7,FALSE)=AY193,1,0)</f>
        <v>#N/A</v>
      </c>
      <c r="EL193" s="138" t="e">
        <f>IF(VLOOKUP(CONCATENATE(H193,F193,EL$2),Matemáticas!$A:$H,7,FALSE)=AZ193,1,0)</f>
        <v>#N/A</v>
      </c>
      <c r="EM193" s="138" t="e">
        <f>IF(VLOOKUP(CONCATENATE(H193,F193,EM$2),Matemáticas!$A:$H,7,FALSE)=BA193,1,0)</f>
        <v>#N/A</v>
      </c>
      <c r="EN193" s="138" t="e">
        <f>IF(VLOOKUP(CONCATENATE(H193,F193,EN$2),Matemáticas!$A:$H,7,FALSE)=BB193,1,0)</f>
        <v>#N/A</v>
      </c>
      <c r="EO193" s="138" t="e">
        <f>IF(VLOOKUP(CONCATENATE(H193,F193,EO$2),Matemáticas!$A:$H,7,FALSE)=BC193,1,0)</f>
        <v>#N/A</v>
      </c>
      <c r="EP193" s="138" t="e">
        <f>IF(VLOOKUP(CONCATENATE(H193,F193,EP$2),Matemáticas!$A:$H,7,FALSE)=BD193,1,0)</f>
        <v>#N/A</v>
      </c>
      <c r="EQ193" s="138" t="e">
        <f>IF(VLOOKUP(CONCATENATE(H193,F193,EQ$2),Matemáticas!$A:$H,7,FALSE)=BE193,1,0)</f>
        <v>#N/A</v>
      </c>
      <c r="ER193" s="138" t="e">
        <f>IF(VLOOKUP(CONCATENATE(H193,F193,ER$2),Matemáticas!$A:$H,7,FALSE)=BF193,1,0)</f>
        <v>#N/A</v>
      </c>
      <c r="ES193" s="138" t="e">
        <f>IF(VLOOKUP(CONCATENATE(H193,F193,ES$2),Matemáticas!$A:$H,7,FALSE)=BG193,1,0)</f>
        <v>#N/A</v>
      </c>
      <c r="ET193" s="138" t="e">
        <f>IF(VLOOKUP(CONCATENATE(H193,F193,ET$2),Matemáticas!$A:$H,7,FALSE)=BH193,1,0)</f>
        <v>#N/A</v>
      </c>
      <c r="EU193" s="138" t="e">
        <f>IF(VLOOKUP(CONCATENATE(H193,F193,EU$2),Matemáticas!$A:$H,7,FALSE)=BI193,1,0)</f>
        <v>#N/A</v>
      </c>
      <c r="EV193" s="138" t="e">
        <f>IF(VLOOKUP(CONCATENATE(H193,F193,EV$2),Ciencias!$A:$H,7,FALSE)=BJ193,1,0)</f>
        <v>#N/A</v>
      </c>
      <c r="EW193" s="138" t="e">
        <f>IF(VLOOKUP(CONCATENATE(H193,F193,EW$2),Ciencias!$A:$H,7,FALSE)=BK193,1,0)</f>
        <v>#N/A</v>
      </c>
      <c r="EX193" s="138" t="e">
        <f>IF(VLOOKUP(CONCATENATE(H193,F193,EX$2),Ciencias!$A:$H,7,FALSE)=BL193,1,0)</f>
        <v>#N/A</v>
      </c>
      <c r="EY193" s="138" t="e">
        <f>IF(VLOOKUP(CONCATENATE(H193,F193,EY$2),Ciencias!$A:$H,7,FALSE)=BM193,1,0)</f>
        <v>#N/A</v>
      </c>
      <c r="EZ193" s="138" t="e">
        <f>IF(VLOOKUP(CONCATENATE(H193,F193,EZ$2),Ciencias!$A:$H,7,FALSE)=BN193,1,0)</f>
        <v>#N/A</v>
      </c>
      <c r="FA193" s="138" t="e">
        <f>IF(VLOOKUP(CONCATENATE(H193,F193,FA$2),Ciencias!$A:$H,7,FALSE)=BO193,1,0)</f>
        <v>#N/A</v>
      </c>
      <c r="FB193" s="138" t="e">
        <f>IF(VLOOKUP(CONCATENATE(H193,F193,FB$2),Ciencias!$A:$H,7,FALSE)=BP193,1,0)</f>
        <v>#N/A</v>
      </c>
      <c r="FC193" s="138" t="e">
        <f>IF(VLOOKUP(CONCATENATE(H193,F193,FC$2),Ciencias!$A:$H,7,FALSE)=BQ193,1,0)</f>
        <v>#N/A</v>
      </c>
      <c r="FD193" s="138" t="e">
        <f>IF(VLOOKUP(CONCATENATE(H193,F193,FD$2),Ciencias!$A:$H,7,FALSE)=BR193,1,0)</f>
        <v>#N/A</v>
      </c>
      <c r="FE193" s="138" t="e">
        <f>IF(VLOOKUP(CONCATENATE(H193,F193,FE$2),Ciencias!$A:$H,7,FALSE)=BS193,1,0)</f>
        <v>#N/A</v>
      </c>
      <c r="FF193" s="138" t="e">
        <f>IF(VLOOKUP(CONCATENATE(H193,F193,FF$2),Ciencias!$A:$H,7,FALSE)=BT193,1,0)</f>
        <v>#N/A</v>
      </c>
      <c r="FG193" s="138" t="e">
        <f>IF(VLOOKUP(CONCATENATE(H193,F193,FG$2),Ciencias!$A:$H,7,FALSE)=BU193,1,0)</f>
        <v>#N/A</v>
      </c>
      <c r="FH193" s="138" t="e">
        <f>IF(VLOOKUP(CONCATENATE(H193,F193,FH$2),Ciencias!$A:$H,7,FALSE)=BV193,1,0)</f>
        <v>#N/A</v>
      </c>
      <c r="FI193" s="138" t="e">
        <f>IF(VLOOKUP(CONCATENATE(H193,F193,FI$2),Ciencias!$A:$H,7,FALSE)=BW193,1,0)</f>
        <v>#N/A</v>
      </c>
      <c r="FJ193" s="138" t="e">
        <f>IF(VLOOKUP(CONCATENATE(H193,F193,FJ$2),Ciencias!$A:$H,7,FALSE)=BX193,1,0)</f>
        <v>#N/A</v>
      </c>
      <c r="FK193" s="138" t="e">
        <f>IF(VLOOKUP(CONCATENATE(H193,F193,FK$2),Ciencias!$A:$H,7,FALSE)=BY193,1,0)</f>
        <v>#N/A</v>
      </c>
      <c r="FL193" s="138" t="e">
        <f>IF(VLOOKUP(CONCATENATE(H193,F193,FL$2),Ciencias!$A:$H,7,FALSE)=BZ193,1,0)</f>
        <v>#N/A</v>
      </c>
      <c r="FM193" s="138" t="e">
        <f>IF(VLOOKUP(CONCATENATE(H193,F193,FM$2),Ciencias!$A:$H,7,FALSE)=CA193,1,0)</f>
        <v>#N/A</v>
      </c>
      <c r="FN193" s="138" t="e">
        <f>IF(VLOOKUP(CONCATENATE(H193,F193,FN$2),Ciencias!$A:$H,7,FALSE)=CB193,1,0)</f>
        <v>#N/A</v>
      </c>
      <c r="FO193" s="138" t="e">
        <f>IF(VLOOKUP(CONCATENATE(H193,F193,FO$2),Ciencias!$A:$H,7,FALSE)=CC193,1,0)</f>
        <v>#N/A</v>
      </c>
      <c r="FP193" s="138" t="e">
        <f>IF(VLOOKUP(CONCATENATE(H193,F193,FP$2),GeoHis!$A:$H,7,FALSE)=CD193,1,0)</f>
        <v>#N/A</v>
      </c>
      <c r="FQ193" s="138" t="e">
        <f>IF(VLOOKUP(CONCATENATE(H193,F193,FQ$2),GeoHis!$A:$H,7,FALSE)=CE193,1,0)</f>
        <v>#N/A</v>
      </c>
      <c r="FR193" s="138" t="e">
        <f>IF(VLOOKUP(CONCATENATE(H193,F193,FR$2),GeoHis!$A:$H,7,FALSE)=CF193,1,0)</f>
        <v>#N/A</v>
      </c>
      <c r="FS193" s="138" t="e">
        <f>IF(VLOOKUP(CONCATENATE(H193,F193,FS$2),GeoHis!$A:$H,7,FALSE)=CG193,1,0)</f>
        <v>#N/A</v>
      </c>
      <c r="FT193" s="138" t="e">
        <f>IF(VLOOKUP(CONCATENATE(H193,F193,FT$2),GeoHis!$A:$H,7,FALSE)=CH193,1,0)</f>
        <v>#N/A</v>
      </c>
      <c r="FU193" s="138" t="e">
        <f>IF(VLOOKUP(CONCATENATE(H193,F193,FU$2),GeoHis!$A:$H,7,FALSE)=CI193,1,0)</f>
        <v>#N/A</v>
      </c>
      <c r="FV193" s="138" t="e">
        <f>IF(VLOOKUP(CONCATENATE(H193,F193,FV$2),GeoHis!$A:$H,7,FALSE)=CJ193,1,0)</f>
        <v>#N/A</v>
      </c>
      <c r="FW193" s="138" t="e">
        <f>IF(VLOOKUP(CONCATENATE(H193,F193,FW$2),GeoHis!$A:$H,7,FALSE)=CK193,1,0)</f>
        <v>#N/A</v>
      </c>
      <c r="FX193" s="138" t="e">
        <f>IF(VLOOKUP(CONCATENATE(H193,F193,FX$2),GeoHis!$A:$H,7,FALSE)=CL193,1,0)</f>
        <v>#N/A</v>
      </c>
      <c r="FY193" s="138" t="e">
        <f>IF(VLOOKUP(CONCATENATE(H193,F193,FY$2),GeoHis!$A:$H,7,FALSE)=CM193,1,0)</f>
        <v>#N/A</v>
      </c>
      <c r="FZ193" s="138" t="e">
        <f>IF(VLOOKUP(CONCATENATE(H193,F193,FZ$2),GeoHis!$A:$H,7,FALSE)=CN193,1,0)</f>
        <v>#N/A</v>
      </c>
      <c r="GA193" s="138" t="e">
        <f>IF(VLOOKUP(CONCATENATE(H193,F193,GA$2),GeoHis!$A:$H,7,FALSE)=CO193,1,0)</f>
        <v>#N/A</v>
      </c>
      <c r="GB193" s="138" t="e">
        <f>IF(VLOOKUP(CONCATENATE(H193,F193,GB$2),GeoHis!$A:$H,7,FALSE)=CP193,1,0)</f>
        <v>#N/A</v>
      </c>
      <c r="GC193" s="138" t="e">
        <f>IF(VLOOKUP(CONCATENATE(H193,F193,GC$2),GeoHis!$A:$H,7,FALSE)=CQ193,1,0)</f>
        <v>#N/A</v>
      </c>
      <c r="GD193" s="138" t="e">
        <f>IF(VLOOKUP(CONCATENATE(H193,F193,GD$2),GeoHis!$A:$H,7,FALSE)=CR193,1,0)</f>
        <v>#N/A</v>
      </c>
      <c r="GE193" s="135" t="str">
        <f t="shared" si="23"/>
        <v/>
      </c>
    </row>
    <row r="194" spans="1:187" x14ac:dyDescent="0.25">
      <c r="A194" s="127" t="str">
        <f>IF(C194="","",'Datos Generales'!$A$25)</f>
        <v/>
      </c>
      <c r="D194" s="126" t="str">
        <f t="shared" si="16"/>
        <v/>
      </c>
      <c r="E194" s="126">
        <f t="shared" si="17"/>
        <v>0</v>
      </c>
      <c r="F194" s="126" t="str">
        <f t="shared" si="18"/>
        <v/>
      </c>
      <c r="G194" s="126" t="str">
        <f>IF(C194="","",'Datos Generales'!$D$19)</f>
        <v/>
      </c>
      <c r="H194" s="21" t="str">
        <f>IF(C194="","",'Datos Generales'!$A$19)</f>
        <v/>
      </c>
      <c r="I194" s="126" t="str">
        <f>IF(C194="","",'Datos Generales'!$A$7)</f>
        <v/>
      </c>
      <c r="J194" s="21" t="str">
        <f>IF(C194="","",'Datos Generales'!$A$13)</f>
        <v/>
      </c>
      <c r="K194" s="21" t="str">
        <f>IF(C194="","",'Datos Generales'!$A$10)</f>
        <v/>
      </c>
      <c r="CS194" s="142" t="str">
        <f t="shared" si="19"/>
        <v/>
      </c>
      <c r="CT194" s="142" t="str">
        <f t="shared" si="20"/>
        <v/>
      </c>
      <c r="CU194" s="142" t="str">
        <f t="shared" si="21"/>
        <v/>
      </c>
      <c r="CV194" s="142" t="str">
        <f t="shared" si="22"/>
        <v/>
      </c>
      <c r="CW194" s="142" t="str">
        <f>IF(C194="","",IF('Datos Generales'!$A$19=1,AVERAGE(FP194:GD194),AVERAGE(Captura!FP194:FY194)))</f>
        <v/>
      </c>
      <c r="CX194" s="138" t="e">
        <f>IF(VLOOKUP(CONCATENATE($H$4,$F$4,CX$2),Español!$A:$H,7,FALSE)=L194,1,0)</f>
        <v>#N/A</v>
      </c>
      <c r="CY194" s="138" t="e">
        <f>IF(VLOOKUP(CONCATENATE(H194,F194,CY$2),Español!$A:$H,7,FALSE)=M194,1,0)</f>
        <v>#N/A</v>
      </c>
      <c r="CZ194" s="138" t="e">
        <f>IF(VLOOKUP(CONCATENATE(H194,F194,CZ$2),Español!$A:$H,7,FALSE)=N194,1,0)</f>
        <v>#N/A</v>
      </c>
      <c r="DA194" s="138" t="e">
        <f>IF(VLOOKUP(CONCATENATE(H194,F194,DA$2),Español!$A:$H,7,FALSE)=O194,1,0)</f>
        <v>#N/A</v>
      </c>
      <c r="DB194" s="138" t="e">
        <f>IF(VLOOKUP(CONCATENATE(H194,F194,DB$2),Español!$A:$H,7,FALSE)=P194,1,0)</f>
        <v>#N/A</v>
      </c>
      <c r="DC194" s="138" t="e">
        <f>IF(VLOOKUP(CONCATENATE(H194,F194,DC$2),Español!$A:$H,7,FALSE)=Q194,1,0)</f>
        <v>#N/A</v>
      </c>
      <c r="DD194" s="138" t="e">
        <f>IF(VLOOKUP(CONCATENATE(H194,F194,DD$2),Español!$A:$H,7,FALSE)=R194,1,0)</f>
        <v>#N/A</v>
      </c>
      <c r="DE194" s="138" t="e">
        <f>IF(VLOOKUP(CONCATENATE(H194,F194,DE$2),Español!$A:$H,7,FALSE)=S194,1,0)</f>
        <v>#N/A</v>
      </c>
      <c r="DF194" s="138" t="e">
        <f>IF(VLOOKUP(CONCATENATE(H194,F194,DF$2),Español!$A:$H,7,FALSE)=T194,1,0)</f>
        <v>#N/A</v>
      </c>
      <c r="DG194" s="138" t="e">
        <f>IF(VLOOKUP(CONCATENATE(H194,F194,DG$2),Español!$A:$H,7,FALSE)=U194,1,0)</f>
        <v>#N/A</v>
      </c>
      <c r="DH194" s="138" t="e">
        <f>IF(VLOOKUP(CONCATENATE(H194,F194,DH$2),Español!$A:$H,7,FALSE)=V194,1,0)</f>
        <v>#N/A</v>
      </c>
      <c r="DI194" s="138" t="e">
        <f>IF(VLOOKUP(CONCATENATE(H194,F194,DI$2),Español!$A:$H,7,FALSE)=W194,1,0)</f>
        <v>#N/A</v>
      </c>
      <c r="DJ194" s="138" t="e">
        <f>IF(VLOOKUP(CONCATENATE(H194,F194,DJ$2),Español!$A:$H,7,FALSE)=X194,1,0)</f>
        <v>#N/A</v>
      </c>
      <c r="DK194" s="138" t="e">
        <f>IF(VLOOKUP(CONCATENATE(H194,F194,DK$2),Español!$A:$H,7,FALSE)=Y194,1,0)</f>
        <v>#N/A</v>
      </c>
      <c r="DL194" s="138" t="e">
        <f>IF(VLOOKUP(CONCATENATE(H194,F194,DL$2),Español!$A:$H,7,FALSE)=Z194,1,0)</f>
        <v>#N/A</v>
      </c>
      <c r="DM194" s="138" t="e">
        <f>IF(VLOOKUP(CONCATENATE(H194,F194,DM$2),Español!$A:$H,7,FALSE)=AA194,1,0)</f>
        <v>#N/A</v>
      </c>
      <c r="DN194" s="138" t="e">
        <f>IF(VLOOKUP(CONCATENATE(H194,F194,DN$2),Español!$A:$H,7,FALSE)=AB194,1,0)</f>
        <v>#N/A</v>
      </c>
      <c r="DO194" s="138" t="e">
        <f>IF(VLOOKUP(CONCATENATE(H194,F194,DO$2),Español!$A:$H,7,FALSE)=AC194,1,0)</f>
        <v>#N/A</v>
      </c>
      <c r="DP194" s="138" t="e">
        <f>IF(VLOOKUP(CONCATENATE(H194,F194,DP$2),Español!$A:$H,7,FALSE)=AD194,1,0)</f>
        <v>#N/A</v>
      </c>
      <c r="DQ194" s="138" t="e">
        <f>IF(VLOOKUP(CONCATENATE(H194,F194,DQ$2),Español!$A:$H,7,FALSE)=AE194,1,0)</f>
        <v>#N/A</v>
      </c>
      <c r="DR194" s="138" t="e">
        <f>IF(VLOOKUP(CONCATENATE(H194,F194,DR$2),Inglés!$A:$H,7,FALSE)=AF194,1,0)</f>
        <v>#N/A</v>
      </c>
      <c r="DS194" s="138" t="e">
        <f>IF(VLOOKUP(CONCATENATE(H194,F194,DS$2),Inglés!$A:$H,7,FALSE)=AG194,1,0)</f>
        <v>#N/A</v>
      </c>
      <c r="DT194" s="138" t="e">
        <f>IF(VLOOKUP(CONCATENATE(H194,F194,DT$2),Inglés!$A:$H,7,FALSE)=AH194,1,0)</f>
        <v>#N/A</v>
      </c>
      <c r="DU194" s="138" t="e">
        <f>IF(VLOOKUP(CONCATENATE(H194,F194,DU$2),Inglés!$A:$H,7,FALSE)=AI194,1,0)</f>
        <v>#N/A</v>
      </c>
      <c r="DV194" s="138" t="e">
        <f>IF(VLOOKUP(CONCATENATE(H194,F194,DV$2),Inglés!$A:$H,7,FALSE)=AJ194,1,0)</f>
        <v>#N/A</v>
      </c>
      <c r="DW194" s="138" t="e">
        <f>IF(VLOOKUP(CONCATENATE(H194,F194,DW$2),Inglés!$A:$H,7,FALSE)=AK194,1,0)</f>
        <v>#N/A</v>
      </c>
      <c r="DX194" s="138" t="e">
        <f>IF(VLOOKUP(CONCATENATE(H194,F194,DX$2),Inglés!$A:$H,7,FALSE)=AL194,1,0)</f>
        <v>#N/A</v>
      </c>
      <c r="DY194" s="138" t="e">
        <f>IF(VLOOKUP(CONCATENATE(H194,F194,DY$2),Inglés!$A:$H,7,FALSE)=AM194,1,0)</f>
        <v>#N/A</v>
      </c>
      <c r="DZ194" s="138" t="e">
        <f>IF(VLOOKUP(CONCATENATE(H194,F194,DZ$2),Inglés!$A:$H,7,FALSE)=AN194,1,0)</f>
        <v>#N/A</v>
      </c>
      <c r="EA194" s="138" t="e">
        <f>IF(VLOOKUP(CONCATENATE(H194,F194,EA$2),Inglés!$A:$H,7,FALSE)=AO194,1,0)</f>
        <v>#N/A</v>
      </c>
      <c r="EB194" s="138" t="e">
        <f>IF(VLOOKUP(CONCATENATE(H194,F194,EB$2),Matemáticas!$A:$H,7,FALSE)=AP194,1,0)</f>
        <v>#N/A</v>
      </c>
      <c r="EC194" s="138" t="e">
        <f>IF(VLOOKUP(CONCATENATE(H194,F194,EC$2),Matemáticas!$A:$H,7,FALSE)=AQ194,1,0)</f>
        <v>#N/A</v>
      </c>
      <c r="ED194" s="138" t="e">
        <f>IF(VLOOKUP(CONCATENATE(H194,F194,ED$2),Matemáticas!$A:$H,7,FALSE)=AR194,1,0)</f>
        <v>#N/A</v>
      </c>
      <c r="EE194" s="138" t="e">
        <f>IF(VLOOKUP(CONCATENATE(H194,F194,EE$2),Matemáticas!$A:$H,7,FALSE)=AS194,1,0)</f>
        <v>#N/A</v>
      </c>
      <c r="EF194" s="138" t="e">
        <f>IF(VLOOKUP(CONCATENATE(H194,F194,EF$2),Matemáticas!$A:$H,7,FALSE)=AT194,1,0)</f>
        <v>#N/A</v>
      </c>
      <c r="EG194" s="138" t="e">
        <f>IF(VLOOKUP(CONCATENATE(H194,F194,EG$2),Matemáticas!$A:$H,7,FALSE)=AU194,1,0)</f>
        <v>#N/A</v>
      </c>
      <c r="EH194" s="138" t="e">
        <f>IF(VLOOKUP(CONCATENATE(H194,F194,EH$2),Matemáticas!$A:$H,7,FALSE)=AV194,1,0)</f>
        <v>#N/A</v>
      </c>
      <c r="EI194" s="138" t="e">
        <f>IF(VLOOKUP(CONCATENATE(H194,F194,EI$2),Matemáticas!$A:$H,7,FALSE)=AW194,1,0)</f>
        <v>#N/A</v>
      </c>
      <c r="EJ194" s="138" t="e">
        <f>IF(VLOOKUP(CONCATENATE(H194,F194,EJ$2),Matemáticas!$A:$H,7,FALSE)=AX194,1,0)</f>
        <v>#N/A</v>
      </c>
      <c r="EK194" s="138" t="e">
        <f>IF(VLOOKUP(CONCATENATE(H194,F194,EK$2),Matemáticas!$A:$H,7,FALSE)=AY194,1,0)</f>
        <v>#N/A</v>
      </c>
      <c r="EL194" s="138" t="e">
        <f>IF(VLOOKUP(CONCATENATE(H194,F194,EL$2),Matemáticas!$A:$H,7,FALSE)=AZ194,1,0)</f>
        <v>#N/A</v>
      </c>
      <c r="EM194" s="138" t="e">
        <f>IF(VLOOKUP(CONCATENATE(H194,F194,EM$2),Matemáticas!$A:$H,7,FALSE)=BA194,1,0)</f>
        <v>#N/A</v>
      </c>
      <c r="EN194" s="138" t="e">
        <f>IF(VLOOKUP(CONCATENATE(H194,F194,EN$2),Matemáticas!$A:$H,7,FALSE)=BB194,1,0)</f>
        <v>#N/A</v>
      </c>
      <c r="EO194" s="138" t="e">
        <f>IF(VLOOKUP(CONCATENATE(H194,F194,EO$2),Matemáticas!$A:$H,7,FALSE)=BC194,1,0)</f>
        <v>#N/A</v>
      </c>
      <c r="EP194" s="138" t="e">
        <f>IF(VLOOKUP(CONCATENATE(H194,F194,EP$2),Matemáticas!$A:$H,7,FALSE)=BD194,1,0)</f>
        <v>#N/A</v>
      </c>
      <c r="EQ194" s="138" t="e">
        <f>IF(VLOOKUP(CONCATENATE(H194,F194,EQ$2),Matemáticas!$A:$H,7,FALSE)=BE194,1,0)</f>
        <v>#N/A</v>
      </c>
      <c r="ER194" s="138" t="e">
        <f>IF(VLOOKUP(CONCATENATE(H194,F194,ER$2),Matemáticas!$A:$H,7,FALSE)=BF194,1,0)</f>
        <v>#N/A</v>
      </c>
      <c r="ES194" s="138" t="e">
        <f>IF(VLOOKUP(CONCATENATE(H194,F194,ES$2),Matemáticas!$A:$H,7,FALSE)=BG194,1,0)</f>
        <v>#N/A</v>
      </c>
      <c r="ET194" s="138" t="e">
        <f>IF(VLOOKUP(CONCATENATE(H194,F194,ET$2),Matemáticas!$A:$H,7,FALSE)=BH194,1,0)</f>
        <v>#N/A</v>
      </c>
      <c r="EU194" s="138" t="e">
        <f>IF(VLOOKUP(CONCATENATE(H194,F194,EU$2),Matemáticas!$A:$H,7,FALSE)=BI194,1,0)</f>
        <v>#N/A</v>
      </c>
      <c r="EV194" s="138" t="e">
        <f>IF(VLOOKUP(CONCATENATE(H194,F194,EV$2),Ciencias!$A:$H,7,FALSE)=BJ194,1,0)</f>
        <v>#N/A</v>
      </c>
      <c r="EW194" s="138" t="e">
        <f>IF(VLOOKUP(CONCATENATE(H194,F194,EW$2),Ciencias!$A:$H,7,FALSE)=BK194,1,0)</f>
        <v>#N/A</v>
      </c>
      <c r="EX194" s="138" t="e">
        <f>IF(VLOOKUP(CONCATENATE(H194,F194,EX$2),Ciencias!$A:$H,7,FALSE)=BL194,1,0)</f>
        <v>#N/A</v>
      </c>
      <c r="EY194" s="138" t="e">
        <f>IF(VLOOKUP(CONCATENATE(H194,F194,EY$2),Ciencias!$A:$H,7,FALSE)=BM194,1,0)</f>
        <v>#N/A</v>
      </c>
      <c r="EZ194" s="138" t="e">
        <f>IF(VLOOKUP(CONCATENATE(H194,F194,EZ$2),Ciencias!$A:$H,7,FALSE)=BN194,1,0)</f>
        <v>#N/A</v>
      </c>
      <c r="FA194" s="138" t="e">
        <f>IF(VLOOKUP(CONCATENATE(H194,F194,FA$2),Ciencias!$A:$H,7,FALSE)=BO194,1,0)</f>
        <v>#N/A</v>
      </c>
      <c r="FB194" s="138" t="e">
        <f>IF(VLOOKUP(CONCATENATE(H194,F194,FB$2),Ciencias!$A:$H,7,FALSE)=BP194,1,0)</f>
        <v>#N/A</v>
      </c>
      <c r="FC194" s="138" t="e">
        <f>IF(VLOOKUP(CONCATENATE(H194,F194,FC$2),Ciencias!$A:$H,7,FALSE)=BQ194,1,0)</f>
        <v>#N/A</v>
      </c>
      <c r="FD194" s="138" t="e">
        <f>IF(VLOOKUP(CONCATENATE(H194,F194,FD$2),Ciencias!$A:$H,7,FALSE)=BR194,1,0)</f>
        <v>#N/A</v>
      </c>
      <c r="FE194" s="138" t="e">
        <f>IF(VLOOKUP(CONCATENATE(H194,F194,FE$2),Ciencias!$A:$H,7,FALSE)=BS194,1,0)</f>
        <v>#N/A</v>
      </c>
      <c r="FF194" s="138" t="e">
        <f>IF(VLOOKUP(CONCATENATE(H194,F194,FF$2),Ciencias!$A:$H,7,FALSE)=BT194,1,0)</f>
        <v>#N/A</v>
      </c>
      <c r="FG194" s="138" t="e">
        <f>IF(VLOOKUP(CONCATENATE(H194,F194,FG$2),Ciencias!$A:$H,7,FALSE)=BU194,1,0)</f>
        <v>#N/A</v>
      </c>
      <c r="FH194" s="138" t="e">
        <f>IF(VLOOKUP(CONCATENATE(H194,F194,FH$2),Ciencias!$A:$H,7,FALSE)=BV194,1,0)</f>
        <v>#N/A</v>
      </c>
      <c r="FI194" s="138" t="e">
        <f>IF(VLOOKUP(CONCATENATE(H194,F194,FI$2),Ciencias!$A:$H,7,FALSE)=BW194,1,0)</f>
        <v>#N/A</v>
      </c>
      <c r="FJ194" s="138" t="e">
        <f>IF(VLOOKUP(CONCATENATE(H194,F194,FJ$2),Ciencias!$A:$H,7,FALSE)=BX194,1,0)</f>
        <v>#N/A</v>
      </c>
      <c r="FK194" s="138" t="e">
        <f>IF(VLOOKUP(CONCATENATE(H194,F194,FK$2),Ciencias!$A:$H,7,FALSE)=BY194,1,0)</f>
        <v>#N/A</v>
      </c>
      <c r="FL194" s="138" t="e">
        <f>IF(VLOOKUP(CONCATENATE(H194,F194,FL$2),Ciencias!$A:$H,7,FALSE)=BZ194,1,0)</f>
        <v>#N/A</v>
      </c>
      <c r="FM194" s="138" t="e">
        <f>IF(VLOOKUP(CONCATENATE(H194,F194,FM$2),Ciencias!$A:$H,7,FALSE)=CA194,1,0)</f>
        <v>#N/A</v>
      </c>
      <c r="FN194" s="138" t="e">
        <f>IF(VLOOKUP(CONCATENATE(H194,F194,FN$2),Ciencias!$A:$H,7,FALSE)=CB194,1,0)</f>
        <v>#N/A</v>
      </c>
      <c r="FO194" s="138" t="e">
        <f>IF(VLOOKUP(CONCATENATE(H194,F194,FO$2),Ciencias!$A:$H,7,FALSE)=CC194,1,0)</f>
        <v>#N/A</v>
      </c>
      <c r="FP194" s="138" t="e">
        <f>IF(VLOOKUP(CONCATENATE(H194,F194,FP$2),GeoHis!$A:$H,7,FALSE)=CD194,1,0)</f>
        <v>#N/A</v>
      </c>
      <c r="FQ194" s="138" t="e">
        <f>IF(VLOOKUP(CONCATENATE(H194,F194,FQ$2),GeoHis!$A:$H,7,FALSE)=CE194,1,0)</f>
        <v>#N/A</v>
      </c>
      <c r="FR194" s="138" t="e">
        <f>IF(VLOOKUP(CONCATENATE(H194,F194,FR$2),GeoHis!$A:$H,7,FALSE)=CF194,1,0)</f>
        <v>#N/A</v>
      </c>
      <c r="FS194" s="138" t="e">
        <f>IF(VLOOKUP(CONCATENATE(H194,F194,FS$2),GeoHis!$A:$H,7,FALSE)=CG194,1,0)</f>
        <v>#N/A</v>
      </c>
      <c r="FT194" s="138" t="e">
        <f>IF(VLOOKUP(CONCATENATE(H194,F194,FT$2),GeoHis!$A:$H,7,FALSE)=CH194,1,0)</f>
        <v>#N/A</v>
      </c>
      <c r="FU194" s="138" t="e">
        <f>IF(VLOOKUP(CONCATENATE(H194,F194,FU$2),GeoHis!$A:$H,7,FALSE)=CI194,1,0)</f>
        <v>#N/A</v>
      </c>
      <c r="FV194" s="138" t="e">
        <f>IF(VLOOKUP(CONCATENATE(H194,F194,FV$2),GeoHis!$A:$H,7,FALSE)=CJ194,1,0)</f>
        <v>#N/A</v>
      </c>
      <c r="FW194" s="138" t="e">
        <f>IF(VLOOKUP(CONCATENATE(H194,F194,FW$2),GeoHis!$A:$H,7,FALSE)=CK194,1,0)</f>
        <v>#N/A</v>
      </c>
      <c r="FX194" s="138" t="e">
        <f>IF(VLOOKUP(CONCATENATE(H194,F194,FX$2),GeoHis!$A:$H,7,FALSE)=CL194,1,0)</f>
        <v>#N/A</v>
      </c>
      <c r="FY194" s="138" t="e">
        <f>IF(VLOOKUP(CONCATENATE(H194,F194,FY$2),GeoHis!$A:$H,7,FALSE)=CM194,1,0)</f>
        <v>#N/A</v>
      </c>
      <c r="FZ194" s="138" t="e">
        <f>IF(VLOOKUP(CONCATENATE(H194,F194,FZ$2),GeoHis!$A:$H,7,FALSE)=CN194,1,0)</f>
        <v>#N/A</v>
      </c>
      <c r="GA194" s="138" t="e">
        <f>IF(VLOOKUP(CONCATENATE(H194,F194,GA$2),GeoHis!$A:$H,7,FALSE)=CO194,1,0)</f>
        <v>#N/A</v>
      </c>
      <c r="GB194" s="138" t="e">
        <f>IF(VLOOKUP(CONCATENATE(H194,F194,GB$2),GeoHis!$A:$H,7,FALSE)=CP194,1,0)</f>
        <v>#N/A</v>
      </c>
      <c r="GC194" s="138" t="e">
        <f>IF(VLOOKUP(CONCATENATE(H194,F194,GC$2),GeoHis!$A:$H,7,FALSE)=CQ194,1,0)</f>
        <v>#N/A</v>
      </c>
      <c r="GD194" s="138" t="e">
        <f>IF(VLOOKUP(CONCATENATE(H194,F194,GD$2),GeoHis!$A:$H,7,FALSE)=CR194,1,0)</f>
        <v>#N/A</v>
      </c>
      <c r="GE194" s="135" t="str">
        <f t="shared" si="23"/>
        <v/>
      </c>
    </row>
    <row r="195" spans="1:187" x14ac:dyDescent="0.25">
      <c r="A195" s="127" t="str">
        <f>IF(C195="","",'Datos Generales'!$A$25)</f>
        <v/>
      </c>
      <c r="D195" s="126" t="str">
        <f t="shared" si="16"/>
        <v/>
      </c>
      <c r="E195" s="126">
        <f t="shared" si="17"/>
        <v>0</v>
      </c>
      <c r="F195" s="126" t="str">
        <f t="shared" si="18"/>
        <v/>
      </c>
      <c r="G195" s="126" t="str">
        <f>IF(C195="","",'Datos Generales'!$D$19)</f>
        <v/>
      </c>
      <c r="H195" s="21" t="str">
        <f>IF(C195="","",'Datos Generales'!$A$19)</f>
        <v/>
      </c>
      <c r="I195" s="126" t="str">
        <f>IF(C195="","",'Datos Generales'!$A$7)</f>
        <v/>
      </c>
      <c r="J195" s="21" t="str">
        <f>IF(C195="","",'Datos Generales'!$A$13)</f>
        <v/>
      </c>
      <c r="K195" s="21" t="str">
        <f>IF(C195="","",'Datos Generales'!$A$10)</f>
        <v/>
      </c>
      <c r="CS195" s="142" t="str">
        <f t="shared" si="19"/>
        <v/>
      </c>
      <c r="CT195" s="142" t="str">
        <f t="shared" si="20"/>
        <v/>
      </c>
      <c r="CU195" s="142" t="str">
        <f t="shared" si="21"/>
        <v/>
      </c>
      <c r="CV195" s="142" t="str">
        <f t="shared" si="22"/>
        <v/>
      </c>
      <c r="CW195" s="142" t="str">
        <f>IF(C195="","",IF('Datos Generales'!$A$19=1,AVERAGE(FP195:GD195),AVERAGE(Captura!FP195:FY195)))</f>
        <v/>
      </c>
      <c r="CX195" s="138" t="e">
        <f>IF(VLOOKUP(CONCATENATE($H$4,$F$4,CX$2),Español!$A:$H,7,FALSE)=L195,1,0)</f>
        <v>#N/A</v>
      </c>
      <c r="CY195" s="138" t="e">
        <f>IF(VLOOKUP(CONCATENATE(H195,F195,CY$2),Español!$A:$H,7,FALSE)=M195,1,0)</f>
        <v>#N/A</v>
      </c>
      <c r="CZ195" s="138" t="e">
        <f>IF(VLOOKUP(CONCATENATE(H195,F195,CZ$2),Español!$A:$H,7,FALSE)=N195,1,0)</f>
        <v>#N/A</v>
      </c>
      <c r="DA195" s="138" t="e">
        <f>IF(VLOOKUP(CONCATENATE(H195,F195,DA$2),Español!$A:$H,7,FALSE)=O195,1,0)</f>
        <v>#N/A</v>
      </c>
      <c r="DB195" s="138" t="e">
        <f>IF(VLOOKUP(CONCATENATE(H195,F195,DB$2),Español!$A:$H,7,FALSE)=P195,1,0)</f>
        <v>#N/A</v>
      </c>
      <c r="DC195" s="138" t="e">
        <f>IF(VLOOKUP(CONCATENATE(H195,F195,DC$2),Español!$A:$H,7,FALSE)=Q195,1,0)</f>
        <v>#N/A</v>
      </c>
      <c r="DD195" s="138" t="e">
        <f>IF(VLOOKUP(CONCATENATE(H195,F195,DD$2),Español!$A:$H,7,FALSE)=R195,1,0)</f>
        <v>#N/A</v>
      </c>
      <c r="DE195" s="138" t="e">
        <f>IF(VLOOKUP(CONCATENATE(H195,F195,DE$2),Español!$A:$H,7,FALSE)=S195,1,0)</f>
        <v>#N/A</v>
      </c>
      <c r="DF195" s="138" t="e">
        <f>IF(VLOOKUP(CONCATENATE(H195,F195,DF$2),Español!$A:$H,7,FALSE)=T195,1,0)</f>
        <v>#N/A</v>
      </c>
      <c r="DG195" s="138" t="e">
        <f>IF(VLOOKUP(CONCATENATE(H195,F195,DG$2),Español!$A:$H,7,FALSE)=U195,1,0)</f>
        <v>#N/A</v>
      </c>
      <c r="DH195" s="138" t="e">
        <f>IF(VLOOKUP(CONCATENATE(H195,F195,DH$2),Español!$A:$H,7,FALSE)=V195,1,0)</f>
        <v>#N/A</v>
      </c>
      <c r="DI195" s="138" t="e">
        <f>IF(VLOOKUP(CONCATENATE(H195,F195,DI$2),Español!$A:$H,7,FALSE)=W195,1,0)</f>
        <v>#N/A</v>
      </c>
      <c r="DJ195" s="138" t="e">
        <f>IF(VLOOKUP(CONCATENATE(H195,F195,DJ$2),Español!$A:$H,7,FALSE)=X195,1,0)</f>
        <v>#N/A</v>
      </c>
      <c r="DK195" s="138" t="e">
        <f>IF(VLOOKUP(CONCATENATE(H195,F195,DK$2),Español!$A:$H,7,FALSE)=Y195,1,0)</f>
        <v>#N/A</v>
      </c>
      <c r="DL195" s="138" t="e">
        <f>IF(VLOOKUP(CONCATENATE(H195,F195,DL$2),Español!$A:$H,7,FALSE)=Z195,1,0)</f>
        <v>#N/A</v>
      </c>
      <c r="DM195" s="138" t="e">
        <f>IF(VLOOKUP(CONCATENATE(H195,F195,DM$2),Español!$A:$H,7,FALSE)=AA195,1,0)</f>
        <v>#N/A</v>
      </c>
      <c r="DN195" s="138" t="e">
        <f>IF(VLOOKUP(CONCATENATE(H195,F195,DN$2),Español!$A:$H,7,FALSE)=AB195,1,0)</f>
        <v>#N/A</v>
      </c>
      <c r="DO195" s="138" t="e">
        <f>IF(VLOOKUP(CONCATENATE(H195,F195,DO$2),Español!$A:$H,7,FALSE)=AC195,1,0)</f>
        <v>#N/A</v>
      </c>
      <c r="DP195" s="138" t="e">
        <f>IF(VLOOKUP(CONCATENATE(H195,F195,DP$2),Español!$A:$H,7,FALSE)=AD195,1,0)</f>
        <v>#N/A</v>
      </c>
      <c r="DQ195" s="138" t="e">
        <f>IF(VLOOKUP(CONCATENATE(H195,F195,DQ$2),Español!$A:$H,7,FALSE)=AE195,1,0)</f>
        <v>#N/A</v>
      </c>
      <c r="DR195" s="138" t="e">
        <f>IF(VLOOKUP(CONCATENATE(H195,F195,DR$2),Inglés!$A:$H,7,FALSE)=AF195,1,0)</f>
        <v>#N/A</v>
      </c>
      <c r="DS195" s="138" t="e">
        <f>IF(VLOOKUP(CONCATENATE(H195,F195,DS$2),Inglés!$A:$H,7,FALSE)=AG195,1,0)</f>
        <v>#N/A</v>
      </c>
      <c r="DT195" s="138" t="e">
        <f>IF(VLOOKUP(CONCATENATE(H195,F195,DT$2),Inglés!$A:$H,7,FALSE)=AH195,1,0)</f>
        <v>#N/A</v>
      </c>
      <c r="DU195" s="138" t="e">
        <f>IF(VLOOKUP(CONCATENATE(H195,F195,DU$2),Inglés!$A:$H,7,FALSE)=AI195,1,0)</f>
        <v>#N/A</v>
      </c>
      <c r="DV195" s="138" t="e">
        <f>IF(VLOOKUP(CONCATENATE(H195,F195,DV$2),Inglés!$A:$H,7,FALSE)=AJ195,1,0)</f>
        <v>#N/A</v>
      </c>
      <c r="DW195" s="138" t="e">
        <f>IF(VLOOKUP(CONCATENATE(H195,F195,DW$2),Inglés!$A:$H,7,FALSE)=AK195,1,0)</f>
        <v>#N/A</v>
      </c>
      <c r="DX195" s="138" t="e">
        <f>IF(VLOOKUP(CONCATENATE(H195,F195,DX$2),Inglés!$A:$H,7,FALSE)=AL195,1,0)</f>
        <v>#N/A</v>
      </c>
      <c r="DY195" s="138" t="e">
        <f>IF(VLOOKUP(CONCATENATE(H195,F195,DY$2),Inglés!$A:$H,7,FALSE)=AM195,1,0)</f>
        <v>#N/A</v>
      </c>
      <c r="DZ195" s="138" t="e">
        <f>IF(VLOOKUP(CONCATENATE(H195,F195,DZ$2),Inglés!$A:$H,7,FALSE)=AN195,1,0)</f>
        <v>#N/A</v>
      </c>
      <c r="EA195" s="138" t="e">
        <f>IF(VLOOKUP(CONCATENATE(H195,F195,EA$2),Inglés!$A:$H,7,FALSE)=AO195,1,0)</f>
        <v>#N/A</v>
      </c>
      <c r="EB195" s="138" t="e">
        <f>IF(VLOOKUP(CONCATENATE(H195,F195,EB$2),Matemáticas!$A:$H,7,FALSE)=AP195,1,0)</f>
        <v>#N/A</v>
      </c>
      <c r="EC195" s="138" t="e">
        <f>IF(VLOOKUP(CONCATENATE(H195,F195,EC$2),Matemáticas!$A:$H,7,FALSE)=AQ195,1,0)</f>
        <v>#N/A</v>
      </c>
      <c r="ED195" s="138" t="e">
        <f>IF(VLOOKUP(CONCATENATE(H195,F195,ED$2),Matemáticas!$A:$H,7,FALSE)=AR195,1,0)</f>
        <v>#N/A</v>
      </c>
      <c r="EE195" s="138" t="e">
        <f>IF(VLOOKUP(CONCATENATE(H195,F195,EE$2),Matemáticas!$A:$H,7,FALSE)=AS195,1,0)</f>
        <v>#N/A</v>
      </c>
      <c r="EF195" s="138" t="e">
        <f>IF(VLOOKUP(CONCATENATE(H195,F195,EF$2),Matemáticas!$A:$H,7,FALSE)=AT195,1,0)</f>
        <v>#N/A</v>
      </c>
      <c r="EG195" s="138" t="e">
        <f>IF(VLOOKUP(CONCATENATE(H195,F195,EG$2),Matemáticas!$A:$H,7,FALSE)=AU195,1,0)</f>
        <v>#N/A</v>
      </c>
      <c r="EH195" s="138" t="e">
        <f>IF(VLOOKUP(CONCATENATE(H195,F195,EH$2),Matemáticas!$A:$H,7,FALSE)=AV195,1,0)</f>
        <v>#N/A</v>
      </c>
      <c r="EI195" s="138" t="e">
        <f>IF(VLOOKUP(CONCATENATE(H195,F195,EI$2),Matemáticas!$A:$H,7,FALSE)=AW195,1,0)</f>
        <v>#N/A</v>
      </c>
      <c r="EJ195" s="138" t="e">
        <f>IF(VLOOKUP(CONCATENATE(H195,F195,EJ$2),Matemáticas!$A:$H,7,FALSE)=AX195,1,0)</f>
        <v>#N/A</v>
      </c>
      <c r="EK195" s="138" t="e">
        <f>IF(VLOOKUP(CONCATENATE(H195,F195,EK$2),Matemáticas!$A:$H,7,FALSE)=AY195,1,0)</f>
        <v>#N/A</v>
      </c>
      <c r="EL195" s="138" t="e">
        <f>IF(VLOOKUP(CONCATENATE(H195,F195,EL$2),Matemáticas!$A:$H,7,FALSE)=AZ195,1,0)</f>
        <v>#N/A</v>
      </c>
      <c r="EM195" s="138" t="e">
        <f>IF(VLOOKUP(CONCATENATE(H195,F195,EM$2),Matemáticas!$A:$H,7,FALSE)=BA195,1,0)</f>
        <v>#N/A</v>
      </c>
      <c r="EN195" s="138" t="e">
        <f>IF(VLOOKUP(CONCATENATE(H195,F195,EN$2),Matemáticas!$A:$H,7,FALSE)=BB195,1,0)</f>
        <v>#N/A</v>
      </c>
      <c r="EO195" s="138" t="e">
        <f>IF(VLOOKUP(CONCATENATE(H195,F195,EO$2),Matemáticas!$A:$H,7,FALSE)=BC195,1,0)</f>
        <v>#N/A</v>
      </c>
      <c r="EP195" s="138" t="e">
        <f>IF(VLOOKUP(CONCATENATE(H195,F195,EP$2),Matemáticas!$A:$H,7,FALSE)=BD195,1,0)</f>
        <v>#N/A</v>
      </c>
      <c r="EQ195" s="138" t="e">
        <f>IF(VLOOKUP(CONCATENATE(H195,F195,EQ$2),Matemáticas!$A:$H,7,FALSE)=BE195,1,0)</f>
        <v>#N/A</v>
      </c>
      <c r="ER195" s="138" t="e">
        <f>IF(VLOOKUP(CONCATENATE(H195,F195,ER$2),Matemáticas!$A:$H,7,FALSE)=BF195,1,0)</f>
        <v>#N/A</v>
      </c>
      <c r="ES195" s="138" t="e">
        <f>IF(VLOOKUP(CONCATENATE(H195,F195,ES$2),Matemáticas!$A:$H,7,FALSE)=BG195,1,0)</f>
        <v>#N/A</v>
      </c>
      <c r="ET195" s="138" t="e">
        <f>IF(VLOOKUP(CONCATENATE(H195,F195,ET$2),Matemáticas!$A:$H,7,FALSE)=BH195,1,0)</f>
        <v>#N/A</v>
      </c>
      <c r="EU195" s="138" t="e">
        <f>IF(VLOOKUP(CONCATENATE(H195,F195,EU$2),Matemáticas!$A:$H,7,FALSE)=BI195,1,0)</f>
        <v>#N/A</v>
      </c>
      <c r="EV195" s="138" t="e">
        <f>IF(VLOOKUP(CONCATENATE(H195,F195,EV$2),Ciencias!$A:$H,7,FALSE)=BJ195,1,0)</f>
        <v>#N/A</v>
      </c>
      <c r="EW195" s="138" t="e">
        <f>IF(VLOOKUP(CONCATENATE(H195,F195,EW$2),Ciencias!$A:$H,7,FALSE)=BK195,1,0)</f>
        <v>#N/A</v>
      </c>
      <c r="EX195" s="138" t="e">
        <f>IF(VLOOKUP(CONCATENATE(H195,F195,EX$2),Ciencias!$A:$H,7,FALSE)=BL195,1,0)</f>
        <v>#N/A</v>
      </c>
      <c r="EY195" s="138" t="e">
        <f>IF(VLOOKUP(CONCATENATE(H195,F195,EY$2),Ciencias!$A:$H,7,FALSE)=BM195,1,0)</f>
        <v>#N/A</v>
      </c>
      <c r="EZ195" s="138" t="e">
        <f>IF(VLOOKUP(CONCATENATE(H195,F195,EZ$2),Ciencias!$A:$H,7,FALSE)=BN195,1,0)</f>
        <v>#N/A</v>
      </c>
      <c r="FA195" s="138" t="e">
        <f>IF(VLOOKUP(CONCATENATE(H195,F195,FA$2),Ciencias!$A:$H,7,FALSE)=BO195,1,0)</f>
        <v>#N/A</v>
      </c>
      <c r="FB195" s="138" t="e">
        <f>IF(VLOOKUP(CONCATENATE(H195,F195,FB$2),Ciencias!$A:$H,7,FALSE)=BP195,1,0)</f>
        <v>#N/A</v>
      </c>
      <c r="FC195" s="138" t="e">
        <f>IF(VLOOKUP(CONCATENATE(H195,F195,FC$2),Ciencias!$A:$H,7,FALSE)=BQ195,1,0)</f>
        <v>#N/A</v>
      </c>
      <c r="FD195" s="138" t="e">
        <f>IF(VLOOKUP(CONCATENATE(H195,F195,FD$2),Ciencias!$A:$H,7,FALSE)=BR195,1,0)</f>
        <v>#N/A</v>
      </c>
      <c r="FE195" s="138" t="e">
        <f>IF(VLOOKUP(CONCATENATE(H195,F195,FE$2),Ciencias!$A:$H,7,FALSE)=BS195,1,0)</f>
        <v>#N/A</v>
      </c>
      <c r="FF195" s="138" t="e">
        <f>IF(VLOOKUP(CONCATENATE(H195,F195,FF$2),Ciencias!$A:$H,7,FALSE)=BT195,1,0)</f>
        <v>#N/A</v>
      </c>
      <c r="FG195" s="138" t="e">
        <f>IF(VLOOKUP(CONCATENATE(H195,F195,FG$2),Ciencias!$A:$H,7,FALSE)=BU195,1,0)</f>
        <v>#N/A</v>
      </c>
      <c r="FH195" s="138" t="e">
        <f>IF(VLOOKUP(CONCATENATE(H195,F195,FH$2),Ciencias!$A:$H,7,FALSE)=BV195,1,0)</f>
        <v>#N/A</v>
      </c>
      <c r="FI195" s="138" t="e">
        <f>IF(VLOOKUP(CONCATENATE(H195,F195,FI$2),Ciencias!$A:$H,7,FALSE)=BW195,1,0)</f>
        <v>#N/A</v>
      </c>
      <c r="FJ195" s="138" t="e">
        <f>IF(VLOOKUP(CONCATENATE(H195,F195,FJ$2),Ciencias!$A:$H,7,FALSE)=BX195,1,0)</f>
        <v>#N/A</v>
      </c>
      <c r="FK195" s="138" t="e">
        <f>IF(VLOOKUP(CONCATENATE(H195,F195,FK$2),Ciencias!$A:$H,7,FALSE)=BY195,1,0)</f>
        <v>#N/A</v>
      </c>
      <c r="FL195" s="138" t="e">
        <f>IF(VLOOKUP(CONCATENATE(H195,F195,FL$2),Ciencias!$A:$H,7,FALSE)=BZ195,1,0)</f>
        <v>#N/A</v>
      </c>
      <c r="FM195" s="138" t="e">
        <f>IF(VLOOKUP(CONCATENATE(H195,F195,FM$2),Ciencias!$A:$H,7,FALSE)=CA195,1,0)</f>
        <v>#N/A</v>
      </c>
      <c r="FN195" s="138" t="e">
        <f>IF(VLOOKUP(CONCATENATE(H195,F195,FN$2),Ciencias!$A:$H,7,FALSE)=CB195,1,0)</f>
        <v>#N/A</v>
      </c>
      <c r="FO195" s="138" t="e">
        <f>IF(VLOOKUP(CONCATENATE(H195,F195,FO$2),Ciencias!$A:$H,7,FALSE)=CC195,1,0)</f>
        <v>#N/A</v>
      </c>
      <c r="FP195" s="138" t="e">
        <f>IF(VLOOKUP(CONCATENATE(H195,F195,FP$2),GeoHis!$A:$H,7,FALSE)=CD195,1,0)</f>
        <v>#N/A</v>
      </c>
      <c r="FQ195" s="138" t="e">
        <f>IF(VLOOKUP(CONCATENATE(H195,F195,FQ$2),GeoHis!$A:$H,7,FALSE)=CE195,1,0)</f>
        <v>#N/A</v>
      </c>
      <c r="FR195" s="138" t="e">
        <f>IF(VLOOKUP(CONCATENATE(H195,F195,FR$2),GeoHis!$A:$H,7,FALSE)=CF195,1,0)</f>
        <v>#N/A</v>
      </c>
      <c r="FS195" s="138" t="e">
        <f>IF(VLOOKUP(CONCATENATE(H195,F195,FS$2),GeoHis!$A:$H,7,FALSE)=CG195,1,0)</f>
        <v>#N/A</v>
      </c>
      <c r="FT195" s="138" t="e">
        <f>IF(VLOOKUP(CONCATENATE(H195,F195,FT$2),GeoHis!$A:$H,7,FALSE)=CH195,1,0)</f>
        <v>#N/A</v>
      </c>
      <c r="FU195" s="138" t="e">
        <f>IF(VLOOKUP(CONCATENATE(H195,F195,FU$2),GeoHis!$A:$H,7,FALSE)=CI195,1,0)</f>
        <v>#N/A</v>
      </c>
      <c r="FV195" s="138" t="e">
        <f>IF(VLOOKUP(CONCATENATE(H195,F195,FV$2),GeoHis!$A:$H,7,FALSE)=CJ195,1,0)</f>
        <v>#N/A</v>
      </c>
      <c r="FW195" s="138" t="e">
        <f>IF(VLOOKUP(CONCATENATE(H195,F195,FW$2),GeoHis!$A:$H,7,FALSE)=CK195,1,0)</f>
        <v>#N/A</v>
      </c>
      <c r="FX195" s="138" t="e">
        <f>IF(VLOOKUP(CONCATENATE(H195,F195,FX$2),GeoHis!$A:$H,7,FALSE)=CL195,1,0)</f>
        <v>#N/A</v>
      </c>
      <c r="FY195" s="138" t="e">
        <f>IF(VLOOKUP(CONCATENATE(H195,F195,FY$2),GeoHis!$A:$H,7,FALSE)=CM195,1,0)</f>
        <v>#N/A</v>
      </c>
      <c r="FZ195" s="138" t="e">
        <f>IF(VLOOKUP(CONCATENATE(H195,F195,FZ$2),GeoHis!$A:$H,7,FALSE)=CN195,1,0)</f>
        <v>#N/A</v>
      </c>
      <c r="GA195" s="138" t="e">
        <f>IF(VLOOKUP(CONCATENATE(H195,F195,GA$2),GeoHis!$A:$H,7,FALSE)=CO195,1,0)</f>
        <v>#N/A</v>
      </c>
      <c r="GB195" s="138" t="e">
        <f>IF(VLOOKUP(CONCATENATE(H195,F195,GB$2),GeoHis!$A:$H,7,FALSE)=CP195,1,0)</f>
        <v>#N/A</v>
      </c>
      <c r="GC195" s="138" t="e">
        <f>IF(VLOOKUP(CONCATENATE(H195,F195,GC$2),GeoHis!$A:$H,7,FALSE)=CQ195,1,0)</f>
        <v>#N/A</v>
      </c>
      <c r="GD195" s="138" t="e">
        <f>IF(VLOOKUP(CONCATENATE(H195,F195,GD$2),GeoHis!$A:$H,7,FALSE)=CR195,1,0)</f>
        <v>#N/A</v>
      </c>
      <c r="GE195" s="135" t="str">
        <f t="shared" si="23"/>
        <v/>
      </c>
    </row>
    <row r="196" spans="1:187" x14ac:dyDescent="0.25">
      <c r="A196" s="127" t="str">
        <f>IF(C196="","",'Datos Generales'!$A$25)</f>
        <v/>
      </c>
      <c r="D196" s="126" t="str">
        <f t="shared" ref="D196:D259" si="24">CONCATENATE(C196,F196,G196,H196,I196,J196,K196)</f>
        <v/>
      </c>
      <c r="E196" s="126">
        <f t="shared" ref="E196:E259" si="25">B196</f>
        <v>0</v>
      </c>
      <c r="F196" s="126" t="str">
        <f t="shared" ref="F196:F259" si="26">IF(C196="","",IF(F195="","",F195))</f>
        <v/>
      </c>
      <c r="G196" s="126" t="str">
        <f>IF(C196="","",'Datos Generales'!$D$19)</f>
        <v/>
      </c>
      <c r="H196" s="21" t="str">
        <f>IF(C196="","",'Datos Generales'!$A$19)</f>
        <v/>
      </c>
      <c r="I196" s="126" t="str">
        <f>IF(C196="","",'Datos Generales'!$A$7)</f>
        <v/>
      </c>
      <c r="J196" s="21" t="str">
        <f>IF(C196="","",'Datos Generales'!$A$13)</f>
        <v/>
      </c>
      <c r="K196" s="21" t="str">
        <f>IF(C196="","",'Datos Generales'!$A$10)</f>
        <v/>
      </c>
      <c r="CS196" s="142" t="str">
        <f t="shared" ref="CS196:CS259" si="27">IF(C196="","",AVERAGE(CX196:DQ196))</f>
        <v/>
      </c>
      <c r="CT196" s="142" t="str">
        <f t="shared" ref="CT196:CT259" si="28">IF(C196="","",AVERAGE(DR196:EA196))</f>
        <v/>
      </c>
      <c r="CU196" s="142" t="str">
        <f t="shared" ref="CU196:CU259" si="29">IF(C196="","",AVERAGE(EB196:EU196))</f>
        <v/>
      </c>
      <c r="CV196" s="142" t="str">
        <f t="shared" ref="CV196:CV259" si="30">IF(C196="","",AVERAGE(EV196:FO196))</f>
        <v/>
      </c>
      <c r="CW196" s="142" t="str">
        <f>IF(C196="","",IF('Datos Generales'!$A$19=1,AVERAGE(FP196:GD196),AVERAGE(Captura!FP196:FY196)))</f>
        <v/>
      </c>
      <c r="CX196" s="138" t="e">
        <f>IF(VLOOKUP(CONCATENATE($H$4,$F$4,CX$2),Español!$A:$H,7,FALSE)=L196,1,0)</f>
        <v>#N/A</v>
      </c>
      <c r="CY196" s="138" t="e">
        <f>IF(VLOOKUP(CONCATENATE(H196,F196,CY$2),Español!$A:$H,7,FALSE)=M196,1,0)</f>
        <v>#N/A</v>
      </c>
      <c r="CZ196" s="138" t="e">
        <f>IF(VLOOKUP(CONCATENATE(H196,F196,CZ$2),Español!$A:$H,7,FALSE)=N196,1,0)</f>
        <v>#N/A</v>
      </c>
      <c r="DA196" s="138" t="e">
        <f>IF(VLOOKUP(CONCATENATE(H196,F196,DA$2),Español!$A:$H,7,FALSE)=O196,1,0)</f>
        <v>#N/A</v>
      </c>
      <c r="DB196" s="138" t="e">
        <f>IF(VLOOKUP(CONCATENATE(H196,F196,DB$2),Español!$A:$H,7,FALSE)=P196,1,0)</f>
        <v>#N/A</v>
      </c>
      <c r="DC196" s="138" t="e">
        <f>IF(VLOOKUP(CONCATENATE(H196,F196,DC$2),Español!$A:$H,7,FALSE)=Q196,1,0)</f>
        <v>#N/A</v>
      </c>
      <c r="DD196" s="138" t="e">
        <f>IF(VLOOKUP(CONCATENATE(H196,F196,DD$2),Español!$A:$H,7,FALSE)=R196,1,0)</f>
        <v>#N/A</v>
      </c>
      <c r="DE196" s="138" t="e">
        <f>IF(VLOOKUP(CONCATENATE(H196,F196,DE$2),Español!$A:$H,7,FALSE)=S196,1,0)</f>
        <v>#N/A</v>
      </c>
      <c r="DF196" s="138" t="e">
        <f>IF(VLOOKUP(CONCATENATE(H196,F196,DF$2),Español!$A:$H,7,FALSE)=T196,1,0)</f>
        <v>#N/A</v>
      </c>
      <c r="DG196" s="138" t="e">
        <f>IF(VLOOKUP(CONCATENATE(H196,F196,DG$2),Español!$A:$H,7,FALSE)=U196,1,0)</f>
        <v>#N/A</v>
      </c>
      <c r="DH196" s="138" t="e">
        <f>IF(VLOOKUP(CONCATENATE(H196,F196,DH$2),Español!$A:$H,7,FALSE)=V196,1,0)</f>
        <v>#N/A</v>
      </c>
      <c r="DI196" s="138" t="e">
        <f>IF(VLOOKUP(CONCATENATE(H196,F196,DI$2),Español!$A:$H,7,FALSE)=W196,1,0)</f>
        <v>#N/A</v>
      </c>
      <c r="DJ196" s="138" t="e">
        <f>IF(VLOOKUP(CONCATENATE(H196,F196,DJ$2),Español!$A:$H,7,FALSE)=X196,1,0)</f>
        <v>#N/A</v>
      </c>
      <c r="DK196" s="138" t="e">
        <f>IF(VLOOKUP(CONCATENATE(H196,F196,DK$2),Español!$A:$H,7,FALSE)=Y196,1,0)</f>
        <v>#N/A</v>
      </c>
      <c r="DL196" s="138" t="e">
        <f>IF(VLOOKUP(CONCATENATE(H196,F196,DL$2),Español!$A:$H,7,FALSE)=Z196,1,0)</f>
        <v>#N/A</v>
      </c>
      <c r="DM196" s="138" t="e">
        <f>IF(VLOOKUP(CONCATENATE(H196,F196,DM$2),Español!$A:$H,7,FALSE)=AA196,1,0)</f>
        <v>#N/A</v>
      </c>
      <c r="DN196" s="138" t="e">
        <f>IF(VLOOKUP(CONCATENATE(H196,F196,DN$2),Español!$A:$H,7,FALSE)=AB196,1,0)</f>
        <v>#N/A</v>
      </c>
      <c r="DO196" s="138" t="e">
        <f>IF(VLOOKUP(CONCATENATE(H196,F196,DO$2),Español!$A:$H,7,FALSE)=AC196,1,0)</f>
        <v>#N/A</v>
      </c>
      <c r="DP196" s="138" t="e">
        <f>IF(VLOOKUP(CONCATENATE(H196,F196,DP$2),Español!$A:$H,7,FALSE)=AD196,1,0)</f>
        <v>#N/A</v>
      </c>
      <c r="DQ196" s="138" t="e">
        <f>IF(VLOOKUP(CONCATENATE(H196,F196,DQ$2),Español!$A:$H,7,FALSE)=AE196,1,0)</f>
        <v>#N/A</v>
      </c>
      <c r="DR196" s="138" t="e">
        <f>IF(VLOOKUP(CONCATENATE(H196,F196,DR$2),Inglés!$A:$H,7,FALSE)=AF196,1,0)</f>
        <v>#N/A</v>
      </c>
      <c r="DS196" s="138" t="e">
        <f>IF(VLOOKUP(CONCATENATE(H196,F196,DS$2),Inglés!$A:$H,7,FALSE)=AG196,1,0)</f>
        <v>#N/A</v>
      </c>
      <c r="DT196" s="138" t="e">
        <f>IF(VLOOKUP(CONCATENATE(H196,F196,DT$2),Inglés!$A:$H,7,FALSE)=AH196,1,0)</f>
        <v>#N/A</v>
      </c>
      <c r="DU196" s="138" t="e">
        <f>IF(VLOOKUP(CONCATENATE(H196,F196,DU$2),Inglés!$A:$H,7,FALSE)=AI196,1,0)</f>
        <v>#N/A</v>
      </c>
      <c r="DV196" s="138" t="e">
        <f>IF(VLOOKUP(CONCATENATE(H196,F196,DV$2),Inglés!$A:$H,7,FALSE)=AJ196,1,0)</f>
        <v>#N/A</v>
      </c>
      <c r="DW196" s="138" t="e">
        <f>IF(VLOOKUP(CONCATENATE(H196,F196,DW$2),Inglés!$A:$H,7,FALSE)=AK196,1,0)</f>
        <v>#N/A</v>
      </c>
      <c r="DX196" s="138" t="e">
        <f>IF(VLOOKUP(CONCATENATE(H196,F196,DX$2),Inglés!$A:$H,7,FALSE)=AL196,1,0)</f>
        <v>#N/A</v>
      </c>
      <c r="DY196" s="138" t="e">
        <f>IF(VLOOKUP(CONCATENATE(H196,F196,DY$2),Inglés!$A:$H,7,FALSE)=AM196,1,0)</f>
        <v>#N/A</v>
      </c>
      <c r="DZ196" s="138" t="e">
        <f>IF(VLOOKUP(CONCATENATE(H196,F196,DZ$2),Inglés!$A:$H,7,FALSE)=AN196,1,0)</f>
        <v>#N/A</v>
      </c>
      <c r="EA196" s="138" t="e">
        <f>IF(VLOOKUP(CONCATENATE(H196,F196,EA$2),Inglés!$A:$H,7,FALSE)=AO196,1,0)</f>
        <v>#N/A</v>
      </c>
      <c r="EB196" s="138" t="e">
        <f>IF(VLOOKUP(CONCATENATE(H196,F196,EB$2),Matemáticas!$A:$H,7,FALSE)=AP196,1,0)</f>
        <v>#N/A</v>
      </c>
      <c r="EC196" s="138" t="e">
        <f>IF(VLOOKUP(CONCATENATE(H196,F196,EC$2),Matemáticas!$A:$H,7,FALSE)=AQ196,1,0)</f>
        <v>#N/A</v>
      </c>
      <c r="ED196" s="138" t="e">
        <f>IF(VLOOKUP(CONCATENATE(H196,F196,ED$2),Matemáticas!$A:$H,7,FALSE)=AR196,1,0)</f>
        <v>#N/A</v>
      </c>
      <c r="EE196" s="138" t="e">
        <f>IF(VLOOKUP(CONCATENATE(H196,F196,EE$2),Matemáticas!$A:$H,7,FALSE)=AS196,1,0)</f>
        <v>#N/A</v>
      </c>
      <c r="EF196" s="138" t="e">
        <f>IF(VLOOKUP(CONCATENATE(H196,F196,EF$2),Matemáticas!$A:$H,7,FALSE)=AT196,1,0)</f>
        <v>#N/A</v>
      </c>
      <c r="EG196" s="138" t="e">
        <f>IF(VLOOKUP(CONCATENATE(H196,F196,EG$2),Matemáticas!$A:$H,7,FALSE)=AU196,1,0)</f>
        <v>#N/A</v>
      </c>
      <c r="EH196" s="138" t="e">
        <f>IF(VLOOKUP(CONCATENATE(H196,F196,EH$2),Matemáticas!$A:$H,7,FALSE)=AV196,1,0)</f>
        <v>#N/A</v>
      </c>
      <c r="EI196" s="138" t="e">
        <f>IF(VLOOKUP(CONCATENATE(H196,F196,EI$2),Matemáticas!$A:$H,7,FALSE)=AW196,1,0)</f>
        <v>#N/A</v>
      </c>
      <c r="EJ196" s="138" t="e">
        <f>IF(VLOOKUP(CONCATENATE(H196,F196,EJ$2),Matemáticas!$A:$H,7,FALSE)=AX196,1,0)</f>
        <v>#N/A</v>
      </c>
      <c r="EK196" s="138" t="e">
        <f>IF(VLOOKUP(CONCATENATE(H196,F196,EK$2),Matemáticas!$A:$H,7,FALSE)=AY196,1,0)</f>
        <v>#N/A</v>
      </c>
      <c r="EL196" s="138" t="e">
        <f>IF(VLOOKUP(CONCATENATE(H196,F196,EL$2),Matemáticas!$A:$H,7,FALSE)=AZ196,1,0)</f>
        <v>#N/A</v>
      </c>
      <c r="EM196" s="138" t="e">
        <f>IF(VLOOKUP(CONCATENATE(H196,F196,EM$2),Matemáticas!$A:$H,7,FALSE)=BA196,1,0)</f>
        <v>#N/A</v>
      </c>
      <c r="EN196" s="138" t="e">
        <f>IF(VLOOKUP(CONCATENATE(H196,F196,EN$2),Matemáticas!$A:$H,7,FALSE)=BB196,1,0)</f>
        <v>#N/A</v>
      </c>
      <c r="EO196" s="138" t="e">
        <f>IF(VLOOKUP(CONCATENATE(H196,F196,EO$2),Matemáticas!$A:$H,7,FALSE)=BC196,1,0)</f>
        <v>#N/A</v>
      </c>
      <c r="EP196" s="138" t="e">
        <f>IF(VLOOKUP(CONCATENATE(H196,F196,EP$2),Matemáticas!$A:$H,7,FALSE)=BD196,1,0)</f>
        <v>#N/A</v>
      </c>
      <c r="EQ196" s="138" t="e">
        <f>IF(VLOOKUP(CONCATENATE(H196,F196,EQ$2),Matemáticas!$A:$H,7,FALSE)=BE196,1,0)</f>
        <v>#N/A</v>
      </c>
      <c r="ER196" s="138" t="e">
        <f>IF(VLOOKUP(CONCATENATE(H196,F196,ER$2),Matemáticas!$A:$H,7,FALSE)=BF196,1,0)</f>
        <v>#N/A</v>
      </c>
      <c r="ES196" s="138" t="e">
        <f>IF(VLOOKUP(CONCATENATE(H196,F196,ES$2),Matemáticas!$A:$H,7,FALSE)=BG196,1,0)</f>
        <v>#N/A</v>
      </c>
      <c r="ET196" s="138" t="e">
        <f>IF(VLOOKUP(CONCATENATE(H196,F196,ET$2),Matemáticas!$A:$H,7,FALSE)=BH196,1,0)</f>
        <v>#N/A</v>
      </c>
      <c r="EU196" s="138" t="e">
        <f>IF(VLOOKUP(CONCATENATE(H196,F196,EU$2),Matemáticas!$A:$H,7,FALSE)=BI196,1,0)</f>
        <v>#N/A</v>
      </c>
      <c r="EV196" s="138" t="e">
        <f>IF(VLOOKUP(CONCATENATE(H196,F196,EV$2),Ciencias!$A:$H,7,FALSE)=BJ196,1,0)</f>
        <v>#N/A</v>
      </c>
      <c r="EW196" s="138" t="e">
        <f>IF(VLOOKUP(CONCATENATE(H196,F196,EW$2),Ciencias!$A:$H,7,FALSE)=BK196,1,0)</f>
        <v>#N/A</v>
      </c>
      <c r="EX196" s="138" t="e">
        <f>IF(VLOOKUP(CONCATENATE(H196,F196,EX$2),Ciencias!$A:$H,7,FALSE)=BL196,1,0)</f>
        <v>#N/A</v>
      </c>
      <c r="EY196" s="138" t="e">
        <f>IF(VLOOKUP(CONCATENATE(H196,F196,EY$2),Ciencias!$A:$H,7,FALSE)=BM196,1,0)</f>
        <v>#N/A</v>
      </c>
      <c r="EZ196" s="138" t="e">
        <f>IF(VLOOKUP(CONCATENATE(H196,F196,EZ$2),Ciencias!$A:$H,7,FALSE)=BN196,1,0)</f>
        <v>#N/A</v>
      </c>
      <c r="FA196" s="138" t="e">
        <f>IF(VLOOKUP(CONCATENATE(H196,F196,FA$2),Ciencias!$A:$H,7,FALSE)=BO196,1,0)</f>
        <v>#N/A</v>
      </c>
      <c r="FB196" s="138" t="e">
        <f>IF(VLOOKUP(CONCATENATE(H196,F196,FB$2),Ciencias!$A:$H,7,FALSE)=BP196,1,0)</f>
        <v>#N/A</v>
      </c>
      <c r="FC196" s="138" t="e">
        <f>IF(VLOOKUP(CONCATENATE(H196,F196,FC$2),Ciencias!$A:$H,7,FALSE)=BQ196,1,0)</f>
        <v>#N/A</v>
      </c>
      <c r="FD196" s="138" t="e">
        <f>IF(VLOOKUP(CONCATENATE(H196,F196,FD$2),Ciencias!$A:$H,7,FALSE)=BR196,1,0)</f>
        <v>#N/A</v>
      </c>
      <c r="FE196" s="138" t="e">
        <f>IF(VLOOKUP(CONCATENATE(H196,F196,FE$2),Ciencias!$A:$H,7,FALSE)=BS196,1,0)</f>
        <v>#N/A</v>
      </c>
      <c r="FF196" s="138" t="e">
        <f>IF(VLOOKUP(CONCATENATE(H196,F196,FF$2),Ciencias!$A:$H,7,FALSE)=BT196,1,0)</f>
        <v>#N/A</v>
      </c>
      <c r="FG196" s="138" t="e">
        <f>IF(VLOOKUP(CONCATENATE(H196,F196,FG$2),Ciencias!$A:$H,7,FALSE)=BU196,1,0)</f>
        <v>#N/A</v>
      </c>
      <c r="FH196" s="138" t="e">
        <f>IF(VLOOKUP(CONCATENATE(H196,F196,FH$2),Ciencias!$A:$H,7,FALSE)=BV196,1,0)</f>
        <v>#N/A</v>
      </c>
      <c r="FI196" s="138" t="e">
        <f>IF(VLOOKUP(CONCATENATE(H196,F196,FI$2),Ciencias!$A:$H,7,FALSE)=BW196,1,0)</f>
        <v>#N/A</v>
      </c>
      <c r="FJ196" s="138" t="e">
        <f>IF(VLOOKUP(CONCATENATE(H196,F196,FJ$2),Ciencias!$A:$H,7,FALSE)=BX196,1,0)</f>
        <v>#N/A</v>
      </c>
      <c r="FK196" s="138" t="e">
        <f>IF(VLOOKUP(CONCATENATE(H196,F196,FK$2),Ciencias!$A:$H,7,FALSE)=BY196,1,0)</f>
        <v>#N/A</v>
      </c>
      <c r="FL196" s="138" t="e">
        <f>IF(VLOOKUP(CONCATENATE(H196,F196,FL$2),Ciencias!$A:$H,7,FALSE)=BZ196,1,0)</f>
        <v>#N/A</v>
      </c>
      <c r="FM196" s="138" t="e">
        <f>IF(VLOOKUP(CONCATENATE(H196,F196,FM$2),Ciencias!$A:$H,7,FALSE)=CA196,1,0)</f>
        <v>#N/A</v>
      </c>
      <c r="FN196" s="138" t="e">
        <f>IF(VLOOKUP(CONCATENATE(H196,F196,FN$2),Ciencias!$A:$H,7,FALSE)=CB196,1,0)</f>
        <v>#N/A</v>
      </c>
      <c r="FO196" s="138" t="e">
        <f>IF(VLOOKUP(CONCATENATE(H196,F196,FO$2),Ciencias!$A:$H,7,FALSE)=CC196,1,0)</f>
        <v>#N/A</v>
      </c>
      <c r="FP196" s="138" t="e">
        <f>IF(VLOOKUP(CONCATENATE(H196,F196,FP$2),GeoHis!$A:$H,7,FALSE)=CD196,1,0)</f>
        <v>#N/A</v>
      </c>
      <c r="FQ196" s="138" t="e">
        <f>IF(VLOOKUP(CONCATENATE(H196,F196,FQ$2),GeoHis!$A:$H,7,FALSE)=CE196,1,0)</f>
        <v>#N/A</v>
      </c>
      <c r="FR196" s="138" t="e">
        <f>IF(VLOOKUP(CONCATENATE(H196,F196,FR$2),GeoHis!$A:$H,7,FALSE)=CF196,1,0)</f>
        <v>#N/A</v>
      </c>
      <c r="FS196" s="138" t="e">
        <f>IF(VLOOKUP(CONCATENATE(H196,F196,FS$2),GeoHis!$A:$H,7,FALSE)=CG196,1,0)</f>
        <v>#N/A</v>
      </c>
      <c r="FT196" s="138" t="e">
        <f>IF(VLOOKUP(CONCATENATE(H196,F196,FT$2),GeoHis!$A:$H,7,FALSE)=CH196,1,0)</f>
        <v>#N/A</v>
      </c>
      <c r="FU196" s="138" t="e">
        <f>IF(VLOOKUP(CONCATENATE(H196,F196,FU$2),GeoHis!$A:$H,7,FALSE)=CI196,1,0)</f>
        <v>#N/A</v>
      </c>
      <c r="FV196" s="138" t="e">
        <f>IF(VLOOKUP(CONCATENATE(H196,F196,FV$2),GeoHis!$A:$H,7,FALSE)=CJ196,1,0)</f>
        <v>#N/A</v>
      </c>
      <c r="FW196" s="138" t="e">
        <f>IF(VLOOKUP(CONCATENATE(H196,F196,FW$2),GeoHis!$A:$H,7,FALSE)=CK196,1,0)</f>
        <v>#N/A</v>
      </c>
      <c r="FX196" s="138" t="e">
        <f>IF(VLOOKUP(CONCATENATE(H196,F196,FX$2),GeoHis!$A:$H,7,FALSE)=CL196,1,0)</f>
        <v>#N/A</v>
      </c>
      <c r="FY196" s="138" t="e">
        <f>IF(VLOOKUP(CONCATENATE(H196,F196,FY$2),GeoHis!$A:$H,7,FALSE)=CM196,1,0)</f>
        <v>#N/A</v>
      </c>
      <c r="FZ196" s="138" t="e">
        <f>IF(VLOOKUP(CONCATENATE(H196,F196,FZ$2),GeoHis!$A:$H,7,FALSE)=CN196,1,0)</f>
        <v>#N/A</v>
      </c>
      <c r="GA196" s="138" t="e">
        <f>IF(VLOOKUP(CONCATENATE(H196,F196,GA$2),GeoHis!$A:$H,7,FALSE)=CO196,1,0)</f>
        <v>#N/A</v>
      </c>
      <c r="GB196" s="138" t="e">
        <f>IF(VLOOKUP(CONCATENATE(H196,F196,GB$2),GeoHis!$A:$H,7,FALSE)=CP196,1,0)</f>
        <v>#N/A</v>
      </c>
      <c r="GC196" s="138" t="e">
        <f>IF(VLOOKUP(CONCATENATE(H196,F196,GC$2),GeoHis!$A:$H,7,FALSE)=CQ196,1,0)</f>
        <v>#N/A</v>
      </c>
      <c r="GD196" s="138" t="e">
        <f>IF(VLOOKUP(CONCATENATE(H196,F196,GD$2),GeoHis!$A:$H,7,FALSE)=CR196,1,0)</f>
        <v>#N/A</v>
      </c>
      <c r="GE196" s="135" t="str">
        <f t="shared" ref="GE196:GE259" si="31">A196</f>
        <v/>
      </c>
    </row>
    <row r="197" spans="1:187" x14ac:dyDescent="0.25">
      <c r="A197" s="127" t="str">
        <f>IF(C197="","",'Datos Generales'!$A$25)</f>
        <v/>
      </c>
      <c r="D197" s="126" t="str">
        <f t="shared" si="24"/>
        <v/>
      </c>
      <c r="E197" s="126">
        <f t="shared" si="25"/>
        <v>0</v>
      </c>
      <c r="F197" s="126" t="str">
        <f t="shared" si="26"/>
        <v/>
      </c>
      <c r="G197" s="126" t="str">
        <f>IF(C197="","",'Datos Generales'!$D$19)</f>
        <v/>
      </c>
      <c r="H197" s="21" t="str">
        <f>IF(C197="","",'Datos Generales'!$A$19)</f>
        <v/>
      </c>
      <c r="I197" s="126" t="str">
        <f>IF(C197="","",'Datos Generales'!$A$7)</f>
        <v/>
      </c>
      <c r="J197" s="21" t="str">
        <f>IF(C197="","",'Datos Generales'!$A$13)</f>
        <v/>
      </c>
      <c r="K197" s="21" t="str">
        <f>IF(C197="","",'Datos Generales'!$A$10)</f>
        <v/>
      </c>
      <c r="CS197" s="142" t="str">
        <f t="shared" si="27"/>
        <v/>
      </c>
      <c r="CT197" s="142" t="str">
        <f t="shared" si="28"/>
        <v/>
      </c>
      <c r="CU197" s="142" t="str">
        <f t="shared" si="29"/>
        <v/>
      </c>
      <c r="CV197" s="142" t="str">
        <f t="shared" si="30"/>
        <v/>
      </c>
      <c r="CW197" s="142" t="str">
        <f>IF(C197="","",IF('Datos Generales'!$A$19=1,AVERAGE(FP197:GD197),AVERAGE(Captura!FP197:FY197)))</f>
        <v/>
      </c>
      <c r="CX197" s="138" t="e">
        <f>IF(VLOOKUP(CONCATENATE($H$4,$F$4,CX$2),Español!$A:$H,7,FALSE)=L197,1,0)</f>
        <v>#N/A</v>
      </c>
      <c r="CY197" s="138" t="e">
        <f>IF(VLOOKUP(CONCATENATE(H197,F197,CY$2),Español!$A:$H,7,FALSE)=M197,1,0)</f>
        <v>#N/A</v>
      </c>
      <c r="CZ197" s="138" t="e">
        <f>IF(VLOOKUP(CONCATENATE(H197,F197,CZ$2),Español!$A:$H,7,FALSE)=N197,1,0)</f>
        <v>#N/A</v>
      </c>
      <c r="DA197" s="138" t="e">
        <f>IF(VLOOKUP(CONCATENATE(H197,F197,DA$2),Español!$A:$H,7,FALSE)=O197,1,0)</f>
        <v>#N/A</v>
      </c>
      <c r="DB197" s="138" t="e">
        <f>IF(VLOOKUP(CONCATENATE(H197,F197,DB$2),Español!$A:$H,7,FALSE)=P197,1,0)</f>
        <v>#N/A</v>
      </c>
      <c r="DC197" s="138" t="e">
        <f>IF(VLOOKUP(CONCATENATE(H197,F197,DC$2),Español!$A:$H,7,FALSE)=Q197,1,0)</f>
        <v>#N/A</v>
      </c>
      <c r="DD197" s="138" t="e">
        <f>IF(VLOOKUP(CONCATENATE(H197,F197,DD$2),Español!$A:$H,7,FALSE)=R197,1,0)</f>
        <v>#N/A</v>
      </c>
      <c r="DE197" s="138" t="e">
        <f>IF(VLOOKUP(CONCATENATE(H197,F197,DE$2),Español!$A:$H,7,FALSE)=S197,1,0)</f>
        <v>#N/A</v>
      </c>
      <c r="DF197" s="138" t="e">
        <f>IF(VLOOKUP(CONCATENATE(H197,F197,DF$2),Español!$A:$H,7,FALSE)=T197,1,0)</f>
        <v>#N/A</v>
      </c>
      <c r="DG197" s="138" t="e">
        <f>IF(VLOOKUP(CONCATENATE(H197,F197,DG$2),Español!$A:$H,7,FALSE)=U197,1,0)</f>
        <v>#N/A</v>
      </c>
      <c r="DH197" s="138" t="e">
        <f>IF(VLOOKUP(CONCATENATE(H197,F197,DH$2),Español!$A:$H,7,FALSE)=V197,1,0)</f>
        <v>#N/A</v>
      </c>
      <c r="DI197" s="138" t="e">
        <f>IF(VLOOKUP(CONCATENATE(H197,F197,DI$2),Español!$A:$H,7,FALSE)=W197,1,0)</f>
        <v>#N/A</v>
      </c>
      <c r="DJ197" s="138" t="e">
        <f>IF(VLOOKUP(CONCATENATE(H197,F197,DJ$2),Español!$A:$H,7,FALSE)=X197,1,0)</f>
        <v>#N/A</v>
      </c>
      <c r="DK197" s="138" t="e">
        <f>IF(VLOOKUP(CONCATENATE(H197,F197,DK$2),Español!$A:$H,7,FALSE)=Y197,1,0)</f>
        <v>#N/A</v>
      </c>
      <c r="DL197" s="138" t="e">
        <f>IF(VLOOKUP(CONCATENATE(H197,F197,DL$2),Español!$A:$H,7,FALSE)=Z197,1,0)</f>
        <v>#N/A</v>
      </c>
      <c r="DM197" s="138" t="e">
        <f>IF(VLOOKUP(CONCATENATE(H197,F197,DM$2),Español!$A:$H,7,FALSE)=AA197,1,0)</f>
        <v>#N/A</v>
      </c>
      <c r="DN197" s="138" t="e">
        <f>IF(VLOOKUP(CONCATENATE(H197,F197,DN$2),Español!$A:$H,7,FALSE)=AB197,1,0)</f>
        <v>#N/A</v>
      </c>
      <c r="DO197" s="138" t="e">
        <f>IF(VLOOKUP(CONCATENATE(H197,F197,DO$2),Español!$A:$H,7,FALSE)=AC197,1,0)</f>
        <v>#N/A</v>
      </c>
      <c r="DP197" s="138" t="e">
        <f>IF(VLOOKUP(CONCATENATE(H197,F197,DP$2),Español!$A:$H,7,FALSE)=AD197,1,0)</f>
        <v>#N/A</v>
      </c>
      <c r="DQ197" s="138" t="e">
        <f>IF(VLOOKUP(CONCATENATE(H197,F197,DQ$2),Español!$A:$H,7,FALSE)=AE197,1,0)</f>
        <v>#N/A</v>
      </c>
      <c r="DR197" s="138" t="e">
        <f>IF(VLOOKUP(CONCATENATE(H197,F197,DR$2),Inglés!$A:$H,7,FALSE)=AF197,1,0)</f>
        <v>#N/A</v>
      </c>
      <c r="DS197" s="138" t="e">
        <f>IF(VLOOKUP(CONCATENATE(H197,F197,DS$2),Inglés!$A:$H,7,FALSE)=AG197,1,0)</f>
        <v>#N/A</v>
      </c>
      <c r="DT197" s="138" t="e">
        <f>IF(VLOOKUP(CONCATENATE(H197,F197,DT$2),Inglés!$A:$H,7,FALSE)=AH197,1,0)</f>
        <v>#N/A</v>
      </c>
      <c r="DU197" s="138" t="e">
        <f>IF(VLOOKUP(CONCATENATE(H197,F197,DU$2),Inglés!$A:$H,7,FALSE)=AI197,1,0)</f>
        <v>#N/A</v>
      </c>
      <c r="DV197" s="138" t="e">
        <f>IF(VLOOKUP(CONCATENATE(H197,F197,DV$2),Inglés!$A:$H,7,FALSE)=AJ197,1,0)</f>
        <v>#N/A</v>
      </c>
      <c r="DW197" s="138" t="e">
        <f>IF(VLOOKUP(CONCATENATE(H197,F197,DW$2),Inglés!$A:$H,7,FALSE)=AK197,1,0)</f>
        <v>#N/A</v>
      </c>
      <c r="DX197" s="138" t="e">
        <f>IF(VLOOKUP(CONCATENATE(H197,F197,DX$2),Inglés!$A:$H,7,FALSE)=AL197,1,0)</f>
        <v>#N/A</v>
      </c>
      <c r="DY197" s="138" t="e">
        <f>IF(VLOOKUP(CONCATENATE(H197,F197,DY$2),Inglés!$A:$H,7,FALSE)=AM197,1,0)</f>
        <v>#N/A</v>
      </c>
      <c r="DZ197" s="138" t="e">
        <f>IF(VLOOKUP(CONCATENATE(H197,F197,DZ$2),Inglés!$A:$H,7,FALSE)=AN197,1,0)</f>
        <v>#N/A</v>
      </c>
      <c r="EA197" s="138" t="e">
        <f>IF(VLOOKUP(CONCATENATE(H197,F197,EA$2),Inglés!$A:$H,7,FALSE)=AO197,1,0)</f>
        <v>#N/A</v>
      </c>
      <c r="EB197" s="138" t="e">
        <f>IF(VLOOKUP(CONCATENATE(H197,F197,EB$2),Matemáticas!$A:$H,7,FALSE)=AP197,1,0)</f>
        <v>#N/A</v>
      </c>
      <c r="EC197" s="138" t="e">
        <f>IF(VLOOKUP(CONCATENATE(H197,F197,EC$2),Matemáticas!$A:$H,7,FALSE)=AQ197,1,0)</f>
        <v>#N/A</v>
      </c>
      <c r="ED197" s="138" t="e">
        <f>IF(VLOOKUP(CONCATENATE(H197,F197,ED$2),Matemáticas!$A:$H,7,FALSE)=AR197,1,0)</f>
        <v>#N/A</v>
      </c>
      <c r="EE197" s="138" t="e">
        <f>IF(VLOOKUP(CONCATENATE(H197,F197,EE$2),Matemáticas!$A:$H,7,FALSE)=AS197,1,0)</f>
        <v>#N/A</v>
      </c>
      <c r="EF197" s="138" t="e">
        <f>IF(VLOOKUP(CONCATENATE(H197,F197,EF$2),Matemáticas!$A:$H,7,FALSE)=AT197,1,0)</f>
        <v>#N/A</v>
      </c>
      <c r="EG197" s="138" t="e">
        <f>IF(VLOOKUP(CONCATENATE(H197,F197,EG$2),Matemáticas!$A:$H,7,FALSE)=AU197,1,0)</f>
        <v>#N/A</v>
      </c>
      <c r="EH197" s="138" t="e">
        <f>IF(VLOOKUP(CONCATENATE(H197,F197,EH$2),Matemáticas!$A:$H,7,FALSE)=AV197,1,0)</f>
        <v>#N/A</v>
      </c>
      <c r="EI197" s="138" t="e">
        <f>IF(VLOOKUP(CONCATENATE(H197,F197,EI$2),Matemáticas!$A:$H,7,FALSE)=AW197,1,0)</f>
        <v>#N/A</v>
      </c>
      <c r="EJ197" s="138" t="e">
        <f>IF(VLOOKUP(CONCATENATE(H197,F197,EJ$2),Matemáticas!$A:$H,7,FALSE)=AX197,1,0)</f>
        <v>#N/A</v>
      </c>
      <c r="EK197" s="138" t="e">
        <f>IF(VLOOKUP(CONCATENATE(H197,F197,EK$2),Matemáticas!$A:$H,7,FALSE)=AY197,1,0)</f>
        <v>#N/A</v>
      </c>
      <c r="EL197" s="138" t="e">
        <f>IF(VLOOKUP(CONCATENATE(H197,F197,EL$2),Matemáticas!$A:$H,7,FALSE)=AZ197,1,0)</f>
        <v>#N/A</v>
      </c>
      <c r="EM197" s="138" t="e">
        <f>IF(VLOOKUP(CONCATENATE(H197,F197,EM$2),Matemáticas!$A:$H,7,FALSE)=BA197,1,0)</f>
        <v>#N/A</v>
      </c>
      <c r="EN197" s="138" t="e">
        <f>IF(VLOOKUP(CONCATENATE(H197,F197,EN$2),Matemáticas!$A:$H,7,FALSE)=BB197,1,0)</f>
        <v>#N/A</v>
      </c>
      <c r="EO197" s="138" t="e">
        <f>IF(VLOOKUP(CONCATENATE(H197,F197,EO$2),Matemáticas!$A:$H,7,FALSE)=BC197,1,0)</f>
        <v>#N/A</v>
      </c>
      <c r="EP197" s="138" t="e">
        <f>IF(VLOOKUP(CONCATENATE(H197,F197,EP$2),Matemáticas!$A:$H,7,FALSE)=BD197,1,0)</f>
        <v>#N/A</v>
      </c>
      <c r="EQ197" s="138" t="e">
        <f>IF(VLOOKUP(CONCATENATE(H197,F197,EQ$2),Matemáticas!$A:$H,7,FALSE)=BE197,1,0)</f>
        <v>#N/A</v>
      </c>
      <c r="ER197" s="138" t="e">
        <f>IF(VLOOKUP(CONCATENATE(H197,F197,ER$2),Matemáticas!$A:$H,7,FALSE)=BF197,1,0)</f>
        <v>#N/A</v>
      </c>
      <c r="ES197" s="138" t="e">
        <f>IF(VLOOKUP(CONCATENATE(H197,F197,ES$2),Matemáticas!$A:$H,7,FALSE)=BG197,1,0)</f>
        <v>#N/A</v>
      </c>
      <c r="ET197" s="138" t="e">
        <f>IF(VLOOKUP(CONCATENATE(H197,F197,ET$2),Matemáticas!$A:$H,7,FALSE)=BH197,1,0)</f>
        <v>#N/A</v>
      </c>
      <c r="EU197" s="138" t="e">
        <f>IF(VLOOKUP(CONCATENATE(H197,F197,EU$2),Matemáticas!$A:$H,7,FALSE)=BI197,1,0)</f>
        <v>#N/A</v>
      </c>
      <c r="EV197" s="138" t="e">
        <f>IF(VLOOKUP(CONCATENATE(H197,F197,EV$2),Ciencias!$A:$H,7,FALSE)=BJ197,1,0)</f>
        <v>#N/A</v>
      </c>
      <c r="EW197" s="138" t="e">
        <f>IF(VLOOKUP(CONCATENATE(H197,F197,EW$2),Ciencias!$A:$H,7,FALSE)=BK197,1,0)</f>
        <v>#N/A</v>
      </c>
      <c r="EX197" s="138" t="e">
        <f>IF(VLOOKUP(CONCATENATE(H197,F197,EX$2),Ciencias!$A:$H,7,FALSE)=BL197,1,0)</f>
        <v>#N/A</v>
      </c>
      <c r="EY197" s="138" t="e">
        <f>IF(VLOOKUP(CONCATENATE(H197,F197,EY$2),Ciencias!$A:$H,7,FALSE)=BM197,1,0)</f>
        <v>#N/A</v>
      </c>
      <c r="EZ197" s="138" t="e">
        <f>IF(VLOOKUP(CONCATENATE(H197,F197,EZ$2),Ciencias!$A:$H,7,FALSE)=BN197,1,0)</f>
        <v>#N/A</v>
      </c>
      <c r="FA197" s="138" t="e">
        <f>IF(VLOOKUP(CONCATENATE(H197,F197,FA$2),Ciencias!$A:$H,7,FALSE)=BO197,1,0)</f>
        <v>#N/A</v>
      </c>
      <c r="FB197" s="138" t="e">
        <f>IF(VLOOKUP(CONCATENATE(H197,F197,FB$2),Ciencias!$A:$H,7,FALSE)=BP197,1,0)</f>
        <v>#N/A</v>
      </c>
      <c r="FC197" s="138" t="e">
        <f>IF(VLOOKUP(CONCATENATE(H197,F197,FC$2),Ciencias!$A:$H,7,FALSE)=BQ197,1,0)</f>
        <v>#N/A</v>
      </c>
      <c r="FD197" s="138" t="e">
        <f>IF(VLOOKUP(CONCATENATE(H197,F197,FD$2),Ciencias!$A:$H,7,FALSE)=BR197,1,0)</f>
        <v>#N/A</v>
      </c>
      <c r="FE197" s="138" t="e">
        <f>IF(VLOOKUP(CONCATENATE(H197,F197,FE$2),Ciencias!$A:$H,7,FALSE)=BS197,1,0)</f>
        <v>#N/A</v>
      </c>
      <c r="FF197" s="138" t="e">
        <f>IF(VLOOKUP(CONCATENATE(H197,F197,FF$2),Ciencias!$A:$H,7,FALSE)=BT197,1,0)</f>
        <v>#N/A</v>
      </c>
      <c r="FG197" s="138" t="e">
        <f>IF(VLOOKUP(CONCATENATE(H197,F197,FG$2),Ciencias!$A:$H,7,FALSE)=BU197,1,0)</f>
        <v>#N/A</v>
      </c>
      <c r="FH197" s="138" t="e">
        <f>IF(VLOOKUP(CONCATENATE(H197,F197,FH$2),Ciencias!$A:$H,7,FALSE)=BV197,1,0)</f>
        <v>#N/A</v>
      </c>
      <c r="FI197" s="138" t="e">
        <f>IF(VLOOKUP(CONCATENATE(H197,F197,FI$2),Ciencias!$A:$H,7,FALSE)=BW197,1,0)</f>
        <v>#N/A</v>
      </c>
      <c r="FJ197" s="138" t="e">
        <f>IF(VLOOKUP(CONCATENATE(H197,F197,FJ$2),Ciencias!$A:$H,7,FALSE)=BX197,1,0)</f>
        <v>#N/A</v>
      </c>
      <c r="FK197" s="138" t="e">
        <f>IF(VLOOKUP(CONCATENATE(H197,F197,FK$2),Ciencias!$A:$H,7,FALSE)=BY197,1,0)</f>
        <v>#N/A</v>
      </c>
      <c r="FL197" s="138" t="e">
        <f>IF(VLOOKUP(CONCATENATE(H197,F197,FL$2),Ciencias!$A:$H,7,FALSE)=BZ197,1,0)</f>
        <v>#N/A</v>
      </c>
      <c r="FM197" s="138" t="e">
        <f>IF(VLOOKUP(CONCATENATE(H197,F197,FM$2),Ciencias!$A:$H,7,FALSE)=CA197,1,0)</f>
        <v>#N/A</v>
      </c>
      <c r="FN197" s="138" t="e">
        <f>IF(VLOOKUP(CONCATENATE(H197,F197,FN$2),Ciencias!$A:$H,7,FALSE)=CB197,1,0)</f>
        <v>#N/A</v>
      </c>
      <c r="FO197" s="138" t="e">
        <f>IF(VLOOKUP(CONCATENATE(H197,F197,FO$2),Ciencias!$A:$H,7,FALSE)=CC197,1,0)</f>
        <v>#N/A</v>
      </c>
      <c r="FP197" s="138" t="e">
        <f>IF(VLOOKUP(CONCATENATE(H197,F197,FP$2),GeoHis!$A:$H,7,FALSE)=CD197,1,0)</f>
        <v>#N/A</v>
      </c>
      <c r="FQ197" s="138" t="e">
        <f>IF(VLOOKUP(CONCATENATE(H197,F197,FQ$2),GeoHis!$A:$H,7,FALSE)=CE197,1,0)</f>
        <v>#N/A</v>
      </c>
      <c r="FR197" s="138" t="e">
        <f>IF(VLOOKUP(CONCATENATE(H197,F197,FR$2),GeoHis!$A:$H,7,FALSE)=CF197,1,0)</f>
        <v>#N/A</v>
      </c>
      <c r="FS197" s="138" t="e">
        <f>IF(VLOOKUP(CONCATENATE(H197,F197,FS$2),GeoHis!$A:$H,7,FALSE)=CG197,1,0)</f>
        <v>#N/A</v>
      </c>
      <c r="FT197" s="138" t="e">
        <f>IF(VLOOKUP(CONCATENATE(H197,F197,FT$2),GeoHis!$A:$H,7,FALSE)=CH197,1,0)</f>
        <v>#N/A</v>
      </c>
      <c r="FU197" s="138" t="e">
        <f>IF(VLOOKUP(CONCATENATE(H197,F197,FU$2),GeoHis!$A:$H,7,FALSE)=CI197,1,0)</f>
        <v>#N/A</v>
      </c>
      <c r="FV197" s="138" t="e">
        <f>IF(VLOOKUP(CONCATENATE(H197,F197,FV$2),GeoHis!$A:$H,7,FALSE)=CJ197,1,0)</f>
        <v>#N/A</v>
      </c>
      <c r="FW197" s="138" t="e">
        <f>IF(VLOOKUP(CONCATENATE(H197,F197,FW$2),GeoHis!$A:$H,7,FALSE)=CK197,1,0)</f>
        <v>#N/A</v>
      </c>
      <c r="FX197" s="138" t="e">
        <f>IF(VLOOKUP(CONCATENATE(H197,F197,FX$2),GeoHis!$A:$H,7,FALSE)=CL197,1,0)</f>
        <v>#N/A</v>
      </c>
      <c r="FY197" s="138" t="e">
        <f>IF(VLOOKUP(CONCATENATE(H197,F197,FY$2),GeoHis!$A:$H,7,FALSE)=CM197,1,0)</f>
        <v>#N/A</v>
      </c>
      <c r="FZ197" s="138" t="e">
        <f>IF(VLOOKUP(CONCATENATE(H197,F197,FZ$2),GeoHis!$A:$H,7,FALSE)=CN197,1,0)</f>
        <v>#N/A</v>
      </c>
      <c r="GA197" s="138" t="e">
        <f>IF(VLOOKUP(CONCATENATE(H197,F197,GA$2),GeoHis!$A:$H,7,FALSE)=CO197,1,0)</f>
        <v>#N/A</v>
      </c>
      <c r="GB197" s="138" t="e">
        <f>IF(VLOOKUP(CONCATENATE(H197,F197,GB$2),GeoHis!$A:$H,7,FALSE)=CP197,1,0)</f>
        <v>#N/A</v>
      </c>
      <c r="GC197" s="138" t="e">
        <f>IF(VLOOKUP(CONCATENATE(H197,F197,GC$2),GeoHis!$A:$H,7,FALSE)=CQ197,1,0)</f>
        <v>#N/A</v>
      </c>
      <c r="GD197" s="138" t="e">
        <f>IF(VLOOKUP(CONCATENATE(H197,F197,GD$2),GeoHis!$A:$H,7,FALSE)=CR197,1,0)</f>
        <v>#N/A</v>
      </c>
      <c r="GE197" s="135" t="str">
        <f t="shared" si="31"/>
        <v/>
      </c>
    </row>
    <row r="198" spans="1:187" x14ac:dyDescent="0.25">
      <c r="A198" s="127" t="str">
        <f>IF(C198="","",'Datos Generales'!$A$25)</f>
        <v/>
      </c>
      <c r="D198" s="126" t="str">
        <f t="shared" si="24"/>
        <v/>
      </c>
      <c r="E198" s="126">
        <f t="shared" si="25"/>
        <v>0</v>
      </c>
      <c r="F198" s="126" t="str">
        <f t="shared" si="26"/>
        <v/>
      </c>
      <c r="G198" s="126" t="str">
        <f>IF(C198="","",'Datos Generales'!$D$19)</f>
        <v/>
      </c>
      <c r="H198" s="21" t="str">
        <f>IF(C198="","",'Datos Generales'!$A$19)</f>
        <v/>
      </c>
      <c r="I198" s="126" t="str">
        <f>IF(C198="","",'Datos Generales'!$A$7)</f>
        <v/>
      </c>
      <c r="J198" s="21" t="str">
        <f>IF(C198="","",'Datos Generales'!$A$13)</f>
        <v/>
      </c>
      <c r="K198" s="21" t="str">
        <f>IF(C198="","",'Datos Generales'!$A$10)</f>
        <v/>
      </c>
      <c r="CS198" s="142" t="str">
        <f t="shared" si="27"/>
        <v/>
      </c>
      <c r="CT198" s="142" t="str">
        <f t="shared" si="28"/>
        <v/>
      </c>
      <c r="CU198" s="142" t="str">
        <f t="shared" si="29"/>
        <v/>
      </c>
      <c r="CV198" s="142" t="str">
        <f t="shared" si="30"/>
        <v/>
      </c>
      <c r="CW198" s="142" t="str">
        <f>IF(C198="","",IF('Datos Generales'!$A$19=1,AVERAGE(FP198:GD198),AVERAGE(Captura!FP198:FY198)))</f>
        <v/>
      </c>
      <c r="CX198" s="138" t="e">
        <f>IF(VLOOKUP(CONCATENATE($H$4,$F$4,CX$2),Español!$A:$H,7,FALSE)=L198,1,0)</f>
        <v>#N/A</v>
      </c>
      <c r="CY198" s="138" t="e">
        <f>IF(VLOOKUP(CONCATENATE(H198,F198,CY$2),Español!$A:$H,7,FALSE)=M198,1,0)</f>
        <v>#N/A</v>
      </c>
      <c r="CZ198" s="138" t="e">
        <f>IF(VLOOKUP(CONCATENATE(H198,F198,CZ$2),Español!$A:$H,7,FALSE)=N198,1,0)</f>
        <v>#N/A</v>
      </c>
      <c r="DA198" s="138" t="e">
        <f>IF(VLOOKUP(CONCATENATE(H198,F198,DA$2),Español!$A:$H,7,FALSE)=O198,1,0)</f>
        <v>#N/A</v>
      </c>
      <c r="DB198" s="138" t="e">
        <f>IF(VLOOKUP(CONCATENATE(H198,F198,DB$2),Español!$A:$H,7,FALSE)=P198,1,0)</f>
        <v>#N/A</v>
      </c>
      <c r="DC198" s="138" t="e">
        <f>IF(VLOOKUP(CONCATENATE(H198,F198,DC$2),Español!$A:$H,7,FALSE)=Q198,1,0)</f>
        <v>#N/A</v>
      </c>
      <c r="DD198" s="138" t="e">
        <f>IF(VLOOKUP(CONCATENATE(H198,F198,DD$2),Español!$A:$H,7,FALSE)=R198,1,0)</f>
        <v>#N/A</v>
      </c>
      <c r="DE198" s="138" t="e">
        <f>IF(VLOOKUP(CONCATENATE(H198,F198,DE$2),Español!$A:$H,7,FALSE)=S198,1,0)</f>
        <v>#N/A</v>
      </c>
      <c r="DF198" s="138" t="e">
        <f>IF(VLOOKUP(CONCATENATE(H198,F198,DF$2),Español!$A:$H,7,FALSE)=T198,1,0)</f>
        <v>#N/A</v>
      </c>
      <c r="DG198" s="138" t="e">
        <f>IF(VLOOKUP(CONCATENATE(H198,F198,DG$2),Español!$A:$H,7,FALSE)=U198,1,0)</f>
        <v>#N/A</v>
      </c>
      <c r="DH198" s="138" t="e">
        <f>IF(VLOOKUP(CONCATENATE(H198,F198,DH$2),Español!$A:$H,7,FALSE)=V198,1,0)</f>
        <v>#N/A</v>
      </c>
      <c r="DI198" s="138" t="e">
        <f>IF(VLOOKUP(CONCATENATE(H198,F198,DI$2),Español!$A:$H,7,FALSE)=W198,1,0)</f>
        <v>#N/A</v>
      </c>
      <c r="DJ198" s="138" t="e">
        <f>IF(VLOOKUP(CONCATENATE(H198,F198,DJ$2),Español!$A:$H,7,FALSE)=X198,1,0)</f>
        <v>#N/A</v>
      </c>
      <c r="DK198" s="138" t="e">
        <f>IF(VLOOKUP(CONCATENATE(H198,F198,DK$2),Español!$A:$H,7,FALSE)=Y198,1,0)</f>
        <v>#N/A</v>
      </c>
      <c r="DL198" s="138" t="e">
        <f>IF(VLOOKUP(CONCATENATE(H198,F198,DL$2),Español!$A:$H,7,FALSE)=Z198,1,0)</f>
        <v>#N/A</v>
      </c>
      <c r="DM198" s="138" t="e">
        <f>IF(VLOOKUP(CONCATENATE(H198,F198,DM$2),Español!$A:$H,7,FALSE)=AA198,1,0)</f>
        <v>#N/A</v>
      </c>
      <c r="DN198" s="138" t="e">
        <f>IF(VLOOKUP(CONCATENATE(H198,F198,DN$2),Español!$A:$H,7,FALSE)=AB198,1,0)</f>
        <v>#N/A</v>
      </c>
      <c r="DO198" s="138" t="e">
        <f>IF(VLOOKUP(CONCATENATE(H198,F198,DO$2),Español!$A:$H,7,FALSE)=AC198,1,0)</f>
        <v>#N/A</v>
      </c>
      <c r="DP198" s="138" t="e">
        <f>IF(VLOOKUP(CONCATENATE(H198,F198,DP$2),Español!$A:$H,7,FALSE)=AD198,1,0)</f>
        <v>#N/A</v>
      </c>
      <c r="DQ198" s="138" t="e">
        <f>IF(VLOOKUP(CONCATENATE(H198,F198,DQ$2),Español!$A:$H,7,FALSE)=AE198,1,0)</f>
        <v>#N/A</v>
      </c>
      <c r="DR198" s="138" t="e">
        <f>IF(VLOOKUP(CONCATENATE(H198,F198,DR$2),Inglés!$A:$H,7,FALSE)=AF198,1,0)</f>
        <v>#N/A</v>
      </c>
      <c r="DS198" s="138" t="e">
        <f>IF(VLOOKUP(CONCATENATE(H198,F198,DS$2),Inglés!$A:$H,7,FALSE)=AG198,1,0)</f>
        <v>#N/A</v>
      </c>
      <c r="DT198" s="138" t="e">
        <f>IF(VLOOKUP(CONCATENATE(H198,F198,DT$2),Inglés!$A:$H,7,FALSE)=AH198,1,0)</f>
        <v>#N/A</v>
      </c>
      <c r="DU198" s="138" t="e">
        <f>IF(VLOOKUP(CONCATENATE(H198,F198,DU$2),Inglés!$A:$H,7,FALSE)=AI198,1,0)</f>
        <v>#N/A</v>
      </c>
      <c r="DV198" s="138" t="e">
        <f>IF(VLOOKUP(CONCATENATE(H198,F198,DV$2),Inglés!$A:$H,7,FALSE)=AJ198,1,0)</f>
        <v>#N/A</v>
      </c>
      <c r="DW198" s="138" t="e">
        <f>IF(VLOOKUP(CONCATENATE(H198,F198,DW$2),Inglés!$A:$H,7,FALSE)=AK198,1,0)</f>
        <v>#N/A</v>
      </c>
      <c r="DX198" s="138" t="e">
        <f>IF(VLOOKUP(CONCATENATE(H198,F198,DX$2),Inglés!$A:$H,7,FALSE)=AL198,1,0)</f>
        <v>#N/A</v>
      </c>
      <c r="DY198" s="138" t="e">
        <f>IF(VLOOKUP(CONCATENATE(H198,F198,DY$2),Inglés!$A:$H,7,FALSE)=AM198,1,0)</f>
        <v>#N/A</v>
      </c>
      <c r="DZ198" s="138" t="e">
        <f>IF(VLOOKUP(CONCATENATE(H198,F198,DZ$2),Inglés!$A:$H,7,FALSE)=AN198,1,0)</f>
        <v>#N/A</v>
      </c>
      <c r="EA198" s="138" t="e">
        <f>IF(VLOOKUP(CONCATENATE(H198,F198,EA$2),Inglés!$A:$H,7,FALSE)=AO198,1,0)</f>
        <v>#N/A</v>
      </c>
      <c r="EB198" s="138" t="e">
        <f>IF(VLOOKUP(CONCATENATE(H198,F198,EB$2),Matemáticas!$A:$H,7,FALSE)=AP198,1,0)</f>
        <v>#N/A</v>
      </c>
      <c r="EC198" s="138" t="e">
        <f>IF(VLOOKUP(CONCATENATE(H198,F198,EC$2),Matemáticas!$A:$H,7,FALSE)=AQ198,1,0)</f>
        <v>#N/A</v>
      </c>
      <c r="ED198" s="138" t="e">
        <f>IF(VLOOKUP(CONCATENATE(H198,F198,ED$2),Matemáticas!$A:$H,7,FALSE)=AR198,1,0)</f>
        <v>#N/A</v>
      </c>
      <c r="EE198" s="138" t="e">
        <f>IF(VLOOKUP(CONCATENATE(H198,F198,EE$2),Matemáticas!$A:$H,7,FALSE)=AS198,1,0)</f>
        <v>#N/A</v>
      </c>
      <c r="EF198" s="138" t="e">
        <f>IF(VLOOKUP(CONCATENATE(H198,F198,EF$2),Matemáticas!$A:$H,7,FALSE)=AT198,1,0)</f>
        <v>#N/A</v>
      </c>
      <c r="EG198" s="138" t="e">
        <f>IF(VLOOKUP(CONCATENATE(H198,F198,EG$2),Matemáticas!$A:$H,7,FALSE)=AU198,1,0)</f>
        <v>#N/A</v>
      </c>
      <c r="EH198" s="138" t="e">
        <f>IF(VLOOKUP(CONCATENATE(H198,F198,EH$2),Matemáticas!$A:$H,7,FALSE)=AV198,1,0)</f>
        <v>#N/A</v>
      </c>
      <c r="EI198" s="138" t="e">
        <f>IF(VLOOKUP(CONCATENATE(H198,F198,EI$2),Matemáticas!$A:$H,7,FALSE)=AW198,1,0)</f>
        <v>#N/A</v>
      </c>
      <c r="EJ198" s="138" t="e">
        <f>IF(VLOOKUP(CONCATENATE(H198,F198,EJ$2),Matemáticas!$A:$H,7,FALSE)=AX198,1,0)</f>
        <v>#N/A</v>
      </c>
      <c r="EK198" s="138" t="e">
        <f>IF(VLOOKUP(CONCATENATE(H198,F198,EK$2),Matemáticas!$A:$H,7,FALSE)=AY198,1,0)</f>
        <v>#N/A</v>
      </c>
      <c r="EL198" s="138" t="e">
        <f>IF(VLOOKUP(CONCATENATE(H198,F198,EL$2),Matemáticas!$A:$H,7,FALSE)=AZ198,1,0)</f>
        <v>#N/A</v>
      </c>
      <c r="EM198" s="138" t="e">
        <f>IF(VLOOKUP(CONCATENATE(H198,F198,EM$2),Matemáticas!$A:$H,7,FALSE)=BA198,1,0)</f>
        <v>#N/A</v>
      </c>
      <c r="EN198" s="138" t="e">
        <f>IF(VLOOKUP(CONCATENATE(H198,F198,EN$2),Matemáticas!$A:$H,7,FALSE)=BB198,1,0)</f>
        <v>#N/A</v>
      </c>
      <c r="EO198" s="138" t="e">
        <f>IF(VLOOKUP(CONCATENATE(H198,F198,EO$2),Matemáticas!$A:$H,7,FALSE)=BC198,1,0)</f>
        <v>#N/A</v>
      </c>
      <c r="EP198" s="138" t="e">
        <f>IF(VLOOKUP(CONCATENATE(H198,F198,EP$2),Matemáticas!$A:$H,7,FALSE)=BD198,1,0)</f>
        <v>#N/A</v>
      </c>
      <c r="EQ198" s="138" t="e">
        <f>IF(VLOOKUP(CONCATENATE(H198,F198,EQ$2),Matemáticas!$A:$H,7,FALSE)=BE198,1,0)</f>
        <v>#N/A</v>
      </c>
      <c r="ER198" s="138" t="e">
        <f>IF(VLOOKUP(CONCATENATE(H198,F198,ER$2),Matemáticas!$A:$H,7,FALSE)=BF198,1,0)</f>
        <v>#N/A</v>
      </c>
      <c r="ES198" s="138" t="e">
        <f>IF(VLOOKUP(CONCATENATE(H198,F198,ES$2),Matemáticas!$A:$H,7,FALSE)=BG198,1,0)</f>
        <v>#N/A</v>
      </c>
      <c r="ET198" s="138" t="e">
        <f>IF(VLOOKUP(CONCATENATE(H198,F198,ET$2),Matemáticas!$A:$H,7,FALSE)=BH198,1,0)</f>
        <v>#N/A</v>
      </c>
      <c r="EU198" s="138" t="e">
        <f>IF(VLOOKUP(CONCATENATE(H198,F198,EU$2),Matemáticas!$A:$H,7,FALSE)=BI198,1,0)</f>
        <v>#N/A</v>
      </c>
      <c r="EV198" s="138" t="e">
        <f>IF(VLOOKUP(CONCATENATE(H198,F198,EV$2),Ciencias!$A:$H,7,FALSE)=BJ198,1,0)</f>
        <v>#N/A</v>
      </c>
      <c r="EW198" s="138" t="e">
        <f>IF(VLOOKUP(CONCATENATE(H198,F198,EW$2),Ciencias!$A:$H,7,FALSE)=BK198,1,0)</f>
        <v>#N/A</v>
      </c>
      <c r="EX198" s="138" t="e">
        <f>IF(VLOOKUP(CONCATENATE(H198,F198,EX$2),Ciencias!$A:$H,7,FALSE)=BL198,1,0)</f>
        <v>#N/A</v>
      </c>
      <c r="EY198" s="138" t="e">
        <f>IF(VLOOKUP(CONCATENATE(H198,F198,EY$2),Ciencias!$A:$H,7,FALSE)=BM198,1,0)</f>
        <v>#N/A</v>
      </c>
      <c r="EZ198" s="138" t="e">
        <f>IF(VLOOKUP(CONCATENATE(H198,F198,EZ$2),Ciencias!$A:$H,7,FALSE)=BN198,1,0)</f>
        <v>#N/A</v>
      </c>
      <c r="FA198" s="138" t="e">
        <f>IF(VLOOKUP(CONCATENATE(H198,F198,FA$2),Ciencias!$A:$H,7,FALSE)=BO198,1,0)</f>
        <v>#N/A</v>
      </c>
      <c r="FB198" s="138" t="e">
        <f>IF(VLOOKUP(CONCATENATE(H198,F198,FB$2),Ciencias!$A:$H,7,FALSE)=BP198,1,0)</f>
        <v>#N/A</v>
      </c>
      <c r="FC198" s="138" t="e">
        <f>IF(VLOOKUP(CONCATENATE(H198,F198,FC$2),Ciencias!$A:$H,7,FALSE)=BQ198,1,0)</f>
        <v>#N/A</v>
      </c>
      <c r="FD198" s="138" t="e">
        <f>IF(VLOOKUP(CONCATENATE(H198,F198,FD$2),Ciencias!$A:$H,7,FALSE)=BR198,1,0)</f>
        <v>#N/A</v>
      </c>
      <c r="FE198" s="138" t="e">
        <f>IF(VLOOKUP(CONCATENATE(H198,F198,FE$2),Ciencias!$A:$H,7,FALSE)=BS198,1,0)</f>
        <v>#N/A</v>
      </c>
      <c r="FF198" s="138" t="e">
        <f>IF(VLOOKUP(CONCATENATE(H198,F198,FF$2),Ciencias!$A:$H,7,FALSE)=BT198,1,0)</f>
        <v>#N/A</v>
      </c>
      <c r="FG198" s="138" t="e">
        <f>IF(VLOOKUP(CONCATENATE(H198,F198,FG$2),Ciencias!$A:$H,7,FALSE)=BU198,1,0)</f>
        <v>#N/A</v>
      </c>
      <c r="FH198" s="138" t="e">
        <f>IF(VLOOKUP(CONCATENATE(H198,F198,FH$2),Ciencias!$A:$H,7,FALSE)=BV198,1,0)</f>
        <v>#N/A</v>
      </c>
      <c r="FI198" s="138" t="e">
        <f>IF(VLOOKUP(CONCATENATE(H198,F198,FI$2),Ciencias!$A:$H,7,FALSE)=BW198,1,0)</f>
        <v>#N/A</v>
      </c>
      <c r="FJ198" s="138" t="e">
        <f>IF(VLOOKUP(CONCATENATE(H198,F198,FJ$2),Ciencias!$A:$H,7,FALSE)=BX198,1,0)</f>
        <v>#N/A</v>
      </c>
      <c r="FK198" s="138" t="e">
        <f>IF(VLOOKUP(CONCATENATE(H198,F198,FK$2),Ciencias!$A:$H,7,FALSE)=BY198,1,0)</f>
        <v>#N/A</v>
      </c>
      <c r="FL198" s="138" t="e">
        <f>IF(VLOOKUP(CONCATENATE(H198,F198,FL$2),Ciencias!$A:$H,7,FALSE)=BZ198,1,0)</f>
        <v>#N/A</v>
      </c>
      <c r="FM198" s="138" t="e">
        <f>IF(VLOOKUP(CONCATENATE(H198,F198,FM$2),Ciencias!$A:$H,7,FALSE)=CA198,1,0)</f>
        <v>#N/A</v>
      </c>
      <c r="FN198" s="138" t="e">
        <f>IF(VLOOKUP(CONCATENATE(H198,F198,FN$2),Ciencias!$A:$H,7,FALSE)=CB198,1,0)</f>
        <v>#N/A</v>
      </c>
      <c r="FO198" s="138" t="e">
        <f>IF(VLOOKUP(CONCATENATE(H198,F198,FO$2),Ciencias!$A:$H,7,FALSE)=CC198,1,0)</f>
        <v>#N/A</v>
      </c>
      <c r="FP198" s="138" t="e">
        <f>IF(VLOOKUP(CONCATENATE(H198,F198,FP$2),GeoHis!$A:$H,7,FALSE)=CD198,1,0)</f>
        <v>#N/A</v>
      </c>
      <c r="FQ198" s="138" t="e">
        <f>IF(VLOOKUP(CONCATENATE(H198,F198,FQ$2),GeoHis!$A:$H,7,FALSE)=CE198,1,0)</f>
        <v>#N/A</v>
      </c>
      <c r="FR198" s="138" t="e">
        <f>IF(VLOOKUP(CONCATENATE(H198,F198,FR$2),GeoHis!$A:$H,7,FALSE)=CF198,1,0)</f>
        <v>#N/A</v>
      </c>
      <c r="FS198" s="138" t="e">
        <f>IF(VLOOKUP(CONCATENATE(H198,F198,FS$2),GeoHis!$A:$H,7,FALSE)=CG198,1,0)</f>
        <v>#N/A</v>
      </c>
      <c r="FT198" s="138" t="e">
        <f>IF(VLOOKUP(CONCATENATE(H198,F198,FT$2),GeoHis!$A:$H,7,FALSE)=CH198,1,0)</f>
        <v>#N/A</v>
      </c>
      <c r="FU198" s="138" t="e">
        <f>IF(VLOOKUP(CONCATENATE(H198,F198,FU$2),GeoHis!$A:$H,7,FALSE)=CI198,1,0)</f>
        <v>#N/A</v>
      </c>
      <c r="FV198" s="138" t="e">
        <f>IF(VLOOKUP(CONCATENATE(H198,F198,FV$2),GeoHis!$A:$H,7,FALSE)=CJ198,1,0)</f>
        <v>#N/A</v>
      </c>
      <c r="FW198" s="138" t="e">
        <f>IF(VLOOKUP(CONCATENATE(H198,F198,FW$2),GeoHis!$A:$H,7,FALSE)=CK198,1,0)</f>
        <v>#N/A</v>
      </c>
      <c r="FX198" s="138" t="e">
        <f>IF(VLOOKUP(CONCATENATE(H198,F198,FX$2),GeoHis!$A:$H,7,FALSE)=CL198,1,0)</f>
        <v>#N/A</v>
      </c>
      <c r="FY198" s="138" t="e">
        <f>IF(VLOOKUP(CONCATENATE(H198,F198,FY$2),GeoHis!$A:$H,7,FALSE)=CM198,1,0)</f>
        <v>#N/A</v>
      </c>
      <c r="FZ198" s="138" t="e">
        <f>IF(VLOOKUP(CONCATENATE(H198,F198,FZ$2),GeoHis!$A:$H,7,FALSE)=CN198,1,0)</f>
        <v>#N/A</v>
      </c>
      <c r="GA198" s="138" t="e">
        <f>IF(VLOOKUP(CONCATENATE(H198,F198,GA$2),GeoHis!$A:$H,7,FALSE)=CO198,1,0)</f>
        <v>#N/A</v>
      </c>
      <c r="GB198" s="138" t="e">
        <f>IF(VLOOKUP(CONCATENATE(H198,F198,GB$2),GeoHis!$A:$H,7,FALSE)=CP198,1,0)</f>
        <v>#N/A</v>
      </c>
      <c r="GC198" s="138" t="e">
        <f>IF(VLOOKUP(CONCATENATE(H198,F198,GC$2),GeoHis!$A:$H,7,FALSE)=CQ198,1,0)</f>
        <v>#N/A</v>
      </c>
      <c r="GD198" s="138" t="e">
        <f>IF(VLOOKUP(CONCATENATE(H198,F198,GD$2),GeoHis!$A:$H,7,FALSE)=CR198,1,0)</f>
        <v>#N/A</v>
      </c>
      <c r="GE198" s="135" t="str">
        <f t="shared" si="31"/>
        <v/>
      </c>
    </row>
    <row r="199" spans="1:187" x14ac:dyDescent="0.25">
      <c r="A199" s="127" t="str">
        <f>IF(C199="","",'Datos Generales'!$A$25)</f>
        <v/>
      </c>
      <c r="D199" s="126" t="str">
        <f t="shared" si="24"/>
        <v/>
      </c>
      <c r="E199" s="126">
        <f t="shared" si="25"/>
        <v>0</v>
      </c>
      <c r="F199" s="126" t="str">
        <f t="shared" si="26"/>
        <v/>
      </c>
      <c r="G199" s="126" t="str">
        <f>IF(C199="","",'Datos Generales'!$D$19)</f>
        <v/>
      </c>
      <c r="H199" s="21" t="str">
        <f>IF(C199="","",'Datos Generales'!$A$19)</f>
        <v/>
      </c>
      <c r="I199" s="126" t="str">
        <f>IF(C199="","",'Datos Generales'!$A$7)</f>
        <v/>
      </c>
      <c r="J199" s="21" t="str">
        <f>IF(C199="","",'Datos Generales'!$A$13)</f>
        <v/>
      </c>
      <c r="K199" s="21" t="str">
        <f>IF(C199="","",'Datos Generales'!$A$10)</f>
        <v/>
      </c>
      <c r="CS199" s="142" t="str">
        <f t="shared" si="27"/>
        <v/>
      </c>
      <c r="CT199" s="142" t="str">
        <f t="shared" si="28"/>
        <v/>
      </c>
      <c r="CU199" s="142" t="str">
        <f t="shared" si="29"/>
        <v/>
      </c>
      <c r="CV199" s="142" t="str">
        <f t="shared" si="30"/>
        <v/>
      </c>
      <c r="CW199" s="142" t="str">
        <f>IF(C199="","",IF('Datos Generales'!$A$19=1,AVERAGE(FP199:GD199),AVERAGE(Captura!FP199:FY199)))</f>
        <v/>
      </c>
      <c r="CX199" s="138" t="e">
        <f>IF(VLOOKUP(CONCATENATE($H$4,$F$4,CX$2),Español!$A:$H,7,FALSE)=L199,1,0)</f>
        <v>#N/A</v>
      </c>
      <c r="CY199" s="138" t="e">
        <f>IF(VLOOKUP(CONCATENATE(H199,F199,CY$2),Español!$A:$H,7,FALSE)=M199,1,0)</f>
        <v>#N/A</v>
      </c>
      <c r="CZ199" s="138" t="e">
        <f>IF(VLOOKUP(CONCATENATE(H199,F199,CZ$2),Español!$A:$H,7,FALSE)=N199,1,0)</f>
        <v>#N/A</v>
      </c>
      <c r="DA199" s="138" t="e">
        <f>IF(VLOOKUP(CONCATENATE(H199,F199,DA$2),Español!$A:$H,7,FALSE)=O199,1,0)</f>
        <v>#N/A</v>
      </c>
      <c r="DB199" s="138" t="e">
        <f>IF(VLOOKUP(CONCATENATE(H199,F199,DB$2),Español!$A:$H,7,FALSE)=P199,1,0)</f>
        <v>#N/A</v>
      </c>
      <c r="DC199" s="138" t="e">
        <f>IF(VLOOKUP(CONCATENATE(H199,F199,DC$2),Español!$A:$H,7,FALSE)=Q199,1,0)</f>
        <v>#N/A</v>
      </c>
      <c r="DD199" s="138" t="e">
        <f>IF(VLOOKUP(CONCATENATE(H199,F199,DD$2),Español!$A:$H,7,FALSE)=R199,1,0)</f>
        <v>#N/A</v>
      </c>
      <c r="DE199" s="138" t="e">
        <f>IF(VLOOKUP(CONCATENATE(H199,F199,DE$2),Español!$A:$H,7,FALSE)=S199,1,0)</f>
        <v>#N/A</v>
      </c>
      <c r="DF199" s="138" t="e">
        <f>IF(VLOOKUP(CONCATENATE(H199,F199,DF$2),Español!$A:$H,7,FALSE)=T199,1,0)</f>
        <v>#N/A</v>
      </c>
      <c r="DG199" s="138" t="e">
        <f>IF(VLOOKUP(CONCATENATE(H199,F199,DG$2),Español!$A:$H,7,FALSE)=U199,1,0)</f>
        <v>#N/A</v>
      </c>
      <c r="DH199" s="138" t="e">
        <f>IF(VLOOKUP(CONCATENATE(H199,F199,DH$2),Español!$A:$H,7,FALSE)=V199,1,0)</f>
        <v>#N/A</v>
      </c>
      <c r="DI199" s="138" t="e">
        <f>IF(VLOOKUP(CONCATENATE(H199,F199,DI$2),Español!$A:$H,7,FALSE)=W199,1,0)</f>
        <v>#N/A</v>
      </c>
      <c r="DJ199" s="138" t="e">
        <f>IF(VLOOKUP(CONCATENATE(H199,F199,DJ$2),Español!$A:$H,7,FALSE)=X199,1,0)</f>
        <v>#N/A</v>
      </c>
      <c r="DK199" s="138" t="e">
        <f>IF(VLOOKUP(CONCATENATE(H199,F199,DK$2),Español!$A:$H,7,FALSE)=Y199,1,0)</f>
        <v>#N/A</v>
      </c>
      <c r="DL199" s="138" t="e">
        <f>IF(VLOOKUP(CONCATENATE(H199,F199,DL$2),Español!$A:$H,7,FALSE)=Z199,1,0)</f>
        <v>#N/A</v>
      </c>
      <c r="DM199" s="138" t="e">
        <f>IF(VLOOKUP(CONCATENATE(H199,F199,DM$2),Español!$A:$H,7,FALSE)=AA199,1,0)</f>
        <v>#N/A</v>
      </c>
      <c r="DN199" s="138" t="e">
        <f>IF(VLOOKUP(CONCATENATE(H199,F199,DN$2),Español!$A:$H,7,FALSE)=AB199,1,0)</f>
        <v>#N/A</v>
      </c>
      <c r="DO199" s="138" t="e">
        <f>IF(VLOOKUP(CONCATENATE(H199,F199,DO$2),Español!$A:$H,7,FALSE)=AC199,1,0)</f>
        <v>#N/A</v>
      </c>
      <c r="DP199" s="138" t="e">
        <f>IF(VLOOKUP(CONCATENATE(H199,F199,DP$2),Español!$A:$H,7,FALSE)=AD199,1,0)</f>
        <v>#N/A</v>
      </c>
      <c r="DQ199" s="138" t="e">
        <f>IF(VLOOKUP(CONCATENATE(H199,F199,DQ$2),Español!$A:$H,7,FALSE)=AE199,1,0)</f>
        <v>#N/A</v>
      </c>
      <c r="DR199" s="138" t="e">
        <f>IF(VLOOKUP(CONCATENATE(H199,F199,DR$2),Inglés!$A:$H,7,FALSE)=AF199,1,0)</f>
        <v>#N/A</v>
      </c>
      <c r="DS199" s="138" t="e">
        <f>IF(VLOOKUP(CONCATENATE(H199,F199,DS$2),Inglés!$A:$H,7,FALSE)=AG199,1,0)</f>
        <v>#N/A</v>
      </c>
      <c r="DT199" s="138" t="e">
        <f>IF(VLOOKUP(CONCATENATE(H199,F199,DT$2),Inglés!$A:$H,7,FALSE)=AH199,1,0)</f>
        <v>#N/A</v>
      </c>
      <c r="DU199" s="138" t="e">
        <f>IF(VLOOKUP(CONCATENATE(H199,F199,DU$2),Inglés!$A:$H,7,FALSE)=AI199,1,0)</f>
        <v>#N/A</v>
      </c>
      <c r="DV199" s="138" t="e">
        <f>IF(VLOOKUP(CONCATENATE(H199,F199,DV$2),Inglés!$A:$H,7,FALSE)=AJ199,1,0)</f>
        <v>#N/A</v>
      </c>
      <c r="DW199" s="138" t="e">
        <f>IF(VLOOKUP(CONCATENATE(H199,F199,DW$2),Inglés!$A:$H,7,FALSE)=AK199,1,0)</f>
        <v>#N/A</v>
      </c>
      <c r="DX199" s="138" t="e">
        <f>IF(VLOOKUP(CONCATENATE(H199,F199,DX$2),Inglés!$A:$H,7,FALSE)=AL199,1,0)</f>
        <v>#N/A</v>
      </c>
      <c r="DY199" s="138" t="e">
        <f>IF(VLOOKUP(CONCATENATE(H199,F199,DY$2),Inglés!$A:$H,7,FALSE)=AM199,1,0)</f>
        <v>#N/A</v>
      </c>
      <c r="DZ199" s="138" t="e">
        <f>IF(VLOOKUP(CONCATENATE(H199,F199,DZ$2),Inglés!$A:$H,7,FALSE)=AN199,1,0)</f>
        <v>#N/A</v>
      </c>
      <c r="EA199" s="138" t="e">
        <f>IF(VLOOKUP(CONCATENATE(H199,F199,EA$2),Inglés!$A:$H,7,FALSE)=AO199,1,0)</f>
        <v>#N/A</v>
      </c>
      <c r="EB199" s="138" t="e">
        <f>IF(VLOOKUP(CONCATENATE(H199,F199,EB$2),Matemáticas!$A:$H,7,FALSE)=AP199,1,0)</f>
        <v>#N/A</v>
      </c>
      <c r="EC199" s="138" t="e">
        <f>IF(VLOOKUP(CONCATENATE(H199,F199,EC$2),Matemáticas!$A:$H,7,FALSE)=AQ199,1,0)</f>
        <v>#N/A</v>
      </c>
      <c r="ED199" s="138" t="e">
        <f>IF(VLOOKUP(CONCATENATE(H199,F199,ED$2),Matemáticas!$A:$H,7,FALSE)=AR199,1,0)</f>
        <v>#N/A</v>
      </c>
      <c r="EE199" s="138" t="e">
        <f>IF(VLOOKUP(CONCATENATE(H199,F199,EE$2),Matemáticas!$A:$H,7,FALSE)=AS199,1,0)</f>
        <v>#N/A</v>
      </c>
      <c r="EF199" s="138" t="e">
        <f>IF(VLOOKUP(CONCATENATE(H199,F199,EF$2),Matemáticas!$A:$H,7,FALSE)=AT199,1,0)</f>
        <v>#N/A</v>
      </c>
      <c r="EG199" s="138" t="e">
        <f>IF(VLOOKUP(CONCATENATE(H199,F199,EG$2),Matemáticas!$A:$H,7,FALSE)=AU199,1,0)</f>
        <v>#N/A</v>
      </c>
      <c r="EH199" s="138" t="e">
        <f>IF(VLOOKUP(CONCATENATE(H199,F199,EH$2),Matemáticas!$A:$H,7,FALSE)=AV199,1,0)</f>
        <v>#N/A</v>
      </c>
      <c r="EI199" s="138" t="e">
        <f>IF(VLOOKUP(CONCATENATE(H199,F199,EI$2),Matemáticas!$A:$H,7,FALSE)=AW199,1,0)</f>
        <v>#N/A</v>
      </c>
      <c r="EJ199" s="138" t="e">
        <f>IF(VLOOKUP(CONCATENATE(H199,F199,EJ$2),Matemáticas!$A:$H,7,FALSE)=AX199,1,0)</f>
        <v>#N/A</v>
      </c>
      <c r="EK199" s="138" t="e">
        <f>IF(VLOOKUP(CONCATENATE(H199,F199,EK$2),Matemáticas!$A:$H,7,FALSE)=AY199,1,0)</f>
        <v>#N/A</v>
      </c>
      <c r="EL199" s="138" t="e">
        <f>IF(VLOOKUP(CONCATENATE(H199,F199,EL$2),Matemáticas!$A:$H,7,FALSE)=AZ199,1,0)</f>
        <v>#N/A</v>
      </c>
      <c r="EM199" s="138" t="e">
        <f>IF(VLOOKUP(CONCATENATE(H199,F199,EM$2),Matemáticas!$A:$H,7,FALSE)=BA199,1,0)</f>
        <v>#N/A</v>
      </c>
      <c r="EN199" s="138" t="e">
        <f>IF(VLOOKUP(CONCATENATE(H199,F199,EN$2),Matemáticas!$A:$H,7,FALSE)=BB199,1,0)</f>
        <v>#N/A</v>
      </c>
      <c r="EO199" s="138" t="e">
        <f>IF(VLOOKUP(CONCATENATE(H199,F199,EO$2),Matemáticas!$A:$H,7,FALSE)=BC199,1,0)</f>
        <v>#N/A</v>
      </c>
      <c r="EP199" s="138" t="e">
        <f>IF(VLOOKUP(CONCATENATE(H199,F199,EP$2),Matemáticas!$A:$H,7,FALSE)=BD199,1,0)</f>
        <v>#N/A</v>
      </c>
      <c r="EQ199" s="138" t="e">
        <f>IF(VLOOKUP(CONCATENATE(H199,F199,EQ$2),Matemáticas!$A:$H,7,FALSE)=BE199,1,0)</f>
        <v>#N/A</v>
      </c>
      <c r="ER199" s="138" t="e">
        <f>IF(VLOOKUP(CONCATENATE(H199,F199,ER$2),Matemáticas!$A:$H,7,FALSE)=BF199,1,0)</f>
        <v>#N/A</v>
      </c>
      <c r="ES199" s="138" t="e">
        <f>IF(VLOOKUP(CONCATENATE(H199,F199,ES$2),Matemáticas!$A:$H,7,FALSE)=BG199,1,0)</f>
        <v>#N/A</v>
      </c>
      <c r="ET199" s="138" t="e">
        <f>IF(VLOOKUP(CONCATENATE(H199,F199,ET$2),Matemáticas!$A:$H,7,FALSE)=BH199,1,0)</f>
        <v>#N/A</v>
      </c>
      <c r="EU199" s="138" t="e">
        <f>IF(VLOOKUP(CONCATENATE(H199,F199,EU$2),Matemáticas!$A:$H,7,FALSE)=BI199,1,0)</f>
        <v>#N/A</v>
      </c>
      <c r="EV199" s="138" t="e">
        <f>IF(VLOOKUP(CONCATENATE(H199,F199,EV$2),Ciencias!$A:$H,7,FALSE)=BJ199,1,0)</f>
        <v>#N/A</v>
      </c>
      <c r="EW199" s="138" t="e">
        <f>IF(VLOOKUP(CONCATENATE(H199,F199,EW$2),Ciencias!$A:$H,7,FALSE)=BK199,1,0)</f>
        <v>#N/A</v>
      </c>
      <c r="EX199" s="138" t="e">
        <f>IF(VLOOKUP(CONCATENATE(H199,F199,EX$2),Ciencias!$A:$H,7,FALSE)=BL199,1,0)</f>
        <v>#N/A</v>
      </c>
      <c r="EY199" s="138" t="e">
        <f>IF(VLOOKUP(CONCATENATE(H199,F199,EY$2),Ciencias!$A:$H,7,FALSE)=BM199,1,0)</f>
        <v>#N/A</v>
      </c>
      <c r="EZ199" s="138" t="e">
        <f>IF(VLOOKUP(CONCATENATE(H199,F199,EZ$2),Ciencias!$A:$H,7,FALSE)=BN199,1,0)</f>
        <v>#N/A</v>
      </c>
      <c r="FA199" s="138" t="e">
        <f>IF(VLOOKUP(CONCATENATE(H199,F199,FA$2),Ciencias!$A:$H,7,FALSE)=BO199,1,0)</f>
        <v>#N/A</v>
      </c>
      <c r="FB199" s="138" t="e">
        <f>IF(VLOOKUP(CONCATENATE(H199,F199,FB$2),Ciencias!$A:$H,7,FALSE)=BP199,1,0)</f>
        <v>#N/A</v>
      </c>
      <c r="FC199" s="138" t="e">
        <f>IF(VLOOKUP(CONCATENATE(H199,F199,FC$2),Ciencias!$A:$H,7,FALSE)=BQ199,1,0)</f>
        <v>#N/A</v>
      </c>
      <c r="FD199" s="138" t="e">
        <f>IF(VLOOKUP(CONCATENATE(H199,F199,FD$2),Ciencias!$A:$H,7,FALSE)=BR199,1,0)</f>
        <v>#N/A</v>
      </c>
      <c r="FE199" s="138" t="e">
        <f>IF(VLOOKUP(CONCATENATE(H199,F199,FE$2),Ciencias!$A:$H,7,FALSE)=BS199,1,0)</f>
        <v>#N/A</v>
      </c>
      <c r="FF199" s="138" t="e">
        <f>IF(VLOOKUP(CONCATENATE(H199,F199,FF$2),Ciencias!$A:$H,7,FALSE)=BT199,1,0)</f>
        <v>#N/A</v>
      </c>
      <c r="FG199" s="138" t="e">
        <f>IF(VLOOKUP(CONCATENATE(H199,F199,FG$2),Ciencias!$A:$H,7,FALSE)=BU199,1,0)</f>
        <v>#N/A</v>
      </c>
      <c r="FH199" s="138" t="e">
        <f>IF(VLOOKUP(CONCATENATE(H199,F199,FH$2),Ciencias!$A:$H,7,FALSE)=BV199,1,0)</f>
        <v>#N/A</v>
      </c>
      <c r="FI199" s="138" t="e">
        <f>IF(VLOOKUP(CONCATENATE(H199,F199,FI$2),Ciencias!$A:$H,7,FALSE)=BW199,1,0)</f>
        <v>#N/A</v>
      </c>
      <c r="FJ199" s="138" t="e">
        <f>IF(VLOOKUP(CONCATENATE(H199,F199,FJ$2),Ciencias!$A:$H,7,FALSE)=BX199,1,0)</f>
        <v>#N/A</v>
      </c>
      <c r="FK199" s="138" t="e">
        <f>IF(VLOOKUP(CONCATENATE(H199,F199,FK$2),Ciencias!$A:$H,7,FALSE)=BY199,1,0)</f>
        <v>#N/A</v>
      </c>
      <c r="FL199" s="138" t="e">
        <f>IF(VLOOKUP(CONCATENATE(H199,F199,FL$2),Ciencias!$A:$H,7,FALSE)=BZ199,1,0)</f>
        <v>#N/A</v>
      </c>
      <c r="FM199" s="138" t="e">
        <f>IF(VLOOKUP(CONCATENATE(H199,F199,FM$2),Ciencias!$A:$H,7,FALSE)=CA199,1,0)</f>
        <v>#N/A</v>
      </c>
      <c r="FN199" s="138" t="e">
        <f>IF(VLOOKUP(CONCATENATE(H199,F199,FN$2),Ciencias!$A:$H,7,FALSE)=CB199,1,0)</f>
        <v>#N/A</v>
      </c>
      <c r="FO199" s="138" t="e">
        <f>IF(VLOOKUP(CONCATENATE(H199,F199,FO$2),Ciencias!$A:$H,7,FALSE)=CC199,1,0)</f>
        <v>#N/A</v>
      </c>
      <c r="FP199" s="138" t="e">
        <f>IF(VLOOKUP(CONCATENATE(H199,F199,FP$2),GeoHis!$A:$H,7,FALSE)=CD199,1,0)</f>
        <v>#N/A</v>
      </c>
      <c r="FQ199" s="138" t="e">
        <f>IF(VLOOKUP(CONCATENATE(H199,F199,FQ$2),GeoHis!$A:$H,7,FALSE)=CE199,1,0)</f>
        <v>#N/A</v>
      </c>
      <c r="FR199" s="138" t="e">
        <f>IF(VLOOKUP(CONCATENATE(H199,F199,FR$2),GeoHis!$A:$H,7,FALSE)=CF199,1,0)</f>
        <v>#N/A</v>
      </c>
      <c r="FS199" s="138" t="e">
        <f>IF(VLOOKUP(CONCATENATE(H199,F199,FS$2),GeoHis!$A:$H,7,FALSE)=CG199,1,0)</f>
        <v>#N/A</v>
      </c>
      <c r="FT199" s="138" t="e">
        <f>IF(VLOOKUP(CONCATENATE(H199,F199,FT$2),GeoHis!$A:$H,7,FALSE)=CH199,1,0)</f>
        <v>#N/A</v>
      </c>
      <c r="FU199" s="138" t="e">
        <f>IF(VLOOKUP(CONCATENATE(H199,F199,FU$2),GeoHis!$A:$H,7,FALSE)=CI199,1,0)</f>
        <v>#N/A</v>
      </c>
      <c r="FV199" s="138" t="e">
        <f>IF(VLOOKUP(CONCATENATE(H199,F199,FV$2),GeoHis!$A:$H,7,FALSE)=CJ199,1,0)</f>
        <v>#N/A</v>
      </c>
      <c r="FW199" s="138" t="e">
        <f>IF(VLOOKUP(CONCATENATE(H199,F199,FW$2),GeoHis!$A:$H,7,FALSE)=CK199,1,0)</f>
        <v>#N/A</v>
      </c>
      <c r="FX199" s="138" t="e">
        <f>IF(VLOOKUP(CONCATENATE(H199,F199,FX$2),GeoHis!$A:$H,7,FALSE)=CL199,1,0)</f>
        <v>#N/A</v>
      </c>
      <c r="FY199" s="138" t="e">
        <f>IF(VLOOKUP(CONCATENATE(H199,F199,FY$2),GeoHis!$A:$H,7,FALSE)=CM199,1,0)</f>
        <v>#N/A</v>
      </c>
      <c r="FZ199" s="138" t="e">
        <f>IF(VLOOKUP(CONCATENATE(H199,F199,FZ$2),GeoHis!$A:$H,7,FALSE)=CN199,1,0)</f>
        <v>#N/A</v>
      </c>
      <c r="GA199" s="138" t="e">
        <f>IF(VLOOKUP(CONCATENATE(H199,F199,GA$2),GeoHis!$A:$H,7,FALSE)=CO199,1,0)</f>
        <v>#N/A</v>
      </c>
      <c r="GB199" s="138" t="e">
        <f>IF(VLOOKUP(CONCATENATE(H199,F199,GB$2),GeoHis!$A:$H,7,FALSE)=CP199,1,0)</f>
        <v>#N/A</v>
      </c>
      <c r="GC199" s="138" t="e">
        <f>IF(VLOOKUP(CONCATENATE(H199,F199,GC$2),GeoHis!$A:$H,7,FALSE)=CQ199,1,0)</f>
        <v>#N/A</v>
      </c>
      <c r="GD199" s="138" t="e">
        <f>IF(VLOOKUP(CONCATENATE(H199,F199,GD$2),GeoHis!$A:$H,7,FALSE)=CR199,1,0)</f>
        <v>#N/A</v>
      </c>
      <c r="GE199" s="135" t="str">
        <f t="shared" si="31"/>
        <v/>
      </c>
    </row>
    <row r="200" spans="1:187" x14ac:dyDescent="0.25">
      <c r="A200" s="127" t="str">
        <f>IF(C200="","",'Datos Generales'!$A$25)</f>
        <v/>
      </c>
      <c r="D200" s="126" t="str">
        <f t="shared" si="24"/>
        <v/>
      </c>
      <c r="E200" s="126">
        <f t="shared" si="25"/>
        <v>0</v>
      </c>
      <c r="F200" s="126" t="str">
        <f t="shared" si="26"/>
        <v/>
      </c>
      <c r="G200" s="126" t="str">
        <f>IF(C200="","",'Datos Generales'!$D$19)</f>
        <v/>
      </c>
      <c r="H200" s="21" t="str">
        <f>IF(C200="","",'Datos Generales'!$A$19)</f>
        <v/>
      </c>
      <c r="I200" s="126" t="str">
        <f>IF(C200="","",'Datos Generales'!$A$7)</f>
        <v/>
      </c>
      <c r="J200" s="21" t="str">
        <f>IF(C200="","",'Datos Generales'!$A$13)</f>
        <v/>
      </c>
      <c r="K200" s="21" t="str">
        <f>IF(C200="","",'Datos Generales'!$A$10)</f>
        <v/>
      </c>
      <c r="CS200" s="142" t="str">
        <f t="shared" si="27"/>
        <v/>
      </c>
      <c r="CT200" s="142" t="str">
        <f t="shared" si="28"/>
        <v/>
      </c>
      <c r="CU200" s="142" t="str">
        <f t="shared" si="29"/>
        <v/>
      </c>
      <c r="CV200" s="142" t="str">
        <f t="shared" si="30"/>
        <v/>
      </c>
      <c r="CW200" s="142" t="str">
        <f>IF(C200="","",IF('Datos Generales'!$A$19=1,AVERAGE(FP200:GD200),AVERAGE(Captura!FP200:FY200)))</f>
        <v/>
      </c>
      <c r="CX200" s="138" t="e">
        <f>IF(VLOOKUP(CONCATENATE($H$4,$F$4,CX$2),Español!$A:$H,7,FALSE)=L200,1,0)</f>
        <v>#N/A</v>
      </c>
      <c r="CY200" s="138" t="e">
        <f>IF(VLOOKUP(CONCATENATE(H200,F200,CY$2),Español!$A:$H,7,FALSE)=M200,1,0)</f>
        <v>#N/A</v>
      </c>
      <c r="CZ200" s="138" t="e">
        <f>IF(VLOOKUP(CONCATENATE(H200,F200,CZ$2),Español!$A:$H,7,FALSE)=N200,1,0)</f>
        <v>#N/A</v>
      </c>
      <c r="DA200" s="138" t="e">
        <f>IF(VLOOKUP(CONCATENATE(H200,F200,DA$2),Español!$A:$H,7,FALSE)=O200,1,0)</f>
        <v>#N/A</v>
      </c>
      <c r="DB200" s="138" t="e">
        <f>IF(VLOOKUP(CONCATENATE(H200,F200,DB$2),Español!$A:$H,7,FALSE)=P200,1,0)</f>
        <v>#N/A</v>
      </c>
      <c r="DC200" s="138" t="e">
        <f>IF(VLOOKUP(CONCATENATE(H200,F200,DC$2),Español!$A:$H,7,FALSE)=Q200,1,0)</f>
        <v>#N/A</v>
      </c>
      <c r="DD200" s="138" t="e">
        <f>IF(VLOOKUP(CONCATENATE(H200,F200,DD$2),Español!$A:$H,7,FALSE)=R200,1,0)</f>
        <v>#N/A</v>
      </c>
      <c r="DE200" s="138" t="e">
        <f>IF(VLOOKUP(CONCATENATE(H200,F200,DE$2),Español!$A:$H,7,FALSE)=S200,1,0)</f>
        <v>#N/A</v>
      </c>
      <c r="DF200" s="138" t="e">
        <f>IF(VLOOKUP(CONCATENATE(H200,F200,DF$2),Español!$A:$H,7,FALSE)=T200,1,0)</f>
        <v>#N/A</v>
      </c>
      <c r="DG200" s="138" t="e">
        <f>IF(VLOOKUP(CONCATENATE(H200,F200,DG$2),Español!$A:$H,7,FALSE)=U200,1,0)</f>
        <v>#N/A</v>
      </c>
      <c r="DH200" s="138" t="e">
        <f>IF(VLOOKUP(CONCATENATE(H200,F200,DH$2),Español!$A:$H,7,FALSE)=V200,1,0)</f>
        <v>#N/A</v>
      </c>
      <c r="DI200" s="138" t="e">
        <f>IF(VLOOKUP(CONCATENATE(H200,F200,DI$2),Español!$A:$H,7,FALSE)=W200,1,0)</f>
        <v>#N/A</v>
      </c>
      <c r="DJ200" s="138" t="e">
        <f>IF(VLOOKUP(CONCATENATE(H200,F200,DJ$2),Español!$A:$H,7,FALSE)=X200,1,0)</f>
        <v>#N/A</v>
      </c>
      <c r="DK200" s="138" t="e">
        <f>IF(VLOOKUP(CONCATENATE(H200,F200,DK$2),Español!$A:$H,7,FALSE)=Y200,1,0)</f>
        <v>#N/A</v>
      </c>
      <c r="DL200" s="138" t="e">
        <f>IF(VLOOKUP(CONCATENATE(H200,F200,DL$2),Español!$A:$H,7,FALSE)=Z200,1,0)</f>
        <v>#N/A</v>
      </c>
      <c r="DM200" s="138" t="e">
        <f>IF(VLOOKUP(CONCATENATE(H200,F200,DM$2),Español!$A:$H,7,FALSE)=AA200,1,0)</f>
        <v>#N/A</v>
      </c>
      <c r="DN200" s="138" t="e">
        <f>IF(VLOOKUP(CONCATENATE(H200,F200,DN$2),Español!$A:$H,7,FALSE)=AB200,1,0)</f>
        <v>#N/A</v>
      </c>
      <c r="DO200" s="138" t="e">
        <f>IF(VLOOKUP(CONCATENATE(H200,F200,DO$2),Español!$A:$H,7,FALSE)=AC200,1,0)</f>
        <v>#N/A</v>
      </c>
      <c r="DP200" s="138" t="e">
        <f>IF(VLOOKUP(CONCATENATE(H200,F200,DP$2),Español!$A:$H,7,FALSE)=AD200,1,0)</f>
        <v>#N/A</v>
      </c>
      <c r="DQ200" s="138" t="e">
        <f>IF(VLOOKUP(CONCATENATE(H200,F200,DQ$2),Español!$A:$H,7,FALSE)=AE200,1,0)</f>
        <v>#N/A</v>
      </c>
      <c r="DR200" s="138" t="e">
        <f>IF(VLOOKUP(CONCATENATE(H200,F200,DR$2),Inglés!$A:$H,7,FALSE)=AF200,1,0)</f>
        <v>#N/A</v>
      </c>
      <c r="DS200" s="138" t="e">
        <f>IF(VLOOKUP(CONCATENATE(H200,F200,DS$2),Inglés!$A:$H,7,FALSE)=AG200,1,0)</f>
        <v>#N/A</v>
      </c>
      <c r="DT200" s="138" t="e">
        <f>IF(VLOOKUP(CONCATENATE(H200,F200,DT$2),Inglés!$A:$H,7,FALSE)=AH200,1,0)</f>
        <v>#N/A</v>
      </c>
      <c r="DU200" s="138" t="e">
        <f>IF(VLOOKUP(CONCATENATE(H200,F200,DU$2),Inglés!$A:$H,7,FALSE)=AI200,1,0)</f>
        <v>#N/A</v>
      </c>
      <c r="DV200" s="138" t="e">
        <f>IF(VLOOKUP(CONCATENATE(H200,F200,DV$2),Inglés!$A:$H,7,FALSE)=AJ200,1,0)</f>
        <v>#N/A</v>
      </c>
      <c r="DW200" s="138" t="e">
        <f>IF(VLOOKUP(CONCATENATE(H200,F200,DW$2),Inglés!$A:$H,7,FALSE)=AK200,1,0)</f>
        <v>#N/A</v>
      </c>
      <c r="DX200" s="138" t="e">
        <f>IF(VLOOKUP(CONCATENATE(H200,F200,DX$2),Inglés!$A:$H,7,FALSE)=AL200,1,0)</f>
        <v>#N/A</v>
      </c>
      <c r="DY200" s="138" t="e">
        <f>IF(VLOOKUP(CONCATENATE(H200,F200,DY$2),Inglés!$A:$H,7,FALSE)=AM200,1,0)</f>
        <v>#N/A</v>
      </c>
      <c r="DZ200" s="138" t="e">
        <f>IF(VLOOKUP(CONCATENATE(H200,F200,DZ$2),Inglés!$A:$H,7,FALSE)=AN200,1,0)</f>
        <v>#N/A</v>
      </c>
      <c r="EA200" s="138" t="e">
        <f>IF(VLOOKUP(CONCATENATE(H200,F200,EA$2),Inglés!$A:$H,7,FALSE)=AO200,1,0)</f>
        <v>#N/A</v>
      </c>
      <c r="EB200" s="138" t="e">
        <f>IF(VLOOKUP(CONCATENATE(H200,F200,EB$2),Matemáticas!$A:$H,7,FALSE)=AP200,1,0)</f>
        <v>#N/A</v>
      </c>
      <c r="EC200" s="138" t="e">
        <f>IF(VLOOKUP(CONCATENATE(H200,F200,EC$2),Matemáticas!$A:$H,7,FALSE)=AQ200,1,0)</f>
        <v>#N/A</v>
      </c>
      <c r="ED200" s="138" t="e">
        <f>IF(VLOOKUP(CONCATENATE(H200,F200,ED$2),Matemáticas!$A:$H,7,FALSE)=AR200,1,0)</f>
        <v>#N/A</v>
      </c>
      <c r="EE200" s="138" t="e">
        <f>IF(VLOOKUP(CONCATENATE(H200,F200,EE$2),Matemáticas!$A:$H,7,FALSE)=AS200,1,0)</f>
        <v>#N/A</v>
      </c>
      <c r="EF200" s="138" t="e">
        <f>IF(VLOOKUP(CONCATENATE(H200,F200,EF$2),Matemáticas!$A:$H,7,FALSE)=AT200,1,0)</f>
        <v>#N/A</v>
      </c>
      <c r="EG200" s="138" t="e">
        <f>IF(VLOOKUP(CONCATENATE(H200,F200,EG$2),Matemáticas!$A:$H,7,FALSE)=AU200,1,0)</f>
        <v>#N/A</v>
      </c>
      <c r="EH200" s="138" t="e">
        <f>IF(VLOOKUP(CONCATENATE(H200,F200,EH$2),Matemáticas!$A:$H,7,FALSE)=AV200,1,0)</f>
        <v>#N/A</v>
      </c>
      <c r="EI200" s="138" t="e">
        <f>IF(VLOOKUP(CONCATENATE(H200,F200,EI$2),Matemáticas!$A:$H,7,FALSE)=AW200,1,0)</f>
        <v>#N/A</v>
      </c>
      <c r="EJ200" s="138" t="e">
        <f>IF(VLOOKUP(CONCATENATE(H200,F200,EJ$2),Matemáticas!$A:$H,7,FALSE)=AX200,1,0)</f>
        <v>#N/A</v>
      </c>
      <c r="EK200" s="138" t="e">
        <f>IF(VLOOKUP(CONCATENATE(H200,F200,EK$2),Matemáticas!$A:$H,7,FALSE)=AY200,1,0)</f>
        <v>#N/A</v>
      </c>
      <c r="EL200" s="138" t="e">
        <f>IF(VLOOKUP(CONCATENATE(H200,F200,EL$2),Matemáticas!$A:$H,7,FALSE)=AZ200,1,0)</f>
        <v>#N/A</v>
      </c>
      <c r="EM200" s="138" t="e">
        <f>IF(VLOOKUP(CONCATENATE(H200,F200,EM$2),Matemáticas!$A:$H,7,FALSE)=BA200,1,0)</f>
        <v>#N/A</v>
      </c>
      <c r="EN200" s="138" t="e">
        <f>IF(VLOOKUP(CONCATENATE(H200,F200,EN$2),Matemáticas!$A:$H,7,FALSE)=BB200,1,0)</f>
        <v>#N/A</v>
      </c>
      <c r="EO200" s="138" t="e">
        <f>IF(VLOOKUP(CONCATENATE(H200,F200,EO$2),Matemáticas!$A:$H,7,FALSE)=BC200,1,0)</f>
        <v>#N/A</v>
      </c>
      <c r="EP200" s="138" t="e">
        <f>IF(VLOOKUP(CONCATENATE(H200,F200,EP$2),Matemáticas!$A:$H,7,FALSE)=BD200,1,0)</f>
        <v>#N/A</v>
      </c>
      <c r="EQ200" s="138" t="e">
        <f>IF(VLOOKUP(CONCATENATE(H200,F200,EQ$2),Matemáticas!$A:$H,7,FALSE)=BE200,1,0)</f>
        <v>#N/A</v>
      </c>
      <c r="ER200" s="138" t="e">
        <f>IF(VLOOKUP(CONCATENATE(H200,F200,ER$2),Matemáticas!$A:$H,7,FALSE)=BF200,1,0)</f>
        <v>#N/A</v>
      </c>
      <c r="ES200" s="138" t="e">
        <f>IF(VLOOKUP(CONCATENATE(H200,F200,ES$2),Matemáticas!$A:$H,7,FALSE)=BG200,1,0)</f>
        <v>#N/A</v>
      </c>
      <c r="ET200" s="138" t="e">
        <f>IF(VLOOKUP(CONCATENATE(H200,F200,ET$2),Matemáticas!$A:$H,7,FALSE)=BH200,1,0)</f>
        <v>#N/A</v>
      </c>
      <c r="EU200" s="138" t="e">
        <f>IF(VLOOKUP(CONCATENATE(H200,F200,EU$2),Matemáticas!$A:$H,7,FALSE)=BI200,1,0)</f>
        <v>#N/A</v>
      </c>
      <c r="EV200" s="138" t="e">
        <f>IF(VLOOKUP(CONCATENATE(H200,F200,EV$2),Ciencias!$A:$H,7,FALSE)=BJ200,1,0)</f>
        <v>#N/A</v>
      </c>
      <c r="EW200" s="138" t="e">
        <f>IF(VLOOKUP(CONCATENATE(H200,F200,EW$2),Ciencias!$A:$H,7,FALSE)=BK200,1,0)</f>
        <v>#N/A</v>
      </c>
      <c r="EX200" s="138" t="e">
        <f>IF(VLOOKUP(CONCATENATE(H200,F200,EX$2),Ciencias!$A:$H,7,FALSE)=BL200,1,0)</f>
        <v>#N/A</v>
      </c>
      <c r="EY200" s="138" t="e">
        <f>IF(VLOOKUP(CONCATENATE(H200,F200,EY$2),Ciencias!$A:$H,7,FALSE)=BM200,1,0)</f>
        <v>#N/A</v>
      </c>
      <c r="EZ200" s="138" t="e">
        <f>IF(VLOOKUP(CONCATENATE(H200,F200,EZ$2),Ciencias!$A:$H,7,FALSE)=BN200,1,0)</f>
        <v>#N/A</v>
      </c>
      <c r="FA200" s="138" t="e">
        <f>IF(VLOOKUP(CONCATENATE(H200,F200,FA$2),Ciencias!$A:$H,7,FALSE)=BO200,1,0)</f>
        <v>#N/A</v>
      </c>
      <c r="FB200" s="138" t="e">
        <f>IF(VLOOKUP(CONCATENATE(H200,F200,FB$2),Ciencias!$A:$H,7,FALSE)=BP200,1,0)</f>
        <v>#N/A</v>
      </c>
      <c r="FC200" s="138" t="e">
        <f>IF(VLOOKUP(CONCATENATE(H200,F200,FC$2),Ciencias!$A:$H,7,FALSE)=BQ200,1,0)</f>
        <v>#N/A</v>
      </c>
      <c r="FD200" s="138" t="e">
        <f>IF(VLOOKUP(CONCATENATE(H200,F200,FD$2),Ciencias!$A:$H,7,FALSE)=BR200,1,0)</f>
        <v>#N/A</v>
      </c>
      <c r="FE200" s="138" t="e">
        <f>IF(VLOOKUP(CONCATENATE(H200,F200,FE$2),Ciencias!$A:$H,7,FALSE)=BS200,1,0)</f>
        <v>#N/A</v>
      </c>
      <c r="FF200" s="138" t="e">
        <f>IF(VLOOKUP(CONCATENATE(H200,F200,FF$2),Ciencias!$A:$H,7,FALSE)=BT200,1,0)</f>
        <v>#N/A</v>
      </c>
      <c r="FG200" s="138" t="e">
        <f>IF(VLOOKUP(CONCATENATE(H200,F200,FG$2),Ciencias!$A:$H,7,FALSE)=BU200,1,0)</f>
        <v>#N/A</v>
      </c>
      <c r="FH200" s="138" t="e">
        <f>IF(VLOOKUP(CONCATENATE(H200,F200,FH$2),Ciencias!$A:$H,7,FALSE)=BV200,1,0)</f>
        <v>#N/A</v>
      </c>
      <c r="FI200" s="138" t="e">
        <f>IF(VLOOKUP(CONCATENATE(H200,F200,FI$2),Ciencias!$A:$H,7,FALSE)=BW200,1,0)</f>
        <v>#N/A</v>
      </c>
      <c r="FJ200" s="138" t="e">
        <f>IF(VLOOKUP(CONCATENATE(H200,F200,FJ$2),Ciencias!$A:$H,7,FALSE)=BX200,1,0)</f>
        <v>#N/A</v>
      </c>
      <c r="FK200" s="138" t="e">
        <f>IF(VLOOKUP(CONCATENATE(H200,F200,FK$2),Ciencias!$A:$H,7,FALSE)=BY200,1,0)</f>
        <v>#N/A</v>
      </c>
      <c r="FL200" s="138" t="e">
        <f>IF(VLOOKUP(CONCATENATE(H200,F200,FL$2),Ciencias!$A:$H,7,FALSE)=BZ200,1,0)</f>
        <v>#N/A</v>
      </c>
      <c r="FM200" s="138" t="e">
        <f>IF(VLOOKUP(CONCATENATE(H200,F200,FM$2),Ciencias!$A:$H,7,FALSE)=CA200,1,0)</f>
        <v>#N/A</v>
      </c>
      <c r="FN200" s="138" t="e">
        <f>IF(VLOOKUP(CONCATENATE(H200,F200,FN$2),Ciencias!$A:$H,7,FALSE)=CB200,1,0)</f>
        <v>#N/A</v>
      </c>
      <c r="FO200" s="138" t="e">
        <f>IF(VLOOKUP(CONCATENATE(H200,F200,FO$2),Ciencias!$A:$H,7,FALSE)=CC200,1,0)</f>
        <v>#N/A</v>
      </c>
      <c r="FP200" s="138" t="e">
        <f>IF(VLOOKUP(CONCATENATE(H200,F200,FP$2),GeoHis!$A:$H,7,FALSE)=CD200,1,0)</f>
        <v>#N/A</v>
      </c>
      <c r="FQ200" s="138" t="e">
        <f>IF(VLOOKUP(CONCATENATE(H200,F200,FQ$2),GeoHis!$A:$H,7,FALSE)=CE200,1,0)</f>
        <v>#N/A</v>
      </c>
      <c r="FR200" s="138" t="e">
        <f>IF(VLOOKUP(CONCATENATE(H200,F200,FR$2),GeoHis!$A:$H,7,FALSE)=CF200,1,0)</f>
        <v>#N/A</v>
      </c>
      <c r="FS200" s="138" t="e">
        <f>IF(VLOOKUP(CONCATENATE(H200,F200,FS$2),GeoHis!$A:$H,7,FALSE)=CG200,1,0)</f>
        <v>#N/A</v>
      </c>
      <c r="FT200" s="138" t="e">
        <f>IF(VLOOKUP(CONCATENATE(H200,F200,FT$2),GeoHis!$A:$H,7,FALSE)=CH200,1,0)</f>
        <v>#N/A</v>
      </c>
      <c r="FU200" s="138" t="e">
        <f>IF(VLOOKUP(CONCATENATE(H200,F200,FU$2),GeoHis!$A:$H,7,FALSE)=CI200,1,0)</f>
        <v>#N/A</v>
      </c>
      <c r="FV200" s="138" t="e">
        <f>IF(VLOOKUP(CONCATENATE(H200,F200,FV$2),GeoHis!$A:$H,7,FALSE)=CJ200,1,0)</f>
        <v>#N/A</v>
      </c>
      <c r="FW200" s="138" t="e">
        <f>IF(VLOOKUP(CONCATENATE(H200,F200,FW$2),GeoHis!$A:$H,7,FALSE)=CK200,1,0)</f>
        <v>#N/A</v>
      </c>
      <c r="FX200" s="138" t="e">
        <f>IF(VLOOKUP(CONCATENATE(H200,F200,FX$2),GeoHis!$A:$H,7,FALSE)=CL200,1,0)</f>
        <v>#N/A</v>
      </c>
      <c r="FY200" s="138" t="e">
        <f>IF(VLOOKUP(CONCATENATE(H200,F200,FY$2),GeoHis!$A:$H,7,FALSE)=CM200,1,0)</f>
        <v>#N/A</v>
      </c>
      <c r="FZ200" s="138" t="e">
        <f>IF(VLOOKUP(CONCATENATE(H200,F200,FZ$2),GeoHis!$A:$H,7,FALSE)=CN200,1,0)</f>
        <v>#N/A</v>
      </c>
      <c r="GA200" s="138" t="e">
        <f>IF(VLOOKUP(CONCATENATE(H200,F200,GA$2),GeoHis!$A:$H,7,FALSE)=CO200,1,0)</f>
        <v>#N/A</v>
      </c>
      <c r="GB200" s="138" t="e">
        <f>IF(VLOOKUP(CONCATENATE(H200,F200,GB$2),GeoHis!$A:$H,7,FALSE)=CP200,1,0)</f>
        <v>#N/A</v>
      </c>
      <c r="GC200" s="138" t="e">
        <f>IF(VLOOKUP(CONCATENATE(H200,F200,GC$2),GeoHis!$A:$H,7,FALSE)=CQ200,1,0)</f>
        <v>#N/A</v>
      </c>
      <c r="GD200" s="138" t="e">
        <f>IF(VLOOKUP(CONCATENATE(H200,F200,GD$2),GeoHis!$A:$H,7,FALSE)=CR200,1,0)</f>
        <v>#N/A</v>
      </c>
      <c r="GE200" s="135" t="str">
        <f t="shared" si="31"/>
        <v/>
      </c>
    </row>
    <row r="201" spans="1:187" x14ac:dyDescent="0.25">
      <c r="A201" s="127" t="str">
        <f>IF(C201="","",'Datos Generales'!$A$25)</f>
        <v/>
      </c>
      <c r="D201" s="126" t="str">
        <f t="shared" si="24"/>
        <v/>
      </c>
      <c r="E201" s="126">
        <f t="shared" si="25"/>
        <v>0</v>
      </c>
      <c r="F201" s="126" t="str">
        <f t="shared" si="26"/>
        <v/>
      </c>
      <c r="G201" s="126" t="str">
        <f>IF(C201="","",'Datos Generales'!$D$19)</f>
        <v/>
      </c>
      <c r="H201" s="21" t="str">
        <f>IF(C201="","",'Datos Generales'!$A$19)</f>
        <v/>
      </c>
      <c r="I201" s="126" t="str">
        <f>IF(C201="","",'Datos Generales'!$A$7)</f>
        <v/>
      </c>
      <c r="J201" s="21" t="str">
        <f>IF(C201="","",'Datos Generales'!$A$13)</f>
        <v/>
      </c>
      <c r="K201" s="21" t="str">
        <f>IF(C201="","",'Datos Generales'!$A$10)</f>
        <v/>
      </c>
      <c r="CS201" s="142" t="str">
        <f t="shared" si="27"/>
        <v/>
      </c>
      <c r="CT201" s="142" t="str">
        <f t="shared" si="28"/>
        <v/>
      </c>
      <c r="CU201" s="142" t="str">
        <f t="shared" si="29"/>
        <v/>
      </c>
      <c r="CV201" s="142" t="str">
        <f t="shared" si="30"/>
        <v/>
      </c>
      <c r="CW201" s="142" t="str">
        <f>IF(C201="","",IF('Datos Generales'!$A$19=1,AVERAGE(FP201:GD201),AVERAGE(Captura!FP201:FY201)))</f>
        <v/>
      </c>
      <c r="CX201" s="138" t="e">
        <f>IF(VLOOKUP(CONCATENATE($H$4,$F$4,CX$2),Español!$A:$H,7,FALSE)=L201,1,0)</f>
        <v>#N/A</v>
      </c>
      <c r="CY201" s="138" t="e">
        <f>IF(VLOOKUP(CONCATENATE(H201,F201,CY$2),Español!$A:$H,7,FALSE)=M201,1,0)</f>
        <v>#N/A</v>
      </c>
      <c r="CZ201" s="138" t="e">
        <f>IF(VLOOKUP(CONCATENATE(H201,F201,CZ$2),Español!$A:$H,7,FALSE)=N201,1,0)</f>
        <v>#N/A</v>
      </c>
      <c r="DA201" s="138" t="e">
        <f>IF(VLOOKUP(CONCATENATE(H201,F201,DA$2),Español!$A:$H,7,FALSE)=O201,1,0)</f>
        <v>#N/A</v>
      </c>
      <c r="DB201" s="138" t="e">
        <f>IF(VLOOKUP(CONCATENATE(H201,F201,DB$2),Español!$A:$H,7,FALSE)=P201,1,0)</f>
        <v>#N/A</v>
      </c>
      <c r="DC201" s="138" t="e">
        <f>IF(VLOOKUP(CONCATENATE(H201,F201,DC$2),Español!$A:$H,7,FALSE)=Q201,1,0)</f>
        <v>#N/A</v>
      </c>
      <c r="DD201" s="138" t="e">
        <f>IF(VLOOKUP(CONCATENATE(H201,F201,DD$2),Español!$A:$H,7,FALSE)=R201,1,0)</f>
        <v>#N/A</v>
      </c>
      <c r="DE201" s="138" t="e">
        <f>IF(VLOOKUP(CONCATENATE(H201,F201,DE$2),Español!$A:$H,7,FALSE)=S201,1,0)</f>
        <v>#N/A</v>
      </c>
      <c r="DF201" s="138" t="e">
        <f>IF(VLOOKUP(CONCATENATE(H201,F201,DF$2),Español!$A:$H,7,FALSE)=T201,1,0)</f>
        <v>#N/A</v>
      </c>
      <c r="DG201" s="138" t="e">
        <f>IF(VLOOKUP(CONCATENATE(H201,F201,DG$2),Español!$A:$H,7,FALSE)=U201,1,0)</f>
        <v>#N/A</v>
      </c>
      <c r="DH201" s="138" t="e">
        <f>IF(VLOOKUP(CONCATENATE(H201,F201,DH$2),Español!$A:$H,7,FALSE)=V201,1,0)</f>
        <v>#N/A</v>
      </c>
      <c r="DI201" s="138" t="e">
        <f>IF(VLOOKUP(CONCATENATE(H201,F201,DI$2),Español!$A:$H,7,FALSE)=W201,1,0)</f>
        <v>#N/A</v>
      </c>
      <c r="DJ201" s="138" t="e">
        <f>IF(VLOOKUP(CONCATENATE(H201,F201,DJ$2),Español!$A:$H,7,FALSE)=X201,1,0)</f>
        <v>#N/A</v>
      </c>
      <c r="DK201" s="138" t="e">
        <f>IF(VLOOKUP(CONCATENATE(H201,F201,DK$2),Español!$A:$H,7,FALSE)=Y201,1,0)</f>
        <v>#N/A</v>
      </c>
      <c r="DL201" s="138" t="e">
        <f>IF(VLOOKUP(CONCATENATE(H201,F201,DL$2),Español!$A:$H,7,FALSE)=Z201,1,0)</f>
        <v>#N/A</v>
      </c>
      <c r="DM201" s="138" t="e">
        <f>IF(VLOOKUP(CONCATENATE(H201,F201,DM$2),Español!$A:$H,7,FALSE)=AA201,1,0)</f>
        <v>#N/A</v>
      </c>
      <c r="DN201" s="138" t="e">
        <f>IF(VLOOKUP(CONCATENATE(H201,F201,DN$2),Español!$A:$H,7,FALSE)=AB201,1,0)</f>
        <v>#N/A</v>
      </c>
      <c r="DO201" s="138" t="e">
        <f>IF(VLOOKUP(CONCATENATE(H201,F201,DO$2),Español!$A:$H,7,FALSE)=AC201,1,0)</f>
        <v>#N/A</v>
      </c>
      <c r="DP201" s="138" t="e">
        <f>IF(VLOOKUP(CONCATENATE(H201,F201,DP$2),Español!$A:$H,7,FALSE)=AD201,1,0)</f>
        <v>#N/A</v>
      </c>
      <c r="DQ201" s="138" t="e">
        <f>IF(VLOOKUP(CONCATENATE(H201,F201,DQ$2),Español!$A:$H,7,FALSE)=AE201,1,0)</f>
        <v>#N/A</v>
      </c>
      <c r="DR201" s="138" t="e">
        <f>IF(VLOOKUP(CONCATENATE(H201,F201,DR$2),Inglés!$A:$H,7,FALSE)=AF201,1,0)</f>
        <v>#N/A</v>
      </c>
      <c r="DS201" s="138" t="e">
        <f>IF(VLOOKUP(CONCATENATE(H201,F201,DS$2),Inglés!$A:$H,7,FALSE)=AG201,1,0)</f>
        <v>#N/A</v>
      </c>
      <c r="DT201" s="138" t="e">
        <f>IF(VLOOKUP(CONCATENATE(H201,F201,DT$2),Inglés!$A:$H,7,FALSE)=AH201,1,0)</f>
        <v>#N/A</v>
      </c>
      <c r="DU201" s="138" t="e">
        <f>IF(VLOOKUP(CONCATENATE(H201,F201,DU$2),Inglés!$A:$H,7,FALSE)=AI201,1,0)</f>
        <v>#N/A</v>
      </c>
      <c r="DV201" s="138" t="e">
        <f>IF(VLOOKUP(CONCATENATE(H201,F201,DV$2),Inglés!$A:$H,7,FALSE)=AJ201,1,0)</f>
        <v>#N/A</v>
      </c>
      <c r="DW201" s="138" t="e">
        <f>IF(VLOOKUP(CONCATENATE(H201,F201,DW$2),Inglés!$A:$H,7,FALSE)=AK201,1,0)</f>
        <v>#N/A</v>
      </c>
      <c r="DX201" s="138" t="e">
        <f>IF(VLOOKUP(CONCATENATE(H201,F201,DX$2),Inglés!$A:$H,7,FALSE)=AL201,1,0)</f>
        <v>#N/A</v>
      </c>
      <c r="DY201" s="138" t="e">
        <f>IF(VLOOKUP(CONCATENATE(H201,F201,DY$2),Inglés!$A:$H,7,FALSE)=AM201,1,0)</f>
        <v>#N/A</v>
      </c>
      <c r="DZ201" s="138" t="e">
        <f>IF(VLOOKUP(CONCATENATE(H201,F201,DZ$2),Inglés!$A:$H,7,FALSE)=AN201,1,0)</f>
        <v>#N/A</v>
      </c>
      <c r="EA201" s="138" t="e">
        <f>IF(VLOOKUP(CONCATENATE(H201,F201,EA$2),Inglés!$A:$H,7,FALSE)=AO201,1,0)</f>
        <v>#N/A</v>
      </c>
      <c r="EB201" s="138" t="e">
        <f>IF(VLOOKUP(CONCATENATE(H201,F201,EB$2),Matemáticas!$A:$H,7,FALSE)=AP201,1,0)</f>
        <v>#N/A</v>
      </c>
      <c r="EC201" s="138" t="e">
        <f>IF(VLOOKUP(CONCATENATE(H201,F201,EC$2),Matemáticas!$A:$H,7,FALSE)=AQ201,1,0)</f>
        <v>#N/A</v>
      </c>
      <c r="ED201" s="138" t="e">
        <f>IF(VLOOKUP(CONCATENATE(H201,F201,ED$2),Matemáticas!$A:$H,7,FALSE)=AR201,1,0)</f>
        <v>#N/A</v>
      </c>
      <c r="EE201" s="138" t="e">
        <f>IF(VLOOKUP(CONCATENATE(H201,F201,EE$2),Matemáticas!$A:$H,7,FALSE)=AS201,1,0)</f>
        <v>#N/A</v>
      </c>
      <c r="EF201" s="138" t="e">
        <f>IF(VLOOKUP(CONCATENATE(H201,F201,EF$2),Matemáticas!$A:$H,7,FALSE)=AT201,1,0)</f>
        <v>#N/A</v>
      </c>
      <c r="EG201" s="138" t="e">
        <f>IF(VLOOKUP(CONCATENATE(H201,F201,EG$2),Matemáticas!$A:$H,7,FALSE)=AU201,1,0)</f>
        <v>#N/A</v>
      </c>
      <c r="EH201" s="138" t="e">
        <f>IF(VLOOKUP(CONCATENATE(H201,F201,EH$2),Matemáticas!$A:$H,7,FALSE)=AV201,1,0)</f>
        <v>#N/A</v>
      </c>
      <c r="EI201" s="138" t="e">
        <f>IF(VLOOKUP(CONCATENATE(H201,F201,EI$2),Matemáticas!$A:$H,7,FALSE)=AW201,1,0)</f>
        <v>#N/A</v>
      </c>
      <c r="EJ201" s="138" t="e">
        <f>IF(VLOOKUP(CONCATENATE(H201,F201,EJ$2),Matemáticas!$A:$H,7,FALSE)=AX201,1,0)</f>
        <v>#N/A</v>
      </c>
      <c r="EK201" s="138" t="e">
        <f>IF(VLOOKUP(CONCATENATE(H201,F201,EK$2),Matemáticas!$A:$H,7,FALSE)=AY201,1,0)</f>
        <v>#N/A</v>
      </c>
      <c r="EL201" s="138" t="e">
        <f>IF(VLOOKUP(CONCATENATE(H201,F201,EL$2),Matemáticas!$A:$H,7,FALSE)=AZ201,1,0)</f>
        <v>#N/A</v>
      </c>
      <c r="EM201" s="138" t="e">
        <f>IF(VLOOKUP(CONCATENATE(H201,F201,EM$2),Matemáticas!$A:$H,7,FALSE)=BA201,1,0)</f>
        <v>#N/A</v>
      </c>
      <c r="EN201" s="138" t="e">
        <f>IF(VLOOKUP(CONCATENATE(H201,F201,EN$2),Matemáticas!$A:$H,7,FALSE)=BB201,1,0)</f>
        <v>#N/A</v>
      </c>
      <c r="EO201" s="138" t="e">
        <f>IF(VLOOKUP(CONCATENATE(H201,F201,EO$2),Matemáticas!$A:$H,7,FALSE)=BC201,1,0)</f>
        <v>#N/A</v>
      </c>
      <c r="EP201" s="138" t="e">
        <f>IF(VLOOKUP(CONCATENATE(H201,F201,EP$2),Matemáticas!$A:$H,7,FALSE)=BD201,1,0)</f>
        <v>#N/A</v>
      </c>
      <c r="EQ201" s="138" t="e">
        <f>IF(VLOOKUP(CONCATENATE(H201,F201,EQ$2),Matemáticas!$A:$H,7,FALSE)=BE201,1,0)</f>
        <v>#N/A</v>
      </c>
      <c r="ER201" s="138" t="e">
        <f>IF(VLOOKUP(CONCATENATE(H201,F201,ER$2),Matemáticas!$A:$H,7,FALSE)=BF201,1,0)</f>
        <v>#N/A</v>
      </c>
      <c r="ES201" s="138" t="e">
        <f>IF(VLOOKUP(CONCATENATE(H201,F201,ES$2),Matemáticas!$A:$H,7,FALSE)=BG201,1,0)</f>
        <v>#N/A</v>
      </c>
      <c r="ET201" s="138" t="e">
        <f>IF(VLOOKUP(CONCATENATE(H201,F201,ET$2),Matemáticas!$A:$H,7,FALSE)=BH201,1,0)</f>
        <v>#N/A</v>
      </c>
      <c r="EU201" s="138" t="e">
        <f>IF(VLOOKUP(CONCATENATE(H201,F201,EU$2),Matemáticas!$A:$H,7,FALSE)=BI201,1,0)</f>
        <v>#N/A</v>
      </c>
      <c r="EV201" s="138" t="e">
        <f>IF(VLOOKUP(CONCATENATE(H201,F201,EV$2),Ciencias!$A:$H,7,FALSE)=BJ201,1,0)</f>
        <v>#N/A</v>
      </c>
      <c r="EW201" s="138" t="e">
        <f>IF(VLOOKUP(CONCATENATE(H201,F201,EW$2),Ciencias!$A:$H,7,FALSE)=BK201,1,0)</f>
        <v>#N/A</v>
      </c>
      <c r="EX201" s="138" t="e">
        <f>IF(VLOOKUP(CONCATENATE(H201,F201,EX$2),Ciencias!$A:$H,7,FALSE)=BL201,1,0)</f>
        <v>#N/A</v>
      </c>
      <c r="EY201" s="138" t="e">
        <f>IF(VLOOKUP(CONCATENATE(H201,F201,EY$2),Ciencias!$A:$H,7,FALSE)=BM201,1,0)</f>
        <v>#N/A</v>
      </c>
      <c r="EZ201" s="138" t="e">
        <f>IF(VLOOKUP(CONCATENATE(H201,F201,EZ$2),Ciencias!$A:$H,7,FALSE)=BN201,1,0)</f>
        <v>#N/A</v>
      </c>
      <c r="FA201" s="138" t="e">
        <f>IF(VLOOKUP(CONCATENATE(H201,F201,FA$2),Ciencias!$A:$H,7,FALSE)=BO201,1,0)</f>
        <v>#N/A</v>
      </c>
      <c r="FB201" s="138" t="e">
        <f>IF(VLOOKUP(CONCATENATE(H201,F201,FB$2),Ciencias!$A:$H,7,FALSE)=BP201,1,0)</f>
        <v>#N/A</v>
      </c>
      <c r="FC201" s="138" t="e">
        <f>IF(VLOOKUP(CONCATENATE(H201,F201,FC$2),Ciencias!$A:$H,7,FALSE)=BQ201,1,0)</f>
        <v>#N/A</v>
      </c>
      <c r="FD201" s="138" t="e">
        <f>IF(VLOOKUP(CONCATENATE(H201,F201,FD$2),Ciencias!$A:$H,7,FALSE)=BR201,1,0)</f>
        <v>#N/A</v>
      </c>
      <c r="FE201" s="138" t="e">
        <f>IF(VLOOKUP(CONCATENATE(H201,F201,FE$2),Ciencias!$A:$H,7,FALSE)=BS201,1,0)</f>
        <v>#N/A</v>
      </c>
      <c r="FF201" s="138" t="e">
        <f>IF(VLOOKUP(CONCATENATE(H201,F201,FF$2),Ciencias!$A:$H,7,FALSE)=BT201,1,0)</f>
        <v>#N/A</v>
      </c>
      <c r="FG201" s="138" t="e">
        <f>IF(VLOOKUP(CONCATENATE(H201,F201,FG$2),Ciencias!$A:$H,7,FALSE)=BU201,1,0)</f>
        <v>#N/A</v>
      </c>
      <c r="FH201" s="138" t="e">
        <f>IF(VLOOKUP(CONCATENATE(H201,F201,FH$2),Ciencias!$A:$H,7,FALSE)=BV201,1,0)</f>
        <v>#N/A</v>
      </c>
      <c r="FI201" s="138" t="e">
        <f>IF(VLOOKUP(CONCATENATE(H201,F201,FI$2),Ciencias!$A:$H,7,FALSE)=BW201,1,0)</f>
        <v>#N/A</v>
      </c>
      <c r="FJ201" s="138" t="e">
        <f>IF(VLOOKUP(CONCATENATE(H201,F201,FJ$2),Ciencias!$A:$H,7,FALSE)=BX201,1,0)</f>
        <v>#N/A</v>
      </c>
      <c r="FK201" s="138" t="e">
        <f>IF(VLOOKUP(CONCATENATE(H201,F201,FK$2),Ciencias!$A:$H,7,FALSE)=BY201,1,0)</f>
        <v>#N/A</v>
      </c>
      <c r="FL201" s="138" t="e">
        <f>IF(VLOOKUP(CONCATENATE(H201,F201,FL$2),Ciencias!$A:$H,7,FALSE)=BZ201,1,0)</f>
        <v>#N/A</v>
      </c>
      <c r="FM201" s="138" t="e">
        <f>IF(VLOOKUP(CONCATENATE(H201,F201,FM$2),Ciencias!$A:$H,7,FALSE)=CA201,1,0)</f>
        <v>#N/A</v>
      </c>
      <c r="FN201" s="138" t="e">
        <f>IF(VLOOKUP(CONCATENATE(H201,F201,FN$2),Ciencias!$A:$H,7,FALSE)=CB201,1,0)</f>
        <v>#N/A</v>
      </c>
      <c r="FO201" s="138" t="e">
        <f>IF(VLOOKUP(CONCATENATE(H201,F201,FO$2),Ciencias!$A:$H,7,FALSE)=CC201,1,0)</f>
        <v>#N/A</v>
      </c>
      <c r="FP201" s="138" t="e">
        <f>IF(VLOOKUP(CONCATENATE(H201,F201,FP$2),GeoHis!$A:$H,7,FALSE)=CD201,1,0)</f>
        <v>#N/A</v>
      </c>
      <c r="FQ201" s="138" t="e">
        <f>IF(VLOOKUP(CONCATENATE(H201,F201,FQ$2),GeoHis!$A:$H,7,FALSE)=CE201,1,0)</f>
        <v>#N/A</v>
      </c>
      <c r="FR201" s="138" t="e">
        <f>IF(VLOOKUP(CONCATENATE(H201,F201,FR$2),GeoHis!$A:$H,7,FALSE)=CF201,1,0)</f>
        <v>#N/A</v>
      </c>
      <c r="FS201" s="138" t="e">
        <f>IF(VLOOKUP(CONCATENATE(H201,F201,FS$2),GeoHis!$A:$H,7,FALSE)=CG201,1,0)</f>
        <v>#N/A</v>
      </c>
      <c r="FT201" s="138" t="e">
        <f>IF(VLOOKUP(CONCATENATE(H201,F201,FT$2),GeoHis!$A:$H,7,FALSE)=CH201,1,0)</f>
        <v>#N/A</v>
      </c>
      <c r="FU201" s="138" t="e">
        <f>IF(VLOOKUP(CONCATENATE(H201,F201,FU$2),GeoHis!$A:$H,7,FALSE)=CI201,1,0)</f>
        <v>#N/A</v>
      </c>
      <c r="FV201" s="138" t="e">
        <f>IF(VLOOKUP(CONCATENATE(H201,F201,FV$2),GeoHis!$A:$H,7,FALSE)=CJ201,1,0)</f>
        <v>#N/A</v>
      </c>
      <c r="FW201" s="138" t="e">
        <f>IF(VLOOKUP(CONCATENATE(H201,F201,FW$2),GeoHis!$A:$H,7,FALSE)=CK201,1,0)</f>
        <v>#N/A</v>
      </c>
      <c r="FX201" s="138" t="e">
        <f>IF(VLOOKUP(CONCATENATE(H201,F201,FX$2),GeoHis!$A:$H,7,FALSE)=CL201,1,0)</f>
        <v>#N/A</v>
      </c>
      <c r="FY201" s="138" t="e">
        <f>IF(VLOOKUP(CONCATENATE(H201,F201,FY$2),GeoHis!$A:$H,7,FALSE)=CM201,1,0)</f>
        <v>#N/A</v>
      </c>
      <c r="FZ201" s="138" t="e">
        <f>IF(VLOOKUP(CONCATENATE(H201,F201,FZ$2),GeoHis!$A:$H,7,FALSE)=CN201,1,0)</f>
        <v>#N/A</v>
      </c>
      <c r="GA201" s="138" t="e">
        <f>IF(VLOOKUP(CONCATENATE(H201,F201,GA$2),GeoHis!$A:$H,7,FALSE)=CO201,1,0)</f>
        <v>#N/A</v>
      </c>
      <c r="GB201" s="138" t="e">
        <f>IF(VLOOKUP(CONCATENATE(H201,F201,GB$2),GeoHis!$A:$H,7,FALSE)=CP201,1,0)</f>
        <v>#N/A</v>
      </c>
      <c r="GC201" s="138" t="e">
        <f>IF(VLOOKUP(CONCATENATE(H201,F201,GC$2),GeoHis!$A:$H,7,FALSE)=CQ201,1,0)</f>
        <v>#N/A</v>
      </c>
      <c r="GD201" s="138" t="e">
        <f>IF(VLOOKUP(CONCATENATE(H201,F201,GD$2),GeoHis!$A:$H,7,FALSE)=CR201,1,0)</f>
        <v>#N/A</v>
      </c>
      <c r="GE201" s="135" t="str">
        <f t="shared" si="31"/>
        <v/>
      </c>
    </row>
    <row r="202" spans="1:187" x14ac:dyDescent="0.25">
      <c r="A202" s="127" t="str">
        <f>IF(C202="","",'Datos Generales'!$A$25)</f>
        <v/>
      </c>
      <c r="D202" s="126" t="str">
        <f t="shared" si="24"/>
        <v/>
      </c>
      <c r="E202" s="126">
        <f t="shared" si="25"/>
        <v>0</v>
      </c>
      <c r="F202" s="126" t="str">
        <f t="shared" si="26"/>
        <v/>
      </c>
      <c r="G202" s="126" t="str">
        <f>IF(C202="","",'Datos Generales'!$D$19)</f>
        <v/>
      </c>
      <c r="H202" s="21" t="str">
        <f>IF(C202="","",'Datos Generales'!$A$19)</f>
        <v/>
      </c>
      <c r="I202" s="126" t="str">
        <f>IF(C202="","",'Datos Generales'!$A$7)</f>
        <v/>
      </c>
      <c r="J202" s="21" t="str">
        <f>IF(C202="","",'Datos Generales'!$A$13)</f>
        <v/>
      </c>
      <c r="K202" s="21" t="str">
        <f>IF(C202="","",'Datos Generales'!$A$10)</f>
        <v/>
      </c>
      <c r="CS202" s="142" t="str">
        <f t="shared" si="27"/>
        <v/>
      </c>
      <c r="CT202" s="142" t="str">
        <f t="shared" si="28"/>
        <v/>
      </c>
      <c r="CU202" s="142" t="str">
        <f t="shared" si="29"/>
        <v/>
      </c>
      <c r="CV202" s="142" t="str">
        <f t="shared" si="30"/>
        <v/>
      </c>
      <c r="CW202" s="142" t="str">
        <f>IF(C202="","",IF('Datos Generales'!$A$19=1,AVERAGE(FP202:GD202),AVERAGE(Captura!FP202:FY202)))</f>
        <v/>
      </c>
      <c r="CX202" s="138" t="e">
        <f>IF(VLOOKUP(CONCATENATE($H$4,$F$4,CX$2),Español!$A:$H,7,FALSE)=L202,1,0)</f>
        <v>#N/A</v>
      </c>
      <c r="CY202" s="138" t="e">
        <f>IF(VLOOKUP(CONCATENATE(H202,F202,CY$2),Español!$A:$H,7,FALSE)=M202,1,0)</f>
        <v>#N/A</v>
      </c>
      <c r="CZ202" s="138" t="e">
        <f>IF(VLOOKUP(CONCATENATE(H202,F202,CZ$2),Español!$A:$H,7,FALSE)=N202,1,0)</f>
        <v>#N/A</v>
      </c>
      <c r="DA202" s="138" t="e">
        <f>IF(VLOOKUP(CONCATENATE(H202,F202,DA$2),Español!$A:$H,7,FALSE)=O202,1,0)</f>
        <v>#N/A</v>
      </c>
      <c r="DB202" s="138" t="e">
        <f>IF(VLOOKUP(CONCATENATE(H202,F202,DB$2),Español!$A:$H,7,FALSE)=P202,1,0)</f>
        <v>#N/A</v>
      </c>
      <c r="DC202" s="138" t="e">
        <f>IF(VLOOKUP(CONCATENATE(H202,F202,DC$2),Español!$A:$H,7,FALSE)=Q202,1,0)</f>
        <v>#N/A</v>
      </c>
      <c r="DD202" s="138" t="e">
        <f>IF(VLOOKUP(CONCATENATE(H202,F202,DD$2),Español!$A:$H,7,FALSE)=R202,1,0)</f>
        <v>#N/A</v>
      </c>
      <c r="DE202" s="138" t="e">
        <f>IF(VLOOKUP(CONCATENATE(H202,F202,DE$2),Español!$A:$H,7,FALSE)=S202,1,0)</f>
        <v>#N/A</v>
      </c>
      <c r="DF202" s="138" t="e">
        <f>IF(VLOOKUP(CONCATENATE(H202,F202,DF$2),Español!$A:$H,7,FALSE)=T202,1,0)</f>
        <v>#N/A</v>
      </c>
      <c r="DG202" s="138" t="e">
        <f>IF(VLOOKUP(CONCATENATE(H202,F202,DG$2),Español!$A:$H,7,FALSE)=U202,1,0)</f>
        <v>#N/A</v>
      </c>
      <c r="DH202" s="138" t="e">
        <f>IF(VLOOKUP(CONCATENATE(H202,F202,DH$2),Español!$A:$H,7,FALSE)=V202,1,0)</f>
        <v>#N/A</v>
      </c>
      <c r="DI202" s="138" t="e">
        <f>IF(VLOOKUP(CONCATENATE(H202,F202,DI$2),Español!$A:$H,7,FALSE)=W202,1,0)</f>
        <v>#N/A</v>
      </c>
      <c r="DJ202" s="138" t="e">
        <f>IF(VLOOKUP(CONCATENATE(H202,F202,DJ$2),Español!$A:$H,7,FALSE)=X202,1,0)</f>
        <v>#N/A</v>
      </c>
      <c r="DK202" s="138" t="e">
        <f>IF(VLOOKUP(CONCATENATE(H202,F202,DK$2),Español!$A:$H,7,FALSE)=Y202,1,0)</f>
        <v>#N/A</v>
      </c>
      <c r="DL202" s="138" t="e">
        <f>IF(VLOOKUP(CONCATENATE(H202,F202,DL$2),Español!$A:$H,7,FALSE)=Z202,1,0)</f>
        <v>#N/A</v>
      </c>
      <c r="DM202" s="138" t="e">
        <f>IF(VLOOKUP(CONCATENATE(H202,F202,DM$2),Español!$A:$H,7,FALSE)=AA202,1,0)</f>
        <v>#N/A</v>
      </c>
      <c r="DN202" s="138" t="e">
        <f>IF(VLOOKUP(CONCATENATE(H202,F202,DN$2),Español!$A:$H,7,FALSE)=AB202,1,0)</f>
        <v>#N/A</v>
      </c>
      <c r="DO202" s="138" t="e">
        <f>IF(VLOOKUP(CONCATENATE(H202,F202,DO$2),Español!$A:$H,7,FALSE)=AC202,1,0)</f>
        <v>#N/A</v>
      </c>
      <c r="DP202" s="138" t="e">
        <f>IF(VLOOKUP(CONCATENATE(H202,F202,DP$2),Español!$A:$H,7,FALSE)=AD202,1,0)</f>
        <v>#N/A</v>
      </c>
      <c r="DQ202" s="138" t="e">
        <f>IF(VLOOKUP(CONCATENATE(H202,F202,DQ$2),Español!$A:$H,7,FALSE)=AE202,1,0)</f>
        <v>#N/A</v>
      </c>
      <c r="DR202" s="138" t="e">
        <f>IF(VLOOKUP(CONCATENATE(H202,F202,DR$2),Inglés!$A:$H,7,FALSE)=AF202,1,0)</f>
        <v>#N/A</v>
      </c>
      <c r="DS202" s="138" t="e">
        <f>IF(VLOOKUP(CONCATENATE(H202,F202,DS$2),Inglés!$A:$H,7,FALSE)=AG202,1,0)</f>
        <v>#N/A</v>
      </c>
      <c r="DT202" s="138" t="e">
        <f>IF(VLOOKUP(CONCATENATE(H202,F202,DT$2),Inglés!$A:$H,7,FALSE)=AH202,1,0)</f>
        <v>#N/A</v>
      </c>
      <c r="DU202" s="138" t="e">
        <f>IF(VLOOKUP(CONCATENATE(H202,F202,DU$2),Inglés!$A:$H,7,FALSE)=AI202,1,0)</f>
        <v>#N/A</v>
      </c>
      <c r="DV202" s="138" t="e">
        <f>IF(VLOOKUP(CONCATENATE(H202,F202,DV$2),Inglés!$A:$H,7,FALSE)=AJ202,1,0)</f>
        <v>#N/A</v>
      </c>
      <c r="DW202" s="138" t="e">
        <f>IF(VLOOKUP(CONCATENATE(H202,F202,DW$2),Inglés!$A:$H,7,FALSE)=AK202,1,0)</f>
        <v>#N/A</v>
      </c>
      <c r="DX202" s="138" t="e">
        <f>IF(VLOOKUP(CONCATENATE(H202,F202,DX$2),Inglés!$A:$H,7,FALSE)=AL202,1,0)</f>
        <v>#N/A</v>
      </c>
      <c r="DY202" s="138" t="e">
        <f>IF(VLOOKUP(CONCATENATE(H202,F202,DY$2),Inglés!$A:$H,7,FALSE)=AM202,1,0)</f>
        <v>#N/A</v>
      </c>
      <c r="DZ202" s="138" t="e">
        <f>IF(VLOOKUP(CONCATENATE(H202,F202,DZ$2),Inglés!$A:$H,7,FALSE)=AN202,1,0)</f>
        <v>#N/A</v>
      </c>
      <c r="EA202" s="138" t="e">
        <f>IF(VLOOKUP(CONCATENATE(H202,F202,EA$2),Inglés!$A:$H,7,FALSE)=AO202,1,0)</f>
        <v>#N/A</v>
      </c>
      <c r="EB202" s="138" t="e">
        <f>IF(VLOOKUP(CONCATENATE(H202,F202,EB$2),Matemáticas!$A:$H,7,FALSE)=AP202,1,0)</f>
        <v>#N/A</v>
      </c>
      <c r="EC202" s="138" t="e">
        <f>IF(VLOOKUP(CONCATENATE(H202,F202,EC$2),Matemáticas!$A:$H,7,FALSE)=AQ202,1,0)</f>
        <v>#N/A</v>
      </c>
      <c r="ED202" s="138" t="e">
        <f>IF(VLOOKUP(CONCATENATE(H202,F202,ED$2),Matemáticas!$A:$H,7,FALSE)=AR202,1,0)</f>
        <v>#N/A</v>
      </c>
      <c r="EE202" s="138" t="e">
        <f>IF(VLOOKUP(CONCATENATE(H202,F202,EE$2),Matemáticas!$A:$H,7,FALSE)=AS202,1,0)</f>
        <v>#N/A</v>
      </c>
      <c r="EF202" s="138" t="e">
        <f>IF(VLOOKUP(CONCATENATE(H202,F202,EF$2),Matemáticas!$A:$H,7,FALSE)=AT202,1,0)</f>
        <v>#N/A</v>
      </c>
      <c r="EG202" s="138" t="e">
        <f>IF(VLOOKUP(CONCATENATE(H202,F202,EG$2),Matemáticas!$A:$H,7,FALSE)=AU202,1,0)</f>
        <v>#N/A</v>
      </c>
      <c r="EH202" s="138" t="e">
        <f>IF(VLOOKUP(CONCATENATE(H202,F202,EH$2),Matemáticas!$A:$H,7,FALSE)=AV202,1,0)</f>
        <v>#N/A</v>
      </c>
      <c r="EI202" s="138" t="e">
        <f>IF(VLOOKUP(CONCATENATE(H202,F202,EI$2),Matemáticas!$A:$H,7,FALSE)=AW202,1,0)</f>
        <v>#N/A</v>
      </c>
      <c r="EJ202" s="138" t="e">
        <f>IF(VLOOKUP(CONCATENATE(H202,F202,EJ$2),Matemáticas!$A:$H,7,FALSE)=AX202,1,0)</f>
        <v>#N/A</v>
      </c>
      <c r="EK202" s="138" t="e">
        <f>IF(VLOOKUP(CONCATENATE(H202,F202,EK$2),Matemáticas!$A:$H,7,FALSE)=AY202,1,0)</f>
        <v>#N/A</v>
      </c>
      <c r="EL202" s="138" t="e">
        <f>IF(VLOOKUP(CONCATENATE(H202,F202,EL$2),Matemáticas!$A:$H,7,FALSE)=AZ202,1,0)</f>
        <v>#N/A</v>
      </c>
      <c r="EM202" s="138" t="e">
        <f>IF(VLOOKUP(CONCATENATE(H202,F202,EM$2),Matemáticas!$A:$H,7,FALSE)=BA202,1,0)</f>
        <v>#N/A</v>
      </c>
      <c r="EN202" s="138" t="e">
        <f>IF(VLOOKUP(CONCATENATE(H202,F202,EN$2),Matemáticas!$A:$H,7,FALSE)=BB202,1,0)</f>
        <v>#N/A</v>
      </c>
      <c r="EO202" s="138" t="e">
        <f>IF(VLOOKUP(CONCATENATE(H202,F202,EO$2),Matemáticas!$A:$H,7,FALSE)=BC202,1,0)</f>
        <v>#N/A</v>
      </c>
      <c r="EP202" s="138" t="e">
        <f>IF(VLOOKUP(CONCATENATE(H202,F202,EP$2),Matemáticas!$A:$H,7,FALSE)=BD202,1,0)</f>
        <v>#N/A</v>
      </c>
      <c r="EQ202" s="138" t="e">
        <f>IF(VLOOKUP(CONCATENATE(H202,F202,EQ$2),Matemáticas!$A:$H,7,FALSE)=BE202,1,0)</f>
        <v>#N/A</v>
      </c>
      <c r="ER202" s="138" t="e">
        <f>IF(VLOOKUP(CONCATENATE(H202,F202,ER$2),Matemáticas!$A:$H,7,FALSE)=BF202,1,0)</f>
        <v>#N/A</v>
      </c>
      <c r="ES202" s="138" t="e">
        <f>IF(VLOOKUP(CONCATENATE(H202,F202,ES$2),Matemáticas!$A:$H,7,FALSE)=BG202,1,0)</f>
        <v>#N/A</v>
      </c>
      <c r="ET202" s="138" t="e">
        <f>IF(VLOOKUP(CONCATENATE(H202,F202,ET$2),Matemáticas!$A:$H,7,FALSE)=BH202,1,0)</f>
        <v>#N/A</v>
      </c>
      <c r="EU202" s="138" t="e">
        <f>IF(VLOOKUP(CONCATENATE(H202,F202,EU$2),Matemáticas!$A:$H,7,FALSE)=BI202,1,0)</f>
        <v>#N/A</v>
      </c>
      <c r="EV202" s="138" t="e">
        <f>IF(VLOOKUP(CONCATENATE(H202,F202,EV$2),Ciencias!$A:$H,7,FALSE)=BJ202,1,0)</f>
        <v>#N/A</v>
      </c>
      <c r="EW202" s="138" t="e">
        <f>IF(VLOOKUP(CONCATENATE(H202,F202,EW$2),Ciencias!$A:$H,7,FALSE)=BK202,1,0)</f>
        <v>#N/A</v>
      </c>
      <c r="EX202" s="138" t="e">
        <f>IF(VLOOKUP(CONCATENATE(H202,F202,EX$2),Ciencias!$A:$H,7,FALSE)=BL202,1,0)</f>
        <v>#N/A</v>
      </c>
      <c r="EY202" s="138" t="e">
        <f>IF(VLOOKUP(CONCATENATE(H202,F202,EY$2),Ciencias!$A:$H,7,FALSE)=BM202,1,0)</f>
        <v>#N/A</v>
      </c>
      <c r="EZ202" s="138" t="e">
        <f>IF(VLOOKUP(CONCATENATE(H202,F202,EZ$2),Ciencias!$A:$H,7,FALSE)=BN202,1,0)</f>
        <v>#N/A</v>
      </c>
      <c r="FA202" s="138" t="e">
        <f>IF(VLOOKUP(CONCATENATE(H202,F202,FA$2),Ciencias!$A:$H,7,FALSE)=BO202,1,0)</f>
        <v>#N/A</v>
      </c>
      <c r="FB202" s="138" t="e">
        <f>IF(VLOOKUP(CONCATENATE(H202,F202,FB$2),Ciencias!$A:$H,7,FALSE)=BP202,1,0)</f>
        <v>#N/A</v>
      </c>
      <c r="FC202" s="138" t="e">
        <f>IF(VLOOKUP(CONCATENATE(H202,F202,FC$2),Ciencias!$A:$H,7,FALSE)=BQ202,1,0)</f>
        <v>#N/A</v>
      </c>
      <c r="FD202" s="138" t="e">
        <f>IF(VLOOKUP(CONCATENATE(H202,F202,FD$2),Ciencias!$A:$H,7,FALSE)=BR202,1,0)</f>
        <v>#N/A</v>
      </c>
      <c r="FE202" s="138" t="e">
        <f>IF(VLOOKUP(CONCATENATE(H202,F202,FE$2),Ciencias!$A:$H,7,FALSE)=BS202,1,0)</f>
        <v>#N/A</v>
      </c>
      <c r="FF202" s="138" t="e">
        <f>IF(VLOOKUP(CONCATENATE(H202,F202,FF$2),Ciencias!$A:$H,7,FALSE)=BT202,1,0)</f>
        <v>#N/A</v>
      </c>
      <c r="FG202" s="138" t="e">
        <f>IF(VLOOKUP(CONCATENATE(H202,F202,FG$2),Ciencias!$A:$H,7,FALSE)=BU202,1,0)</f>
        <v>#N/A</v>
      </c>
      <c r="FH202" s="138" t="e">
        <f>IF(VLOOKUP(CONCATENATE(H202,F202,FH$2),Ciencias!$A:$H,7,FALSE)=BV202,1,0)</f>
        <v>#N/A</v>
      </c>
      <c r="FI202" s="138" t="e">
        <f>IF(VLOOKUP(CONCATENATE(H202,F202,FI$2),Ciencias!$A:$H,7,FALSE)=BW202,1,0)</f>
        <v>#N/A</v>
      </c>
      <c r="FJ202" s="138" t="e">
        <f>IF(VLOOKUP(CONCATENATE(H202,F202,FJ$2),Ciencias!$A:$H,7,FALSE)=BX202,1,0)</f>
        <v>#N/A</v>
      </c>
      <c r="FK202" s="138" t="e">
        <f>IF(VLOOKUP(CONCATENATE(H202,F202,FK$2),Ciencias!$A:$H,7,FALSE)=BY202,1,0)</f>
        <v>#N/A</v>
      </c>
      <c r="FL202" s="138" t="e">
        <f>IF(VLOOKUP(CONCATENATE(H202,F202,FL$2),Ciencias!$A:$H,7,FALSE)=BZ202,1,0)</f>
        <v>#N/A</v>
      </c>
      <c r="FM202" s="138" t="e">
        <f>IF(VLOOKUP(CONCATENATE(H202,F202,FM$2),Ciencias!$A:$H,7,FALSE)=CA202,1,0)</f>
        <v>#N/A</v>
      </c>
      <c r="FN202" s="138" t="e">
        <f>IF(VLOOKUP(CONCATENATE(H202,F202,FN$2),Ciencias!$A:$H,7,FALSE)=CB202,1,0)</f>
        <v>#N/A</v>
      </c>
      <c r="FO202" s="138" t="e">
        <f>IF(VLOOKUP(CONCATENATE(H202,F202,FO$2),Ciencias!$A:$H,7,FALSE)=CC202,1,0)</f>
        <v>#N/A</v>
      </c>
      <c r="FP202" s="138" t="e">
        <f>IF(VLOOKUP(CONCATENATE(H202,F202,FP$2),GeoHis!$A:$H,7,FALSE)=CD202,1,0)</f>
        <v>#N/A</v>
      </c>
      <c r="FQ202" s="138" t="e">
        <f>IF(VLOOKUP(CONCATENATE(H202,F202,FQ$2),GeoHis!$A:$H,7,FALSE)=CE202,1,0)</f>
        <v>#N/A</v>
      </c>
      <c r="FR202" s="138" t="e">
        <f>IF(VLOOKUP(CONCATENATE(H202,F202,FR$2),GeoHis!$A:$H,7,FALSE)=CF202,1,0)</f>
        <v>#N/A</v>
      </c>
      <c r="FS202" s="138" t="e">
        <f>IF(VLOOKUP(CONCATENATE(H202,F202,FS$2),GeoHis!$A:$H,7,FALSE)=CG202,1,0)</f>
        <v>#N/A</v>
      </c>
      <c r="FT202" s="138" t="e">
        <f>IF(VLOOKUP(CONCATENATE(H202,F202,FT$2),GeoHis!$A:$H,7,FALSE)=CH202,1,0)</f>
        <v>#N/A</v>
      </c>
      <c r="FU202" s="138" t="e">
        <f>IF(VLOOKUP(CONCATENATE(H202,F202,FU$2),GeoHis!$A:$H,7,FALSE)=CI202,1,0)</f>
        <v>#N/A</v>
      </c>
      <c r="FV202" s="138" t="e">
        <f>IF(VLOOKUP(CONCATENATE(H202,F202,FV$2),GeoHis!$A:$H,7,FALSE)=CJ202,1,0)</f>
        <v>#N/A</v>
      </c>
      <c r="FW202" s="138" t="e">
        <f>IF(VLOOKUP(CONCATENATE(H202,F202,FW$2),GeoHis!$A:$H,7,FALSE)=CK202,1,0)</f>
        <v>#N/A</v>
      </c>
      <c r="FX202" s="138" t="e">
        <f>IF(VLOOKUP(CONCATENATE(H202,F202,FX$2),GeoHis!$A:$H,7,FALSE)=CL202,1,0)</f>
        <v>#N/A</v>
      </c>
      <c r="FY202" s="138" t="e">
        <f>IF(VLOOKUP(CONCATENATE(H202,F202,FY$2),GeoHis!$A:$H,7,FALSE)=CM202,1,0)</f>
        <v>#N/A</v>
      </c>
      <c r="FZ202" s="138" t="e">
        <f>IF(VLOOKUP(CONCATENATE(H202,F202,FZ$2),GeoHis!$A:$H,7,FALSE)=CN202,1,0)</f>
        <v>#N/A</v>
      </c>
      <c r="GA202" s="138" t="e">
        <f>IF(VLOOKUP(CONCATENATE(H202,F202,GA$2),GeoHis!$A:$H,7,FALSE)=CO202,1,0)</f>
        <v>#N/A</v>
      </c>
      <c r="GB202" s="138" t="e">
        <f>IF(VLOOKUP(CONCATENATE(H202,F202,GB$2),GeoHis!$A:$H,7,FALSE)=CP202,1,0)</f>
        <v>#N/A</v>
      </c>
      <c r="GC202" s="138" t="e">
        <f>IF(VLOOKUP(CONCATENATE(H202,F202,GC$2),GeoHis!$A:$H,7,FALSE)=CQ202,1,0)</f>
        <v>#N/A</v>
      </c>
      <c r="GD202" s="138" t="e">
        <f>IF(VLOOKUP(CONCATENATE(H202,F202,GD$2),GeoHis!$A:$H,7,FALSE)=CR202,1,0)</f>
        <v>#N/A</v>
      </c>
      <c r="GE202" s="135" t="str">
        <f t="shared" si="31"/>
        <v/>
      </c>
    </row>
    <row r="203" spans="1:187" x14ac:dyDescent="0.25">
      <c r="A203" s="127" t="str">
        <f>IF(C203="","",'Datos Generales'!$A$25)</f>
        <v/>
      </c>
      <c r="D203" s="126" t="str">
        <f t="shared" si="24"/>
        <v/>
      </c>
      <c r="E203" s="126">
        <f t="shared" si="25"/>
        <v>0</v>
      </c>
      <c r="F203" s="126" t="str">
        <f t="shared" si="26"/>
        <v/>
      </c>
      <c r="G203" s="126" t="str">
        <f>IF(C203="","",'Datos Generales'!$D$19)</f>
        <v/>
      </c>
      <c r="H203" s="21" t="str">
        <f>IF(C203="","",'Datos Generales'!$A$19)</f>
        <v/>
      </c>
      <c r="I203" s="126" t="str">
        <f>IF(C203="","",'Datos Generales'!$A$7)</f>
        <v/>
      </c>
      <c r="J203" s="21" t="str">
        <f>IF(C203="","",'Datos Generales'!$A$13)</f>
        <v/>
      </c>
      <c r="K203" s="21" t="str">
        <f>IF(C203="","",'Datos Generales'!$A$10)</f>
        <v/>
      </c>
      <c r="CS203" s="142" t="str">
        <f t="shared" si="27"/>
        <v/>
      </c>
      <c r="CT203" s="142" t="str">
        <f t="shared" si="28"/>
        <v/>
      </c>
      <c r="CU203" s="142" t="str">
        <f t="shared" si="29"/>
        <v/>
      </c>
      <c r="CV203" s="142" t="str">
        <f t="shared" si="30"/>
        <v/>
      </c>
      <c r="CW203" s="142" t="str">
        <f>IF(C203="","",IF('Datos Generales'!$A$19=1,AVERAGE(FP203:GD203),AVERAGE(Captura!FP203:FY203)))</f>
        <v/>
      </c>
      <c r="CX203" s="138" t="e">
        <f>IF(VLOOKUP(CONCATENATE($H$4,$F$4,CX$2),Español!$A:$H,7,FALSE)=L203,1,0)</f>
        <v>#N/A</v>
      </c>
      <c r="CY203" s="138" t="e">
        <f>IF(VLOOKUP(CONCATENATE(H203,F203,CY$2),Español!$A:$H,7,FALSE)=M203,1,0)</f>
        <v>#N/A</v>
      </c>
      <c r="CZ203" s="138" t="e">
        <f>IF(VLOOKUP(CONCATENATE(H203,F203,CZ$2),Español!$A:$H,7,FALSE)=N203,1,0)</f>
        <v>#N/A</v>
      </c>
      <c r="DA203" s="138" t="e">
        <f>IF(VLOOKUP(CONCATENATE(H203,F203,DA$2),Español!$A:$H,7,FALSE)=O203,1,0)</f>
        <v>#N/A</v>
      </c>
      <c r="DB203" s="138" t="e">
        <f>IF(VLOOKUP(CONCATENATE(H203,F203,DB$2),Español!$A:$H,7,FALSE)=P203,1,0)</f>
        <v>#N/A</v>
      </c>
      <c r="DC203" s="138" t="e">
        <f>IF(VLOOKUP(CONCATENATE(H203,F203,DC$2),Español!$A:$H,7,FALSE)=Q203,1,0)</f>
        <v>#N/A</v>
      </c>
      <c r="DD203" s="138" t="e">
        <f>IF(VLOOKUP(CONCATENATE(H203,F203,DD$2),Español!$A:$H,7,FALSE)=R203,1,0)</f>
        <v>#N/A</v>
      </c>
      <c r="DE203" s="138" t="e">
        <f>IF(VLOOKUP(CONCATENATE(H203,F203,DE$2),Español!$A:$H,7,FALSE)=S203,1,0)</f>
        <v>#N/A</v>
      </c>
      <c r="DF203" s="138" t="e">
        <f>IF(VLOOKUP(CONCATENATE(H203,F203,DF$2),Español!$A:$H,7,FALSE)=T203,1,0)</f>
        <v>#N/A</v>
      </c>
      <c r="DG203" s="138" t="e">
        <f>IF(VLOOKUP(CONCATENATE(H203,F203,DG$2),Español!$A:$H,7,FALSE)=U203,1,0)</f>
        <v>#N/A</v>
      </c>
      <c r="DH203" s="138" t="e">
        <f>IF(VLOOKUP(CONCATENATE(H203,F203,DH$2),Español!$A:$H,7,FALSE)=V203,1,0)</f>
        <v>#N/A</v>
      </c>
      <c r="DI203" s="138" t="e">
        <f>IF(VLOOKUP(CONCATENATE(H203,F203,DI$2),Español!$A:$H,7,FALSE)=W203,1,0)</f>
        <v>#N/A</v>
      </c>
      <c r="DJ203" s="138" t="e">
        <f>IF(VLOOKUP(CONCATENATE(H203,F203,DJ$2),Español!$A:$H,7,FALSE)=X203,1,0)</f>
        <v>#N/A</v>
      </c>
      <c r="DK203" s="138" t="e">
        <f>IF(VLOOKUP(CONCATENATE(H203,F203,DK$2),Español!$A:$H,7,FALSE)=Y203,1,0)</f>
        <v>#N/A</v>
      </c>
      <c r="DL203" s="138" t="e">
        <f>IF(VLOOKUP(CONCATENATE(H203,F203,DL$2),Español!$A:$H,7,FALSE)=Z203,1,0)</f>
        <v>#N/A</v>
      </c>
      <c r="DM203" s="138" t="e">
        <f>IF(VLOOKUP(CONCATENATE(H203,F203,DM$2),Español!$A:$H,7,FALSE)=AA203,1,0)</f>
        <v>#N/A</v>
      </c>
      <c r="DN203" s="138" t="e">
        <f>IF(VLOOKUP(CONCATENATE(H203,F203,DN$2),Español!$A:$H,7,FALSE)=AB203,1,0)</f>
        <v>#N/A</v>
      </c>
      <c r="DO203" s="138" t="e">
        <f>IF(VLOOKUP(CONCATENATE(H203,F203,DO$2),Español!$A:$H,7,FALSE)=AC203,1,0)</f>
        <v>#N/A</v>
      </c>
      <c r="DP203" s="138" t="e">
        <f>IF(VLOOKUP(CONCATENATE(H203,F203,DP$2),Español!$A:$H,7,FALSE)=AD203,1,0)</f>
        <v>#N/A</v>
      </c>
      <c r="DQ203" s="138" t="e">
        <f>IF(VLOOKUP(CONCATENATE(H203,F203,DQ$2),Español!$A:$H,7,FALSE)=AE203,1,0)</f>
        <v>#N/A</v>
      </c>
      <c r="DR203" s="138" t="e">
        <f>IF(VLOOKUP(CONCATENATE(H203,F203,DR$2),Inglés!$A:$H,7,FALSE)=AF203,1,0)</f>
        <v>#N/A</v>
      </c>
      <c r="DS203" s="138" t="e">
        <f>IF(VLOOKUP(CONCATENATE(H203,F203,DS$2),Inglés!$A:$H,7,FALSE)=AG203,1,0)</f>
        <v>#N/A</v>
      </c>
      <c r="DT203" s="138" t="e">
        <f>IF(VLOOKUP(CONCATENATE(H203,F203,DT$2),Inglés!$A:$H,7,FALSE)=AH203,1,0)</f>
        <v>#N/A</v>
      </c>
      <c r="DU203" s="138" t="e">
        <f>IF(VLOOKUP(CONCATENATE(H203,F203,DU$2),Inglés!$A:$H,7,FALSE)=AI203,1,0)</f>
        <v>#N/A</v>
      </c>
      <c r="DV203" s="138" t="e">
        <f>IF(VLOOKUP(CONCATENATE(H203,F203,DV$2),Inglés!$A:$H,7,FALSE)=AJ203,1,0)</f>
        <v>#N/A</v>
      </c>
      <c r="DW203" s="138" t="e">
        <f>IF(VLOOKUP(CONCATENATE(H203,F203,DW$2),Inglés!$A:$H,7,FALSE)=AK203,1,0)</f>
        <v>#N/A</v>
      </c>
      <c r="DX203" s="138" t="e">
        <f>IF(VLOOKUP(CONCATENATE(H203,F203,DX$2),Inglés!$A:$H,7,FALSE)=AL203,1,0)</f>
        <v>#N/A</v>
      </c>
      <c r="DY203" s="138" t="e">
        <f>IF(VLOOKUP(CONCATENATE(H203,F203,DY$2),Inglés!$A:$H,7,FALSE)=AM203,1,0)</f>
        <v>#N/A</v>
      </c>
      <c r="DZ203" s="138" t="e">
        <f>IF(VLOOKUP(CONCATENATE(H203,F203,DZ$2),Inglés!$A:$H,7,FALSE)=AN203,1,0)</f>
        <v>#N/A</v>
      </c>
      <c r="EA203" s="138" t="e">
        <f>IF(VLOOKUP(CONCATENATE(H203,F203,EA$2),Inglés!$A:$H,7,FALSE)=AO203,1,0)</f>
        <v>#N/A</v>
      </c>
      <c r="EB203" s="138" t="e">
        <f>IF(VLOOKUP(CONCATENATE(H203,F203,EB$2),Matemáticas!$A:$H,7,FALSE)=AP203,1,0)</f>
        <v>#N/A</v>
      </c>
      <c r="EC203" s="138" t="e">
        <f>IF(VLOOKUP(CONCATENATE(H203,F203,EC$2),Matemáticas!$A:$H,7,FALSE)=AQ203,1,0)</f>
        <v>#N/A</v>
      </c>
      <c r="ED203" s="138" t="e">
        <f>IF(VLOOKUP(CONCATENATE(H203,F203,ED$2),Matemáticas!$A:$H,7,FALSE)=AR203,1,0)</f>
        <v>#N/A</v>
      </c>
      <c r="EE203" s="138" t="e">
        <f>IF(VLOOKUP(CONCATENATE(H203,F203,EE$2),Matemáticas!$A:$H,7,FALSE)=AS203,1,0)</f>
        <v>#N/A</v>
      </c>
      <c r="EF203" s="138" t="e">
        <f>IF(VLOOKUP(CONCATENATE(H203,F203,EF$2),Matemáticas!$A:$H,7,FALSE)=AT203,1,0)</f>
        <v>#N/A</v>
      </c>
      <c r="EG203" s="138" t="e">
        <f>IF(VLOOKUP(CONCATENATE(H203,F203,EG$2),Matemáticas!$A:$H,7,FALSE)=AU203,1,0)</f>
        <v>#N/A</v>
      </c>
      <c r="EH203" s="138" t="e">
        <f>IF(VLOOKUP(CONCATENATE(H203,F203,EH$2),Matemáticas!$A:$H,7,FALSE)=AV203,1,0)</f>
        <v>#N/A</v>
      </c>
      <c r="EI203" s="138" t="e">
        <f>IF(VLOOKUP(CONCATENATE(H203,F203,EI$2),Matemáticas!$A:$H,7,FALSE)=AW203,1,0)</f>
        <v>#N/A</v>
      </c>
      <c r="EJ203" s="138" t="e">
        <f>IF(VLOOKUP(CONCATENATE(H203,F203,EJ$2),Matemáticas!$A:$H,7,FALSE)=AX203,1,0)</f>
        <v>#N/A</v>
      </c>
      <c r="EK203" s="138" t="e">
        <f>IF(VLOOKUP(CONCATENATE(H203,F203,EK$2),Matemáticas!$A:$H,7,FALSE)=AY203,1,0)</f>
        <v>#N/A</v>
      </c>
      <c r="EL203" s="138" t="e">
        <f>IF(VLOOKUP(CONCATENATE(H203,F203,EL$2),Matemáticas!$A:$H,7,FALSE)=AZ203,1,0)</f>
        <v>#N/A</v>
      </c>
      <c r="EM203" s="138" t="e">
        <f>IF(VLOOKUP(CONCATENATE(H203,F203,EM$2),Matemáticas!$A:$H,7,FALSE)=BA203,1,0)</f>
        <v>#N/A</v>
      </c>
      <c r="EN203" s="138" t="e">
        <f>IF(VLOOKUP(CONCATENATE(H203,F203,EN$2),Matemáticas!$A:$H,7,FALSE)=BB203,1,0)</f>
        <v>#N/A</v>
      </c>
      <c r="EO203" s="138" t="e">
        <f>IF(VLOOKUP(CONCATENATE(H203,F203,EO$2),Matemáticas!$A:$H,7,FALSE)=BC203,1,0)</f>
        <v>#N/A</v>
      </c>
      <c r="EP203" s="138" t="e">
        <f>IF(VLOOKUP(CONCATENATE(H203,F203,EP$2),Matemáticas!$A:$H,7,FALSE)=BD203,1,0)</f>
        <v>#N/A</v>
      </c>
      <c r="EQ203" s="138" t="e">
        <f>IF(VLOOKUP(CONCATENATE(H203,F203,EQ$2),Matemáticas!$A:$H,7,FALSE)=BE203,1,0)</f>
        <v>#N/A</v>
      </c>
      <c r="ER203" s="138" t="e">
        <f>IF(VLOOKUP(CONCATENATE(H203,F203,ER$2),Matemáticas!$A:$H,7,FALSE)=BF203,1,0)</f>
        <v>#N/A</v>
      </c>
      <c r="ES203" s="138" t="e">
        <f>IF(VLOOKUP(CONCATENATE(H203,F203,ES$2),Matemáticas!$A:$H,7,FALSE)=BG203,1,0)</f>
        <v>#N/A</v>
      </c>
      <c r="ET203" s="138" t="e">
        <f>IF(VLOOKUP(CONCATENATE(H203,F203,ET$2),Matemáticas!$A:$H,7,FALSE)=BH203,1,0)</f>
        <v>#N/A</v>
      </c>
      <c r="EU203" s="138" t="e">
        <f>IF(VLOOKUP(CONCATENATE(H203,F203,EU$2),Matemáticas!$A:$H,7,FALSE)=BI203,1,0)</f>
        <v>#N/A</v>
      </c>
      <c r="EV203" s="138" t="e">
        <f>IF(VLOOKUP(CONCATENATE(H203,F203,EV$2),Ciencias!$A:$H,7,FALSE)=BJ203,1,0)</f>
        <v>#N/A</v>
      </c>
      <c r="EW203" s="138" t="e">
        <f>IF(VLOOKUP(CONCATENATE(H203,F203,EW$2),Ciencias!$A:$H,7,FALSE)=BK203,1,0)</f>
        <v>#N/A</v>
      </c>
      <c r="EX203" s="138" t="e">
        <f>IF(VLOOKUP(CONCATENATE(H203,F203,EX$2),Ciencias!$A:$H,7,FALSE)=BL203,1,0)</f>
        <v>#N/A</v>
      </c>
      <c r="EY203" s="138" t="e">
        <f>IF(VLOOKUP(CONCATENATE(H203,F203,EY$2),Ciencias!$A:$H,7,FALSE)=BM203,1,0)</f>
        <v>#N/A</v>
      </c>
      <c r="EZ203" s="138" t="e">
        <f>IF(VLOOKUP(CONCATENATE(H203,F203,EZ$2),Ciencias!$A:$H,7,FALSE)=BN203,1,0)</f>
        <v>#N/A</v>
      </c>
      <c r="FA203" s="138" t="e">
        <f>IF(VLOOKUP(CONCATENATE(H203,F203,FA$2),Ciencias!$A:$H,7,FALSE)=BO203,1,0)</f>
        <v>#N/A</v>
      </c>
      <c r="FB203" s="138" t="e">
        <f>IF(VLOOKUP(CONCATENATE(H203,F203,FB$2),Ciencias!$A:$H,7,FALSE)=BP203,1,0)</f>
        <v>#N/A</v>
      </c>
      <c r="FC203" s="138" t="e">
        <f>IF(VLOOKUP(CONCATENATE(H203,F203,FC$2),Ciencias!$A:$H,7,FALSE)=BQ203,1,0)</f>
        <v>#N/A</v>
      </c>
      <c r="FD203" s="138" t="e">
        <f>IF(VLOOKUP(CONCATENATE(H203,F203,FD$2),Ciencias!$A:$H,7,FALSE)=BR203,1,0)</f>
        <v>#N/A</v>
      </c>
      <c r="FE203" s="138" t="e">
        <f>IF(VLOOKUP(CONCATENATE(H203,F203,FE$2),Ciencias!$A:$H,7,FALSE)=BS203,1,0)</f>
        <v>#N/A</v>
      </c>
      <c r="FF203" s="138" t="e">
        <f>IF(VLOOKUP(CONCATENATE(H203,F203,FF$2),Ciencias!$A:$H,7,FALSE)=BT203,1,0)</f>
        <v>#N/A</v>
      </c>
      <c r="FG203" s="138" t="e">
        <f>IF(VLOOKUP(CONCATENATE(H203,F203,FG$2),Ciencias!$A:$H,7,FALSE)=BU203,1,0)</f>
        <v>#N/A</v>
      </c>
      <c r="FH203" s="138" t="e">
        <f>IF(VLOOKUP(CONCATENATE(H203,F203,FH$2),Ciencias!$A:$H,7,FALSE)=BV203,1,0)</f>
        <v>#N/A</v>
      </c>
      <c r="FI203" s="138" t="e">
        <f>IF(VLOOKUP(CONCATENATE(H203,F203,FI$2),Ciencias!$A:$H,7,FALSE)=BW203,1,0)</f>
        <v>#N/A</v>
      </c>
      <c r="FJ203" s="138" t="e">
        <f>IF(VLOOKUP(CONCATENATE(H203,F203,FJ$2),Ciencias!$A:$H,7,FALSE)=BX203,1,0)</f>
        <v>#N/A</v>
      </c>
      <c r="FK203" s="138" t="e">
        <f>IF(VLOOKUP(CONCATENATE(H203,F203,FK$2),Ciencias!$A:$H,7,FALSE)=BY203,1,0)</f>
        <v>#N/A</v>
      </c>
      <c r="FL203" s="138" t="e">
        <f>IF(VLOOKUP(CONCATENATE(H203,F203,FL$2),Ciencias!$A:$H,7,FALSE)=BZ203,1,0)</f>
        <v>#N/A</v>
      </c>
      <c r="FM203" s="138" t="e">
        <f>IF(VLOOKUP(CONCATENATE(H203,F203,FM$2),Ciencias!$A:$H,7,FALSE)=CA203,1,0)</f>
        <v>#N/A</v>
      </c>
      <c r="FN203" s="138" t="e">
        <f>IF(VLOOKUP(CONCATENATE(H203,F203,FN$2),Ciencias!$A:$H,7,FALSE)=CB203,1,0)</f>
        <v>#N/A</v>
      </c>
      <c r="FO203" s="138" t="e">
        <f>IF(VLOOKUP(CONCATENATE(H203,F203,FO$2),Ciencias!$A:$H,7,FALSE)=CC203,1,0)</f>
        <v>#N/A</v>
      </c>
      <c r="FP203" s="138" t="e">
        <f>IF(VLOOKUP(CONCATENATE(H203,F203,FP$2),GeoHis!$A:$H,7,FALSE)=CD203,1,0)</f>
        <v>#N/A</v>
      </c>
      <c r="FQ203" s="138" t="e">
        <f>IF(VLOOKUP(CONCATENATE(H203,F203,FQ$2),GeoHis!$A:$H,7,FALSE)=CE203,1,0)</f>
        <v>#N/A</v>
      </c>
      <c r="FR203" s="138" t="e">
        <f>IF(VLOOKUP(CONCATENATE(H203,F203,FR$2),GeoHis!$A:$H,7,FALSE)=CF203,1,0)</f>
        <v>#N/A</v>
      </c>
      <c r="FS203" s="138" t="e">
        <f>IF(VLOOKUP(CONCATENATE(H203,F203,FS$2),GeoHis!$A:$H,7,FALSE)=CG203,1,0)</f>
        <v>#N/A</v>
      </c>
      <c r="FT203" s="138" t="e">
        <f>IF(VLOOKUP(CONCATENATE(H203,F203,FT$2),GeoHis!$A:$H,7,FALSE)=CH203,1,0)</f>
        <v>#N/A</v>
      </c>
      <c r="FU203" s="138" t="e">
        <f>IF(VLOOKUP(CONCATENATE(H203,F203,FU$2),GeoHis!$A:$H,7,FALSE)=CI203,1,0)</f>
        <v>#N/A</v>
      </c>
      <c r="FV203" s="138" t="e">
        <f>IF(VLOOKUP(CONCATENATE(H203,F203,FV$2),GeoHis!$A:$H,7,FALSE)=CJ203,1,0)</f>
        <v>#N/A</v>
      </c>
      <c r="FW203" s="138" t="e">
        <f>IF(VLOOKUP(CONCATENATE(H203,F203,FW$2),GeoHis!$A:$H,7,FALSE)=CK203,1,0)</f>
        <v>#N/A</v>
      </c>
      <c r="FX203" s="138" t="e">
        <f>IF(VLOOKUP(CONCATENATE(H203,F203,FX$2),GeoHis!$A:$H,7,FALSE)=CL203,1,0)</f>
        <v>#N/A</v>
      </c>
      <c r="FY203" s="138" t="e">
        <f>IF(VLOOKUP(CONCATENATE(H203,F203,FY$2),GeoHis!$A:$H,7,FALSE)=CM203,1,0)</f>
        <v>#N/A</v>
      </c>
      <c r="FZ203" s="138" t="e">
        <f>IF(VLOOKUP(CONCATENATE(H203,F203,FZ$2),GeoHis!$A:$H,7,FALSE)=CN203,1,0)</f>
        <v>#N/A</v>
      </c>
      <c r="GA203" s="138" t="e">
        <f>IF(VLOOKUP(CONCATENATE(H203,F203,GA$2),GeoHis!$A:$H,7,FALSE)=CO203,1,0)</f>
        <v>#N/A</v>
      </c>
      <c r="GB203" s="138" t="e">
        <f>IF(VLOOKUP(CONCATENATE(H203,F203,GB$2),GeoHis!$A:$H,7,FALSE)=CP203,1,0)</f>
        <v>#N/A</v>
      </c>
      <c r="GC203" s="138" t="e">
        <f>IF(VLOOKUP(CONCATENATE(H203,F203,GC$2),GeoHis!$A:$H,7,FALSE)=CQ203,1,0)</f>
        <v>#N/A</v>
      </c>
      <c r="GD203" s="138" t="e">
        <f>IF(VLOOKUP(CONCATENATE(H203,F203,GD$2),GeoHis!$A:$H,7,FALSE)=CR203,1,0)</f>
        <v>#N/A</v>
      </c>
      <c r="GE203" s="135" t="str">
        <f t="shared" si="31"/>
        <v/>
      </c>
    </row>
    <row r="204" spans="1:187" x14ac:dyDescent="0.25">
      <c r="A204" s="127" t="str">
        <f>IF(C204="","",'Datos Generales'!$A$25)</f>
        <v/>
      </c>
      <c r="D204" s="126" t="str">
        <f t="shared" si="24"/>
        <v/>
      </c>
      <c r="E204" s="126">
        <f t="shared" si="25"/>
        <v>0</v>
      </c>
      <c r="F204" s="126" t="str">
        <f t="shared" si="26"/>
        <v/>
      </c>
      <c r="G204" s="126" t="str">
        <f>IF(C204="","",'Datos Generales'!$D$19)</f>
        <v/>
      </c>
      <c r="H204" s="21" t="str">
        <f>IF(C204="","",'Datos Generales'!$A$19)</f>
        <v/>
      </c>
      <c r="I204" s="126" t="str">
        <f>IF(C204="","",'Datos Generales'!$A$7)</f>
        <v/>
      </c>
      <c r="J204" s="21" t="str">
        <f>IF(C204="","",'Datos Generales'!$A$13)</f>
        <v/>
      </c>
      <c r="K204" s="21" t="str">
        <f>IF(C204="","",'Datos Generales'!$A$10)</f>
        <v/>
      </c>
      <c r="CS204" s="142" t="str">
        <f t="shared" si="27"/>
        <v/>
      </c>
      <c r="CT204" s="142" t="str">
        <f t="shared" si="28"/>
        <v/>
      </c>
      <c r="CU204" s="142" t="str">
        <f t="shared" si="29"/>
        <v/>
      </c>
      <c r="CV204" s="142" t="str">
        <f t="shared" si="30"/>
        <v/>
      </c>
      <c r="CW204" s="142" t="str">
        <f>IF(C204="","",IF('Datos Generales'!$A$19=1,AVERAGE(FP204:GD204),AVERAGE(Captura!FP204:FY204)))</f>
        <v/>
      </c>
      <c r="CX204" s="138" t="e">
        <f>IF(VLOOKUP(CONCATENATE($H$4,$F$4,CX$2),Español!$A:$H,7,FALSE)=L204,1,0)</f>
        <v>#N/A</v>
      </c>
      <c r="CY204" s="138" t="e">
        <f>IF(VLOOKUP(CONCATENATE(H204,F204,CY$2),Español!$A:$H,7,FALSE)=M204,1,0)</f>
        <v>#N/A</v>
      </c>
      <c r="CZ204" s="138" t="e">
        <f>IF(VLOOKUP(CONCATENATE(H204,F204,CZ$2),Español!$A:$H,7,FALSE)=N204,1,0)</f>
        <v>#N/A</v>
      </c>
      <c r="DA204" s="138" t="e">
        <f>IF(VLOOKUP(CONCATENATE(H204,F204,DA$2),Español!$A:$H,7,FALSE)=O204,1,0)</f>
        <v>#N/A</v>
      </c>
      <c r="DB204" s="138" t="e">
        <f>IF(VLOOKUP(CONCATENATE(H204,F204,DB$2),Español!$A:$H,7,FALSE)=P204,1,0)</f>
        <v>#N/A</v>
      </c>
      <c r="DC204" s="138" t="e">
        <f>IF(VLOOKUP(CONCATENATE(H204,F204,DC$2),Español!$A:$H,7,FALSE)=Q204,1,0)</f>
        <v>#N/A</v>
      </c>
      <c r="DD204" s="138" t="e">
        <f>IF(VLOOKUP(CONCATENATE(H204,F204,DD$2),Español!$A:$H,7,FALSE)=R204,1,0)</f>
        <v>#N/A</v>
      </c>
      <c r="DE204" s="138" t="e">
        <f>IF(VLOOKUP(CONCATENATE(H204,F204,DE$2),Español!$A:$H,7,FALSE)=S204,1,0)</f>
        <v>#N/A</v>
      </c>
      <c r="DF204" s="138" t="e">
        <f>IF(VLOOKUP(CONCATENATE(H204,F204,DF$2),Español!$A:$H,7,FALSE)=T204,1,0)</f>
        <v>#N/A</v>
      </c>
      <c r="DG204" s="138" t="e">
        <f>IF(VLOOKUP(CONCATENATE(H204,F204,DG$2),Español!$A:$H,7,FALSE)=U204,1,0)</f>
        <v>#N/A</v>
      </c>
      <c r="DH204" s="138" t="e">
        <f>IF(VLOOKUP(CONCATENATE(H204,F204,DH$2),Español!$A:$H,7,FALSE)=V204,1,0)</f>
        <v>#N/A</v>
      </c>
      <c r="DI204" s="138" t="e">
        <f>IF(VLOOKUP(CONCATENATE(H204,F204,DI$2),Español!$A:$H,7,FALSE)=W204,1,0)</f>
        <v>#N/A</v>
      </c>
      <c r="DJ204" s="138" t="e">
        <f>IF(VLOOKUP(CONCATENATE(H204,F204,DJ$2),Español!$A:$H,7,FALSE)=X204,1,0)</f>
        <v>#N/A</v>
      </c>
      <c r="DK204" s="138" t="e">
        <f>IF(VLOOKUP(CONCATENATE(H204,F204,DK$2),Español!$A:$H,7,FALSE)=Y204,1,0)</f>
        <v>#N/A</v>
      </c>
      <c r="DL204" s="138" t="e">
        <f>IF(VLOOKUP(CONCATENATE(H204,F204,DL$2),Español!$A:$H,7,FALSE)=Z204,1,0)</f>
        <v>#N/A</v>
      </c>
      <c r="DM204" s="138" t="e">
        <f>IF(VLOOKUP(CONCATENATE(H204,F204,DM$2),Español!$A:$H,7,FALSE)=AA204,1,0)</f>
        <v>#N/A</v>
      </c>
      <c r="DN204" s="138" t="e">
        <f>IF(VLOOKUP(CONCATENATE(H204,F204,DN$2),Español!$A:$H,7,FALSE)=AB204,1,0)</f>
        <v>#N/A</v>
      </c>
      <c r="DO204" s="138" t="e">
        <f>IF(VLOOKUP(CONCATENATE(H204,F204,DO$2),Español!$A:$H,7,FALSE)=AC204,1,0)</f>
        <v>#N/A</v>
      </c>
      <c r="DP204" s="138" t="e">
        <f>IF(VLOOKUP(CONCATENATE(H204,F204,DP$2),Español!$A:$H,7,FALSE)=AD204,1,0)</f>
        <v>#N/A</v>
      </c>
      <c r="DQ204" s="138" t="e">
        <f>IF(VLOOKUP(CONCATENATE(H204,F204,DQ$2),Español!$A:$H,7,FALSE)=AE204,1,0)</f>
        <v>#N/A</v>
      </c>
      <c r="DR204" s="138" t="e">
        <f>IF(VLOOKUP(CONCATENATE(H204,F204,DR$2),Inglés!$A:$H,7,FALSE)=AF204,1,0)</f>
        <v>#N/A</v>
      </c>
      <c r="DS204" s="138" t="e">
        <f>IF(VLOOKUP(CONCATENATE(H204,F204,DS$2),Inglés!$A:$H,7,FALSE)=AG204,1,0)</f>
        <v>#N/A</v>
      </c>
      <c r="DT204" s="138" t="e">
        <f>IF(VLOOKUP(CONCATENATE(H204,F204,DT$2),Inglés!$A:$H,7,FALSE)=AH204,1,0)</f>
        <v>#N/A</v>
      </c>
      <c r="DU204" s="138" t="e">
        <f>IF(VLOOKUP(CONCATENATE(H204,F204,DU$2),Inglés!$A:$H,7,FALSE)=AI204,1,0)</f>
        <v>#N/A</v>
      </c>
      <c r="DV204" s="138" t="e">
        <f>IF(VLOOKUP(CONCATENATE(H204,F204,DV$2),Inglés!$A:$H,7,FALSE)=AJ204,1,0)</f>
        <v>#N/A</v>
      </c>
      <c r="DW204" s="138" t="e">
        <f>IF(VLOOKUP(CONCATENATE(H204,F204,DW$2),Inglés!$A:$H,7,FALSE)=AK204,1,0)</f>
        <v>#N/A</v>
      </c>
      <c r="DX204" s="138" t="e">
        <f>IF(VLOOKUP(CONCATENATE(H204,F204,DX$2),Inglés!$A:$H,7,FALSE)=AL204,1,0)</f>
        <v>#N/A</v>
      </c>
      <c r="DY204" s="138" t="e">
        <f>IF(VLOOKUP(CONCATENATE(H204,F204,DY$2),Inglés!$A:$H,7,FALSE)=AM204,1,0)</f>
        <v>#N/A</v>
      </c>
      <c r="DZ204" s="138" t="e">
        <f>IF(VLOOKUP(CONCATENATE(H204,F204,DZ$2),Inglés!$A:$H,7,FALSE)=AN204,1,0)</f>
        <v>#N/A</v>
      </c>
      <c r="EA204" s="138" t="e">
        <f>IF(VLOOKUP(CONCATENATE(H204,F204,EA$2),Inglés!$A:$H,7,FALSE)=AO204,1,0)</f>
        <v>#N/A</v>
      </c>
      <c r="EB204" s="138" t="e">
        <f>IF(VLOOKUP(CONCATENATE(H204,F204,EB$2),Matemáticas!$A:$H,7,FALSE)=AP204,1,0)</f>
        <v>#N/A</v>
      </c>
      <c r="EC204" s="138" t="e">
        <f>IF(VLOOKUP(CONCATENATE(H204,F204,EC$2),Matemáticas!$A:$H,7,FALSE)=AQ204,1,0)</f>
        <v>#N/A</v>
      </c>
      <c r="ED204" s="138" t="e">
        <f>IF(VLOOKUP(CONCATENATE(H204,F204,ED$2),Matemáticas!$A:$H,7,FALSE)=AR204,1,0)</f>
        <v>#N/A</v>
      </c>
      <c r="EE204" s="138" t="e">
        <f>IF(VLOOKUP(CONCATENATE(H204,F204,EE$2),Matemáticas!$A:$H,7,FALSE)=AS204,1,0)</f>
        <v>#N/A</v>
      </c>
      <c r="EF204" s="138" t="e">
        <f>IF(VLOOKUP(CONCATENATE(H204,F204,EF$2),Matemáticas!$A:$H,7,FALSE)=AT204,1,0)</f>
        <v>#N/A</v>
      </c>
      <c r="EG204" s="138" t="e">
        <f>IF(VLOOKUP(CONCATENATE(H204,F204,EG$2),Matemáticas!$A:$H,7,FALSE)=AU204,1,0)</f>
        <v>#N/A</v>
      </c>
      <c r="EH204" s="138" t="e">
        <f>IF(VLOOKUP(CONCATENATE(H204,F204,EH$2),Matemáticas!$A:$H,7,FALSE)=AV204,1,0)</f>
        <v>#N/A</v>
      </c>
      <c r="EI204" s="138" t="e">
        <f>IF(VLOOKUP(CONCATENATE(H204,F204,EI$2),Matemáticas!$A:$H,7,FALSE)=AW204,1,0)</f>
        <v>#N/A</v>
      </c>
      <c r="EJ204" s="138" t="e">
        <f>IF(VLOOKUP(CONCATENATE(H204,F204,EJ$2),Matemáticas!$A:$H,7,FALSE)=AX204,1,0)</f>
        <v>#N/A</v>
      </c>
      <c r="EK204" s="138" t="e">
        <f>IF(VLOOKUP(CONCATENATE(H204,F204,EK$2),Matemáticas!$A:$H,7,FALSE)=AY204,1,0)</f>
        <v>#N/A</v>
      </c>
      <c r="EL204" s="138" t="e">
        <f>IF(VLOOKUP(CONCATENATE(H204,F204,EL$2),Matemáticas!$A:$H,7,FALSE)=AZ204,1,0)</f>
        <v>#N/A</v>
      </c>
      <c r="EM204" s="138" t="e">
        <f>IF(VLOOKUP(CONCATENATE(H204,F204,EM$2),Matemáticas!$A:$H,7,FALSE)=BA204,1,0)</f>
        <v>#N/A</v>
      </c>
      <c r="EN204" s="138" t="e">
        <f>IF(VLOOKUP(CONCATENATE(H204,F204,EN$2),Matemáticas!$A:$H,7,FALSE)=BB204,1,0)</f>
        <v>#N/A</v>
      </c>
      <c r="EO204" s="138" t="e">
        <f>IF(VLOOKUP(CONCATENATE(H204,F204,EO$2),Matemáticas!$A:$H,7,FALSE)=BC204,1,0)</f>
        <v>#N/A</v>
      </c>
      <c r="EP204" s="138" t="e">
        <f>IF(VLOOKUP(CONCATENATE(H204,F204,EP$2),Matemáticas!$A:$H,7,FALSE)=BD204,1,0)</f>
        <v>#N/A</v>
      </c>
      <c r="EQ204" s="138" t="e">
        <f>IF(VLOOKUP(CONCATENATE(H204,F204,EQ$2),Matemáticas!$A:$H,7,FALSE)=BE204,1,0)</f>
        <v>#N/A</v>
      </c>
      <c r="ER204" s="138" t="e">
        <f>IF(VLOOKUP(CONCATENATE(H204,F204,ER$2),Matemáticas!$A:$H,7,FALSE)=BF204,1,0)</f>
        <v>#N/A</v>
      </c>
      <c r="ES204" s="138" t="e">
        <f>IF(VLOOKUP(CONCATENATE(H204,F204,ES$2),Matemáticas!$A:$H,7,FALSE)=BG204,1,0)</f>
        <v>#N/A</v>
      </c>
      <c r="ET204" s="138" t="e">
        <f>IF(VLOOKUP(CONCATENATE(H204,F204,ET$2),Matemáticas!$A:$H,7,FALSE)=BH204,1,0)</f>
        <v>#N/A</v>
      </c>
      <c r="EU204" s="138" t="e">
        <f>IF(VLOOKUP(CONCATENATE(H204,F204,EU$2),Matemáticas!$A:$H,7,FALSE)=BI204,1,0)</f>
        <v>#N/A</v>
      </c>
      <c r="EV204" s="138" t="e">
        <f>IF(VLOOKUP(CONCATENATE(H204,F204,EV$2),Ciencias!$A:$H,7,FALSE)=BJ204,1,0)</f>
        <v>#N/A</v>
      </c>
      <c r="EW204" s="138" t="e">
        <f>IF(VLOOKUP(CONCATENATE(H204,F204,EW$2),Ciencias!$A:$H,7,FALSE)=BK204,1,0)</f>
        <v>#N/A</v>
      </c>
      <c r="EX204" s="138" t="e">
        <f>IF(VLOOKUP(CONCATENATE(H204,F204,EX$2),Ciencias!$A:$H,7,FALSE)=BL204,1,0)</f>
        <v>#N/A</v>
      </c>
      <c r="EY204" s="138" t="e">
        <f>IF(VLOOKUP(CONCATENATE(H204,F204,EY$2),Ciencias!$A:$H,7,FALSE)=BM204,1,0)</f>
        <v>#N/A</v>
      </c>
      <c r="EZ204" s="138" t="e">
        <f>IF(VLOOKUP(CONCATENATE(H204,F204,EZ$2),Ciencias!$A:$H,7,FALSE)=BN204,1,0)</f>
        <v>#N/A</v>
      </c>
      <c r="FA204" s="138" t="e">
        <f>IF(VLOOKUP(CONCATENATE(H204,F204,FA$2),Ciencias!$A:$H,7,FALSE)=BO204,1,0)</f>
        <v>#N/A</v>
      </c>
      <c r="FB204" s="138" t="e">
        <f>IF(VLOOKUP(CONCATENATE(H204,F204,FB$2),Ciencias!$A:$H,7,FALSE)=BP204,1,0)</f>
        <v>#N/A</v>
      </c>
      <c r="FC204" s="138" t="e">
        <f>IF(VLOOKUP(CONCATENATE(H204,F204,FC$2),Ciencias!$A:$H,7,FALSE)=BQ204,1,0)</f>
        <v>#N/A</v>
      </c>
      <c r="FD204" s="138" t="e">
        <f>IF(VLOOKUP(CONCATENATE(H204,F204,FD$2),Ciencias!$A:$H,7,FALSE)=BR204,1,0)</f>
        <v>#N/A</v>
      </c>
      <c r="FE204" s="138" t="e">
        <f>IF(VLOOKUP(CONCATENATE(H204,F204,FE$2),Ciencias!$A:$H,7,FALSE)=BS204,1,0)</f>
        <v>#N/A</v>
      </c>
      <c r="FF204" s="138" t="e">
        <f>IF(VLOOKUP(CONCATENATE(H204,F204,FF$2),Ciencias!$A:$H,7,FALSE)=BT204,1,0)</f>
        <v>#N/A</v>
      </c>
      <c r="FG204" s="138" t="e">
        <f>IF(VLOOKUP(CONCATENATE(H204,F204,FG$2),Ciencias!$A:$H,7,FALSE)=BU204,1,0)</f>
        <v>#N/A</v>
      </c>
      <c r="FH204" s="138" t="e">
        <f>IF(VLOOKUP(CONCATENATE(H204,F204,FH$2),Ciencias!$A:$H,7,FALSE)=BV204,1,0)</f>
        <v>#N/A</v>
      </c>
      <c r="FI204" s="138" t="e">
        <f>IF(VLOOKUP(CONCATENATE(H204,F204,FI$2),Ciencias!$A:$H,7,FALSE)=BW204,1,0)</f>
        <v>#N/A</v>
      </c>
      <c r="FJ204" s="138" t="e">
        <f>IF(VLOOKUP(CONCATENATE(H204,F204,FJ$2),Ciencias!$A:$H,7,FALSE)=BX204,1,0)</f>
        <v>#N/A</v>
      </c>
      <c r="FK204" s="138" t="e">
        <f>IF(VLOOKUP(CONCATENATE(H204,F204,FK$2),Ciencias!$A:$H,7,FALSE)=BY204,1,0)</f>
        <v>#N/A</v>
      </c>
      <c r="FL204" s="138" t="e">
        <f>IF(VLOOKUP(CONCATENATE(H204,F204,FL$2),Ciencias!$A:$H,7,FALSE)=BZ204,1,0)</f>
        <v>#N/A</v>
      </c>
      <c r="FM204" s="138" t="e">
        <f>IF(VLOOKUP(CONCATENATE(H204,F204,FM$2),Ciencias!$A:$H,7,FALSE)=CA204,1,0)</f>
        <v>#N/A</v>
      </c>
      <c r="FN204" s="138" t="e">
        <f>IF(VLOOKUP(CONCATENATE(H204,F204,FN$2),Ciencias!$A:$H,7,FALSE)=CB204,1,0)</f>
        <v>#N/A</v>
      </c>
      <c r="FO204" s="138" t="e">
        <f>IF(VLOOKUP(CONCATENATE(H204,F204,FO$2),Ciencias!$A:$H,7,FALSE)=CC204,1,0)</f>
        <v>#N/A</v>
      </c>
      <c r="FP204" s="138" t="e">
        <f>IF(VLOOKUP(CONCATENATE(H204,F204,FP$2),GeoHis!$A:$H,7,FALSE)=CD204,1,0)</f>
        <v>#N/A</v>
      </c>
      <c r="FQ204" s="138" t="e">
        <f>IF(VLOOKUP(CONCATENATE(H204,F204,FQ$2),GeoHis!$A:$H,7,FALSE)=CE204,1,0)</f>
        <v>#N/A</v>
      </c>
      <c r="FR204" s="138" t="e">
        <f>IF(VLOOKUP(CONCATENATE(H204,F204,FR$2),GeoHis!$A:$H,7,FALSE)=CF204,1,0)</f>
        <v>#N/A</v>
      </c>
      <c r="FS204" s="138" t="e">
        <f>IF(VLOOKUP(CONCATENATE(H204,F204,FS$2),GeoHis!$A:$H,7,FALSE)=CG204,1,0)</f>
        <v>#N/A</v>
      </c>
      <c r="FT204" s="138" t="e">
        <f>IF(VLOOKUP(CONCATENATE(H204,F204,FT$2),GeoHis!$A:$H,7,FALSE)=CH204,1,0)</f>
        <v>#N/A</v>
      </c>
      <c r="FU204" s="138" t="e">
        <f>IF(VLOOKUP(CONCATENATE(H204,F204,FU$2),GeoHis!$A:$H,7,FALSE)=CI204,1,0)</f>
        <v>#N/A</v>
      </c>
      <c r="FV204" s="138" t="e">
        <f>IF(VLOOKUP(CONCATENATE(H204,F204,FV$2),GeoHis!$A:$H,7,FALSE)=CJ204,1,0)</f>
        <v>#N/A</v>
      </c>
      <c r="FW204" s="138" t="e">
        <f>IF(VLOOKUP(CONCATENATE(H204,F204,FW$2),GeoHis!$A:$H,7,FALSE)=CK204,1,0)</f>
        <v>#N/A</v>
      </c>
      <c r="FX204" s="138" t="e">
        <f>IF(VLOOKUP(CONCATENATE(H204,F204,FX$2),GeoHis!$A:$H,7,FALSE)=CL204,1,0)</f>
        <v>#N/A</v>
      </c>
      <c r="FY204" s="138" t="e">
        <f>IF(VLOOKUP(CONCATENATE(H204,F204,FY$2),GeoHis!$A:$H,7,FALSE)=CM204,1,0)</f>
        <v>#N/A</v>
      </c>
      <c r="FZ204" s="138" t="e">
        <f>IF(VLOOKUP(CONCATENATE(H204,F204,FZ$2),GeoHis!$A:$H,7,FALSE)=CN204,1,0)</f>
        <v>#N/A</v>
      </c>
      <c r="GA204" s="138" t="e">
        <f>IF(VLOOKUP(CONCATENATE(H204,F204,GA$2),GeoHis!$A:$H,7,FALSE)=CO204,1,0)</f>
        <v>#N/A</v>
      </c>
      <c r="GB204" s="138" t="e">
        <f>IF(VLOOKUP(CONCATENATE(H204,F204,GB$2),GeoHis!$A:$H,7,FALSE)=CP204,1,0)</f>
        <v>#N/A</v>
      </c>
      <c r="GC204" s="138" t="e">
        <f>IF(VLOOKUP(CONCATENATE(H204,F204,GC$2),GeoHis!$A:$H,7,FALSE)=CQ204,1,0)</f>
        <v>#N/A</v>
      </c>
      <c r="GD204" s="138" t="e">
        <f>IF(VLOOKUP(CONCATENATE(H204,F204,GD$2),GeoHis!$A:$H,7,FALSE)=CR204,1,0)</f>
        <v>#N/A</v>
      </c>
      <c r="GE204" s="135" t="str">
        <f t="shared" si="31"/>
        <v/>
      </c>
    </row>
    <row r="205" spans="1:187" x14ac:dyDescent="0.25">
      <c r="A205" s="127" t="str">
        <f>IF(C205="","",'Datos Generales'!$A$25)</f>
        <v/>
      </c>
      <c r="D205" s="126" t="str">
        <f t="shared" si="24"/>
        <v/>
      </c>
      <c r="E205" s="126">
        <f t="shared" si="25"/>
        <v>0</v>
      </c>
      <c r="F205" s="126" t="str">
        <f t="shared" si="26"/>
        <v/>
      </c>
      <c r="G205" s="126" t="str">
        <f>IF(C205="","",'Datos Generales'!$D$19)</f>
        <v/>
      </c>
      <c r="H205" s="21" t="str">
        <f>IF(C205="","",'Datos Generales'!$A$19)</f>
        <v/>
      </c>
      <c r="I205" s="126" t="str">
        <f>IF(C205="","",'Datos Generales'!$A$7)</f>
        <v/>
      </c>
      <c r="J205" s="21" t="str">
        <f>IF(C205="","",'Datos Generales'!$A$13)</f>
        <v/>
      </c>
      <c r="K205" s="21" t="str">
        <f>IF(C205="","",'Datos Generales'!$A$10)</f>
        <v/>
      </c>
      <c r="CS205" s="142" t="str">
        <f t="shared" si="27"/>
        <v/>
      </c>
      <c r="CT205" s="142" t="str">
        <f t="shared" si="28"/>
        <v/>
      </c>
      <c r="CU205" s="142" t="str">
        <f t="shared" si="29"/>
        <v/>
      </c>
      <c r="CV205" s="142" t="str">
        <f t="shared" si="30"/>
        <v/>
      </c>
      <c r="CW205" s="142" t="str">
        <f>IF(C205="","",IF('Datos Generales'!$A$19=1,AVERAGE(FP205:GD205),AVERAGE(Captura!FP205:FY205)))</f>
        <v/>
      </c>
      <c r="CX205" s="138" t="e">
        <f>IF(VLOOKUP(CONCATENATE($H$4,$F$4,CX$2),Español!$A:$H,7,FALSE)=L205,1,0)</f>
        <v>#N/A</v>
      </c>
      <c r="CY205" s="138" t="e">
        <f>IF(VLOOKUP(CONCATENATE(H205,F205,CY$2),Español!$A:$H,7,FALSE)=M205,1,0)</f>
        <v>#N/A</v>
      </c>
      <c r="CZ205" s="138" t="e">
        <f>IF(VLOOKUP(CONCATENATE(H205,F205,CZ$2),Español!$A:$H,7,FALSE)=N205,1,0)</f>
        <v>#N/A</v>
      </c>
      <c r="DA205" s="138" t="e">
        <f>IF(VLOOKUP(CONCATENATE(H205,F205,DA$2),Español!$A:$H,7,FALSE)=O205,1,0)</f>
        <v>#N/A</v>
      </c>
      <c r="DB205" s="138" t="e">
        <f>IF(VLOOKUP(CONCATENATE(H205,F205,DB$2),Español!$A:$H,7,FALSE)=P205,1,0)</f>
        <v>#N/A</v>
      </c>
      <c r="DC205" s="138" t="e">
        <f>IF(VLOOKUP(CONCATENATE(H205,F205,DC$2),Español!$A:$H,7,FALSE)=Q205,1,0)</f>
        <v>#N/A</v>
      </c>
      <c r="DD205" s="138" t="e">
        <f>IF(VLOOKUP(CONCATENATE(H205,F205,DD$2),Español!$A:$H,7,FALSE)=R205,1,0)</f>
        <v>#N/A</v>
      </c>
      <c r="DE205" s="138" t="e">
        <f>IF(VLOOKUP(CONCATENATE(H205,F205,DE$2),Español!$A:$H,7,FALSE)=S205,1,0)</f>
        <v>#N/A</v>
      </c>
      <c r="DF205" s="138" t="e">
        <f>IF(VLOOKUP(CONCATENATE(H205,F205,DF$2),Español!$A:$H,7,FALSE)=T205,1,0)</f>
        <v>#N/A</v>
      </c>
      <c r="DG205" s="138" t="e">
        <f>IF(VLOOKUP(CONCATENATE(H205,F205,DG$2),Español!$A:$H,7,FALSE)=U205,1,0)</f>
        <v>#N/A</v>
      </c>
      <c r="DH205" s="138" t="e">
        <f>IF(VLOOKUP(CONCATENATE(H205,F205,DH$2),Español!$A:$H,7,FALSE)=V205,1,0)</f>
        <v>#N/A</v>
      </c>
      <c r="DI205" s="138" t="e">
        <f>IF(VLOOKUP(CONCATENATE(H205,F205,DI$2),Español!$A:$H,7,FALSE)=W205,1,0)</f>
        <v>#N/A</v>
      </c>
      <c r="DJ205" s="138" t="e">
        <f>IF(VLOOKUP(CONCATENATE(H205,F205,DJ$2),Español!$A:$H,7,FALSE)=X205,1,0)</f>
        <v>#N/A</v>
      </c>
      <c r="DK205" s="138" t="e">
        <f>IF(VLOOKUP(CONCATENATE(H205,F205,DK$2),Español!$A:$H,7,FALSE)=Y205,1,0)</f>
        <v>#N/A</v>
      </c>
      <c r="DL205" s="138" t="e">
        <f>IF(VLOOKUP(CONCATENATE(H205,F205,DL$2),Español!$A:$H,7,FALSE)=Z205,1,0)</f>
        <v>#N/A</v>
      </c>
      <c r="DM205" s="138" t="e">
        <f>IF(VLOOKUP(CONCATENATE(H205,F205,DM$2),Español!$A:$H,7,FALSE)=AA205,1,0)</f>
        <v>#N/A</v>
      </c>
      <c r="DN205" s="138" t="e">
        <f>IF(VLOOKUP(CONCATENATE(H205,F205,DN$2),Español!$A:$H,7,FALSE)=AB205,1,0)</f>
        <v>#N/A</v>
      </c>
      <c r="DO205" s="138" t="e">
        <f>IF(VLOOKUP(CONCATENATE(H205,F205,DO$2),Español!$A:$H,7,FALSE)=AC205,1,0)</f>
        <v>#N/A</v>
      </c>
      <c r="DP205" s="138" t="e">
        <f>IF(VLOOKUP(CONCATENATE(H205,F205,DP$2),Español!$A:$H,7,FALSE)=AD205,1,0)</f>
        <v>#N/A</v>
      </c>
      <c r="DQ205" s="138" t="e">
        <f>IF(VLOOKUP(CONCATENATE(H205,F205,DQ$2),Español!$A:$H,7,FALSE)=AE205,1,0)</f>
        <v>#N/A</v>
      </c>
      <c r="DR205" s="138" t="e">
        <f>IF(VLOOKUP(CONCATENATE(H205,F205,DR$2),Inglés!$A:$H,7,FALSE)=AF205,1,0)</f>
        <v>#N/A</v>
      </c>
      <c r="DS205" s="138" t="e">
        <f>IF(VLOOKUP(CONCATENATE(H205,F205,DS$2),Inglés!$A:$H,7,FALSE)=AG205,1,0)</f>
        <v>#N/A</v>
      </c>
      <c r="DT205" s="138" t="e">
        <f>IF(VLOOKUP(CONCATENATE(H205,F205,DT$2),Inglés!$A:$H,7,FALSE)=AH205,1,0)</f>
        <v>#N/A</v>
      </c>
      <c r="DU205" s="138" t="e">
        <f>IF(VLOOKUP(CONCATENATE(H205,F205,DU$2),Inglés!$A:$H,7,FALSE)=AI205,1,0)</f>
        <v>#N/A</v>
      </c>
      <c r="DV205" s="138" t="e">
        <f>IF(VLOOKUP(CONCATENATE(H205,F205,DV$2),Inglés!$A:$H,7,FALSE)=AJ205,1,0)</f>
        <v>#N/A</v>
      </c>
      <c r="DW205" s="138" t="e">
        <f>IF(VLOOKUP(CONCATENATE(H205,F205,DW$2),Inglés!$A:$H,7,FALSE)=AK205,1,0)</f>
        <v>#N/A</v>
      </c>
      <c r="DX205" s="138" t="e">
        <f>IF(VLOOKUP(CONCATENATE(H205,F205,DX$2),Inglés!$A:$H,7,FALSE)=AL205,1,0)</f>
        <v>#N/A</v>
      </c>
      <c r="DY205" s="138" t="e">
        <f>IF(VLOOKUP(CONCATENATE(H205,F205,DY$2),Inglés!$A:$H,7,FALSE)=AM205,1,0)</f>
        <v>#N/A</v>
      </c>
      <c r="DZ205" s="138" t="e">
        <f>IF(VLOOKUP(CONCATENATE(H205,F205,DZ$2),Inglés!$A:$H,7,FALSE)=AN205,1,0)</f>
        <v>#N/A</v>
      </c>
      <c r="EA205" s="138" t="e">
        <f>IF(VLOOKUP(CONCATENATE(H205,F205,EA$2),Inglés!$A:$H,7,FALSE)=AO205,1,0)</f>
        <v>#N/A</v>
      </c>
      <c r="EB205" s="138" t="e">
        <f>IF(VLOOKUP(CONCATENATE(H205,F205,EB$2),Matemáticas!$A:$H,7,FALSE)=AP205,1,0)</f>
        <v>#N/A</v>
      </c>
      <c r="EC205" s="138" t="e">
        <f>IF(VLOOKUP(CONCATENATE(H205,F205,EC$2),Matemáticas!$A:$H,7,FALSE)=AQ205,1,0)</f>
        <v>#N/A</v>
      </c>
      <c r="ED205" s="138" t="e">
        <f>IF(VLOOKUP(CONCATENATE(H205,F205,ED$2),Matemáticas!$A:$H,7,FALSE)=AR205,1,0)</f>
        <v>#N/A</v>
      </c>
      <c r="EE205" s="138" t="e">
        <f>IF(VLOOKUP(CONCATENATE(H205,F205,EE$2),Matemáticas!$A:$H,7,FALSE)=AS205,1,0)</f>
        <v>#N/A</v>
      </c>
      <c r="EF205" s="138" t="e">
        <f>IF(VLOOKUP(CONCATENATE(H205,F205,EF$2),Matemáticas!$A:$H,7,FALSE)=AT205,1,0)</f>
        <v>#N/A</v>
      </c>
      <c r="EG205" s="138" t="e">
        <f>IF(VLOOKUP(CONCATENATE(H205,F205,EG$2),Matemáticas!$A:$H,7,FALSE)=AU205,1,0)</f>
        <v>#N/A</v>
      </c>
      <c r="EH205" s="138" t="e">
        <f>IF(VLOOKUP(CONCATENATE(H205,F205,EH$2),Matemáticas!$A:$H,7,FALSE)=AV205,1,0)</f>
        <v>#N/A</v>
      </c>
      <c r="EI205" s="138" t="e">
        <f>IF(VLOOKUP(CONCATENATE(H205,F205,EI$2),Matemáticas!$A:$H,7,FALSE)=AW205,1,0)</f>
        <v>#N/A</v>
      </c>
      <c r="EJ205" s="138" t="e">
        <f>IF(VLOOKUP(CONCATENATE(H205,F205,EJ$2),Matemáticas!$A:$H,7,FALSE)=AX205,1,0)</f>
        <v>#N/A</v>
      </c>
      <c r="EK205" s="138" t="e">
        <f>IF(VLOOKUP(CONCATENATE(H205,F205,EK$2),Matemáticas!$A:$H,7,FALSE)=AY205,1,0)</f>
        <v>#N/A</v>
      </c>
      <c r="EL205" s="138" t="e">
        <f>IF(VLOOKUP(CONCATENATE(H205,F205,EL$2),Matemáticas!$A:$H,7,FALSE)=AZ205,1,0)</f>
        <v>#N/A</v>
      </c>
      <c r="EM205" s="138" t="e">
        <f>IF(VLOOKUP(CONCATENATE(H205,F205,EM$2),Matemáticas!$A:$H,7,FALSE)=BA205,1,0)</f>
        <v>#N/A</v>
      </c>
      <c r="EN205" s="138" t="e">
        <f>IF(VLOOKUP(CONCATENATE(H205,F205,EN$2),Matemáticas!$A:$H,7,FALSE)=BB205,1,0)</f>
        <v>#N/A</v>
      </c>
      <c r="EO205" s="138" t="e">
        <f>IF(VLOOKUP(CONCATENATE(H205,F205,EO$2),Matemáticas!$A:$H,7,FALSE)=BC205,1,0)</f>
        <v>#N/A</v>
      </c>
      <c r="EP205" s="138" t="e">
        <f>IF(VLOOKUP(CONCATENATE(H205,F205,EP$2),Matemáticas!$A:$H,7,FALSE)=BD205,1,0)</f>
        <v>#N/A</v>
      </c>
      <c r="EQ205" s="138" t="e">
        <f>IF(VLOOKUP(CONCATENATE(H205,F205,EQ$2),Matemáticas!$A:$H,7,FALSE)=BE205,1,0)</f>
        <v>#N/A</v>
      </c>
      <c r="ER205" s="138" t="e">
        <f>IF(VLOOKUP(CONCATENATE(H205,F205,ER$2),Matemáticas!$A:$H,7,FALSE)=BF205,1,0)</f>
        <v>#N/A</v>
      </c>
      <c r="ES205" s="138" t="e">
        <f>IF(VLOOKUP(CONCATENATE(H205,F205,ES$2),Matemáticas!$A:$H,7,FALSE)=BG205,1,0)</f>
        <v>#N/A</v>
      </c>
      <c r="ET205" s="138" t="e">
        <f>IF(VLOOKUP(CONCATENATE(H205,F205,ET$2),Matemáticas!$A:$H,7,FALSE)=BH205,1,0)</f>
        <v>#N/A</v>
      </c>
      <c r="EU205" s="138" t="e">
        <f>IF(VLOOKUP(CONCATENATE(H205,F205,EU$2),Matemáticas!$A:$H,7,FALSE)=BI205,1,0)</f>
        <v>#N/A</v>
      </c>
      <c r="EV205" s="138" t="e">
        <f>IF(VLOOKUP(CONCATENATE(H205,F205,EV$2),Ciencias!$A:$H,7,FALSE)=BJ205,1,0)</f>
        <v>#N/A</v>
      </c>
      <c r="EW205" s="138" t="e">
        <f>IF(VLOOKUP(CONCATENATE(H205,F205,EW$2),Ciencias!$A:$H,7,FALSE)=BK205,1,0)</f>
        <v>#N/A</v>
      </c>
      <c r="EX205" s="138" t="e">
        <f>IF(VLOOKUP(CONCATENATE(H205,F205,EX$2),Ciencias!$A:$H,7,FALSE)=BL205,1,0)</f>
        <v>#N/A</v>
      </c>
      <c r="EY205" s="138" t="e">
        <f>IF(VLOOKUP(CONCATENATE(H205,F205,EY$2),Ciencias!$A:$H,7,FALSE)=BM205,1,0)</f>
        <v>#N/A</v>
      </c>
      <c r="EZ205" s="138" t="e">
        <f>IF(VLOOKUP(CONCATENATE(H205,F205,EZ$2),Ciencias!$A:$H,7,FALSE)=BN205,1,0)</f>
        <v>#N/A</v>
      </c>
      <c r="FA205" s="138" t="e">
        <f>IF(VLOOKUP(CONCATENATE(H205,F205,FA$2),Ciencias!$A:$H,7,FALSE)=BO205,1,0)</f>
        <v>#N/A</v>
      </c>
      <c r="FB205" s="138" t="e">
        <f>IF(VLOOKUP(CONCATENATE(H205,F205,FB$2),Ciencias!$A:$H,7,FALSE)=BP205,1,0)</f>
        <v>#N/A</v>
      </c>
      <c r="FC205" s="138" t="e">
        <f>IF(VLOOKUP(CONCATENATE(H205,F205,FC$2),Ciencias!$A:$H,7,FALSE)=BQ205,1,0)</f>
        <v>#N/A</v>
      </c>
      <c r="FD205" s="138" t="e">
        <f>IF(VLOOKUP(CONCATENATE(H205,F205,FD$2),Ciencias!$A:$H,7,FALSE)=BR205,1,0)</f>
        <v>#N/A</v>
      </c>
      <c r="FE205" s="138" t="e">
        <f>IF(VLOOKUP(CONCATENATE(H205,F205,FE$2),Ciencias!$A:$H,7,FALSE)=BS205,1,0)</f>
        <v>#N/A</v>
      </c>
      <c r="FF205" s="138" t="e">
        <f>IF(VLOOKUP(CONCATENATE(H205,F205,FF$2),Ciencias!$A:$H,7,FALSE)=BT205,1,0)</f>
        <v>#N/A</v>
      </c>
      <c r="FG205" s="138" t="e">
        <f>IF(VLOOKUP(CONCATENATE(H205,F205,FG$2),Ciencias!$A:$H,7,FALSE)=BU205,1,0)</f>
        <v>#N/A</v>
      </c>
      <c r="FH205" s="138" t="e">
        <f>IF(VLOOKUP(CONCATENATE(H205,F205,FH$2),Ciencias!$A:$H,7,FALSE)=BV205,1,0)</f>
        <v>#N/A</v>
      </c>
      <c r="FI205" s="138" t="e">
        <f>IF(VLOOKUP(CONCATENATE(H205,F205,FI$2),Ciencias!$A:$H,7,FALSE)=BW205,1,0)</f>
        <v>#N/A</v>
      </c>
      <c r="FJ205" s="138" t="e">
        <f>IF(VLOOKUP(CONCATENATE(H205,F205,FJ$2),Ciencias!$A:$H,7,FALSE)=BX205,1,0)</f>
        <v>#N/A</v>
      </c>
      <c r="FK205" s="138" t="e">
        <f>IF(VLOOKUP(CONCATENATE(H205,F205,FK$2),Ciencias!$A:$H,7,FALSE)=BY205,1,0)</f>
        <v>#N/A</v>
      </c>
      <c r="FL205" s="138" t="e">
        <f>IF(VLOOKUP(CONCATENATE(H205,F205,FL$2),Ciencias!$A:$H,7,FALSE)=BZ205,1,0)</f>
        <v>#N/A</v>
      </c>
      <c r="FM205" s="138" t="e">
        <f>IF(VLOOKUP(CONCATENATE(H205,F205,FM$2),Ciencias!$A:$H,7,FALSE)=CA205,1,0)</f>
        <v>#N/A</v>
      </c>
      <c r="FN205" s="138" t="e">
        <f>IF(VLOOKUP(CONCATENATE(H205,F205,FN$2),Ciencias!$A:$H,7,FALSE)=CB205,1,0)</f>
        <v>#N/A</v>
      </c>
      <c r="FO205" s="138" t="e">
        <f>IF(VLOOKUP(CONCATENATE(H205,F205,FO$2),Ciencias!$A:$H,7,FALSE)=CC205,1,0)</f>
        <v>#N/A</v>
      </c>
      <c r="FP205" s="138" t="e">
        <f>IF(VLOOKUP(CONCATENATE(H205,F205,FP$2),GeoHis!$A:$H,7,FALSE)=CD205,1,0)</f>
        <v>#N/A</v>
      </c>
      <c r="FQ205" s="138" t="e">
        <f>IF(VLOOKUP(CONCATENATE(H205,F205,FQ$2),GeoHis!$A:$H,7,FALSE)=CE205,1,0)</f>
        <v>#N/A</v>
      </c>
      <c r="FR205" s="138" t="e">
        <f>IF(VLOOKUP(CONCATENATE(H205,F205,FR$2),GeoHis!$A:$H,7,FALSE)=CF205,1,0)</f>
        <v>#N/A</v>
      </c>
      <c r="FS205" s="138" t="e">
        <f>IF(VLOOKUP(CONCATENATE(H205,F205,FS$2),GeoHis!$A:$H,7,FALSE)=CG205,1,0)</f>
        <v>#N/A</v>
      </c>
      <c r="FT205" s="138" t="e">
        <f>IF(VLOOKUP(CONCATENATE(H205,F205,FT$2),GeoHis!$A:$H,7,FALSE)=CH205,1,0)</f>
        <v>#N/A</v>
      </c>
      <c r="FU205" s="138" t="e">
        <f>IF(VLOOKUP(CONCATENATE(H205,F205,FU$2),GeoHis!$A:$H,7,FALSE)=CI205,1,0)</f>
        <v>#N/A</v>
      </c>
      <c r="FV205" s="138" t="e">
        <f>IF(VLOOKUP(CONCATENATE(H205,F205,FV$2),GeoHis!$A:$H,7,FALSE)=CJ205,1,0)</f>
        <v>#N/A</v>
      </c>
      <c r="FW205" s="138" t="e">
        <f>IF(VLOOKUP(CONCATENATE(H205,F205,FW$2),GeoHis!$A:$H,7,FALSE)=CK205,1,0)</f>
        <v>#N/A</v>
      </c>
      <c r="FX205" s="138" t="e">
        <f>IF(VLOOKUP(CONCATENATE(H205,F205,FX$2),GeoHis!$A:$H,7,FALSE)=CL205,1,0)</f>
        <v>#N/A</v>
      </c>
      <c r="FY205" s="138" t="e">
        <f>IF(VLOOKUP(CONCATENATE(H205,F205,FY$2),GeoHis!$A:$H,7,FALSE)=CM205,1,0)</f>
        <v>#N/A</v>
      </c>
      <c r="FZ205" s="138" t="e">
        <f>IF(VLOOKUP(CONCATENATE(H205,F205,FZ$2),GeoHis!$A:$H,7,FALSE)=CN205,1,0)</f>
        <v>#N/A</v>
      </c>
      <c r="GA205" s="138" t="e">
        <f>IF(VLOOKUP(CONCATENATE(H205,F205,GA$2),GeoHis!$A:$H,7,FALSE)=CO205,1,0)</f>
        <v>#N/A</v>
      </c>
      <c r="GB205" s="138" t="e">
        <f>IF(VLOOKUP(CONCATENATE(H205,F205,GB$2),GeoHis!$A:$H,7,FALSE)=CP205,1,0)</f>
        <v>#N/A</v>
      </c>
      <c r="GC205" s="138" t="e">
        <f>IF(VLOOKUP(CONCATENATE(H205,F205,GC$2),GeoHis!$A:$H,7,FALSE)=CQ205,1,0)</f>
        <v>#N/A</v>
      </c>
      <c r="GD205" s="138" t="e">
        <f>IF(VLOOKUP(CONCATENATE(H205,F205,GD$2),GeoHis!$A:$H,7,FALSE)=CR205,1,0)</f>
        <v>#N/A</v>
      </c>
      <c r="GE205" s="135" t="str">
        <f t="shared" si="31"/>
        <v/>
      </c>
    </row>
    <row r="206" spans="1:187" x14ac:dyDescent="0.25">
      <c r="A206" s="127" t="str">
        <f>IF(C206="","",'Datos Generales'!$A$25)</f>
        <v/>
      </c>
      <c r="D206" s="126" t="str">
        <f t="shared" si="24"/>
        <v/>
      </c>
      <c r="E206" s="126">
        <f t="shared" si="25"/>
        <v>0</v>
      </c>
      <c r="F206" s="126" t="str">
        <f t="shared" si="26"/>
        <v/>
      </c>
      <c r="G206" s="126" t="str">
        <f>IF(C206="","",'Datos Generales'!$D$19)</f>
        <v/>
      </c>
      <c r="H206" s="21" t="str">
        <f>IF(C206="","",'Datos Generales'!$A$19)</f>
        <v/>
      </c>
      <c r="I206" s="126" t="str">
        <f>IF(C206="","",'Datos Generales'!$A$7)</f>
        <v/>
      </c>
      <c r="J206" s="21" t="str">
        <f>IF(C206="","",'Datos Generales'!$A$13)</f>
        <v/>
      </c>
      <c r="K206" s="21" t="str">
        <f>IF(C206="","",'Datos Generales'!$A$10)</f>
        <v/>
      </c>
      <c r="CS206" s="142" t="str">
        <f t="shared" si="27"/>
        <v/>
      </c>
      <c r="CT206" s="142" t="str">
        <f t="shared" si="28"/>
        <v/>
      </c>
      <c r="CU206" s="142" t="str">
        <f t="shared" si="29"/>
        <v/>
      </c>
      <c r="CV206" s="142" t="str">
        <f t="shared" si="30"/>
        <v/>
      </c>
      <c r="CW206" s="142" t="str">
        <f>IF(C206="","",IF('Datos Generales'!$A$19=1,AVERAGE(FP206:GD206),AVERAGE(Captura!FP206:FY206)))</f>
        <v/>
      </c>
      <c r="CX206" s="138" t="e">
        <f>IF(VLOOKUP(CONCATENATE($H$4,$F$4,CX$2),Español!$A:$H,7,FALSE)=L206,1,0)</f>
        <v>#N/A</v>
      </c>
      <c r="CY206" s="138" t="e">
        <f>IF(VLOOKUP(CONCATENATE(H206,F206,CY$2),Español!$A:$H,7,FALSE)=M206,1,0)</f>
        <v>#N/A</v>
      </c>
      <c r="CZ206" s="138" t="e">
        <f>IF(VLOOKUP(CONCATENATE(H206,F206,CZ$2),Español!$A:$H,7,FALSE)=N206,1,0)</f>
        <v>#N/A</v>
      </c>
      <c r="DA206" s="138" t="e">
        <f>IF(VLOOKUP(CONCATENATE(H206,F206,DA$2),Español!$A:$H,7,FALSE)=O206,1,0)</f>
        <v>#N/A</v>
      </c>
      <c r="DB206" s="138" t="e">
        <f>IF(VLOOKUP(CONCATENATE(H206,F206,DB$2),Español!$A:$H,7,FALSE)=P206,1,0)</f>
        <v>#N/A</v>
      </c>
      <c r="DC206" s="138" t="e">
        <f>IF(VLOOKUP(CONCATENATE(H206,F206,DC$2),Español!$A:$H,7,FALSE)=Q206,1,0)</f>
        <v>#N/A</v>
      </c>
      <c r="DD206" s="138" t="e">
        <f>IF(VLOOKUP(CONCATENATE(H206,F206,DD$2),Español!$A:$H,7,FALSE)=R206,1,0)</f>
        <v>#N/A</v>
      </c>
      <c r="DE206" s="138" t="e">
        <f>IF(VLOOKUP(CONCATENATE(H206,F206,DE$2),Español!$A:$H,7,FALSE)=S206,1,0)</f>
        <v>#N/A</v>
      </c>
      <c r="DF206" s="138" t="e">
        <f>IF(VLOOKUP(CONCATENATE(H206,F206,DF$2),Español!$A:$H,7,FALSE)=T206,1,0)</f>
        <v>#N/A</v>
      </c>
      <c r="DG206" s="138" t="e">
        <f>IF(VLOOKUP(CONCATENATE(H206,F206,DG$2),Español!$A:$H,7,FALSE)=U206,1,0)</f>
        <v>#N/A</v>
      </c>
      <c r="DH206" s="138" t="e">
        <f>IF(VLOOKUP(CONCATENATE(H206,F206,DH$2),Español!$A:$H,7,FALSE)=V206,1,0)</f>
        <v>#N/A</v>
      </c>
      <c r="DI206" s="138" t="e">
        <f>IF(VLOOKUP(CONCATENATE(H206,F206,DI$2),Español!$A:$H,7,FALSE)=W206,1,0)</f>
        <v>#N/A</v>
      </c>
      <c r="DJ206" s="138" t="e">
        <f>IF(VLOOKUP(CONCATENATE(H206,F206,DJ$2),Español!$A:$H,7,FALSE)=X206,1,0)</f>
        <v>#N/A</v>
      </c>
      <c r="DK206" s="138" t="e">
        <f>IF(VLOOKUP(CONCATENATE(H206,F206,DK$2),Español!$A:$H,7,FALSE)=Y206,1,0)</f>
        <v>#N/A</v>
      </c>
      <c r="DL206" s="138" t="e">
        <f>IF(VLOOKUP(CONCATENATE(H206,F206,DL$2),Español!$A:$H,7,FALSE)=Z206,1,0)</f>
        <v>#N/A</v>
      </c>
      <c r="DM206" s="138" t="e">
        <f>IF(VLOOKUP(CONCATENATE(H206,F206,DM$2),Español!$A:$H,7,FALSE)=AA206,1,0)</f>
        <v>#N/A</v>
      </c>
      <c r="DN206" s="138" t="e">
        <f>IF(VLOOKUP(CONCATENATE(H206,F206,DN$2),Español!$A:$H,7,FALSE)=AB206,1,0)</f>
        <v>#N/A</v>
      </c>
      <c r="DO206" s="138" t="e">
        <f>IF(VLOOKUP(CONCATENATE(H206,F206,DO$2),Español!$A:$H,7,FALSE)=AC206,1,0)</f>
        <v>#N/A</v>
      </c>
      <c r="DP206" s="138" t="e">
        <f>IF(VLOOKUP(CONCATENATE(H206,F206,DP$2),Español!$A:$H,7,FALSE)=AD206,1,0)</f>
        <v>#N/A</v>
      </c>
      <c r="DQ206" s="138" t="e">
        <f>IF(VLOOKUP(CONCATENATE(H206,F206,DQ$2),Español!$A:$H,7,FALSE)=AE206,1,0)</f>
        <v>#N/A</v>
      </c>
      <c r="DR206" s="138" t="e">
        <f>IF(VLOOKUP(CONCATENATE(H206,F206,DR$2),Inglés!$A:$H,7,FALSE)=AF206,1,0)</f>
        <v>#N/A</v>
      </c>
      <c r="DS206" s="138" t="e">
        <f>IF(VLOOKUP(CONCATENATE(H206,F206,DS$2),Inglés!$A:$H,7,FALSE)=AG206,1,0)</f>
        <v>#N/A</v>
      </c>
      <c r="DT206" s="138" t="e">
        <f>IF(VLOOKUP(CONCATENATE(H206,F206,DT$2),Inglés!$A:$H,7,FALSE)=AH206,1,0)</f>
        <v>#N/A</v>
      </c>
      <c r="DU206" s="138" t="e">
        <f>IF(VLOOKUP(CONCATENATE(H206,F206,DU$2),Inglés!$A:$H,7,FALSE)=AI206,1,0)</f>
        <v>#N/A</v>
      </c>
      <c r="DV206" s="138" t="e">
        <f>IF(VLOOKUP(CONCATENATE(H206,F206,DV$2),Inglés!$A:$H,7,FALSE)=AJ206,1,0)</f>
        <v>#N/A</v>
      </c>
      <c r="DW206" s="138" t="e">
        <f>IF(VLOOKUP(CONCATENATE(H206,F206,DW$2),Inglés!$A:$H,7,FALSE)=AK206,1,0)</f>
        <v>#N/A</v>
      </c>
      <c r="DX206" s="138" t="e">
        <f>IF(VLOOKUP(CONCATENATE(H206,F206,DX$2),Inglés!$A:$H,7,FALSE)=AL206,1,0)</f>
        <v>#N/A</v>
      </c>
      <c r="DY206" s="138" t="e">
        <f>IF(VLOOKUP(CONCATENATE(H206,F206,DY$2),Inglés!$A:$H,7,FALSE)=AM206,1,0)</f>
        <v>#N/A</v>
      </c>
      <c r="DZ206" s="138" t="e">
        <f>IF(VLOOKUP(CONCATENATE(H206,F206,DZ$2),Inglés!$A:$H,7,FALSE)=AN206,1,0)</f>
        <v>#N/A</v>
      </c>
      <c r="EA206" s="138" t="e">
        <f>IF(VLOOKUP(CONCATENATE(H206,F206,EA$2),Inglés!$A:$H,7,FALSE)=AO206,1,0)</f>
        <v>#N/A</v>
      </c>
      <c r="EB206" s="138" t="e">
        <f>IF(VLOOKUP(CONCATENATE(H206,F206,EB$2),Matemáticas!$A:$H,7,FALSE)=AP206,1,0)</f>
        <v>#N/A</v>
      </c>
      <c r="EC206" s="138" t="e">
        <f>IF(VLOOKUP(CONCATENATE(H206,F206,EC$2),Matemáticas!$A:$H,7,FALSE)=AQ206,1,0)</f>
        <v>#N/A</v>
      </c>
      <c r="ED206" s="138" t="e">
        <f>IF(VLOOKUP(CONCATENATE(H206,F206,ED$2),Matemáticas!$A:$H,7,FALSE)=AR206,1,0)</f>
        <v>#N/A</v>
      </c>
      <c r="EE206" s="138" t="e">
        <f>IF(VLOOKUP(CONCATENATE(H206,F206,EE$2),Matemáticas!$A:$H,7,FALSE)=AS206,1,0)</f>
        <v>#N/A</v>
      </c>
      <c r="EF206" s="138" t="e">
        <f>IF(VLOOKUP(CONCATENATE(H206,F206,EF$2),Matemáticas!$A:$H,7,FALSE)=AT206,1,0)</f>
        <v>#N/A</v>
      </c>
      <c r="EG206" s="138" t="e">
        <f>IF(VLOOKUP(CONCATENATE(H206,F206,EG$2),Matemáticas!$A:$H,7,FALSE)=AU206,1,0)</f>
        <v>#N/A</v>
      </c>
      <c r="EH206" s="138" t="e">
        <f>IF(VLOOKUP(CONCATENATE(H206,F206,EH$2),Matemáticas!$A:$H,7,FALSE)=AV206,1,0)</f>
        <v>#N/A</v>
      </c>
      <c r="EI206" s="138" t="e">
        <f>IF(VLOOKUP(CONCATENATE(H206,F206,EI$2),Matemáticas!$A:$H,7,FALSE)=AW206,1,0)</f>
        <v>#N/A</v>
      </c>
      <c r="EJ206" s="138" t="e">
        <f>IF(VLOOKUP(CONCATENATE(H206,F206,EJ$2),Matemáticas!$A:$H,7,FALSE)=AX206,1,0)</f>
        <v>#N/A</v>
      </c>
      <c r="EK206" s="138" t="e">
        <f>IF(VLOOKUP(CONCATENATE(H206,F206,EK$2),Matemáticas!$A:$H,7,FALSE)=AY206,1,0)</f>
        <v>#N/A</v>
      </c>
      <c r="EL206" s="138" t="e">
        <f>IF(VLOOKUP(CONCATENATE(H206,F206,EL$2),Matemáticas!$A:$H,7,FALSE)=AZ206,1,0)</f>
        <v>#N/A</v>
      </c>
      <c r="EM206" s="138" t="e">
        <f>IF(VLOOKUP(CONCATENATE(H206,F206,EM$2),Matemáticas!$A:$H,7,FALSE)=BA206,1,0)</f>
        <v>#N/A</v>
      </c>
      <c r="EN206" s="138" t="e">
        <f>IF(VLOOKUP(CONCATENATE(H206,F206,EN$2),Matemáticas!$A:$H,7,FALSE)=BB206,1,0)</f>
        <v>#N/A</v>
      </c>
      <c r="EO206" s="138" t="e">
        <f>IF(VLOOKUP(CONCATENATE(H206,F206,EO$2),Matemáticas!$A:$H,7,FALSE)=BC206,1,0)</f>
        <v>#N/A</v>
      </c>
      <c r="EP206" s="138" t="e">
        <f>IF(VLOOKUP(CONCATENATE(H206,F206,EP$2),Matemáticas!$A:$H,7,FALSE)=BD206,1,0)</f>
        <v>#N/A</v>
      </c>
      <c r="EQ206" s="138" t="e">
        <f>IF(VLOOKUP(CONCATENATE(H206,F206,EQ$2),Matemáticas!$A:$H,7,FALSE)=BE206,1,0)</f>
        <v>#N/A</v>
      </c>
      <c r="ER206" s="138" t="e">
        <f>IF(VLOOKUP(CONCATENATE(H206,F206,ER$2),Matemáticas!$A:$H,7,FALSE)=BF206,1,0)</f>
        <v>#N/A</v>
      </c>
      <c r="ES206" s="138" t="e">
        <f>IF(VLOOKUP(CONCATENATE(H206,F206,ES$2),Matemáticas!$A:$H,7,FALSE)=BG206,1,0)</f>
        <v>#N/A</v>
      </c>
      <c r="ET206" s="138" t="e">
        <f>IF(VLOOKUP(CONCATENATE(H206,F206,ET$2),Matemáticas!$A:$H,7,FALSE)=BH206,1,0)</f>
        <v>#N/A</v>
      </c>
      <c r="EU206" s="138" t="e">
        <f>IF(VLOOKUP(CONCATENATE(H206,F206,EU$2),Matemáticas!$A:$H,7,FALSE)=BI206,1,0)</f>
        <v>#N/A</v>
      </c>
      <c r="EV206" s="138" t="e">
        <f>IF(VLOOKUP(CONCATENATE(H206,F206,EV$2),Ciencias!$A:$H,7,FALSE)=BJ206,1,0)</f>
        <v>#N/A</v>
      </c>
      <c r="EW206" s="138" t="e">
        <f>IF(VLOOKUP(CONCATENATE(H206,F206,EW$2),Ciencias!$A:$H,7,FALSE)=BK206,1,0)</f>
        <v>#N/A</v>
      </c>
      <c r="EX206" s="138" t="e">
        <f>IF(VLOOKUP(CONCATENATE(H206,F206,EX$2),Ciencias!$A:$H,7,FALSE)=BL206,1,0)</f>
        <v>#N/A</v>
      </c>
      <c r="EY206" s="138" t="e">
        <f>IF(VLOOKUP(CONCATENATE(H206,F206,EY$2),Ciencias!$A:$H,7,FALSE)=BM206,1,0)</f>
        <v>#N/A</v>
      </c>
      <c r="EZ206" s="138" t="e">
        <f>IF(VLOOKUP(CONCATENATE(H206,F206,EZ$2),Ciencias!$A:$H,7,FALSE)=BN206,1,0)</f>
        <v>#N/A</v>
      </c>
      <c r="FA206" s="138" t="e">
        <f>IF(VLOOKUP(CONCATENATE(H206,F206,FA$2),Ciencias!$A:$H,7,FALSE)=BO206,1,0)</f>
        <v>#N/A</v>
      </c>
      <c r="FB206" s="138" t="e">
        <f>IF(VLOOKUP(CONCATENATE(H206,F206,FB$2),Ciencias!$A:$H,7,FALSE)=BP206,1,0)</f>
        <v>#N/A</v>
      </c>
      <c r="FC206" s="138" t="e">
        <f>IF(VLOOKUP(CONCATENATE(H206,F206,FC$2),Ciencias!$A:$H,7,FALSE)=BQ206,1,0)</f>
        <v>#N/A</v>
      </c>
      <c r="FD206" s="138" t="e">
        <f>IF(VLOOKUP(CONCATENATE(H206,F206,FD$2),Ciencias!$A:$H,7,FALSE)=BR206,1,0)</f>
        <v>#N/A</v>
      </c>
      <c r="FE206" s="138" t="e">
        <f>IF(VLOOKUP(CONCATENATE(H206,F206,FE$2),Ciencias!$A:$H,7,FALSE)=BS206,1,0)</f>
        <v>#N/A</v>
      </c>
      <c r="FF206" s="138" t="e">
        <f>IF(VLOOKUP(CONCATENATE(H206,F206,FF$2),Ciencias!$A:$H,7,FALSE)=BT206,1,0)</f>
        <v>#N/A</v>
      </c>
      <c r="FG206" s="138" t="e">
        <f>IF(VLOOKUP(CONCATENATE(H206,F206,FG$2),Ciencias!$A:$H,7,FALSE)=BU206,1,0)</f>
        <v>#N/A</v>
      </c>
      <c r="FH206" s="138" t="e">
        <f>IF(VLOOKUP(CONCATENATE(H206,F206,FH$2),Ciencias!$A:$H,7,FALSE)=BV206,1,0)</f>
        <v>#N/A</v>
      </c>
      <c r="FI206" s="138" t="e">
        <f>IF(VLOOKUP(CONCATENATE(H206,F206,FI$2),Ciencias!$A:$H,7,FALSE)=BW206,1,0)</f>
        <v>#N/A</v>
      </c>
      <c r="FJ206" s="138" t="e">
        <f>IF(VLOOKUP(CONCATENATE(H206,F206,FJ$2),Ciencias!$A:$H,7,FALSE)=BX206,1,0)</f>
        <v>#N/A</v>
      </c>
      <c r="FK206" s="138" t="e">
        <f>IF(VLOOKUP(CONCATENATE(H206,F206,FK$2),Ciencias!$A:$H,7,FALSE)=BY206,1,0)</f>
        <v>#N/A</v>
      </c>
      <c r="FL206" s="138" t="e">
        <f>IF(VLOOKUP(CONCATENATE(H206,F206,FL$2),Ciencias!$A:$H,7,FALSE)=BZ206,1,0)</f>
        <v>#N/A</v>
      </c>
      <c r="FM206" s="138" t="e">
        <f>IF(VLOOKUP(CONCATENATE(H206,F206,FM$2),Ciencias!$A:$H,7,FALSE)=CA206,1,0)</f>
        <v>#N/A</v>
      </c>
      <c r="FN206" s="138" t="e">
        <f>IF(VLOOKUP(CONCATENATE(H206,F206,FN$2),Ciencias!$A:$H,7,FALSE)=CB206,1,0)</f>
        <v>#N/A</v>
      </c>
      <c r="FO206" s="138" t="e">
        <f>IF(VLOOKUP(CONCATENATE(H206,F206,FO$2),Ciencias!$A:$H,7,FALSE)=CC206,1,0)</f>
        <v>#N/A</v>
      </c>
      <c r="FP206" s="138" t="e">
        <f>IF(VLOOKUP(CONCATENATE(H206,F206,FP$2),GeoHis!$A:$H,7,FALSE)=CD206,1,0)</f>
        <v>#N/A</v>
      </c>
      <c r="FQ206" s="138" t="e">
        <f>IF(VLOOKUP(CONCATENATE(H206,F206,FQ$2),GeoHis!$A:$H,7,FALSE)=CE206,1,0)</f>
        <v>#N/A</v>
      </c>
      <c r="FR206" s="138" t="e">
        <f>IF(VLOOKUP(CONCATENATE(H206,F206,FR$2),GeoHis!$A:$H,7,FALSE)=CF206,1,0)</f>
        <v>#N/A</v>
      </c>
      <c r="FS206" s="138" t="e">
        <f>IF(VLOOKUP(CONCATENATE(H206,F206,FS$2),GeoHis!$A:$H,7,FALSE)=CG206,1,0)</f>
        <v>#N/A</v>
      </c>
      <c r="FT206" s="138" t="e">
        <f>IF(VLOOKUP(CONCATENATE(H206,F206,FT$2),GeoHis!$A:$H,7,FALSE)=CH206,1,0)</f>
        <v>#N/A</v>
      </c>
      <c r="FU206" s="138" t="e">
        <f>IF(VLOOKUP(CONCATENATE(H206,F206,FU$2),GeoHis!$A:$H,7,FALSE)=CI206,1,0)</f>
        <v>#N/A</v>
      </c>
      <c r="FV206" s="138" t="e">
        <f>IF(VLOOKUP(CONCATENATE(H206,F206,FV$2),GeoHis!$A:$H,7,FALSE)=CJ206,1,0)</f>
        <v>#N/A</v>
      </c>
      <c r="FW206" s="138" t="e">
        <f>IF(VLOOKUP(CONCATENATE(H206,F206,FW$2),GeoHis!$A:$H,7,FALSE)=CK206,1,0)</f>
        <v>#N/A</v>
      </c>
      <c r="FX206" s="138" t="e">
        <f>IF(VLOOKUP(CONCATENATE(H206,F206,FX$2),GeoHis!$A:$H,7,FALSE)=CL206,1,0)</f>
        <v>#N/A</v>
      </c>
      <c r="FY206" s="138" t="e">
        <f>IF(VLOOKUP(CONCATENATE(H206,F206,FY$2),GeoHis!$A:$H,7,FALSE)=CM206,1,0)</f>
        <v>#N/A</v>
      </c>
      <c r="FZ206" s="138" t="e">
        <f>IF(VLOOKUP(CONCATENATE(H206,F206,FZ$2),GeoHis!$A:$H,7,FALSE)=CN206,1,0)</f>
        <v>#N/A</v>
      </c>
      <c r="GA206" s="138" t="e">
        <f>IF(VLOOKUP(CONCATENATE(H206,F206,GA$2),GeoHis!$A:$H,7,FALSE)=CO206,1,0)</f>
        <v>#N/A</v>
      </c>
      <c r="GB206" s="138" t="e">
        <f>IF(VLOOKUP(CONCATENATE(H206,F206,GB$2),GeoHis!$A:$H,7,FALSE)=CP206,1,0)</f>
        <v>#N/A</v>
      </c>
      <c r="GC206" s="138" t="e">
        <f>IF(VLOOKUP(CONCATENATE(H206,F206,GC$2),GeoHis!$A:$H,7,FALSE)=CQ206,1,0)</f>
        <v>#N/A</v>
      </c>
      <c r="GD206" s="138" t="e">
        <f>IF(VLOOKUP(CONCATENATE(H206,F206,GD$2),GeoHis!$A:$H,7,FALSE)=CR206,1,0)</f>
        <v>#N/A</v>
      </c>
      <c r="GE206" s="135" t="str">
        <f t="shared" si="31"/>
        <v/>
      </c>
    </row>
    <row r="207" spans="1:187" x14ac:dyDescent="0.25">
      <c r="A207" s="127" t="str">
        <f>IF(C207="","",'Datos Generales'!$A$25)</f>
        <v/>
      </c>
      <c r="D207" s="126" t="str">
        <f t="shared" si="24"/>
        <v/>
      </c>
      <c r="E207" s="126">
        <f t="shared" si="25"/>
        <v>0</v>
      </c>
      <c r="F207" s="126" t="str">
        <f t="shared" si="26"/>
        <v/>
      </c>
      <c r="G207" s="126" t="str">
        <f>IF(C207="","",'Datos Generales'!$D$19)</f>
        <v/>
      </c>
      <c r="H207" s="21" t="str">
        <f>IF(C207="","",'Datos Generales'!$A$19)</f>
        <v/>
      </c>
      <c r="I207" s="126" t="str">
        <f>IF(C207="","",'Datos Generales'!$A$7)</f>
        <v/>
      </c>
      <c r="J207" s="21" t="str">
        <f>IF(C207="","",'Datos Generales'!$A$13)</f>
        <v/>
      </c>
      <c r="K207" s="21" t="str">
        <f>IF(C207="","",'Datos Generales'!$A$10)</f>
        <v/>
      </c>
      <c r="CS207" s="142" t="str">
        <f t="shared" si="27"/>
        <v/>
      </c>
      <c r="CT207" s="142" t="str">
        <f t="shared" si="28"/>
        <v/>
      </c>
      <c r="CU207" s="142" t="str">
        <f t="shared" si="29"/>
        <v/>
      </c>
      <c r="CV207" s="142" t="str">
        <f t="shared" si="30"/>
        <v/>
      </c>
      <c r="CW207" s="142" t="str">
        <f>IF(C207="","",IF('Datos Generales'!$A$19=1,AVERAGE(FP207:GD207),AVERAGE(Captura!FP207:FY207)))</f>
        <v/>
      </c>
      <c r="CX207" s="138" t="e">
        <f>IF(VLOOKUP(CONCATENATE($H$4,$F$4,CX$2),Español!$A:$H,7,FALSE)=L207,1,0)</f>
        <v>#N/A</v>
      </c>
      <c r="CY207" s="138" t="e">
        <f>IF(VLOOKUP(CONCATENATE(H207,F207,CY$2),Español!$A:$H,7,FALSE)=M207,1,0)</f>
        <v>#N/A</v>
      </c>
      <c r="CZ207" s="138" t="e">
        <f>IF(VLOOKUP(CONCATENATE(H207,F207,CZ$2),Español!$A:$H,7,FALSE)=N207,1,0)</f>
        <v>#N/A</v>
      </c>
      <c r="DA207" s="138" t="e">
        <f>IF(VLOOKUP(CONCATENATE(H207,F207,DA$2),Español!$A:$H,7,FALSE)=O207,1,0)</f>
        <v>#N/A</v>
      </c>
      <c r="DB207" s="138" t="e">
        <f>IF(VLOOKUP(CONCATENATE(H207,F207,DB$2),Español!$A:$H,7,FALSE)=P207,1,0)</f>
        <v>#N/A</v>
      </c>
      <c r="DC207" s="138" t="e">
        <f>IF(VLOOKUP(CONCATENATE(H207,F207,DC$2),Español!$A:$H,7,FALSE)=Q207,1,0)</f>
        <v>#N/A</v>
      </c>
      <c r="DD207" s="138" t="e">
        <f>IF(VLOOKUP(CONCATENATE(H207,F207,DD$2),Español!$A:$H,7,FALSE)=R207,1,0)</f>
        <v>#N/A</v>
      </c>
      <c r="DE207" s="138" t="e">
        <f>IF(VLOOKUP(CONCATENATE(H207,F207,DE$2),Español!$A:$H,7,FALSE)=S207,1,0)</f>
        <v>#N/A</v>
      </c>
      <c r="DF207" s="138" t="e">
        <f>IF(VLOOKUP(CONCATENATE(H207,F207,DF$2),Español!$A:$H,7,FALSE)=T207,1,0)</f>
        <v>#N/A</v>
      </c>
      <c r="DG207" s="138" t="e">
        <f>IF(VLOOKUP(CONCATENATE(H207,F207,DG$2),Español!$A:$H,7,FALSE)=U207,1,0)</f>
        <v>#N/A</v>
      </c>
      <c r="DH207" s="138" t="e">
        <f>IF(VLOOKUP(CONCATENATE(H207,F207,DH$2),Español!$A:$H,7,FALSE)=V207,1,0)</f>
        <v>#N/A</v>
      </c>
      <c r="DI207" s="138" t="e">
        <f>IF(VLOOKUP(CONCATENATE(H207,F207,DI$2),Español!$A:$H,7,FALSE)=W207,1,0)</f>
        <v>#N/A</v>
      </c>
      <c r="DJ207" s="138" t="e">
        <f>IF(VLOOKUP(CONCATENATE(H207,F207,DJ$2),Español!$A:$H,7,FALSE)=X207,1,0)</f>
        <v>#N/A</v>
      </c>
      <c r="DK207" s="138" t="e">
        <f>IF(VLOOKUP(CONCATENATE(H207,F207,DK$2),Español!$A:$H,7,FALSE)=Y207,1,0)</f>
        <v>#N/A</v>
      </c>
      <c r="DL207" s="138" t="e">
        <f>IF(VLOOKUP(CONCATENATE(H207,F207,DL$2),Español!$A:$H,7,FALSE)=Z207,1,0)</f>
        <v>#N/A</v>
      </c>
      <c r="DM207" s="138" t="e">
        <f>IF(VLOOKUP(CONCATENATE(H207,F207,DM$2),Español!$A:$H,7,FALSE)=AA207,1,0)</f>
        <v>#N/A</v>
      </c>
      <c r="DN207" s="138" t="e">
        <f>IF(VLOOKUP(CONCATENATE(H207,F207,DN$2),Español!$A:$H,7,FALSE)=AB207,1,0)</f>
        <v>#N/A</v>
      </c>
      <c r="DO207" s="138" t="e">
        <f>IF(VLOOKUP(CONCATENATE(H207,F207,DO$2),Español!$A:$H,7,FALSE)=AC207,1,0)</f>
        <v>#N/A</v>
      </c>
      <c r="DP207" s="138" t="e">
        <f>IF(VLOOKUP(CONCATENATE(H207,F207,DP$2),Español!$A:$H,7,FALSE)=AD207,1,0)</f>
        <v>#N/A</v>
      </c>
      <c r="DQ207" s="138" t="e">
        <f>IF(VLOOKUP(CONCATENATE(H207,F207,DQ$2),Español!$A:$H,7,FALSE)=AE207,1,0)</f>
        <v>#N/A</v>
      </c>
      <c r="DR207" s="138" t="e">
        <f>IF(VLOOKUP(CONCATENATE(H207,F207,DR$2),Inglés!$A:$H,7,FALSE)=AF207,1,0)</f>
        <v>#N/A</v>
      </c>
      <c r="DS207" s="138" t="e">
        <f>IF(VLOOKUP(CONCATENATE(H207,F207,DS$2),Inglés!$A:$H,7,FALSE)=AG207,1,0)</f>
        <v>#N/A</v>
      </c>
      <c r="DT207" s="138" t="e">
        <f>IF(VLOOKUP(CONCATENATE(H207,F207,DT$2),Inglés!$A:$H,7,FALSE)=AH207,1,0)</f>
        <v>#N/A</v>
      </c>
      <c r="DU207" s="138" t="e">
        <f>IF(VLOOKUP(CONCATENATE(H207,F207,DU$2),Inglés!$A:$H,7,FALSE)=AI207,1,0)</f>
        <v>#N/A</v>
      </c>
      <c r="DV207" s="138" t="e">
        <f>IF(VLOOKUP(CONCATENATE(H207,F207,DV$2),Inglés!$A:$H,7,FALSE)=AJ207,1,0)</f>
        <v>#N/A</v>
      </c>
      <c r="DW207" s="138" t="e">
        <f>IF(VLOOKUP(CONCATENATE(H207,F207,DW$2),Inglés!$A:$H,7,FALSE)=AK207,1,0)</f>
        <v>#N/A</v>
      </c>
      <c r="DX207" s="138" t="e">
        <f>IF(VLOOKUP(CONCATENATE(H207,F207,DX$2),Inglés!$A:$H,7,FALSE)=AL207,1,0)</f>
        <v>#N/A</v>
      </c>
      <c r="DY207" s="138" t="e">
        <f>IF(VLOOKUP(CONCATENATE(H207,F207,DY$2),Inglés!$A:$H,7,FALSE)=AM207,1,0)</f>
        <v>#N/A</v>
      </c>
      <c r="DZ207" s="138" t="e">
        <f>IF(VLOOKUP(CONCATENATE(H207,F207,DZ$2),Inglés!$A:$H,7,FALSE)=AN207,1,0)</f>
        <v>#N/A</v>
      </c>
      <c r="EA207" s="138" t="e">
        <f>IF(VLOOKUP(CONCATENATE(H207,F207,EA$2),Inglés!$A:$H,7,FALSE)=AO207,1,0)</f>
        <v>#N/A</v>
      </c>
      <c r="EB207" s="138" t="e">
        <f>IF(VLOOKUP(CONCATENATE(H207,F207,EB$2),Matemáticas!$A:$H,7,FALSE)=AP207,1,0)</f>
        <v>#N/A</v>
      </c>
      <c r="EC207" s="138" t="e">
        <f>IF(VLOOKUP(CONCATENATE(H207,F207,EC$2),Matemáticas!$A:$H,7,FALSE)=AQ207,1,0)</f>
        <v>#N/A</v>
      </c>
      <c r="ED207" s="138" t="e">
        <f>IF(VLOOKUP(CONCATENATE(H207,F207,ED$2),Matemáticas!$A:$H,7,FALSE)=AR207,1,0)</f>
        <v>#N/A</v>
      </c>
      <c r="EE207" s="138" t="e">
        <f>IF(VLOOKUP(CONCATENATE(H207,F207,EE$2),Matemáticas!$A:$H,7,FALSE)=AS207,1,0)</f>
        <v>#N/A</v>
      </c>
      <c r="EF207" s="138" t="e">
        <f>IF(VLOOKUP(CONCATENATE(H207,F207,EF$2),Matemáticas!$A:$H,7,FALSE)=AT207,1,0)</f>
        <v>#N/A</v>
      </c>
      <c r="EG207" s="138" t="e">
        <f>IF(VLOOKUP(CONCATENATE(H207,F207,EG$2),Matemáticas!$A:$H,7,FALSE)=AU207,1,0)</f>
        <v>#N/A</v>
      </c>
      <c r="EH207" s="138" t="e">
        <f>IF(VLOOKUP(CONCATENATE(H207,F207,EH$2),Matemáticas!$A:$H,7,FALSE)=AV207,1,0)</f>
        <v>#N/A</v>
      </c>
      <c r="EI207" s="138" t="e">
        <f>IF(VLOOKUP(CONCATENATE(H207,F207,EI$2),Matemáticas!$A:$H,7,FALSE)=AW207,1,0)</f>
        <v>#N/A</v>
      </c>
      <c r="EJ207" s="138" t="e">
        <f>IF(VLOOKUP(CONCATENATE(H207,F207,EJ$2),Matemáticas!$A:$H,7,FALSE)=AX207,1,0)</f>
        <v>#N/A</v>
      </c>
      <c r="EK207" s="138" t="e">
        <f>IF(VLOOKUP(CONCATENATE(H207,F207,EK$2),Matemáticas!$A:$H,7,FALSE)=AY207,1,0)</f>
        <v>#N/A</v>
      </c>
      <c r="EL207" s="138" t="e">
        <f>IF(VLOOKUP(CONCATENATE(H207,F207,EL$2),Matemáticas!$A:$H,7,FALSE)=AZ207,1,0)</f>
        <v>#N/A</v>
      </c>
      <c r="EM207" s="138" t="e">
        <f>IF(VLOOKUP(CONCATENATE(H207,F207,EM$2),Matemáticas!$A:$H,7,FALSE)=BA207,1,0)</f>
        <v>#N/A</v>
      </c>
      <c r="EN207" s="138" t="e">
        <f>IF(VLOOKUP(CONCATENATE(H207,F207,EN$2),Matemáticas!$A:$H,7,FALSE)=BB207,1,0)</f>
        <v>#N/A</v>
      </c>
      <c r="EO207" s="138" t="e">
        <f>IF(VLOOKUP(CONCATENATE(H207,F207,EO$2),Matemáticas!$A:$H,7,FALSE)=BC207,1,0)</f>
        <v>#N/A</v>
      </c>
      <c r="EP207" s="138" t="e">
        <f>IF(VLOOKUP(CONCATENATE(H207,F207,EP$2),Matemáticas!$A:$H,7,FALSE)=BD207,1,0)</f>
        <v>#N/A</v>
      </c>
      <c r="EQ207" s="138" t="e">
        <f>IF(VLOOKUP(CONCATENATE(H207,F207,EQ$2),Matemáticas!$A:$H,7,FALSE)=BE207,1,0)</f>
        <v>#N/A</v>
      </c>
      <c r="ER207" s="138" t="e">
        <f>IF(VLOOKUP(CONCATENATE(H207,F207,ER$2),Matemáticas!$A:$H,7,FALSE)=BF207,1,0)</f>
        <v>#N/A</v>
      </c>
      <c r="ES207" s="138" t="e">
        <f>IF(VLOOKUP(CONCATENATE(H207,F207,ES$2),Matemáticas!$A:$H,7,FALSE)=BG207,1,0)</f>
        <v>#N/A</v>
      </c>
      <c r="ET207" s="138" t="e">
        <f>IF(VLOOKUP(CONCATENATE(H207,F207,ET$2),Matemáticas!$A:$H,7,FALSE)=BH207,1,0)</f>
        <v>#N/A</v>
      </c>
      <c r="EU207" s="138" t="e">
        <f>IF(VLOOKUP(CONCATENATE(H207,F207,EU$2),Matemáticas!$A:$H,7,FALSE)=BI207,1,0)</f>
        <v>#N/A</v>
      </c>
      <c r="EV207" s="138" t="e">
        <f>IF(VLOOKUP(CONCATENATE(H207,F207,EV$2),Ciencias!$A:$H,7,FALSE)=BJ207,1,0)</f>
        <v>#N/A</v>
      </c>
      <c r="EW207" s="138" t="e">
        <f>IF(VLOOKUP(CONCATENATE(H207,F207,EW$2),Ciencias!$A:$H,7,FALSE)=BK207,1,0)</f>
        <v>#N/A</v>
      </c>
      <c r="EX207" s="138" t="e">
        <f>IF(VLOOKUP(CONCATENATE(H207,F207,EX$2),Ciencias!$A:$H,7,FALSE)=BL207,1,0)</f>
        <v>#N/A</v>
      </c>
      <c r="EY207" s="138" t="e">
        <f>IF(VLOOKUP(CONCATENATE(H207,F207,EY$2),Ciencias!$A:$H,7,FALSE)=BM207,1,0)</f>
        <v>#N/A</v>
      </c>
      <c r="EZ207" s="138" t="e">
        <f>IF(VLOOKUP(CONCATENATE(H207,F207,EZ$2),Ciencias!$A:$H,7,FALSE)=BN207,1,0)</f>
        <v>#N/A</v>
      </c>
      <c r="FA207" s="138" t="e">
        <f>IF(VLOOKUP(CONCATENATE(H207,F207,FA$2),Ciencias!$A:$H,7,FALSE)=BO207,1,0)</f>
        <v>#N/A</v>
      </c>
      <c r="FB207" s="138" t="e">
        <f>IF(VLOOKUP(CONCATENATE(H207,F207,FB$2),Ciencias!$A:$H,7,FALSE)=BP207,1,0)</f>
        <v>#N/A</v>
      </c>
      <c r="FC207" s="138" t="e">
        <f>IF(VLOOKUP(CONCATENATE(H207,F207,FC$2),Ciencias!$A:$H,7,FALSE)=BQ207,1,0)</f>
        <v>#N/A</v>
      </c>
      <c r="FD207" s="138" t="e">
        <f>IF(VLOOKUP(CONCATENATE(H207,F207,FD$2),Ciencias!$A:$H,7,FALSE)=BR207,1,0)</f>
        <v>#N/A</v>
      </c>
      <c r="FE207" s="138" t="e">
        <f>IF(VLOOKUP(CONCATENATE(H207,F207,FE$2),Ciencias!$A:$H,7,FALSE)=BS207,1,0)</f>
        <v>#N/A</v>
      </c>
      <c r="FF207" s="138" t="e">
        <f>IF(VLOOKUP(CONCATENATE(H207,F207,FF$2),Ciencias!$A:$H,7,FALSE)=BT207,1,0)</f>
        <v>#N/A</v>
      </c>
      <c r="FG207" s="138" t="e">
        <f>IF(VLOOKUP(CONCATENATE(H207,F207,FG$2),Ciencias!$A:$H,7,FALSE)=BU207,1,0)</f>
        <v>#N/A</v>
      </c>
      <c r="FH207" s="138" t="e">
        <f>IF(VLOOKUP(CONCATENATE(H207,F207,FH$2),Ciencias!$A:$H,7,FALSE)=BV207,1,0)</f>
        <v>#N/A</v>
      </c>
      <c r="FI207" s="138" t="e">
        <f>IF(VLOOKUP(CONCATENATE(H207,F207,FI$2),Ciencias!$A:$H,7,FALSE)=BW207,1,0)</f>
        <v>#N/A</v>
      </c>
      <c r="FJ207" s="138" t="e">
        <f>IF(VLOOKUP(CONCATENATE(H207,F207,FJ$2),Ciencias!$A:$H,7,FALSE)=BX207,1,0)</f>
        <v>#N/A</v>
      </c>
      <c r="FK207" s="138" t="e">
        <f>IF(VLOOKUP(CONCATENATE(H207,F207,FK$2),Ciencias!$A:$H,7,FALSE)=BY207,1,0)</f>
        <v>#N/A</v>
      </c>
      <c r="FL207" s="138" t="e">
        <f>IF(VLOOKUP(CONCATENATE(H207,F207,FL$2),Ciencias!$A:$H,7,FALSE)=BZ207,1,0)</f>
        <v>#N/A</v>
      </c>
      <c r="FM207" s="138" t="e">
        <f>IF(VLOOKUP(CONCATENATE(H207,F207,FM$2),Ciencias!$A:$H,7,FALSE)=CA207,1,0)</f>
        <v>#N/A</v>
      </c>
      <c r="FN207" s="138" t="e">
        <f>IF(VLOOKUP(CONCATENATE(H207,F207,FN$2),Ciencias!$A:$H,7,FALSE)=CB207,1,0)</f>
        <v>#N/A</v>
      </c>
      <c r="FO207" s="138" t="e">
        <f>IF(VLOOKUP(CONCATENATE(H207,F207,FO$2),Ciencias!$A:$H,7,FALSE)=CC207,1,0)</f>
        <v>#N/A</v>
      </c>
      <c r="FP207" s="138" t="e">
        <f>IF(VLOOKUP(CONCATENATE(H207,F207,FP$2),GeoHis!$A:$H,7,FALSE)=CD207,1,0)</f>
        <v>#N/A</v>
      </c>
      <c r="FQ207" s="138" t="e">
        <f>IF(VLOOKUP(CONCATENATE(H207,F207,FQ$2),GeoHis!$A:$H,7,FALSE)=CE207,1,0)</f>
        <v>#N/A</v>
      </c>
      <c r="FR207" s="138" t="e">
        <f>IF(VLOOKUP(CONCATENATE(H207,F207,FR$2),GeoHis!$A:$H,7,FALSE)=CF207,1,0)</f>
        <v>#N/A</v>
      </c>
      <c r="FS207" s="138" t="e">
        <f>IF(VLOOKUP(CONCATENATE(H207,F207,FS$2),GeoHis!$A:$H,7,FALSE)=CG207,1,0)</f>
        <v>#N/A</v>
      </c>
      <c r="FT207" s="138" t="e">
        <f>IF(VLOOKUP(CONCATENATE(H207,F207,FT$2),GeoHis!$A:$H,7,FALSE)=CH207,1,0)</f>
        <v>#N/A</v>
      </c>
      <c r="FU207" s="138" t="e">
        <f>IF(VLOOKUP(CONCATENATE(H207,F207,FU$2),GeoHis!$A:$H,7,FALSE)=CI207,1,0)</f>
        <v>#N/A</v>
      </c>
      <c r="FV207" s="138" t="e">
        <f>IF(VLOOKUP(CONCATENATE(H207,F207,FV$2),GeoHis!$A:$H,7,FALSE)=CJ207,1,0)</f>
        <v>#N/A</v>
      </c>
      <c r="FW207" s="138" t="e">
        <f>IF(VLOOKUP(CONCATENATE(H207,F207,FW$2),GeoHis!$A:$H,7,FALSE)=CK207,1,0)</f>
        <v>#N/A</v>
      </c>
      <c r="FX207" s="138" t="e">
        <f>IF(VLOOKUP(CONCATENATE(H207,F207,FX$2),GeoHis!$A:$H,7,FALSE)=CL207,1,0)</f>
        <v>#N/A</v>
      </c>
      <c r="FY207" s="138" t="e">
        <f>IF(VLOOKUP(CONCATENATE(H207,F207,FY$2),GeoHis!$A:$H,7,FALSE)=CM207,1,0)</f>
        <v>#N/A</v>
      </c>
      <c r="FZ207" s="138" t="e">
        <f>IF(VLOOKUP(CONCATENATE(H207,F207,FZ$2),GeoHis!$A:$H,7,FALSE)=CN207,1,0)</f>
        <v>#N/A</v>
      </c>
      <c r="GA207" s="138" t="e">
        <f>IF(VLOOKUP(CONCATENATE(H207,F207,GA$2),GeoHis!$A:$H,7,FALSE)=CO207,1,0)</f>
        <v>#N/A</v>
      </c>
      <c r="GB207" s="138" t="e">
        <f>IF(VLOOKUP(CONCATENATE(H207,F207,GB$2),GeoHis!$A:$H,7,FALSE)=CP207,1,0)</f>
        <v>#N/A</v>
      </c>
      <c r="GC207" s="138" t="e">
        <f>IF(VLOOKUP(CONCATENATE(H207,F207,GC$2),GeoHis!$A:$H,7,FALSE)=CQ207,1,0)</f>
        <v>#N/A</v>
      </c>
      <c r="GD207" s="138" t="e">
        <f>IF(VLOOKUP(CONCATENATE(H207,F207,GD$2),GeoHis!$A:$H,7,FALSE)=CR207,1,0)</f>
        <v>#N/A</v>
      </c>
      <c r="GE207" s="135" t="str">
        <f t="shared" si="31"/>
        <v/>
      </c>
    </row>
    <row r="208" spans="1:187" x14ac:dyDescent="0.25">
      <c r="A208" s="127" t="str">
        <f>IF(C208="","",'Datos Generales'!$A$25)</f>
        <v/>
      </c>
      <c r="D208" s="126" t="str">
        <f t="shared" si="24"/>
        <v/>
      </c>
      <c r="E208" s="126">
        <f t="shared" si="25"/>
        <v>0</v>
      </c>
      <c r="F208" s="126" t="str">
        <f t="shared" si="26"/>
        <v/>
      </c>
      <c r="G208" s="126" t="str">
        <f>IF(C208="","",'Datos Generales'!$D$19)</f>
        <v/>
      </c>
      <c r="H208" s="21" t="str">
        <f>IF(C208="","",'Datos Generales'!$A$19)</f>
        <v/>
      </c>
      <c r="I208" s="126" t="str">
        <f>IF(C208="","",'Datos Generales'!$A$7)</f>
        <v/>
      </c>
      <c r="J208" s="21" t="str">
        <f>IF(C208="","",'Datos Generales'!$A$13)</f>
        <v/>
      </c>
      <c r="K208" s="21" t="str">
        <f>IF(C208="","",'Datos Generales'!$A$10)</f>
        <v/>
      </c>
      <c r="CS208" s="142" t="str">
        <f t="shared" si="27"/>
        <v/>
      </c>
      <c r="CT208" s="142" t="str">
        <f t="shared" si="28"/>
        <v/>
      </c>
      <c r="CU208" s="142" t="str">
        <f t="shared" si="29"/>
        <v/>
      </c>
      <c r="CV208" s="142" t="str">
        <f t="shared" si="30"/>
        <v/>
      </c>
      <c r="CW208" s="142" t="str">
        <f>IF(C208="","",IF('Datos Generales'!$A$19=1,AVERAGE(FP208:GD208),AVERAGE(Captura!FP208:FY208)))</f>
        <v/>
      </c>
      <c r="CX208" s="138" t="e">
        <f>IF(VLOOKUP(CONCATENATE($H$4,$F$4,CX$2),Español!$A:$H,7,FALSE)=L208,1,0)</f>
        <v>#N/A</v>
      </c>
      <c r="CY208" s="138" t="e">
        <f>IF(VLOOKUP(CONCATENATE(H208,F208,CY$2),Español!$A:$H,7,FALSE)=M208,1,0)</f>
        <v>#N/A</v>
      </c>
      <c r="CZ208" s="138" t="e">
        <f>IF(VLOOKUP(CONCATENATE(H208,F208,CZ$2),Español!$A:$H,7,FALSE)=N208,1,0)</f>
        <v>#N/A</v>
      </c>
      <c r="DA208" s="138" t="e">
        <f>IF(VLOOKUP(CONCATENATE(H208,F208,DA$2),Español!$A:$H,7,FALSE)=O208,1,0)</f>
        <v>#N/A</v>
      </c>
      <c r="DB208" s="138" t="e">
        <f>IF(VLOOKUP(CONCATENATE(H208,F208,DB$2),Español!$A:$H,7,FALSE)=P208,1,0)</f>
        <v>#N/A</v>
      </c>
      <c r="DC208" s="138" t="e">
        <f>IF(VLOOKUP(CONCATENATE(H208,F208,DC$2),Español!$A:$H,7,FALSE)=Q208,1,0)</f>
        <v>#N/A</v>
      </c>
      <c r="DD208" s="138" t="e">
        <f>IF(VLOOKUP(CONCATENATE(H208,F208,DD$2),Español!$A:$H,7,FALSE)=R208,1,0)</f>
        <v>#N/A</v>
      </c>
      <c r="DE208" s="138" t="e">
        <f>IF(VLOOKUP(CONCATENATE(H208,F208,DE$2),Español!$A:$H,7,FALSE)=S208,1,0)</f>
        <v>#N/A</v>
      </c>
      <c r="DF208" s="138" t="e">
        <f>IF(VLOOKUP(CONCATENATE(H208,F208,DF$2),Español!$A:$H,7,FALSE)=T208,1,0)</f>
        <v>#N/A</v>
      </c>
      <c r="DG208" s="138" t="e">
        <f>IF(VLOOKUP(CONCATENATE(H208,F208,DG$2),Español!$A:$H,7,FALSE)=U208,1,0)</f>
        <v>#N/A</v>
      </c>
      <c r="DH208" s="138" t="e">
        <f>IF(VLOOKUP(CONCATENATE(H208,F208,DH$2),Español!$A:$H,7,FALSE)=V208,1,0)</f>
        <v>#N/A</v>
      </c>
      <c r="DI208" s="138" t="e">
        <f>IF(VLOOKUP(CONCATENATE(H208,F208,DI$2),Español!$A:$H,7,FALSE)=W208,1,0)</f>
        <v>#N/A</v>
      </c>
      <c r="DJ208" s="138" t="e">
        <f>IF(VLOOKUP(CONCATENATE(H208,F208,DJ$2),Español!$A:$H,7,FALSE)=X208,1,0)</f>
        <v>#N/A</v>
      </c>
      <c r="DK208" s="138" t="e">
        <f>IF(VLOOKUP(CONCATENATE(H208,F208,DK$2),Español!$A:$H,7,FALSE)=Y208,1,0)</f>
        <v>#N/A</v>
      </c>
      <c r="DL208" s="138" t="e">
        <f>IF(VLOOKUP(CONCATENATE(H208,F208,DL$2),Español!$A:$H,7,FALSE)=Z208,1,0)</f>
        <v>#N/A</v>
      </c>
      <c r="DM208" s="138" t="e">
        <f>IF(VLOOKUP(CONCATENATE(H208,F208,DM$2),Español!$A:$H,7,FALSE)=AA208,1,0)</f>
        <v>#N/A</v>
      </c>
      <c r="DN208" s="138" t="e">
        <f>IF(VLOOKUP(CONCATENATE(H208,F208,DN$2),Español!$A:$H,7,FALSE)=AB208,1,0)</f>
        <v>#N/A</v>
      </c>
      <c r="DO208" s="138" t="e">
        <f>IF(VLOOKUP(CONCATENATE(H208,F208,DO$2),Español!$A:$H,7,FALSE)=AC208,1,0)</f>
        <v>#N/A</v>
      </c>
      <c r="DP208" s="138" t="e">
        <f>IF(VLOOKUP(CONCATENATE(H208,F208,DP$2),Español!$A:$H,7,FALSE)=AD208,1,0)</f>
        <v>#N/A</v>
      </c>
      <c r="DQ208" s="138" t="e">
        <f>IF(VLOOKUP(CONCATENATE(H208,F208,DQ$2),Español!$A:$H,7,FALSE)=AE208,1,0)</f>
        <v>#N/A</v>
      </c>
      <c r="DR208" s="138" t="e">
        <f>IF(VLOOKUP(CONCATENATE(H208,F208,DR$2),Inglés!$A:$H,7,FALSE)=AF208,1,0)</f>
        <v>#N/A</v>
      </c>
      <c r="DS208" s="138" t="e">
        <f>IF(VLOOKUP(CONCATENATE(H208,F208,DS$2),Inglés!$A:$H,7,FALSE)=AG208,1,0)</f>
        <v>#N/A</v>
      </c>
      <c r="DT208" s="138" t="e">
        <f>IF(VLOOKUP(CONCATENATE(H208,F208,DT$2),Inglés!$A:$H,7,FALSE)=AH208,1,0)</f>
        <v>#N/A</v>
      </c>
      <c r="DU208" s="138" t="e">
        <f>IF(VLOOKUP(CONCATENATE(H208,F208,DU$2),Inglés!$A:$H,7,FALSE)=AI208,1,0)</f>
        <v>#N/A</v>
      </c>
      <c r="DV208" s="138" t="e">
        <f>IF(VLOOKUP(CONCATENATE(H208,F208,DV$2),Inglés!$A:$H,7,FALSE)=AJ208,1,0)</f>
        <v>#N/A</v>
      </c>
      <c r="DW208" s="138" t="e">
        <f>IF(VLOOKUP(CONCATENATE(H208,F208,DW$2),Inglés!$A:$H,7,FALSE)=AK208,1,0)</f>
        <v>#N/A</v>
      </c>
      <c r="DX208" s="138" t="e">
        <f>IF(VLOOKUP(CONCATENATE(H208,F208,DX$2),Inglés!$A:$H,7,FALSE)=AL208,1,0)</f>
        <v>#N/A</v>
      </c>
      <c r="DY208" s="138" t="e">
        <f>IF(VLOOKUP(CONCATENATE(H208,F208,DY$2),Inglés!$A:$H,7,FALSE)=AM208,1,0)</f>
        <v>#N/A</v>
      </c>
      <c r="DZ208" s="138" t="e">
        <f>IF(VLOOKUP(CONCATENATE(H208,F208,DZ$2),Inglés!$A:$H,7,FALSE)=AN208,1,0)</f>
        <v>#N/A</v>
      </c>
      <c r="EA208" s="138" t="e">
        <f>IF(VLOOKUP(CONCATENATE(H208,F208,EA$2),Inglés!$A:$H,7,FALSE)=AO208,1,0)</f>
        <v>#N/A</v>
      </c>
      <c r="EB208" s="138" t="e">
        <f>IF(VLOOKUP(CONCATENATE(H208,F208,EB$2),Matemáticas!$A:$H,7,FALSE)=AP208,1,0)</f>
        <v>#N/A</v>
      </c>
      <c r="EC208" s="138" t="e">
        <f>IF(VLOOKUP(CONCATENATE(H208,F208,EC$2),Matemáticas!$A:$H,7,FALSE)=AQ208,1,0)</f>
        <v>#N/A</v>
      </c>
      <c r="ED208" s="138" t="e">
        <f>IF(VLOOKUP(CONCATENATE(H208,F208,ED$2),Matemáticas!$A:$H,7,FALSE)=AR208,1,0)</f>
        <v>#N/A</v>
      </c>
      <c r="EE208" s="138" t="e">
        <f>IF(VLOOKUP(CONCATENATE(H208,F208,EE$2),Matemáticas!$A:$H,7,FALSE)=AS208,1,0)</f>
        <v>#N/A</v>
      </c>
      <c r="EF208" s="138" t="e">
        <f>IF(VLOOKUP(CONCATENATE(H208,F208,EF$2),Matemáticas!$A:$H,7,FALSE)=AT208,1,0)</f>
        <v>#N/A</v>
      </c>
      <c r="EG208" s="138" t="e">
        <f>IF(VLOOKUP(CONCATENATE(H208,F208,EG$2),Matemáticas!$A:$H,7,FALSE)=AU208,1,0)</f>
        <v>#N/A</v>
      </c>
      <c r="EH208" s="138" t="e">
        <f>IF(VLOOKUP(CONCATENATE(H208,F208,EH$2),Matemáticas!$A:$H,7,FALSE)=AV208,1,0)</f>
        <v>#N/A</v>
      </c>
      <c r="EI208" s="138" t="e">
        <f>IF(VLOOKUP(CONCATENATE(H208,F208,EI$2),Matemáticas!$A:$H,7,FALSE)=AW208,1,0)</f>
        <v>#N/A</v>
      </c>
      <c r="EJ208" s="138" t="e">
        <f>IF(VLOOKUP(CONCATENATE(H208,F208,EJ$2),Matemáticas!$A:$H,7,FALSE)=AX208,1,0)</f>
        <v>#N/A</v>
      </c>
      <c r="EK208" s="138" t="e">
        <f>IF(VLOOKUP(CONCATENATE(H208,F208,EK$2),Matemáticas!$A:$H,7,FALSE)=AY208,1,0)</f>
        <v>#N/A</v>
      </c>
      <c r="EL208" s="138" t="e">
        <f>IF(VLOOKUP(CONCATENATE(H208,F208,EL$2),Matemáticas!$A:$H,7,FALSE)=AZ208,1,0)</f>
        <v>#N/A</v>
      </c>
      <c r="EM208" s="138" t="e">
        <f>IF(VLOOKUP(CONCATENATE(H208,F208,EM$2),Matemáticas!$A:$H,7,FALSE)=BA208,1,0)</f>
        <v>#N/A</v>
      </c>
      <c r="EN208" s="138" t="e">
        <f>IF(VLOOKUP(CONCATENATE(H208,F208,EN$2),Matemáticas!$A:$H,7,FALSE)=BB208,1,0)</f>
        <v>#N/A</v>
      </c>
      <c r="EO208" s="138" t="e">
        <f>IF(VLOOKUP(CONCATENATE(H208,F208,EO$2),Matemáticas!$A:$H,7,FALSE)=BC208,1,0)</f>
        <v>#N/A</v>
      </c>
      <c r="EP208" s="138" t="e">
        <f>IF(VLOOKUP(CONCATENATE(H208,F208,EP$2),Matemáticas!$A:$H,7,FALSE)=BD208,1,0)</f>
        <v>#N/A</v>
      </c>
      <c r="EQ208" s="138" t="e">
        <f>IF(VLOOKUP(CONCATENATE(H208,F208,EQ$2),Matemáticas!$A:$H,7,FALSE)=BE208,1,0)</f>
        <v>#N/A</v>
      </c>
      <c r="ER208" s="138" t="e">
        <f>IF(VLOOKUP(CONCATENATE(H208,F208,ER$2),Matemáticas!$A:$H,7,FALSE)=BF208,1,0)</f>
        <v>#N/A</v>
      </c>
      <c r="ES208" s="138" t="e">
        <f>IF(VLOOKUP(CONCATENATE(H208,F208,ES$2),Matemáticas!$A:$H,7,FALSE)=BG208,1,0)</f>
        <v>#N/A</v>
      </c>
      <c r="ET208" s="138" t="e">
        <f>IF(VLOOKUP(CONCATENATE(H208,F208,ET$2),Matemáticas!$A:$H,7,FALSE)=BH208,1,0)</f>
        <v>#N/A</v>
      </c>
      <c r="EU208" s="138" t="e">
        <f>IF(VLOOKUP(CONCATENATE(H208,F208,EU$2),Matemáticas!$A:$H,7,FALSE)=BI208,1,0)</f>
        <v>#N/A</v>
      </c>
      <c r="EV208" s="138" t="e">
        <f>IF(VLOOKUP(CONCATENATE(H208,F208,EV$2),Ciencias!$A:$H,7,FALSE)=BJ208,1,0)</f>
        <v>#N/A</v>
      </c>
      <c r="EW208" s="138" t="e">
        <f>IF(VLOOKUP(CONCATENATE(H208,F208,EW$2),Ciencias!$A:$H,7,FALSE)=BK208,1,0)</f>
        <v>#N/A</v>
      </c>
      <c r="EX208" s="138" t="e">
        <f>IF(VLOOKUP(CONCATENATE(H208,F208,EX$2),Ciencias!$A:$H,7,FALSE)=BL208,1,0)</f>
        <v>#N/A</v>
      </c>
      <c r="EY208" s="138" t="e">
        <f>IF(VLOOKUP(CONCATENATE(H208,F208,EY$2),Ciencias!$A:$H,7,FALSE)=BM208,1,0)</f>
        <v>#N/A</v>
      </c>
      <c r="EZ208" s="138" t="e">
        <f>IF(VLOOKUP(CONCATENATE(H208,F208,EZ$2),Ciencias!$A:$H,7,FALSE)=BN208,1,0)</f>
        <v>#N/A</v>
      </c>
      <c r="FA208" s="138" t="e">
        <f>IF(VLOOKUP(CONCATENATE(H208,F208,FA$2),Ciencias!$A:$H,7,FALSE)=BO208,1,0)</f>
        <v>#N/A</v>
      </c>
      <c r="FB208" s="138" t="e">
        <f>IF(VLOOKUP(CONCATENATE(H208,F208,FB$2),Ciencias!$A:$H,7,FALSE)=BP208,1,0)</f>
        <v>#N/A</v>
      </c>
      <c r="FC208" s="138" t="e">
        <f>IF(VLOOKUP(CONCATENATE(H208,F208,FC$2),Ciencias!$A:$H,7,FALSE)=BQ208,1,0)</f>
        <v>#N/A</v>
      </c>
      <c r="FD208" s="138" t="e">
        <f>IF(VLOOKUP(CONCATENATE(H208,F208,FD$2),Ciencias!$A:$H,7,FALSE)=BR208,1,0)</f>
        <v>#N/A</v>
      </c>
      <c r="FE208" s="138" t="e">
        <f>IF(VLOOKUP(CONCATENATE(H208,F208,FE$2),Ciencias!$A:$H,7,FALSE)=BS208,1,0)</f>
        <v>#N/A</v>
      </c>
      <c r="FF208" s="138" t="e">
        <f>IF(VLOOKUP(CONCATENATE(H208,F208,FF$2),Ciencias!$A:$H,7,FALSE)=BT208,1,0)</f>
        <v>#N/A</v>
      </c>
      <c r="FG208" s="138" t="e">
        <f>IF(VLOOKUP(CONCATENATE(H208,F208,FG$2),Ciencias!$A:$H,7,FALSE)=BU208,1,0)</f>
        <v>#N/A</v>
      </c>
      <c r="FH208" s="138" t="e">
        <f>IF(VLOOKUP(CONCATENATE(H208,F208,FH$2),Ciencias!$A:$H,7,FALSE)=BV208,1,0)</f>
        <v>#N/A</v>
      </c>
      <c r="FI208" s="138" t="e">
        <f>IF(VLOOKUP(CONCATENATE(H208,F208,FI$2),Ciencias!$A:$H,7,FALSE)=BW208,1,0)</f>
        <v>#N/A</v>
      </c>
      <c r="FJ208" s="138" t="e">
        <f>IF(VLOOKUP(CONCATENATE(H208,F208,FJ$2),Ciencias!$A:$H,7,FALSE)=BX208,1,0)</f>
        <v>#N/A</v>
      </c>
      <c r="FK208" s="138" t="e">
        <f>IF(VLOOKUP(CONCATENATE(H208,F208,FK$2),Ciencias!$A:$H,7,FALSE)=BY208,1,0)</f>
        <v>#N/A</v>
      </c>
      <c r="FL208" s="138" t="e">
        <f>IF(VLOOKUP(CONCATENATE(H208,F208,FL$2),Ciencias!$A:$H,7,FALSE)=BZ208,1,0)</f>
        <v>#N/A</v>
      </c>
      <c r="FM208" s="138" t="e">
        <f>IF(VLOOKUP(CONCATENATE(H208,F208,FM$2),Ciencias!$A:$H,7,FALSE)=CA208,1,0)</f>
        <v>#N/A</v>
      </c>
      <c r="FN208" s="138" t="e">
        <f>IF(VLOOKUP(CONCATENATE(H208,F208,FN$2),Ciencias!$A:$H,7,FALSE)=CB208,1,0)</f>
        <v>#N/A</v>
      </c>
      <c r="FO208" s="138" t="e">
        <f>IF(VLOOKUP(CONCATENATE(H208,F208,FO$2),Ciencias!$A:$H,7,FALSE)=CC208,1,0)</f>
        <v>#N/A</v>
      </c>
      <c r="FP208" s="138" t="e">
        <f>IF(VLOOKUP(CONCATENATE(H208,F208,FP$2),GeoHis!$A:$H,7,FALSE)=CD208,1,0)</f>
        <v>#N/A</v>
      </c>
      <c r="FQ208" s="138" t="e">
        <f>IF(VLOOKUP(CONCATENATE(H208,F208,FQ$2),GeoHis!$A:$H,7,FALSE)=CE208,1,0)</f>
        <v>#N/A</v>
      </c>
      <c r="FR208" s="138" t="e">
        <f>IF(VLOOKUP(CONCATENATE(H208,F208,FR$2),GeoHis!$A:$H,7,FALSE)=CF208,1,0)</f>
        <v>#N/A</v>
      </c>
      <c r="FS208" s="138" t="e">
        <f>IF(VLOOKUP(CONCATENATE(H208,F208,FS$2),GeoHis!$A:$H,7,FALSE)=CG208,1,0)</f>
        <v>#N/A</v>
      </c>
      <c r="FT208" s="138" t="e">
        <f>IF(VLOOKUP(CONCATENATE(H208,F208,FT$2),GeoHis!$A:$H,7,FALSE)=CH208,1,0)</f>
        <v>#N/A</v>
      </c>
      <c r="FU208" s="138" t="e">
        <f>IF(VLOOKUP(CONCATENATE(H208,F208,FU$2),GeoHis!$A:$H,7,FALSE)=CI208,1,0)</f>
        <v>#N/A</v>
      </c>
      <c r="FV208" s="138" t="e">
        <f>IF(VLOOKUP(CONCATENATE(H208,F208,FV$2),GeoHis!$A:$H,7,FALSE)=CJ208,1,0)</f>
        <v>#N/A</v>
      </c>
      <c r="FW208" s="138" t="e">
        <f>IF(VLOOKUP(CONCATENATE(H208,F208,FW$2),GeoHis!$A:$H,7,FALSE)=CK208,1,0)</f>
        <v>#N/A</v>
      </c>
      <c r="FX208" s="138" t="e">
        <f>IF(VLOOKUP(CONCATENATE(H208,F208,FX$2),GeoHis!$A:$H,7,FALSE)=CL208,1,0)</f>
        <v>#N/A</v>
      </c>
      <c r="FY208" s="138" t="e">
        <f>IF(VLOOKUP(CONCATENATE(H208,F208,FY$2),GeoHis!$A:$H,7,FALSE)=CM208,1,0)</f>
        <v>#N/A</v>
      </c>
      <c r="FZ208" s="138" t="e">
        <f>IF(VLOOKUP(CONCATENATE(H208,F208,FZ$2),GeoHis!$A:$H,7,FALSE)=CN208,1,0)</f>
        <v>#N/A</v>
      </c>
      <c r="GA208" s="138" t="e">
        <f>IF(VLOOKUP(CONCATENATE(H208,F208,GA$2),GeoHis!$A:$H,7,FALSE)=CO208,1,0)</f>
        <v>#N/A</v>
      </c>
      <c r="GB208" s="138" t="e">
        <f>IF(VLOOKUP(CONCATENATE(H208,F208,GB$2),GeoHis!$A:$H,7,FALSE)=CP208,1,0)</f>
        <v>#N/A</v>
      </c>
      <c r="GC208" s="138" t="e">
        <f>IF(VLOOKUP(CONCATENATE(H208,F208,GC$2),GeoHis!$A:$H,7,FALSE)=CQ208,1,0)</f>
        <v>#N/A</v>
      </c>
      <c r="GD208" s="138" t="e">
        <f>IF(VLOOKUP(CONCATENATE(H208,F208,GD$2),GeoHis!$A:$H,7,FALSE)=CR208,1,0)</f>
        <v>#N/A</v>
      </c>
      <c r="GE208" s="135" t="str">
        <f t="shared" si="31"/>
        <v/>
      </c>
    </row>
    <row r="209" spans="1:187" x14ac:dyDescent="0.25">
      <c r="A209" s="127" t="str">
        <f>IF(C209="","",'Datos Generales'!$A$25)</f>
        <v/>
      </c>
      <c r="D209" s="126" t="str">
        <f t="shared" si="24"/>
        <v/>
      </c>
      <c r="E209" s="126">
        <f t="shared" si="25"/>
        <v>0</v>
      </c>
      <c r="F209" s="126" t="str">
        <f t="shared" si="26"/>
        <v/>
      </c>
      <c r="G209" s="126" t="str">
        <f>IF(C209="","",'Datos Generales'!$D$19)</f>
        <v/>
      </c>
      <c r="H209" s="21" t="str">
        <f>IF(C209="","",'Datos Generales'!$A$19)</f>
        <v/>
      </c>
      <c r="I209" s="126" t="str">
        <f>IF(C209="","",'Datos Generales'!$A$7)</f>
        <v/>
      </c>
      <c r="J209" s="21" t="str">
        <f>IF(C209="","",'Datos Generales'!$A$13)</f>
        <v/>
      </c>
      <c r="K209" s="21" t="str">
        <f>IF(C209="","",'Datos Generales'!$A$10)</f>
        <v/>
      </c>
      <c r="CS209" s="142" t="str">
        <f t="shared" si="27"/>
        <v/>
      </c>
      <c r="CT209" s="142" t="str">
        <f t="shared" si="28"/>
        <v/>
      </c>
      <c r="CU209" s="142" t="str">
        <f t="shared" si="29"/>
        <v/>
      </c>
      <c r="CV209" s="142" t="str">
        <f t="shared" si="30"/>
        <v/>
      </c>
      <c r="CW209" s="142" t="str">
        <f>IF(C209="","",IF('Datos Generales'!$A$19=1,AVERAGE(FP209:GD209),AVERAGE(Captura!FP209:FY209)))</f>
        <v/>
      </c>
      <c r="CX209" s="138" t="e">
        <f>IF(VLOOKUP(CONCATENATE($H$4,$F$4,CX$2),Español!$A:$H,7,FALSE)=L209,1,0)</f>
        <v>#N/A</v>
      </c>
      <c r="CY209" s="138" t="e">
        <f>IF(VLOOKUP(CONCATENATE(H209,F209,CY$2),Español!$A:$H,7,FALSE)=M209,1,0)</f>
        <v>#N/A</v>
      </c>
      <c r="CZ209" s="138" t="e">
        <f>IF(VLOOKUP(CONCATENATE(H209,F209,CZ$2),Español!$A:$H,7,FALSE)=N209,1,0)</f>
        <v>#N/A</v>
      </c>
      <c r="DA209" s="138" t="e">
        <f>IF(VLOOKUP(CONCATENATE(H209,F209,DA$2),Español!$A:$H,7,FALSE)=O209,1,0)</f>
        <v>#N/A</v>
      </c>
      <c r="DB209" s="138" t="e">
        <f>IF(VLOOKUP(CONCATENATE(H209,F209,DB$2),Español!$A:$H,7,FALSE)=P209,1,0)</f>
        <v>#N/A</v>
      </c>
      <c r="DC209" s="138" t="e">
        <f>IF(VLOOKUP(CONCATENATE(H209,F209,DC$2),Español!$A:$H,7,FALSE)=Q209,1,0)</f>
        <v>#N/A</v>
      </c>
      <c r="DD209" s="138" t="e">
        <f>IF(VLOOKUP(CONCATENATE(H209,F209,DD$2),Español!$A:$H,7,FALSE)=R209,1,0)</f>
        <v>#N/A</v>
      </c>
      <c r="DE209" s="138" t="e">
        <f>IF(VLOOKUP(CONCATENATE(H209,F209,DE$2),Español!$A:$H,7,FALSE)=S209,1,0)</f>
        <v>#N/A</v>
      </c>
      <c r="DF209" s="138" t="e">
        <f>IF(VLOOKUP(CONCATENATE(H209,F209,DF$2),Español!$A:$H,7,FALSE)=T209,1,0)</f>
        <v>#N/A</v>
      </c>
      <c r="DG209" s="138" t="e">
        <f>IF(VLOOKUP(CONCATENATE(H209,F209,DG$2),Español!$A:$H,7,FALSE)=U209,1,0)</f>
        <v>#N/A</v>
      </c>
      <c r="DH209" s="138" t="e">
        <f>IF(VLOOKUP(CONCATENATE(H209,F209,DH$2),Español!$A:$H,7,FALSE)=V209,1,0)</f>
        <v>#N/A</v>
      </c>
      <c r="DI209" s="138" t="e">
        <f>IF(VLOOKUP(CONCATENATE(H209,F209,DI$2),Español!$A:$H,7,FALSE)=W209,1,0)</f>
        <v>#N/A</v>
      </c>
      <c r="DJ209" s="138" t="e">
        <f>IF(VLOOKUP(CONCATENATE(H209,F209,DJ$2),Español!$A:$H,7,FALSE)=X209,1,0)</f>
        <v>#N/A</v>
      </c>
      <c r="DK209" s="138" t="e">
        <f>IF(VLOOKUP(CONCATENATE(H209,F209,DK$2),Español!$A:$H,7,FALSE)=Y209,1,0)</f>
        <v>#N/A</v>
      </c>
      <c r="DL209" s="138" t="e">
        <f>IF(VLOOKUP(CONCATENATE(H209,F209,DL$2),Español!$A:$H,7,FALSE)=Z209,1,0)</f>
        <v>#N/A</v>
      </c>
      <c r="DM209" s="138" t="e">
        <f>IF(VLOOKUP(CONCATENATE(H209,F209,DM$2),Español!$A:$H,7,FALSE)=AA209,1,0)</f>
        <v>#N/A</v>
      </c>
      <c r="DN209" s="138" t="e">
        <f>IF(VLOOKUP(CONCATENATE(H209,F209,DN$2),Español!$A:$H,7,FALSE)=AB209,1,0)</f>
        <v>#N/A</v>
      </c>
      <c r="DO209" s="138" t="e">
        <f>IF(VLOOKUP(CONCATENATE(H209,F209,DO$2),Español!$A:$H,7,FALSE)=AC209,1,0)</f>
        <v>#N/A</v>
      </c>
      <c r="DP209" s="138" t="e">
        <f>IF(VLOOKUP(CONCATENATE(H209,F209,DP$2),Español!$A:$H,7,FALSE)=AD209,1,0)</f>
        <v>#N/A</v>
      </c>
      <c r="DQ209" s="138" t="e">
        <f>IF(VLOOKUP(CONCATENATE(H209,F209,DQ$2),Español!$A:$H,7,FALSE)=AE209,1,0)</f>
        <v>#N/A</v>
      </c>
      <c r="DR209" s="138" t="e">
        <f>IF(VLOOKUP(CONCATENATE(H209,F209,DR$2),Inglés!$A:$H,7,FALSE)=AF209,1,0)</f>
        <v>#N/A</v>
      </c>
      <c r="DS209" s="138" t="e">
        <f>IF(VLOOKUP(CONCATENATE(H209,F209,DS$2),Inglés!$A:$H,7,FALSE)=AG209,1,0)</f>
        <v>#N/A</v>
      </c>
      <c r="DT209" s="138" t="e">
        <f>IF(VLOOKUP(CONCATENATE(H209,F209,DT$2),Inglés!$A:$H,7,FALSE)=AH209,1,0)</f>
        <v>#N/A</v>
      </c>
      <c r="DU209" s="138" t="e">
        <f>IF(VLOOKUP(CONCATENATE(H209,F209,DU$2),Inglés!$A:$H,7,FALSE)=AI209,1,0)</f>
        <v>#N/A</v>
      </c>
      <c r="DV209" s="138" t="e">
        <f>IF(VLOOKUP(CONCATENATE(H209,F209,DV$2),Inglés!$A:$H,7,FALSE)=AJ209,1,0)</f>
        <v>#N/A</v>
      </c>
      <c r="DW209" s="138" t="e">
        <f>IF(VLOOKUP(CONCATENATE(H209,F209,DW$2),Inglés!$A:$H,7,FALSE)=AK209,1,0)</f>
        <v>#N/A</v>
      </c>
      <c r="DX209" s="138" t="e">
        <f>IF(VLOOKUP(CONCATENATE(H209,F209,DX$2),Inglés!$A:$H,7,FALSE)=AL209,1,0)</f>
        <v>#N/A</v>
      </c>
      <c r="DY209" s="138" t="e">
        <f>IF(VLOOKUP(CONCATENATE(H209,F209,DY$2),Inglés!$A:$H,7,FALSE)=AM209,1,0)</f>
        <v>#N/A</v>
      </c>
      <c r="DZ209" s="138" t="e">
        <f>IF(VLOOKUP(CONCATENATE(H209,F209,DZ$2),Inglés!$A:$H,7,FALSE)=AN209,1,0)</f>
        <v>#N/A</v>
      </c>
      <c r="EA209" s="138" t="e">
        <f>IF(VLOOKUP(CONCATENATE(H209,F209,EA$2),Inglés!$A:$H,7,FALSE)=AO209,1,0)</f>
        <v>#N/A</v>
      </c>
      <c r="EB209" s="138" t="e">
        <f>IF(VLOOKUP(CONCATENATE(H209,F209,EB$2),Matemáticas!$A:$H,7,FALSE)=AP209,1,0)</f>
        <v>#N/A</v>
      </c>
      <c r="EC209" s="138" t="e">
        <f>IF(VLOOKUP(CONCATENATE(H209,F209,EC$2),Matemáticas!$A:$H,7,FALSE)=AQ209,1,0)</f>
        <v>#N/A</v>
      </c>
      <c r="ED209" s="138" t="e">
        <f>IF(VLOOKUP(CONCATENATE(H209,F209,ED$2),Matemáticas!$A:$H,7,FALSE)=AR209,1,0)</f>
        <v>#N/A</v>
      </c>
      <c r="EE209" s="138" t="e">
        <f>IF(VLOOKUP(CONCATENATE(H209,F209,EE$2),Matemáticas!$A:$H,7,FALSE)=AS209,1,0)</f>
        <v>#N/A</v>
      </c>
      <c r="EF209" s="138" t="e">
        <f>IF(VLOOKUP(CONCATENATE(H209,F209,EF$2),Matemáticas!$A:$H,7,FALSE)=AT209,1,0)</f>
        <v>#N/A</v>
      </c>
      <c r="EG209" s="138" t="e">
        <f>IF(VLOOKUP(CONCATENATE(H209,F209,EG$2),Matemáticas!$A:$H,7,FALSE)=AU209,1,0)</f>
        <v>#N/A</v>
      </c>
      <c r="EH209" s="138" t="e">
        <f>IF(VLOOKUP(CONCATENATE(H209,F209,EH$2),Matemáticas!$A:$H,7,FALSE)=AV209,1,0)</f>
        <v>#N/A</v>
      </c>
      <c r="EI209" s="138" t="e">
        <f>IF(VLOOKUP(CONCATENATE(H209,F209,EI$2),Matemáticas!$A:$H,7,FALSE)=AW209,1,0)</f>
        <v>#N/A</v>
      </c>
      <c r="EJ209" s="138" t="e">
        <f>IF(VLOOKUP(CONCATENATE(H209,F209,EJ$2),Matemáticas!$A:$H,7,FALSE)=AX209,1,0)</f>
        <v>#N/A</v>
      </c>
      <c r="EK209" s="138" t="e">
        <f>IF(VLOOKUP(CONCATENATE(H209,F209,EK$2),Matemáticas!$A:$H,7,FALSE)=AY209,1,0)</f>
        <v>#N/A</v>
      </c>
      <c r="EL209" s="138" t="e">
        <f>IF(VLOOKUP(CONCATENATE(H209,F209,EL$2),Matemáticas!$A:$H,7,FALSE)=AZ209,1,0)</f>
        <v>#N/A</v>
      </c>
      <c r="EM209" s="138" t="e">
        <f>IF(VLOOKUP(CONCATENATE(H209,F209,EM$2),Matemáticas!$A:$H,7,FALSE)=BA209,1,0)</f>
        <v>#N/A</v>
      </c>
      <c r="EN209" s="138" t="e">
        <f>IF(VLOOKUP(CONCATENATE(H209,F209,EN$2),Matemáticas!$A:$H,7,FALSE)=BB209,1,0)</f>
        <v>#N/A</v>
      </c>
      <c r="EO209" s="138" t="e">
        <f>IF(VLOOKUP(CONCATENATE(H209,F209,EO$2),Matemáticas!$A:$H,7,FALSE)=BC209,1,0)</f>
        <v>#N/A</v>
      </c>
      <c r="EP209" s="138" t="e">
        <f>IF(VLOOKUP(CONCATENATE(H209,F209,EP$2),Matemáticas!$A:$H,7,FALSE)=BD209,1,0)</f>
        <v>#N/A</v>
      </c>
      <c r="EQ209" s="138" t="e">
        <f>IF(VLOOKUP(CONCATENATE(H209,F209,EQ$2),Matemáticas!$A:$H,7,FALSE)=BE209,1,0)</f>
        <v>#N/A</v>
      </c>
      <c r="ER209" s="138" t="e">
        <f>IF(VLOOKUP(CONCATENATE(H209,F209,ER$2),Matemáticas!$A:$H,7,FALSE)=BF209,1,0)</f>
        <v>#N/A</v>
      </c>
      <c r="ES209" s="138" t="e">
        <f>IF(VLOOKUP(CONCATENATE(H209,F209,ES$2),Matemáticas!$A:$H,7,FALSE)=BG209,1,0)</f>
        <v>#N/A</v>
      </c>
      <c r="ET209" s="138" t="e">
        <f>IF(VLOOKUP(CONCATENATE(H209,F209,ET$2),Matemáticas!$A:$H,7,FALSE)=BH209,1,0)</f>
        <v>#N/A</v>
      </c>
      <c r="EU209" s="138" t="e">
        <f>IF(VLOOKUP(CONCATENATE(H209,F209,EU$2),Matemáticas!$A:$H,7,FALSE)=BI209,1,0)</f>
        <v>#N/A</v>
      </c>
      <c r="EV209" s="138" t="e">
        <f>IF(VLOOKUP(CONCATENATE(H209,F209,EV$2),Ciencias!$A:$H,7,FALSE)=BJ209,1,0)</f>
        <v>#N/A</v>
      </c>
      <c r="EW209" s="138" t="e">
        <f>IF(VLOOKUP(CONCATENATE(H209,F209,EW$2),Ciencias!$A:$H,7,FALSE)=BK209,1,0)</f>
        <v>#N/A</v>
      </c>
      <c r="EX209" s="138" t="e">
        <f>IF(VLOOKUP(CONCATENATE(H209,F209,EX$2),Ciencias!$A:$H,7,FALSE)=BL209,1,0)</f>
        <v>#N/A</v>
      </c>
      <c r="EY209" s="138" t="e">
        <f>IF(VLOOKUP(CONCATENATE(H209,F209,EY$2),Ciencias!$A:$H,7,FALSE)=BM209,1,0)</f>
        <v>#N/A</v>
      </c>
      <c r="EZ209" s="138" t="e">
        <f>IF(VLOOKUP(CONCATENATE(H209,F209,EZ$2),Ciencias!$A:$H,7,FALSE)=BN209,1,0)</f>
        <v>#N/A</v>
      </c>
      <c r="FA209" s="138" t="e">
        <f>IF(VLOOKUP(CONCATENATE(H209,F209,FA$2),Ciencias!$A:$H,7,FALSE)=BO209,1,0)</f>
        <v>#N/A</v>
      </c>
      <c r="FB209" s="138" t="e">
        <f>IF(VLOOKUP(CONCATENATE(H209,F209,FB$2),Ciencias!$A:$H,7,FALSE)=BP209,1,0)</f>
        <v>#N/A</v>
      </c>
      <c r="FC209" s="138" t="e">
        <f>IF(VLOOKUP(CONCATENATE(H209,F209,FC$2),Ciencias!$A:$H,7,FALSE)=BQ209,1,0)</f>
        <v>#N/A</v>
      </c>
      <c r="FD209" s="138" t="e">
        <f>IF(VLOOKUP(CONCATENATE(H209,F209,FD$2),Ciencias!$A:$H,7,FALSE)=BR209,1,0)</f>
        <v>#N/A</v>
      </c>
      <c r="FE209" s="138" t="e">
        <f>IF(VLOOKUP(CONCATENATE(H209,F209,FE$2),Ciencias!$A:$H,7,FALSE)=BS209,1,0)</f>
        <v>#N/A</v>
      </c>
      <c r="FF209" s="138" t="e">
        <f>IF(VLOOKUP(CONCATENATE(H209,F209,FF$2),Ciencias!$A:$H,7,FALSE)=BT209,1,0)</f>
        <v>#N/A</v>
      </c>
      <c r="FG209" s="138" t="e">
        <f>IF(VLOOKUP(CONCATENATE(H209,F209,FG$2),Ciencias!$A:$H,7,FALSE)=BU209,1,0)</f>
        <v>#N/A</v>
      </c>
      <c r="FH209" s="138" t="e">
        <f>IF(VLOOKUP(CONCATENATE(H209,F209,FH$2),Ciencias!$A:$H,7,FALSE)=BV209,1,0)</f>
        <v>#N/A</v>
      </c>
      <c r="FI209" s="138" t="e">
        <f>IF(VLOOKUP(CONCATENATE(H209,F209,FI$2),Ciencias!$A:$H,7,FALSE)=BW209,1,0)</f>
        <v>#N/A</v>
      </c>
      <c r="FJ209" s="138" t="e">
        <f>IF(VLOOKUP(CONCATENATE(H209,F209,FJ$2),Ciencias!$A:$H,7,FALSE)=BX209,1,0)</f>
        <v>#N/A</v>
      </c>
      <c r="FK209" s="138" t="e">
        <f>IF(VLOOKUP(CONCATENATE(H209,F209,FK$2),Ciencias!$A:$H,7,FALSE)=BY209,1,0)</f>
        <v>#N/A</v>
      </c>
      <c r="FL209" s="138" t="e">
        <f>IF(VLOOKUP(CONCATENATE(H209,F209,FL$2),Ciencias!$A:$H,7,FALSE)=BZ209,1,0)</f>
        <v>#N/A</v>
      </c>
      <c r="FM209" s="138" t="e">
        <f>IF(VLOOKUP(CONCATENATE(H209,F209,FM$2),Ciencias!$A:$H,7,FALSE)=CA209,1,0)</f>
        <v>#N/A</v>
      </c>
      <c r="FN209" s="138" t="e">
        <f>IF(VLOOKUP(CONCATENATE(H209,F209,FN$2),Ciencias!$A:$H,7,FALSE)=CB209,1,0)</f>
        <v>#N/A</v>
      </c>
      <c r="FO209" s="138" t="e">
        <f>IF(VLOOKUP(CONCATENATE(H209,F209,FO$2),Ciencias!$A:$H,7,FALSE)=CC209,1,0)</f>
        <v>#N/A</v>
      </c>
      <c r="FP209" s="138" t="e">
        <f>IF(VLOOKUP(CONCATENATE(H209,F209,FP$2),GeoHis!$A:$H,7,FALSE)=CD209,1,0)</f>
        <v>#N/A</v>
      </c>
      <c r="FQ209" s="138" t="e">
        <f>IF(VLOOKUP(CONCATENATE(H209,F209,FQ$2),GeoHis!$A:$H,7,FALSE)=CE209,1,0)</f>
        <v>#N/A</v>
      </c>
      <c r="FR209" s="138" t="e">
        <f>IF(VLOOKUP(CONCATENATE(H209,F209,FR$2),GeoHis!$A:$H,7,FALSE)=CF209,1,0)</f>
        <v>#N/A</v>
      </c>
      <c r="FS209" s="138" t="e">
        <f>IF(VLOOKUP(CONCATENATE(H209,F209,FS$2),GeoHis!$A:$H,7,FALSE)=CG209,1,0)</f>
        <v>#N/A</v>
      </c>
      <c r="FT209" s="138" t="e">
        <f>IF(VLOOKUP(CONCATENATE(H209,F209,FT$2),GeoHis!$A:$H,7,FALSE)=CH209,1,0)</f>
        <v>#N/A</v>
      </c>
      <c r="FU209" s="138" t="e">
        <f>IF(VLOOKUP(CONCATENATE(H209,F209,FU$2),GeoHis!$A:$H,7,FALSE)=CI209,1,0)</f>
        <v>#N/A</v>
      </c>
      <c r="FV209" s="138" t="e">
        <f>IF(VLOOKUP(CONCATENATE(H209,F209,FV$2),GeoHis!$A:$H,7,FALSE)=CJ209,1,0)</f>
        <v>#N/A</v>
      </c>
      <c r="FW209" s="138" t="e">
        <f>IF(VLOOKUP(CONCATENATE(H209,F209,FW$2),GeoHis!$A:$H,7,FALSE)=CK209,1,0)</f>
        <v>#N/A</v>
      </c>
      <c r="FX209" s="138" t="e">
        <f>IF(VLOOKUP(CONCATENATE(H209,F209,FX$2),GeoHis!$A:$H,7,FALSE)=CL209,1,0)</f>
        <v>#N/A</v>
      </c>
      <c r="FY209" s="138" t="e">
        <f>IF(VLOOKUP(CONCATENATE(H209,F209,FY$2),GeoHis!$A:$H,7,FALSE)=CM209,1,0)</f>
        <v>#N/A</v>
      </c>
      <c r="FZ209" s="138" t="e">
        <f>IF(VLOOKUP(CONCATENATE(H209,F209,FZ$2),GeoHis!$A:$H,7,FALSE)=CN209,1,0)</f>
        <v>#N/A</v>
      </c>
      <c r="GA209" s="138" t="e">
        <f>IF(VLOOKUP(CONCATENATE(H209,F209,GA$2),GeoHis!$A:$H,7,FALSE)=CO209,1,0)</f>
        <v>#N/A</v>
      </c>
      <c r="GB209" s="138" t="e">
        <f>IF(VLOOKUP(CONCATENATE(H209,F209,GB$2),GeoHis!$A:$H,7,FALSE)=CP209,1,0)</f>
        <v>#N/A</v>
      </c>
      <c r="GC209" s="138" t="e">
        <f>IF(VLOOKUP(CONCATENATE(H209,F209,GC$2),GeoHis!$A:$H,7,FALSE)=CQ209,1,0)</f>
        <v>#N/A</v>
      </c>
      <c r="GD209" s="138" t="e">
        <f>IF(VLOOKUP(CONCATENATE(H209,F209,GD$2),GeoHis!$A:$H,7,FALSE)=CR209,1,0)</f>
        <v>#N/A</v>
      </c>
      <c r="GE209" s="135" t="str">
        <f t="shared" si="31"/>
        <v/>
      </c>
    </row>
    <row r="210" spans="1:187" x14ac:dyDescent="0.25">
      <c r="A210" s="127" t="str">
        <f>IF(C210="","",'Datos Generales'!$A$25)</f>
        <v/>
      </c>
      <c r="D210" s="126" t="str">
        <f t="shared" si="24"/>
        <v/>
      </c>
      <c r="E210" s="126">
        <f t="shared" si="25"/>
        <v>0</v>
      </c>
      <c r="F210" s="126" t="str">
        <f t="shared" si="26"/>
        <v/>
      </c>
      <c r="G210" s="126" t="str">
        <f>IF(C210="","",'Datos Generales'!$D$19)</f>
        <v/>
      </c>
      <c r="H210" s="21" t="str">
        <f>IF(C210="","",'Datos Generales'!$A$19)</f>
        <v/>
      </c>
      <c r="I210" s="126" t="str">
        <f>IF(C210="","",'Datos Generales'!$A$7)</f>
        <v/>
      </c>
      <c r="J210" s="21" t="str">
        <f>IF(C210="","",'Datos Generales'!$A$13)</f>
        <v/>
      </c>
      <c r="K210" s="21" t="str">
        <f>IF(C210="","",'Datos Generales'!$A$10)</f>
        <v/>
      </c>
      <c r="CS210" s="142" t="str">
        <f t="shared" si="27"/>
        <v/>
      </c>
      <c r="CT210" s="142" t="str">
        <f t="shared" si="28"/>
        <v/>
      </c>
      <c r="CU210" s="142" t="str">
        <f t="shared" si="29"/>
        <v/>
      </c>
      <c r="CV210" s="142" t="str">
        <f t="shared" si="30"/>
        <v/>
      </c>
      <c r="CW210" s="142" t="str">
        <f>IF(C210="","",IF('Datos Generales'!$A$19=1,AVERAGE(FP210:GD210),AVERAGE(Captura!FP210:FY210)))</f>
        <v/>
      </c>
      <c r="CX210" s="138" t="e">
        <f>IF(VLOOKUP(CONCATENATE($H$4,$F$4,CX$2),Español!$A:$H,7,FALSE)=L210,1,0)</f>
        <v>#N/A</v>
      </c>
      <c r="CY210" s="138" t="e">
        <f>IF(VLOOKUP(CONCATENATE(H210,F210,CY$2),Español!$A:$H,7,FALSE)=M210,1,0)</f>
        <v>#N/A</v>
      </c>
      <c r="CZ210" s="138" t="e">
        <f>IF(VLOOKUP(CONCATENATE(H210,F210,CZ$2),Español!$A:$H,7,FALSE)=N210,1,0)</f>
        <v>#N/A</v>
      </c>
      <c r="DA210" s="138" t="e">
        <f>IF(VLOOKUP(CONCATENATE(H210,F210,DA$2),Español!$A:$H,7,FALSE)=O210,1,0)</f>
        <v>#N/A</v>
      </c>
      <c r="DB210" s="138" t="e">
        <f>IF(VLOOKUP(CONCATENATE(H210,F210,DB$2),Español!$A:$H,7,FALSE)=P210,1,0)</f>
        <v>#N/A</v>
      </c>
      <c r="DC210" s="138" t="e">
        <f>IF(VLOOKUP(CONCATENATE(H210,F210,DC$2),Español!$A:$H,7,FALSE)=Q210,1,0)</f>
        <v>#N/A</v>
      </c>
      <c r="DD210" s="138" t="e">
        <f>IF(VLOOKUP(CONCATENATE(H210,F210,DD$2),Español!$A:$H,7,FALSE)=R210,1,0)</f>
        <v>#N/A</v>
      </c>
      <c r="DE210" s="138" t="e">
        <f>IF(VLOOKUP(CONCATENATE(H210,F210,DE$2),Español!$A:$H,7,FALSE)=S210,1,0)</f>
        <v>#N/A</v>
      </c>
      <c r="DF210" s="138" t="e">
        <f>IF(VLOOKUP(CONCATENATE(H210,F210,DF$2),Español!$A:$H,7,FALSE)=T210,1,0)</f>
        <v>#N/A</v>
      </c>
      <c r="DG210" s="138" t="e">
        <f>IF(VLOOKUP(CONCATENATE(H210,F210,DG$2),Español!$A:$H,7,FALSE)=U210,1,0)</f>
        <v>#N/A</v>
      </c>
      <c r="DH210" s="138" t="e">
        <f>IF(VLOOKUP(CONCATENATE(H210,F210,DH$2),Español!$A:$H,7,FALSE)=V210,1,0)</f>
        <v>#N/A</v>
      </c>
      <c r="DI210" s="138" t="e">
        <f>IF(VLOOKUP(CONCATENATE(H210,F210,DI$2),Español!$A:$H,7,FALSE)=W210,1,0)</f>
        <v>#N/A</v>
      </c>
      <c r="DJ210" s="138" t="e">
        <f>IF(VLOOKUP(CONCATENATE(H210,F210,DJ$2),Español!$A:$H,7,FALSE)=X210,1,0)</f>
        <v>#N/A</v>
      </c>
      <c r="DK210" s="138" t="e">
        <f>IF(VLOOKUP(CONCATENATE(H210,F210,DK$2),Español!$A:$H,7,FALSE)=Y210,1,0)</f>
        <v>#N/A</v>
      </c>
      <c r="DL210" s="138" t="e">
        <f>IF(VLOOKUP(CONCATENATE(H210,F210,DL$2),Español!$A:$H,7,FALSE)=Z210,1,0)</f>
        <v>#N/A</v>
      </c>
      <c r="DM210" s="138" t="e">
        <f>IF(VLOOKUP(CONCATENATE(H210,F210,DM$2),Español!$A:$H,7,FALSE)=AA210,1,0)</f>
        <v>#N/A</v>
      </c>
      <c r="DN210" s="138" t="e">
        <f>IF(VLOOKUP(CONCATENATE(H210,F210,DN$2),Español!$A:$H,7,FALSE)=AB210,1,0)</f>
        <v>#N/A</v>
      </c>
      <c r="DO210" s="138" t="e">
        <f>IF(VLOOKUP(CONCATENATE(H210,F210,DO$2),Español!$A:$H,7,FALSE)=AC210,1,0)</f>
        <v>#N/A</v>
      </c>
      <c r="DP210" s="138" t="e">
        <f>IF(VLOOKUP(CONCATENATE(H210,F210,DP$2),Español!$A:$H,7,FALSE)=AD210,1,0)</f>
        <v>#N/A</v>
      </c>
      <c r="DQ210" s="138" t="e">
        <f>IF(VLOOKUP(CONCATENATE(H210,F210,DQ$2),Español!$A:$H,7,FALSE)=AE210,1,0)</f>
        <v>#N/A</v>
      </c>
      <c r="DR210" s="138" t="e">
        <f>IF(VLOOKUP(CONCATENATE(H210,F210,DR$2),Inglés!$A:$H,7,FALSE)=AF210,1,0)</f>
        <v>#N/A</v>
      </c>
      <c r="DS210" s="138" t="e">
        <f>IF(VLOOKUP(CONCATENATE(H210,F210,DS$2),Inglés!$A:$H,7,FALSE)=AG210,1,0)</f>
        <v>#N/A</v>
      </c>
      <c r="DT210" s="138" t="e">
        <f>IF(VLOOKUP(CONCATENATE(H210,F210,DT$2),Inglés!$A:$H,7,FALSE)=AH210,1,0)</f>
        <v>#N/A</v>
      </c>
      <c r="DU210" s="138" t="e">
        <f>IF(VLOOKUP(CONCATENATE(H210,F210,DU$2),Inglés!$A:$H,7,FALSE)=AI210,1,0)</f>
        <v>#N/A</v>
      </c>
      <c r="DV210" s="138" t="e">
        <f>IF(VLOOKUP(CONCATENATE(H210,F210,DV$2),Inglés!$A:$H,7,FALSE)=AJ210,1,0)</f>
        <v>#N/A</v>
      </c>
      <c r="DW210" s="138" t="e">
        <f>IF(VLOOKUP(CONCATENATE(H210,F210,DW$2),Inglés!$A:$H,7,FALSE)=AK210,1,0)</f>
        <v>#N/A</v>
      </c>
      <c r="DX210" s="138" t="e">
        <f>IF(VLOOKUP(CONCATENATE(H210,F210,DX$2),Inglés!$A:$H,7,FALSE)=AL210,1,0)</f>
        <v>#N/A</v>
      </c>
      <c r="DY210" s="138" t="e">
        <f>IF(VLOOKUP(CONCATENATE(H210,F210,DY$2),Inglés!$A:$H,7,FALSE)=AM210,1,0)</f>
        <v>#N/A</v>
      </c>
      <c r="DZ210" s="138" t="e">
        <f>IF(VLOOKUP(CONCATENATE(H210,F210,DZ$2),Inglés!$A:$H,7,FALSE)=AN210,1,0)</f>
        <v>#N/A</v>
      </c>
      <c r="EA210" s="138" t="e">
        <f>IF(VLOOKUP(CONCATENATE(H210,F210,EA$2),Inglés!$A:$H,7,FALSE)=AO210,1,0)</f>
        <v>#N/A</v>
      </c>
      <c r="EB210" s="138" t="e">
        <f>IF(VLOOKUP(CONCATENATE(H210,F210,EB$2),Matemáticas!$A:$H,7,FALSE)=AP210,1,0)</f>
        <v>#N/A</v>
      </c>
      <c r="EC210" s="138" t="e">
        <f>IF(VLOOKUP(CONCATENATE(H210,F210,EC$2),Matemáticas!$A:$H,7,FALSE)=AQ210,1,0)</f>
        <v>#N/A</v>
      </c>
      <c r="ED210" s="138" t="e">
        <f>IF(VLOOKUP(CONCATENATE(H210,F210,ED$2),Matemáticas!$A:$H,7,FALSE)=AR210,1,0)</f>
        <v>#N/A</v>
      </c>
      <c r="EE210" s="138" t="e">
        <f>IF(VLOOKUP(CONCATENATE(H210,F210,EE$2),Matemáticas!$A:$H,7,FALSE)=AS210,1,0)</f>
        <v>#N/A</v>
      </c>
      <c r="EF210" s="138" t="e">
        <f>IF(VLOOKUP(CONCATENATE(H210,F210,EF$2),Matemáticas!$A:$H,7,FALSE)=AT210,1,0)</f>
        <v>#N/A</v>
      </c>
      <c r="EG210" s="138" t="e">
        <f>IF(VLOOKUP(CONCATENATE(H210,F210,EG$2),Matemáticas!$A:$H,7,FALSE)=AU210,1,0)</f>
        <v>#N/A</v>
      </c>
      <c r="EH210" s="138" t="e">
        <f>IF(VLOOKUP(CONCATENATE(H210,F210,EH$2),Matemáticas!$A:$H,7,FALSE)=AV210,1,0)</f>
        <v>#N/A</v>
      </c>
      <c r="EI210" s="138" t="e">
        <f>IF(VLOOKUP(CONCATENATE(H210,F210,EI$2),Matemáticas!$A:$H,7,FALSE)=AW210,1,0)</f>
        <v>#N/A</v>
      </c>
      <c r="EJ210" s="138" t="e">
        <f>IF(VLOOKUP(CONCATENATE(H210,F210,EJ$2),Matemáticas!$A:$H,7,FALSE)=AX210,1,0)</f>
        <v>#N/A</v>
      </c>
      <c r="EK210" s="138" t="e">
        <f>IF(VLOOKUP(CONCATENATE(H210,F210,EK$2),Matemáticas!$A:$H,7,FALSE)=AY210,1,0)</f>
        <v>#N/A</v>
      </c>
      <c r="EL210" s="138" t="e">
        <f>IF(VLOOKUP(CONCATENATE(H210,F210,EL$2),Matemáticas!$A:$H,7,FALSE)=AZ210,1,0)</f>
        <v>#N/A</v>
      </c>
      <c r="EM210" s="138" t="e">
        <f>IF(VLOOKUP(CONCATENATE(H210,F210,EM$2),Matemáticas!$A:$H,7,FALSE)=BA210,1,0)</f>
        <v>#N/A</v>
      </c>
      <c r="EN210" s="138" t="e">
        <f>IF(VLOOKUP(CONCATENATE(H210,F210,EN$2),Matemáticas!$A:$H,7,FALSE)=BB210,1,0)</f>
        <v>#N/A</v>
      </c>
      <c r="EO210" s="138" t="e">
        <f>IF(VLOOKUP(CONCATENATE(H210,F210,EO$2),Matemáticas!$A:$H,7,FALSE)=BC210,1,0)</f>
        <v>#N/A</v>
      </c>
      <c r="EP210" s="138" t="e">
        <f>IF(VLOOKUP(CONCATENATE(H210,F210,EP$2),Matemáticas!$A:$H,7,FALSE)=BD210,1,0)</f>
        <v>#N/A</v>
      </c>
      <c r="EQ210" s="138" t="e">
        <f>IF(VLOOKUP(CONCATENATE(H210,F210,EQ$2),Matemáticas!$A:$H,7,FALSE)=BE210,1,0)</f>
        <v>#N/A</v>
      </c>
      <c r="ER210" s="138" t="e">
        <f>IF(VLOOKUP(CONCATENATE(H210,F210,ER$2),Matemáticas!$A:$H,7,FALSE)=BF210,1,0)</f>
        <v>#N/A</v>
      </c>
      <c r="ES210" s="138" t="e">
        <f>IF(VLOOKUP(CONCATENATE(H210,F210,ES$2),Matemáticas!$A:$H,7,FALSE)=BG210,1,0)</f>
        <v>#N/A</v>
      </c>
      <c r="ET210" s="138" t="e">
        <f>IF(VLOOKUP(CONCATENATE(H210,F210,ET$2),Matemáticas!$A:$H,7,FALSE)=BH210,1,0)</f>
        <v>#N/A</v>
      </c>
      <c r="EU210" s="138" t="e">
        <f>IF(VLOOKUP(CONCATENATE(H210,F210,EU$2),Matemáticas!$A:$H,7,FALSE)=BI210,1,0)</f>
        <v>#N/A</v>
      </c>
      <c r="EV210" s="138" t="e">
        <f>IF(VLOOKUP(CONCATENATE(H210,F210,EV$2),Ciencias!$A:$H,7,FALSE)=BJ210,1,0)</f>
        <v>#N/A</v>
      </c>
      <c r="EW210" s="138" t="e">
        <f>IF(VLOOKUP(CONCATENATE(H210,F210,EW$2),Ciencias!$A:$H,7,FALSE)=BK210,1,0)</f>
        <v>#N/A</v>
      </c>
      <c r="EX210" s="138" t="e">
        <f>IF(VLOOKUP(CONCATENATE(H210,F210,EX$2),Ciencias!$A:$H,7,FALSE)=BL210,1,0)</f>
        <v>#N/A</v>
      </c>
      <c r="EY210" s="138" t="e">
        <f>IF(VLOOKUP(CONCATENATE(H210,F210,EY$2),Ciencias!$A:$H,7,FALSE)=BM210,1,0)</f>
        <v>#N/A</v>
      </c>
      <c r="EZ210" s="138" t="e">
        <f>IF(VLOOKUP(CONCATENATE(H210,F210,EZ$2),Ciencias!$A:$H,7,FALSE)=BN210,1,0)</f>
        <v>#N/A</v>
      </c>
      <c r="FA210" s="138" t="e">
        <f>IF(VLOOKUP(CONCATENATE(H210,F210,FA$2),Ciencias!$A:$H,7,FALSE)=BO210,1,0)</f>
        <v>#N/A</v>
      </c>
      <c r="FB210" s="138" t="e">
        <f>IF(VLOOKUP(CONCATENATE(H210,F210,FB$2),Ciencias!$A:$H,7,FALSE)=BP210,1,0)</f>
        <v>#N/A</v>
      </c>
      <c r="FC210" s="138" t="e">
        <f>IF(VLOOKUP(CONCATENATE(H210,F210,FC$2),Ciencias!$A:$H,7,FALSE)=BQ210,1,0)</f>
        <v>#N/A</v>
      </c>
      <c r="FD210" s="138" t="e">
        <f>IF(VLOOKUP(CONCATENATE(H210,F210,FD$2),Ciencias!$A:$H,7,FALSE)=BR210,1,0)</f>
        <v>#N/A</v>
      </c>
      <c r="FE210" s="138" t="e">
        <f>IF(VLOOKUP(CONCATENATE(H210,F210,FE$2),Ciencias!$A:$H,7,FALSE)=BS210,1,0)</f>
        <v>#N/A</v>
      </c>
      <c r="FF210" s="138" t="e">
        <f>IF(VLOOKUP(CONCATENATE(H210,F210,FF$2),Ciencias!$A:$H,7,FALSE)=BT210,1,0)</f>
        <v>#N/A</v>
      </c>
      <c r="FG210" s="138" t="e">
        <f>IF(VLOOKUP(CONCATENATE(H210,F210,FG$2),Ciencias!$A:$H,7,FALSE)=BU210,1,0)</f>
        <v>#N/A</v>
      </c>
      <c r="FH210" s="138" t="e">
        <f>IF(VLOOKUP(CONCATENATE(H210,F210,FH$2),Ciencias!$A:$H,7,FALSE)=BV210,1,0)</f>
        <v>#N/A</v>
      </c>
      <c r="FI210" s="138" t="e">
        <f>IF(VLOOKUP(CONCATENATE(H210,F210,FI$2),Ciencias!$A:$H,7,FALSE)=BW210,1,0)</f>
        <v>#N/A</v>
      </c>
      <c r="FJ210" s="138" t="e">
        <f>IF(VLOOKUP(CONCATENATE(H210,F210,FJ$2),Ciencias!$A:$H,7,FALSE)=BX210,1,0)</f>
        <v>#N/A</v>
      </c>
      <c r="FK210" s="138" t="e">
        <f>IF(VLOOKUP(CONCATENATE(H210,F210,FK$2),Ciencias!$A:$H,7,FALSE)=BY210,1,0)</f>
        <v>#N/A</v>
      </c>
      <c r="FL210" s="138" t="e">
        <f>IF(VLOOKUP(CONCATENATE(H210,F210,FL$2),Ciencias!$A:$H,7,FALSE)=BZ210,1,0)</f>
        <v>#N/A</v>
      </c>
      <c r="FM210" s="138" t="e">
        <f>IF(VLOOKUP(CONCATENATE(H210,F210,FM$2),Ciencias!$A:$H,7,FALSE)=CA210,1,0)</f>
        <v>#N/A</v>
      </c>
      <c r="FN210" s="138" t="e">
        <f>IF(VLOOKUP(CONCATENATE(H210,F210,FN$2),Ciencias!$A:$H,7,FALSE)=CB210,1,0)</f>
        <v>#N/A</v>
      </c>
      <c r="FO210" s="138" t="e">
        <f>IF(VLOOKUP(CONCATENATE(H210,F210,FO$2),Ciencias!$A:$H,7,FALSE)=CC210,1,0)</f>
        <v>#N/A</v>
      </c>
      <c r="FP210" s="138" t="e">
        <f>IF(VLOOKUP(CONCATENATE(H210,F210,FP$2),GeoHis!$A:$H,7,FALSE)=CD210,1,0)</f>
        <v>#N/A</v>
      </c>
      <c r="FQ210" s="138" t="e">
        <f>IF(VLOOKUP(CONCATENATE(H210,F210,FQ$2),GeoHis!$A:$H,7,FALSE)=CE210,1,0)</f>
        <v>#N/A</v>
      </c>
      <c r="FR210" s="138" t="e">
        <f>IF(VLOOKUP(CONCATENATE(H210,F210,FR$2),GeoHis!$A:$H,7,FALSE)=CF210,1,0)</f>
        <v>#N/A</v>
      </c>
      <c r="FS210" s="138" t="e">
        <f>IF(VLOOKUP(CONCATENATE(H210,F210,FS$2),GeoHis!$A:$H,7,FALSE)=CG210,1,0)</f>
        <v>#N/A</v>
      </c>
      <c r="FT210" s="138" t="e">
        <f>IF(VLOOKUP(CONCATENATE(H210,F210,FT$2),GeoHis!$A:$H,7,FALSE)=CH210,1,0)</f>
        <v>#N/A</v>
      </c>
      <c r="FU210" s="138" t="e">
        <f>IF(VLOOKUP(CONCATENATE(H210,F210,FU$2),GeoHis!$A:$H,7,FALSE)=CI210,1,0)</f>
        <v>#N/A</v>
      </c>
      <c r="FV210" s="138" t="e">
        <f>IF(VLOOKUP(CONCATENATE(H210,F210,FV$2),GeoHis!$A:$H,7,FALSE)=CJ210,1,0)</f>
        <v>#N/A</v>
      </c>
      <c r="FW210" s="138" t="e">
        <f>IF(VLOOKUP(CONCATENATE(H210,F210,FW$2),GeoHis!$A:$H,7,FALSE)=CK210,1,0)</f>
        <v>#N/A</v>
      </c>
      <c r="FX210" s="138" t="e">
        <f>IF(VLOOKUP(CONCATENATE(H210,F210,FX$2),GeoHis!$A:$H,7,FALSE)=CL210,1,0)</f>
        <v>#N/A</v>
      </c>
      <c r="FY210" s="138" t="e">
        <f>IF(VLOOKUP(CONCATENATE(H210,F210,FY$2),GeoHis!$A:$H,7,FALSE)=CM210,1,0)</f>
        <v>#N/A</v>
      </c>
      <c r="FZ210" s="138" t="e">
        <f>IF(VLOOKUP(CONCATENATE(H210,F210,FZ$2),GeoHis!$A:$H,7,FALSE)=CN210,1,0)</f>
        <v>#N/A</v>
      </c>
      <c r="GA210" s="138" t="e">
        <f>IF(VLOOKUP(CONCATENATE(H210,F210,GA$2),GeoHis!$A:$H,7,FALSE)=CO210,1,0)</f>
        <v>#N/A</v>
      </c>
      <c r="GB210" s="138" t="e">
        <f>IF(VLOOKUP(CONCATENATE(H210,F210,GB$2),GeoHis!$A:$H,7,FALSE)=CP210,1,0)</f>
        <v>#N/A</v>
      </c>
      <c r="GC210" s="138" t="e">
        <f>IF(VLOOKUP(CONCATENATE(H210,F210,GC$2),GeoHis!$A:$H,7,FALSE)=CQ210,1,0)</f>
        <v>#N/A</v>
      </c>
      <c r="GD210" s="138" t="e">
        <f>IF(VLOOKUP(CONCATENATE(H210,F210,GD$2),GeoHis!$A:$H,7,FALSE)=CR210,1,0)</f>
        <v>#N/A</v>
      </c>
      <c r="GE210" s="135" t="str">
        <f t="shared" si="31"/>
        <v/>
      </c>
    </row>
    <row r="211" spans="1:187" x14ac:dyDescent="0.25">
      <c r="A211" s="127" t="str">
        <f>IF(C211="","",'Datos Generales'!$A$25)</f>
        <v/>
      </c>
      <c r="D211" s="126" t="str">
        <f t="shared" si="24"/>
        <v/>
      </c>
      <c r="E211" s="126">
        <f t="shared" si="25"/>
        <v>0</v>
      </c>
      <c r="F211" s="126" t="str">
        <f t="shared" si="26"/>
        <v/>
      </c>
      <c r="G211" s="126" t="str">
        <f>IF(C211="","",'Datos Generales'!$D$19)</f>
        <v/>
      </c>
      <c r="H211" s="21" t="str">
        <f>IF(C211="","",'Datos Generales'!$A$19)</f>
        <v/>
      </c>
      <c r="I211" s="126" t="str">
        <f>IF(C211="","",'Datos Generales'!$A$7)</f>
        <v/>
      </c>
      <c r="J211" s="21" t="str">
        <f>IF(C211="","",'Datos Generales'!$A$13)</f>
        <v/>
      </c>
      <c r="K211" s="21" t="str">
        <f>IF(C211="","",'Datos Generales'!$A$10)</f>
        <v/>
      </c>
      <c r="CS211" s="142" t="str">
        <f t="shared" si="27"/>
        <v/>
      </c>
      <c r="CT211" s="142" t="str">
        <f t="shared" si="28"/>
        <v/>
      </c>
      <c r="CU211" s="142" t="str">
        <f t="shared" si="29"/>
        <v/>
      </c>
      <c r="CV211" s="142" t="str">
        <f t="shared" si="30"/>
        <v/>
      </c>
      <c r="CW211" s="142" t="str">
        <f>IF(C211="","",IF('Datos Generales'!$A$19=1,AVERAGE(FP211:GD211),AVERAGE(Captura!FP211:FY211)))</f>
        <v/>
      </c>
      <c r="CX211" s="138" t="e">
        <f>IF(VLOOKUP(CONCATENATE($H$4,$F$4,CX$2),Español!$A:$H,7,FALSE)=L211,1,0)</f>
        <v>#N/A</v>
      </c>
      <c r="CY211" s="138" t="e">
        <f>IF(VLOOKUP(CONCATENATE(H211,F211,CY$2),Español!$A:$H,7,FALSE)=M211,1,0)</f>
        <v>#N/A</v>
      </c>
      <c r="CZ211" s="138" t="e">
        <f>IF(VLOOKUP(CONCATENATE(H211,F211,CZ$2),Español!$A:$H,7,FALSE)=N211,1,0)</f>
        <v>#N/A</v>
      </c>
      <c r="DA211" s="138" t="e">
        <f>IF(VLOOKUP(CONCATENATE(H211,F211,DA$2),Español!$A:$H,7,FALSE)=O211,1,0)</f>
        <v>#N/A</v>
      </c>
      <c r="DB211" s="138" t="e">
        <f>IF(VLOOKUP(CONCATENATE(H211,F211,DB$2),Español!$A:$H,7,FALSE)=P211,1,0)</f>
        <v>#N/A</v>
      </c>
      <c r="DC211" s="138" t="e">
        <f>IF(VLOOKUP(CONCATENATE(H211,F211,DC$2),Español!$A:$H,7,FALSE)=Q211,1,0)</f>
        <v>#N/A</v>
      </c>
      <c r="DD211" s="138" t="e">
        <f>IF(VLOOKUP(CONCATENATE(H211,F211,DD$2),Español!$A:$H,7,FALSE)=R211,1,0)</f>
        <v>#N/A</v>
      </c>
      <c r="DE211" s="138" t="e">
        <f>IF(VLOOKUP(CONCATENATE(H211,F211,DE$2),Español!$A:$H,7,FALSE)=S211,1,0)</f>
        <v>#N/A</v>
      </c>
      <c r="DF211" s="138" t="e">
        <f>IF(VLOOKUP(CONCATENATE(H211,F211,DF$2),Español!$A:$H,7,FALSE)=T211,1,0)</f>
        <v>#N/A</v>
      </c>
      <c r="DG211" s="138" t="e">
        <f>IF(VLOOKUP(CONCATENATE(H211,F211,DG$2),Español!$A:$H,7,FALSE)=U211,1,0)</f>
        <v>#N/A</v>
      </c>
      <c r="DH211" s="138" t="e">
        <f>IF(VLOOKUP(CONCATENATE(H211,F211,DH$2),Español!$A:$H,7,FALSE)=V211,1,0)</f>
        <v>#N/A</v>
      </c>
      <c r="DI211" s="138" t="e">
        <f>IF(VLOOKUP(CONCATENATE(H211,F211,DI$2),Español!$A:$H,7,FALSE)=W211,1,0)</f>
        <v>#N/A</v>
      </c>
      <c r="DJ211" s="138" t="e">
        <f>IF(VLOOKUP(CONCATENATE(H211,F211,DJ$2),Español!$A:$H,7,FALSE)=X211,1,0)</f>
        <v>#N/A</v>
      </c>
      <c r="DK211" s="138" t="e">
        <f>IF(VLOOKUP(CONCATENATE(H211,F211,DK$2),Español!$A:$H,7,FALSE)=Y211,1,0)</f>
        <v>#N/A</v>
      </c>
      <c r="DL211" s="138" t="e">
        <f>IF(VLOOKUP(CONCATENATE(H211,F211,DL$2),Español!$A:$H,7,FALSE)=Z211,1,0)</f>
        <v>#N/A</v>
      </c>
      <c r="DM211" s="138" t="e">
        <f>IF(VLOOKUP(CONCATENATE(H211,F211,DM$2),Español!$A:$H,7,FALSE)=AA211,1,0)</f>
        <v>#N/A</v>
      </c>
      <c r="DN211" s="138" t="e">
        <f>IF(VLOOKUP(CONCATENATE(H211,F211,DN$2),Español!$A:$H,7,FALSE)=AB211,1,0)</f>
        <v>#N/A</v>
      </c>
      <c r="DO211" s="138" t="e">
        <f>IF(VLOOKUP(CONCATENATE(H211,F211,DO$2),Español!$A:$H,7,FALSE)=AC211,1,0)</f>
        <v>#N/A</v>
      </c>
      <c r="DP211" s="138" t="e">
        <f>IF(VLOOKUP(CONCATENATE(H211,F211,DP$2),Español!$A:$H,7,FALSE)=AD211,1,0)</f>
        <v>#N/A</v>
      </c>
      <c r="DQ211" s="138" t="e">
        <f>IF(VLOOKUP(CONCATENATE(H211,F211,DQ$2),Español!$A:$H,7,FALSE)=AE211,1,0)</f>
        <v>#N/A</v>
      </c>
      <c r="DR211" s="138" t="e">
        <f>IF(VLOOKUP(CONCATENATE(H211,F211,DR$2),Inglés!$A:$H,7,FALSE)=AF211,1,0)</f>
        <v>#N/A</v>
      </c>
      <c r="DS211" s="138" t="e">
        <f>IF(VLOOKUP(CONCATENATE(H211,F211,DS$2),Inglés!$A:$H,7,FALSE)=AG211,1,0)</f>
        <v>#N/A</v>
      </c>
      <c r="DT211" s="138" t="e">
        <f>IF(VLOOKUP(CONCATENATE(H211,F211,DT$2),Inglés!$A:$H,7,FALSE)=AH211,1,0)</f>
        <v>#N/A</v>
      </c>
      <c r="DU211" s="138" t="e">
        <f>IF(VLOOKUP(CONCATENATE(H211,F211,DU$2),Inglés!$A:$H,7,FALSE)=AI211,1,0)</f>
        <v>#N/A</v>
      </c>
      <c r="DV211" s="138" t="e">
        <f>IF(VLOOKUP(CONCATENATE(H211,F211,DV$2),Inglés!$A:$H,7,FALSE)=AJ211,1,0)</f>
        <v>#N/A</v>
      </c>
      <c r="DW211" s="138" t="e">
        <f>IF(VLOOKUP(CONCATENATE(H211,F211,DW$2),Inglés!$A:$H,7,FALSE)=AK211,1,0)</f>
        <v>#N/A</v>
      </c>
      <c r="DX211" s="138" t="e">
        <f>IF(VLOOKUP(CONCATENATE(H211,F211,DX$2),Inglés!$A:$H,7,FALSE)=AL211,1,0)</f>
        <v>#N/A</v>
      </c>
      <c r="DY211" s="138" t="e">
        <f>IF(VLOOKUP(CONCATENATE(H211,F211,DY$2),Inglés!$A:$H,7,FALSE)=AM211,1,0)</f>
        <v>#N/A</v>
      </c>
      <c r="DZ211" s="138" t="e">
        <f>IF(VLOOKUP(CONCATENATE(H211,F211,DZ$2),Inglés!$A:$H,7,FALSE)=AN211,1,0)</f>
        <v>#N/A</v>
      </c>
      <c r="EA211" s="138" t="e">
        <f>IF(VLOOKUP(CONCATENATE(H211,F211,EA$2),Inglés!$A:$H,7,FALSE)=AO211,1,0)</f>
        <v>#N/A</v>
      </c>
      <c r="EB211" s="138" t="e">
        <f>IF(VLOOKUP(CONCATENATE(H211,F211,EB$2),Matemáticas!$A:$H,7,FALSE)=AP211,1,0)</f>
        <v>#N/A</v>
      </c>
      <c r="EC211" s="138" t="e">
        <f>IF(VLOOKUP(CONCATENATE(H211,F211,EC$2),Matemáticas!$A:$H,7,FALSE)=AQ211,1,0)</f>
        <v>#N/A</v>
      </c>
      <c r="ED211" s="138" t="e">
        <f>IF(VLOOKUP(CONCATENATE(H211,F211,ED$2),Matemáticas!$A:$H,7,FALSE)=AR211,1,0)</f>
        <v>#N/A</v>
      </c>
      <c r="EE211" s="138" t="e">
        <f>IF(VLOOKUP(CONCATENATE(H211,F211,EE$2),Matemáticas!$A:$H,7,FALSE)=AS211,1,0)</f>
        <v>#N/A</v>
      </c>
      <c r="EF211" s="138" t="e">
        <f>IF(VLOOKUP(CONCATENATE(H211,F211,EF$2),Matemáticas!$A:$H,7,FALSE)=AT211,1,0)</f>
        <v>#N/A</v>
      </c>
      <c r="EG211" s="138" t="e">
        <f>IF(VLOOKUP(CONCATENATE(H211,F211,EG$2),Matemáticas!$A:$H,7,FALSE)=AU211,1,0)</f>
        <v>#N/A</v>
      </c>
      <c r="EH211" s="138" t="e">
        <f>IF(VLOOKUP(CONCATENATE(H211,F211,EH$2),Matemáticas!$A:$H,7,FALSE)=AV211,1,0)</f>
        <v>#N/A</v>
      </c>
      <c r="EI211" s="138" t="e">
        <f>IF(VLOOKUP(CONCATENATE(H211,F211,EI$2),Matemáticas!$A:$H,7,FALSE)=AW211,1,0)</f>
        <v>#N/A</v>
      </c>
      <c r="EJ211" s="138" t="e">
        <f>IF(VLOOKUP(CONCATENATE(H211,F211,EJ$2),Matemáticas!$A:$H,7,FALSE)=AX211,1,0)</f>
        <v>#N/A</v>
      </c>
      <c r="EK211" s="138" t="e">
        <f>IF(VLOOKUP(CONCATENATE(H211,F211,EK$2),Matemáticas!$A:$H,7,FALSE)=AY211,1,0)</f>
        <v>#N/A</v>
      </c>
      <c r="EL211" s="138" t="e">
        <f>IF(VLOOKUP(CONCATENATE(H211,F211,EL$2),Matemáticas!$A:$H,7,FALSE)=AZ211,1,0)</f>
        <v>#N/A</v>
      </c>
      <c r="EM211" s="138" t="e">
        <f>IF(VLOOKUP(CONCATENATE(H211,F211,EM$2),Matemáticas!$A:$H,7,FALSE)=BA211,1,0)</f>
        <v>#N/A</v>
      </c>
      <c r="EN211" s="138" t="e">
        <f>IF(VLOOKUP(CONCATENATE(H211,F211,EN$2),Matemáticas!$A:$H,7,FALSE)=BB211,1,0)</f>
        <v>#N/A</v>
      </c>
      <c r="EO211" s="138" t="e">
        <f>IF(VLOOKUP(CONCATENATE(H211,F211,EO$2),Matemáticas!$A:$H,7,FALSE)=BC211,1,0)</f>
        <v>#N/A</v>
      </c>
      <c r="EP211" s="138" t="e">
        <f>IF(VLOOKUP(CONCATENATE(H211,F211,EP$2),Matemáticas!$A:$H,7,FALSE)=BD211,1,0)</f>
        <v>#N/A</v>
      </c>
      <c r="EQ211" s="138" t="e">
        <f>IF(VLOOKUP(CONCATENATE(H211,F211,EQ$2),Matemáticas!$A:$H,7,FALSE)=BE211,1,0)</f>
        <v>#N/A</v>
      </c>
      <c r="ER211" s="138" t="e">
        <f>IF(VLOOKUP(CONCATENATE(H211,F211,ER$2),Matemáticas!$A:$H,7,FALSE)=BF211,1,0)</f>
        <v>#N/A</v>
      </c>
      <c r="ES211" s="138" t="e">
        <f>IF(VLOOKUP(CONCATENATE(H211,F211,ES$2),Matemáticas!$A:$H,7,FALSE)=BG211,1,0)</f>
        <v>#N/A</v>
      </c>
      <c r="ET211" s="138" t="e">
        <f>IF(VLOOKUP(CONCATENATE(H211,F211,ET$2),Matemáticas!$A:$H,7,FALSE)=BH211,1,0)</f>
        <v>#N/A</v>
      </c>
      <c r="EU211" s="138" t="e">
        <f>IF(VLOOKUP(CONCATENATE(H211,F211,EU$2),Matemáticas!$A:$H,7,FALSE)=BI211,1,0)</f>
        <v>#N/A</v>
      </c>
      <c r="EV211" s="138" t="e">
        <f>IF(VLOOKUP(CONCATENATE(H211,F211,EV$2),Ciencias!$A:$H,7,FALSE)=BJ211,1,0)</f>
        <v>#N/A</v>
      </c>
      <c r="EW211" s="138" t="e">
        <f>IF(VLOOKUP(CONCATENATE(H211,F211,EW$2),Ciencias!$A:$H,7,FALSE)=BK211,1,0)</f>
        <v>#N/A</v>
      </c>
      <c r="EX211" s="138" t="e">
        <f>IF(VLOOKUP(CONCATENATE(H211,F211,EX$2),Ciencias!$A:$H,7,FALSE)=BL211,1,0)</f>
        <v>#N/A</v>
      </c>
      <c r="EY211" s="138" t="e">
        <f>IF(VLOOKUP(CONCATENATE(H211,F211,EY$2),Ciencias!$A:$H,7,FALSE)=BM211,1,0)</f>
        <v>#N/A</v>
      </c>
      <c r="EZ211" s="138" t="e">
        <f>IF(VLOOKUP(CONCATENATE(H211,F211,EZ$2),Ciencias!$A:$H,7,FALSE)=BN211,1,0)</f>
        <v>#N/A</v>
      </c>
      <c r="FA211" s="138" t="e">
        <f>IF(VLOOKUP(CONCATENATE(H211,F211,FA$2),Ciencias!$A:$H,7,FALSE)=BO211,1,0)</f>
        <v>#N/A</v>
      </c>
      <c r="FB211" s="138" t="e">
        <f>IF(VLOOKUP(CONCATENATE(H211,F211,FB$2),Ciencias!$A:$H,7,FALSE)=BP211,1,0)</f>
        <v>#N/A</v>
      </c>
      <c r="FC211" s="138" t="e">
        <f>IF(VLOOKUP(CONCATENATE(H211,F211,FC$2),Ciencias!$A:$H,7,FALSE)=BQ211,1,0)</f>
        <v>#N/A</v>
      </c>
      <c r="FD211" s="138" t="e">
        <f>IF(VLOOKUP(CONCATENATE(H211,F211,FD$2),Ciencias!$A:$H,7,FALSE)=BR211,1,0)</f>
        <v>#N/A</v>
      </c>
      <c r="FE211" s="138" t="e">
        <f>IF(VLOOKUP(CONCATENATE(H211,F211,FE$2),Ciencias!$A:$H,7,FALSE)=BS211,1,0)</f>
        <v>#N/A</v>
      </c>
      <c r="FF211" s="138" t="e">
        <f>IF(VLOOKUP(CONCATENATE(H211,F211,FF$2),Ciencias!$A:$H,7,FALSE)=BT211,1,0)</f>
        <v>#N/A</v>
      </c>
      <c r="FG211" s="138" t="e">
        <f>IF(VLOOKUP(CONCATENATE(H211,F211,FG$2),Ciencias!$A:$H,7,FALSE)=BU211,1,0)</f>
        <v>#N/A</v>
      </c>
      <c r="FH211" s="138" t="e">
        <f>IF(VLOOKUP(CONCATENATE(H211,F211,FH$2),Ciencias!$A:$H,7,FALSE)=BV211,1,0)</f>
        <v>#N/A</v>
      </c>
      <c r="FI211" s="138" t="e">
        <f>IF(VLOOKUP(CONCATENATE(H211,F211,FI$2),Ciencias!$A:$H,7,FALSE)=BW211,1,0)</f>
        <v>#N/A</v>
      </c>
      <c r="FJ211" s="138" t="e">
        <f>IF(VLOOKUP(CONCATENATE(H211,F211,FJ$2),Ciencias!$A:$H,7,FALSE)=BX211,1,0)</f>
        <v>#N/A</v>
      </c>
      <c r="FK211" s="138" t="e">
        <f>IF(VLOOKUP(CONCATENATE(H211,F211,FK$2),Ciencias!$A:$H,7,FALSE)=BY211,1,0)</f>
        <v>#N/A</v>
      </c>
      <c r="FL211" s="138" t="e">
        <f>IF(VLOOKUP(CONCATENATE(H211,F211,FL$2),Ciencias!$A:$H,7,FALSE)=BZ211,1,0)</f>
        <v>#N/A</v>
      </c>
      <c r="FM211" s="138" t="e">
        <f>IF(VLOOKUP(CONCATENATE(H211,F211,FM$2),Ciencias!$A:$H,7,FALSE)=CA211,1,0)</f>
        <v>#N/A</v>
      </c>
      <c r="FN211" s="138" t="e">
        <f>IF(VLOOKUP(CONCATENATE(H211,F211,FN$2),Ciencias!$A:$H,7,FALSE)=CB211,1,0)</f>
        <v>#N/A</v>
      </c>
      <c r="FO211" s="138" t="e">
        <f>IF(VLOOKUP(CONCATENATE(H211,F211,FO$2),Ciencias!$A:$H,7,FALSE)=CC211,1,0)</f>
        <v>#N/A</v>
      </c>
      <c r="FP211" s="138" t="e">
        <f>IF(VLOOKUP(CONCATENATE(H211,F211,FP$2),GeoHis!$A:$H,7,FALSE)=CD211,1,0)</f>
        <v>#N/A</v>
      </c>
      <c r="FQ211" s="138" t="e">
        <f>IF(VLOOKUP(CONCATENATE(H211,F211,FQ$2),GeoHis!$A:$H,7,FALSE)=CE211,1,0)</f>
        <v>#N/A</v>
      </c>
      <c r="FR211" s="138" t="e">
        <f>IF(VLOOKUP(CONCATENATE(H211,F211,FR$2),GeoHis!$A:$H,7,FALSE)=CF211,1,0)</f>
        <v>#N/A</v>
      </c>
      <c r="FS211" s="138" t="e">
        <f>IF(VLOOKUP(CONCATENATE(H211,F211,FS$2),GeoHis!$A:$H,7,FALSE)=CG211,1,0)</f>
        <v>#N/A</v>
      </c>
      <c r="FT211" s="138" t="e">
        <f>IF(VLOOKUP(CONCATENATE(H211,F211,FT$2),GeoHis!$A:$H,7,FALSE)=CH211,1,0)</f>
        <v>#N/A</v>
      </c>
      <c r="FU211" s="138" t="e">
        <f>IF(VLOOKUP(CONCATENATE(H211,F211,FU$2),GeoHis!$A:$H,7,FALSE)=CI211,1,0)</f>
        <v>#N/A</v>
      </c>
      <c r="FV211" s="138" t="e">
        <f>IF(VLOOKUP(CONCATENATE(H211,F211,FV$2),GeoHis!$A:$H,7,FALSE)=CJ211,1,0)</f>
        <v>#N/A</v>
      </c>
      <c r="FW211" s="138" t="e">
        <f>IF(VLOOKUP(CONCATENATE(H211,F211,FW$2),GeoHis!$A:$H,7,FALSE)=CK211,1,0)</f>
        <v>#N/A</v>
      </c>
      <c r="FX211" s="138" t="e">
        <f>IF(VLOOKUP(CONCATENATE(H211,F211,FX$2),GeoHis!$A:$H,7,FALSE)=CL211,1,0)</f>
        <v>#N/A</v>
      </c>
      <c r="FY211" s="138" t="e">
        <f>IF(VLOOKUP(CONCATENATE(H211,F211,FY$2),GeoHis!$A:$H,7,FALSE)=CM211,1,0)</f>
        <v>#N/A</v>
      </c>
      <c r="FZ211" s="138" t="e">
        <f>IF(VLOOKUP(CONCATENATE(H211,F211,FZ$2),GeoHis!$A:$H,7,FALSE)=CN211,1,0)</f>
        <v>#N/A</v>
      </c>
      <c r="GA211" s="138" t="e">
        <f>IF(VLOOKUP(CONCATENATE(H211,F211,GA$2),GeoHis!$A:$H,7,FALSE)=CO211,1,0)</f>
        <v>#N/A</v>
      </c>
      <c r="GB211" s="138" t="e">
        <f>IF(VLOOKUP(CONCATENATE(H211,F211,GB$2),GeoHis!$A:$H,7,FALSE)=CP211,1,0)</f>
        <v>#N/A</v>
      </c>
      <c r="GC211" s="138" t="e">
        <f>IF(VLOOKUP(CONCATENATE(H211,F211,GC$2),GeoHis!$A:$H,7,FALSE)=CQ211,1,0)</f>
        <v>#N/A</v>
      </c>
      <c r="GD211" s="138" t="e">
        <f>IF(VLOOKUP(CONCATENATE(H211,F211,GD$2),GeoHis!$A:$H,7,FALSE)=CR211,1,0)</f>
        <v>#N/A</v>
      </c>
      <c r="GE211" s="135" t="str">
        <f t="shared" si="31"/>
        <v/>
      </c>
    </row>
    <row r="212" spans="1:187" x14ac:dyDescent="0.25">
      <c r="A212" s="127" t="str">
        <f>IF(C212="","",'Datos Generales'!$A$25)</f>
        <v/>
      </c>
      <c r="D212" s="126" t="str">
        <f t="shared" si="24"/>
        <v/>
      </c>
      <c r="E212" s="126">
        <f t="shared" si="25"/>
        <v>0</v>
      </c>
      <c r="F212" s="126" t="str">
        <f t="shared" si="26"/>
        <v/>
      </c>
      <c r="G212" s="126" t="str">
        <f>IF(C212="","",'Datos Generales'!$D$19)</f>
        <v/>
      </c>
      <c r="H212" s="21" t="str">
        <f>IF(C212="","",'Datos Generales'!$A$19)</f>
        <v/>
      </c>
      <c r="I212" s="126" t="str">
        <f>IF(C212="","",'Datos Generales'!$A$7)</f>
        <v/>
      </c>
      <c r="J212" s="21" t="str">
        <f>IF(C212="","",'Datos Generales'!$A$13)</f>
        <v/>
      </c>
      <c r="K212" s="21" t="str">
        <f>IF(C212="","",'Datos Generales'!$A$10)</f>
        <v/>
      </c>
      <c r="CS212" s="142" t="str">
        <f t="shared" si="27"/>
        <v/>
      </c>
      <c r="CT212" s="142" t="str">
        <f t="shared" si="28"/>
        <v/>
      </c>
      <c r="CU212" s="142" t="str">
        <f t="shared" si="29"/>
        <v/>
      </c>
      <c r="CV212" s="142" t="str">
        <f t="shared" si="30"/>
        <v/>
      </c>
      <c r="CW212" s="142" t="str">
        <f>IF(C212="","",IF('Datos Generales'!$A$19=1,AVERAGE(FP212:GD212),AVERAGE(Captura!FP212:FY212)))</f>
        <v/>
      </c>
      <c r="CX212" s="138" t="e">
        <f>IF(VLOOKUP(CONCATENATE($H$4,$F$4,CX$2),Español!$A:$H,7,FALSE)=L212,1,0)</f>
        <v>#N/A</v>
      </c>
      <c r="CY212" s="138" t="e">
        <f>IF(VLOOKUP(CONCATENATE(H212,F212,CY$2),Español!$A:$H,7,FALSE)=M212,1,0)</f>
        <v>#N/A</v>
      </c>
      <c r="CZ212" s="138" t="e">
        <f>IF(VLOOKUP(CONCATENATE(H212,F212,CZ$2),Español!$A:$H,7,FALSE)=N212,1,0)</f>
        <v>#N/A</v>
      </c>
      <c r="DA212" s="138" t="e">
        <f>IF(VLOOKUP(CONCATENATE(H212,F212,DA$2),Español!$A:$H,7,FALSE)=O212,1,0)</f>
        <v>#N/A</v>
      </c>
      <c r="DB212" s="138" t="e">
        <f>IF(VLOOKUP(CONCATENATE(H212,F212,DB$2),Español!$A:$H,7,FALSE)=P212,1,0)</f>
        <v>#N/A</v>
      </c>
      <c r="DC212" s="138" t="e">
        <f>IF(VLOOKUP(CONCATENATE(H212,F212,DC$2),Español!$A:$H,7,FALSE)=Q212,1,0)</f>
        <v>#N/A</v>
      </c>
      <c r="DD212" s="138" t="e">
        <f>IF(VLOOKUP(CONCATENATE(H212,F212,DD$2),Español!$A:$H,7,FALSE)=R212,1,0)</f>
        <v>#N/A</v>
      </c>
      <c r="DE212" s="138" t="e">
        <f>IF(VLOOKUP(CONCATENATE(H212,F212,DE$2),Español!$A:$H,7,FALSE)=S212,1,0)</f>
        <v>#N/A</v>
      </c>
      <c r="DF212" s="138" t="e">
        <f>IF(VLOOKUP(CONCATENATE(H212,F212,DF$2),Español!$A:$H,7,FALSE)=T212,1,0)</f>
        <v>#N/A</v>
      </c>
      <c r="DG212" s="138" t="e">
        <f>IF(VLOOKUP(CONCATENATE(H212,F212,DG$2),Español!$A:$H,7,FALSE)=U212,1,0)</f>
        <v>#N/A</v>
      </c>
      <c r="DH212" s="138" t="e">
        <f>IF(VLOOKUP(CONCATENATE(H212,F212,DH$2),Español!$A:$H,7,FALSE)=V212,1,0)</f>
        <v>#N/A</v>
      </c>
      <c r="DI212" s="138" t="e">
        <f>IF(VLOOKUP(CONCATENATE(H212,F212,DI$2),Español!$A:$H,7,FALSE)=W212,1,0)</f>
        <v>#N/A</v>
      </c>
      <c r="DJ212" s="138" t="e">
        <f>IF(VLOOKUP(CONCATENATE(H212,F212,DJ$2),Español!$A:$H,7,FALSE)=X212,1,0)</f>
        <v>#N/A</v>
      </c>
      <c r="DK212" s="138" t="e">
        <f>IF(VLOOKUP(CONCATENATE(H212,F212,DK$2),Español!$A:$H,7,FALSE)=Y212,1,0)</f>
        <v>#N/A</v>
      </c>
      <c r="DL212" s="138" t="e">
        <f>IF(VLOOKUP(CONCATENATE(H212,F212,DL$2),Español!$A:$H,7,FALSE)=Z212,1,0)</f>
        <v>#N/A</v>
      </c>
      <c r="DM212" s="138" t="e">
        <f>IF(VLOOKUP(CONCATENATE(H212,F212,DM$2),Español!$A:$H,7,FALSE)=AA212,1,0)</f>
        <v>#N/A</v>
      </c>
      <c r="DN212" s="138" t="e">
        <f>IF(VLOOKUP(CONCATENATE(H212,F212,DN$2),Español!$A:$H,7,FALSE)=AB212,1,0)</f>
        <v>#N/A</v>
      </c>
      <c r="DO212" s="138" t="e">
        <f>IF(VLOOKUP(CONCATENATE(H212,F212,DO$2),Español!$A:$H,7,FALSE)=AC212,1,0)</f>
        <v>#N/A</v>
      </c>
      <c r="DP212" s="138" t="e">
        <f>IF(VLOOKUP(CONCATENATE(H212,F212,DP$2),Español!$A:$H,7,FALSE)=AD212,1,0)</f>
        <v>#N/A</v>
      </c>
      <c r="DQ212" s="138" t="e">
        <f>IF(VLOOKUP(CONCATENATE(H212,F212,DQ$2),Español!$A:$H,7,FALSE)=AE212,1,0)</f>
        <v>#N/A</v>
      </c>
      <c r="DR212" s="138" t="e">
        <f>IF(VLOOKUP(CONCATENATE(H212,F212,DR$2),Inglés!$A:$H,7,FALSE)=AF212,1,0)</f>
        <v>#N/A</v>
      </c>
      <c r="DS212" s="138" t="e">
        <f>IF(VLOOKUP(CONCATENATE(H212,F212,DS$2),Inglés!$A:$H,7,FALSE)=AG212,1,0)</f>
        <v>#N/A</v>
      </c>
      <c r="DT212" s="138" t="e">
        <f>IF(VLOOKUP(CONCATENATE(H212,F212,DT$2),Inglés!$A:$H,7,FALSE)=AH212,1,0)</f>
        <v>#N/A</v>
      </c>
      <c r="DU212" s="138" t="e">
        <f>IF(VLOOKUP(CONCATENATE(H212,F212,DU$2),Inglés!$A:$H,7,FALSE)=AI212,1,0)</f>
        <v>#N/A</v>
      </c>
      <c r="DV212" s="138" t="e">
        <f>IF(VLOOKUP(CONCATENATE(H212,F212,DV$2),Inglés!$A:$H,7,FALSE)=AJ212,1,0)</f>
        <v>#N/A</v>
      </c>
      <c r="DW212" s="138" t="e">
        <f>IF(VLOOKUP(CONCATENATE(H212,F212,DW$2),Inglés!$A:$H,7,FALSE)=AK212,1,0)</f>
        <v>#N/A</v>
      </c>
      <c r="DX212" s="138" t="e">
        <f>IF(VLOOKUP(CONCATENATE(H212,F212,DX$2),Inglés!$A:$H,7,FALSE)=AL212,1,0)</f>
        <v>#N/A</v>
      </c>
      <c r="DY212" s="138" t="e">
        <f>IF(VLOOKUP(CONCATENATE(H212,F212,DY$2),Inglés!$A:$H,7,FALSE)=AM212,1,0)</f>
        <v>#N/A</v>
      </c>
      <c r="DZ212" s="138" t="e">
        <f>IF(VLOOKUP(CONCATENATE(H212,F212,DZ$2),Inglés!$A:$H,7,FALSE)=AN212,1,0)</f>
        <v>#N/A</v>
      </c>
      <c r="EA212" s="138" t="e">
        <f>IF(VLOOKUP(CONCATENATE(H212,F212,EA$2),Inglés!$A:$H,7,FALSE)=AO212,1,0)</f>
        <v>#N/A</v>
      </c>
      <c r="EB212" s="138" t="e">
        <f>IF(VLOOKUP(CONCATENATE(H212,F212,EB$2),Matemáticas!$A:$H,7,FALSE)=AP212,1,0)</f>
        <v>#N/A</v>
      </c>
      <c r="EC212" s="138" t="e">
        <f>IF(VLOOKUP(CONCATENATE(H212,F212,EC$2),Matemáticas!$A:$H,7,FALSE)=AQ212,1,0)</f>
        <v>#N/A</v>
      </c>
      <c r="ED212" s="138" t="e">
        <f>IF(VLOOKUP(CONCATENATE(H212,F212,ED$2),Matemáticas!$A:$H,7,FALSE)=AR212,1,0)</f>
        <v>#N/A</v>
      </c>
      <c r="EE212" s="138" t="e">
        <f>IF(VLOOKUP(CONCATENATE(H212,F212,EE$2),Matemáticas!$A:$H,7,FALSE)=AS212,1,0)</f>
        <v>#N/A</v>
      </c>
      <c r="EF212" s="138" t="e">
        <f>IF(VLOOKUP(CONCATENATE(H212,F212,EF$2),Matemáticas!$A:$H,7,FALSE)=AT212,1,0)</f>
        <v>#N/A</v>
      </c>
      <c r="EG212" s="138" t="e">
        <f>IF(VLOOKUP(CONCATENATE(H212,F212,EG$2),Matemáticas!$A:$H,7,FALSE)=AU212,1,0)</f>
        <v>#N/A</v>
      </c>
      <c r="EH212" s="138" t="e">
        <f>IF(VLOOKUP(CONCATENATE(H212,F212,EH$2),Matemáticas!$A:$H,7,FALSE)=AV212,1,0)</f>
        <v>#N/A</v>
      </c>
      <c r="EI212" s="138" t="e">
        <f>IF(VLOOKUP(CONCATENATE(H212,F212,EI$2),Matemáticas!$A:$H,7,FALSE)=AW212,1,0)</f>
        <v>#N/A</v>
      </c>
      <c r="EJ212" s="138" t="e">
        <f>IF(VLOOKUP(CONCATENATE(H212,F212,EJ$2),Matemáticas!$A:$H,7,FALSE)=AX212,1,0)</f>
        <v>#N/A</v>
      </c>
      <c r="EK212" s="138" t="e">
        <f>IF(VLOOKUP(CONCATENATE(H212,F212,EK$2),Matemáticas!$A:$H,7,FALSE)=AY212,1,0)</f>
        <v>#N/A</v>
      </c>
      <c r="EL212" s="138" t="e">
        <f>IF(VLOOKUP(CONCATENATE(H212,F212,EL$2),Matemáticas!$A:$H,7,FALSE)=AZ212,1,0)</f>
        <v>#N/A</v>
      </c>
      <c r="EM212" s="138" t="e">
        <f>IF(VLOOKUP(CONCATENATE(H212,F212,EM$2),Matemáticas!$A:$H,7,FALSE)=BA212,1,0)</f>
        <v>#N/A</v>
      </c>
      <c r="EN212" s="138" t="e">
        <f>IF(VLOOKUP(CONCATENATE(H212,F212,EN$2),Matemáticas!$A:$H,7,FALSE)=BB212,1,0)</f>
        <v>#N/A</v>
      </c>
      <c r="EO212" s="138" t="e">
        <f>IF(VLOOKUP(CONCATENATE(H212,F212,EO$2),Matemáticas!$A:$H,7,FALSE)=BC212,1,0)</f>
        <v>#N/A</v>
      </c>
      <c r="EP212" s="138" t="e">
        <f>IF(VLOOKUP(CONCATENATE(H212,F212,EP$2),Matemáticas!$A:$H,7,FALSE)=BD212,1,0)</f>
        <v>#N/A</v>
      </c>
      <c r="EQ212" s="138" t="e">
        <f>IF(VLOOKUP(CONCATENATE(H212,F212,EQ$2),Matemáticas!$A:$H,7,FALSE)=BE212,1,0)</f>
        <v>#N/A</v>
      </c>
      <c r="ER212" s="138" t="e">
        <f>IF(VLOOKUP(CONCATENATE(H212,F212,ER$2),Matemáticas!$A:$H,7,FALSE)=BF212,1,0)</f>
        <v>#N/A</v>
      </c>
      <c r="ES212" s="138" t="e">
        <f>IF(VLOOKUP(CONCATENATE(H212,F212,ES$2),Matemáticas!$A:$H,7,FALSE)=BG212,1,0)</f>
        <v>#N/A</v>
      </c>
      <c r="ET212" s="138" t="e">
        <f>IF(VLOOKUP(CONCATENATE(H212,F212,ET$2),Matemáticas!$A:$H,7,FALSE)=BH212,1,0)</f>
        <v>#N/A</v>
      </c>
      <c r="EU212" s="138" t="e">
        <f>IF(VLOOKUP(CONCATENATE(H212,F212,EU$2),Matemáticas!$A:$H,7,FALSE)=BI212,1,0)</f>
        <v>#N/A</v>
      </c>
      <c r="EV212" s="138" t="e">
        <f>IF(VLOOKUP(CONCATENATE(H212,F212,EV$2),Ciencias!$A:$H,7,FALSE)=BJ212,1,0)</f>
        <v>#N/A</v>
      </c>
      <c r="EW212" s="138" t="e">
        <f>IF(VLOOKUP(CONCATENATE(H212,F212,EW$2),Ciencias!$A:$H,7,FALSE)=BK212,1,0)</f>
        <v>#N/A</v>
      </c>
      <c r="EX212" s="138" t="e">
        <f>IF(VLOOKUP(CONCATENATE(H212,F212,EX$2),Ciencias!$A:$H,7,FALSE)=BL212,1,0)</f>
        <v>#N/A</v>
      </c>
      <c r="EY212" s="138" t="e">
        <f>IF(VLOOKUP(CONCATENATE(H212,F212,EY$2),Ciencias!$A:$H,7,FALSE)=BM212,1,0)</f>
        <v>#N/A</v>
      </c>
      <c r="EZ212" s="138" t="e">
        <f>IF(VLOOKUP(CONCATENATE(H212,F212,EZ$2),Ciencias!$A:$H,7,FALSE)=BN212,1,0)</f>
        <v>#N/A</v>
      </c>
      <c r="FA212" s="138" t="e">
        <f>IF(VLOOKUP(CONCATENATE(H212,F212,FA$2),Ciencias!$A:$H,7,FALSE)=BO212,1,0)</f>
        <v>#N/A</v>
      </c>
      <c r="FB212" s="138" t="e">
        <f>IF(VLOOKUP(CONCATENATE(H212,F212,FB$2),Ciencias!$A:$H,7,FALSE)=BP212,1,0)</f>
        <v>#N/A</v>
      </c>
      <c r="FC212" s="138" t="e">
        <f>IF(VLOOKUP(CONCATENATE(H212,F212,FC$2),Ciencias!$A:$H,7,FALSE)=BQ212,1,0)</f>
        <v>#N/A</v>
      </c>
      <c r="FD212" s="138" t="e">
        <f>IF(VLOOKUP(CONCATENATE(H212,F212,FD$2),Ciencias!$A:$H,7,FALSE)=BR212,1,0)</f>
        <v>#N/A</v>
      </c>
      <c r="FE212" s="138" t="e">
        <f>IF(VLOOKUP(CONCATENATE(H212,F212,FE$2),Ciencias!$A:$H,7,FALSE)=BS212,1,0)</f>
        <v>#N/A</v>
      </c>
      <c r="FF212" s="138" t="e">
        <f>IF(VLOOKUP(CONCATENATE(H212,F212,FF$2),Ciencias!$A:$H,7,FALSE)=BT212,1,0)</f>
        <v>#N/A</v>
      </c>
      <c r="FG212" s="138" t="e">
        <f>IF(VLOOKUP(CONCATENATE(H212,F212,FG$2),Ciencias!$A:$H,7,FALSE)=BU212,1,0)</f>
        <v>#N/A</v>
      </c>
      <c r="FH212" s="138" t="e">
        <f>IF(VLOOKUP(CONCATENATE(H212,F212,FH$2),Ciencias!$A:$H,7,FALSE)=BV212,1,0)</f>
        <v>#N/A</v>
      </c>
      <c r="FI212" s="138" t="e">
        <f>IF(VLOOKUP(CONCATENATE(H212,F212,FI$2),Ciencias!$A:$H,7,FALSE)=BW212,1,0)</f>
        <v>#N/A</v>
      </c>
      <c r="FJ212" s="138" t="e">
        <f>IF(VLOOKUP(CONCATENATE(H212,F212,FJ$2),Ciencias!$A:$H,7,FALSE)=BX212,1,0)</f>
        <v>#N/A</v>
      </c>
      <c r="FK212" s="138" t="e">
        <f>IF(VLOOKUP(CONCATENATE(H212,F212,FK$2),Ciencias!$A:$H,7,FALSE)=BY212,1,0)</f>
        <v>#N/A</v>
      </c>
      <c r="FL212" s="138" t="e">
        <f>IF(VLOOKUP(CONCATENATE(H212,F212,FL$2),Ciencias!$A:$H,7,FALSE)=BZ212,1,0)</f>
        <v>#N/A</v>
      </c>
      <c r="FM212" s="138" t="e">
        <f>IF(VLOOKUP(CONCATENATE(H212,F212,FM$2),Ciencias!$A:$H,7,FALSE)=CA212,1,0)</f>
        <v>#N/A</v>
      </c>
      <c r="FN212" s="138" t="e">
        <f>IF(VLOOKUP(CONCATENATE(H212,F212,FN$2),Ciencias!$A:$H,7,FALSE)=CB212,1,0)</f>
        <v>#N/A</v>
      </c>
      <c r="FO212" s="138" t="e">
        <f>IF(VLOOKUP(CONCATENATE(H212,F212,FO$2),Ciencias!$A:$H,7,FALSE)=CC212,1,0)</f>
        <v>#N/A</v>
      </c>
      <c r="FP212" s="138" t="e">
        <f>IF(VLOOKUP(CONCATENATE(H212,F212,FP$2),GeoHis!$A:$H,7,FALSE)=CD212,1,0)</f>
        <v>#N/A</v>
      </c>
      <c r="FQ212" s="138" t="e">
        <f>IF(VLOOKUP(CONCATENATE(H212,F212,FQ$2),GeoHis!$A:$H,7,FALSE)=CE212,1,0)</f>
        <v>#N/A</v>
      </c>
      <c r="FR212" s="138" t="e">
        <f>IF(VLOOKUP(CONCATENATE(H212,F212,FR$2),GeoHis!$A:$H,7,FALSE)=CF212,1,0)</f>
        <v>#N/A</v>
      </c>
      <c r="FS212" s="138" t="e">
        <f>IF(VLOOKUP(CONCATENATE(H212,F212,FS$2),GeoHis!$A:$H,7,FALSE)=CG212,1,0)</f>
        <v>#N/A</v>
      </c>
      <c r="FT212" s="138" t="e">
        <f>IF(VLOOKUP(CONCATENATE(H212,F212,FT$2),GeoHis!$A:$H,7,FALSE)=CH212,1,0)</f>
        <v>#N/A</v>
      </c>
      <c r="FU212" s="138" t="e">
        <f>IF(VLOOKUP(CONCATENATE(H212,F212,FU$2),GeoHis!$A:$H,7,FALSE)=CI212,1,0)</f>
        <v>#N/A</v>
      </c>
      <c r="FV212" s="138" t="e">
        <f>IF(VLOOKUP(CONCATENATE(H212,F212,FV$2),GeoHis!$A:$H,7,FALSE)=CJ212,1,0)</f>
        <v>#N/A</v>
      </c>
      <c r="FW212" s="138" t="e">
        <f>IF(VLOOKUP(CONCATENATE(H212,F212,FW$2),GeoHis!$A:$H,7,FALSE)=CK212,1,0)</f>
        <v>#N/A</v>
      </c>
      <c r="FX212" s="138" t="e">
        <f>IF(VLOOKUP(CONCATENATE(H212,F212,FX$2),GeoHis!$A:$H,7,FALSE)=CL212,1,0)</f>
        <v>#N/A</v>
      </c>
      <c r="FY212" s="138" t="e">
        <f>IF(VLOOKUP(CONCATENATE(H212,F212,FY$2),GeoHis!$A:$H,7,FALSE)=CM212,1,0)</f>
        <v>#N/A</v>
      </c>
      <c r="FZ212" s="138" t="e">
        <f>IF(VLOOKUP(CONCATENATE(H212,F212,FZ$2),GeoHis!$A:$H,7,FALSE)=CN212,1,0)</f>
        <v>#N/A</v>
      </c>
      <c r="GA212" s="138" t="e">
        <f>IF(VLOOKUP(CONCATENATE(H212,F212,GA$2),GeoHis!$A:$H,7,FALSE)=CO212,1,0)</f>
        <v>#N/A</v>
      </c>
      <c r="GB212" s="138" t="e">
        <f>IF(VLOOKUP(CONCATENATE(H212,F212,GB$2),GeoHis!$A:$H,7,FALSE)=CP212,1,0)</f>
        <v>#N/A</v>
      </c>
      <c r="GC212" s="138" t="e">
        <f>IF(VLOOKUP(CONCATENATE(H212,F212,GC$2),GeoHis!$A:$H,7,FALSE)=CQ212,1,0)</f>
        <v>#N/A</v>
      </c>
      <c r="GD212" s="138" t="e">
        <f>IF(VLOOKUP(CONCATENATE(H212,F212,GD$2),GeoHis!$A:$H,7,FALSE)=CR212,1,0)</f>
        <v>#N/A</v>
      </c>
      <c r="GE212" s="135" t="str">
        <f t="shared" si="31"/>
        <v/>
      </c>
    </row>
    <row r="213" spans="1:187" x14ac:dyDescent="0.25">
      <c r="A213" s="127" t="str">
        <f>IF(C213="","",'Datos Generales'!$A$25)</f>
        <v/>
      </c>
      <c r="D213" s="126" t="str">
        <f t="shared" si="24"/>
        <v/>
      </c>
      <c r="E213" s="126">
        <f t="shared" si="25"/>
        <v>0</v>
      </c>
      <c r="F213" s="126" t="str">
        <f t="shared" si="26"/>
        <v/>
      </c>
      <c r="G213" s="126" t="str">
        <f>IF(C213="","",'Datos Generales'!$D$19)</f>
        <v/>
      </c>
      <c r="H213" s="21" t="str">
        <f>IF(C213="","",'Datos Generales'!$A$19)</f>
        <v/>
      </c>
      <c r="I213" s="126" t="str">
        <f>IF(C213="","",'Datos Generales'!$A$7)</f>
        <v/>
      </c>
      <c r="J213" s="21" t="str">
        <f>IF(C213="","",'Datos Generales'!$A$13)</f>
        <v/>
      </c>
      <c r="K213" s="21" t="str">
        <f>IF(C213="","",'Datos Generales'!$A$10)</f>
        <v/>
      </c>
      <c r="CS213" s="142" t="str">
        <f t="shared" si="27"/>
        <v/>
      </c>
      <c r="CT213" s="142" t="str">
        <f t="shared" si="28"/>
        <v/>
      </c>
      <c r="CU213" s="142" t="str">
        <f t="shared" si="29"/>
        <v/>
      </c>
      <c r="CV213" s="142" t="str">
        <f t="shared" si="30"/>
        <v/>
      </c>
      <c r="CW213" s="142" t="str">
        <f>IF(C213="","",IF('Datos Generales'!$A$19=1,AVERAGE(FP213:GD213),AVERAGE(Captura!FP213:FY213)))</f>
        <v/>
      </c>
      <c r="CX213" s="138" t="e">
        <f>IF(VLOOKUP(CONCATENATE($H$4,$F$4,CX$2),Español!$A:$H,7,FALSE)=L213,1,0)</f>
        <v>#N/A</v>
      </c>
      <c r="CY213" s="138" t="e">
        <f>IF(VLOOKUP(CONCATENATE(H213,F213,CY$2),Español!$A:$H,7,FALSE)=M213,1,0)</f>
        <v>#N/A</v>
      </c>
      <c r="CZ213" s="138" t="e">
        <f>IF(VLOOKUP(CONCATENATE(H213,F213,CZ$2),Español!$A:$H,7,FALSE)=N213,1,0)</f>
        <v>#N/A</v>
      </c>
      <c r="DA213" s="138" t="e">
        <f>IF(VLOOKUP(CONCATENATE(H213,F213,DA$2),Español!$A:$H,7,FALSE)=O213,1,0)</f>
        <v>#N/A</v>
      </c>
      <c r="DB213" s="138" t="e">
        <f>IF(VLOOKUP(CONCATENATE(H213,F213,DB$2),Español!$A:$H,7,FALSE)=P213,1,0)</f>
        <v>#N/A</v>
      </c>
      <c r="DC213" s="138" t="e">
        <f>IF(VLOOKUP(CONCATENATE(H213,F213,DC$2),Español!$A:$H,7,FALSE)=Q213,1,0)</f>
        <v>#N/A</v>
      </c>
      <c r="DD213" s="138" t="e">
        <f>IF(VLOOKUP(CONCATENATE(H213,F213,DD$2),Español!$A:$H,7,FALSE)=R213,1,0)</f>
        <v>#N/A</v>
      </c>
      <c r="DE213" s="138" t="e">
        <f>IF(VLOOKUP(CONCATENATE(H213,F213,DE$2),Español!$A:$H,7,FALSE)=S213,1,0)</f>
        <v>#N/A</v>
      </c>
      <c r="DF213" s="138" t="e">
        <f>IF(VLOOKUP(CONCATENATE(H213,F213,DF$2),Español!$A:$H,7,FALSE)=T213,1,0)</f>
        <v>#N/A</v>
      </c>
      <c r="DG213" s="138" t="e">
        <f>IF(VLOOKUP(CONCATENATE(H213,F213,DG$2),Español!$A:$H,7,FALSE)=U213,1,0)</f>
        <v>#N/A</v>
      </c>
      <c r="DH213" s="138" t="e">
        <f>IF(VLOOKUP(CONCATENATE(H213,F213,DH$2),Español!$A:$H,7,FALSE)=V213,1,0)</f>
        <v>#N/A</v>
      </c>
      <c r="DI213" s="138" t="e">
        <f>IF(VLOOKUP(CONCATENATE(H213,F213,DI$2),Español!$A:$H,7,FALSE)=W213,1,0)</f>
        <v>#N/A</v>
      </c>
      <c r="DJ213" s="138" t="e">
        <f>IF(VLOOKUP(CONCATENATE(H213,F213,DJ$2),Español!$A:$H,7,FALSE)=X213,1,0)</f>
        <v>#N/A</v>
      </c>
      <c r="DK213" s="138" t="e">
        <f>IF(VLOOKUP(CONCATENATE(H213,F213,DK$2),Español!$A:$H,7,FALSE)=Y213,1,0)</f>
        <v>#N/A</v>
      </c>
      <c r="DL213" s="138" t="e">
        <f>IF(VLOOKUP(CONCATENATE(H213,F213,DL$2),Español!$A:$H,7,FALSE)=Z213,1,0)</f>
        <v>#N/A</v>
      </c>
      <c r="DM213" s="138" t="e">
        <f>IF(VLOOKUP(CONCATENATE(H213,F213,DM$2),Español!$A:$H,7,FALSE)=AA213,1,0)</f>
        <v>#N/A</v>
      </c>
      <c r="DN213" s="138" t="e">
        <f>IF(VLOOKUP(CONCATENATE(H213,F213,DN$2),Español!$A:$H,7,FALSE)=AB213,1,0)</f>
        <v>#N/A</v>
      </c>
      <c r="DO213" s="138" t="e">
        <f>IF(VLOOKUP(CONCATENATE(H213,F213,DO$2),Español!$A:$H,7,FALSE)=AC213,1,0)</f>
        <v>#N/A</v>
      </c>
      <c r="DP213" s="138" t="e">
        <f>IF(VLOOKUP(CONCATENATE(H213,F213,DP$2),Español!$A:$H,7,FALSE)=AD213,1,0)</f>
        <v>#N/A</v>
      </c>
      <c r="DQ213" s="138" t="e">
        <f>IF(VLOOKUP(CONCATENATE(H213,F213,DQ$2),Español!$A:$H,7,FALSE)=AE213,1,0)</f>
        <v>#N/A</v>
      </c>
      <c r="DR213" s="138" t="e">
        <f>IF(VLOOKUP(CONCATENATE(H213,F213,DR$2),Inglés!$A:$H,7,FALSE)=AF213,1,0)</f>
        <v>#N/A</v>
      </c>
      <c r="DS213" s="138" t="e">
        <f>IF(VLOOKUP(CONCATENATE(H213,F213,DS$2),Inglés!$A:$H,7,FALSE)=AG213,1,0)</f>
        <v>#N/A</v>
      </c>
      <c r="DT213" s="138" t="e">
        <f>IF(VLOOKUP(CONCATENATE(H213,F213,DT$2),Inglés!$A:$H,7,FALSE)=AH213,1,0)</f>
        <v>#N/A</v>
      </c>
      <c r="DU213" s="138" t="e">
        <f>IF(VLOOKUP(CONCATENATE(H213,F213,DU$2),Inglés!$A:$H,7,FALSE)=AI213,1,0)</f>
        <v>#N/A</v>
      </c>
      <c r="DV213" s="138" t="e">
        <f>IF(VLOOKUP(CONCATENATE(H213,F213,DV$2),Inglés!$A:$H,7,FALSE)=AJ213,1,0)</f>
        <v>#N/A</v>
      </c>
      <c r="DW213" s="138" t="e">
        <f>IF(VLOOKUP(CONCATENATE(H213,F213,DW$2),Inglés!$A:$H,7,FALSE)=AK213,1,0)</f>
        <v>#N/A</v>
      </c>
      <c r="DX213" s="138" t="e">
        <f>IF(VLOOKUP(CONCATENATE(H213,F213,DX$2),Inglés!$A:$H,7,FALSE)=AL213,1,0)</f>
        <v>#N/A</v>
      </c>
      <c r="DY213" s="138" t="e">
        <f>IF(VLOOKUP(CONCATENATE(H213,F213,DY$2),Inglés!$A:$H,7,FALSE)=AM213,1,0)</f>
        <v>#N/A</v>
      </c>
      <c r="DZ213" s="138" t="e">
        <f>IF(VLOOKUP(CONCATENATE(H213,F213,DZ$2),Inglés!$A:$H,7,FALSE)=AN213,1,0)</f>
        <v>#N/A</v>
      </c>
      <c r="EA213" s="138" t="e">
        <f>IF(VLOOKUP(CONCATENATE(H213,F213,EA$2),Inglés!$A:$H,7,FALSE)=AO213,1,0)</f>
        <v>#N/A</v>
      </c>
      <c r="EB213" s="138" t="e">
        <f>IF(VLOOKUP(CONCATENATE(H213,F213,EB$2),Matemáticas!$A:$H,7,FALSE)=AP213,1,0)</f>
        <v>#N/A</v>
      </c>
      <c r="EC213" s="138" t="e">
        <f>IF(VLOOKUP(CONCATENATE(H213,F213,EC$2),Matemáticas!$A:$H,7,FALSE)=AQ213,1,0)</f>
        <v>#N/A</v>
      </c>
      <c r="ED213" s="138" t="e">
        <f>IF(VLOOKUP(CONCATENATE(H213,F213,ED$2),Matemáticas!$A:$H,7,FALSE)=AR213,1,0)</f>
        <v>#N/A</v>
      </c>
      <c r="EE213" s="138" t="e">
        <f>IF(VLOOKUP(CONCATENATE(H213,F213,EE$2),Matemáticas!$A:$H,7,FALSE)=AS213,1,0)</f>
        <v>#N/A</v>
      </c>
      <c r="EF213" s="138" t="e">
        <f>IF(VLOOKUP(CONCATENATE(H213,F213,EF$2),Matemáticas!$A:$H,7,FALSE)=AT213,1,0)</f>
        <v>#N/A</v>
      </c>
      <c r="EG213" s="138" t="e">
        <f>IF(VLOOKUP(CONCATENATE(H213,F213,EG$2),Matemáticas!$A:$H,7,FALSE)=AU213,1,0)</f>
        <v>#N/A</v>
      </c>
      <c r="EH213" s="138" t="e">
        <f>IF(VLOOKUP(CONCATENATE(H213,F213,EH$2),Matemáticas!$A:$H,7,FALSE)=AV213,1,0)</f>
        <v>#N/A</v>
      </c>
      <c r="EI213" s="138" t="e">
        <f>IF(VLOOKUP(CONCATENATE(H213,F213,EI$2),Matemáticas!$A:$H,7,FALSE)=AW213,1,0)</f>
        <v>#N/A</v>
      </c>
      <c r="EJ213" s="138" t="e">
        <f>IF(VLOOKUP(CONCATENATE(H213,F213,EJ$2),Matemáticas!$A:$H,7,FALSE)=AX213,1,0)</f>
        <v>#N/A</v>
      </c>
      <c r="EK213" s="138" t="e">
        <f>IF(VLOOKUP(CONCATENATE(H213,F213,EK$2),Matemáticas!$A:$H,7,FALSE)=AY213,1,0)</f>
        <v>#N/A</v>
      </c>
      <c r="EL213" s="138" t="e">
        <f>IF(VLOOKUP(CONCATENATE(H213,F213,EL$2),Matemáticas!$A:$H,7,FALSE)=AZ213,1,0)</f>
        <v>#N/A</v>
      </c>
      <c r="EM213" s="138" t="e">
        <f>IF(VLOOKUP(CONCATENATE(H213,F213,EM$2),Matemáticas!$A:$H,7,FALSE)=BA213,1,0)</f>
        <v>#N/A</v>
      </c>
      <c r="EN213" s="138" t="e">
        <f>IF(VLOOKUP(CONCATENATE(H213,F213,EN$2),Matemáticas!$A:$H,7,FALSE)=BB213,1,0)</f>
        <v>#N/A</v>
      </c>
      <c r="EO213" s="138" t="e">
        <f>IF(VLOOKUP(CONCATENATE(H213,F213,EO$2),Matemáticas!$A:$H,7,FALSE)=BC213,1,0)</f>
        <v>#N/A</v>
      </c>
      <c r="EP213" s="138" t="e">
        <f>IF(VLOOKUP(CONCATENATE(H213,F213,EP$2),Matemáticas!$A:$H,7,FALSE)=BD213,1,0)</f>
        <v>#N/A</v>
      </c>
      <c r="EQ213" s="138" t="e">
        <f>IF(VLOOKUP(CONCATENATE(H213,F213,EQ$2),Matemáticas!$A:$H,7,FALSE)=BE213,1,0)</f>
        <v>#N/A</v>
      </c>
      <c r="ER213" s="138" t="e">
        <f>IF(VLOOKUP(CONCATENATE(H213,F213,ER$2),Matemáticas!$A:$H,7,FALSE)=BF213,1,0)</f>
        <v>#N/A</v>
      </c>
      <c r="ES213" s="138" t="e">
        <f>IF(VLOOKUP(CONCATENATE(H213,F213,ES$2),Matemáticas!$A:$H,7,FALSE)=BG213,1,0)</f>
        <v>#N/A</v>
      </c>
      <c r="ET213" s="138" t="e">
        <f>IF(VLOOKUP(CONCATENATE(H213,F213,ET$2),Matemáticas!$A:$H,7,FALSE)=BH213,1,0)</f>
        <v>#N/A</v>
      </c>
      <c r="EU213" s="138" t="e">
        <f>IF(VLOOKUP(CONCATENATE(H213,F213,EU$2),Matemáticas!$A:$H,7,FALSE)=BI213,1,0)</f>
        <v>#N/A</v>
      </c>
      <c r="EV213" s="138" t="e">
        <f>IF(VLOOKUP(CONCATENATE(H213,F213,EV$2),Ciencias!$A:$H,7,FALSE)=BJ213,1,0)</f>
        <v>#N/A</v>
      </c>
      <c r="EW213" s="138" t="e">
        <f>IF(VLOOKUP(CONCATENATE(H213,F213,EW$2),Ciencias!$A:$H,7,FALSE)=BK213,1,0)</f>
        <v>#N/A</v>
      </c>
      <c r="EX213" s="138" t="e">
        <f>IF(VLOOKUP(CONCATENATE(H213,F213,EX$2),Ciencias!$A:$H,7,FALSE)=BL213,1,0)</f>
        <v>#N/A</v>
      </c>
      <c r="EY213" s="138" t="e">
        <f>IF(VLOOKUP(CONCATENATE(H213,F213,EY$2),Ciencias!$A:$H,7,FALSE)=BM213,1,0)</f>
        <v>#N/A</v>
      </c>
      <c r="EZ213" s="138" t="e">
        <f>IF(VLOOKUP(CONCATENATE(H213,F213,EZ$2),Ciencias!$A:$H,7,FALSE)=BN213,1,0)</f>
        <v>#N/A</v>
      </c>
      <c r="FA213" s="138" t="e">
        <f>IF(VLOOKUP(CONCATENATE(H213,F213,FA$2),Ciencias!$A:$H,7,FALSE)=BO213,1,0)</f>
        <v>#N/A</v>
      </c>
      <c r="FB213" s="138" t="e">
        <f>IF(VLOOKUP(CONCATENATE(H213,F213,FB$2),Ciencias!$A:$H,7,FALSE)=BP213,1,0)</f>
        <v>#N/A</v>
      </c>
      <c r="FC213" s="138" t="e">
        <f>IF(VLOOKUP(CONCATENATE(H213,F213,FC$2),Ciencias!$A:$H,7,FALSE)=BQ213,1,0)</f>
        <v>#N/A</v>
      </c>
      <c r="FD213" s="138" t="e">
        <f>IF(VLOOKUP(CONCATENATE(H213,F213,FD$2),Ciencias!$A:$H,7,FALSE)=BR213,1,0)</f>
        <v>#N/A</v>
      </c>
      <c r="FE213" s="138" t="e">
        <f>IF(VLOOKUP(CONCATENATE(H213,F213,FE$2),Ciencias!$A:$H,7,FALSE)=BS213,1,0)</f>
        <v>#N/A</v>
      </c>
      <c r="FF213" s="138" t="e">
        <f>IF(VLOOKUP(CONCATENATE(H213,F213,FF$2),Ciencias!$A:$H,7,FALSE)=BT213,1,0)</f>
        <v>#N/A</v>
      </c>
      <c r="FG213" s="138" t="e">
        <f>IF(VLOOKUP(CONCATENATE(H213,F213,FG$2),Ciencias!$A:$H,7,FALSE)=BU213,1,0)</f>
        <v>#N/A</v>
      </c>
      <c r="FH213" s="138" t="e">
        <f>IF(VLOOKUP(CONCATENATE(H213,F213,FH$2),Ciencias!$A:$H,7,FALSE)=BV213,1,0)</f>
        <v>#N/A</v>
      </c>
      <c r="FI213" s="138" t="e">
        <f>IF(VLOOKUP(CONCATENATE(H213,F213,FI$2),Ciencias!$A:$H,7,FALSE)=BW213,1,0)</f>
        <v>#N/A</v>
      </c>
      <c r="FJ213" s="138" t="e">
        <f>IF(VLOOKUP(CONCATENATE(H213,F213,FJ$2),Ciencias!$A:$H,7,FALSE)=BX213,1,0)</f>
        <v>#N/A</v>
      </c>
      <c r="FK213" s="138" t="e">
        <f>IF(VLOOKUP(CONCATENATE(H213,F213,FK$2),Ciencias!$A:$H,7,FALSE)=BY213,1,0)</f>
        <v>#N/A</v>
      </c>
      <c r="FL213" s="138" t="e">
        <f>IF(VLOOKUP(CONCATENATE(H213,F213,FL$2),Ciencias!$A:$H,7,FALSE)=BZ213,1,0)</f>
        <v>#N/A</v>
      </c>
      <c r="FM213" s="138" t="e">
        <f>IF(VLOOKUP(CONCATENATE(H213,F213,FM$2),Ciencias!$A:$H,7,FALSE)=CA213,1,0)</f>
        <v>#N/A</v>
      </c>
      <c r="FN213" s="138" t="e">
        <f>IF(VLOOKUP(CONCATENATE(H213,F213,FN$2),Ciencias!$A:$H,7,FALSE)=CB213,1,0)</f>
        <v>#N/A</v>
      </c>
      <c r="FO213" s="138" t="e">
        <f>IF(VLOOKUP(CONCATENATE(H213,F213,FO$2),Ciencias!$A:$H,7,FALSE)=CC213,1,0)</f>
        <v>#N/A</v>
      </c>
      <c r="FP213" s="138" t="e">
        <f>IF(VLOOKUP(CONCATENATE(H213,F213,FP$2),GeoHis!$A:$H,7,FALSE)=CD213,1,0)</f>
        <v>#N/A</v>
      </c>
      <c r="FQ213" s="138" t="e">
        <f>IF(VLOOKUP(CONCATENATE(H213,F213,FQ$2),GeoHis!$A:$H,7,FALSE)=CE213,1,0)</f>
        <v>#N/A</v>
      </c>
      <c r="FR213" s="138" t="e">
        <f>IF(VLOOKUP(CONCATENATE(H213,F213,FR$2),GeoHis!$A:$H,7,FALSE)=CF213,1,0)</f>
        <v>#N/A</v>
      </c>
      <c r="FS213" s="138" t="e">
        <f>IF(VLOOKUP(CONCATENATE(H213,F213,FS$2),GeoHis!$A:$H,7,FALSE)=CG213,1,0)</f>
        <v>#N/A</v>
      </c>
      <c r="FT213" s="138" t="e">
        <f>IF(VLOOKUP(CONCATENATE(H213,F213,FT$2),GeoHis!$A:$H,7,FALSE)=CH213,1,0)</f>
        <v>#N/A</v>
      </c>
      <c r="FU213" s="138" t="e">
        <f>IF(VLOOKUP(CONCATENATE(H213,F213,FU$2),GeoHis!$A:$H,7,FALSE)=CI213,1,0)</f>
        <v>#N/A</v>
      </c>
      <c r="FV213" s="138" t="e">
        <f>IF(VLOOKUP(CONCATENATE(H213,F213,FV$2),GeoHis!$A:$H,7,FALSE)=CJ213,1,0)</f>
        <v>#N/A</v>
      </c>
      <c r="FW213" s="138" t="e">
        <f>IF(VLOOKUP(CONCATENATE(H213,F213,FW$2),GeoHis!$A:$H,7,FALSE)=CK213,1,0)</f>
        <v>#N/A</v>
      </c>
      <c r="FX213" s="138" t="e">
        <f>IF(VLOOKUP(CONCATENATE(H213,F213,FX$2),GeoHis!$A:$H,7,FALSE)=CL213,1,0)</f>
        <v>#N/A</v>
      </c>
      <c r="FY213" s="138" t="e">
        <f>IF(VLOOKUP(CONCATENATE(H213,F213,FY$2),GeoHis!$A:$H,7,FALSE)=CM213,1,0)</f>
        <v>#N/A</v>
      </c>
      <c r="FZ213" s="138" t="e">
        <f>IF(VLOOKUP(CONCATENATE(H213,F213,FZ$2),GeoHis!$A:$H,7,FALSE)=CN213,1,0)</f>
        <v>#N/A</v>
      </c>
      <c r="GA213" s="138" t="e">
        <f>IF(VLOOKUP(CONCATENATE(H213,F213,GA$2),GeoHis!$A:$H,7,FALSE)=CO213,1,0)</f>
        <v>#N/A</v>
      </c>
      <c r="GB213" s="138" t="e">
        <f>IF(VLOOKUP(CONCATENATE(H213,F213,GB$2),GeoHis!$A:$H,7,FALSE)=CP213,1,0)</f>
        <v>#N/A</v>
      </c>
      <c r="GC213" s="138" t="e">
        <f>IF(VLOOKUP(CONCATENATE(H213,F213,GC$2),GeoHis!$A:$H,7,FALSE)=CQ213,1,0)</f>
        <v>#N/A</v>
      </c>
      <c r="GD213" s="138" t="e">
        <f>IF(VLOOKUP(CONCATENATE(H213,F213,GD$2),GeoHis!$A:$H,7,FALSE)=CR213,1,0)</f>
        <v>#N/A</v>
      </c>
      <c r="GE213" s="135" t="str">
        <f t="shared" si="31"/>
        <v/>
      </c>
    </row>
    <row r="214" spans="1:187" x14ac:dyDescent="0.25">
      <c r="A214" s="127" t="str">
        <f>IF(C214="","",'Datos Generales'!$A$25)</f>
        <v/>
      </c>
      <c r="D214" s="126" t="str">
        <f t="shared" si="24"/>
        <v/>
      </c>
      <c r="E214" s="126">
        <f t="shared" si="25"/>
        <v>0</v>
      </c>
      <c r="F214" s="126" t="str">
        <f t="shared" si="26"/>
        <v/>
      </c>
      <c r="G214" s="126" t="str">
        <f>IF(C214="","",'Datos Generales'!$D$19)</f>
        <v/>
      </c>
      <c r="H214" s="21" t="str">
        <f>IF(C214="","",'Datos Generales'!$A$19)</f>
        <v/>
      </c>
      <c r="I214" s="126" t="str">
        <f>IF(C214="","",'Datos Generales'!$A$7)</f>
        <v/>
      </c>
      <c r="J214" s="21" t="str">
        <f>IF(C214="","",'Datos Generales'!$A$13)</f>
        <v/>
      </c>
      <c r="K214" s="21" t="str">
        <f>IF(C214="","",'Datos Generales'!$A$10)</f>
        <v/>
      </c>
      <c r="CS214" s="142" t="str">
        <f t="shared" si="27"/>
        <v/>
      </c>
      <c r="CT214" s="142" t="str">
        <f t="shared" si="28"/>
        <v/>
      </c>
      <c r="CU214" s="142" t="str">
        <f t="shared" si="29"/>
        <v/>
      </c>
      <c r="CV214" s="142" t="str">
        <f t="shared" si="30"/>
        <v/>
      </c>
      <c r="CW214" s="142" t="str">
        <f>IF(C214="","",IF('Datos Generales'!$A$19=1,AVERAGE(FP214:GD214),AVERAGE(Captura!FP214:FY214)))</f>
        <v/>
      </c>
      <c r="CX214" s="138" t="e">
        <f>IF(VLOOKUP(CONCATENATE($H$4,$F$4,CX$2),Español!$A:$H,7,FALSE)=L214,1,0)</f>
        <v>#N/A</v>
      </c>
      <c r="CY214" s="138" t="e">
        <f>IF(VLOOKUP(CONCATENATE(H214,F214,CY$2),Español!$A:$H,7,FALSE)=M214,1,0)</f>
        <v>#N/A</v>
      </c>
      <c r="CZ214" s="138" t="e">
        <f>IF(VLOOKUP(CONCATENATE(H214,F214,CZ$2),Español!$A:$H,7,FALSE)=N214,1,0)</f>
        <v>#N/A</v>
      </c>
      <c r="DA214" s="138" t="e">
        <f>IF(VLOOKUP(CONCATENATE(H214,F214,DA$2),Español!$A:$H,7,FALSE)=O214,1,0)</f>
        <v>#N/A</v>
      </c>
      <c r="DB214" s="138" t="e">
        <f>IF(VLOOKUP(CONCATENATE(H214,F214,DB$2),Español!$A:$H,7,FALSE)=P214,1,0)</f>
        <v>#N/A</v>
      </c>
      <c r="DC214" s="138" t="e">
        <f>IF(VLOOKUP(CONCATENATE(H214,F214,DC$2),Español!$A:$H,7,FALSE)=Q214,1,0)</f>
        <v>#N/A</v>
      </c>
      <c r="DD214" s="138" t="e">
        <f>IF(VLOOKUP(CONCATENATE(H214,F214,DD$2),Español!$A:$H,7,FALSE)=R214,1,0)</f>
        <v>#N/A</v>
      </c>
      <c r="DE214" s="138" t="e">
        <f>IF(VLOOKUP(CONCATENATE(H214,F214,DE$2),Español!$A:$H,7,FALSE)=S214,1,0)</f>
        <v>#N/A</v>
      </c>
      <c r="DF214" s="138" t="e">
        <f>IF(VLOOKUP(CONCATENATE(H214,F214,DF$2),Español!$A:$H,7,FALSE)=T214,1,0)</f>
        <v>#N/A</v>
      </c>
      <c r="DG214" s="138" t="e">
        <f>IF(VLOOKUP(CONCATENATE(H214,F214,DG$2),Español!$A:$H,7,FALSE)=U214,1,0)</f>
        <v>#N/A</v>
      </c>
      <c r="DH214" s="138" t="e">
        <f>IF(VLOOKUP(CONCATENATE(H214,F214,DH$2),Español!$A:$H,7,FALSE)=V214,1,0)</f>
        <v>#N/A</v>
      </c>
      <c r="DI214" s="138" t="e">
        <f>IF(VLOOKUP(CONCATENATE(H214,F214,DI$2),Español!$A:$H,7,FALSE)=W214,1,0)</f>
        <v>#N/A</v>
      </c>
      <c r="DJ214" s="138" t="e">
        <f>IF(VLOOKUP(CONCATENATE(H214,F214,DJ$2),Español!$A:$H,7,FALSE)=X214,1,0)</f>
        <v>#N/A</v>
      </c>
      <c r="DK214" s="138" t="e">
        <f>IF(VLOOKUP(CONCATENATE(H214,F214,DK$2),Español!$A:$H,7,FALSE)=Y214,1,0)</f>
        <v>#N/A</v>
      </c>
      <c r="DL214" s="138" t="e">
        <f>IF(VLOOKUP(CONCATENATE(H214,F214,DL$2),Español!$A:$H,7,FALSE)=Z214,1,0)</f>
        <v>#N/A</v>
      </c>
      <c r="DM214" s="138" t="e">
        <f>IF(VLOOKUP(CONCATENATE(H214,F214,DM$2),Español!$A:$H,7,FALSE)=AA214,1,0)</f>
        <v>#N/A</v>
      </c>
      <c r="DN214" s="138" t="e">
        <f>IF(VLOOKUP(CONCATENATE(H214,F214,DN$2),Español!$A:$H,7,FALSE)=AB214,1,0)</f>
        <v>#N/A</v>
      </c>
      <c r="DO214" s="138" t="e">
        <f>IF(VLOOKUP(CONCATENATE(H214,F214,DO$2),Español!$A:$H,7,FALSE)=AC214,1,0)</f>
        <v>#N/A</v>
      </c>
      <c r="DP214" s="138" t="e">
        <f>IF(VLOOKUP(CONCATENATE(H214,F214,DP$2),Español!$A:$H,7,FALSE)=AD214,1,0)</f>
        <v>#N/A</v>
      </c>
      <c r="DQ214" s="138" t="e">
        <f>IF(VLOOKUP(CONCATENATE(H214,F214,DQ$2),Español!$A:$H,7,FALSE)=AE214,1,0)</f>
        <v>#N/A</v>
      </c>
      <c r="DR214" s="138" t="e">
        <f>IF(VLOOKUP(CONCATENATE(H214,F214,DR$2),Inglés!$A:$H,7,FALSE)=AF214,1,0)</f>
        <v>#N/A</v>
      </c>
      <c r="DS214" s="138" t="e">
        <f>IF(VLOOKUP(CONCATENATE(H214,F214,DS$2),Inglés!$A:$H,7,FALSE)=AG214,1,0)</f>
        <v>#N/A</v>
      </c>
      <c r="DT214" s="138" t="e">
        <f>IF(VLOOKUP(CONCATENATE(H214,F214,DT$2),Inglés!$A:$H,7,FALSE)=AH214,1,0)</f>
        <v>#N/A</v>
      </c>
      <c r="DU214" s="138" t="e">
        <f>IF(VLOOKUP(CONCATENATE(H214,F214,DU$2),Inglés!$A:$H,7,FALSE)=AI214,1,0)</f>
        <v>#N/A</v>
      </c>
      <c r="DV214" s="138" t="e">
        <f>IF(VLOOKUP(CONCATENATE(H214,F214,DV$2),Inglés!$A:$H,7,FALSE)=AJ214,1,0)</f>
        <v>#N/A</v>
      </c>
      <c r="DW214" s="138" t="e">
        <f>IF(VLOOKUP(CONCATENATE(H214,F214,DW$2),Inglés!$A:$H,7,FALSE)=AK214,1,0)</f>
        <v>#N/A</v>
      </c>
      <c r="DX214" s="138" t="e">
        <f>IF(VLOOKUP(CONCATENATE(H214,F214,DX$2),Inglés!$A:$H,7,FALSE)=AL214,1,0)</f>
        <v>#N/A</v>
      </c>
      <c r="DY214" s="138" t="e">
        <f>IF(VLOOKUP(CONCATENATE(H214,F214,DY$2),Inglés!$A:$H,7,FALSE)=AM214,1,0)</f>
        <v>#N/A</v>
      </c>
      <c r="DZ214" s="138" t="e">
        <f>IF(VLOOKUP(CONCATENATE(H214,F214,DZ$2),Inglés!$A:$H,7,FALSE)=AN214,1,0)</f>
        <v>#N/A</v>
      </c>
      <c r="EA214" s="138" t="e">
        <f>IF(VLOOKUP(CONCATENATE(H214,F214,EA$2),Inglés!$A:$H,7,FALSE)=AO214,1,0)</f>
        <v>#N/A</v>
      </c>
      <c r="EB214" s="138" t="e">
        <f>IF(VLOOKUP(CONCATENATE(H214,F214,EB$2),Matemáticas!$A:$H,7,FALSE)=AP214,1,0)</f>
        <v>#N/A</v>
      </c>
      <c r="EC214" s="138" t="e">
        <f>IF(VLOOKUP(CONCATENATE(H214,F214,EC$2),Matemáticas!$A:$H,7,FALSE)=AQ214,1,0)</f>
        <v>#N/A</v>
      </c>
      <c r="ED214" s="138" t="e">
        <f>IF(VLOOKUP(CONCATENATE(H214,F214,ED$2),Matemáticas!$A:$H,7,FALSE)=AR214,1,0)</f>
        <v>#N/A</v>
      </c>
      <c r="EE214" s="138" t="e">
        <f>IF(VLOOKUP(CONCATENATE(H214,F214,EE$2),Matemáticas!$A:$H,7,FALSE)=AS214,1,0)</f>
        <v>#N/A</v>
      </c>
      <c r="EF214" s="138" t="e">
        <f>IF(VLOOKUP(CONCATENATE(H214,F214,EF$2),Matemáticas!$A:$H,7,FALSE)=AT214,1,0)</f>
        <v>#N/A</v>
      </c>
      <c r="EG214" s="138" t="e">
        <f>IF(VLOOKUP(CONCATENATE(H214,F214,EG$2),Matemáticas!$A:$H,7,FALSE)=AU214,1,0)</f>
        <v>#N/A</v>
      </c>
      <c r="EH214" s="138" t="e">
        <f>IF(VLOOKUP(CONCATENATE(H214,F214,EH$2),Matemáticas!$A:$H,7,FALSE)=AV214,1,0)</f>
        <v>#N/A</v>
      </c>
      <c r="EI214" s="138" t="e">
        <f>IF(VLOOKUP(CONCATENATE(H214,F214,EI$2),Matemáticas!$A:$H,7,FALSE)=AW214,1,0)</f>
        <v>#N/A</v>
      </c>
      <c r="EJ214" s="138" t="e">
        <f>IF(VLOOKUP(CONCATENATE(H214,F214,EJ$2),Matemáticas!$A:$H,7,FALSE)=AX214,1,0)</f>
        <v>#N/A</v>
      </c>
      <c r="EK214" s="138" t="e">
        <f>IF(VLOOKUP(CONCATENATE(H214,F214,EK$2),Matemáticas!$A:$H,7,FALSE)=AY214,1,0)</f>
        <v>#N/A</v>
      </c>
      <c r="EL214" s="138" t="e">
        <f>IF(VLOOKUP(CONCATENATE(H214,F214,EL$2),Matemáticas!$A:$H,7,FALSE)=AZ214,1,0)</f>
        <v>#N/A</v>
      </c>
      <c r="EM214" s="138" t="e">
        <f>IF(VLOOKUP(CONCATENATE(H214,F214,EM$2),Matemáticas!$A:$H,7,FALSE)=BA214,1,0)</f>
        <v>#N/A</v>
      </c>
      <c r="EN214" s="138" t="e">
        <f>IF(VLOOKUP(CONCATENATE(H214,F214,EN$2),Matemáticas!$A:$H,7,FALSE)=BB214,1,0)</f>
        <v>#N/A</v>
      </c>
      <c r="EO214" s="138" t="e">
        <f>IF(VLOOKUP(CONCATENATE(H214,F214,EO$2),Matemáticas!$A:$H,7,FALSE)=BC214,1,0)</f>
        <v>#N/A</v>
      </c>
      <c r="EP214" s="138" t="e">
        <f>IF(VLOOKUP(CONCATENATE(H214,F214,EP$2),Matemáticas!$A:$H,7,FALSE)=BD214,1,0)</f>
        <v>#N/A</v>
      </c>
      <c r="EQ214" s="138" t="e">
        <f>IF(VLOOKUP(CONCATENATE(H214,F214,EQ$2),Matemáticas!$A:$H,7,FALSE)=BE214,1,0)</f>
        <v>#N/A</v>
      </c>
      <c r="ER214" s="138" t="e">
        <f>IF(VLOOKUP(CONCATENATE(H214,F214,ER$2),Matemáticas!$A:$H,7,FALSE)=BF214,1,0)</f>
        <v>#N/A</v>
      </c>
      <c r="ES214" s="138" t="e">
        <f>IF(VLOOKUP(CONCATENATE(H214,F214,ES$2),Matemáticas!$A:$H,7,FALSE)=BG214,1,0)</f>
        <v>#N/A</v>
      </c>
      <c r="ET214" s="138" t="e">
        <f>IF(VLOOKUP(CONCATENATE(H214,F214,ET$2),Matemáticas!$A:$H,7,FALSE)=BH214,1,0)</f>
        <v>#N/A</v>
      </c>
      <c r="EU214" s="138" t="e">
        <f>IF(VLOOKUP(CONCATENATE(H214,F214,EU$2),Matemáticas!$A:$H,7,FALSE)=BI214,1,0)</f>
        <v>#N/A</v>
      </c>
      <c r="EV214" s="138" t="e">
        <f>IF(VLOOKUP(CONCATENATE(H214,F214,EV$2),Ciencias!$A:$H,7,FALSE)=BJ214,1,0)</f>
        <v>#N/A</v>
      </c>
      <c r="EW214" s="138" t="e">
        <f>IF(VLOOKUP(CONCATENATE(H214,F214,EW$2),Ciencias!$A:$H,7,FALSE)=BK214,1,0)</f>
        <v>#N/A</v>
      </c>
      <c r="EX214" s="138" t="e">
        <f>IF(VLOOKUP(CONCATENATE(H214,F214,EX$2),Ciencias!$A:$H,7,FALSE)=BL214,1,0)</f>
        <v>#N/A</v>
      </c>
      <c r="EY214" s="138" t="e">
        <f>IF(VLOOKUP(CONCATENATE(H214,F214,EY$2),Ciencias!$A:$H,7,FALSE)=BM214,1,0)</f>
        <v>#N/A</v>
      </c>
      <c r="EZ214" s="138" t="e">
        <f>IF(VLOOKUP(CONCATENATE(H214,F214,EZ$2),Ciencias!$A:$H,7,FALSE)=BN214,1,0)</f>
        <v>#N/A</v>
      </c>
      <c r="FA214" s="138" t="e">
        <f>IF(VLOOKUP(CONCATENATE(H214,F214,FA$2),Ciencias!$A:$H,7,FALSE)=BO214,1,0)</f>
        <v>#N/A</v>
      </c>
      <c r="FB214" s="138" t="e">
        <f>IF(VLOOKUP(CONCATENATE(H214,F214,FB$2),Ciencias!$A:$H,7,FALSE)=BP214,1,0)</f>
        <v>#N/A</v>
      </c>
      <c r="FC214" s="138" t="e">
        <f>IF(VLOOKUP(CONCATENATE(H214,F214,FC$2),Ciencias!$A:$H,7,FALSE)=BQ214,1,0)</f>
        <v>#N/A</v>
      </c>
      <c r="FD214" s="138" t="e">
        <f>IF(VLOOKUP(CONCATENATE(H214,F214,FD$2),Ciencias!$A:$H,7,FALSE)=BR214,1,0)</f>
        <v>#N/A</v>
      </c>
      <c r="FE214" s="138" t="e">
        <f>IF(VLOOKUP(CONCATENATE(H214,F214,FE$2),Ciencias!$A:$H,7,FALSE)=BS214,1,0)</f>
        <v>#N/A</v>
      </c>
      <c r="FF214" s="138" t="e">
        <f>IF(VLOOKUP(CONCATENATE(H214,F214,FF$2),Ciencias!$A:$H,7,FALSE)=BT214,1,0)</f>
        <v>#N/A</v>
      </c>
      <c r="FG214" s="138" t="e">
        <f>IF(VLOOKUP(CONCATENATE(H214,F214,FG$2),Ciencias!$A:$H,7,FALSE)=BU214,1,0)</f>
        <v>#N/A</v>
      </c>
      <c r="FH214" s="138" t="e">
        <f>IF(VLOOKUP(CONCATENATE(H214,F214,FH$2),Ciencias!$A:$H,7,FALSE)=BV214,1,0)</f>
        <v>#N/A</v>
      </c>
      <c r="FI214" s="138" t="e">
        <f>IF(VLOOKUP(CONCATENATE(H214,F214,FI$2),Ciencias!$A:$H,7,FALSE)=BW214,1,0)</f>
        <v>#N/A</v>
      </c>
      <c r="FJ214" s="138" t="e">
        <f>IF(VLOOKUP(CONCATENATE(H214,F214,FJ$2),Ciencias!$A:$H,7,FALSE)=BX214,1,0)</f>
        <v>#N/A</v>
      </c>
      <c r="FK214" s="138" t="e">
        <f>IF(VLOOKUP(CONCATENATE(H214,F214,FK$2),Ciencias!$A:$H,7,FALSE)=BY214,1,0)</f>
        <v>#N/A</v>
      </c>
      <c r="FL214" s="138" t="e">
        <f>IF(VLOOKUP(CONCATENATE(H214,F214,FL$2),Ciencias!$A:$H,7,FALSE)=BZ214,1,0)</f>
        <v>#N/A</v>
      </c>
      <c r="FM214" s="138" t="e">
        <f>IF(VLOOKUP(CONCATENATE(H214,F214,FM$2),Ciencias!$A:$H,7,FALSE)=CA214,1,0)</f>
        <v>#N/A</v>
      </c>
      <c r="FN214" s="138" t="e">
        <f>IF(VLOOKUP(CONCATENATE(H214,F214,FN$2),Ciencias!$A:$H,7,FALSE)=CB214,1,0)</f>
        <v>#N/A</v>
      </c>
      <c r="FO214" s="138" t="e">
        <f>IF(VLOOKUP(CONCATENATE(H214,F214,FO$2),Ciencias!$A:$H,7,FALSE)=CC214,1,0)</f>
        <v>#N/A</v>
      </c>
      <c r="FP214" s="138" t="e">
        <f>IF(VLOOKUP(CONCATENATE(H214,F214,FP$2),GeoHis!$A:$H,7,FALSE)=CD214,1,0)</f>
        <v>#N/A</v>
      </c>
      <c r="FQ214" s="138" t="e">
        <f>IF(VLOOKUP(CONCATENATE(H214,F214,FQ$2),GeoHis!$A:$H,7,FALSE)=CE214,1,0)</f>
        <v>#N/A</v>
      </c>
      <c r="FR214" s="138" t="e">
        <f>IF(VLOOKUP(CONCATENATE(H214,F214,FR$2),GeoHis!$A:$H,7,FALSE)=CF214,1,0)</f>
        <v>#N/A</v>
      </c>
      <c r="FS214" s="138" t="e">
        <f>IF(VLOOKUP(CONCATENATE(H214,F214,FS$2),GeoHis!$A:$H,7,FALSE)=CG214,1,0)</f>
        <v>#N/A</v>
      </c>
      <c r="FT214" s="138" t="e">
        <f>IF(VLOOKUP(CONCATENATE(H214,F214,FT$2),GeoHis!$A:$H,7,FALSE)=CH214,1,0)</f>
        <v>#N/A</v>
      </c>
      <c r="FU214" s="138" t="e">
        <f>IF(VLOOKUP(CONCATENATE(H214,F214,FU$2),GeoHis!$A:$H,7,FALSE)=CI214,1,0)</f>
        <v>#N/A</v>
      </c>
      <c r="FV214" s="138" t="e">
        <f>IF(VLOOKUP(CONCATENATE(H214,F214,FV$2),GeoHis!$A:$H,7,FALSE)=CJ214,1,0)</f>
        <v>#N/A</v>
      </c>
      <c r="FW214" s="138" t="e">
        <f>IF(VLOOKUP(CONCATENATE(H214,F214,FW$2),GeoHis!$A:$H,7,FALSE)=CK214,1,0)</f>
        <v>#N/A</v>
      </c>
      <c r="FX214" s="138" t="e">
        <f>IF(VLOOKUP(CONCATENATE(H214,F214,FX$2),GeoHis!$A:$H,7,FALSE)=CL214,1,0)</f>
        <v>#N/A</v>
      </c>
      <c r="FY214" s="138" t="e">
        <f>IF(VLOOKUP(CONCATENATE(H214,F214,FY$2),GeoHis!$A:$H,7,FALSE)=CM214,1,0)</f>
        <v>#N/A</v>
      </c>
      <c r="FZ214" s="138" t="e">
        <f>IF(VLOOKUP(CONCATENATE(H214,F214,FZ$2),GeoHis!$A:$H,7,FALSE)=CN214,1,0)</f>
        <v>#N/A</v>
      </c>
      <c r="GA214" s="138" t="e">
        <f>IF(VLOOKUP(CONCATENATE(H214,F214,GA$2),GeoHis!$A:$H,7,FALSE)=CO214,1,0)</f>
        <v>#N/A</v>
      </c>
      <c r="GB214" s="138" t="e">
        <f>IF(VLOOKUP(CONCATENATE(H214,F214,GB$2),GeoHis!$A:$H,7,FALSE)=CP214,1,0)</f>
        <v>#N/A</v>
      </c>
      <c r="GC214" s="138" t="e">
        <f>IF(VLOOKUP(CONCATENATE(H214,F214,GC$2),GeoHis!$A:$H,7,FALSE)=CQ214,1,0)</f>
        <v>#N/A</v>
      </c>
      <c r="GD214" s="138" t="e">
        <f>IF(VLOOKUP(CONCATENATE(H214,F214,GD$2),GeoHis!$A:$H,7,FALSE)=CR214,1,0)</f>
        <v>#N/A</v>
      </c>
      <c r="GE214" s="135" t="str">
        <f t="shared" si="31"/>
        <v/>
      </c>
    </row>
    <row r="215" spans="1:187" x14ac:dyDescent="0.25">
      <c r="A215" s="127" t="str">
        <f>IF(C215="","",'Datos Generales'!$A$25)</f>
        <v/>
      </c>
      <c r="D215" s="126" t="str">
        <f t="shared" si="24"/>
        <v/>
      </c>
      <c r="E215" s="126">
        <f t="shared" si="25"/>
        <v>0</v>
      </c>
      <c r="F215" s="126" t="str">
        <f t="shared" si="26"/>
        <v/>
      </c>
      <c r="G215" s="126" t="str">
        <f>IF(C215="","",'Datos Generales'!$D$19)</f>
        <v/>
      </c>
      <c r="H215" s="21" t="str">
        <f>IF(C215="","",'Datos Generales'!$A$19)</f>
        <v/>
      </c>
      <c r="I215" s="126" t="str">
        <f>IF(C215="","",'Datos Generales'!$A$7)</f>
        <v/>
      </c>
      <c r="J215" s="21" t="str">
        <f>IF(C215="","",'Datos Generales'!$A$13)</f>
        <v/>
      </c>
      <c r="K215" s="21" t="str">
        <f>IF(C215="","",'Datos Generales'!$A$10)</f>
        <v/>
      </c>
      <c r="CS215" s="142" t="str">
        <f t="shared" si="27"/>
        <v/>
      </c>
      <c r="CT215" s="142" t="str">
        <f t="shared" si="28"/>
        <v/>
      </c>
      <c r="CU215" s="142" t="str">
        <f t="shared" si="29"/>
        <v/>
      </c>
      <c r="CV215" s="142" t="str">
        <f t="shared" si="30"/>
        <v/>
      </c>
      <c r="CW215" s="142" t="str">
        <f>IF(C215="","",IF('Datos Generales'!$A$19=1,AVERAGE(FP215:GD215),AVERAGE(Captura!FP215:FY215)))</f>
        <v/>
      </c>
      <c r="CX215" s="138" t="e">
        <f>IF(VLOOKUP(CONCATENATE($H$4,$F$4,CX$2),Español!$A:$H,7,FALSE)=L215,1,0)</f>
        <v>#N/A</v>
      </c>
      <c r="CY215" s="138" t="e">
        <f>IF(VLOOKUP(CONCATENATE(H215,F215,CY$2),Español!$A:$H,7,FALSE)=M215,1,0)</f>
        <v>#N/A</v>
      </c>
      <c r="CZ215" s="138" t="e">
        <f>IF(VLOOKUP(CONCATENATE(H215,F215,CZ$2),Español!$A:$H,7,FALSE)=N215,1,0)</f>
        <v>#N/A</v>
      </c>
      <c r="DA215" s="138" t="e">
        <f>IF(VLOOKUP(CONCATENATE(H215,F215,DA$2),Español!$A:$H,7,FALSE)=O215,1,0)</f>
        <v>#N/A</v>
      </c>
      <c r="DB215" s="138" t="e">
        <f>IF(VLOOKUP(CONCATENATE(H215,F215,DB$2),Español!$A:$H,7,FALSE)=P215,1,0)</f>
        <v>#N/A</v>
      </c>
      <c r="DC215" s="138" t="e">
        <f>IF(VLOOKUP(CONCATENATE(H215,F215,DC$2),Español!$A:$H,7,FALSE)=Q215,1,0)</f>
        <v>#N/A</v>
      </c>
      <c r="DD215" s="138" t="e">
        <f>IF(VLOOKUP(CONCATENATE(H215,F215,DD$2),Español!$A:$H,7,FALSE)=R215,1,0)</f>
        <v>#N/A</v>
      </c>
      <c r="DE215" s="138" t="e">
        <f>IF(VLOOKUP(CONCATENATE(H215,F215,DE$2),Español!$A:$H,7,FALSE)=S215,1,0)</f>
        <v>#N/A</v>
      </c>
      <c r="DF215" s="138" t="e">
        <f>IF(VLOOKUP(CONCATENATE(H215,F215,DF$2),Español!$A:$H,7,FALSE)=T215,1,0)</f>
        <v>#N/A</v>
      </c>
      <c r="DG215" s="138" t="e">
        <f>IF(VLOOKUP(CONCATENATE(H215,F215,DG$2),Español!$A:$H,7,FALSE)=U215,1,0)</f>
        <v>#N/A</v>
      </c>
      <c r="DH215" s="138" t="e">
        <f>IF(VLOOKUP(CONCATENATE(H215,F215,DH$2),Español!$A:$H,7,FALSE)=V215,1,0)</f>
        <v>#N/A</v>
      </c>
      <c r="DI215" s="138" t="e">
        <f>IF(VLOOKUP(CONCATENATE(H215,F215,DI$2),Español!$A:$H,7,FALSE)=W215,1,0)</f>
        <v>#N/A</v>
      </c>
      <c r="DJ215" s="138" t="e">
        <f>IF(VLOOKUP(CONCATENATE(H215,F215,DJ$2),Español!$A:$H,7,FALSE)=X215,1,0)</f>
        <v>#N/A</v>
      </c>
      <c r="DK215" s="138" t="e">
        <f>IF(VLOOKUP(CONCATENATE(H215,F215,DK$2),Español!$A:$H,7,FALSE)=Y215,1,0)</f>
        <v>#N/A</v>
      </c>
      <c r="DL215" s="138" t="e">
        <f>IF(VLOOKUP(CONCATENATE(H215,F215,DL$2),Español!$A:$H,7,FALSE)=Z215,1,0)</f>
        <v>#N/A</v>
      </c>
      <c r="DM215" s="138" t="e">
        <f>IF(VLOOKUP(CONCATENATE(H215,F215,DM$2),Español!$A:$H,7,FALSE)=AA215,1,0)</f>
        <v>#N/A</v>
      </c>
      <c r="DN215" s="138" t="e">
        <f>IF(VLOOKUP(CONCATENATE(H215,F215,DN$2),Español!$A:$H,7,FALSE)=AB215,1,0)</f>
        <v>#N/A</v>
      </c>
      <c r="DO215" s="138" t="e">
        <f>IF(VLOOKUP(CONCATENATE(H215,F215,DO$2),Español!$A:$H,7,FALSE)=AC215,1,0)</f>
        <v>#N/A</v>
      </c>
      <c r="DP215" s="138" t="e">
        <f>IF(VLOOKUP(CONCATENATE(H215,F215,DP$2),Español!$A:$H,7,FALSE)=AD215,1,0)</f>
        <v>#N/A</v>
      </c>
      <c r="DQ215" s="138" t="e">
        <f>IF(VLOOKUP(CONCATENATE(H215,F215,DQ$2),Español!$A:$H,7,FALSE)=AE215,1,0)</f>
        <v>#N/A</v>
      </c>
      <c r="DR215" s="138" t="e">
        <f>IF(VLOOKUP(CONCATENATE(H215,F215,DR$2),Inglés!$A:$H,7,FALSE)=AF215,1,0)</f>
        <v>#N/A</v>
      </c>
      <c r="DS215" s="138" t="e">
        <f>IF(VLOOKUP(CONCATENATE(H215,F215,DS$2),Inglés!$A:$H,7,FALSE)=AG215,1,0)</f>
        <v>#N/A</v>
      </c>
      <c r="DT215" s="138" t="e">
        <f>IF(VLOOKUP(CONCATENATE(H215,F215,DT$2),Inglés!$A:$H,7,FALSE)=AH215,1,0)</f>
        <v>#N/A</v>
      </c>
      <c r="DU215" s="138" t="e">
        <f>IF(VLOOKUP(CONCATENATE(H215,F215,DU$2),Inglés!$A:$H,7,FALSE)=AI215,1,0)</f>
        <v>#N/A</v>
      </c>
      <c r="DV215" s="138" t="e">
        <f>IF(VLOOKUP(CONCATENATE(H215,F215,DV$2),Inglés!$A:$H,7,FALSE)=AJ215,1,0)</f>
        <v>#N/A</v>
      </c>
      <c r="DW215" s="138" t="e">
        <f>IF(VLOOKUP(CONCATENATE(H215,F215,DW$2),Inglés!$A:$H,7,FALSE)=AK215,1,0)</f>
        <v>#N/A</v>
      </c>
      <c r="DX215" s="138" t="e">
        <f>IF(VLOOKUP(CONCATENATE(H215,F215,DX$2),Inglés!$A:$H,7,FALSE)=AL215,1,0)</f>
        <v>#N/A</v>
      </c>
      <c r="DY215" s="138" t="e">
        <f>IF(VLOOKUP(CONCATENATE(H215,F215,DY$2),Inglés!$A:$H,7,FALSE)=AM215,1,0)</f>
        <v>#N/A</v>
      </c>
      <c r="DZ215" s="138" t="e">
        <f>IF(VLOOKUP(CONCATENATE(H215,F215,DZ$2),Inglés!$A:$H,7,FALSE)=AN215,1,0)</f>
        <v>#N/A</v>
      </c>
      <c r="EA215" s="138" t="e">
        <f>IF(VLOOKUP(CONCATENATE(H215,F215,EA$2),Inglés!$A:$H,7,FALSE)=AO215,1,0)</f>
        <v>#N/A</v>
      </c>
      <c r="EB215" s="138" t="e">
        <f>IF(VLOOKUP(CONCATENATE(H215,F215,EB$2),Matemáticas!$A:$H,7,FALSE)=AP215,1,0)</f>
        <v>#N/A</v>
      </c>
      <c r="EC215" s="138" t="e">
        <f>IF(VLOOKUP(CONCATENATE(H215,F215,EC$2),Matemáticas!$A:$H,7,FALSE)=AQ215,1,0)</f>
        <v>#N/A</v>
      </c>
      <c r="ED215" s="138" t="e">
        <f>IF(VLOOKUP(CONCATENATE(H215,F215,ED$2),Matemáticas!$A:$H,7,FALSE)=AR215,1,0)</f>
        <v>#N/A</v>
      </c>
      <c r="EE215" s="138" t="e">
        <f>IF(VLOOKUP(CONCATENATE(H215,F215,EE$2),Matemáticas!$A:$H,7,FALSE)=AS215,1,0)</f>
        <v>#N/A</v>
      </c>
      <c r="EF215" s="138" t="e">
        <f>IF(VLOOKUP(CONCATENATE(H215,F215,EF$2),Matemáticas!$A:$H,7,FALSE)=AT215,1,0)</f>
        <v>#N/A</v>
      </c>
      <c r="EG215" s="138" t="e">
        <f>IF(VLOOKUP(CONCATENATE(H215,F215,EG$2),Matemáticas!$A:$H,7,FALSE)=AU215,1,0)</f>
        <v>#N/A</v>
      </c>
      <c r="EH215" s="138" t="e">
        <f>IF(VLOOKUP(CONCATENATE(H215,F215,EH$2),Matemáticas!$A:$H,7,FALSE)=AV215,1,0)</f>
        <v>#N/A</v>
      </c>
      <c r="EI215" s="138" t="e">
        <f>IF(VLOOKUP(CONCATENATE(H215,F215,EI$2),Matemáticas!$A:$H,7,FALSE)=AW215,1,0)</f>
        <v>#N/A</v>
      </c>
      <c r="EJ215" s="138" t="e">
        <f>IF(VLOOKUP(CONCATENATE(H215,F215,EJ$2),Matemáticas!$A:$H,7,FALSE)=AX215,1,0)</f>
        <v>#N/A</v>
      </c>
      <c r="EK215" s="138" t="e">
        <f>IF(VLOOKUP(CONCATENATE(H215,F215,EK$2),Matemáticas!$A:$H,7,FALSE)=AY215,1,0)</f>
        <v>#N/A</v>
      </c>
      <c r="EL215" s="138" t="e">
        <f>IF(VLOOKUP(CONCATENATE(H215,F215,EL$2),Matemáticas!$A:$H,7,FALSE)=AZ215,1,0)</f>
        <v>#N/A</v>
      </c>
      <c r="EM215" s="138" t="e">
        <f>IF(VLOOKUP(CONCATENATE(H215,F215,EM$2),Matemáticas!$A:$H,7,FALSE)=BA215,1,0)</f>
        <v>#N/A</v>
      </c>
      <c r="EN215" s="138" t="e">
        <f>IF(VLOOKUP(CONCATENATE(H215,F215,EN$2),Matemáticas!$A:$H,7,FALSE)=BB215,1,0)</f>
        <v>#N/A</v>
      </c>
      <c r="EO215" s="138" t="e">
        <f>IF(VLOOKUP(CONCATENATE(H215,F215,EO$2),Matemáticas!$A:$H,7,FALSE)=BC215,1,0)</f>
        <v>#N/A</v>
      </c>
      <c r="EP215" s="138" t="e">
        <f>IF(VLOOKUP(CONCATENATE(H215,F215,EP$2),Matemáticas!$A:$H,7,FALSE)=BD215,1,0)</f>
        <v>#N/A</v>
      </c>
      <c r="EQ215" s="138" t="e">
        <f>IF(VLOOKUP(CONCATENATE(H215,F215,EQ$2),Matemáticas!$A:$H,7,FALSE)=BE215,1,0)</f>
        <v>#N/A</v>
      </c>
      <c r="ER215" s="138" t="e">
        <f>IF(VLOOKUP(CONCATENATE(H215,F215,ER$2),Matemáticas!$A:$H,7,FALSE)=BF215,1,0)</f>
        <v>#N/A</v>
      </c>
      <c r="ES215" s="138" t="e">
        <f>IF(VLOOKUP(CONCATENATE(H215,F215,ES$2),Matemáticas!$A:$H,7,FALSE)=BG215,1,0)</f>
        <v>#N/A</v>
      </c>
      <c r="ET215" s="138" t="e">
        <f>IF(VLOOKUP(CONCATENATE(H215,F215,ET$2),Matemáticas!$A:$H,7,FALSE)=BH215,1,0)</f>
        <v>#N/A</v>
      </c>
      <c r="EU215" s="138" t="e">
        <f>IF(VLOOKUP(CONCATENATE(H215,F215,EU$2),Matemáticas!$A:$H,7,FALSE)=BI215,1,0)</f>
        <v>#N/A</v>
      </c>
      <c r="EV215" s="138" t="e">
        <f>IF(VLOOKUP(CONCATENATE(H215,F215,EV$2),Ciencias!$A:$H,7,FALSE)=BJ215,1,0)</f>
        <v>#N/A</v>
      </c>
      <c r="EW215" s="138" t="e">
        <f>IF(VLOOKUP(CONCATENATE(H215,F215,EW$2),Ciencias!$A:$H,7,FALSE)=BK215,1,0)</f>
        <v>#N/A</v>
      </c>
      <c r="EX215" s="138" t="e">
        <f>IF(VLOOKUP(CONCATENATE(H215,F215,EX$2),Ciencias!$A:$H,7,FALSE)=BL215,1,0)</f>
        <v>#N/A</v>
      </c>
      <c r="EY215" s="138" t="e">
        <f>IF(VLOOKUP(CONCATENATE(H215,F215,EY$2),Ciencias!$A:$H,7,FALSE)=BM215,1,0)</f>
        <v>#N/A</v>
      </c>
      <c r="EZ215" s="138" t="e">
        <f>IF(VLOOKUP(CONCATENATE(H215,F215,EZ$2),Ciencias!$A:$H,7,FALSE)=BN215,1,0)</f>
        <v>#N/A</v>
      </c>
      <c r="FA215" s="138" t="e">
        <f>IF(VLOOKUP(CONCATENATE(H215,F215,FA$2),Ciencias!$A:$H,7,FALSE)=BO215,1,0)</f>
        <v>#N/A</v>
      </c>
      <c r="FB215" s="138" t="e">
        <f>IF(VLOOKUP(CONCATENATE(H215,F215,FB$2),Ciencias!$A:$H,7,FALSE)=BP215,1,0)</f>
        <v>#N/A</v>
      </c>
      <c r="FC215" s="138" t="e">
        <f>IF(VLOOKUP(CONCATENATE(H215,F215,FC$2),Ciencias!$A:$H,7,FALSE)=BQ215,1,0)</f>
        <v>#N/A</v>
      </c>
      <c r="FD215" s="138" t="e">
        <f>IF(VLOOKUP(CONCATENATE(H215,F215,FD$2),Ciencias!$A:$H,7,FALSE)=BR215,1,0)</f>
        <v>#N/A</v>
      </c>
      <c r="FE215" s="138" t="e">
        <f>IF(VLOOKUP(CONCATENATE(H215,F215,FE$2),Ciencias!$A:$H,7,FALSE)=BS215,1,0)</f>
        <v>#N/A</v>
      </c>
      <c r="FF215" s="138" t="e">
        <f>IF(VLOOKUP(CONCATENATE(H215,F215,FF$2),Ciencias!$A:$H,7,FALSE)=BT215,1,0)</f>
        <v>#N/A</v>
      </c>
      <c r="FG215" s="138" t="e">
        <f>IF(VLOOKUP(CONCATENATE(H215,F215,FG$2),Ciencias!$A:$H,7,FALSE)=BU215,1,0)</f>
        <v>#N/A</v>
      </c>
      <c r="FH215" s="138" t="e">
        <f>IF(VLOOKUP(CONCATENATE(H215,F215,FH$2),Ciencias!$A:$H,7,FALSE)=BV215,1,0)</f>
        <v>#N/A</v>
      </c>
      <c r="FI215" s="138" t="e">
        <f>IF(VLOOKUP(CONCATENATE(H215,F215,FI$2),Ciencias!$A:$H,7,FALSE)=BW215,1,0)</f>
        <v>#N/A</v>
      </c>
      <c r="FJ215" s="138" t="e">
        <f>IF(VLOOKUP(CONCATENATE(H215,F215,FJ$2),Ciencias!$A:$H,7,FALSE)=BX215,1,0)</f>
        <v>#N/A</v>
      </c>
      <c r="FK215" s="138" t="e">
        <f>IF(VLOOKUP(CONCATENATE(H215,F215,FK$2),Ciencias!$A:$H,7,FALSE)=BY215,1,0)</f>
        <v>#N/A</v>
      </c>
      <c r="FL215" s="138" t="e">
        <f>IF(VLOOKUP(CONCATENATE(H215,F215,FL$2),Ciencias!$A:$H,7,FALSE)=BZ215,1,0)</f>
        <v>#N/A</v>
      </c>
      <c r="FM215" s="138" t="e">
        <f>IF(VLOOKUP(CONCATENATE(H215,F215,FM$2),Ciencias!$A:$H,7,FALSE)=CA215,1,0)</f>
        <v>#N/A</v>
      </c>
      <c r="FN215" s="138" t="e">
        <f>IF(VLOOKUP(CONCATENATE(H215,F215,FN$2),Ciencias!$A:$H,7,FALSE)=CB215,1,0)</f>
        <v>#N/A</v>
      </c>
      <c r="FO215" s="138" t="e">
        <f>IF(VLOOKUP(CONCATENATE(H215,F215,FO$2),Ciencias!$A:$H,7,FALSE)=CC215,1,0)</f>
        <v>#N/A</v>
      </c>
      <c r="FP215" s="138" t="e">
        <f>IF(VLOOKUP(CONCATENATE(H215,F215,FP$2),GeoHis!$A:$H,7,FALSE)=CD215,1,0)</f>
        <v>#N/A</v>
      </c>
      <c r="FQ215" s="138" t="e">
        <f>IF(VLOOKUP(CONCATENATE(H215,F215,FQ$2),GeoHis!$A:$H,7,FALSE)=CE215,1,0)</f>
        <v>#N/A</v>
      </c>
      <c r="FR215" s="138" t="e">
        <f>IF(VLOOKUP(CONCATENATE(H215,F215,FR$2),GeoHis!$A:$H,7,FALSE)=CF215,1,0)</f>
        <v>#N/A</v>
      </c>
      <c r="FS215" s="138" t="e">
        <f>IF(VLOOKUP(CONCATENATE(H215,F215,FS$2),GeoHis!$A:$H,7,FALSE)=CG215,1,0)</f>
        <v>#N/A</v>
      </c>
      <c r="FT215" s="138" t="e">
        <f>IF(VLOOKUP(CONCATENATE(H215,F215,FT$2),GeoHis!$A:$H,7,FALSE)=CH215,1,0)</f>
        <v>#N/A</v>
      </c>
      <c r="FU215" s="138" t="e">
        <f>IF(VLOOKUP(CONCATENATE(H215,F215,FU$2),GeoHis!$A:$H,7,FALSE)=CI215,1,0)</f>
        <v>#N/A</v>
      </c>
      <c r="FV215" s="138" t="e">
        <f>IF(VLOOKUP(CONCATENATE(H215,F215,FV$2),GeoHis!$A:$H,7,FALSE)=CJ215,1,0)</f>
        <v>#N/A</v>
      </c>
      <c r="FW215" s="138" t="e">
        <f>IF(VLOOKUP(CONCATENATE(H215,F215,FW$2),GeoHis!$A:$H,7,FALSE)=CK215,1,0)</f>
        <v>#N/A</v>
      </c>
      <c r="FX215" s="138" t="e">
        <f>IF(VLOOKUP(CONCATENATE(H215,F215,FX$2),GeoHis!$A:$H,7,FALSE)=CL215,1,0)</f>
        <v>#N/A</v>
      </c>
      <c r="FY215" s="138" t="e">
        <f>IF(VLOOKUP(CONCATENATE(H215,F215,FY$2),GeoHis!$A:$H,7,FALSE)=CM215,1,0)</f>
        <v>#N/A</v>
      </c>
      <c r="FZ215" s="138" t="e">
        <f>IF(VLOOKUP(CONCATENATE(H215,F215,FZ$2),GeoHis!$A:$H,7,FALSE)=CN215,1,0)</f>
        <v>#N/A</v>
      </c>
      <c r="GA215" s="138" t="e">
        <f>IF(VLOOKUP(CONCATENATE(H215,F215,GA$2),GeoHis!$A:$H,7,FALSE)=CO215,1,0)</f>
        <v>#N/A</v>
      </c>
      <c r="GB215" s="138" t="e">
        <f>IF(VLOOKUP(CONCATENATE(H215,F215,GB$2),GeoHis!$A:$H,7,FALSE)=CP215,1,0)</f>
        <v>#N/A</v>
      </c>
      <c r="GC215" s="138" t="e">
        <f>IF(VLOOKUP(CONCATENATE(H215,F215,GC$2),GeoHis!$A:$H,7,FALSE)=CQ215,1,0)</f>
        <v>#N/A</v>
      </c>
      <c r="GD215" s="138" t="e">
        <f>IF(VLOOKUP(CONCATENATE(H215,F215,GD$2),GeoHis!$A:$H,7,FALSE)=CR215,1,0)</f>
        <v>#N/A</v>
      </c>
      <c r="GE215" s="135" t="str">
        <f t="shared" si="31"/>
        <v/>
      </c>
    </row>
    <row r="216" spans="1:187" x14ac:dyDescent="0.25">
      <c r="A216" s="127" t="str">
        <f>IF(C216="","",'Datos Generales'!$A$25)</f>
        <v/>
      </c>
      <c r="D216" s="126" t="str">
        <f t="shared" si="24"/>
        <v/>
      </c>
      <c r="E216" s="126">
        <f t="shared" si="25"/>
        <v>0</v>
      </c>
      <c r="F216" s="126" t="str">
        <f t="shared" si="26"/>
        <v/>
      </c>
      <c r="G216" s="126" t="str">
        <f>IF(C216="","",'Datos Generales'!$D$19)</f>
        <v/>
      </c>
      <c r="H216" s="21" t="str">
        <f>IF(C216="","",'Datos Generales'!$A$19)</f>
        <v/>
      </c>
      <c r="I216" s="126" t="str">
        <f>IF(C216="","",'Datos Generales'!$A$7)</f>
        <v/>
      </c>
      <c r="J216" s="21" t="str">
        <f>IF(C216="","",'Datos Generales'!$A$13)</f>
        <v/>
      </c>
      <c r="K216" s="21" t="str">
        <f>IF(C216="","",'Datos Generales'!$A$10)</f>
        <v/>
      </c>
      <c r="CS216" s="142" t="str">
        <f t="shared" si="27"/>
        <v/>
      </c>
      <c r="CT216" s="142" t="str">
        <f t="shared" si="28"/>
        <v/>
      </c>
      <c r="CU216" s="142" t="str">
        <f t="shared" si="29"/>
        <v/>
      </c>
      <c r="CV216" s="142" t="str">
        <f t="shared" si="30"/>
        <v/>
      </c>
      <c r="CW216" s="142" t="str">
        <f>IF(C216="","",IF('Datos Generales'!$A$19=1,AVERAGE(FP216:GD216),AVERAGE(Captura!FP216:FY216)))</f>
        <v/>
      </c>
      <c r="CX216" s="138" t="e">
        <f>IF(VLOOKUP(CONCATENATE($H$4,$F$4,CX$2),Español!$A:$H,7,FALSE)=L216,1,0)</f>
        <v>#N/A</v>
      </c>
      <c r="CY216" s="138" t="e">
        <f>IF(VLOOKUP(CONCATENATE(H216,F216,CY$2),Español!$A:$H,7,FALSE)=M216,1,0)</f>
        <v>#N/A</v>
      </c>
      <c r="CZ216" s="138" t="e">
        <f>IF(VLOOKUP(CONCATENATE(H216,F216,CZ$2),Español!$A:$H,7,FALSE)=N216,1,0)</f>
        <v>#N/A</v>
      </c>
      <c r="DA216" s="138" t="e">
        <f>IF(VLOOKUP(CONCATENATE(H216,F216,DA$2),Español!$A:$H,7,FALSE)=O216,1,0)</f>
        <v>#N/A</v>
      </c>
      <c r="DB216" s="138" t="e">
        <f>IF(VLOOKUP(CONCATENATE(H216,F216,DB$2),Español!$A:$H,7,FALSE)=P216,1,0)</f>
        <v>#N/A</v>
      </c>
      <c r="DC216" s="138" t="e">
        <f>IF(VLOOKUP(CONCATENATE(H216,F216,DC$2),Español!$A:$H,7,FALSE)=Q216,1,0)</f>
        <v>#N/A</v>
      </c>
      <c r="DD216" s="138" t="e">
        <f>IF(VLOOKUP(CONCATENATE(H216,F216,DD$2),Español!$A:$H,7,FALSE)=R216,1,0)</f>
        <v>#N/A</v>
      </c>
      <c r="DE216" s="138" t="e">
        <f>IF(VLOOKUP(CONCATENATE(H216,F216,DE$2),Español!$A:$H,7,FALSE)=S216,1,0)</f>
        <v>#N/A</v>
      </c>
      <c r="DF216" s="138" t="e">
        <f>IF(VLOOKUP(CONCATENATE(H216,F216,DF$2),Español!$A:$H,7,FALSE)=T216,1,0)</f>
        <v>#N/A</v>
      </c>
      <c r="DG216" s="138" t="e">
        <f>IF(VLOOKUP(CONCATENATE(H216,F216,DG$2),Español!$A:$H,7,FALSE)=U216,1,0)</f>
        <v>#N/A</v>
      </c>
      <c r="DH216" s="138" t="e">
        <f>IF(VLOOKUP(CONCATENATE(H216,F216,DH$2),Español!$A:$H,7,FALSE)=V216,1,0)</f>
        <v>#N/A</v>
      </c>
      <c r="DI216" s="138" t="e">
        <f>IF(VLOOKUP(CONCATENATE(H216,F216,DI$2),Español!$A:$H,7,FALSE)=W216,1,0)</f>
        <v>#N/A</v>
      </c>
      <c r="DJ216" s="138" t="e">
        <f>IF(VLOOKUP(CONCATENATE(H216,F216,DJ$2),Español!$A:$H,7,FALSE)=X216,1,0)</f>
        <v>#N/A</v>
      </c>
      <c r="DK216" s="138" t="e">
        <f>IF(VLOOKUP(CONCATENATE(H216,F216,DK$2),Español!$A:$H,7,FALSE)=Y216,1,0)</f>
        <v>#N/A</v>
      </c>
      <c r="DL216" s="138" t="e">
        <f>IF(VLOOKUP(CONCATENATE(H216,F216,DL$2),Español!$A:$H,7,FALSE)=Z216,1,0)</f>
        <v>#N/A</v>
      </c>
      <c r="DM216" s="138" t="e">
        <f>IF(VLOOKUP(CONCATENATE(H216,F216,DM$2),Español!$A:$H,7,FALSE)=AA216,1,0)</f>
        <v>#N/A</v>
      </c>
      <c r="DN216" s="138" t="e">
        <f>IF(VLOOKUP(CONCATENATE(H216,F216,DN$2),Español!$A:$H,7,FALSE)=AB216,1,0)</f>
        <v>#N/A</v>
      </c>
      <c r="DO216" s="138" t="e">
        <f>IF(VLOOKUP(CONCATENATE(H216,F216,DO$2),Español!$A:$H,7,FALSE)=AC216,1,0)</f>
        <v>#N/A</v>
      </c>
      <c r="DP216" s="138" t="e">
        <f>IF(VLOOKUP(CONCATENATE(H216,F216,DP$2),Español!$A:$H,7,FALSE)=AD216,1,0)</f>
        <v>#N/A</v>
      </c>
      <c r="DQ216" s="138" t="e">
        <f>IF(VLOOKUP(CONCATENATE(H216,F216,DQ$2),Español!$A:$H,7,FALSE)=AE216,1,0)</f>
        <v>#N/A</v>
      </c>
      <c r="DR216" s="138" t="e">
        <f>IF(VLOOKUP(CONCATENATE(H216,F216,DR$2),Inglés!$A:$H,7,FALSE)=AF216,1,0)</f>
        <v>#N/A</v>
      </c>
      <c r="DS216" s="138" t="e">
        <f>IF(VLOOKUP(CONCATENATE(H216,F216,DS$2),Inglés!$A:$H,7,FALSE)=AG216,1,0)</f>
        <v>#N/A</v>
      </c>
      <c r="DT216" s="138" t="e">
        <f>IF(VLOOKUP(CONCATENATE(H216,F216,DT$2),Inglés!$A:$H,7,FALSE)=AH216,1,0)</f>
        <v>#N/A</v>
      </c>
      <c r="DU216" s="138" t="e">
        <f>IF(VLOOKUP(CONCATENATE(H216,F216,DU$2),Inglés!$A:$H,7,FALSE)=AI216,1,0)</f>
        <v>#N/A</v>
      </c>
      <c r="DV216" s="138" t="e">
        <f>IF(VLOOKUP(CONCATENATE(H216,F216,DV$2),Inglés!$A:$H,7,FALSE)=AJ216,1,0)</f>
        <v>#N/A</v>
      </c>
      <c r="DW216" s="138" t="e">
        <f>IF(VLOOKUP(CONCATENATE(H216,F216,DW$2),Inglés!$A:$H,7,FALSE)=AK216,1,0)</f>
        <v>#N/A</v>
      </c>
      <c r="DX216" s="138" t="e">
        <f>IF(VLOOKUP(CONCATENATE(H216,F216,DX$2),Inglés!$A:$H,7,FALSE)=AL216,1,0)</f>
        <v>#N/A</v>
      </c>
      <c r="DY216" s="138" t="e">
        <f>IF(VLOOKUP(CONCATENATE(H216,F216,DY$2),Inglés!$A:$H,7,FALSE)=AM216,1,0)</f>
        <v>#N/A</v>
      </c>
      <c r="DZ216" s="138" t="e">
        <f>IF(VLOOKUP(CONCATENATE(H216,F216,DZ$2),Inglés!$A:$H,7,FALSE)=AN216,1,0)</f>
        <v>#N/A</v>
      </c>
      <c r="EA216" s="138" t="e">
        <f>IF(VLOOKUP(CONCATENATE(H216,F216,EA$2),Inglés!$A:$H,7,FALSE)=AO216,1,0)</f>
        <v>#N/A</v>
      </c>
      <c r="EB216" s="138" t="e">
        <f>IF(VLOOKUP(CONCATENATE(H216,F216,EB$2),Matemáticas!$A:$H,7,FALSE)=AP216,1,0)</f>
        <v>#N/A</v>
      </c>
      <c r="EC216" s="138" t="e">
        <f>IF(VLOOKUP(CONCATENATE(H216,F216,EC$2),Matemáticas!$A:$H,7,FALSE)=AQ216,1,0)</f>
        <v>#N/A</v>
      </c>
      <c r="ED216" s="138" t="e">
        <f>IF(VLOOKUP(CONCATENATE(H216,F216,ED$2),Matemáticas!$A:$H,7,FALSE)=AR216,1,0)</f>
        <v>#N/A</v>
      </c>
      <c r="EE216" s="138" t="e">
        <f>IF(VLOOKUP(CONCATENATE(H216,F216,EE$2),Matemáticas!$A:$H,7,FALSE)=AS216,1,0)</f>
        <v>#N/A</v>
      </c>
      <c r="EF216" s="138" t="e">
        <f>IF(VLOOKUP(CONCATENATE(H216,F216,EF$2),Matemáticas!$A:$H,7,FALSE)=AT216,1,0)</f>
        <v>#N/A</v>
      </c>
      <c r="EG216" s="138" t="e">
        <f>IF(VLOOKUP(CONCATENATE(H216,F216,EG$2),Matemáticas!$A:$H,7,FALSE)=AU216,1,0)</f>
        <v>#N/A</v>
      </c>
      <c r="EH216" s="138" t="e">
        <f>IF(VLOOKUP(CONCATENATE(H216,F216,EH$2),Matemáticas!$A:$H,7,FALSE)=AV216,1,0)</f>
        <v>#N/A</v>
      </c>
      <c r="EI216" s="138" t="e">
        <f>IF(VLOOKUP(CONCATENATE(H216,F216,EI$2),Matemáticas!$A:$H,7,FALSE)=AW216,1,0)</f>
        <v>#N/A</v>
      </c>
      <c r="EJ216" s="138" t="e">
        <f>IF(VLOOKUP(CONCATENATE(H216,F216,EJ$2),Matemáticas!$A:$H,7,FALSE)=AX216,1,0)</f>
        <v>#N/A</v>
      </c>
      <c r="EK216" s="138" t="e">
        <f>IF(VLOOKUP(CONCATENATE(H216,F216,EK$2),Matemáticas!$A:$H,7,FALSE)=AY216,1,0)</f>
        <v>#N/A</v>
      </c>
      <c r="EL216" s="138" t="e">
        <f>IF(VLOOKUP(CONCATENATE(H216,F216,EL$2),Matemáticas!$A:$H,7,FALSE)=AZ216,1,0)</f>
        <v>#N/A</v>
      </c>
      <c r="EM216" s="138" t="e">
        <f>IF(VLOOKUP(CONCATENATE(H216,F216,EM$2),Matemáticas!$A:$H,7,FALSE)=BA216,1,0)</f>
        <v>#N/A</v>
      </c>
      <c r="EN216" s="138" t="e">
        <f>IF(VLOOKUP(CONCATENATE(H216,F216,EN$2),Matemáticas!$A:$H,7,FALSE)=BB216,1,0)</f>
        <v>#N/A</v>
      </c>
      <c r="EO216" s="138" t="e">
        <f>IF(VLOOKUP(CONCATENATE(H216,F216,EO$2),Matemáticas!$A:$H,7,FALSE)=BC216,1,0)</f>
        <v>#N/A</v>
      </c>
      <c r="EP216" s="138" t="e">
        <f>IF(VLOOKUP(CONCATENATE(H216,F216,EP$2),Matemáticas!$A:$H,7,FALSE)=BD216,1,0)</f>
        <v>#N/A</v>
      </c>
      <c r="EQ216" s="138" t="e">
        <f>IF(VLOOKUP(CONCATENATE(H216,F216,EQ$2),Matemáticas!$A:$H,7,FALSE)=BE216,1,0)</f>
        <v>#N/A</v>
      </c>
      <c r="ER216" s="138" t="e">
        <f>IF(VLOOKUP(CONCATENATE(H216,F216,ER$2),Matemáticas!$A:$H,7,FALSE)=BF216,1,0)</f>
        <v>#N/A</v>
      </c>
      <c r="ES216" s="138" t="e">
        <f>IF(VLOOKUP(CONCATENATE(H216,F216,ES$2),Matemáticas!$A:$H,7,FALSE)=BG216,1,0)</f>
        <v>#N/A</v>
      </c>
      <c r="ET216" s="138" t="e">
        <f>IF(VLOOKUP(CONCATENATE(H216,F216,ET$2),Matemáticas!$A:$H,7,FALSE)=BH216,1,0)</f>
        <v>#N/A</v>
      </c>
      <c r="EU216" s="138" t="e">
        <f>IF(VLOOKUP(CONCATENATE(H216,F216,EU$2),Matemáticas!$A:$H,7,FALSE)=BI216,1,0)</f>
        <v>#N/A</v>
      </c>
      <c r="EV216" s="138" t="e">
        <f>IF(VLOOKUP(CONCATENATE(H216,F216,EV$2),Ciencias!$A:$H,7,FALSE)=BJ216,1,0)</f>
        <v>#N/A</v>
      </c>
      <c r="EW216" s="138" t="e">
        <f>IF(VLOOKUP(CONCATENATE(H216,F216,EW$2),Ciencias!$A:$H,7,FALSE)=BK216,1,0)</f>
        <v>#N/A</v>
      </c>
      <c r="EX216" s="138" t="e">
        <f>IF(VLOOKUP(CONCATENATE(H216,F216,EX$2),Ciencias!$A:$H,7,FALSE)=BL216,1,0)</f>
        <v>#N/A</v>
      </c>
      <c r="EY216" s="138" t="e">
        <f>IF(VLOOKUP(CONCATENATE(H216,F216,EY$2),Ciencias!$A:$H,7,FALSE)=BM216,1,0)</f>
        <v>#N/A</v>
      </c>
      <c r="EZ216" s="138" t="e">
        <f>IF(VLOOKUP(CONCATENATE(H216,F216,EZ$2),Ciencias!$A:$H,7,FALSE)=BN216,1,0)</f>
        <v>#N/A</v>
      </c>
      <c r="FA216" s="138" t="e">
        <f>IF(VLOOKUP(CONCATENATE(H216,F216,FA$2),Ciencias!$A:$H,7,FALSE)=BO216,1,0)</f>
        <v>#N/A</v>
      </c>
      <c r="FB216" s="138" t="e">
        <f>IF(VLOOKUP(CONCATENATE(H216,F216,FB$2),Ciencias!$A:$H,7,FALSE)=BP216,1,0)</f>
        <v>#N/A</v>
      </c>
      <c r="FC216" s="138" t="e">
        <f>IF(VLOOKUP(CONCATENATE(H216,F216,FC$2),Ciencias!$A:$H,7,FALSE)=BQ216,1,0)</f>
        <v>#N/A</v>
      </c>
      <c r="FD216" s="138" t="e">
        <f>IF(VLOOKUP(CONCATENATE(H216,F216,FD$2),Ciencias!$A:$H,7,FALSE)=BR216,1,0)</f>
        <v>#N/A</v>
      </c>
      <c r="FE216" s="138" t="e">
        <f>IF(VLOOKUP(CONCATENATE(H216,F216,FE$2),Ciencias!$A:$H,7,FALSE)=BS216,1,0)</f>
        <v>#N/A</v>
      </c>
      <c r="FF216" s="138" t="e">
        <f>IF(VLOOKUP(CONCATENATE(H216,F216,FF$2),Ciencias!$A:$H,7,FALSE)=BT216,1,0)</f>
        <v>#N/A</v>
      </c>
      <c r="FG216" s="138" t="e">
        <f>IF(VLOOKUP(CONCATENATE(H216,F216,FG$2),Ciencias!$A:$H,7,FALSE)=BU216,1,0)</f>
        <v>#N/A</v>
      </c>
      <c r="FH216" s="138" t="e">
        <f>IF(VLOOKUP(CONCATENATE(H216,F216,FH$2),Ciencias!$A:$H,7,FALSE)=BV216,1,0)</f>
        <v>#N/A</v>
      </c>
      <c r="FI216" s="138" t="e">
        <f>IF(VLOOKUP(CONCATENATE(H216,F216,FI$2),Ciencias!$A:$H,7,FALSE)=BW216,1,0)</f>
        <v>#N/A</v>
      </c>
      <c r="FJ216" s="138" t="e">
        <f>IF(VLOOKUP(CONCATENATE(H216,F216,FJ$2),Ciencias!$A:$H,7,FALSE)=BX216,1,0)</f>
        <v>#N/A</v>
      </c>
      <c r="FK216" s="138" t="e">
        <f>IF(VLOOKUP(CONCATENATE(H216,F216,FK$2),Ciencias!$A:$H,7,FALSE)=BY216,1,0)</f>
        <v>#N/A</v>
      </c>
      <c r="FL216" s="138" t="e">
        <f>IF(VLOOKUP(CONCATENATE(H216,F216,FL$2),Ciencias!$A:$H,7,FALSE)=BZ216,1,0)</f>
        <v>#N/A</v>
      </c>
      <c r="FM216" s="138" t="e">
        <f>IF(VLOOKUP(CONCATENATE(H216,F216,FM$2),Ciencias!$A:$H,7,FALSE)=CA216,1,0)</f>
        <v>#N/A</v>
      </c>
      <c r="FN216" s="138" t="e">
        <f>IF(VLOOKUP(CONCATENATE(H216,F216,FN$2),Ciencias!$A:$H,7,FALSE)=CB216,1,0)</f>
        <v>#N/A</v>
      </c>
      <c r="FO216" s="138" t="e">
        <f>IF(VLOOKUP(CONCATENATE(H216,F216,FO$2),Ciencias!$A:$H,7,FALSE)=CC216,1,0)</f>
        <v>#N/A</v>
      </c>
      <c r="FP216" s="138" t="e">
        <f>IF(VLOOKUP(CONCATENATE(H216,F216,FP$2),GeoHis!$A:$H,7,FALSE)=CD216,1,0)</f>
        <v>#N/A</v>
      </c>
      <c r="FQ216" s="138" t="e">
        <f>IF(VLOOKUP(CONCATENATE(H216,F216,FQ$2),GeoHis!$A:$H,7,FALSE)=CE216,1,0)</f>
        <v>#N/A</v>
      </c>
      <c r="FR216" s="138" t="e">
        <f>IF(VLOOKUP(CONCATENATE(H216,F216,FR$2),GeoHis!$A:$H,7,FALSE)=CF216,1,0)</f>
        <v>#N/A</v>
      </c>
      <c r="FS216" s="138" t="e">
        <f>IF(VLOOKUP(CONCATENATE(H216,F216,FS$2),GeoHis!$A:$H,7,FALSE)=CG216,1,0)</f>
        <v>#N/A</v>
      </c>
      <c r="FT216" s="138" t="e">
        <f>IF(VLOOKUP(CONCATENATE(H216,F216,FT$2),GeoHis!$A:$H,7,FALSE)=CH216,1,0)</f>
        <v>#N/A</v>
      </c>
      <c r="FU216" s="138" t="e">
        <f>IF(VLOOKUP(CONCATENATE(H216,F216,FU$2),GeoHis!$A:$H,7,FALSE)=CI216,1,0)</f>
        <v>#N/A</v>
      </c>
      <c r="FV216" s="138" t="e">
        <f>IF(VLOOKUP(CONCATENATE(H216,F216,FV$2),GeoHis!$A:$H,7,FALSE)=CJ216,1,0)</f>
        <v>#N/A</v>
      </c>
      <c r="FW216" s="138" t="e">
        <f>IF(VLOOKUP(CONCATENATE(H216,F216,FW$2),GeoHis!$A:$H,7,FALSE)=CK216,1,0)</f>
        <v>#N/A</v>
      </c>
      <c r="FX216" s="138" t="e">
        <f>IF(VLOOKUP(CONCATENATE(H216,F216,FX$2),GeoHis!$A:$H,7,FALSE)=CL216,1,0)</f>
        <v>#N/A</v>
      </c>
      <c r="FY216" s="138" t="e">
        <f>IF(VLOOKUP(CONCATENATE(H216,F216,FY$2),GeoHis!$A:$H,7,FALSE)=CM216,1,0)</f>
        <v>#N/A</v>
      </c>
      <c r="FZ216" s="138" t="e">
        <f>IF(VLOOKUP(CONCATENATE(H216,F216,FZ$2),GeoHis!$A:$H,7,FALSE)=CN216,1,0)</f>
        <v>#N/A</v>
      </c>
      <c r="GA216" s="138" t="e">
        <f>IF(VLOOKUP(CONCATENATE(H216,F216,GA$2),GeoHis!$A:$H,7,FALSE)=CO216,1,0)</f>
        <v>#N/A</v>
      </c>
      <c r="GB216" s="138" t="e">
        <f>IF(VLOOKUP(CONCATENATE(H216,F216,GB$2),GeoHis!$A:$H,7,FALSE)=CP216,1,0)</f>
        <v>#N/A</v>
      </c>
      <c r="GC216" s="138" t="e">
        <f>IF(VLOOKUP(CONCATENATE(H216,F216,GC$2),GeoHis!$A:$H,7,FALSE)=CQ216,1,0)</f>
        <v>#N/A</v>
      </c>
      <c r="GD216" s="138" t="e">
        <f>IF(VLOOKUP(CONCATENATE(H216,F216,GD$2),GeoHis!$A:$H,7,FALSE)=CR216,1,0)</f>
        <v>#N/A</v>
      </c>
      <c r="GE216" s="135" t="str">
        <f t="shared" si="31"/>
        <v/>
      </c>
    </row>
    <row r="217" spans="1:187" x14ac:dyDescent="0.25">
      <c r="A217" s="127" t="str">
        <f>IF(C217="","",'Datos Generales'!$A$25)</f>
        <v/>
      </c>
      <c r="D217" s="126" t="str">
        <f t="shared" si="24"/>
        <v/>
      </c>
      <c r="E217" s="126">
        <f t="shared" si="25"/>
        <v>0</v>
      </c>
      <c r="F217" s="126" t="str">
        <f t="shared" si="26"/>
        <v/>
      </c>
      <c r="G217" s="126" t="str">
        <f>IF(C217="","",'Datos Generales'!$D$19)</f>
        <v/>
      </c>
      <c r="H217" s="21" t="str">
        <f>IF(C217="","",'Datos Generales'!$A$19)</f>
        <v/>
      </c>
      <c r="I217" s="126" t="str">
        <f>IF(C217="","",'Datos Generales'!$A$7)</f>
        <v/>
      </c>
      <c r="J217" s="21" t="str">
        <f>IF(C217="","",'Datos Generales'!$A$13)</f>
        <v/>
      </c>
      <c r="K217" s="21" t="str">
        <f>IF(C217="","",'Datos Generales'!$A$10)</f>
        <v/>
      </c>
      <c r="CS217" s="142" t="str">
        <f t="shared" si="27"/>
        <v/>
      </c>
      <c r="CT217" s="142" t="str">
        <f t="shared" si="28"/>
        <v/>
      </c>
      <c r="CU217" s="142" t="str">
        <f t="shared" si="29"/>
        <v/>
      </c>
      <c r="CV217" s="142" t="str">
        <f t="shared" si="30"/>
        <v/>
      </c>
      <c r="CW217" s="142" t="str">
        <f>IF(C217="","",IF('Datos Generales'!$A$19=1,AVERAGE(FP217:GD217),AVERAGE(Captura!FP217:FY217)))</f>
        <v/>
      </c>
      <c r="CX217" s="138" t="e">
        <f>IF(VLOOKUP(CONCATENATE($H$4,$F$4,CX$2),Español!$A:$H,7,FALSE)=L217,1,0)</f>
        <v>#N/A</v>
      </c>
      <c r="CY217" s="138" t="e">
        <f>IF(VLOOKUP(CONCATENATE(H217,F217,CY$2),Español!$A:$H,7,FALSE)=M217,1,0)</f>
        <v>#N/A</v>
      </c>
      <c r="CZ217" s="138" t="e">
        <f>IF(VLOOKUP(CONCATENATE(H217,F217,CZ$2),Español!$A:$H,7,FALSE)=N217,1,0)</f>
        <v>#N/A</v>
      </c>
      <c r="DA217" s="138" t="e">
        <f>IF(VLOOKUP(CONCATENATE(H217,F217,DA$2),Español!$A:$H,7,FALSE)=O217,1,0)</f>
        <v>#N/A</v>
      </c>
      <c r="DB217" s="138" t="e">
        <f>IF(VLOOKUP(CONCATENATE(H217,F217,DB$2),Español!$A:$H,7,FALSE)=P217,1,0)</f>
        <v>#N/A</v>
      </c>
      <c r="DC217" s="138" t="e">
        <f>IF(VLOOKUP(CONCATENATE(H217,F217,DC$2),Español!$A:$H,7,FALSE)=Q217,1,0)</f>
        <v>#N/A</v>
      </c>
      <c r="DD217" s="138" t="e">
        <f>IF(VLOOKUP(CONCATENATE(H217,F217,DD$2),Español!$A:$H,7,FALSE)=R217,1,0)</f>
        <v>#N/A</v>
      </c>
      <c r="DE217" s="138" t="e">
        <f>IF(VLOOKUP(CONCATENATE(H217,F217,DE$2),Español!$A:$H,7,FALSE)=S217,1,0)</f>
        <v>#N/A</v>
      </c>
      <c r="DF217" s="138" t="e">
        <f>IF(VLOOKUP(CONCATENATE(H217,F217,DF$2),Español!$A:$H,7,FALSE)=T217,1,0)</f>
        <v>#N/A</v>
      </c>
      <c r="DG217" s="138" t="e">
        <f>IF(VLOOKUP(CONCATENATE(H217,F217,DG$2),Español!$A:$H,7,FALSE)=U217,1,0)</f>
        <v>#N/A</v>
      </c>
      <c r="DH217" s="138" t="e">
        <f>IF(VLOOKUP(CONCATENATE(H217,F217,DH$2),Español!$A:$H,7,FALSE)=V217,1,0)</f>
        <v>#N/A</v>
      </c>
      <c r="DI217" s="138" t="e">
        <f>IF(VLOOKUP(CONCATENATE(H217,F217,DI$2),Español!$A:$H,7,FALSE)=W217,1,0)</f>
        <v>#N/A</v>
      </c>
      <c r="DJ217" s="138" t="e">
        <f>IF(VLOOKUP(CONCATENATE(H217,F217,DJ$2),Español!$A:$H,7,FALSE)=X217,1,0)</f>
        <v>#N/A</v>
      </c>
      <c r="DK217" s="138" t="e">
        <f>IF(VLOOKUP(CONCATENATE(H217,F217,DK$2),Español!$A:$H,7,FALSE)=Y217,1,0)</f>
        <v>#N/A</v>
      </c>
      <c r="DL217" s="138" t="e">
        <f>IF(VLOOKUP(CONCATENATE(H217,F217,DL$2),Español!$A:$H,7,FALSE)=Z217,1,0)</f>
        <v>#N/A</v>
      </c>
      <c r="DM217" s="138" t="e">
        <f>IF(VLOOKUP(CONCATENATE(H217,F217,DM$2),Español!$A:$H,7,FALSE)=AA217,1,0)</f>
        <v>#N/A</v>
      </c>
      <c r="DN217" s="138" t="e">
        <f>IF(VLOOKUP(CONCATENATE(H217,F217,DN$2),Español!$A:$H,7,FALSE)=AB217,1,0)</f>
        <v>#N/A</v>
      </c>
      <c r="DO217" s="138" t="e">
        <f>IF(VLOOKUP(CONCATENATE(H217,F217,DO$2),Español!$A:$H,7,FALSE)=AC217,1,0)</f>
        <v>#N/A</v>
      </c>
      <c r="DP217" s="138" t="e">
        <f>IF(VLOOKUP(CONCATENATE(H217,F217,DP$2),Español!$A:$H,7,FALSE)=AD217,1,0)</f>
        <v>#N/A</v>
      </c>
      <c r="DQ217" s="138" t="e">
        <f>IF(VLOOKUP(CONCATENATE(H217,F217,DQ$2),Español!$A:$H,7,FALSE)=AE217,1,0)</f>
        <v>#N/A</v>
      </c>
      <c r="DR217" s="138" t="e">
        <f>IF(VLOOKUP(CONCATENATE(H217,F217,DR$2),Inglés!$A:$H,7,FALSE)=AF217,1,0)</f>
        <v>#N/A</v>
      </c>
      <c r="DS217" s="138" t="e">
        <f>IF(VLOOKUP(CONCATENATE(H217,F217,DS$2),Inglés!$A:$H,7,FALSE)=AG217,1,0)</f>
        <v>#N/A</v>
      </c>
      <c r="DT217" s="138" t="e">
        <f>IF(VLOOKUP(CONCATENATE(H217,F217,DT$2),Inglés!$A:$H,7,FALSE)=AH217,1,0)</f>
        <v>#N/A</v>
      </c>
      <c r="DU217" s="138" t="e">
        <f>IF(VLOOKUP(CONCATENATE(H217,F217,DU$2),Inglés!$A:$H,7,FALSE)=AI217,1,0)</f>
        <v>#N/A</v>
      </c>
      <c r="DV217" s="138" t="e">
        <f>IF(VLOOKUP(CONCATENATE(H217,F217,DV$2),Inglés!$A:$H,7,FALSE)=AJ217,1,0)</f>
        <v>#N/A</v>
      </c>
      <c r="DW217" s="138" t="e">
        <f>IF(VLOOKUP(CONCATENATE(H217,F217,DW$2),Inglés!$A:$H,7,FALSE)=AK217,1,0)</f>
        <v>#N/A</v>
      </c>
      <c r="DX217" s="138" t="e">
        <f>IF(VLOOKUP(CONCATENATE(H217,F217,DX$2),Inglés!$A:$H,7,FALSE)=AL217,1,0)</f>
        <v>#N/A</v>
      </c>
      <c r="DY217" s="138" t="e">
        <f>IF(VLOOKUP(CONCATENATE(H217,F217,DY$2),Inglés!$A:$H,7,FALSE)=AM217,1,0)</f>
        <v>#N/A</v>
      </c>
      <c r="DZ217" s="138" t="e">
        <f>IF(VLOOKUP(CONCATENATE(H217,F217,DZ$2),Inglés!$A:$H,7,FALSE)=AN217,1,0)</f>
        <v>#N/A</v>
      </c>
      <c r="EA217" s="138" t="e">
        <f>IF(VLOOKUP(CONCATENATE(H217,F217,EA$2),Inglés!$A:$H,7,FALSE)=AO217,1,0)</f>
        <v>#N/A</v>
      </c>
      <c r="EB217" s="138" t="e">
        <f>IF(VLOOKUP(CONCATENATE(H217,F217,EB$2),Matemáticas!$A:$H,7,FALSE)=AP217,1,0)</f>
        <v>#N/A</v>
      </c>
      <c r="EC217" s="138" t="e">
        <f>IF(VLOOKUP(CONCATENATE(H217,F217,EC$2),Matemáticas!$A:$H,7,FALSE)=AQ217,1,0)</f>
        <v>#N/A</v>
      </c>
      <c r="ED217" s="138" t="e">
        <f>IF(VLOOKUP(CONCATENATE(H217,F217,ED$2),Matemáticas!$A:$H,7,FALSE)=AR217,1,0)</f>
        <v>#N/A</v>
      </c>
      <c r="EE217" s="138" t="e">
        <f>IF(VLOOKUP(CONCATENATE(H217,F217,EE$2),Matemáticas!$A:$H,7,FALSE)=AS217,1,0)</f>
        <v>#N/A</v>
      </c>
      <c r="EF217" s="138" t="e">
        <f>IF(VLOOKUP(CONCATENATE(H217,F217,EF$2),Matemáticas!$A:$H,7,FALSE)=AT217,1,0)</f>
        <v>#N/A</v>
      </c>
      <c r="EG217" s="138" t="e">
        <f>IF(VLOOKUP(CONCATENATE(H217,F217,EG$2),Matemáticas!$A:$H,7,FALSE)=AU217,1,0)</f>
        <v>#N/A</v>
      </c>
      <c r="EH217" s="138" t="e">
        <f>IF(VLOOKUP(CONCATENATE(H217,F217,EH$2),Matemáticas!$A:$H,7,FALSE)=AV217,1,0)</f>
        <v>#N/A</v>
      </c>
      <c r="EI217" s="138" t="e">
        <f>IF(VLOOKUP(CONCATENATE(H217,F217,EI$2),Matemáticas!$A:$H,7,FALSE)=AW217,1,0)</f>
        <v>#N/A</v>
      </c>
      <c r="EJ217" s="138" t="e">
        <f>IF(VLOOKUP(CONCATENATE(H217,F217,EJ$2),Matemáticas!$A:$H,7,FALSE)=AX217,1,0)</f>
        <v>#N/A</v>
      </c>
      <c r="EK217" s="138" t="e">
        <f>IF(VLOOKUP(CONCATENATE(H217,F217,EK$2),Matemáticas!$A:$H,7,FALSE)=AY217,1,0)</f>
        <v>#N/A</v>
      </c>
      <c r="EL217" s="138" t="e">
        <f>IF(VLOOKUP(CONCATENATE(H217,F217,EL$2),Matemáticas!$A:$H,7,FALSE)=AZ217,1,0)</f>
        <v>#N/A</v>
      </c>
      <c r="EM217" s="138" t="e">
        <f>IF(VLOOKUP(CONCATENATE(H217,F217,EM$2),Matemáticas!$A:$H,7,FALSE)=BA217,1,0)</f>
        <v>#N/A</v>
      </c>
      <c r="EN217" s="138" t="e">
        <f>IF(VLOOKUP(CONCATENATE(H217,F217,EN$2),Matemáticas!$A:$H,7,FALSE)=BB217,1,0)</f>
        <v>#N/A</v>
      </c>
      <c r="EO217" s="138" t="e">
        <f>IF(VLOOKUP(CONCATENATE(H217,F217,EO$2),Matemáticas!$A:$H,7,FALSE)=BC217,1,0)</f>
        <v>#N/A</v>
      </c>
      <c r="EP217" s="138" t="e">
        <f>IF(VLOOKUP(CONCATENATE(H217,F217,EP$2),Matemáticas!$A:$H,7,FALSE)=BD217,1,0)</f>
        <v>#N/A</v>
      </c>
      <c r="EQ217" s="138" t="e">
        <f>IF(VLOOKUP(CONCATENATE(H217,F217,EQ$2),Matemáticas!$A:$H,7,FALSE)=BE217,1,0)</f>
        <v>#N/A</v>
      </c>
      <c r="ER217" s="138" t="e">
        <f>IF(VLOOKUP(CONCATENATE(H217,F217,ER$2),Matemáticas!$A:$H,7,FALSE)=BF217,1,0)</f>
        <v>#N/A</v>
      </c>
      <c r="ES217" s="138" t="e">
        <f>IF(VLOOKUP(CONCATENATE(H217,F217,ES$2),Matemáticas!$A:$H,7,FALSE)=BG217,1,0)</f>
        <v>#N/A</v>
      </c>
      <c r="ET217" s="138" t="e">
        <f>IF(VLOOKUP(CONCATENATE(H217,F217,ET$2),Matemáticas!$A:$H,7,FALSE)=BH217,1,0)</f>
        <v>#N/A</v>
      </c>
      <c r="EU217" s="138" t="e">
        <f>IF(VLOOKUP(CONCATENATE(H217,F217,EU$2),Matemáticas!$A:$H,7,FALSE)=BI217,1,0)</f>
        <v>#N/A</v>
      </c>
      <c r="EV217" s="138" t="e">
        <f>IF(VLOOKUP(CONCATENATE(H217,F217,EV$2),Ciencias!$A:$H,7,FALSE)=BJ217,1,0)</f>
        <v>#N/A</v>
      </c>
      <c r="EW217" s="138" t="e">
        <f>IF(VLOOKUP(CONCATENATE(H217,F217,EW$2),Ciencias!$A:$H,7,FALSE)=BK217,1,0)</f>
        <v>#N/A</v>
      </c>
      <c r="EX217" s="138" t="e">
        <f>IF(VLOOKUP(CONCATENATE(H217,F217,EX$2),Ciencias!$A:$H,7,FALSE)=BL217,1,0)</f>
        <v>#N/A</v>
      </c>
      <c r="EY217" s="138" t="e">
        <f>IF(VLOOKUP(CONCATENATE(H217,F217,EY$2),Ciencias!$A:$H,7,FALSE)=BM217,1,0)</f>
        <v>#N/A</v>
      </c>
      <c r="EZ217" s="138" t="e">
        <f>IF(VLOOKUP(CONCATENATE(H217,F217,EZ$2),Ciencias!$A:$H,7,FALSE)=BN217,1,0)</f>
        <v>#N/A</v>
      </c>
      <c r="FA217" s="138" t="e">
        <f>IF(VLOOKUP(CONCATENATE(H217,F217,FA$2),Ciencias!$A:$H,7,FALSE)=BO217,1,0)</f>
        <v>#N/A</v>
      </c>
      <c r="FB217" s="138" t="e">
        <f>IF(VLOOKUP(CONCATENATE(H217,F217,FB$2),Ciencias!$A:$H,7,FALSE)=BP217,1,0)</f>
        <v>#N/A</v>
      </c>
      <c r="FC217" s="138" t="e">
        <f>IF(VLOOKUP(CONCATENATE(H217,F217,FC$2),Ciencias!$A:$H,7,FALSE)=BQ217,1,0)</f>
        <v>#N/A</v>
      </c>
      <c r="FD217" s="138" t="e">
        <f>IF(VLOOKUP(CONCATENATE(H217,F217,FD$2),Ciencias!$A:$H,7,FALSE)=BR217,1,0)</f>
        <v>#N/A</v>
      </c>
      <c r="FE217" s="138" t="e">
        <f>IF(VLOOKUP(CONCATENATE(H217,F217,FE$2),Ciencias!$A:$H,7,FALSE)=BS217,1,0)</f>
        <v>#N/A</v>
      </c>
      <c r="FF217" s="138" t="e">
        <f>IF(VLOOKUP(CONCATENATE(H217,F217,FF$2),Ciencias!$A:$H,7,FALSE)=BT217,1,0)</f>
        <v>#N/A</v>
      </c>
      <c r="FG217" s="138" t="e">
        <f>IF(VLOOKUP(CONCATENATE(H217,F217,FG$2),Ciencias!$A:$H,7,FALSE)=BU217,1,0)</f>
        <v>#N/A</v>
      </c>
      <c r="FH217" s="138" t="e">
        <f>IF(VLOOKUP(CONCATENATE(H217,F217,FH$2),Ciencias!$A:$H,7,FALSE)=BV217,1,0)</f>
        <v>#N/A</v>
      </c>
      <c r="FI217" s="138" t="e">
        <f>IF(VLOOKUP(CONCATENATE(H217,F217,FI$2),Ciencias!$A:$H,7,FALSE)=BW217,1,0)</f>
        <v>#N/A</v>
      </c>
      <c r="FJ217" s="138" t="e">
        <f>IF(VLOOKUP(CONCATENATE(H217,F217,FJ$2),Ciencias!$A:$H,7,FALSE)=BX217,1,0)</f>
        <v>#N/A</v>
      </c>
      <c r="FK217" s="138" t="e">
        <f>IF(VLOOKUP(CONCATENATE(H217,F217,FK$2),Ciencias!$A:$H,7,FALSE)=BY217,1,0)</f>
        <v>#N/A</v>
      </c>
      <c r="FL217" s="138" t="e">
        <f>IF(VLOOKUP(CONCATENATE(H217,F217,FL$2),Ciencias!$A:$H,7,FALSE)=BZ217,1,0)</f>
        <v>#N/A</v>
      </c>
      <c r="FM217" s="138" t="e">
        <f>IF(VLOOKUP(CONCATENATE(H217,F217,FM$2),Ciencias!$A:$H,7,FALSE)=CA217,1,0)</f>
        <v>#N/A</v>
      </c>
      <c r="FN217" s="138" t="e">
        <f>IF(VLOOKUP(CONCATENATE(H217,F217,FN$2),Ciencias!$A:$H,7,FALSE)=CB217,1,0)</f>
        <v>#N/A</v>
      </c>
      <c r="FO217" s="138" t="e">
        <f>IF(VLOOKUP(CONCATENATE(H217,F217,FO$2),Ciencias!$A:$H,7,FALSE)=CC217,1,0)</f>
        <v>#N/A</v>
      </c>
      <c r="FP217" s="138" t="e">
        <f>IF(VLOOKUP(CONCATENATE(H217,F217,FP$2),GeoHis!$A:$H,7,FALSE)=CD217,1,0)</f>
        <v>#N/A</v>
      </c>
      <c r="FQ217" s="138" t="e">
        <f>IF(VLOOKUP(CONCATENATE(H217,F217,FQ$2),GeoHis!$A:$H,7,FALSE)=CE217,1,0)</f>
        <v>#N/A</v>
      </c>
      <c r="FR217" s="138" t="e">
        <f>IF(VLOOKUP(CONCATENATE(H217,F217,FR$2),GeoHis!$A:$H,7,FALSE)=CF217,1,0)</f>
        <v>#N/A</v>
      </c>
      <c r="FS217" s="138" t="e">
        <f>IF(VLOOKUP(CONCATENATE(H217,F217,FS$2),GeoHis!$A:$H,7,FALSE)=CG217,1,0)</f>
        <v>#N/A</v>
      </c>
      <c r="FT217" s="138" t="e">
        <f>IF(VLOOKUP(CONCATENATE(H217,F217,FT$2),GeoHis!$A:$H,7,FALSE)=CH217,1,0)</f>
        <v>#N/A</v>
      </c>
      <c r="FU217" s="138" t="e">
        <f>IF(VLOOKUP(CONCATENATE(H217,F217,FU$2),GeoHis!$A:$H,7,FALSE)=CI217,1,0)</f>
        <v>#N/A</v>
      </c>
      <c r="FV217" s="138" t="e">
        <f>IF(VLOOKUP(CONCATENATE(H217,F217,FV$2),GeoHis!$A:$H,7,FALSE)=CJ217,1,0)</f>
        <v>#N/A</v>
      </c>
      <c r="FW217" s="138" t="e">
        <f>IF(VLOOKUP(CONCATENATE(H217,F217,FW$2),GeoHis!$A:$H,7,FALSE)=CK217,1,0)</f>
        <v>#N/A</v>
      </c>
      <c r="FX217" s="138" t="e">
        <f>IF(VLOOKUP(CONCATENATE(H217,F217,FX$2),GeoHis!$A:$H,7,FALSE)=CL217,1,0)</f>
        <v>#N/A</v>
      </c>
      <c r="FY217" s="138" t="e">
        <f>IF(VLOOKUP(CONCATENATE(H217,F217,FY$2),GeoHis!$A:$H,7,FALSE)=CM217,1,0)</f>
        <v>#N/A</v>
      </c>
      <c r="FZ217" s="138" t="e">
        <f>IF(VLOOKUP(CONCATENATE(H217,F217,FZ$2),GeoHis!$A:$H,7,FALSE)=CN217,1,0)</f>
        <v>#N/A</v>
      </c>
      <c r="GA217" s="138" t="e">
        <f>IF(VLOOKUP(CONCATENATE(H217,F217,GA$2),GeoHis!$A:$H,7,FALSE)=CO217,1,0)</f>
        <v>#N/A</v>
      </c>
      <c r="GB217" s="138" t="e">
        <f>IF(VLOOKUP(CONCATENATE(H217,F217,GB$2),GeoHis!$A:$H,7,FALSE)=CP217,1,0)</f>
        <v>#N/A</v>
      </c>
      <c r="GC217" s="138" t="e">
        <f>IF(VLOOKUP(CONCATENATE(H217,F217,GC$2),GeoHis!$A:$H,7,FALSE)=CQ217,1,0)</f>
        <v>#N/A</v>
      </c>
      <c r="GD217" s="138" t="e">
        <f>IF(VLOOKUP(CONCATENATE(H217,F217,GD$2),GeoHis!$A:$H,7,FALSE)=CR217,1,0)</f>
        <v>#N/A</v>
      </c>
      <c r="GE217" s="135" t="str">
        <f t="shared" si="31"/>
        <v/>
      </c>
    </row>
    <row r="218" spans="1:187" x14ac:dyDescent="0.25">
      <c r="A218" s="127" t="str">
        <f>IF(C218="","",'Datos Generales'!$A$25)</f>
        <v/>
      </c>
      <c r="D218" s="126" t="str">
        <f t="shared" si="24"/>
        <v/>
      </c>
      <c r="E218" s="126">
        <f t="shared" si="25"/>
        <v>0</v>
      </c>
      <c r="F218" s="126" t="str">
        <f t="shared" si="26"/>
        <v/>
      </c>
      <c r="G218" s="126" t="str">
        <f>IF(C218="","",'Datos Generales'!$D$19)</f>
        <v/>
      </c>
      <c r="H218" s="21" t="str">
        <f>IF(C218="","",'Datos Generales'!$A$19)</f>
        <v/>
      </c>
      <c r="I218" s="126" t="str">
        <f>IF(C218="","",'Datos Generales'!$A$7)</f>
        <v/>
      </c>
      <c r="J218" s="21" t="str">
        <f>IF(C218="","",'Datos Generales'!$A$13)</f>
        <v/>
      </c>
      <c r="K218" s="21" t="str">
        <f>IF(C218="","",'Datos Generales'!$A$10)</f>
        <v/>
      </c>
      <c r="CS218" s="142" t="str">
        <f t="shared" si="27"/>
        <v/>
      </c>
      <c r="CT218" s="142" t="str">
        <f t="shared" si="28"/>
        <v/>
      </c>
      <c r="CU218" s="142" t="str">
        <f t="shared" si="29"/>
        <v/>
      </c>
      <c r="CV218" s="142" t="str">
        <f t="shared" si="30"/>
        <v/>
      </c>
      <c r="CW218" s="142" t="str">
        <f>IF(C218="","",IF('Datos Generales'!$A$19=1,AVERAGE(FP218:GD218),AVERAGE(Captura!FP218:FY218)))</f>
        <v/>
      </c>
      <c r="CX218" s="138" t="e">
        <f>IF(VLOOKUP(CONCATENATE($H$4,$F$4,CX$2),Español!$A:$H,7,FALSE)=L218,1,0)</f>
        <v>#N/A</v>
      </c>
      <c r="CY218" s="138" t="e">
        <f>IF(VLOOKUP(CONCATENATE(H218,F218,CY$2),Español!$A:$H,7,FALSE)=M218,1,0)</f>
        <v>#N/A</v>
      </c>
      <c r="CZ218" s="138" t="e">
        <f>IF(VLOOKUP(CONCATENATE(H218,F218,CZ$2),Español!$A:$H,7,FALSE)=N218,1,0)</f>
        <v>#N/A</v>
      </c>
      <c r="DA218" s="138" t="e">
        <f>IF(VLOOKUP(CONCATENATE(H218,F218,DA$2),Español!$A:$H,7,FALSE)=O218,1,0)</f>
        <v>#N/A</v>
      </c>
      <c r="DB218" s="138" t="e">
        <f>IF(VLOOKUP(CONCATENATE(H218,F218,DB$2),Español!$A:$H,7,FALSE)=P218,1,0)</f>
        <v>#N/A</v>
      </c>
      <c r="DC218" s="138" t="e">
        <f>IF(VLOOKUP(CONCATENATE(H218,F218,DC$2),Español!$A:$H,7,FALSE)=Q218,1,0)</f>
        <v>#N/A</v>
      </c>
      <c r="DD218" s="138" t="e">
        <f>IF(VLOOKUP(CONCATENATE(H218,F218,DD$2),Español!$A:$H,7,FALSE)=R218,1,0)</f>
        <v>#N/A</v>
      </c>
      <c r="DE218" s="138" t="e">
        <f>IF(VLOOKUP(CONCATENATE(H218,F218,DE$2),Español!$A:$H,7,FALSE)=S218,1,0)</f>
        <v>#N/A</v>
      </c>
      <c r="DF218" s="138" t="e">
        <f>IF(VLOOKUP(CONCATENATE(H218,F218,DF$2),Español!$A:$H,7,FALSE)=T218,1,0)</f>
        <v>#N/A</v>
      </c>
      <c r="DG218" s="138" t="e">
        <f>IF(VLOOKUP(CONCATENATE(H218,F218,DG$2),Español!$A:$H,7,FALSE)=U218,1,0)</f>
        <v>#N/A</v>
      </c>
      <c r="DH218" s="138" t="e">
        <f>IF(VLOOKUP(CONCATENATE(H218,F218,DH$2),Español!$A:$H,7,FALSE)=V218,1,0)</f>
        <v>#N/A</v>
      </c>
      <c r="DI218" s="138" t="e">
        <f>IF(VLOOKUP(CONCATENATE(H218,F218,DI$2),Español!$A:$H,7,FALSE)=W218,1,0)</f>
        <v>#N/A</v>
      </c>
      <c r="DJ218" s="138" t="e">
        <f>IF(VLOOKUP(CONCATENATE(H218,F218,DJ$2),Español!$A:$H,7,FALSE)=X218,1,0)</f>
        <v>#N/A</v>
      </c>
      <c r="DK218" s="138" t="e">
        <f>IF(VLOOKUP(CONCATENATE(H218,F218,DK$2),Español!$A:$H,7,FALSE)=Y218,1,0)</f>
        <v>#N/A</v>
      </c>
      <c r="DL218" s="138" t="e">
        <f>IF(VLOOKUP(CONCATENATE(H218,F218,DL$2),Español!$A:$H,7,FALSE)=Z218,1,0)</f>
        <v>#N/A</v>
      </c>
      <c r="DM218" s="138" t="e">
        <f>IF(VLOOKUP(CONCATENATE(H218,F218,DM$2),Español!$A:$H,7,FALSE)=AA218,1,0)</f>
        <v>#N/A</v>
      </c>
      <c r="DN218" s="138" t="e">
        <f>IF(VLOOKUP(CONCATENATE(H218,F218,DN$2),Español!$A:$H,7,FALSE)=AB218,1,0)</f>
        <v>#N/A</v>
      </c>
      <c r="DO218" s="138" t="e">
        <f>IF(VLOOKUP(CONCATENATE(H218,F218,DO$2),Español!$A:$H,7,FALSE)=AC218,1,0)</f>
        <v>#N/A</v>
      </c>
      <c r="DP218" s="138" t="e">
        <f>IF(VLOOKUP(CONCATENATE(H218,F218,DP$2),Español!$A:$H,7,FALSE)=AD218,1,0)</f>
        <v>#N/A</v>
      </c>
      <c r="DQ218" s="138" t="e">
        <f>IF(VLOOKUP(CONCATENATE(H218,F218,DQ$2),Español!$A:$H,7,FALSE)=AE218,1,0)</f>
        <v>#N/A</v>
      </c>
      <c r="DR218" s="138" t="e">
        <f>IF(VLOOKUP(CONCATENATE(H218,F218,DR$2),Inglés!$A:$H,7,FALSE)=AF218,1,0)</f>
        <v>#N/A</v>
      </c>
      <c r="DS218" s="138" t="e">
        <f>IF(VLOOKUP(CONCATENATE(H218,F218,DS$2),Inglés!$A:$H,7,FALSE)=AG218,1,0)</f>
        <v>#N/A</v>
      </c>
      <c r="DT218" s="138" t="e">
        <f>IF(VLOOKUP(CONCATENATE(H218,F218,DT$2),Inglés!$A:$H,7,FALSE)=AH218,1,0)</f>
        <v>#N/A</v>
      </c>
      <c r="DU218" s="138" t="e">
        <f>IF(VLOOKUP(CONCATENATE(H218,F218,DU$2),Inglés!$A:$H,7,FALSE)=AI218,1,0)</f>
        <v>#N/A</v>
      </c>
      <c r="DV218" s="138" t="e">
        <f>IF(VLOOKUP(CONCATENATE(H218,F218,DV$2),Inglés!$A:$H,7,FALSE)=AJ218,1,0)</f>
        <v>#N/A</v>
      </c>
      <c r="DW218" s="138" t="e">
        <f>IF(VLOOKUP(CONCATENATE(H218,F218,DW$2),Inglés!$A:$H,7,FALSE)=AK218,1,0)</f>
        <v>#N/A</v>
      </c>
      <c r="DX218" s="138" t="e">
        <f>IF(VLOOKUP(CONCATENATE(H218,F218,DX$2),Inglés!$A:$H,7,FALSE)=AL218,1,0)</f>
        <v>#N/A</v>
      </c>
      <c r="DY218" s="138" t="e">
        <f>IF(VLOOKUP(CONCATENATE(H218,F218,DY$2),Inglés!$A:$H,7,FALSE)=AM218,1,0)</f>
        <v>#N/A</v>
      </c>
      <c r="DZ218" s="138" t="e">
        <f>IF(VLOOKUP(CONCATENATE(H218,F218,DZ$2),Inglés!$A:$H,7,FALSE)=AN218,1,0)</f>
        <v>#N/A</v>
      </c>
      <c r="EA218" s="138" t="e">
        <f>IF(VLOOKUP(CONCATENATE(H218,F218,EA$2),Inglés!$A:$H,7,FALSE)=AO218,1,0)</f>
        <v>#N/A</v>
      </c>
      <c r="EB218" s="138" t="e">
        <f>IF(VLOOKUP(CONCATENATE(H218,F218,EB$2),Matemáticas!$A:$H,7,FALSE)=AP218,1,0)</f>
        <v>#N/A</v>
      </c>
      <c r="EC218" s="138" t="e">
        <f>IF(VLOOKUP(CONCATENATE(H218,F218,EC$2),Matemáticas!$A:$H,7,FALSE)=AQ218,1,0)</f>
        <v>#N/A</v>
      </c>
      <c r="ED218" s="138" t="e">
        <f>IF(VLOOKUP(CONCATENATE(H218,F218,ED$2),Matemáticas!$A:$H,7,FALSE)=AR218,1,0)</f>
        <v>#N/A</v>
      </c>
      <c r="EE218" s="138" t="e">
        <f>IF(VLOOKUP(CONCATENATE(H218,F218,EE$2),Matemáticas!$A:$H,7,FALSE)=AS218,1,0)</f>
        <v>#N/A</v>
      </c>
      <c r="EF218" s="138" t="e">
        <f>IF(VLOOKUP(CONCATENATE(H218,F218,EF$2),Matemáticas!$A:$H,7,FALSE)=AT218,1,0)</f>
        <v>#N/A</v>
      </c>
      <c r="EG218" s="138" t="e">
        <f>IF(VLOOKUP(CONCATENATE(H218,F218,EG$2),Matemáticas!$A:$H,7,FALSE)=AU218,1,0)</f>
        <v>#N/A</v>
      </c>
      <c r="EH218" s="138" t="e">
        <f>IF(VLOOKUP(CONCATENATE(H218,F218,EH$2),Matemáticas!$A:$H,7,FALSE)=AV218,1,0)</f>
        <v>#N/A</v>
      </c>
      <c r="EI218" s="138" t="e">
        <f>IF(VLOOKUP(CONCATENATE(H218,F218,EI$2),Matemáticas!$A:$H,7,FALSE)=AW218,1,0)</f>
        <v>#N/A</v>
      </c>
      <c r="EJ218" s="138" t="e">
        <f>IF(VLOOKUP(CONCATENATE(H218,F218,EJ$2),Matemáticas!$A:$H,7,FALSE)=AX218,1,0)</f>
        <v>#N/A</v>
      </c>
      <c r="EK218" s="138" t="e">
        <f>IF(VLOOKUP(CONCATENATE(H218,F218,EK$2),Matemáticas!$A:$H,7,FALSE)=AY218,1,0)</f>
        <v>#N/A</v>
      </c>
      <c r="EL218" s="138" t="e">
        <f>IF(VLOOKUP(CONCATENATE(H218,F218,EL$2),Matemáticas!$A:$H,7,FALSE)=AZ218,1,0)</f>
        <v>#N/A</v>
      </c>
      <c r="EM218" s="138" t="e">
        <f>IF(VLOOKUP(CONCATENATE(H218,F218,EM$2),Matemáticas!$A:$H,7,FALSE)=BA218,1,0)</f>
        <v>#N/A</v>
      </c>
      <c r="EN218" s="138" t="e">
        <f>IF(VLOOKUP(CONCATENATE(H218,F218,EN$2),Matemáticas!$A:$H,7,FALSE)=BB218,1,0)</f>
        <v>#N/A</v>
      </c>
      <c r="EO218" s="138" t="e">
        <f>IF(VLOOKUP(CONCATENATE(H218,F218,EO$2),Matemáticas!$A:$H,7,FALSE)=BC218,1,0)</f>
        <v>#N/A</v>
      </c>
      <c r="EP218" s="138" t="e">
        <f>IF(VLOOKUP(CONCATENATE(H218,F218,EP$2),Matemáticas!$A:$H,7,FALSE)=BD218,1,0)</f>
        <v>#N/A</v>
      </c>
      <c r="EQ218" s="138" t="e">
        <f>IF(VLOOKUP(CONCATENATE(H218,F218,EQ$2),Matemáticas!$A:$H,7,FALSE)=BE218,1,0)</f>
        <v>#N/A</v>
      </c>
      <c r="ER218" s="138" t="e">
        <f>IF(VLOOKUP(CONCATENATE(H218,F218,ER$2),Matemáticas!$A:$H,7,FALSE)=BF218,1,0)</f>
        <v>#N/A</v>
      </c>
      <c r="ES218" s="138" t="e">
        <f>IF(VLOOKUP(CONCATENATE(H218,F218,ES$2),Matemáticas!$A:$H,7,FALSE)=BG218,1,0)</f>
        <v>#N/A</v>
      </c>
      <c r="ET218" s="138" t="e">
        <f>IF(VLOOKUP(CONCATENATE(H218,F218,ET$2),Matemáticas!$A:$H,7,FALSE)=BH218,1,0)</f>
        <v>#N/A</v>
      </c>
      <c r="EU218" s="138" t="e">
        <f>IF(VLOOKUP(CONCATENATE(H218,F218,EU$2),Matemáticas!$A:$H,7,FALSE)=BI218,1,0)</f>
        <v>#N/A</v>
      </c>
      <c r="EV218" s="138" t="e">
        <f>IF(VLOOKUP(CONCATENATE(H218,F218,EV$2),Ciencias!$A:$H,7,FALSE)=BJ218,1,0)</f>
        <v>#N/A</v>
      </c>
      <c r="EW218" s="138" t="e">
        <f>IF(VLOOKUP(CONCATENATE(H218,F218,EW$2),Ciencias!$A:$H,7,FALSE)=BK218,1,0)</f>
        <v>#N/A</v>
      </c>
      <c r="EX218" s="138" t="e">
        <f>IF(VLOOKUP(CONCATENATE(H218,F218,EX$2),Ciencias!$A:$H,7,FALSE)=BL218,1,0)</f>
        <v>#N/A</v>
      </c>
      <c r="EY218" s="138" t="e">
        <f>IF(VLOOKUP(CONCATENATE(H218,F218,EY$2),Ciencias!$A:$H,7,FALSE)=BM218,1,0)</f>
        <v>#N/A</v>
      </c>
      <c r="EZ218" s="138" t="e">
        <f>IF(VLOOKUP(CONCATENATE(H218,F218,EZ$2),Ciencias!$A:$H,7,FALSE)=BN218,1,0)</f>
        <v>#N/A</v>
      </c>
      <c r="FA218" s="138" t="e">
        <f>IF(VLOOKUP(CONCATENATE(H218,F218,FA$2),Ciencias!$A:$H,7,FALSE)=BO218,1,0)</f>
        <v>#N/A</v>
      </c>
      <c r="FB218" s="138" t="e">
        <f>IF(VLOOKUP(CONCATENATE(H218,F218,FB$2),Ciencias!$A:$H,7,FALSE)=BP218,1,0)</f>
        <v>#N/A</v>
      </c>
      <c r="FC218" s="138" t="e">
        <f>IF(VLOOKUP(CONCATENATE(H218,F218,FC$2),Ciencias!$A:$H,7,FALSE)=BQ218,1,0)</f>
        <v>#N/A</v>
      </c>
      <c r="FD218" s="138" t="e">
        <f>IF(VLOOKUP(CONCATENATE(H218,F218,FD$2),Ciencias!$A:$H,7,FALSE)=BR218,1,0)</f>
        <v>#N/A</v>
      </c>
      <c r="FE218" s="138" t="e">
        <f>IF(VLOOKUP(CONCATENATE(H218,F218,FE$2),Ciencias!$A:$H,7,FALSE)=BS218,1,0)</f>
        <v>#N/A</v>
      </c>
      <c r="FF218" s="138" t="e">
        <f>IF(VLOOKUP(CONCATENATE(H218,F218,FF$2),Ciencias!$A:$H,7,FALSE)=BT218,1,0)</f>
        <v>#N/A</v>
      </c>
      <c r="FG218" s="138" t="e">
        <f>IF(VLOOKUP(CONCATENATE(H218,F218,FG$2),Ciencias!$A:$H,7,FALSE)=BU218,1,0)</f>
        <v>#N/A</v>
      </c>
      <c r="FH218" s="138" t="e">
        <f>IF(VLOOKUP(CONCATENATE(H218,F218,FH$2),Ciencias!$A:$H,7,FALSE)=BV218,1,0)</f>
        <v>#N/A</v>
      </c>
      <c r="FI218" s="138" t="e">
        <f>IF(VLOOKUP(CONCATENATE(H218,F218,FI$2),Ciencias!$A:$H,7,FALSE)=BW218,1,0)</f>
        <v>#N/A</v>
      </c>
      <c r="FJ218" s="138" t="e">
        <f>IF(VLOOKUP(CONCATENATE(H218,F218,FJ$2),Ciencias!$A:$H,7,FALSE)=BX218,1,0)</f>
        <v>#N/A</v>
      </c>
      <c r="FK218" s="138" t="e">
        <f>IF(VLOOKUP(CONCATENATE(H218,F218,FK$2),Ciencias!$A:$H,7,FALSE)=BY218,1,0)</f>
        <v>#N/A</v>
      </c>
      <c r="FL218" s="138" t="e">
        <f>IF(VLOOKUP(CONCATENATE(H218,F218,FL$2),Ciencias!$A:$H,7,FALSE)=BZ218,1,0)</f>
        <v>#N/A</v>
      </c>
      <c r="FM218" s="138" t="e">
        <f>IF(VLOOKUP(CONCATENATE(H218,F218,FM$2),Ciencias!$A:$H,7,FALSE)=CA218,1,0)</f>
        <v>#N/A</v>
      </c>
      <c r="FN218" s="138" t="e">
        <f>IF(VLOOKUP(CONCATENATE(H218,F218,FN$2),Ciencias!$A:$H,7,FALSE)=CB218,1,0)</f>
        <v>#N/A</v>
      </c>
      <c r="FO218" s="138" t="e">
        <f>IF(VLOOKUP(CONCATENATE(H218,F218,FO$2),Ciencias!$A:$H,7,FALSE)=CC218,1,0)</f>
        <v>#N/A</v>
      </c>
      <c r="FP218" s="138" t="e">
        <f>IF(VLOOKUP(CONCATENATE(H218,F218,FP$2),GeoHis!$A:$H,7,FALSE)=CD218,1,0)</f>
        <v>#N/A</v>
      </c>
      <c r="FQ218" s="138" t="e">
        <f>IF(VLOOKUP(CONCATENATE(H218,F218,FQ$2),GeoHis!$A:$H,7,FALSE)=CE218,1,0)</f>
        <v>#N/A</v>
      </c>
      <c r="FR218" s="138" t="e">
        <f>IF(VLOOKUP(CONCATENATE(H218,F218,FR$2),GeoHis!$A:$H,7,FALSE)=CF218,1,0)</f>
        <v>#N/A</v>
      </c>
      <c r="FS218" s="138" t="e">
        <f>IF(VLOOKUP(CONCATENATE(H218,F218,FS$2),GeoHis!$A:$H,7,FALSE)=CG218,1,0)</f>
        <v>#N/A</v>
      </c>
      <c r="FT218" s="138" t="e">
        <f>IF(VLOOKUP(CONCATENATE(H218,F218,FT$2),GeoHis!$A:$H,7,FALSE)=CH218,1,0)</f>
        <v>#N/A</v>
      </c>
      <c r="FU218" s="138" t="e">
        <f>IF(VLOOKUP(CONCATENATE(H218,F218,FU$2),GeoHis!$A:$H,7,FALSE)=CI218,1,0)</f>
        <v>#N/A</v>
      </c>
      <c r="FV218" s="138" t="e">
        <f>IF(VLOOKUP(CONCATENATE(H218,F218,FV$2),GeoHis!$A:$H,7,FALSE)=CJ218,1,0)</f>
        <v>#N/A</v>
      </c>
      <c r="FW218" s="138" t="e">
        <f>IF(VLOOKUP(CONCATENATE(H218,F218,FW$2),GeoHis!$A:$H,7,FALSE)=CK218,1,0)</f>
        <v>#N/A</v>
      </c>
      <c r="FX218" s="138" t="e">
        <f>IF(VLOOKUP(CONCATENATE(H218,F218,FX$2),GeoHis!$A:$H,7,FALSE)=CL218,1,0)</f>
        <v>#N/A</v>
      </c>
      <c r="FY218" s="138" t="e">
        <f>IF(VLOOKUP(CONCATENATE(H218,F218,FY$2),GeoHis!$A:$H,7,FALSE)=CM218,1,0)</f>
        <v>#N/A</v>
      </c>
      <c r="FZ218" s="138" t="e">
        <f>IF(VLOOKUP(CONCATENATE(H218,F218,FZ$2),GeoHis!$A:$H,7,FALSE)=CN218,1,0)</f>
        <v>#N/A</v>
      </c>
      <c r="GA218" s="138" t="e">
        <f>IF(VLOOKUP(CONCATENATE(H218,F218,GA$2),GeoHis!$A:$H,7,FALSE)=CO218,1,0)</f>
        <v>#N/A</v>
      </c>
      <c r="GB218" s="138" t="e">
        <f>IF(VLOOKUP(CONCATENATE(H218,F218,GB$2),GeoHis!$A:$H,7,FALSE)=CP218,1,0)</f>
        <v>#N/A</v>
      </c>
      <c r="GC218" s="138" t="e">
        <f>IF(VLOOKUP(CONCATENATE(H218,F218,GC$2),GeoHis!$A:$H,7,FALSE)=CQ218,1,0)</f>
        <v>#N/A</v>
      </c>
      <c r="GD218" s="138" t="e">
        <f>IF(VLOOKUP(CONCATENATE(H218,F218,GD$2),GeoHis!$A:$H,7,FALSE)=CR218,1,0)</f>
        <v>#N/A</v>
      </c>
      <c r="GE218" s="135" t="str">
        <f t="shared" si="31"/>
        <v/>
      </c>
    </row>
    <row r="219" spans="1:187" x14ac:dyDescent="0.25">
      <c r="A219" s="127" t="str">
        <f>IF(C219="","",'Datos Generales'!$A$25)</f>
        <v/>
      </c>
      <c r="D219" s="126" t="str">
        <f t="shared" si="24"/>
        <v/>
      </c>
      <c r="E219" s="126">
        <f t="shared" si="25"/>
        <v>0</v>
      </c>
      <c r="F219" s="126" t="str">
        <f t="shared" si="26"/>
        <v/>
      </c>
      <c r="G219" s="126" t="str">
        <f>IF(C219="","",'Datos Generales'!$D$19)</f>
        <v/>
      </c>
      <c r="H219" s="21" t="str">
        <f>IF(C219="","",'Datos Generales'!$A$19)</f>
        <v/>
      </c>
      <c r="I219" s="126" t="str">
        <f>IF(C219="","",'Datos Generales'!$A$7)</f>
        <v/>
      </c>
      <c r="J219" s="21" t="str">
        <f>IF(C219="","",'Datos Generales'!$A$13)</f>
        <v/>
      </c>
      <c r="K219" s="21" t="str">
        <f>IF(C219="","",'Datos Generales'!$A$10)</f>
        <v/>
      </c>
      <c r="CS219" s="142" t="str">
        <f t="shared" si="27"/>
        <v/>
      </c>
      <c r="CT219" s="142" t="str">
        <f t="shared" si="28"/>
        <v/>
      </c>
      <c r="CU219" s="142" t="str">
        <f t="shared" si="29"/>
        <v/>
      </c>
      <c r="CV219" s="142" t="str">
        <f t="shared" si="30"/>
        <v/>
      </c>
      <c r="CW219" s="142" t="str">
        <f>IF(C219="","",IF('Datos Generales'!$A$19=1,AVERAGE(FP219:GD219),AVERAGE(Captura!FP219:FY219)))</f>
        <v/>
      </c>
      <c r="CX219" s="138" t="e">
        <f>IF(VLOOKUP(CONCATENATE($H$4,$F$4,CX$2),Español!$A:$H,7,FALSE)=L219,1,0)</f>
        <v>#N/A</v>
      </c>
      <c r="CY219" s="138" t="e">
        <f>IF(VLOOKUP(CONCATENATE(H219,F219,CY$2),Español!$A:$H,7,FALSE)=M219,1,0)</f>
        <v>#N/A</v>
      </c>
      <c r="CZ219" s="138" t="e">
        <f>IF(VLOOKUP(CONCATENATE(H219,F219,CZ$2),Español!$A:$H,7,FALSE)=N219,1,0)</f>
        <v>#N/A</v>
      </c>
      <c r="DA219" s="138" t="e">
        <f>IF(VLOOKUP(CONCATENATE(H219,F219,DA$2),Español!$A:$H,7,FALSE)=O219,1,0)</f>
        <v>#N/A</v>
      </c>
      <c r="DB219" s="138" t="e">
        <f>IF(VLOOKUP(CONCATENATE(H219,F219,DB$2),Español!$A:$H,7,FALSE)=P219,1,0)</f>
        <v>#N/A</v>
      </c>
      <c r="DC219" s="138" t="e">
        <f>IF(VLOOKUP(CONCATENATE(H219,F219,DC$2),Español!$A:$H,7,FALSE)=Q219,1,0)</f>
        <v>#N/A</v>
      </c>
      <c r="DD219" s="138" t="e">
        <f>IF(VLOOKUP(CONCATENATE(H219,F219,DD$2),Español!$A:$H,7,FALSE)=R219,1,0)</f>
        <v>#N/A</v>
      </c>
      <c r="DE219" s="138" t="e">
        <f>IF(VLOOKUP(CONCATENATE(H219,F219,DE$2),Español!$A:$H,7,FALSE)=S219,1,0)</f>
        <v>#N/A</v>
      </c>
      <c r="DF219" s="138" t="e">
        <f>IF(VLOOKUP(CONCATENATE(H219,F219,DF$2),Español!$A:$H,7,FALSE)=T219,1,0)</f>
        <v>#N/A</v>
      </c>
      <c r="DG219" s="138" t="e">
        <f>IF(VLOOKUP(CONCATENATE(H219,F219,DG$2),Español!$A:$H,7,FALSE)=U219,1,0)</f>
        <v>#N/A</v>
      </c>
      <c r="DH219" s="138" t="e">
        <f>IF(VLOOKUP(CONCATENATE(H219,F219,DH$2),Español!$A:$H,7,FALSE)=V219,1,0)</f>
        <v>#N/A</v>
      </c>
      <c r="DI219" s="138" t="e">
        <f>IF(VLOOKUP(CONCATENATE(H219,F219,DI$2),Español!$A:$H,7,FALSE)=W219,1,0)</f>
        <v>#N/A</v>
      </c>
      <c r="DJ219" s="138" t="e">
        <f>IF(VLOOKUP(CONCATENATE(H219,F219,DJ$2),Español!$A:$H,7,FALSE)=X219,1,0)</f>
        <v>#N/A</v>
      </c>
      <c r="DK219" s="138" t="e">
        <f>IF(VLOOKUP(CONCATENATE(H219,F219,DK$2),Español!$A:$H,7,FALSE)=Y219,1,0)</f>
        <v>#N/A</v>
      </c>
      <c r="DL219" s="138" t="e">
        <f>IF(VLOOKUP(CONCATENATE(H219,F219,DL$2),Español!$A:$H,7,FALSE)=Z219,1,0)</f>
        <v>#N/A</v>
      </c>
      <c r="DM219" s="138" t="e">
        <f>IF(VLOOKUP(CONCATENATE(H219,F219,DM$2),Español!$A:$H,7,FALSE)=AA219,1,0)</f>
        <v>#N/A</v>
      </c>
      <c r="DN219" s="138" t="e">
        <f>IF(VLOOKUP(CONCATENATE(H219,F219,DN$2),Español!$A:$H,7,FALSE)=AB219,1,0)</f>
        <v>#N/A</v>
      </c>
      <c r="DO219" s="138" t="e">
        <f>IF(VLOOKUP(CONCATENATE(H219,F219,DO$2),Español!$A:$H,7,FALSE)=AC219,1,0)</f>
        <v>#N/A</v>
      </c>
      <c r="DP219" s="138" t="e">
        <f>IF(VLOOKUP(CONCATENATE(H219,F219,DP$2),Español!$A:$H,7,FALSE)=AD219,1,0)</f>
        <v>#N/A</v>
      </c>
      <c r="DQ219" s="138" t="e">
        <f>IF(VLOOKUP(CONCATENATE(H219,F219,DQ$2),Español!$A:$H,7,FALSE)=AE219,1,0)</f>
        <v>#N/A</v>
      </c>
      <c r="DR219" s="138" t="e">
        <f>IF(VLOOKUP(CONCATENATE(H219,F219,DR$2),Inglés!$A:$H,7,FALSE)=AF219,1,0)</f>
        <v>#N/A</v>
      </c>
      <c r="DS219" s="138" t="e">
        <f>IF(VLOOKUP(CONCATENATE(H219,F219,DS$2),Inglés!$A:$H,7,FALSE)=AG219,1,0)</f>
        <v>#N/A</v>
      </c>
      <c r="DT219" s="138" t="e">
        <f>IF(VLOOKUP(CONCATENATE(H219,F219,DT$2),Inglés!$A:$H,7,FALSE)=AH219,1,0)</f>
        <v>#N/A</v>
      </c>
      <c r="DU219" s="138" t="e">
        <f>IF(VLOOKUP(CONCATENATE(H219,F219,DU$2),Inglés!$A:$H,7,FALSE)=AI219,1,0)</f>
        <v>#N/A</v>
      </c>
      <c r="DV219" s="138" t="e">
        <f>IF(VLOOKUP(CONCATENATE(H219,F219,DV$2),Inglés!$A:$H,7,FALSE)=AJ219,1,0)</f>
        <v>#N/A</v>
      </c>
      <c r="DW219" s="138" t="e">
        <f>IF(VLOOKUP(CONCATENATE(H219,F219,DW$2),Inglés!$A:$H,7,FALSE)=AK219,1,0)</f>
        <v>#N/A</v>
      </c>
      <c r="DX219" s="138" t="e">
        <f>IF(VLOOKUP(CONCATENATE(H219,F219,DX$2),Inglés!$A:$H,7,FALSE)=AL219,1,0)</f>
        <v>#N/A</v>
      </c>
      <c r="DY219" s="138" t="e">
        <f>IF(VLOOKUP(CONCATENATE(H219,F219,DY$2),Inglés!$A:$H,7,FALSE)=AM219,1,0)</f>
        <v>#N/A</v>
      </c>
      <c r="DZ219" s="138" t="e">
        <f>IF(VLOOKUP(CONCATENATE(H219,F219,DZ$2),Inglés!$A:$H,7,FALSE)=AN219,1,0)</f>
        <v>#N/A</v>
      </c>
      <c r="EA219" s="138" t="e">
        <f>IF(VLOOKUP(CONCATENATE(H219,F219,EA$2),Inglés!$A:$H,7,FALSE)=AO219,1,0)</f>
        <v>#N/A</v>
      </c>
      <c r="EB219" s="138" t="e">
        <f>IF(VLOOKUP(CONCATENATE(H219,F219,EB$2),Matemáticas!$A:$H,7,FALSE)=AP219,1,0)</f>
        <v>#N/A</v>
      </c>
      <c r="EC219" s="138" t="e">
        <f>IF(VLOOKUP(CONCATENATE(H219,F219,EC$2),Matemáticas!$A:$H,7,FALSE)=AQ219,1,0)</f>
        <v>#N/A</v>
      </c>
      <c r="ED219" s="138" t="e">
        <f>IF(VLOOKUP(CONCATENATE(H219,F219,ED$2),Matemáticas!$A:$H,7,FALSE)=AR219,1,0)</f>
        <v>#N/A</v>
      </c>
      <c r="EE219" s="138" t="e">
        <f>IF(VLOOKUP(CONCATENATE(H219,F219,EE$2),Matemáticas!$A:$H,7,FALSE)=AS219,1,0)</f>
        <v>#N/A</v>
      </c>
      <c r="EF219" s="138" t="e">
        <f>IF(VLOOKUP(CONCATENATE(H219,F219,EF$2),Matemáticas!$A:$H,7,FALSE)=AT219,1,0)</f>
        <v>#N/A</v>
      </c>
      <c r="EG219" s="138" t="e">
        <f>IF(VLOOKUP(CONCATENATE(H219,F219,EG$2),Matemáticas!$A:$H,7,FALSE)=AU219,1,0)</f>
        <v>#N/A</v>
      </c>
      <c r="EH219" s="138" t="e">
        <f>IF(VLOOKUP(CONCATENATE(H219,F219,EH$2),Matemáticas!$A:$H,7,FALSE)=AV219,1,0)</f>
        <v>#N/A</v>
      </c>
      <c r="EI219" s="138" t="e">
        <f>IF(VLOOKUP(CONCATENATE(H219,F219,EI$2),Matemáticas!$A:$H,7,FALSE)=AW219,1,0)</f>
        <v>#N/A</v>
      </c>
      <c r="EJ219" s="138" t="e">
        <f>IF(VLOOKUP(CONCATENATE(H219,F219,EJ$2),Matemáticas!$A:$H,7,FALSE)=AX219,1,0)</f>
        <v>#N/A</v>
      </c>
      <c r="EK219" s="138" t="e">
        <f>IF(VLOOKUP(CONCATENATE(H219,F219,EK$2),Matemáticas!$A:$H,7,FALSE)=AY219,1,0)</f>
        <v>#N/A</v>
      </c>
      <c r="EL219" s="138" t="e">
        <f>IF(VLOOKUP(CONCATENATE(H219,F219,EL$2),Matemáticas!$A:$H,7,FALSE)=AZ219,1,0)</f>
        <v>#N/A</v>
      </c>
      <c r="EM219" s="138" t="e">
        <f>IF(VLOOKUP(CONCATENATE(H219,F219,EM$2),Matemáticas!$A:$H,7,FALSE)=BA219,1,0)</f>
        <v>#N/A</v>
      </c>
      <c r="EN219" s="138" t="e">
        <f>IF(VLOOKUP(CONCATENATE(H219,F219,EN$2),Matemáticas!$A:$H,7,FALSE)=BB219,1,0)</f>
        <v>#N/A</v>
      </c>
      <c r="EO219" s="138" t="e">
        <f>IF(VLOOKUP(CONCATENATE(H219,F219,EO$2),Matemáticas!$A:$H,7,FALSE)=BC219,1,0)</f>
        <v>#N/A</v>
      </c>
      <c r="EP219" s="138" t="e">
        <f>IF(VLOOKUP(CONCATENATE(H219,F219,EP$2),Matemáticas!$A:$H,7,FALSE)=BD219,1,0)</f>
        <v>#N/A</v>
      </c>
      <c r="EQ219" s="138" t="e">
        <f>IF(VLOOKUP(CONCATENATE(H219,F219,EQ$2),Matemáticas!$A:$H,7,FALSE)=BE219,1,0)</f>
        <v>#N/A</v>
      </c>
      <c r="ER219" s="138" t="e">
        <f>IF(VLOOKUP(CONCATENATE(H219,F219,ER$2),Matemáticas!$A:$H,7,FALSE)=BF219,1,0)</f>
        <v>#N/A</v>
      </c>
      <c r="ES219" s="138" t="e">
        <f>IF(VLOOKUP(CONCATENATE(H219,F219,ES$2),Matemáticas!$A:$H,7,FALSE)=BG219,1,0)</f>
        <v>#N/A</v>
      </c>
      <c r="ET219" s="138" t="e">
        <f>IF(VLOOKUP(CONCATENATE(H219,F219,ET$2),Matemáticas!$A:$H,7,FALSE)=BH219,1,0)</f>
        <v>#N/A</v>
      </c>
      <c r="EU219" s="138" t="e">
        <f>IF(VLOOKUP(CONCATENATE(H219,F219,EU$2),Matemáticas!$A:$H,7,FALSE)=BI219,1,0)</f>
        <v>#N/A</v>
      </c>
      <c r="EV219" s="138" t="e">
        <f>IF(VLOOKUP(CONCATENATE(H219,F219,EV$2),Ciencias!$A:$H,7,FALSE)=BJ219,1,0)</f>
        <v>#N/A</v>
      </c>
      <c r="EW219" s="138" t="e">
        <f>IF(VLOOKUP(CONCATENATE(H219,F219,EW$2),Ciencias!$A:$H,7,FALSE)=BK219,1,0)</f>
        <v>#N/A</v>
      </c>
      <c r="EX219" s="138" t="e">
        <f>IF(VLOOKUP(CONCATENATE(H219,F219,EX$2),Ciencias!$A:$H,7,FALSE)=BL219,1,0)</f>
        <v>#N/A</v>
      </c>
      <c r="EY219" s="138" t="e">
        <f>IF(VLOOKUP(CONCATENATE(H219,F219,EY$2),Ciencias!$A:$H,7,FALSE)=BM219,1,0)</f>
        <v>#N/A</v>
      </c>
      <c r="EZ219" s="138" t="e">
        <f>IF(VLOOKUP(CONCATENATE(H219,F219,EZ$2),Ciencias!$A:$H,7,FALSE)=BN219,1,0)</f>
        <v>#N/A</v>
      </c>
      <c r="FA219" s="138" t="e">
        <f>IF(VLOOKUP(CONCATENATE(H219,F219,FA$2),Ciencias!$A:$H,7,FALSE)=BO219,1,0)</f>
        <v>#N/A</v>
      </c>
      <c r="FB219" s="138" t="e">
        <f>IF(VLOOKUP(CONCATENATE(H219,F219,FB$2),Ciencias!$A:$H,7,FALSE)=BP219,1,0)</f>
        <v>#N/A</v>
      </c>
      <c r="FC219" s="138" t="e">
        <f>IF(VLOOKUP(CONCATENATE(H219,F219,FC$2),Ciencias!$A:$H,7,FALSE)=BQ219,1,0)</f>
        <v>#N/A</v>
      </c>
      <c r="FD219" s="138" t="e">
        <f>IF(VLOOKUP(CONCATENATE(H219,F219,FD$2),Ciencias!$A:$H,7,FALSE)=BR219,1,0)</f>
        <v>#N/A</v>
      </c>
      <c r="FE219" s="138" t="e">
        <f>IF(VLOOKUP(CONCATENATE(H219,F219,FE$2),Ciencias!$A:$H,7,FALSE)=BS219,1,0)</f>
        <v>#N/A</v>
      </c>
      <c r="FF219" s="138" t="e">
        <f>IF(VLOOKUP(CONCATENATE(H219,F219,FF$2),Ciencias!$A:$H,7,FALSE)=BT219,1,0)</f>
        <v>#N/A</v>
      </c>
      <c r="FG219" s="138" t="e">
        <f>IF(VLOOKUP(CONCATENATE(H219,F219,FG$2),Ciencias!$A:$H,7,FALSE)=BU219,1,0)</f>
        <v>#N/A</v>
      </c>
      <c r="FH219" s="138" t="e">
        <f>IF(VLOOKUP(CONCATENATE(H219,F219,FH$2),Ciencias!$A:$H,7,FALSE)=BV219,1,0)</f>
        <v>#N/A</v>
      </c>
      <c r="FI219" s="138" t="e">
        <f>IF(VLOOKUP(CONCATENATE(H219,F219,FI$2),Ciencias!$A:$H,7,FALSE)=BW219,1,0)</f>
        <v>#N/A</v>
      </c>
      <c r="FJ219" s="138" t="e">
        <f>IF(VLOOKUP(CONCATENATE(H219,F219,FJ$2),Ciencias!$A:$H,7,FALSE)=BX219,1,0)</f>
        <v>#N/A</v>
      </c>
      <c r="FK219" s="138" t="e">
        <f>IF(VLOOKUP(CONCATENATE(H219,F219,FK$2),Ciencias!$A:$H,7,FALSE)=BY219,1,0)</f>
        <v>#N/A</v>
      </c>
      <c r="FL219" s="138" t="e">
        <f>IF(VLOOKUP(CONCATENATE(H219,F219,FL$2),Ciencias!$A:$H,7,FALSE)=BZ219,1,0)</f>
        <v>#N/A</v>
      </c>
      <c r="FM219" s="138" t="e">
        <f>IF(VLOOKUP(CONCATENATE(H219,F219,FM$2),Ciencias!$A:$H,7,FALSE)=CA219,1,0)</f>
        <v>#N/A</v>
      </c>
      <c r="FN219" s="138" t="e">
        <f>IF(VLOOKUP(CONCATENATE(H219,F219,FN$2),Ciencias!$A:$H,7,FALSE)=CB219,1,0)</f>
        <v>#N/A</v>
      </c>
      <c r="FO219" s="138" t="e">
        <f>IF(VLOOKUP(CONCATENATE(H219,F219,FO$2),Ciencias!$A:$H,7,FALSE)=CC219,1,0)</f>
        <v>#N/A</v>
      </c>
      <c r="FP219" s="138" t="e">
        <f>IF(VLOOKUP(CONCATENATE(H219,F219,FP$2),GeoHis!$A:$H,7,FALSE)=CD219,1,0)</f>
        <v>#N/A</v>
      </c>
      <c r="FQ219" s="138" t="e">
        <f>IF(VLOOKUP(CONCATENATE(H219,F219,FQ$2),GeoHis!$A:$H,7,FALSE)=CE219,1,0)</f>
        <v>#N/A</v>
      </c>
      <c r="FR219" s="138" t="e">
        <f>IF(VLOOKUP(CONCATENATE(H219,F219,FR$2),GeoHis!$A:$H,7,FALSE)=CF219,1,0)</f>
        <v>#N/A</v>
      </c>
      <c r="FS219" s="138" t="e">
        <f>IF(VLOOKUP(CONCATENATE(H219,F219,FS$2),GeoHis!$A:$H,7,FALSE)=CG219,1,0)</f>
        <v>#N/A</v>
      </c>
      <c r="FT219" s="138" t="e">
        <f>IF(VLOOKUP(CONCATENATE(H219,F219,FT$2),GeoHis!$A:$H,7,FALSE)=CH219,1,0)</f>
        <v>#N/A</v>
      </c>
      <c r="FU219" s="138" t="e">
        <f>IF(VLOOKUP(CONCATENATE(H219,F219,FU$2),GeoHis!$A:$H,7,FALSE)=CI219,1,0)</f>
        <v>#N/A</v>
      </c>
      <c r="FV219" s="138" t="e">
        <f>IF(VLOOKUP(CONCATENATE(H219,F219,FV$2),GeoHis!$A:$H,7,FALSE)=CJ219,1,0)</f>
        <v>#N/A</v>
      </c>
      <c r="FW219" s="138" t="e">
        <f>IF(VLOOKUP(CONCATENATE(H219,F219,FW$2),GeoHis!$A:$H,7,FALSE)=CK219,1,0)</f>
        <v>#N/A</v>
      </c>
      <c r="FX219" s="138" t="e">
        <f>IF(VLOOKUP(CONCATENATE(H219,F219,FX$2),GeoHis!$A:$H,7,FALSE)=CL219,1,0)</f>
        <v>#N/A</v>
      </c>
      <c r="FY219" s="138" t="e">
        <f>IF(VLOOKUP(CONCATENATE(H219,F219,FY$2),GeoHis!$A:$H,7,FALSE)=CM219,1,0)</f>
        <v>#N/A</v>
      </c>
      <c r="FZ219" s="138" t="e">
        <f>IF(VLOOKUP(CONCATENATE(H219,F219,FZ$2),GeoHis!$A:$H,7,FALSE)=CN219,1,0)</f>
        <v>#N/A</v>
      </c>
      <c r="GA219" s="138" t="e">
        <f>IF(VLOOKUP(CONCATENATE(H219,F219,GA$2),GeoHis!$A:$H,7,FALSE)=CO219,1,0)</f>
        <v>#N/A</v>
      </c>
      <c r="GB219" s="138" t="e">
        <f>IF(VLOOKUP(CONCATENATE(H219,F219,GB$2),GeoHis!$A:$H,7,FALSE)=CP219,1,0)</f>
        <v>#N/A</v>
      </c>
      <c r="GC219" s="138" t="e">
        <f>IF(VLOOKUP(CONCATENATE(H219,F219,GC$2),GeoHis!$A:$H,7,FALSE)=CQ219,1,0)</f>
        <v>#N/A</v>
      </c>
      <c r="GD219" s="138" t="e">
        <f>IF(VLOOKUP(CONCATENATE(H219,F219,GD$2),GeoHis!$A:$H,7,FALSE)=CR219,1,0)</f>
        <v>#N/A</v>
      </c>
      <c r="GE219" s="135" t="str">
        <f t="shared" si="31"/>
        <v/>
      </c>
    </row>
    <row r="220" spans="1:187" x14ac:dyDescent="0.25">
      <c r="A220" s="127" t="str">
        <f>IF(C220="","",'Datos Generales'!$A$25)</f>
        <v/>
      </c>
      <c r="D220" s="126" t="str">
        <f t="shared" si="24"/>
        <v/>
      </c>
      <c r="E220" s="126">
        <f t="shared" si="25"/>
        <v>0</v>
      </c>
      <c r="F220" s="126" t="str">
        <f t="shared" si="26"/>
        <v/>
      </c>
      <c r="G220" s="126" t="str">
        <f>IF(C220="","",'Datos Generales'!$D$19)</f>
        <v/>
      </c>
      <c r="H220" s="21" t="str">
        <f>IF(C220="","",'Datos Generales'!$A$19)</f>
        <v/>
      </c>
      <c r="I220" s="126" t="str">
        <f>IF(C220="","",'Datos Generales'!$A$7)</f>
        <v/>
      </c>
      <c r="J220" s="21" t="str">
        <f>IF(C220="","",'Datos Generales'!$A$13)</f>
        <v/>
      </c>
      <c r="K220" s="21" t="str">
        <f>IF(C220="","",'Datos Generales'!$A$10)</f>
        <v/>
      </c>
      <c r="CS220" s="142" t="str">
        <f t="shared" si="27"/>
        <v/>
      </c>
      <c r="CT220" s="142" t="str">
        <f t="shared" si="28"/>
        <v/>
      </c>
      <c r="CU220" s="142" t="str">
        <f t="shared" si="29"/>
        <v/>
      </c>
      <c r="CV220" s="142" t="str">
        <f t="shared" si="30"/>
        <v/>
      </c>
      <c r="CW220" s="142" t="str">
        <f>IF(C220="","",IF('Datos Generales'!$A$19=1,AVERAGE(FP220:GD220),AVERAGE(Captura!FP220:FY220)))</f>
        <v/>
      </c>
      <c r="CX220" s="138" t="e">
        <f>IF(VLOOKUP(CONCATENATE($H$4,$F$4,CX$2),Español!$A:$H,7,FALSE)=L220,1,0)</f>
        <v>#N/A</v>
      </c>
      <c r="CY220" s="138" t="e">
        <f>IF(VLOOKUP(CONCATENATE(H220,F220,CY$2),Español!$A:$H,7,FALSE)=M220,1,0)</f>
        <v>#N/A</v>
      </c>
      <c r="CZ220" s="138" t="e">
        <f>IF(VLOOKUP(CONCATENATE(H220,F220,CZ$2),Español!$A:$H,7,FALSE)=N220,1,0)</f>
        <v>#N/A</v>
      </c>
      <c r="DA220" s="138" t="e">
        <f>IF(VLOOKUP(CONCATENATE(H220,F220,DA$2),Español!$A:$H,7,FALSE)=O220,1,0)</f>
        <v>#N/A</v>
      </c>
      <c r="DB220" s="138" t="e">
        <f>IF(VLOOKUP(CONCATENATE(H220,F220,DB$2),Español!$A:$H,7,FALSE)=P220,1,0)</f>
        <v>#N/A</v>
      </c>
      <c r="DC220" s="138" t="e">
        <f>IF(VLOOKUP(CONCATENATE(H220,F220,DC$2),Español!$A:$H,7,FALSE)=Q220,1,0)</f>
        <v>#N/A</v>
      </c>
      <c r="DD220" s="138" t="e">
        <f>IF(VLOOKUP(CONCATENATE(H220,F220,DD$2),Español!$A:$H,7,FALSE)=R220,1,0)</f>
        <v>#N/A</v>
      </c>
      <c r="DE220" s="138" t="e">
        <f>IF(VLOOKUP(CONCATENATE(H220,F220,DE$2),Español!$A:$H,7,FALSE)=S220,1,0)</f>
        <v>#N/A</v>
      </c>
      <c r="DF220" s="138" t="e">
        <f>IF(VLOOKUP(CONCATENATE(H220,F220,DF$2),Español!$A:$H,7,FALSE)=T220,1,0)</f>
        <v>#N/A</v>
      </c>
      <c r="DG220" s="138" t="e">
        <f>IF(VLOOKUP(CONCATENATE(H220,F220,DG$2),Español!$A:$H,7,FALSE)=U220,1,0)</f>
        <v>#N/A</v>
      </c>
      <c r="DH220" s="138" t="e">
        <f>IF(VLOOKUP(CONCATENATE(H220,F220,DH$2),Español!$A:$H,7,FALSE)=V220,1,0)</f>
        <v>#N/A</v>
      </c>
      <c r="DI220" s="138" t="e">
        <f>IF(VLOOKUP(CONCATENATE(H220,F220,DI$2),Español!$A:$H,7,FALSE)=W220,1,0)</f>
        <v>#N/A</v>
      </c>
      <c r="DJ220" s="138" t="e">
        <f>IF(VLOOKUP(CONCATENATE(H220,F220,DJ$2),Español!$A:$H,7,FALSE)=X220,1,0)</f>
        <v>#N/A</v>
      </c>
      <c r="DK220" s="138" t="e">
        <f>IF(VLOOKUP(CONCATENATE(H220,F220,DK$2),Español!$A:$H,7,FALSE)=Y220,1,0)</f>
        <v>#N/A</v>
      </c>
      <c r="DL220" s="138" t="e">
        <f>IF(VLOOKUP(CONCATENATE(H220,F220,DL$2),Español!$A:$H,7,FALSE)=Z220,1,0)</f>
        <v>#N/A</v>
      </c>
      <c r="DM220" s="138" t="e">
        <f>IF(VLOOKUP(CONCATENATE(H220,F220,DM$2),Español!$A:$H,7,FALSE)=AA220,1,0)</f>
        <v>#N/A</v>
      </c>
      <c r="DN220" s="138" t="e">
        <f>IF(VLOOKUP(CONCATENATE(H220,F220,DN$2),Español!$A:$H,7,FALSE)=AB220,1,0)</f>
        <v>#N/A</v>
      </c>
      <c r="DO220" s="138" t="e">
        <f>IF(VLOOKUP(CONCATENATE(H220,F220,DO$2),Español!$A:$H,7,FALSE)=AC220,1,0)</f>
        <v>#N/A</v>
      </c>
      <c r="DP220" s="138" t="e">
        <f>IF(VLOOKUP(CONCATENATE(H220,F220,DP$2),Español!$A:$H,7,FALSE)=AD220,1,0)</f>
        <v>#N/A</v>
      </c>
      <c r="DQ220" s="138" t="e">
        <f>IF(VLOOKUP(CONCATENATE(H220,F220,DQ$2),Español!$A:$H,7,FALSE)=AE220,1,0)</f>
        <v>#N/A</v>
      </c>
      <c r="DR220" s="138" t="e">
        <f>IF(VLOOKUP(CONCATENATE(H220,F220,DR$2),Inglés!$A:$H,7,FALSE)=AF220,1,0)</f>
        <v>#N/A</v>
      </c>
      <c r="DS220" s="138" t="e">
        <f>IF(VLOOKUP(CONCATENATE(H220,F220,DS$2),Inglés!$A:$H,7,FALSE)=AG220,1,0)</f>
        <v>#N/A</v>
      </c>
      <c r="DT220" s="138" t="e">
        <f>IF(VLOOKUP(CONCATENATE(H220,F220,DT$2),Inglés!$A:$H,7,FALSE)=AH220,1,0)</f>
        <v>#N/A</v>
      </c>
      <c r="DU220" s="138" t="e">
        <f>IF(VLOOKUP(CONCATENATE(H220,F220,DU$2),Inglés!$A:$H,7,FALSE)=AI220,1,0)</f>
        <v>#N/A</v>
      </c>
      <c r="DV220" s="138" t="e">
        <f>IF(VLOOKUP(CONCATENATE(H220,F220,DV$2),Inglés!$A:$H,7,FALSE)=AJ220,1,0)</f>
        <v>#N/A</v>
      </c>
      <c r="DW220" s="138" t="e">
        <f>IF(VLOOKUP(CONCATENATE(H220,F220,DW$2),Inglés!$A:$H,7,FALSE)=AK220,1,0)</f>
        <v>#N/A</v>
      </c>
      <c r="DX220" s="138" t="e">
        <f>IF(VLOOKUP(CONCATENATE(H220,F220,DX$2),Inglés!$A:$H,7,FALSE)=AL220,1,0)</f>
        <v>#N/A</v>
      </c>
      <c r="DY220" s="138" t="e">
        <f>IF(VLOOKUP(CONCATENATE(H220,F220,DY$2),Inglés!$A:$H,7,FALSE)=AM220,1,0)</f>
        <v>#N/A</v>
      </c>
      <c r="DZ220" s="138" t="e">
        <f>IF(VLOOKUP(CONCATENATE(H220,F220,DZ$2),Inglés!$A:$H,7,FALSE)=AN220,1,0)</f>
        <v>#N/A</v>
      </c>
      <c r="EA220" s="138" t="e">
        <f>IF(VLOOKUP(CONCATENATE(H220,F220,EA$2),Inglés!$A:$H,7,FALSE)=AO220,1,0)</f>
        <v>#N/A</v>
      </c>
      <c r="EB220" s="138" t="e">
        <f>IF(VLOOKUP(CONCATENATE(H220,F220,EB$2),Matemáticas!$A:$H,7,FALSE)=AP220,1,0)</f>
        <v>#N/A</v>
      </c>
      <c r="EC220" s="138" t="e">
        <f>IF(VLOOKUP(CONCATENATE(H220,F220,EC$2),Matemáticas!$A:$H,7,FALSE)=AQ220,1,0)</f>
        <v>#N/A</v>
      </c>
      <c r="ED220" s="138" t="e">
        <f>IF(VLOOKUP(CONCATENATE(H220,F220,ED$2),Matemáticas!$A:$H,7,FALSE)=AR220,1,0)</f>
        <v>#N/A</v>
      </c>
      <c r="EE220" s="138" t="e">
        <f>IF(VLOOKUP(CONCATENATE(H220,F220,EE$2),Matemáticas!$A:$H,7,FALSE)=AS220,1,0)</f>
        <v>#N/A</v>
      </c>
      <c r="EF220" s="138" t="e">
        <f>IF(VLOOKUP(CONCATENATE(H220,F220,EF$2),Matemáticas!$A:$H,7,FALSE)=AT220,1,0)</f>
        <v>#N/A</v>
      </c>
      <c r="EG220" s="138" t="e">
        <f>IF(VLOOKUP(CONCATENATE(H220,F220,EG$2),Matemáticas!$A:$H,7,FALSE)=AU220,1,0)</f>
        <v>#N/A</v>
      </c>
      <c r="EH220" s="138" t="e">
        <f>IF(VLOOKUP(CONCATENATE(H220,F220,EH$2),Matemáticas!$A:$H,7,FALSE)=AV220,1,0)</f>
        <v>#N/A</v>
      </c>
      <c r="EI220" s="138" t="e">
        <f>IF(VLOOKUP(CONCATENATE(H220,F220,EI$2),Matemáticas!$A:$H,7,FALSE)=AW220,1,0)</f>
        <v>#N/A</v>
      </c>
      <c r="EJ220" s="138" t="e">
        <f>IF(VLOOKUP(CONCATENATE(H220,F220,EJ$2),Matemáticas!$A:$H,7,FALSE)=AX220,1,0)</f>
        <v>#N/A</v>
      </c>
      <c r="EK220" s="138" t="e">
        <f>IF(VLOOKUP(CONCATENATE(H220,F220,EK$2),Matemáticas!$A:$H,7,FALSE)=AY220,1,0)</f>
        <v>#N/A</v>
      </c>
      <c r="EL220" s="138" t="e">
        <f>IF(VLOOKUP(CONCATENATE(H220,F220,EL$2),Matemáticas!$A:$H,7,FALSE)=AZ220,1,0)</f>
        <v>#N/A</v>
      </c>
      <c r="EM220" s="138" t="e">
        <f>IF(VLOOKUP(CONCATENATE(H220,F220,EM$2),Matemáticas!$A:$H,7,FALSE)=BA220,1,0)</f>
        <v>#N/A</v>
      </c>
      <c r="EN220" s="138" t="e">
        <f>IF(VLOOKUP(CONCATENATE(H220,F220,EN$2),Matemáticas!$A:$H,7,FALSE)=BB220,1,0)</f>
        <v>#N/A</v>
      </c>
      <c r="EO220" s="138" t="e">
        <f>IF(VLOOKUP(CONCATENATE(H220,F220,EO$2),Matemáticas!$A:$H,7,FALSE)=BC220,1,0)</f>
        <v>#N/A</v>
      </c>
      <c r="EP220" s="138" t="e">
        <f>IF(VLOOKUP(CONCATENATE(H220,F220,EP$2),Matemáticas!$A:$H,7,FALSE)=BD220,1,0)</f>
        <v>#N/A</v>
      </c>
      <c r="EQ220" s="138" t="e">
        <f>IF(VLOOKUP(CONCATENATE(H220,F220,EQ$2),Matemáticas!$A:$H,7,FALSE)=BE220,1,0)</f>
        <v>#N/A</v>
      </c>
      <c r="ER220" s="138" t="e">
        <f>IF(VLOOKUP(CONCATENATE(H220,F220,ER$2),Matemáticas!$A:$H,7,FALSE)=BF220,1,0)</f>
        <v>#N/A</v>
      </c>
      <c r="ES220" s="138" t="e">
        <f>IF(VLOOKUP(CONCATENATE(H220,F220,ES$2),Matemáticas!$A:$H,7,FALSE)=BG220,1,0)</f>
        <v>#N/A</v>
      </c>
      <c r="ET220" s="138" t="e">
        <f>IF(VLOOKUP(CONCATENATE(H220,F220,ET$2),Matemáticas!$A:$H,7,FALSE)=BH220,1,0)</f>
        <v>#N/A</v>
      </c>
      <c r="EU220" s="138" t="e">
        <f>IF(VLOOKUP(CONCATENATE(H220,F220,EU$2),Matemáticas!$A:$H,7,FALSE)=BI220,1,0)</f>
        <v>#N/A</v>
      </c>
      <c r="EV220" s="138" t="e">
        <f>IF(VLOOKUP(CONCATENATE(H220,F220,EV$2),Ciencias!$A:$H,7,FALSE)=BJ220,1,0)</f>
        <v>#N/A</v>
      </c>
      <c r="EW220" s="138" t="e">
        <f>IF(VLOOKUP(CONCATENATE(H220,F220,EW$2),Ciencias!$A:$H,7,FALSE)=BK220,1,0)</f>
        <v>#N/A</v>
      </c>
      <c r="EX220" s="138" t="e">
        <f>IF(VLOOKUP(CONCATENATE(H220,F220,EX$2),Ciencias!$A:$H,7,FALSE)=BL220,1,0)</f>
        <v>#N/A</v>
      </c>
      <c r="EY220" s="138" t="e">
        <f>IF(VLOOKUP(CONCATENATE(H220,F220,EY$2),Ciencias!$A:$H,7,FALSE)=BM220,1,0)</f>
        <v>#N/A</v>
      </c>
      <c r="EZ220" s="138" t="e">
        <f>IF(VLOOKUP(CONCATENATE(H220,F220,EZ$2),Ciencias!$A:$H,7,FALSE)=BN220,1,0)</f>
        <v>#N/A</v>
      </c>
      <c r="FA220" s="138" t="e">
        <f>IF(VLOOKUP(CONCATENATE(H220,F220,FA$2),Ciencias!$A:$H,7,FALSE)=BO220,1,0)</f>
        <v>#N/A</v>
      </c>
      <c r="FB220" s="138" t="e">
        <f>IF(VLOOKUP(CONCATENATE(H220,F220,FB$2),Ciencias!$A:$H,7,FALSE)=BP220,1,0)</f>
        <v>#N/A</v>
      </c>
      <c r="FC220" s="138" t="e">
        <f>IF(VLOOKUP(CONCATENATE(H220,F220,FC$2),Ciencias!$A:$H,7,FALSE)=BQ220,1,0)</f>
        <v>#N/A</v>
      </c>
      <c r="FD220" s="138" t="e">
        <f>IF(VLOOKUP(CONCATENATE(H220,F220,FD$2),Ciencias!$A:$H,7,FALSE)=BR220,1,0)</f>
        <v>#N/A</v>
      </c>
      <c r="FE220" s="138" t="e">
        <f>IF(VLOOKUP(CONCATENATE(H220,F220,FE$2),Ciencias!$A:$H,7,FALSE)=BS220,1,0)</f>
        <v>#N/A</v>
      </c>
      <c r="FF220" s="138" t="e">
        <f>IF(VLOOKUP(CONCATENATE(H220,F220,FF$2),Ciencias!$A:$H,7,FALSE)=BT220,1,0)</f>
        <v>#N/A</v>
      </c>
      <c r="FG220" s="138" t="e">
        <f>IF(VLOOKUP(CONCATENATE(H220,F220,FG$2),Ciencias!$A:$H,7,FALSE)=BU220,1,0)</f>
        <v>#N/A</v>
      </c>
      <c r="FH220" s="138" t="e">
        <f>IF(VLOOKUP(CONCATENATE(H220,F220,FH$2),Ciencias!$A:$H,7,FALSE)=BV220,1,0)</f>
        <v>#N/A</v>
      </c>
      <c r="FI220" s="138" t="e">
        <f>IF(VLOOKUP(CONCATENATE(H220,F220,FI$2),Ciencias!$A:$H,7,FALSE)=BW220,1,0)</f>
        <v>#N/A</v>
      </c>
      <c r="FJ220" s="138" t="e">
        <f>IF(VLOOKUP(CONCATENATE(H220,F220,FJ$2),Ciencias!$A:$H,7,FALSE)=BX220,1,0)</f>
        <v>#N/A</v>
      </c>
      <c r="FK220" s="138" t="e">
        <f>IF(VLOOKUP(CONCATENATE(H220,F220,FK$2),Ciencias!$A:$H,7,FALSE)=BY220,1,0)</f>
        <v>#N/A</v>
      </c>
      <c r="FL220" s="138" t="e">
        <f>IF(VLOOKUP(CONCATENATE(H220,F220,FL$2),Ciencias!$A:$H,7,FALSE)=BZ220,1,0)</f>
        <v>#N/A</v>
      </c>
      <c r="FM220" s="138" t="e">
        <f>IF(VLOOKUP(CONCATENATE(H220,F220,FM$2),Ciencias!$A:$H,7,FALSE)=CA220,1,0)</f>
        <v>#N/A</v>
      </c>
      <c r="FN220" s="138" t="e">
        <f>IF(VLOOKUP(CONCATENATE(H220,F220,FN$2),Ciencias!$A:$H,7,FALSE)=CB220,1,0)</f>
        <v>#N/A</v>
      </c>
      <c r="FO220" s="138" t="e">
        <f>IF(VLOOKUP(CONCATENATE(H220,F220,FO$2),Ciencias!$A:$H,7,FALSE)=CC220,1,0)</f>
        <v>#N/A</v>
      </c>
      <c r="FP220" s="138" t="e">
        <f>IF(VLOOKUP(CONCATENATE(H220,F220,FP$2),GeoHis!$A:$H,7,FALSE)=CD220,1,0)</f>
        <v>#N/A</v>
      </c>
      <c r="FQ220" s="138" t="e">
        <f>IF(VLOOKUP(CONCATENATE(H220,F220,FQ$2),GeoHis!$A:$H,7,FALSE)=CE220,1,0)</f>
        <v>#N/A</v>
      </c>
      <c r="FR220" s="138" t="e">
        <f>IF(VLOOKUP(CONCATENATE(H220,F220,FR$2),GeoHis!$A:$H,7,FALSE)=CF220,1,0)</f>
        <v>#N/A</v>
      </c>
      <c r="FS220" s="138" t="e">
        <f>IF(VLOOKUP(CONCATENATE(H220,F220,FS$2),GeoHis!$A:$H,7,FALSE)=CG220,1,0)</f>
        <v>#N/A</v>
      </c>
      <c r="FT220" s="138" t="e">
        <f>IF(VLOOKUP(CONCATENATE(H220,F220,FT$2),GeoHis!$A:$H,7,FALSE)=CH220,1,0)</f>
        <v>#N/A</v>
      </c>
      <c r="FU220" s="138" t="e">
        <f>IF(VLOOKUP(CONCATENATE(H220,F220,FU$2),GeoHis!$A:$H,7,FALSE)=CI220,1,0)</f>
        <v>#N/A</v>
      </c>
      <c r="FV220" s="138" t="e">
        <f>IF(VLOOKUP(CONCATENATE(H220,F220,FV$2),GeoHis!$A:$H,7,FALSE)=CJ220,1,0)</f>
        <v>#N/A</v>
      </c>
      <c r="FW220" s="138" t="e">
        <f>IF(VLOOKUP(CONCATENATE(H220,F220,FW$2),GeoHis!$A:$H,7,FALSE)=CK220,1,0)</f>
        <v>#N/A</v>
      </c>
      <c r="FX220" s="138" t="e">
        <f>IF(VLOOKUP(CONCATENATE(H220,F220,FX$2),GeoHis!$A:$H,7,FALSE)=CL220,1,0)</f>
        <v>#N/A</v>
      </c>
      <c r="FY220" s="138" t="e">
        <f>IF(VLOOKUP(CONCATENATE(H220,F220,FY$2),GeoHis!$A:$H,7,FALSE)=CM220,1,0)</f>
        <v>#N/A</v>
      </c>
      <c r="FZ220" s="138" t="e">
        <f>IF(VLOOKUP(CONCATENATE(H220,F220,FZ$2),GeoHis!$A:$H,7,FALSE)=CN220,1,0)</f>
        <v>#N/A</v>
      </c>
      <c r="GA220" s="138" t="e">
        <f>IF(VLOOKUP(CONCATENATE(H220,F220,GA$2),GeoHis!$A:$H,7,FALSE)=CO220,1,0)</f>
        <v>#N/A</v>
      </c>
      <c r="GB220" s="138" t="e">
        <f>IF(VLOOKUP(CONCATENATE(H220,F220,GB$2),GeoHis!$A:$H,7,FALSE)=CP220,1,0)</f>
        <v>#N/A</v>
      </c>
      <c r="GC220" s="138" t="e">
        <f>IF(VLOOKUP(CONCATENATE(H220,F220,GC$2),GeoHis!$A:$H,7,FALSE)=CQ220,1,0)</f>
        <v>#N/A</v>
      </c>
      <c r="GD220" s="138" t="e">
        <f>IF(VLOOKUP(CONCATENATE(H220,F220,GD$2),GeoHis!$A:$H,7,FALSE)=CR220,1,0)</f>
        <v>#N/A</v>
      </c>
      <c r="GE220" s="135" t="str">
        <f t="shared" si="31"/>
        <v/>
      </c>
    </row>
    <row r="221" spans="1:187" x14ac:dyDescent="0.25">
      <c r="A221" s="127" t="str">
        <f>IF(C221="","",'Datos Generales'!$A$25)</f>
        <v/>
      </c>
      <c r="D221" s="126" t="str">
        <f t="shared" si="24"/>
        <v/>
      </c>
      <c r="E221" s="126">
        <f t="shared" si="25"/>
        <v>0</v>
      </c>
      <c r="F221" s="126" t="str">
        <f t="shared" si="26"/>
        <v/>
      </c>
      <c r="G221" s="126" t="str">
        <f>IF(C221="","",'Datos Generales'!$D$19)</f>
        <v/>
      </c>
      <c r="H221" s="21" t="str">
        <f>IF(C221="","",'Datos Generales'!$A$19)</f>
        <v/>
      </c>
      <c r="I221" s="126" t="str">
        <f>IF(C221="","",'Datos Generales'!$A$7)</f>
        <v/>
      </c>
      <c r="J221" s="21" t="str">
        <f>IF(C221="","",'Datos Generales'!$A$13)</f>
        <v/>
      </c>
      <c r="K221" s="21" t="str">
        <f>IF(C221="","",'Datos Generales'!$A$10)</f>
        <v/>
      </c>
      <c r="CS221" s="142" t="str">
        <f t="shared" si="27"/>
        <v/>
      </c>
      <c r="CT221" s="142" t="str">
        <f t="shared" si="28"/>
        <v/>
      </c>
      <c r="CU221" s="142" t="str">
        <f t="shared" si="29"/>
        <v/>
      </c>
      <c r="CV221" s="142" t="str">
        <f t="shared" si="30"/>
        <v/>
      </c>
      <c r="CW221" s="142" t="str">
        <f>IF(C221="","",IF('Datos Generales'!$A$19=1,AVERAGE(FP221:GD221),AVERAGE(Captura!FP221:FY221)))</f>
        <v/>
      </c>
      <c r="CX221" s="138" t="e">
        <f>IF(VLOOKUP(CONCATENATE($H$4,$F$4,CX$2),Español!$A:$H,7,FALSE)=L221,1,0)</f>
        <v>#N/A</v>
      </c>
      <c r="CY221" s="138" t="e">
        <f>IF(VLOOKUP(CONCATENATE(H221,F221,CY$2),Español!$A:$H,7,FALSE)=M221,1,0)</f>
        <v>#N/A</v>
      </c>
      <c r="CZ221" s="138" t="e">
        <f>IF(VLOOKUP(CONCATENATE(H221,F221,CZ$2),Español!$A:$H,7,FALSE)=N221,1,0)</f>
        <v>#N/A</v>
      </c>
      <c r="DA221" s="138" t="e">
        <f>IF(VLOOKUP(CONCATENATE(H221,F221,DA$2),Español!$A:$H,7,FALSE)=O221,1,0)</f>
        <v>#N/A</v>
      </c>
      <c r="DB221" s="138" t="e">
        <f>IF(VLOOKUP(CONCATENATE(H221,F221,DB$2),Español!$A:$H,7,FALSE)=P221,1,0)</f>
        <v>#N/A</v>
      </c>
      <c r="DC221" s="138" t="e">
        <f>IF(VLOOKUP(CONCATENATE(H221,F221,DC$2),Español!$A:$H,7,FALSE)=Q221,1,0)</f>
        <v>#N/A</v>
      </c>
      <c r="DD221" s="138" t="e">
        <f>IF(VLOOKUP(CONCATENATE(H221,F221,DD$2),Español!$A:$H,7,FALSE)=R221,1,0)</f>
        <v>#N/A</v>
      </c>
      <c r="DE221" s="138" t="e">
        <f>IF(VLOOKUP(CONCATENATE(H221,F221,DE$2),Español!$A:$H,7,FALSE)=S221,1,0)</f>
        <v>#N/A</v>
      </c>
      <c r="DF221" s="138" t="e">
        <f>IF(VLOOKUP(CONCATENATE(H221,F221,DF$2),Español!$A:$H,7,FALSE)=T221,1,0)</f>
        <v>#N/A</v>
      </c>
      <c r="DG221" s="138" t="e">
        <f>IF(VLOOKUP(CONCATENATE(H221,F221,DG$2),Español!$A:$H,7,FALSE)=U221,1,0)</f>
        <v>#N/A</v>
      </c>
      <c r="DH221" s="138" t="e">
        <f>IF(VLOOKUP(CONCATENATE(H221,F221,DH$2),Español!$A:$H,7,FALSE)=V221,1,0)</f>
        <v>#N/A</v>
      </c>
      <c r="DI221" s="138" t="e">
        <f>IF(VLOOKUP(CONCATENATE(H221,F221,DI$2),Español!$A:$H,7,FALSE)=W221,1,0)</f>
        <v>#N/A</v>
      </c>
      <c r="DJ221" s="138" t="e">
        <f>IF(VLOOKUP(CONCATENATE(H221,F221,DJ$2),Español!$A:$H,7,FALSE)=X221,1,0)</f>
        <v>#N/A</v>
      </c>
      <c r="DK221" s="138" t="e">
        <f>IF(VLOOKUP(CONCATENATE(H221,F221,DK$2),Español!$A:$H,7,FALSE)=Y221,1,0)</f>
        <v>#N/A</v>
      </c>
      <c r="DL221" s="138" t="e">
        <f>IF(VLOOKUP(CONCATENATE(H221,F221,DL$2),Español!$A:$H,7,FALSE)=Z221,1,0)</f>
        <v>#N/A</v>
      </c>
      <c r="DM221" s="138" t="e">
        <f>IF(VLOOKUP(CONCATENATE(H221,F221,DM$2),Español!$A:$H,7,FALSE)=AA221,1,0)</f>
        <v>#N/A</v>
      </c>
      <c r="DN221" s="138" t="e">
        <f>IF(VLOOKUP(CONCATENATE(H221,F221,DN$2),Español!$A:$H,7,FALSE)=AB221,1,0)</f>
        <v>#N/A</v>
      </c>
      <c r="DO221" s="138" t="e">
        <f>IF(VLOOKUP(CONCATENATE(H221,F221,DO$2),Español!$A:$H,7,FALSE)=AC221,1,0)</f>
        <v>#N/A</v>
      </c>
      <c r="DP221" s="138" t="e">
        <f>IF(VLOOKUP(CONCATENATE(H221,F221,DP$2),Español!$A:$H,7,FALSE)=AD221,1,0)</f>
        <v>#N/A</v>
      </c>
      <c r="DQ221" s="138" t="e">
        <f>IF(VLOOKUP(CONCATENATE(H221,F221,DQ$2),Español!$A:$H,7,FALSE)=AE221,1,0)</f>
        <v>#N/A</v>
      </c>
      <c r="DR221" s="138" t="e">
        <f>IF(VLOOKUP(CONCATENATE(H221,F221,DR$2),Inglés!$A:$H,7,FALSE)=AF221,1,0)</f>
        <v>#N/A</v>
      </c>
      <c r="DS221" s="138" t="e">
        <f>IF(VLOOKUP(CONCATENATE(H221,F221,DS$2),Inglés!$A:$H,7,FALSE)=AG221,1,0)</f>
        <v>#N/A</v>
      </c>
      <c r="DT221" s="138" t="e">
        <f>IF(VLOOKUP(CONCATENATE(H221,F221,DT$2),Inglés!$A:$H,7,FALSE)=AH221,1,0)</f>
        <v>#N/A</v>
      </c>
      <c r="DU221" s="138" t="e">
        <f>IF(VLOOKUP(CONCATENATE(H221,F221,DU$2),Inglés!$A:$H,7,FALSE)=AI221,1,0)</f>
        <v>#N/A</v>
      </c>
      <c r="DV221" s="138" t="e">
        <f>IF(VLOOKUP(CONCATENATE(H221,F221,DV$2),Inglés!$A:$H,7,FALSE)=AJ221,1,0)</f>
        <v>#N/A</v>
      </c>
      <c r="DW221" s="138" t="e">
        <f>IF(VLOOKUP(CONCATENATE(H221,F221,DW$2),Inglés!$A:$H,7,FALSE)=AK221,1,0)</f>
        <v>#N/A</v>
      </c>
      <c r="DX221" s="138" t="e">
        <f>IF(VLOOKUP(CONCATENATE(H221,F221,DX$2),Inglés!$A:$H,7,FALSE)=AL221,1,0)</f>
        <v>#N/A</v>
      </c>
      <c r="DY221" s="138" t="e">
        <f>IF(VLOOKUP(CONCATENATE(H221,F221,DY$2),Inglés!$A:$H,7,FALSE)=AM221,1,0)</f>
        <v>#N/A</v>
      </c>
      <c r="DZ221" s="138" t="e">
        <f>IF(VLOOKUP(CONCATENATE(H221,F221,DZ$2),Inglés!$A:$H,7,FALSE)=AN221,1,0)</f>
        <v>#N/A</v>
      </c>
      <c r="EA221" s="138" t="e">
        <f>IF(VLOOKUP(CONCATENATE(H221,F221,EA$2),Inglés!$A:$H,7,FALSE)=AO221,1,0)</f>
        <v>#N/A</v>
      </c>
      <c r="EB221" s="138" t="e">
        <f>IF(VLOOKUP(CONCATENATE(H221,F221,EB$2),Matemáticas!$A:$H,7,FALSE)=AP221,1,0)</f>
        <v>#N/A</v>
      </c>
      <c r="EC221" s="138" t="e">
        <f>IF(VLOOKUP(CONCATENATE(H221,F221,EC$2),Matemáticas!$A:$H,7,FALSE)=AQ221,1,0)</f>
        <v>#N/A</v>
      </c>
      <c r="ED221" s="138" t="e">
        <f>IF(VLOOKUP(CONCATENATE(H221,F221,ED$2),Matemáticas!$A:$H,7,FALSE)=AR221,1,0)</f>
        <v>#N/A</v>
      </c>
      <c r="EE221" s="138" t="e">
        <f>IF(VLOOKUP(CONCATENATE(H221,F221,EE$2),Matemáticas!$A:$H,7,FALSE)=AS221,1,0)</f>
        <v>#N/A</v>
      </c>
      <c r="EF221" s="138" t="e">
        <f>IF(VLOOKUP(CONCATENATE(H221,F221,EF$2),Matemáticas!$A:$H,7,FALSE)=AT221,1,0)</f>
        <v>#N/A</v>
      </c>
      <c r="EG221" s="138" t="e">
        <f>IF(VLOOKUP(CONCATENATE(H221,F221,EG$2),Matemáticas!$A:$H,7,FALSE)=AU221,1,0)</f>
        <v>#N/A</v>
      </c>
      <c r="EH221" s="138" t="e">
        <f>IF(VLOOKUP(CONCATENATE(H221,F221,EH$2),Matemáticas!$A:$H,7,FALSE)=AV221,1,0)</f>
        <v>#N/A</v>
      </c>
      <c r="EI221" s="138" t="e">
        <f>IF(VLOOKUP(CONCATENATE(H221,F221,EI$2),Matemáticas!$A:$H,7,FALSE)=AW221,1,0)</f>
        <v>#N/A</v>
      </c>
      <c r="EJ221" s="138" t="e">
        <f>IF(VLOOKUP(CONCATENATE(H221,F221,EJ$2),Matemáticas!$A:$H,7,FALSE)=AX221,1,0)</f>
        <v>#N/A</v>
      </c>
      <c r="EK221" s="138" t="e">
        <f>IF(VLOOKUP(CONCATENATE(H221,F221,EK$2),Matemáticas!$A:$H,7,FALSE)=AY221,1,0)</f>
        <v>#N/A</v>
      </c>
      <c r="EL221" s="138" t="e">
        <f>IF(VLOOKUP(CONCATENATE(H221,F221,EL$2),Matemáticas!$A:$H,7,FALSE)=AZ221,1,0)</f>
        <v>#N/A</v>
      </c>
      <c r="EM221" s="138" t="e">
        <f>IF(VLOOKUP(CONCATENATE(H221,F221,EM$2),Matemáticas!$A:$H,7,FALSE)=BA221,1,0)</f>
        <v>#N/A</v>
      </c>
      <c r="EN221" s="138" t="e">
        <f>IF(VLOOKUP(CONCATENATE(H221,F221,EN$2),Matemáticas!$A:$H,7,FALSE)=BB221,1,0)</f>
        <v>#N/A</v>
      </c>
      <c r="EO221" s="138" t="e">
        <f>IF(VLOOKUP(CONCATENATE(H221,F221,EO$2),Matemáticas!$A:$H,7,FALSE)=BC221,1,0)</f>
        <v>#N/A</v>
      </c>
      <c r="EP221" s="138" t="e">
        <f>IF(VLOOKUP(CONCATENATE(H221,F221,EP$2),Matemáticas!$A:$H,7,FALSE)=BD221,1,0)</f>
        <v>#N/A</v>
      </c>
      <c r="EQ221" s="138" t="e">
        <f>IF(VLOOKUP(CONCATENATE(H221,F221,EQ$2),Matemáticas!$A:$H,7,FALSE)=BE221,1,0)</f>
        <v>#N/A</v>
      </c>
      <c r="ER221" s="138" t="e">
        <f>IF(VLOOKUP(CONCATENATE(H221,F221,ER$2),Matemáticas!$A:$H,7,FALSE)=BF221,1,0)</f>
        <v>#N/A</v>
      </c>
      <c r="ES221" s="138" t="e">
        <f>IF(VLOOKUP(CONCATENATE(H221,F221,ES$2),Matemáticas!$A:$H,7,FALSE)=BG221,1,0)</f>
        <v>#N/A</v>
      </c>
      <c r="ET221" s="138" t="e">
        <f>IF(VLOOKUP(CONCATENATE(H221,F221,ET$2),Matemáticas!$A:$H,7,FALSE)=BH221,1,0)</f>
        <v>#N/A</v>
      </c>
      <c r="EU221" s="138" t="e">
        <f>IF(VLOOKUP(CONCATENATE(H221,F221,EU$2),Matemáticas!$A:$H,7,FALSE)=BI221,1,0)</f>
        <v>#N/A</v>
      </c>
      <c r="EV221" s="138" t="e">
        <f>IF(VLOOKUP(CONCATENATE(H221,F221,EV$2),Ciencias!$A:$H,7,FALSE)=BJ221,1,0)</f>
        <v>#N/A</v>
      </c>
      <c r="EW221" s="138" t="e">
        <f>IF(VLOOKUP(CONCATENATE(H221,F221,EW$2),Ciencias!$A:$H,7,FALSE)=BK221,1,0)</f>
        <v>#N/A</v>
      </c>
      <c r="EX221" s="138" t="e">
        <f>IF(VLOOKUP(CONCATENATE(H221,F221,EX$2),Ciencias!$A:$H,7,FALSE)=BL221,1,0)</f>
        <v>#N/A</v>
      </c>
      <c r="EY221" s="138" t="e">
        <f>IF(VLOOKUP(CONCATENATE(H221,F221,EY$2),Ciencias!$A:$H,7,FALSE)=BM221,1,0)</f>
        <v>#N/A</v>
      </c>
      <c r="EZ221" s="138" t="e">
        <f>IF(VLOOKUP(CONCATENATE(H221,F221,EZ$2),Ciencias!$A:$H,7,FALSE)=BN221,1,0)</f>
        <v>#N/A</v>
      </c>
      <c r="FA221" s="138" t="e">
        <f>IF(VLOOKUP(CONCATENATE(H221,F221,FA$2),Ciencias!$A:$H,7,FALSE)=BO221,1,0)</f>
        <v>#N/A</v>
      </c>
      <c r="FB221" s="138" t="e">
        <f>IF(VLOOKUP(CONCATENATE(H221,F221,FB$2),Ciencias!$A:$H,7,FALSE)=BP221,1,0)</f>
        <v>#N/A</v>
      </c>
      <c r="FC221" s="138" t="e">
        <f>IF(VLOOKUP(CONCATENATE(H221,F221,FC$2),Ciencias!$A:$H,7,FALSE)=BQ221,1,0)</f>
        <v>#N/A</v>
      </c>
      <c r="FD221" s="138" t="e">
        <f>IF(VLOOKUP(CONCATENATE(H221,F221,FD$2),Ciencias!$A:$H,7,FALSE)=BR221,1,0)</f>
        <v>#N/A</v>
      </c>
      <c r="FE221" s="138" t="e">
        <f>IF(VLOOKUP(CONCATENATE(H221,F221,FE$2),Ciencias!$A:$H,7,FALSE)=BS221,1,0)</f>
        <v>#N/A</v>
      </c>
      <c r="FF221" s="138" t="e">
        <f>IF(VLOOKUP(CONCATENATE(H221,F221,FF$2),Ciencias!$A:$H,7,FALSE)=BT221,1,0)</f>
        <v>#N/A</v>
      </c>
      <c r="FG221" s="138" t="e">
        <f>IF(VLOOKUP(CONCATENATE(H221,F221,FG$2),Ciencias!$A:$H,7,FALSE)=BU221,1,0)</f>
        <v>#N/A</v>
      </c>
      <c r="FH221" s="138" t="e">
        <f>IF(VLOOKUP(CONCATENATE(H221,F221,FH$2),Ciencias!$A:$H,7,FALSE)=BV221,1,0)</f>
        <v>#N/A</v>
      </c>
      <c r="FI221" s="138" t="e">
        <f>IF(VLOOKUP(CONCATENATE(H221,F221,FI$2),Ciencias!$A:$H,7,FALSE)=BW221,1,0)</f>
        <v>#N/A</v>
      </c>
      <c r="FJ221" s="138" t="e">
        <f>IF(VLOOKUP(CONCATENATE(H221,F221,FJ$2),Ciencias!$A:$H,7,FALSE)=BX221,1,0)</f>
        <v>#N/A</v>
      </c>
      <c r="FK221" s="138" t="e">
        <f>IF(VLOOKUP(CONCATENATE(H221,F221,FK$2),Ciencias!$A:$H,7,FALSE)=BY221,1,0)</f>
        <v>#N/A</v>
      </c>
      <c r="FL221" s="138" t="e">
        <f>IF(VLOOKUP(CONCATENATE(H221,F221,FL$2),Ciencias!$A:$H,7,FALSE)=BZ221,1,0)</f>
        <v>#N/A</v>
      </c>
      <c r="FM221" s="138" t="e">
        <f>IF(VLOOKUP(CONCATENATE(H221,F221,FM$2),Ciencias!$A:$H,7,FALSE)=CA221,1,0)</f>
        <v>#N/A</v>
      </c>
      <c r="FN221" s="138" t="e">
        <f>IF(VLOOKUP(CONCATENATE(H221,F221,FN$2),Ciencias!$A:$H,7,FALSE)=CB221,1,0)</f>
        <v>#N/A</v>
      </c>
      <c r="FO221" s="138" t="e">
        <f>IF(VLOOKUP(CONCATENATE(H221,F221,FO$2),Ciencias!$A:$H,7,FALSE)=CC221,1,0)</f>
        <v>#N/A</v>
      </c>
      <c r="FP221" s="138" t="e">
        <f>IF(VLOOKUP(CONCATENATE(H221,F221,FP$2),GeoHis!$A:$H,7,FALSE)=CD221,1,0)</f>
        <v>#N/A</v>
      </c>
      <c r="FQ221" s="138" t="e">
        <f>IF(VLOOKUP(CONCATENATE(H221,F221,FQ$2),GeoHis!$A:$H,7,FALSE)=CE221,1,0)</f>
        <v>#N/A</v>
      </c>
      <c r="FR221" s="138" t="e">
        <f>IF(VLOOKUP(CONCATENATE(H221,F221,FR$2),GeoHis!$A:$H,7,FALSE)=CF221,1,0)</f>
        <v>#N/A</v>
      </c>
      <c r="FS221" s="138" t="e">
        <f>IF(VLOOKUP(CONCATENATE(H221,F221,FS$2),GeoHis!$A:$H,7,FALSE)=CG221,1,0)</f>
        <v>#N/A</v>
      </c>
      <c r="FT221" s="138" t="e">
        <f>IF(VLOOKUP(CONCATENATE(H221,F221,FT$2),GeoHis!$A:$H,7,FALSE)=CH221,1,0)</f>
        <v>#N/A</v>
      </c>
      <c r="FU221" s="138" t="e">
        <f>IF(VLOOKUP(CONCATENATE(H221,F221,FU$2),GeoHis!$A:$H,7,FALSE)=CI221,1,0)</f>
        <v>#N/A</v>
      </c>
      <c r="FV221" s="138" t="e">
        <f>IF(VLOOKUP(CONCATENATE(H221,F221,FV$2),GeoHis!$A:$H,7,FALSE)=CJ221,1,0)</f>
        <v>#N/A</v>
      </c>
      <c r="FW221" s="138" t="e">
        <f>IF(VLOOKUP(CONCATENATE(H221,F221,FW$2),GeoHis!$A:$H,7,FALSE)=CK221,1,0)</f>
        <v>#N/A</v>
      </c>
      <c r="FX221" s="138" t="e">
        <f>IF(VLOOKUP(CONCATENATE(H221,F221,FX$2),GeoHis!$A:$H,7,FALSE)=CL221,1,0)</f>
        <v>#N/A</v>
      </c>
      <c r="FY221" s="138" t="e">
        <f>IF(VLOOKUP(CONCATENATE(H221,F221,FY$2),GeoHis!$A:$H,7,FALSE)=CM221,1,0)</f>
        <v>#N/A</v>
      </c>
      <c r="FZ221" s="138" t="e">
        <f>IF(VLOOKUP(CONCATENATE(H221,F221,FZ$2),GeoHis!$A:$H,7,FALSE)=CN221,1,0)</f>
        <v>#N/A</v>
      </c>
      <c r="GA221" s="138" t="e">
        <f>IF(VLOOKUP(CONCATENATE(H221,F221,GA$2),GeoHis!$A:$H,7,FALSE)=CO221,1,0)</f>
        <v>#N/A</v>
      </c>
      <c r="GB221" s="138" t="e">
        <f>IF(VLOOKUP(CONCATENATE(H221,F221,GB$2),GeoHis!$A:$H,7,FALSE)=CP221,1,0)</f>
        <v>#N/A</v>
      </c>
      <c r="GC221" s="138" t="e">
        <f>IF(VLOOKUP(CONCATENATE(H221,F221,GC$2),GeoHis!$A:$H,7,FALSE)=CQ221,1,0)</f>
        <v>#N/A</v>
      </c>
      <c r="GD221" s="138" t="e">
        <f>IF(VLOOKUP(CONCATENATE(H221,F221,GD$2),GeoHis!$A:$H,7,FALSE)=CR221,1,0)</f>
        <v>#N/A</v>
      </c>
      <c r="GE221" s="135" t="str">
        <f t="shared" si="31"/>
        <v/>
      </c>
    </row>
    <row r="222" spans="1:187" x14ac:dyDescent="0.25">
      <c r="A222" s="127" t="str">
        <f>IF(C222="","",'Datos Generales'!$A$25)</f>
        <v/>
      </c>
      <c r="D222" s="126" t="str">
        <f t="shared" si="24"/>
        <v/>
      </c>
      <c r="E222" s="126">
        <f t="shared" si="25"/>
        <v>0</v>
      </c>
      <c r="F222" s="126" t="str">
        <f t="shared" si="26"/>
        <v/>
      </c>
      <c r="G222" s="126" t="str">
        <f>IF(C222="","",'Datos Generales'!$D$19)</f>
        <v/>
      </c>
      <c r="H222" s="21" t="str">
        <f>IF(C222="","",'Datos Generales'!$A$19)</f>
        <v/>
      </c>
      <c r="I222" s="126" t="str">
        <f>IF(C222="","",'Datos Generales'!$A$7)</f>
        <v/>
      </c>
      <c r="J222" s="21" t="str">
        <f>IF(C222="","",'Datos Generales'!$A$13)</f>
        <v/>
      </c>
      <c r="K222" s="21" t="str">
        <f>IF(C222="","",'Datos Generales'!$A$10)</f>
        <v/>
      </c>
      <c r="CS222" s="142" t="str">
        <f t="shared" si="27"/>
        <v/>
      </c>
      <c r="CT222" s="142" t="str">
        <f t="shared" si="28"/>
        <v/>
      </c>
      <c r="CU222" s="142" t="str">
        <f t="shared" si="29"/>
        <v/>
      </c>
      <c r="CV222" s="142" t="str">
        <f t="shared" si="30"/>
        <v/>
      </c>
      <c r="CW222" s="142" t="str">
        <f>IF(C222="","",IF('Datos Generales'!$A$19=1,AVERAGE(FP222:GD222),AVERAGE(Captura!FP222:FY222)))</f>
        <v/>
      </c>
      <c r="CX222" s="138" t="e">
        <f>IF(VLOOKUP(CONCATENATE($H$4,$F$4,CX$2),Español!$A:$H,7,FALSE)=L222,1,0)</f>
        <v>#N/A</v>
      </c>
      <c r="CY222" s="138" t="e">
        <f>IF(VLOOKUP(CONCATENATE(H222,F222,CY$2),Español!$A:$H,7,FALSE)=M222,1,0)</f>
        <v>#N/A</v>
      </c>
      <c r="CZ222" s="138" t="e">
        <f>IF(VLOOKUP(CONCATENATE(H222,F222,CZ$2),Español!$A:$H,7,FALSE)=N222,1,0)</f>
        <v>#N/A</v>
      </c>
      <c r="DA222" s="138" t="e">
        <f>IF(VLOOKUP(CONCATENATE(H222,F222,DA$2),Español!$A:$H,7,FALSE)=O222,1,0)</f>
        <v>#N/A</v>
      </c>
      <c r="DB222" s="138" t="e">
        <f>IF(VLOOKUP(CONCATENATE(H222,F222,DB$2),Español!$A:$H,7,FALSE)=P222,1,0)</f>
        <v>#N/A</v>
      </c>
      <c r="DC222" s="138" t="e">
        <f>IF(VLOOKUP(CONCATENATE(H222,F222,DC$2),Español!$A:$H,7,FALSE)=Q222,1,0)</f>
        <v>#N/A</v>
      </c>
      <c r="DD222" s="138" t="e">
        <f>IF(VLOOKUP(CONCATENATE(H222,F222,DD$2),Español!$A:$H,7,FALSE)=R222,1,0)</f>
        <v>#N/A</v>
      </c>
      <c r="DE222" s="138" t="e">
        <f>IF(VLOOKUP(CONCATENATE(H222,F222,DE$2),Español!$A:$H,7,FALSE)=S222,1,0)</f>
        <v>#N/A</v>
      </c>
      <c r="DF222" s="138" t="e">
        <f>IF(VLOOKUP(CONCATENATE(H222,F222,DF$2),Español!$A:$H,7,FALSE)=T222,1,0)</f>
        <v>#N/A</v>
      </c>
      <c r="DG222" s="138" t="e">
        <f>IF(VLOOKUP(CONCATENATE(H222,F222,DG$2),Español!$A:$H,7,FALSE)=U222,1,0)</f>
        <v>#N/A</v>
      </c>
      <c r="DH222" s="138" t="e">
        <f>IF(VLOOKUP(CONCATENATE(H222,F222,DH$2),Español!$A:$H,7,FALSE)=V222,1,0)</f>
        <v>#N/A</v>
      </c>
      <c r="DI222" s="138" t="e">
        <f>IF(VLOOKUP(CONCATENATE(H222,F222,DI$2),Español!$A:$H,7,FALSE)=W222,1,0)</f>
        <v>#N/A</v>
      </c>
      <c r="DJ222" s="138" t="e">
        <f>IF(VLOOKUP(CONCATENATE(H222,F222,DJ$2),Español!$A:$H,7,FALSE)=X222,1,0)</f>
        <v>#N/A</v>
      </c>
      <c r="DK222" s="138" t="e">
        <f>IF(VLOOKUP(CONCATENATE(H222,F222,DK$2),Español!$A:$H,7,FALSE)=Y222,1,0)</f>
        <v>#N/A</v>
      </c>
      <c r="DL222" s="138" t="e">
        <f>IF(VLOOKUP(CONCATENATE(H222,F222,DL$2),Español!$A:$H,7,FALSE)=Z222,1,0)</f>
        <v>#N/A</v>
      </c>
      <c r="DM222" s="138" t="e">
        <f>IF(VLOOKUP(CONCATENATE(H222,F222,DM$2),Español!$A:$H,7,FALSE)=AA222,1,0)</f>
        <v>#N/A</v>
      </c>
      <c r="DN222" s="138" t="e">
        <f>IF(VLOOKUP(CONCATENATE(H222,F222,DN$2),Español!$A:$H,7,FALSE)=AB222,1,0)</f>
        <v>#N/A</v>
      </c>
      <c r="DO222" s="138" t="e">
        <f>IF(VLOOKUP(CONCATENATE(H222,F222,DO$2),Español!$A:$H,7,FALSE)=AC222,1,0)</f>
        <v>#N/A</v>
      </c>
      <c r="DP222" s="138" t="e">
        <f>IF(VLOOKUP(CONCATENATE(H222,F222,DP$2),Español!$A:$H,7,FALSE)=AD222,1,0)</f>
        <v>#N/A</v>
      </c>
      <c r="DQ222" s="138" t="e">
        <f>IF(VLOOKUP(CONCATENATE(H222,F222,DQ$2),Español!$A:$H,7,FALSE)=AE222,1,0)</f>
        <v>#N/A</v>
      </c>
      <c r="DR222" s="138" t="e">
        <f>IF(VLOOKUP(CONCATENATE(H222,F222,DR$2),Inglés!$A:$H,7,FALSE)=AF222,1,0)</f>
        <v>#N/A</v>
      </c>
      <c r="DS222" s="138" t="e">
        <f>IF(VLOOKUP(CONCATENATE(H222,F222,DS$2),Inglés!$A:$H,7,FALSE)=AG222,1,0)</f>
        <v>#N/A</v>
      </c>
      <c r="DT222" s="138" t="e">
        <f>IF(VLOOKUP(CONCATENATE(H222,F222,DT$2),Inglés!$A:$H,7,FALSE)=AH222,1,0)</f>
        <v>#N/A</v>
      </c>
      <c r="DU222" s="138" t="e">
        <f>IF(VLOOKUP(CONCATENATE(H222,F222,DU$2),Inglés!$A:$H,7,FALSE)=AI222,1,0)</f>
        <v>#N/A</v>
      </c>
      <c r="DV222" s="138" t="e">
        <f>IF(VLOOKUP(CONCATENATE(H222,F222,DV$2),Inglés!$A:$H,7,FALSE)=AJ222,1,0)</f>
        <v>#N/A</v>
      </c>
      <c r="DW222" s="138" t="e">
        <f>IF(VLOOKUP(CONCATENATE(H222,F222,DW$2),Inglés!$A:$H,7,FALSE)=AK222,1,0)</f>
        <v>#N/A</v>
      </c>
      <c r="DX222" s="138" t="e">
        <f>IF(VLOOKUP(CONCATENATE(H222,F222,DX$2),Inglés!$A:$H,7,FALSE)=AL222,1,0)</f>
        <v>#N/A</v>
      </c>
      <c r="DY222" s="138" t="e">
        <f>IF(VLOOKUP(CONCATENATE(H222,F222,DY$2),Inglés!$A:$H,7,FALSE)=AM222,1,0)</f>
        <v>#N/A</v>
      </c>
      <c r="DZ222" s="138" t="e">
        <f>IF(VLOOKUP(CONCATENATE(H222,F222,DZ$2),Inglés!$A:$H,7,FALSE)=AN222,1,0)</f>
        <v>#N/A</v>
      </c>
      <c r="EA222" s="138" t="e">
        <f>IF(VLOOKUP(CONCATENATE(H222,F222,EA$2),Inglés!$A:$H,7,FALSE)=AO222,1,0)</f>
        <v>#N/A</v>
      </c>
      <c r="EB222" s="138" t="e">
        <f>IF(VLOOKUP(CONCATENATE(H222,F222,EB$2),Matemáticas!$A:$H,7,FALSE)=AP222,1,0)</f>
        <v>#N/A</v>
      </c>
      <c r="EC222" s="138" t="e">
        <f>IF(VLOOKUP(CONCATENATE(H222,F222,EC$2),Matemáticas!$A:$H,7,FALSE)=AQ222,1,0)</f>
        <v>#N/A</v>
      </c>
      <c r="ED222" s="138" t="e">
        <f>IF(VLOOKUP(CONCATENATE(H222,F222,ED$2),Matemáticas!$A:$H,7,FALSE)=AR222,1,0)</f>
        <v>#N/A</v>
      </c>
      <c r="EE222" s="138" t="e">
        <f>IF(VLOOKUP(CONCATENATE(H222,F222,EE$2),Matemáticas!$A:$H,7,FALSE)=AS222,1,0)</f>
        <v>#N/A</v>
      </c>
      <c r="EF222" s="138" t="e">
        <f>IF(VLOOKUP(CONCATENATE(H222,F222,EF$2),Matemáticas!$A:$H,7,FALSE)=AT222,1,0)</f>
        <v>#N/A</v>
      </c>
      <c r="EG222" s="138" t="e">
        <f>IF(VLOOKUP(CONCATENATE(H222,F222,EG$2),Matemáticas!$A:$H,7,FALSE)=AU222,1,0)</f>
        <v>#N/A</v>
      </c>
      <c r="EH222" s="138" t="e">
        <f>IF(VLOOKUP(CONCATENATE(H222,F222,EH$2),Matemáticas!$A:$H,7,FALSE)=AV222,1,0)</f>
        <v>#N/A</v>
      </c>
      <c r="EI222" s="138" t="e">
        <f>IF(VLOOKUP(CONCATENATE(H222,F222,EI$2),Matemáticas!$A:$H,7,FALSE)=AW222,1,0)</f>
        <v>#N/A</v>
      </c>
      <c r="EJ222" s="138" t="e">
        <f>IF(VLOOKUP(CONCATENATE(H222,F222,EJ$2),Matemáticas!$A:$H,7,FALSE)=AX222,1,0)</f>
        <v>#N/A</v>
      </c>
      <c r="EK222" s="138" t="e">
        <f>IF(VLOOKUP(CONCATENATE(H222,F222,EK$2),Matemáticas!$A:$H,7,FALSE)=AY222,1,0)</f>
        <v>#N/A</v>
      </c>
      <c r="EL222" s="138" t="e">
        <f>IF(VLOOKUP(CONCATENATE(H222,F222,EL$2),Matemáticas!$A:$H,7,FALSE)=AZ222,1,0)</f>
        <v>#N/A</v>
      </c>
      <c r="EM222" s="138" t="e">
        <f>IF(VLOOKUP(CONCATENATE(H222,F222,EM$2),Matemáticas!$A:$H,7,FALSE)=BA222,1,0)</f>
        <v>#N/A</v>
      </c>
      <c r="EN222" s="138" t="e">
        <f>IF(VLOOKUP(CONCATENATE(H222,F222,EN$2),Matemáticas!$A:$H,7,FALSE)=BB222,1,0)</f>
        <v>#N/A</v>
      </c>
      <c r="EO222" s="138" t="e">
        <f>IF(VLOOKUP(CONCATENATE(H222,F222,EO$2),Matemáticas!$A:$H,7,FALSE)=BC222,1,0)</f>
        <v>#N/A</v>
      </c>
      <c r="EP222" s="138" t="e">
        <f>IF(VLOOKUP(CONCATENATE(H222,F222,EP$2),Matemáticas!$A:$H,7,FALSE)=BD222,1,0)</f>
        <v>#N/A</v>
      </c>
      <c r="EQ222" s="138" t="e">
        <f>IF(VLOOKUP(CONCATENATE(H222,F222,EQ$2),Matemáticas!$A:$H,7,FALSE)=BE222,1,0)</f>
        <v>#N/A</v>
      </c>
      <c r="ER222" s="138" t="e">
        <f>IF(VLOOKUP(CONCATENATE(H222,F222,ER$2),Matemáticas!$A:$H,7,FALSE)=BF222,1,0)</f>
        <v>#N/A</v>
      </c>
      <c r="ES222" s="138" t="e">
        <f>IF(VLOOKUP(CONCATENATE(H222,F222,ES$2),Matemáticas!$A:$H,7,FALSE)=BG222,1,0)</f>
        <v>#N/A</v>
      </c>
      <c r="ET222" s="138" t="e">
        <f>IF(VLOOKUP(CONCATENATE(H222,F222,ET$2),Matemáticas!$A:$H,7,FALSE)=BH222,1,0)</f>
        <v>#N/A</v>
      </c>
      <c r="EU222" s="138" t="e">
        <f>IF(VLOOKUP(CONCATENATE(H222,F222,EU$2),Matemáticas!$A:$H,7,FALSE)=BI222,1,0)</f>
        <v>#N/A</v>
      </c>
      <c r="EV222" s="138" t="e">
        <f>IF(VLOOKUP(CONCATENATE(H222,F222,EV$2),Ciencias!$A:$H,7,FALSE)=BJ222,1,0)</f>
        <v>#N/A</v>
      </c>
      <c r="EW222" s="138" t="e">
        <f>IF(VLOOKUP(CONCATENATE(H222,F222,EW$2),Ciencias!$A:$H,7,FALSE)=BK222,1,0)</f>
        <v>#N/A</v>
      </c>
      <c r="EX222" s="138" t="e">
        <f>IF(VLOOKUP(CONCATENATE(H222,F222,EX$2),Ciencias!$A:$H,7,FALSE)=BL222,1,0)</f>
        <v>#N/A</v>
      </c>
      <c r="EY222" s="138" t="e">
        <f>IF(VLOOKUP(CONCATENATE(H222,F222,EY$2),Ciencias!$A:$H,7,FALSE)=BM222,1,0)</f>
        <v>#N/A</v>
      </c>
      <c r="EZ222" s="138" t="e">
        <f>IF(VLOOKUP(CONCATENATE(H222,F222,EZ$2),Ciencias!$A:$H,7,FALSE)=BN222,1,0)</f>
        <v>#N/A</v>
      </c>
      <c r="FA222" s="138" t="e">
        <f>IF(VLOOKUP(CONCATENATE(H222,F222,FA$2),Ciencias!$A:$H,7,FALSE)=BO222,1,0)</f>
        <v>#N/A</v>
      </c>
      <c r="FB222" s="138" t="e">
        <f>IF(VLOOKUP(CONCATENATE(H222,F222,FB$2),Ciencias!$A:$H,7,FALSE)=BP222,1,0)</f>
        <v>#N/A</v>
      </c>
      <c r="FC222" s="138" t="e">
        <f>IF(VLOOKUP(CONCATENATE(H222,F222,FC$2),Ciencias!$A:$H,7,FALSE)=BQ222,1,0)</f>
        <v>#N/A</v>
      </c>
      <c r="FD222" s="138" t="e">
        <f>IF(VLOOKUP(CONCATENATE(H222,F222,FD$2),Ciencias!$A:$H,7,FALSE)=BR222,1,0)</f>
        <v>#N/A</v>
      </c>
      <c r="FE222" s="138" t="e">
        <f>IF(VLOOKUP(CONCATENATE(H222,F222,FE$2),Ciencias!$A:$H,7,FALSE)=BS222,1,0)</f>
        <v>#N/A</v>
      </c>
      <c r="FF222" s="138" t="e">
        <f>IF(VLOOKUP(CONCATENATE(H222,F222,FF$2),Ciencias!$A:$H,7,FALSE)=BT222,1,0)</f>
        <v>#N/A</v>
      </c>
      <c r="FG222" s="138" t="e">
        <f>IF(VLOOKUP(CONCATENATE(H222,F222,FG$2),Ciencias!$A:$H,7,FALSE)=BU222,1,0)</f>
        <v>#N/A</v>
      </c>
      <c r="FH222" s="138" t="e">
        <f>IF(VLOOKUP(CONCATENATE(H222,F222,FH$2),Ciencias!$A:$H,7,FALSE)=BV222,1,0)</f>
        <v>#N/A</v>
      </c>
      <c r="FI222" s="138" t="e">
        <f>IF(VLOOKUP(CONCATENATE(H222,F222,FI$2),Ciencias!$A:$H,7,FALSE)=BW222,1,0)</f>
        <v>#N/A</v>
      </c>
      <c r="FJ222" s="138" t="e">
        <f>IF(VLOOKUP(CONCATENATE(H222,F222,FJ$2),Ciencias!$A:$H,7,FALSE)=BX222,1,0)</f>
        <v>#N/A</v>
      </c>
      <c r="FK222" s="138" t="e">
        <f>IF(VLOOKUP(CONCATENATE(H222,F222,FK$2),Ciencias!$A:$H,7,FALSE)=BY222,1,0)</f>
        <v>#N/A</v>
      </c>
      <c r="FL222" s="138" t="e">
        <f>IF(VLOOKUP(CONCATENATE(H222,F222,FL$2),Ciencias!$A:$H,7,FALSE)=BZ222,1,0)</f>
        <v>#N/A</v>
      </c>
      <c r="FM222" s="138" t="e">
        <f>IF(VLOOKUP(CONCATENATE(H222,F222,FM$2),Ciencias!$A:$H,7,FALSE)=CA222,1,0)</f>
        <v>#N/A</v>
      </c>
      <c r="FN222" s="138" t="e">
        <f>IF(VLOOKUP(CONCATENATE(H222,F222,FN$2),Ciencias!$A:$H,7,FALSE)=CB222,1,0)</f>
        <v>#N/A</v>
      </c>
      <c r="FO222" s="138" t="e">
        <f>IF(VLOOKUP(CONCATENATE(H222,F222,FO$2),Ciencias!$A:$H,7,FALSE)=CC222,1,0)</f>
        <v>#N/A</v>
      </c>
      <c r="FP222" s="138" t="e">
        <f>IF(VLOOKUP(CONCATENATE(H222,F222,FP$2),GeoHis!$A:$H,7,FALSE)=CD222,1,0)</f>
        <v>#N/A</v>
      </c>
      <c r="FQ222" s="138" t="e">
        <f>IF(VLOOKUP(CONCATENATE(H222,F222,FQ$2),GeoHis!$A:$H,7,FALSE)=CE222,1,0)</f>
        <v>#N/A</v>
      </c>
      <c r="FR222" s="138" t="e">
        <f>IF(VLOOKUP(CONCATENATE(H222,F222,FR$2),GeoHis!$A:$H,7,FALSE)=CF222,1,0)</f>
        <v>#N/A</v>
      </c>
      <c r="FS222" s="138" t="e">
        <f>IF(VLOOKUP(CONCATENATE(H222,F222,FS$2),GeoHis!$A:$H,7,FALSE)=CG222,1,0)</f>
        <v>#N/A</v>
      </c>
      <c r="FT222" s="138" t="e">
        <f>IF(VLOOKUP(CONCATENATE(H222,F222,FT$2),GeoHis!$A:$H,7,FALSE)=CH222,1,0)</f>
        <v>#N/A</v>
      </c>
      <c r="FU222" s="138" t="e">
        <f>IF(VLOOKUP(CONCATENATE(H222,F222,FU$2),GeoHis!$A:$H,7,FALSE)=CI222,1,0)</f>
        <v>#N/A</v>
      </c>
      <c r="FV222" s="138" t="e">
        <f>IF(VLOOKUP(CONCATENATE(H222,F222,FV$2),GeoHis!$A:$H,7,FALSE)=CJ222,1,0)</f>
        <v>#N/A</v>
      </c>
      <c r="FW222" s="138" t="e">
        <f>IF(VLOOKUP(CONCATENATE(H222,F222,FW$2),GeoHis!$A:$H,7,FALSE)=CK222,1,0)</f>
        <v>#N/A</v>
      </c>
      <c r="FX222" s="138" t="e">
        <f>IF(VLOOKUP(CONCATENATE(H222,F222,FX$2),GeoHis!$A:$H,7,FALSE)=CL222,1,0)</f>
        <v>#N/A</v>
      </c>
      <c r="FY222" s="138" t="e">
        <f>IF(VLOOKUP(CONCATENATE(H222,F222,FY$2),GeoHis!$A:$H,7,FALSE)=CM222,1,0)</f>
        <v>#N/A</v>
      </c>
      <c r="FZ222" s="138" t="e">
        <f>IF(VLOOKUP(CONCATENATE(H222,F222,FZ$2),GeoHis!$A:$H,7,FALSE)=CN222,1,0)</f>
        <v>#N/A</v>
      </c>
      <c r="GA222" s="138" t="e">
        <f>IF(VLOOKUP(CONCATENATE(H222,F222,GA$2),GeoHis!$A:$H,7,FALSE)=CO222,1,0)</f>
        <v>#N/A</v>
      </c>
      <c r="GB222" s="138" t="e">
        <f>IF(VLOOKUP(CONCATENATE(H222,F222,GB$2),GeoHis!$A:$H,7,FALSE)=CP222,1,0)</f>
        <v>#N/A</v>
      </c>
      <c r="GC222" s="138" t="e">
        <f>IF(VLOOKUP(CONCATENATE(H222,F222,GC$2),GeoHis!$A:$H,7,FALSE)=CQ222,1,0)</f>
        <v>#N/A</v>
      </c>
      <c r="GD222" s="138" t="e">
        <f>IF(VLOOKUP(CONCATENATE(H222,F222,GD$2),GeoHis!$A:$H,7,FALSE)=CR222,1,0)</f>
        <v>#N/A</v>
      </c>
      <c r="GE222" s="135" t="str">
        <f t="shared" si="31"/>
        <v/>
      </c>
    </row>
    <row r="223" spans="1:187" x14ac:dyDescent="0.25">
      <c r="A223" s="127" t="str">
        <f>IF(C223="","",'Datos Generales'!$A$25)</f>
        <v/>
      </c>
      <c r="D223" s="126" t="str">
        <f t="shared" si="24"/>
        <v/>
      </c>
      <c r="E223" s="126">
        <f t="shared" si="25"/>
        <v>0</v>
      </c>
      <c r="F223" s="126" t="str">
        <f t="shared" si="26"/>
        <v/>
      </c>
      <c r="G223" s="126" t="str">
        <f>IF(C223="","",'Datos Generales'!$D$19)</f>
        <v/>
      </c>
      <c r="H223" s="21" t="str">
        <f>IF(C223="","",'Datos Generales'!$A$19)</f>
        <v/>
      </c>
      <c r="I223" s="126" t="str">
        <f>IF(C223="","",'Datos Generales'!$A$7)</f>
        <v/>
      </c>
      <c r="J223" s="21" t="str">
        <f>IF(C223="","",'Datos Generales'!$A$13)</f>
        <v/>
      </c>
      <c r="K223" s="21" t="str">
        <f>IF(C223="","",'Datos Generales'!$A$10)</f>
        <v/>
      </c>
      <c r="CS223" s="142" t="str">
        <f t="shared" si="27"/>
        <v/>
      </c>
      <c r="CT223" s="142" t="str">
        <f t="shared" si="28"/>
        <v/>
      </c>
      <c r="CU223" s="142" t="str">
        <f t="shared" si="29"/>
        <v/>
      </c>
      <c r="CV223" s="142" t="str">
        <f t="shared" si="30"/>
        <v/>
      </c>
      <c r="CW223" s="142" t="str">
        <f>IF(C223="","",IF('Datos Generales'!$A$19=1,AVERAGE(FP223:GD223),AVERAGE(Captura!FP223:FY223)))</f>
        <v/>
      </c>
      <c r="CX223" s="138" t="e">
        <f>IF(VLOOKUP(CONCATENATE($H$4,$F$4,CX$2),Español!$A:$H,7,FALSE)=L223,1,0)</f>
        <v>#N/A</v>
      </c>
      <c r="CY223" s="138" t="e">
        <f>IF(VLOOKUP(CONCATENATE(H223,F223,CY$2),Español!$A:$H,7,FALSE)=M223,1,0)</f>
        <v>#N/A</v>
      </c>
      <c r="CZ223" s="138" t="e">
        <f>IF(VLOOKUP(CONCATENATE(H223,F223,CZ$2),Español!$A:$H,7,FALSE)=N223,1,0)</f>
        <v>#N/A</v>
      </c>
      <c r="DA223" s="138" t="e">
        <f>IF(VLOOKUP(CONCATENATE(H223,F223,DA$2),Español!$A:$H,7,FALSE)=O223,1,0)</f>
        <v>#N/A</v>
      </c>
      <c r="DB223" s="138" t="e">
        <f>IF(VLOOKUP(CONCATENATE(H223,F223,DB$2),Español!$A:$H,7,FALSE)=P223,1,0)</f>
        <v>#N/A</v>
      </c>
      <c r="DC223" s="138" t="e">
        <f>IF(VLOOKUP(CONCATENATE(H223,F223,DC$2),Español!$A:$H,7,FALSE)=Q223,1,0)</f>
        <v>#N/A</v>
      </c>
      <c r="DD223" s="138" t="e">
        <f>IF(VLOOKUP(CONCATENATE(H223,F223,DD$2),Español!$A:$H,7,FALSE)=R223,1,0)</f>
        <v>#N/A</v>
      </c>
      <c r="DE223" s="138" t="e">
        <f>IF(VLOOKUP(CONCATENATE(H223,F223,DE$2),Español!$A:$H,7,FALSE)=S223,1,0)</f>
        <v>#N/A</v>
      </c>
      <c r="DF223" s="138" t="e">
        <f>IF(VLOOKUP(CONCATENATE(H223,F223,DF$2),Español!$A:$H,7,FALSE)=T223,1,0)</f>
        <v>#N/A</v>
      </c>
      <c r="DG223" s="138" t="e">
        <f>IF(VLOOKUP(CONCATENATE(H223,F223,DG$2),Español!$A:$H,7,FALSE)=U223,1,0)</f>
        <v>#N/A</v>
      </c>
      <c r="DH223" s="138" t="e">
        <f>IF(VLOOKUP(CONCATENATE(H223,F223,DH$2),Español!$A:$H,7,FALSE)=V223,1,0)</f>
        <v>#N/A</v>
      </c>
      <c r="DI223" s="138" t="e">
        <f>IF(VLOOKUP(CONCATENATE(H223,F223,DI$2),Español!$A:$H,7,FALSE)=W223,1,0)</f>
        <v>#N/A</v>
      </c>
      <c r="DJ223" s="138" t="e">
        <f>IF(VLOOKUP(CONCATENATE(H223,F223,DJ$2),Español!$A:$H,7,FALSE)=X223,1,0)</f>
        <v>#N/A</v>
      </c>
      <c r="DK223" s="138" t="e">
        <f>IF(VLOOKUP(CONCATENATE(H223,F223,DK$2),Español!$A:$H,7,FALSE)=Y223,1,0)</f>
        <v>#N/A</v>
      </c>
      <c r="DL223" s="138" t="e">
        <f>IF(VLOOKUP(CONCATENATE(H223,F223,DL$2),Español!$A:$H,7,FALSE)=Z223,1,0)</f>
        <v>#N/A</v>
      </c>
      <c r="DM223" s="138" t="e">
        <f>IF(VLOOKUP(CONCATENATE(H223,F223,DM$2),Español!$A:$H,7,FALSE)=AA223,1,0)</f>
        <v>#N/A</v>
      </c>
      <c r="DN223" s="138" t="e">
        <f>IF(VLOOKUP(CONCATENATE(H223,F223,DN$2),Español!$A:$H,7,FALSE)=AB223,1,0)</f>
        <v>#N/A</v>
      </c>
      <c r="DO223" s="138" t="e">
        <f>IF(VLOOKUP(CONCATENATE(H223,F223,DO$2),Español!$A:$H,7,FALSE)=AC223,1,0)</f>
        <v>#N/A</v>
      </c>
      <c r="DP223" s="138" t="e">
        <f>IF(VLOOKUP(CONCATENATE(H223,F223,DP$2),Español!$A:$H,7,FALSE)=AD223,1,0)</f>
        <v>#N/A</v>
      </c>
      <c r="DQ223" s="138" t="e">
        <f>IF(VLOOKUP(CONCATENATE(H223,F223,DQ$2),Español!$A:$H,7,FALSE)=AE223,1,0)</f>
        <v>#N/A</v>
      </c>
      <c r="DR223" s="138" t="e">
        <f>IF(VLOOKUP(CONCATENATE(H223,F223,DR$2),Inglés!$A:$H,7,FALSE)=AF223,1,0)</f>
        <v>#N/A</v>
      </c>
      <c r="DS223" s="138" t="e">
        <f>IF(VLOOKUP(CONCATENATE(H223,F223,DS$2),Inglés!$A:$H,7,FALSE)=AG223,1,0)</f>
        <v>#N/A</v>
      </c>
      <c r="DT223" s="138" t="e">
        <f>IF(VLOOKUP(CONCATENATE(H223,F223,DT$2),Inglés!$A:$H,7,FALSE)=AH223,1,0)</f>
        <v>#N/A</v>
      </c>
      <c r="DU223" s="138" t="e">
        <f>IF(VLOOKUP(CONCATENATE(H223,F223,DU$2),Inglés!$A:$H,7,FALSE)=AI223,1,0)</f>
        <v>#N/A</v>
      </c>
      <c r="DV223" s="138" t="e">
        <f>IF(VLOOKUP(CONCATENATE(H223,F223,DV$2),Inglés!$A:$H,7,FALSE)=AJ223,1,0)</f>
        <v>#N/A</v>
      </c>
      <c r="DW223" s="138" t="e">
        <f>IF(VLOOKUP(CONCATENATE(H223,F223,DW$2),Inglés!$A:$H,7,FALSE)=AK223,1,0)</f>
        <v>#N/A</v>
      </c>
      <c r="DX223" s="138" t="e">
        <f>IF(VLOOKUP(CONCATENATE(H223,F223,DX$2),Inglés!$A:$H,7,FALSE)=AL223,1,0)</f>
        <v>#N/A</v>
      </c>
      <c r="DY223" s="138" t="e">
        <f>IF(VLOOKUP(CONCATENATE(H223,F223,DY$2),Inglés!$A:$H,7,FALSE)=AM223,1,0)</f>
        <v>#N/A</v>
      </c>
      <c r="DZ223" s="138" t="e">
        <f>IF(VLOOKUP(CONCATENATE(H223,F223,DZ$2),Inglés!$A:$H,7,FALSE)=AN223,1,0)</f>
        <v>#N/A</v>
      </c>
      <c r="EA223" s="138" t="e">
        <f>IF(VLOOKUP(CONCATENATE(H223,F223,EA$2),Inglés!$A:$H,7,FALSE)=AO223,1,0)</f>
        <v>#N/A</v>
      </c>
      <c r="EB223" s="138" t="e">
        <f>IF(VLOOKUP(CONCATENATE(H223,F223,EB$2),Matemáticas!$A:$H,7,FALSE)=AP223,1,0)</f>
        <v>#N/A</v>
      </c>
      <c r="EC223" s="138" t="e">
        <f>IF(VLOOKUP(CONCATENATE(H223,F223,EC$2),Matemáticas!$A:$H,7,FALSE)=AQ223,1,0)</f>
        <v>#N/A</v>
      </c>
      <c r="ED223" s="138" t="e">
        <f>IF(VLOOKUP(CONCATENATE(H223,F223,ED$2),Matemáticas!$A:$H,7,FALSE)=AR223,1,0)</f>
        <v>#N/A</v>
      </c>
      <c r="EE223" s="138" t="e">
        <f>IF(VLOOKUP(CONCATENATE(H223,F223,EE$2),Matemáticas!$A:$H,7,FALSE)=AS223,1,0)</f>
        <v>#N/A</v>
      </c>
      <c r="EF223" s="138" t="e">
        <f>IF(VLOOKUP(CONCATENATE(H223,F223,EF$2),Matemáticas!$A:$H,7,FALSE)=AT223,1,0)</f>
        <v>#N/A</v>
      </c>
      <c r="EG223" s="138" t="e">
        <f>IF(VLOOKUP(CONCATENATE(H223,F223,EG$2),Matemáticas!$A:$H,7,FALSE)=AU223,1,0)</f>
        <v>#N/A</v>
      </c>
      <c r="EH223" s="138" t="e">
        <f>IF(VLOOKUP(CONCATENATE(H223,F223,EH$2),Matemáticas!$A:$H,7,FALSE)=AV223,1,0)</f>
        <v>#N/A</v>
      </c>
      <c r="EI223" s="138" t="e">
        <f>IF(VLOOKUP(CONCATENATE(H223,F223,EI$2),Matemáticas!$A:$H,7,FALSE)=AW223,1,0)</f>
        <v>#N/A</v>
      </c>
      <c r="EJ223" s="138" t="e">
        <f>IF(VLOOKUP(CONCATENATE(H223,F223,EJ$2),Matemáticas!$A:$H,7,FALSE)=AX223,1,0)</f>
        <v>#N/A</v>
      </c>
      <c r="EK223" s="138" t="e">
        <f>IF(VLOOKUP(CONCATENATE(H223,F223,EK$2),Matemáticas!$A:$H,7,FALSE)=AY223,1,0)</f>
        <v>#N/A</v>
      </c>
      <c r="EL223" s="138" t="e">
        <f>IF(VLOOKUP(CONCATENATE(H223,F223,EL$2),Matemáticas!$A:$H,7,FALSE)=AZ223,1,0)</f>
        <v>#N/A</v>
      </c>
      <c r="EM223" s="138" t="e">
        <f>IF(VLOOKUP(CONCATENATE(H223,F223,EM$2),Matemáticas!$A:$H,7,FALSE)=BA223,1,0)</f>
        <v>#N/A</v>
      </c>
      <c r="EN223" s="138" t="e">
        <f>IF(VLOOKUP(CONCATENATE(H223,F223,EN$2),Matemáticas!$A:$H,7,FALSE)=BB223,1,0)</f>
        <v>#N/A</v>
      </c>
      <c r="EO223" s="138" t="e">
        <f>IF(VLOOKUP(CONCATENATE(H223,F223,EO$2),Matemáticas!$A:$H,7,FALSE)=BC223,1,0)</f>
        <v>#N/A</v>
      </c>
      <c r="EP223" s="138" t="e">
        <f>IF(VLOOKUP(CONCATENATE(H223,F223,EP$2),Matemáticas!$A:$H,7,FALSE)=BD223,1,0)</f>
        <v>#N/A</v>
      </c>
      <c r="EQ223" s="138" t="e">
        <f>IF(VLOOKUP(CONCATENATE(H223,F223,EQ$2),Matemáticas!$A:$H,7,FALSE)=BE223,1,0)</f>
        <v>#N/A</v>
      </c>
      <c r="ER223" s="138" t="e">
        <f>IF(VLOOKUP(CONCATENATE(H223,F223,ER$2),Matemáticas!$A:$H,7,FALSE)=BF223,1,0)</f>
        <v>#N/A</v>
      </c>
      <c r="ES223" s="138" t="e">
        <f>IF(VLOOKUP(CONCATENATE(H223,F223,ES$2),Matemáticas!$A:$H,7,FALSE)=BG223,1,0)</f>
        <v>#N/A</v>
      </c>
      <c r="ET223" s="138" t="e">
        <f>IF(VLOOKUP(CONCATENATE(H223,F223,ET$2),Matemáticas!$A:$H,7,FALSE)=BH223,1,0)</f>
        <v>#N/A</v>
      </c>
      <c r="EU223" s="138" t="e">
        <f>IF(VLOOKUP(CONCATENATE(H223,F223,EU$2),Matemáticas!$A:$H,7,FALSE)=BI223,1,0)</f>
        <v>#N/A</v>
      </c>
      <c r="EV223" s="138" t="e">
        <f>IF(VLOOKUP(CONCATENATE(H223,F223,EV$2),Ciencias!$A:$H,7,FALSE)=BJ223,1,0)</f>
        <v>#N/A</v>
      </c>
      <c r="EW223" s="138" t="e">
        <f>IF(VLOOKUP(CONCATENATE(H223,F223,EW$2),Ciencias!$A:$H,7,FALSE)=BK223,1,0)</f>
        <v>#N/A</v>
      </c>
      <c r="EX223" s="138" t="e">
        <f>IF(VLOOKUP(CONCATENATE(H223,F223,EX$2),Ciencias!$A:$H,7,FALSE)=BL223,1,0)</f>
        <v>#N/A</v>
      </c>
      <c r="EY223" s="138" t="e">
        <f>IF(VLOOKUP(CONCATENATE(H223,F223,EY$2),Ciencias!$A:$H,7,FALSE)=BM223,1,0)</f>
        <v>#N/A</v>
      </c>
      <c r="EZ223" s="138" t="e">
        <f>IF(VLOOKUP(CONCATENATE(H223,F223,EZ$2),Ciencias!$A:$H,7,FALSE)=BN223,1,0)</f>
        <v>#N/A</v>
      </c>
      <c r="FA223" s="138" t="e">
        <f>IF(VLOOKUP(CONCATENATE(H223,F223,FA$2),Ciencias!$A:$H,7,FALSE)=BO223,1,0)</f>
        <v>#N/A</v>
      </c>
      <c r="FB223" s="138" t="e">
        <f>IF(VLOOKUP(CONCATENATE(H223,F223,FB$2),Ciencias!$A:$H,7,FALSE)=BP223,1,0)</f>
        <v>#N/A</v>
      </c>
      <c r="FC223" s="138" t="e">
        <f>IF(VLOOKUP(CONCATENATE(H223,F223,FC$2),Ciencias!$A:$H,7,FALSE)=BQ223,1,0)</f>
        <v>#N/A</v>
      </c>
      <c r="FD223" s="138" t="e">
        <f>IF(VLOOKUP(CONCATENATE(H223,F223,FD$2),Ciencias!$A:$H,7,FALSE)=BR223,1,0)</f>
        <v>#N/A</v>
      </c>
      <c r="FE223" s="138" t="e">
        <f>IF(VLOOKUP(CONCATENATE(H223,F223,FE$2),Ciencias!$A:$H,7,FALSE)=BS223,1,0)</f>
        <v>#N/A</v>
      </c>
      <c r="FF223" s="138" t="e">
        <f>IF(VLOOKUP(CONCATENATE(H223,F223,FF$2),Ciencias!$A:$H,7,FALSE)=BT223,1,0)</f>
        <v>#N/A</v>
      </c>
      <c r="FG223" s="138" t="e">
        <f>IF(VLOOKUP(CONCATENATE(H223,F223,FG$2),Ciencias!$A:$H,7,FALSE)=BU223,1,0)</f>
        <v>#N/A</v>
      </c>
      <c r="FH223" s="138" t="e">
        <f>IF(VLOOKUP(CONCATENATE(H223,F223,FH$2),Ciencias!$A:$H,7,FALSE)=BV223,1,0)</f>
        <v>#N/A</v>
      </c>
      <c r="FI223" s="138" t="e">
        <f>IF(VLOOKUP(CONCATENATE(H223,F223,FI$2),Ciencias!$A:$H,7,FALSE)=BW223,1,0)</f>
        <v>#N/A</v>
      </c>
      <c r="FJ223" s="138" t="e">
        <f>IF(VLOOKUP(CONCATENATE(H223,F223,FJ$2),Ciencias!$A:$H,7,FALSE)=BX223,1,0)</f>
        <v>#N/A</v>
      </c>
      <c r="FK223" s="138" t="e">
        <f>IF(VLOOKUP(CONCATENATE(H223,F223,FK$2),Ciencias!$A:$H,7,FALSE)=BY223,1,0)</f>
        <v>#N/A</v>
      </c>
      <c r="FL223" s="138" t="e">
        <f>IF(VLOOKUP(CONCATENATE(H223,F223,FL$2),Ciencias!$A:$H,7,FALSE)=BZ223,1,0)</f>
        <v>#N/A</v>
      </c>
      <c r="FM223" s="138" t="e">
        <f>IF(VLOOKUP(CONCATENATE(H223,F223,FM$2),Ciencias!$A:$H,7,FALSE)=CA223,1,0)</f>
        <v>#N/A</v>
      </c>
      <c r="FN223" s="138" t="e">
        <f>IF(VLOOKUP(CONCATENATE(H223,F223,FN$2),Ciencias!$A:$H,7,FALSE)=CB223,1,0)</f>
        <v>#N/A</v>
      </c>
      <c r="FO223" s="138" t="e">
        <f>IF(VLOOKUP(CONCATENATE(H223,F223,FO$2),Ciencias!$A:$H,7,FALSE)=CC223,1,0)</f>
        <v>#N/A</v>
      </c>
      <c r="FP223" s="138" t="e">
        <f>IF(VLOOKUP(CONCATENATE(H223,F223,FP$2),GeoHis!$A:$H,7,FALSE)=CD223,1,0)</f>
        <v>#N/A</v>
      </c>
      <c r="FQ223" s="138" t="e">
        <f>IF(VLOOKUP(CONCATENATE(H223,F223,FQ$2),GeoHis!$A:$H,7,FALSE)=CE223,1,0)</f>
        <v>#N/A</v>
      </c>
      <c r="FR223" s="138" t="e">
        <f>IF(VLOOKUP(CONCATENATE(H223,F223,FR$2),GeoHis!$A:$H,7,FALSE)=CF223,1,0)</f>
        <v>#N/A</v>
      </c>
      <c r="FS223" s="138" t="e">
        <f>IF(VLOOKUP(CONCATENATE(H223,F223,FS$2),GeoHis!$A:$H,7,FALSE)=CG223,1,0)</f>
        <v>#N/A</v>
      </c>
      <c r="FT223" s="138" t="e">
        <f>IF(VLOOKUP(CONCATENATE(H223,F223,FT$2),GeoHis!$A:$H,7,FALSE)=CH223,1,0)</f>
        <v>#N/A</v>
      </c>
      <c r="FU223" s="138" t="e">
        <f>IF(VLOOKUP(CONCATENATE(H223,F223,FU$2),GeoHis!$A:$H,7,FALSE)=CI223,1,0)</f>
        <v>#N/A</v>
      </c>
      <c r="FV223" s="138" t="e">
        <f>IF(VLOOKUP(CONCATENATE(H223,F223,FV$2),GeoHis!$A:$H,7,FALSE)=CJ223,1,0)</f>
        <v>#N/A</v>
      </c>
      <c r="FW223" s="138" t="e">
        <f>IF(VLOOKUP(CONCATENATE(H223,F223,FW$2),GeoHis!$A:$H,7,FALSE)=CK223,1,0)</f>
        <v>#N/A</v>
      </c>
      <c r="FX223" s="138" t="e">
        <f>IF(VLOOKUP(CONCATENATE(H223,F223,FX$2),GeoHis!$A:$H,7,FALSE)=CL223,1,0)</f>
        <v>#N/A</v>
      </c>
      <c r="FY223" s="138" t="e">
        <f>IF(VLOOKUP(CONCATENATE(H223,F223,FY$2),GeoHis!$A:$H,7,FALSE)=CM223,1,0)</f>
        <v>#N/A</v>
      </c>
      <c r="FZ223" s="138" t="e">
        <f>IF(VLOOKUP(CONCATENATE(H223,F223,FZ$2),GeoHis!$A:$H,7,FALSE)=CN223,1,0)</f>
        <v>#N/A</v>
      </c>
      <c r="GA223" s="138" t="e">
        <f>IF(VLOOKUP(CONCATENATE(H223,F223,GA$2),GeoHis!$A:$H,7,FALSE)=CO223,1,0)</f>
        <v>#N/A</v>
      </c>
      <c r="GB223" s="138" t="e">
        <f>IF(VLOOKUP(CONCATENATE(H223,F223,GB$2),GeoHis!$A:$H,7,FALSE)=CP223,1,0)</f>
        <v>#N/A</v>
      </c>
      <c r="GC223" s="138" t="e">
        <f>IF(VLOOKUP(CONCATENATE(H223,F223,GC$2),GeoHis!$A:$H,7,FALSE)=CQ223,1,0)</f>
        <v>#N/A</v>
      </c>
      <c r="GD223" s="138" t="e">
        <f>IF(VLOOKUP(CONCATENATE(H223,F223,GD$2),GeoHis!$A:$H,7,FALSE)=CR223,1,0)</f>
        <v>#N/A</v>
      </c>
      <c r="GE223" s="135" t="str">
        <f t="shared" si="31"/>
        <v/>
      </c>
    </row>
    <row r="224" spans="1:187" x14ac:dyDescent="0.25">
      <c r="A224" s="127" t="str">
        <f>IF(C224="","",'Datos Generales'!$A$25)</f>
        <v/>
      </c>
      <c r="D224" s="126" t="str">
        <f t="shared" si="24"/>
        <v/>
      </c>
      <c r="E224" s="126">
        <f t="shared" si="25"/>
        <v>0</v>
      </c>
      <c r="F224" s="126" t="str">
        <f t="shared" si="26"/>
        <v/>
      </c>
      <c r="G224" s="126" t="str">
        <f>IF(C224="","",'Datos Generales'!$D$19)</f>
        <v/>
      </c>
      <c r="H224" s="21" t="str">
        <f>IF(C224="","",'Datos Generales'!$A$19)</f>
        <v/>
      </c>
      <c r="I224" s="126" t="str">
        <f>IF(C224="","",'Datos Generales'!$A$7)</f>
        <v/>
      </c>
      <c r="J224" s="21" t="str">
        <f>IF(C224="","",'Datos Generales'!$A$13)</f>
        <v/>
      </c>
      <c r="K224" s="21" t="str">
        <f>IF(C224="","",'Datos Generales'!$A$10)</f>
        <v/>
      </c>
      <c r="CS224" s="142" t="str">
        <f t="shared" si="27"/>
        <v/>
      </c>
      <c r="CT224" s="142" t="str">
        <f t="shared" si="28"/>
        <v/>
      </c>
      <c r="CU224" s="142" t="str">
        <f t="shared" si="29"/>
        <v/>
      </c>
      <c r="CV224" s="142" t="str">
        <f t="shared" si="30"/>
        <v/>
      </c>
      <c r="CW224" s="142" t="str">
        <f>IF(C224="","",IF('Datos Generales'!$A$19=1,AVERAGE(FP224:GD224),AVERAGE(Captura!FP224:FY224)))</f>
        <v/>
      </c>
      <c r="CX224" s="138" t="e">
        <f>IF(VLOOKUP(CONCATENATE($H$4,$F$4,CX$2),Español!$A:$H,7,FALSE)=L224,1,0)</f>
        <v>#N/A</v>
      </c>
      <c r="CY224" s="138" t="e">
        <f>IF(VLOOKUP(CONCATENATE(H224,F224,CY$2),Español!$A:$H,7,FALSE)=M224,1,0)</f>
        <v>#N/A</v>
      </c>
      <c r="CZ224" s="138" t="e">
        <f>IF(VLOOKUP(CONCATENATE(H224,F224,CZ$2),Español!$A:$H,7,FALSE)=N224,1,0)</f>
        <v>#N/A</v>
      </c>
      <c r="DA224" s="138" t="e">
        <f>IF(VLOOKUP(CONCATENATE(H224,F224,DA$2),Español!$A:$H,7,FALSE)=O224,1,0)</f>
        <v>#N/A</v>
      </c>
      <c r="DB224" s="138" t="e">
        <f>IF(VLOOKUP(CONCATENATE(H224,F224,DB$2),Español!$A:$H,7,FALSE)=P224,1,0)</f>
        <v>#N/A</v>
      </c>
      <c r="DC224" s="138" t="e">
        <f>IF(VLOOKUP(CONCATENATE(H224,F224,DC$2),Español!$A:$H,7,FALSE)=Q224,1,0)</f>
        <v>#N/A</v>
      </c>
      <c r="DD224" s="138" t="e">
        <f>IF(VLOOKUP(CONCATENATE(H224,F224,DD$2),Español!$A:$H,7,FALSE)=R224,1,0)</f>
        <v>#N/A</v>
      </c>
      <c r="DE224" s="138" t="e">
        <f>IF(VLOOKUP(CONCATENATE(H224,F224,DE$2),Español!$A:$H,7,FALSE)=S224,1,0)</f>
        <v>#N/A</v>
      </c>
      <c r="DF224" s="138" t="e">
        <f>IF(VLOOKUP(CONCATENATE(H224,F224,DF$2),Español!$A:$H,7,FALSE)=T224,1,0)</f>
        <v>#N/A</v>
      </c>
      <c r="DG224" s="138" t="e">
        <f>IF(VLOOKUP(CONCATENATE(H224,F224,DG$2),Español!$A:$H,7,FALSE)=U224,1,0)</f>
        <v>#N/A</v>
      </c>
      <c r="DH224" s="138" t="e">
        <f>IF(VLOOKUP(CONCATENATE(H224,F224,DH$2),Español!$A:$H,7,FALSE)=V224,1,0)</f>
        <v>#N/A</v>
      </c>
      <c r="DI224" s="138" t="e">
        <f>IF(VLOOKUP(CONCATENATE(H224,F224,DI$2),Español!$A:$H,7,FALSE)=W224,1,0)</f>
        <v>#N/A</v>
      </c>
      <c r="DJ224" s="138" t="e">
        <f>IF(VLOOKUP(CONCATENATE(H224,F224,DJ$2),Español!$A:$H,7,FALSE)=X224,1,0)</f>
        <v>#N/A</v>
      </c>
      <c r="DK224" s="138" t="e">
        <f>IF(VLOOKUP(CONCATENATE(H224,F224,DK$2),Español!$A:$H,7,FALSE)=Y224,1,0)</f>
        <v>#N/A</v>
      </c>
      <c r="DL224" s="138" t="e">
        <f>IF(VLOOKUP(CONCATENATE(H224,F224,DL$2),Español!$A:$H,7,FALSE)=Z224,1,0)</f>
        <v>#N/A</v>
      </c>
      <c r="DM224" s="138" t="e">
        <f>IF(VLOOKUP(CONCATENATE(H224,F224,DM$2),Español!$A:$H,7,FALSE)=AA224,1,0)</f>
        <v>#N/A</v>
      </c>
      <c r="DN224" s="138" t="e">
        <f>IF(VLOOKUP(CONCATENATE(H224,F224,DN$2),Español!$A:$H,7,FALSE)=AB224,1,0)</f>
        <v>#N/A</v>
      </c>
      <c r="DO224" s="138" t="e">
        <f>IF(VLOOKUP(CONCATENATE(H224,F224,DO$2),Español!$A:$H,7,FALSE)=AC224,1,0)</f>
        <v>#N/A</v>
      </c>
      <c r="DP224" s="138" t="e">
        <f>IF(VLOOKUP(CONCATENATE(H224,F224,DP$2),Español!$A:$H,7,FALSE)=AD224,1,0)</f>
        <v>#N/A</v>
      </c>
      <c r="DQ224" s="138" t="e">
        <f>IF(VLOOKUP(CONCATENATE(H224,F224,DQ$2),Español!$A:$H,7,FALSE)=AE224,1,0)</f>
        <v>#N/A</v>
      </c>
      <c r="DR224" s="138" t="e">
        <f>IF(VLOOKUP(CONCATENATE(H224,F224,DR$2),Inglés!$A:$H,7,FALSE)=AF224,1,0)</f>
        <v>#N/A</v>
      </c>
      <c r="DS224" s="138" t="e">
        <f>IF(VLOOKUP(CONCATENATE(H224,F224,DS$2),Inglés!$A:$H,7,FALSE)=AG224,1,0)</f>
        <v>#N/A</v>
      </c>
      <c r="DT224" s="138" t="e">
        <f>IF(VLOOKUP(CONCATENATE(H224,F224,DT$2),Inglés!$A:$H,7,FALSE)=AH224,1,0)</f>
        <v>#N/A</v>
      </c>
      <c r="DU224" s="138" t="e">
        <f>IF(VLOOKUP(CONCATENATE(H224,F224,DU$2),Inglés!$A:$H,7,FALSE)=AI224,1,0)</f>
        <v>#N/A</v>
      </c>
      <c r="DV224" s="138" t="e">
        <f>IF(VLOOKUP(CONCATENATE(H224,F224,DV$2),Inglés!$A:$H,7,FALSE)=AJ224,1,0)</f>
        <v>#N/A</v>
      </c>
      <c r="DW224" s="138" t="e">
        <f>IF(VLOOKUP(CONCATENATE(H224,F224,DW$2),Inglés!$A:$H,7,FALSE)=AK224,1,0)</f>
        <v>#N/A</v>
      </c>
      <c r="DX224" s="138" t="e">
        <f>IF(VLOOKUP(CONCATENATE(H224,F224,DX$2),Inglés!$A:$H,7,FALSE)=AL224,1,0)</f>
        <v>#N/A</v>
      </c>
      <c r="DY224" s="138" t="e">
        <f>IF(VLOOKUP(CONCATENATE(H224,F224,DY$2),Inglés!$A:$H,7,FALSE)=AM224,1,0)</f>
        <v>#N/A</v>
      </c>
      <c r="DZ224" s="138" t="e">
        <f>IF(VLOOKUP(CONCATENATE(H224,F224,DZ$2),Inglés!$A:$H,7,FALSE)=AN224,1,0)</f>
        <v>#N/A</v>
      </c>
      <c r="EA224" s="138" t="e">
        <f>IF(VLOOKUP(CONCATENATE(H224,F224,EA$2),Inglés!$A:$H,7,FALSE)=AO224,1,0)</f>
        <v>#N/A</v>
      </c>
      <c r="EB224" s="138" t="e">
        <f>IF(VLOOKUP(CONCATENATE(H224,F224,EB$2),Matemáticas!$A:$H,7,FALSE)=AP224,1,0)</f>
        <v>#N/A</v>
      </c>
      <c r="EC224" s="138" t="e">
        <f>IF(VLOOKUP(CONCATENATE(H224,F224,EC$2),Matemáticas!$A:$H,7,FALSE)=AQ224,1,0)</f>
        <v>#N/A</v>
      </c>
      <c r="ED224" s="138" t="e">
        <f>IF(VLOOKUP(CONCATENATE(H224,F224,ED$2),Matemáticas!$A:$H,7,FALSE)=AR224,1,0)</f>
        <v>#N/A</v>
      </c>
      <c r="EE224" s="138" t="e">
        <f>IF(VLOOKUP(CONCATENATE(H224,F224,EE$2),Matemáticas!$A:$H,7,FALSE)=AS224,1,0)</f>
        <v>#N/A</v>
      </c>
      <c r="EF224" s="138" t="e">
        <f>IF(VLOOKUP(CONCATENATE(H224,F224,EF$2),Matemáticas!$A:$H,7,FALSE)=AT224,1,0)</f>
        <v>#N/A</v>
      </c>
      <c r="EG224" s="138" t="e">
        <f>IF(VLOOKUP(CONCATENATE(H224,F224,EG$2),Matemáticas!$A:$H,7,FALSE)=AU224,1,0)</f>
        <v>#N/A</v>
      </c>
      <c r="EH224" s="138" t="e">
        <f>IF(VLOOKUP(CONCATENATE(H224,F224,EH$2),Matemáticas!$A:$H,7,FALSE)=AV224,1,0)</f>
        <v>#N/A</v>
      </c>
      <c r="EI224" s="138" t="e">
        <f>IF(VLOOKUP(CONCATENATE(H224,F224,EI$2),Matemáticas!$A:$H,7,FALSE)=AW224,1,0)</f>
        <v>#N/A</v>
      </c>
      <c r="EJ224" s="138" t="e">
        <f>IF(VLOOKUP(CONCATENATE(H224,F224,EJ$2),Matemáticas!$A:$H,7,FALSE)=AX224,1,0)</f>
        <v>#N/A</v>
      </c>
      <c r="EK224" s="138" t="e">
        <f>IF(VLOOKUP(CONCATENATE(H224,F224,EK$2),Matemáticas!$A:$H,7,FALSE)=AY224,1,0)</f>
        <v>#N/A</v>
      </c>
      <c r="EL224" s="138" t="e">
        <f>IF(VLOOKUP(CONCATENATE(H224,F224,EL$2),Matemáticas!$A:$H,7,FALSE)=AZ224,1,0)</f>
        <v>#N/A</v>
      </c>
      <c r="EM224" s="138" t="e">
        <f>IF(VLOOKUP(CONCATENATE(H224,F224,EM$2),Matemáticas!$A:$H,7,FALSE)=BA224,1,0)</f>
        <v>#N/A</v>
      </c>
      <c r="EN224" s="138" t="e">
        <f>IF(VLOOKUP(CONCATENATE(H224,F224,EN$2),Matemáticas!$A:$H,7,FALSE)=BB224,1,0)</f>
        <v>#N/A</v>
      </c>
      <c r="EO224" s="138" t="e">
        <f>IF(VLOOKUP(CONCATENATE(H224,F224,EO$2),Matemáticas!$A:$H,7,FALSE)=BC224,1,0)</f>
        <v>#N/A</v>
      </c>
      <c r="EP224" s="138" t="e">
        <f>IF(VLOOKUP(CONCATENATE(H224,F224,EP$2),Matemáticas!$A:$H,7,FALSE)=BD224,1,0)</f>
        <v>#N/A</v>
      </c>
      <c r="EQ224" s="138" t="e">
        <f>IF(VLOOKUP(CONCATENATE(H224,F224,EQ$2),Matemáticas!$A:$H,7,FALSE)=BE224,1,0)</f>
        <v>#N/A</v>
      </c>
      <c r="ER224" s="138" t="e">
        <f>IF(VLOOKUP(CONCATENATE(H224,F224,ER$2),Matemáticas!$A:$H,7,FALSE)=BF224,1,0)</f>
        <v>#N/A</v>
      </c>
      <c r="ES224" s="138" t="e">
        <f>IF(VLOOKUP(CONCATENATE(H224,F224,ES$2),Matemáticas!$A:$H,7,FALSE)=BG224,1,0)</f>
        <v>#N/A</v>
      </c>
      <c r="ET224" s="138" t="e">
        <f>IF(VLOOKUP(CONCATENATE(H224,F224,ET$2),Matemáticas!$A:$H,7,FALSE)=BH224,1,0)</f>
        <v>#N/A</v>
      </c>
      <c r="EU224" s="138" t="e">
        <f>IF(VLOOKUP(CONCATENATE(H224,F224,EU$2),Matemáticas!$A:$H,7,FALSE)=BI224,1,0)</f>
        <v>#N/A</v>
      </c>
      <c r="EV224" s="138" t="e">
        <f>IF(VLOOKUP(CONCATENATE(H224,F224,EV$2),Ciencias!$A:$H,7,FALSE)=BJ224,1,0)</f>
        <v>#N/A</v>
      </c>
      <c r="EW224" s="138" t="e">
        <f>IF(VLOOKUP(CONCATENATE(H224,F224,EW$2),Ciencias!$A:$H,7,FALSE)=BK224,1,0)</f>
        <v>#N/A</v>
      </c>
      <c r="EX224" s="138" t="e">
        <f>IF(VLOOKUP(CONCATENATE(H224,F224,EX$2),Ciencias!$A:$H,7,FALSE)=BL224,1,0)</f>
        <v>#N/A</v>
      </c>
      <c r="EY224" s="138" t="e">
        <f>IF(VLOOKUP(CONCATENATE(H224,F224,EY$2),Ciencias!$A:$H,7,FALSE)=BM224,1,0)</f>
        <v>#N/A</v>
      </c>
      <c r="EZ224" s="138" t="e">
        <f>IF(VLOOKUP(CONCATENATE(H224,F224,EZ$2),Ciencias!$A:$H,7,FALSE)=BN224,1,0)</f>
        <v>#N/A</v>
      </c>
      <c r="FA224" s="138" t="e">
        <f>IF(VLOOKUP(CONCATENATE(H224,F224,FA$2),Ciencias!$A:$H,7,FALSE)=BO224,1,0)</f>
        <v>#N/A</v>
      </c>
      <c r="FB224" s="138" t="e">
        <f>IF(VLOOKUP(CONCATENATE(H224,F224,FB$2),Ciencias!$A:$H,7,FALSE)=BP224,1,0)</f>
        <v>#N/A</v>
      </c>
      <c r="FC224" s="138" t="e">
        <f>IF(VLOOKUP(CONCATENATE(H224,F224,FC$2),Ciencias!$A:$H,7,FALSE)=BQ224,1,0)</f>
        <v>#N/A</v>
      </c>
      <c r="FD224" s="138" t="e">
        <f>IF(VLOOKUP(CONCATENATE(H224,F224,FD$2),Ciencias!$A:$H,7,FALSE)=BR224,1,0)</f>
        <v>#N/A</v>
      </c>
      <c r="FE224" s="138" t="e">
        <f>IF(VLOOKUP(CONCATENATE(H224,F224,FE$2),Ciencias!$A:$H,7,FALSE)=BS224,1,0)</f>
        <v>#N/A</v>
      </c>
      <c r="FF224" s="138" t="e">
        <f>IF(VLOOKUP(CONCATENATE(H224,F224,FF$2),Ciencias!$A:$H,7,FALSE)=BT224,1,0)</f>
        <v>#N/A</v>
      </c>
      <c r="FG224" s="138" t="e">
        <f>IF(VLOOKUP(CONCATENATE(H224,F224,FG$2),Ciencias!$A:$H,7,FALSE)=BU224,1,0)</f>
        <v>#N/A</v>
      </c>
      <c r="FH224" s="138" t="e">
        <f>IF(VLOOKUP(CONCATENATE(H224,F224,FH$2),Ciencias!$A:$H,7,FALSE)=BV224,1,0)</f>
        <v>#N/A</v>
      </c>
      <c r="FI224" s="138" t="e">
        <f>IF(VLOOKUP(CONCATENATE(H224,F224,FI$2),Ciencias!$A:$H,7,FALSE)=BW224,1,0)</f>
        <v>#N/A</v>
      </c>
      <c r="FJ224" s="138" t="e">
        <f>IF(VLOOKUP(CONCATENATE(H224,F224,FJ$2),Ciencias!$A:$H,7,FALSE)=BX224,1,0)</f>
        <v>#N/A</v>
      </c>
      <c r="FK224" s="138" t="e">
        <f>IF(VLOOKUP(CONCATENATE(H224,F224,FK$2),Ciencias!$A:$H,7,FALSE)=BY224,1,0)</f>
        <v>#N/A</v>
      </c>
      <c r="FL224" s="138" t="e">
        <f>IF(VLOOKUP(CONCATENATE(H224,F224,FL$2),Ciencias!$A:$H,7,FALSE)=BZ224,1,0)</f>
        <v>#N/A</v>
      </c>
      <c r="FM224" s="138" t="e">
        <f>IF(VLOOKUP(CONCATENATE(H224,F224,FM$2),Ciencias!$A:$H,7,FALSE)=CA224,1,0)</f>
        <v>#N/A</v>
      </c>
      <c r="FN224" s="138" t="e">
        <f>IF(VLOOKUP(CONCATENATE(H224,F224,FN$2),Ciencias!$A:$H,7,FALSE)=CB224,1,0)</f>
        <v>#N/A</v>
      </c>
      <c r="FO224" s="138" t="e">
        <f>IF(VLOOKUP(CONCATENATE(H224,F224,FO$2),Ciencias!$A:$H,7,FALSE)=CC224,1,0)</f>
        <v>#N/A</v>
      </c>
      <c r="FP224" s="138" t="e">
        <f>IF(VLOOKUP(CONCATENATE(H224,F224,FP$2),GeoHis!$A:$H,7,FALSE)=CD224,1,0)</f>
        <v>#N/A</v>
      </c>
      <c r="FQ224" s="138" t="e">
        <f>IF(VLOOKUP(CONCATENATE(H224,F224,FQ$2),GeoHis!$A:$H,7,FALSE)=CE224,1,0)</f>
        <v>#N/A</v>
      </c>
      <c r="FR224" s="138" t="e">
        <f>IF(VLOOKUP(CONCATENATE(H224,F224,FR$2),GeoHis!$A:$H,7,FALSE)=CF224,1,0)</f>
        <v>#N/A</v>
      </c>
      <c r="FS224" s="138" t="e">
        <f>IF(VLOOKUP(CONCATENATE(H224,F224,FS$2),GeoHis!$A:$H,7,FALSE)=CG224,1,0)</f>
        <v>#N/A</v>
      </c>
      <c r="FT224" s="138" t="e">
        <f>IF(VLOOKUP(CONCATENATE(H224,F224,FT$2),GeoHis!$A:$H,7,FALSE)=CH224,1,0)</f>
        <v>#N/A</v>
      </c>
      <c r="FU224" s="138" t="e">
        <f>IF(VLOOKUP(CONCATENATE(H224,F224,FU$2),GeoHis!$A:$H,7,FALSE)=CI224,1,0)</f>
        <v>#N/A</v>
      </c>
      <c r="FV224" s="138" t="e">
        <f>IF(VLOOKUP(CONCATENATE(H224,F224,FV$2),GeoHis!$A:$H,7,FALSE)=CJ224,1,0)</f>
        <v>#N/A</v>
      </c>
      <c r="FW224" s="138" t="e">
        <f>IF(VLOOKUP(CONCATENATE(H224,F224,FW$2),GeoHis!$A:$H,7,FALSE)=CK224,1,0)</f>
        <v>#N/A</v>
      </c>
      <c r="FX224" s="138" t="e">
        <f>IF(VLOOKUP(CONCATENATE(H224,F224,FX$2),GeoHis!$A:$H,7,FALSE)=CL224,1,0)</f>
        <v>#N/A</v>
      </c>
      <c r="FY224" s="138" t="e">
        <f>IF(VLOOKUP(CONCATENATE(H224,F224,FY$2),GeoHis!$A:$H,7,FALSE)=CM224,1,0)</f>
        <v>#N/A</v>
      </c>
      <c r="FZ224" s="138" t="e">
        <f>IF(VLOOKUP(CONCATENATE(H224,F224,FZ$2),GeoHis!$A:$H,7,FALSE)=CN224,1,0)</f>
        <v>#N/A</v>
      </c>
      <c r="GA224" s="138" t="e">
        <f>IF(VLOOKUP(CONCATENATE(H224,F224,GA$2),GeoHis!$A:$H,7,FALSE)=CO224,1,0)</f>
        <v>#N/A</v>
      </c>
      <c r="GB224" s="138" t="e">
        <f>IF(VLOOKUP(CONCATENATE(H224,F224,GB$2),GeoHis!$A:$H,7,FALSE)=CP224,1,0)</f>
        <v>#N/A</v>
      </c>
      <c r="GC224" s="138" t="e">
        <f>IF(VLOOKUP(CONCATENATE(H224,F224,GC$2),GeoHis!$A:$H,7,FALSE)=CQ224,1,0)</f>
        <v>#N/A</v>
      </c>
      <c r="GD224" s="138" t="e">
        <f>IF(VLOOKUP(CONCATENATE(H224,F224,GD$2),GeoHis!$A:$H,7,FALSE)=CR224,1,0)</f>
        <v>#N/A</v>
      </c>
      <c r="GE224" s="135" t="str">
        <f t="shared" si="31"/>
        <v/>
      </c>
    </row>
    <row r="225" spans="1:187" x14ac:dyDescent="0.25">
      <c r="A225" s="127" t="str">
        <f>IF(C225="","",'Datos Generales'!$A$25)</f>
        <v/>
      </c>
      <c r="D225" s="126" t="str">
        <f t="shared" si="24"/>
        <v/>
      </c>
      <c r="E225" s="126">
        <f t="shared" si="25"/>
        <v>0</v>
      </c>
      <c r="F225" s="126" t="str">
        <f t="shared" si="26"/>
        <v/>
      </c>
      <c r="G225" s="126" t="str">
        <f>IF(C225="","",'Datos Generales'!$D$19)</f>
        <v/>
      </c>
      <c r="H225" s="21" t="str">
        <f>IF(C225="","",'Datos Generales'!$A$19)</f>
        <v/>
      </c>
      <c r="I225" s="126" t="str">
        <f>IF(C225="","",'Datos Generales'!$A$7)</f>
        <v/>
      </c>
      <c r="J225" s="21" t="str">
        <f>IF(C225="","",'Datos Generales'!$A$13)</f>
        <v/>
      </c>
      <c r="K225" s="21" t="str">
        <f>IF(C225="","",'Datos Generales'!$A$10)</f>
        <v/>
      </c>
      <c r="CS225" s="142" t="str">
        <f t="shared" si="27"/>
        <v/>
      </c>
      <c r="CT225" s="142" t="str">
        <f t="shared" si="28"/>
        <v/>
      </c>
      <c r="CU225" s="142" t="str">
        <f t="shared" si="29"/>
        <v/>
      </c>
      <c r="CV225" s="142" t="str">
        <f t="shared" si="30"/>
        <v/>
      </c>
      <c r="CW225" s="142" t="str">
        <f>IF(C225="","",IF('Datos Generales'!$A$19=1,AVERAGE(FP225:GD225),AVERAGE(Captura!FP225:FY225)))</f>
        <v/>
      </c>
      <c r="CX225" s="138" t="e">
        <f>IF(VLOOKUP(CONCATENATE($H$4,$F$4,CX$2),Español!$A:$H,7,FALSE)=L225,1,0)</f>
        <v>#N/A</v>
      </c>
      <c r="CY225" s="138" t="e">
        <f>IF(VLOOKUP(CONCATENATE(H225,F225,CY$2),Español!$A:$H,7,FALSE)=M225,1,0)</f>
        <v>#N/A</v>
      </c>
      <c r="CZ225" s="138" t="e">
        <f>IF(VLOOKUP(CONCATENATE(H225,F225,CZ$2),Español!$A:$H,7,FALSE)=N225,1,0)</f>
        <v>#N/A</v>
      </c>
      <c r="DA225" s="138" t="e">
        <f>IF(VLOOKUP(CONCATENATE(H225,F225,DA$2),Español!$A:$H,7,FALSE)=O225,1,0)</f>
        <v>#N/A</v>
      </c>
      <c r="DB225" s="138" t="e">
        <f>IF(VLOOKUP(CONCATENATE(H225,F225,DB$2),Español!$A:$H,7,FALSE)=P225,1,0)</f>
        <v>#N/A</v>
      </c>
      <c r="DC225" s="138" t="e">
        <f>IF(VLOOKUP(CONCATENATE(H225,F225,DC$2),Español!$A:$H,7,FALSE)=Q225,1,0)</f>
        <v>#N/A</v>
      </c>
      <c r="DD225" s="138" t="e">
        <f>IF(VLOOKUP(CONCATENATE(H225,F225,DD$2),Español!$A:$H,7,FALSE)=R225,1,0)</f>
        <v>#N/A</v>
      </c>
      <c r="DE225" s="138" t="e">
        <f>IF(VLOOKUP(CONCATENATE(H225,F225,DE$2),Español!$A:$H,7,FALSE)=S225,1,0)</f>
        <v>#N/A</v>
      </c>
      <c r="DF225" s="138" t="e">
        <f>IF(VLOOKUP(CONCATENATE(H225,F225,DF$2),Español!$A:$H,7,FALSE)=T225,1,0)</f>
        <v>#N/A</v>
      </c>
      <c r="DG225" s="138" t="e">
        <f>IF(VLOOKUP(CONCATENATE(H225,F225,DG$2),Español!$A:$H,7,FALSE)=U225,1,0)</f>
        <v>#N/A</v>
      </c>
      <c r="DH225" s="138" t="e">
        <f>IF(VLOOKUP(CONCATENATE(H225,F225,DH$2),Español!$A:$H,7,FALSE)=V225,1,0)</f>
        <v>#N/A</v>
      </c>
      <c r="DI225" s="138" t="e">
        <f>IF(VLOOKUP(CONCATENATE(H225,F225,DI$2),Español!$A:$H,7,FALSE)=W225,1,0)</f>
        <v>#N/A</v>
      </c>
      <c r="DJ225" s="138" t="e">
        <f>IF(VLOOKUP(CONCATENATE(H225,F225,DJ$2),Español!$A:$H,7,FALSE)=X225,1,0)</f>
        <v>#N/A</v>
      </c>
      <c r="DK225" s="138" t="e">
        <f>IF(VLOOKUP(CONCATENATE(H225,F225,DK$2),Español!$A:$H,7,FALSE)=Y225,1,0)</f>
        <v>#N/A</v>
      </c>
      <c r="DL225" s="138" t="e">
        <f>IF(VLOOKUP(CONCATENATE(H225,F225,DL$2),Español!$A:$H,7,FALSE)=Z225,1,0)</f>
        <v>#N/A</v>
      </c>
      <c r="DM225" s="138" t="e">
        <f>IF(VLOOKUP(CONCATENATE(H225,F225,DM$2),Español!$A:$H,7,FALSE)=AA225,1,0)</f>
        <v>#N/A</v>
      </c>
      <c r="DN225" s="138" t="e">
        <f>IF(VLOOKUP(CONCATENATE(H225,F225,DN$2),Español!$A:$H,7,FALSE)=AB225,1,0)</f>
        <v>#N/A</v>
      </c>
      <c r="DO225" s="138" t="e">
        <f>IF(VLOOKUP(CONCATENATE(H225,F225,DO$2),Español!$A:$H,7,FALSE)=AC225,1,0)</f>
        <v>#N/A</v>
      </c>
      <c r="DP225" s="138" t="e">
        <f>IF(VLOOKUP(CONCATENATE(H225,F225,DP$2),Español!$A:$H,7,FALSE)=AD225,1,0)</f>
        <v>#N/A</v>
      </c>
      <c r="DQ225" s="138" t="e">
        <f>IF(VLOOKUP(CONCATENATE(H225,F225,DQ$2),Español!$A:$H,7,FALSE)=AE225,1,0)</f>
        <v>#N/A</v>
      </c>
      <c r="DR225" s="138" t="e">
        <f>IF(VLOOKUP(CONCATENATE(H225,F225,DR$2),Inglés!$A:$H,7,FALSE)=AF225,1,0)</f>
        <v>#N/A</v>
      </c>
      <c r="DS225" s="138" t="e">
        <f>IF(VLOOKUP(CONCATENATE(H225,F225,DS$2),Inglés!$A:$H,7,FALSE)=AG225,1,0)</f>
        <v>#N/A</v>
      </c>
      <c r="DT225" s="138" t="e">
        <f>IF(VLOOKUP(CONCATENATE(H225,F225,DT$2),Inglés!$A:$H,7,FALSE)=AH225,1,0)</f>
        <v>#N/A</v>
      </c>
      <c r="DU225" s="138" t="e">
        <f>IF(VLOOKUP(CONCATENATE(H225,F225,DU$2),Inglés!$A:$H,7,FALSE)=AI225,1,0)</f>
        <v>#N/A</v>
      </c>
      <c r="DV225" s="138" t="e">
        <f>IF(VLOOKUP(CONCATENATE(H225,F225,DV$2),Inglés!$A:$H,7,FALSE)=AJ225,1,0)</f>
        <v>#N/A</v>
      </c>
      <c r="DW225" s="138" t="e">
        <f>IF(VLOOKUP(CONCATENATE(H225,F225,DW$2),Inglés!$A:$H,7,FALSE)=AK225,1,0)</f>
        <v>#N/A</v>
      </c>
      <c r="DX225" s="138" t="e">
        <f>IF(VLOOKUP(CONCATENATE(H225,F225,DX$2),Inglés!$A:$H,7,FALSE)=AL225,1,0)</f>
        <v>#N/A</v>
      </c>
      <c r="DY225" s="138" t="e">
        <f>IF(VLOOKUP(CONCATENATE(H225,F225,DY$2),Inglés!$A:$H,7,FALSE)=AM225,1,0)</f>
        <v>#N/A</v>
      </c>
      <c r="DZ225" s="138" t="e">
        <f>IF(VLOOKUP(CONCATENATE(H225,F225,DZ$2),Inglés!$A:$H,7,FALSE)=AN225,1,0)</f>
        <v>#N/A</v>
      </c>
      <c r="EA225" s="138" t="e">
        <f>IF(VLOOKUP(CONCATENATE(H225,F225,EA$2),Inglés!$A:$H,7,FALSE)=AO225,1,0)</f>
        <v>#N/A</v>
      </c>
      <c r="EB225" s="138" t="e">
        <f>IF(VLOOKUP(CONCATENATE(H225,F225,EB$2),Matemáticas!$A:$H,7,FALSE)=AP225,1,0)</f>
        <v>#N/A</v>
      </c>
      <c r="EC225" s="138" t="e">
        <f>IF(VLOOKUP(CONCATENATE(H225,F225,EC$2),Matemáticas!$A:$H,7,FALSE)=AQ225,1,0)</f>
        <v>#N/A</v>
      </c>
      <c r="ED225" s="138" t="e">
        <f>IF(VLOOKUP(CONCATENATE(H225,F225,ED$2),Matemáticas!$A:$H,7,FALSE)=AR225,1,0)</f>
        <v>#N/A</v>
      </c>
      <c r="EE225" s="138" t="e">
        <f>IF(VLOOKUP(CONCATENATE(H225,F225,EE$2),Matemáticas!$A:$H,7,FALSE)=AS225,1,0)</f>
        <v>#N/A</v>
      </c>
      <c r="EF225" s="138" t="e">
        <f>IF(VLOOKUP(CONCATENATE(H225,F225,EF$2),Matemáticas!$A:$H,7,FALSE)=AT225,1,0)</f>
        <v>#N/A</v>
      </c>
      <c r="EG225" s="138" t="e">
        <f>IF(VLOOKUP(CONCATENATE(H225,F225,EG$2),Matemáticas!$A:$H,7,FALSE)=AU225,1,0)</f>
        <v>#N/A</v>
      </c>
      <c r="EH225" s="138" t="e">
        <f>IF(VLOOKUP(CONCATENATE(H225,F225,EH$2),Matemáticas!$A:$H,7,FALSE)=AV225,1,0)</f>
        <v>#N/A</v>
      </c>
      <c r="EI225" s="138" t="e">
        <f>IF(VLOOKUP(CONCATENATE(H225,F225,EI$2),Matemáticas!$A:$H,7,FALSE)=AW225,1,0)</f>
        <v>#N/A</v>
      </c>
      <c r="EJ225" s="138" t="e">
        <f>IF(VLOOKUP(CONCATENATE(H225,F225,EJ$2),Matemáticas!$A:$H,7,FALSE)=AX225,1,0)</f>
        <v>#N/A</v>
      </c>
      <c r="EK225" s="138" t="e">
        <f>IF(VLOOKUP(CONCATENATE(H225,F225,EK$2),Matemáticas!$A:$H,7,FALSE)=AY225,1,0)</f>
        <v>#N/A</v>
      </c>
      <c r="EL225" s="138" t="e">
        <f>IF(VLOOKUP(CONCATENATE(H225,F225,EL$2),Matemáticas!$A:$H,7,FALSE)=AZ225,1,0)</f>
        <v>#N/A</v>
      </c>
      <c r="EM225" s="138" t="e">
        <f>IF(VLOOKUP(CONCATENATE(H225,F225,EM$2),Matemáticas!$A:$H,7,FALSE)=BA225,1,0)</f>
        <v>#N/A</v>
      </c>
      <c r="EN225" s="138" t="e">
        <f>IF(VLOOKUP(CONCATENATE(H225,F225,EN$2),Matemáticas!$A:$H,7,FALSE)=BB225,1,0)</f>
        <v>#N/A</v>
      </c>
      <c r="EO225" s="138" t="e">
        <f>IF(VLOOKUP(CONCATENATE(H225,F225,EO$2),Matemáticas!$A:$H,7,FALSE)=BC225,1,0)</f>
        <v>#N/A</v>
      </c>
      <c r="EP225" s="138" t="e">
        <f>IF(VLOOKUP(CONCATENATE(H225,F225,EP$2),Matemáticas!$A:$H,7,FALSE)=BD225,1,0)</f>
        <v>#N/A</v>
      </c>
      <c r="EQ225" s="138" t="e">
        <f>IF(VLOOKUP(CONCATENATE(H225,F225,EQ$2),Matemáticas!$A:$H,7,FALSE)=BE225,1,0)</f>
        <v>#N/A</v>
      </c>
      <c r="ER225" s="138" t="e">
        <f>IF(VLOOKUP(CONCATENATE(H225,F225,ER$2),Matemáticas!$A:$H,7,FALSE)=BF225,1,0)</f>
        <v>#N/A</v>
      </c>
      <c r="ES225" s="138" t="e">
        <f>IF(VLOOKUP(CONCATENATE(H225,F225,ES$2),Matemáticas!$A:$H,7,FALSE)=BG225,1,0)</f>
        <v>#N/A</v>
      </c>
      <c r="ET225" s="138" t="e">
        <f>IF(VLOOKUP(CONCATENATE(H225,F225,ET$2),Matemáticas!$A:$H,7,FALSE)=BH225,1,0)</f>
        <v>#N/A</v>
      </c>
      <c r="EU225" s="138" t="e">
        <f>IF(VLOOKUP(CONCATENATE(H225,F225,EU$2),Matemáticas!$A:$H,7,FALSE)=BI225,1,0)</f>
        <v>#N/A</v>
      </c>
      <c r="EV225" s="138" t="e">
        <f>IF(VLOOKUP(CONCATENATE(H225,F225,EV$2),Ciencias!$A:$H,7,FALSE)=BJ225,1,0)</f>
        <v>#N/A</v>
      </c>
      <c r="EW225" s="138" t="e">
        <f>IF(VLOOKUP(CONCATENATE(H225,F225,EW$2),Ciencias!$A:$H,7,FALSE)=BK225,1,0)</f>
        <v>#N/A</v>
      </c>
      <c r="EX225" s="138" t="e">
        <f>IF(VLOOKUP(CONCATENATE(H225,F225,EX$2),Ciencias!$A:$H,7,FALSE)=BL225,1,0)</f>
        <v>#N/A</v>
      </c>
      <c r="EY225" s="138" t="e">
        <f>IF(VLOOKUP(CONCATENATE(H225,F225,EY$2),Ciencias!$A:$H,7,FALSE)=BM225,1,0)</f>
        <v>#N/A</v>
      </c>
      <c r="EZ225" s="138" t="e">
        <f>IF(VLOOKUP(CONCATENATE(H225,F225,EZ$2),Ciencias!$A:$H,7,FALSE)=BN225,1,0)</f>
        <v>#N/A</v>
      </c>
      <c r="FA225" s="138" t="e">
        <f>IF(VLOOKUP(CONCATENATE(H225,F225,FA$2),Ciencias!$A:$H,7,FALSE)=BO225,1,0)</f>
        <v>#N/A</v>
      </c>
      <c r="FB225" s="138" t="e">
        <f>IF(VLOOKUP(CONCATENATE(H225,F225,FB$2),Ciencias!$A:$H,7,FALSE)=BP225,1,0)</f>
        <v>#N/A</v>
      </c>
      <c r="FC225" s="138" t="e">
        <f>IF(VLOOKUP(CONCATENATE(H225,F225,FC$2),Ciencias!$A:$H,7,FALSE)=BQ225,1,0)</f>
        <v>#N/A</v>
      </c>
      <c r="FD225" s="138" t="e">
        <f>IF(VLOOKUP(CONCATENATE(H225,F225,FD$2),Ciencias!$A:$H,7,FALSE)=BR225,1,0)</f>
        <v>#N/A</v>
      </c>
      <c r="FE225" s="138" t="e">
        <f>IF(VLOOKUP(CONCATENATE(H225,F225,FE$2),Ciencias!$A:$H,7,FALSE)=BS225,1,0)</f>
        <v>#N/A</v>
      </c>
      <c r="FF225" s="138" t="e">
        <f>IF(VLOOKUP(CONCATENATE(H225,F225,FF$2),Ciencias!$A:$H,7,FALSE)=BT225,1,0)</f>
        <v>#N/A</v>
      </c>
      <c r="FG225" s="138" t="e">
        <f>IF(VLOOKUP(CONCATENATE(H225,F225,FG$2),Ciencias!$A:$H,7,FALSE)=BU225,1,0)</f>
        <v>#N/A</v>
      </c>
      <c r="FH225" s="138" t="e">
        <f>IF(VLOOKUP(CONCATENATE(H225,F225,FH$2),Ciencias!$A:$H,7,FALSE)=BV225,1,0)</f>
        <v>#N/A</v>
      </c>
      <c r="FI225" s="138" t="e">
        <f>IF(VLOOKUP(CONCATENATE(H225,F225,FI$2),Ciencias!$A:$H,7,FALSE)=BW225,1,0)</f>
        <v>#N/A</v>
      </c>
      <c r="FJ225" s="138" t="e">
        <f>IF(VLOOKUP(CONCATENATE(H225,F225,FJ$2),Ciencias!$A:$H,7,FALSE)=BX225,1,0)</f>
        <v>#N/A</v>
      </c>
      <c r="FK225" s="138" t="e">
        <f>IF(VLOOKUP(CONCATENATE(H225,F225,FK$2),Ciencias!$A:$H,7,FALSE)=BY225,1,0)</f>
        <v>#N/A</v>
      </c>
      <c r="FL225" s="138" t="e">
        <f>IF(VLOOKUP(CONCATENATE(H225,F225,FL$2),Ciencias!$A:$H,7,FALSE)=BZ225,1,0)</f>
        <v>#N/A</v>
      </c>
      <c r="FM225" s="138" t="e">
        <f>IF(VLOOKUP(CONCATENATE(H225,F225,FM$2),Ciencias!$A:$H,7,FALSE)=CA225,1,0)</f>
        <v>#N/A</v>
      </c>
      <c r="FN225" s="138" t="e">
        <f>IF(VLOOKUP(CONCATENATE(H225,F225,FN$2),Ciencias!$A:$H,7,FALSE)=CB225,1,0)</f>
        <v>#N/A</v>
      </c>
      <c r="FO225" s="138" t="e">
        <f>IF(VLOOKUP(CONCATENATE(H225,F225,FO$2),Ciencias!$A:$H,7,FALSE)=CC225,1,0)</f>
        <v>#N/A</v>
      </c>
      <c r="FP225" s="138" t="e">
        <f>IF(VLOOKUP(CONCATENATE(H225,F225,FP$2),GeoHis!$A:$H,7,FALSE)=CD225,1,0)</f>
        <v>#N/A</v>
      </c>
      <c r="FQ225" s="138" t="e">
        <f>IF(VLOOKUP(CONCATENATE(H225,F225,FQ$2),GeoHis!$A:$H,7,FALSE)=CE225,1,0)</f>
        <v>#N/A</v>
      </c>
      <c r="FR225" s="138" t="e">
        <f>IF(VLOOKUP(CONCATENATE(H225,F225,FR$2),GeoHis!$A:$H,7,FALSE)=CF225,1,0)</f>
        <v>#N/A</v>
      </c>
      <c r="FS225" s="138" t="e">
        <f>IF(VLOOKUP(CONCATENATE(H225,F225,FS$2),GeoHis!$A:$H,7,FALSE)=CG225,1,0)</f>
        <v>#N/A</v>
      </c>
      <c r="FT225" s="138" t="e">
        <f>IF(VLOOKUP(CONCATENATE(H225,F225,FT$2),GeoHis!$A:$H,7,FALSE)=CH225,1,0)</f>
        <v>#N/A</v>
      </c>
      <c r="FU225" s="138" t="e">
        <f>IF(VLOOKUP(CONCATENATE(H225,F225,FU$2),GeoHis!$A:$H,7,FALSE)=CI225,1,0)</f>
        <v>#N/A</v>
      </c>
      <c r="FV225" s="138" t="e">
        <f>IF(VLOOKUP(CONCATENATE(H225,F225,FV$2),GeoHis!$A:$H,7,FALSE)=CJ225,1,0)</f>
        <v>#N/A</v>
      </c>
      <c r="FW225" s="138" t="e">
        <f>IF(VLOOKUP(CONCATENATE(H225,F225,FW$2),GeoHis!$A:$H,7,FALSE)=CK225,1,0)</f>
        <v>#N/A</v>
      </c>
      <c r="FX225" s="138" t="e">
        <f>IF(VLOOKUP(CONCATENATE(H225,F225,FX$2),GeoHis!$A:$H,7,FALSE)=CL225,1,0)</f>
        <v>#N/A</v>
      </c>
      <c r="FY225" s="138" t="e">
        <f>IF(VLOOKUP(CONCATENATE(H225,F225,FY$2),GeoHis!$A:$H,7,FALSE)=CM225,1,0)</f>
        <v>#N/A</v>
      </c>
      <c r="FZ225" s="138" t="e">
        <f>IF(VLOOKUP(CONCATENATE(H225,F225,FZ$2),GeoHis!$A:$H,7,FALSE)=CN225,1,0)</f>
        <v>#N/A</v>
      </c>
      <c r="GA225" s="138" t="e">
        <f>IF(VLOOKUP(CONCATENATE(H225,F225,GA$2),GeoHis!$A:$H,7,FALSE)=CO225,1,0)</f>
        <v>#N/A</v>
      </c>
      <c r="GB225" s="138" t="e">
        <f>IF(VLOOKUP(CONCATENATE(H225,F225,GB$2),GeoHis!$A:$H,7,FALSE)=CP225,1,0)</f>
        <v>#N/A</v>
      </c>
      <c r="GC225" s="138" t="e">
        <f>IF(VLOOKUP(CONCATENATE(H225,F225,GC$2),GeoHis!$A:$H,7,FALSE)=CQ225,1,0)</f>
        <v>#N/A</v>
      </c>
      <c r="GD225" s="138" t="e">
        <f>IF(VLOOKUP(CONCATENATE(H225,F225,GD$2),GeoHis!$A:$H,7,FALSE)=CR225,1,0)</f>
        <v>#N/A</v>
      </c>
      <c r="GE225" s="135" t="str">
        <f t="shared" si="31"/>
        <v/>
      </c>
    </row>
    <row r="226" spans="1:187" x14ac:dyDescent="0.25">
      <c r="A226" s="127" t="str">
        <f>IF(C226="","",'Datos Generales'!$A$25)</f>
        <v/>
      </c>
      <c r="D226" s="126" t="str">
        <f t="shared" si="24"/>
        <v/>
      </c>
      <c r="E226" s="126">
        <f t="shared" si="25"/>
        <v>0</v>
      </c>
      <c r="F226" s="126" t="str">
        <f t="shared" si="26"/>
        <v/>
      </c>
      <c r="G226" s="126" t="str">
        <f>IF(C226="","",'Datos Generales'!$D$19)</f>
        <v/>
      </c>
      <c r="H226" s="21" t="str">
        <f>IF(C226="","",'Datos Generales'!$A$19)</f>
        <v/>
      </c>
      <c r="I226" s="126" t="str">
        <f>IF(C226="","",'Datos Generales'!$A$7)</f>
        <v/>
      </c>
      <c r="J226" s="21" t="str">
        <f>IF(C226="","",'Datos Generales'!$A$13)</f>
        <v/>
      </c>
      <c r="K226" s="21" t="str">
        <f>IF(C226="","",'Datos Generales'!$A$10)</f>
        <v/>
      </c>
      <c r="CS226" s="142" t="str">
        <f t="shared" si="27"/>
        <v/>
      </c>
      <c r="CT226" s="142" t="str">
        <f t="shared" si="28"/>
        <v/>
      </c>
      <c r="CU226" s="142" t="str">
        <f t="shared" si="29"/>
        <v/>
      </c>
      <c r="CV226" s="142" t="str">
        <f t="shared" si="30"/>
        <v/>
      </c>
      <c r="CW226" s="142" t="str">
        <f>IF(C226="","",IF('Datos Generales'!$A$19=1,AVERAGE(FP226:GD226),AVERAGE(Captura!FP226:FY226)))</f>
        <v/>
      </c>
      <c r="CX226" s="138" t="e">
        <f>IF(VLOOKUP(CONCATENATE($H$4,$F$4,CX$2),Español!$A:$H,7,FALSE)=L226,1,0)</f>
        <v>#N/A</v>
      </c>
      <c r="CY226" s="138" t="e">
        <f>IF(VLOOKUP(CONCATENATE(H226,F226,CY$2),Español!$A:$H,7,FALSE)=M226,1,0)</f>
        <v>#N/A</v>
      </c>
      <c r="CZ226" s="138" t="e">
        <f>IF(VLOOKUP(CONCATENATE(H226,F226,CZ$2),Español!$A:$H,7,FALSE)=N226,1,0)</f>
        <v>#N/A</v>
      </c>
      <c r="DA226" s="138" t="e">
        <f>IF(VLOOKUP(CONCATENATE(H226,F226,DA$2),Español!$A:$H,7,FALSE)=O226,1,0)</f>
        <v>#N/A</v>
      </c>
      <c r="DB226" s="138" t="e">
        <f>IF(VLOOKUP(CONCATENATE(H226,F226,DB$2),Español!$A:$H,7,FALSE)=P226,1,0)</f>
        <v>#N/A</v>
      </c>
      <c r="DC226" s="138" t="e">
        <f>IF(VLOOKUP(CONCATENATE(H226,F226,DC$2),Español!$A:$H,7,FALSE)=Q226,1,0)</f>
        <v>#N/A</v>
      </c>
      <c r="DD226" s="138" t="e">
        <f>IF(VLOOKUP(CONCATENATE(H226,F226,DD$2),Español!$A:$H,7,FALSE)=R226,1,0)</f>
        <v>#N/A</v>
      </c>
      <c r="DE226" s="138" t="e">
        <f>IF(VLOOKUP(CONCATENATE(H226,F226,DE$2),Español!$A:$H,7,FALSE)=S226,1,0)</f>
        <v>#N/A</v>
      </c>
      <c r="DF226" s="138" t="e">
        <f>IF(VLOOKUP(CONCATENATE(H226,F226,DF$2),Español!$A:$H,7,FALSE)=T226,1,0)</f>
        <v>#N/A</v>
      </c>
      <c r="DG226" s="138" t="e">
        <f>IF(VLOOKUP(CONCATENATE(H226,F226,DG$2),Español!$A:$H,7,FALSE)=U226,1,0)</f>
        <v>#N/A</v>
      </c>
      <c r="DH226" s="138" t="e">
        <f>IF(VLOOKUP(CONCATENATE(H226,F226,DH$2),Español!$A:$H,7,FALSE)=V226,1,0)</f>
        <v>#N/A</v>
      </c>
      <c r="DI226" s="138" t="e">
        <f>IF(VLOOKUP(CONCATENATE(H226,F226,DI$2),Español!$A:$H,7,FALSE)=W226,1,0)</f>
        <v>#N/A</v>
      </c>
      <c r="DJ226" s="138" t="e">
        <f>IF(VLOOKUP(CONCATENATE(H226,F226,DJ$2),Español!$A:$H,7,FALSE)=X226,1,0)</f>
        <v>#N/A</v>
      </c>
      <c r="DK226" s="138" t="e">
        <f>IF(VLOOKUP(CONCATENATE(H226,F226,DK$2),Español!$A:$H,7,FALSE)=Y226,1,0)</f>
        <v>#N/A</v>
      </c>
      <c r="DL226" s="138" t="e">
        <f>IF(VLOOKUP(CONCATENATE(H226,F226,DL$2),Español!$A:$H,7,FALSE)=Z226,1,0)</f>
        <v>#N/A</v>
      </c>
      <c r="DM226" s="138" t="e">
        <f>IF(VLOOKUP(CONCATENATE(H226,F226,DM$2),Español!$A:$H,7,FALSE)=AA226,1,0)</f>
        <v>#N/A</v>
      </c>
      <c r="DN226" s="138" t="e">
        <f>IF(VLOOKUP(CONCATENATE(H226,F226,DN$2),Español!$A:$H,7,FALSE)=AB226,1,0)</f>
        <v>#N/A</v>
      </c>
      <c r="DO226" s="138" t="e">
        <f>IF(VLOOKUP(CONCATENATE(H226,F226,DO$2),Español!$A:$H,7,FALSE)=AC226,1,0)</f>
        <v>#N/A</v>
      </c>
      <c r="DP226" s="138" t="e">
        <f>IF(VLOOKUP(CONCATENATE(H226,F226,DP$2),Español!$A:$H,7,FALSE)=AD226,1,0)</f>
        <v>#N/A</v>
      </c>
      <c r="DQ226" s="138" t="e">
        <f>IF(VLOOKUP(CONCATENATE(H226,F226,DQ$2),Español!$A:$H,7,FALSE)=AE226,1,0)</f>
        <v>#N/A</v>
      </c>
      <c r="DR226" s="138" t="e">
        <f>IF(VLOOKUP(CONCATENATE(H226,F226,DR$2),Inglés!$A:$H,7,FALSE)=AF226,1,0)</f>
        <v>#N/A</v>
      </c>
      <c r="DS226" s="138" t="e">
        <f>IF(VLOOKUP(CONCATENATE(H226,F226,DS$2),Inglés!$A:$H,7,FALSE)=AG226,1,0)</f>
        <v>#N/A</v>
      </c>
      <c r="DT226" s="138" t="e">
        <f>IF(VLOOKUP(CONCATENATE(H226,F226,DT$2),Inglés!$A:$H,7,FALSE)=AH226,1,0)</f>
        <v>#N/A</v>
      </c>
      <c r="DU226" s="138" t="e">
        <f>IF(VLOOKUP(CONCATENATE(H226,F226,DU$2),Inglés!$A:$H,7,FALSE)=AI226,1,0)</f>
        <v>#N/A</v>
      </c>
      <c r="DV226" s="138" t="e">
        <f>IF(VLOOKUP(CONCATENATE(H226,F226,DV$2),Inglés!$A:$H,7,FALSE)=AJ226,1,0)</f>
        <v>#N/A</v>
      </c>
      <c r="DW226" s="138" t="e">
        <f>IF(VLOOKUP(CONCATENATE(H226,F226,DW$2),Inglés!$A:$H,7,FALSE)=AK226,1,0)</f>
        <v>#N/A</v>
      </c>
      <c r="DX226" s="138" t="e">
        <f>IF(VLOOKUP(CONCATENATE(H226,F226,DX$2),Inglés!$A:$H,7,FALSE)=AL226,1,0)</f>
        <v>#N/A</v>
      </c>
      <c r="DY226" s="138" t="e">
        <f>IF(VLOOKUP(CONCATENATE(H226,F226,DY$2),Inglés!$A:$H,7,FALSE)=AM226,1,0)</f>
        <v>#N/A</v>
      </c>
      <c r="DZ226" s="138" t="e">
        <f>IF(VLOOKUP(CONCATENATE(H226,F226,DZ$2),Inglés!$A:$H,7,FALSE)=AN226,1,0)</f>
        <v>#N/A</v>
      </c>
      <c r="EA226" s="138" t="e">
        <f>IF(VLOOKUP(CONCATENATE(H226,F226,EA$2),Inglés!$A:$H,7,FALSE)=AO226,1,0)</f>
        <v>#N/A</v>
      </c>
      <c r="EB226" s="138" t="e">
        <f>IF(VLOOKUP(CONCATENATE(H226,F226,EB$2),Matemáticas!$A:$H,7,FALSE)=AP226,1,0)</f>
        <v>#N/A</v>
      </c>
      <c r="EC226" s="138" t="e">
        <f>IF(VLOOKUP(CONCATENATE(H226,F226,EC$2),Matemáticas!$A:$H,7,FALSE)=AQ226,1,0)</f>
        <v>#N/A</v>
      </c>
      <c r="ED226" s="138" t="e">
        <f>IF(VLOOKUP(CONCATENATE(H226,F226,ED$2),Matemáticas!$A:$H,7,FALSE)=AR226,1,0)</f>
        <v>#N/A</v>
      </c>
      <c r="EE226" s="138" t="e">
        <f>IF(VLOOKUP(CONCATENATE(H226,F226,EE$2),Matemáticas!$A:$H,7,FALSE)=AS226,1,0)</f>
        <v>#N/A</v>
      </c>
      <c r="EF226" s="138" t="e">
        <f>IF(VLOOKUP(CONCATENATE(H226,F226,EF$2),Matemáticas!$A:$H,7,FALSE)=AT226,1,0)</f>
        <v>#N/A</v>
      </c>
      <c r="EG226" s="138" t="e">
        <f>IF(VLOOKUP(CONCATENATE(H226,F226,EG$2),Matemáticas!$A:$H,7,FALSE)=AU226,1,0)</f>
        <v>#N/A</v>
      </c>
      <c r="EH226" s="138" t="e">
        <f>IF(VLOOKUP(CONCATENATE(H226,F226,EH$2),Matemáticas!$A:$H,7,FALSE)=AV226,1,0)</f>
        <v>#N/A</v>
      </c>
      <c r="EI226" s="138" t="e">
        <f>IF(VLOOKUP(CONCATENATE(H226,F226,EI$2),Matemáticas!$A:$H,7,FALSE)=AW226,1,0)</f>
        <v>#N/A</v>
      </c>
      <c r="EJ226" s="138" t="e">
        <f>IF(VLOOKUP(CONCATENATE(H226,F226,EJ$2),Matemáticas!$A:$H,7,FALSE)=AX226,1,0)</f>
        <v>#N/A</v>
      </c>
      <c r="EK226" s="138" t="e">
        <f>IF(VLOOKUP(CONCATENATE(H226,F226,EK$2),Matemáticas!$A:$H,7,FALSE)=AY226,1,0)</f>
        <v>#N/A</v>
      </c>
      <c r="EL226" s="138" t="e">
        <f>IF(VLOOKUP(CONCATENATE(H226,F226,EL$2),Matemáticas!$A:$H,7,FALSE)=AZ226,1,0)</f>
        <v>#N/A</v>
      </c>
      <c r="EM226" s="138" t="e">
        <f>IF(VLOOKUP(CONCATENATE(H226,F226,EM$2),Matemáticas!$A:$H,7,FALSE)=BA226,1,0)</f>
        <v>#N/A</v>
      </c>
      <c r="EN226" s="138" t="e">
        <f>IF(VLOOKUP(CONCATENATE(H226,F226,EN$2),Matemáticas!$A:$H,7,FALSE)=BB226,1,0)</f>
        <v>#N/A</v>
      </c>
      <c r="EO226" s="138" t="e">
        <f>IF(VLOOKUP(CONCATENATE(H226,F226,EO$2),Matemáticas!$A:$H,7,FALSE)=BC226,1,0)</f>
        <v>#N/A</v>
      </c>
      <c r="EP226" s="138" t="e">
        <f>IF(VLOOKUP(CONCATENATE(H226,F226,EP$2),Matemáticas!$A:$H,7,FALSE)=BD226,1,0)</f>
        <v>#N/A</v>
      </c>
      <c r="EQ226" s="138" t="e">
        <f>IF(VLOOKUP(CONCATENATE(H226,F226,EQ$2),Matemáticas!$A:$H,7,FALSE)=BE226,1,0)</f>
        <v>#N/A</v>
      </c>
      <c r="ER226" s="138" t="e">
        <f>IF(VLOOKUP(CONCATENATE(H226,F226,ER$2),Matemáticas!$A:$H,7,FALSE)=BF226,1,0)</f>
        <v>#N/A</v>
      </c>
      <c r="ES226" s="138" t="e">
        <f>IF(VLOOKUP(CONCATENATE(H226,F226,ES$2),Matemáticas!$A:$H,7,FALSE)=BG226,1,0)</f>
        <v>#N/A</v>
      </c>
      <c r="ET226" s="138" t="e">
        <f>IF(VLOOKUP(CONCATENATE(H226,F226,ET$2),Matemáticas!$A:$H,7,FALSE)=BH226,1,0)</f>
        <v>#N/A</v>
      </c>
      <c r="EU226" s="138" t="e">
        <f>IF(VLOOKUP(CONCATENATE(H226,F226,EU$2),Matemáticas!$A:$H,7,FALSE)=BI226,1,0)</f>
        <v>#N/A</v>
      </c>
      <c r="EV226" s="138" t="e">
        <f>IF(VLOOKUP(CONCATENATE(H226,F226,EV$2),Ciencias!$A:$H,7,FALSE)=BJ226,1,0)</f>
        <v>#N/A</v>
      </c>
      <c r="EW226" s="138" t="e">
        <f>IF(VLOOKUP(CONCATENATE(H226,F226,EW$2),Ciencias!$A:$H,7,FALSE)=BK226,1,0)</f>
        <v>#N/A</v>
      </c>
      <c r="EX226" s="138" t="e">
        <f>IF(VLOOKUP(CONCATENATE(H226,F226,EX$2),Ciencias!$A:$H,7,FALSE)=BL226,1,0)</f>
        <v>#N/A</v>
      </c>
      <c r="EY226" s="138" t="e">
        <f>IF(VLOOKUP(CONCATENATE(H226,F226,EY$2),Ciencias!$A:$H,7,FALSE)=BM226,1,0)</f>
        <v>#N/A</v>
      </c>
      <c r="EZ226" s="138" t="e">
        <f>IF(VLOOKUP(CONCATENATE(H226,F226,EZ$2),Ciencias!$A:$H,7,FALSE)=BN226,1,0)</f>
        <v>#N/A</v>
      </c>
      <c r="FA226" s="138" t="e">
        <f>IF(VLOOKUP(CONCATENATE(H226,F226,FA$2),Ciencias!$A:$H,7,FALSE)=BO226,1,0)</f>
        <v>#N/A</v>
      </c>
      <c r="FB226" s="138" t="e">
        <f>IF(VLOOKUP(CONCATENATE(H226,F226,FB$2),Ciencias!$A:$H,7,FALSE)=BP226,1,0)</f>
        <v>#N/A</v>
      </c>
      <c r="FC226" s="138" t="e">
        <f>IF(VLOOKUP(CONCATENATE(H226,F226,FC$2),Ciencias!$A:$H,7,FALSE)=BQ226,1,0)</f>
        <v>#N/A</v>
      </c>
      <c r="FD226" s="138" t="e">
        <f>IF(VLOOKUP(CONCATENATE(H226,F226,FD$2),Ciencias!$A:$H,7,FALSE)=BR226,1,0)</f>
        <v>#N/A</v>
      </c>
      <c r="FE226" s="138" t="e">
        <f>IF(VLOOKUP(CONCATENATE(H226,F226,FE$2),Ciencias!$A:$H,7,FALSE)=BS226,1,0)</f>
        <v>#N/A</v>
      </c>
      <c r="FF226" s="138" t="e">
        <f>IF(VLOOKUP(CONCATENATE(H226,F226,FF$2),Ciencias!$A:$H,7,FALSE)=BT226,1,0)</f>
        <v>#N/A</v>
      </c>
      <c r="FG226" s="138" t="e">
        <f>IF(VLOOKUP(CONCATENATE(H226,F226,FG$2),Ciencias!$A:$H,7,FALSE)=BU226,1,0)</f>
        <v>#N/A</v>
      </c>
      <c r="FH226" s="138" t="e">
        <f>IF(VLOOKUP(CONCATENATE(H226,F226,FH$2),Ciencias!$A:$H,7,FALSE)=BV226,1,0)</f>
        <v>#N/A</v>
      </c>
      <c r="FI226" s="138" t="e">
        <f>IF(VLOOKUP(CONCATENATE(H226,F226,FI$2),Ciencias!$A:$H,7,FALSE)=BW226,1,0)</f>
        <v>#N/A</v>
      </c>
      <c r="FJ226" s="138" t="e">
        <f>IF(VLOOKUP(CONCATENATE(H226,F226,FJ$2),Ciencias!$A:$H,7,FALSE)=BX226,1,0)</f>
        <v>#N/A</v>
      </c>
      <c r="FK226" s="138" t="e">
        <f>IF(VLOOKUP(CONCATENATE(H226,F226,FK$2),Ciencias!$A:$H,7,FALSE)=BY226,1,0)</f>
        <v>#N/A</v>
      </c>
      <c r="FL226" s="138" t="e">
        <f>IF(VLOOKUP(CONCATENATE(H226,F226,FL$2),Ciencias!$A:$H,7,FALSE)=BZ226,1,0)</f>
        <v>#N/A</v>
      </c>
      <c r="FM226" s="138" t="e">
        <f>IF(VLOOKUP(CONCATENATE(H226,F226,FM$2),Ciencias!$A:$H,7,FALSE)=CA226,1,0)</f>
        <v>#N/A</v>
      </c>
      <c r="FN226" s="138" t="e">
        <f>IF(VLOOKUP(CONCATENATE(H226,F226,FN$2),Ciencias!$A:$H,7,FALSE)=CB226,1,0)</f>
        <v>#N/A</v>
      </c>
      <c r="FO226" s="138" t="e">
        <f>IF(VLOOKUP(CONCATENATE(H226,F226,FO$2),Ciencias!$A:$H,7,FALSE)=CC226,1,0)</f>
        <v>#N/A</v>
      </c>
      <c r="FP226" s="138" t="e">
        <f>IF(VLOOKUP(CONCATENATE(H226,F226,FP$2),GeoHis!$A:$H,7,FALSE)=CD226,1,0)</f>
        <v>#N/A</v>
      </c>
      <c r="FQ226" s="138" t="e">
        <f>IF(VLOOKUP(CONCATENATE(H226,F226,FQ$2),GeoHis!$A:$H,7,FALSE)=CE226,1,0)</f>
        <v>#N/A</v>
      </c>
      <c r="FR226" s="138" t="e">
        <f>IF(VLOOKUP(CONCATENATE(H226,F226,FR$2),GeoHis!$A:$H,7,FALSE)=CF226,1,0)</f>
        <v>#N/A</v>
      </c>
      <c r="FS226" s="138" t="e">
        <f>IF(VLOOKUP(CONCATENATE(H226,F226,FS$2),GeoHis!$A:$H,7,FALSE)=CG226,1,0)</f>
        <v>#N/A</v>
      </c>
      <c r="FT226" s="138" t="e">
        <f>IF(VLOOKUP(CONCATENATE(H226,F226,FT$2),GeoHis!$A:$H,7,FALSE)=CH226,1,0)</f>
        <v>#N/A</v>
      </c>
      <c r="FU226" s="138" t="e">
        <f>IF(VLOOKUP(CONCATENATE(H226,F226,FU$2),GeoHis!$A:$H,7,FALSE)=CI226,1,0)</f>
        <v>#N/A</v>
      </c>
      <c r="FV226" s="138" t="e">
        <f>IF(VLOOKUP(CONCATENATE(H226,F226,FV$2),GeoHis!$A:$H,7,FALSE)=CJ226,1,0)</f>
        <v>#N/A</v>
      </c>
      <c r="FW226" s="138" t="e">
        <f>IF(VLOOKUP(CONCATENATE(H226,F226,FW$2),GeoHis!$A:$H,7,FALSE)=CK226,1,0)</f>
        <v>#N/A</v>
      </c>
      <c r="FX226" s="138" t="e">
        <f>IF(VLOOKUP(CONCATENATE(H226,F226,FX$2),GeoHis!$A:$H,7,FALSE)=CL226,1,0)</f>
        <v>#N/A</v>
      </c>
      <c r="FY226" s="138" t="e">
        <f>IF(VLOOKUP(CONCATENATE(H226,F226,FY$2),GeoHis!$A:$H,7,FALSE)=CM226,1,0)</f>
        <v>#N/A</v>
      </c>
      <c r="FZ226" s="138" t="e">
        <f>IF(VLOOKUP(CONCATENATE(H226,F226,FZ$2),GeoHis!$A:$H,7,FALSE)=CN226,1,0)</f>
        <v>#N/A</v>
      </c>
      <c r="GA226" s="138" t="e">
        <f>IF(VLOOKUP(CONCATENATE(H226,F226,GA$2),GeoHis!$A:$H,7,FALSE)=CO226,1,0)</f>
        <v>#N/A</v>
      </c>
      <c r="GB226" s="138" t="e">
        <f>IF(VLOOKUP(CONCATENATE(H226,F226,GB$2),GeoHis!$A:$H,7,FALSE)=CP226,1,0)</f>
        <v>#N/A</v>
      </c>
      <c r="GC226" s="138" t="e">
        <f>IF(VLOOKUP(CONCATENATE(H226,F226,GC$2),GeoHis!$A:$H,7,FALSE)=CQ226,1,0)</f>
        <v>#N/A</v>
      </c>
      <c r="GD226" s="138" t="e">
        <f>IF(VLOOKUP(CONCATENATE(H226,F226,GD$2),GeoHis!$A:$H,7,FALSE)=CR226,1,0)</f>
        <v>#N/A</v>
      </c>
      <c r="GE226" s="135" t="str">
        <f t="shared" si="31"/>
        <v/>
      </c>
    </row>
    <row r="227" spans="1:187" x14ac:dyDescent="0.25">
      <c r="A227" s="127" t="str">
        <f>IF(C227="","",'Datos Generales'!$A$25)</f>
        <v/>
      </c>
      <c r="D227" s="126" t="str">
        <f t="shared" si="24"/>
        <v/>
      </c>
      <c r="E227" s="126">
        <f t="shared" si="25"/>
        <v>0</v>
      </c>
      <c r="F227" s="126" t="str">
        <f t="shared" si="26"/>
        <v/>
      </c>
      <c r="G227" s="126" t="str">
        <f>IF(C227="","",'Datos Generales'!$D$19)</f>
        <v/>
      </c>
      <c r="H227" s="21" t="str">
        <f>IF(C227="","",'Datos Generales'!$A$19)</f>
        <v/>
      </c>
      <c r="I227" s="126" t="str">
        <f>IF(C227="","",'Datos Generales'!$A$7)</f>
        <v/>
      </c>
      <c r="J227" s="21" t="str">
        <f>IF(C227="","",'Datos Generales'!$A$13)</f>
        <v/>
      </c>
      <c r="K227" s="21" t="str">
        <f>IF(C227="","",'Datos Generales'!$A$10)</f>
        <v/>
      </c>
      <c r="CS227" s="142" t="str">
        <f t="shared" si="27"/>
        <v/>
      </c>
      <c r="CT227" s="142" t="str">
        <f t="shared" si="28"/>
        <v/>
      </c>
      <c r="CU227" s="142" t="str">
        <f t="shared" si="29"/>
        <v/>
      </c>
      <c r="CV227" s="142" t="str">
        <f t="shared" si="30"/>
        <v/>
      </c>
      <c r="CW227" s="142" t="str">
        <f>IF(C227="","",IF('Datos Generales'!$A$19=1,AVERAGE(FP227:GD227),AVERAGE(Captura!FP227:FY227)))</f>
        <v/>
      </c>
      <c r="CX227" s="138" t="e">
        <f>IF(VLOOKUP(CONCATENATE($H$4,$F$4,CX$2),Español!$A:$H,7,FALSE)=L227,1,0)</f>
        <v>#N/A</v>
      </c>
      <c r="CY227" s="138" t="e">
        <f>IF(VLOOKUP(CONCATENATE(H227,F227,CY$2),Español!$A:$H,7,FALSE)=M227,1,0)</f>
        <v>#N/A</v>
      </c>
      <c r="CZ227" s="138" t="e">
        <f>IF(VLOOKUP(CONCATENATE(H227,F227,CZ$2),Español!$A:$H,7,FALSE)=N227,1,0)</f>
        <v>#N/A</v>
      </c>
      <c r="DA227" s="138" t="e">
        <f>IF(VLOOKUP(CONCATENATE(H227,F227,DA$2),Español!$A:$H,7,FALSE)=O227,1,0)</f>
        <v>#N/A</v>
      </c>
      <c r="DB227" s="138" t="e">
        <f>IF(VLOOKUP(CONCATENATE(H227,F227,DB$2),Español!$A:$H,7,FALSE)=P227,1,0)</f>
        <v>#N/A</v>
      </c>
      <c r="DC227" s="138" t="e">
        <f>IF(VLOOKUP(CONCATENATE(H227,F227,DC$2),Español!$A:$H,7,FALSE)=Q227,1,0)</f>
        <v>#N/A</v>
      </c>
      <c r="DD227" s="138" t="e">
        <f>IF(VLOOKUP(CONCATENATE(H227,F227,DD$2),Español!$A:$H,7,FALSE)=R227,1,0)</f>
        <v>#N/A</v>
      </c>
      <c r="DE227" s="138" t="e">
        <f>IF(VLOOKUP(CONCATENATE(H227,F227,DE$2),Español!$A:$H,7,FALSE)=S227,1,0)</f>
        <v>#N/A</v>
      </c>
      <c r="DF227" s="138" t="e">
        <f>IF(VLOOKUP(CONCATENATE(H227,F227,DF$2),Español!$A:$H,7,FALSE)=T227,1,0)</f>
        <v>#N/A</v>
      </c>
      <c r="DG227" s="138" t="e">
        <f>IF(VLOOKUP(CONCATENATE(H227,F227,DG$2),Español!$A:$H,7,FALSE)=U227,1,0)</f>
        <v>#N/A</v>
      </c>
      <c r="DH227" s="138" t="e">
        <f>IF(VLOOKUP(CONCATENATE(H227,F227,DH$2),Español!$A:$H,7,FALSE)=V227,1,0)</f>
        <v>#N/A</v>
      </c>
      <c r="DI227" s="138" t="e">
        <f>IF(VLOOKUP(CONCATENATE(H227,F227,DI$2),Español!$A:$H,7,FALSE)=W227,1,0)</f>
        <v>#N/A</v>
      </c>
      <c r="DJ227" s="138" t="e">
        <f>IF(VLOOKUP(CONCATENATE(H227,F227,DJ$2),Español!$A:$H,7,FALSE)=X227,1,0)</f>
        <v>#N/A</v>
      </c>
      <c r="DK227" s="138" t="e">
        <f>IF(VLOOKUP(CONCATENATE(H227,F227,DK$2),Español!$A:$H,7,FALSE)=Y227,1,0)</f>
        <v>#N/A</v>
      </c>
      <c r="DL227" s="138" t="e">
        <f>IF(VLOOKUP(CONCATENATE(H227,F227,DL$2),Español!$A:$H,7,FALSE)=Z227,1,0)</f>
        <v>#N/A</v>
      </c>
      <c r="DM227" s="138" t="e">
        <f>IF(VLOOKUP(CONCATENATE(H227,F227,DM$2),Español!$A:$H,7,FALSE)=AA227,1,0)</f>
        <v>#N/A</v>
      </c>
      <c r="DN227" s="138" t="e">
        <f>IF(VLOOKUP(CONCATENATE(H227,F227,DN$2),Español!$A:$H,7,FALSE)=AB227,1,0)</f>
        <v>#N/A</v>
      </c>
      <c r="DO227" s="138" t="e">
        <f>IF(VLOOKUP(CONCATENATE(H227,F227,DO$2),Español!$A:$H,7,FALSE)=AC227,1,0)</f>
        <v>#N/A</v>
      </c>
      <c r="DP227" s="138" t="e">
        <f>IF(VLOOKUP(CONCATENATE(H227,F227,DP$2),Español!$A:$H,7,FALSE)=AD227,1,0)</f>
        <v>#N/A</v>
      </c>
      <c r="DQ227" s="138" t="e">
        <f>IF(VLOOKUP(CONCATENATE(H227,F227,DQ$2),Español!$A:$H,7,FALSE)=AE227,1,0)</f>
        <v>#N/A</v>
      </c>
      <c r="DR227" s="138" t="e">
        <f>IF(VLOOKUP(CONCATENATE(H227,F227,DR$2),Inglés!$A:$H,7,FALSE)=AF227,1,0)</f>
        <v>#N/A</v>
      </c>
      <c r="DS227" s="138" t="e">
        <f>IF(VLOOKUP(CONCATENATE(H227,F227,DS$2),Inglés!$A:$H,7,FALSE)=AG227,1,0)</f>
        <v>#N/A</v>
      </c>
      <c r="DT227" s="138" t="e">
        <f>IF(VLOOKUP(CONCATENATE(H227,F227,DT$2),Inglés!$A:$H,7,FALSE)=AH227,1,0)</f>
        <v>#N/A</v>
      </c>
      <c r="DU227" s="138" t="e">
        <f>IF(VLOOKUP(CONCATENATE(H227,F227,DU$2),Inglés!$A:$H,7,FALSE)=AI227,1,0)</f>
        <v>#N/A</v>
      </c>
      <c r="DV227" s="138" t="e">
        <f>IF(VLOOKUP(CONCATENATE(H227,F227,DV$2),Inglés!$A:$H,7,FALSE)=AJ227,1,0)</f>
        <v>#N/A</v>
      </c>
      <c r="DW227" s="138" t="e">
        <f>IF(VLOOKUP(CONCATENATE(H227,F227,DW$2),Inglés!$A:$H,7,FALSE)=AK227,1,0)</f>
        <v>#N/A</v>
      </c>
      <c r="DX227" s="138" t="e">
        <f>IF(VLOOKUP(CONCATENATE(H227,F227,DX$2),Inglés!$A:$H,7,FALSE)=AL227,1,0)</f>
        <v>#N/A</v>
      </c>
      <c r="DY227" s="138" t="e">
        <f>IF(VLOOKUP(CONCATENATE(H227,F227,DY$2),Inglés!$A:$H,7,FALSE)=AM227,1,0)</f>
        <v>#N/A</v>
      </c>
      <c r="DZ227" s="138" t="e">
        <f>IF(VLOOKUP(CONCATENATE(H227,F227,DZ$2),Inglés!$A:$H,7,FALSE)=AN227,1,0)</f>
        <v>#N/A</v>
      </c>
      <c r="EA227" s="138" t="e">
        <f>IF(VLOOKUP(CONCATENATE(H227,F227,EA$2),Inglés!$A:$H,7,FALSE)=AO227,1,0)</f>
        <v>#N/A</v>
      </c>
      <c r="EB227" s="138" t="e">
        <f>IF(VLOOKUP(CONCATENATE(H227,F227,EB$2),Matemáticas!$A:$H,7,FALSE)=AP227,1,0)</f>
        <v>#N/A</v>
      </c>
      <c r="EC227" s="138" t="e">
        <f>IF(VLOOKUP(CONCATENATE(H227,F227,EC$2),Matemáticas!$A:$H,7,FALSE)=AQ227,1,0)</f>
        <v>#N/A</v>
      </c>
      <c r="ED227" s="138" t="e">
        <f>IF(VLOOKUP(CONCATENATE(H227,F227,ED$2),Matemáticas!$A:$H,7,FALSE)=AR227,1,0)</f>
        <v>#N/A</v>
      </c>
      <c r="EE227" s="138" t="e">
        <f>IF(VLOOKUP(CONCATENATE(H227,F227,EE$2),Matemáticas!$A:$H,7,FALSE)=AS227,1,0)</f>
        <v>#N/A</v>
      </c>
      <c r="EF227" s="138" t="e">
        <f>IF(VLOOKUP(CONCATENATE(H227,F227,EF$2),Matemáticas!$A:$H,7,FALSE)=AT227,1,0)</f>
        <v>#N/A</v>
      </c>
      <c r="EG227" s="138" t="e">
        <f>IF(VLOOKUP(CONCATENATE(H227,F227,EG$2),Matemáticas!$A:$H,7,FALSE)=AU227,1,0)</f>
        <v>#N/A</v>
      </c>
      <c r="EH227" s="138" t="e">
        <f>IF(VLOOKUP(CONCATENATE(H227,F227,EH$2),Matemáticas!$A:$H,7,FALSE)=AV227,1,0)</f>
        <v>#N/A</v>
      </c>
      <c r="EI227" s="138" t="e">
        <f>IF(VLOOKUP(CONCATENATE(H227,F227,EI$2),Matemáticas!$A:$H,7,FALSE)=AW227,1,0)</f>
        <v>#N/A</v>
      </c>
      <c r="EJ227" s="138" t="e">
        <f>IF(VLOOKUP(CONCATENATE(H227,F227,EJ$2),Matemáticas!$A:$H,7,FALSE)=AX227,1,0)</f>
        <v>#N/A</v>
      </c>
      <c r="EK227" s="138" t="e">
        <f>IF(VLOOKUP(CONCATENATE(H227,F227,EK$2),Matemáticas!$A:$H,7,FALSE)=AY227,1,0)</f>
        <v>#N/A</v>
      </c>
      <c r="EL227" s="138" t="e">
        <f>IF(VLOOKUP(CONCATENATE(H227,F227,EL$2),Matemáticas!$A:$H,7,FALSE)=AZ227,1,0)</f>
        <v>#N/A</v>
      </c>
      <c r="EM227" s="138" t="e">
        <f>IF(VLOOKUP(CONCATENATE(H227,F227,EM$2),Matemáticas!$A:$H,7,FALSE)=BA227,1,0)</f>
        <v>#N/A</v>
      </c>
      <c r="EN227" s="138" t="e">
        <f>IF(VLOOKUP(CONCATENATE(H227,F227,EN$2),Matemáticas!$A:$H,7,FALSE)=BB227,1,0)</f>
        <v>#N/A</v>
      </c>
      <c r="EO227" s="138" t="e">
        <f>IF(VLOOKUP(CONCATENATE(H227,F227,EO$2),Matemáticas!$A:$H,7,FALSE)=BC227,1,0)</f>
        <v>#N/A</v>
      </c>
      <c r="EP227" s="138" t="e">
        <f>IF(VLOOKUP(CONCATENATE(H227,F227,EP$2),Matemáticas!$A:$H,7,FALSE)=BD227,1,0)</f>
        <v>#N/A</v>
      </c>
      <c r="EQ227" s="138" t="e">
        <f>IF(VLOOKUP(CONCATENATE(H227,F227,EQ$2),Matemáticas!$A:$H,7,FALSE)=BE227,1,0)</f>
        <v>#N/A</v>
      </c>
      <c r="ER227" s="138" t="e">
        <f>IF(VLOOKUP(CONCATENATE(H227,F227,ER$2),Matemáticas!$A:$H,7,FALSE)=BF227,1,0)</f>
        <v>#N/A</v>
      </c>
      <c r="ES227" s="138" t="e">
        <f>IF(VLOOKUP(CONCATENATE(H227,F227,ES$2),Matemáticas!$A:$H,7,FALSE)=BG227,1,0)</f>
        <v>#N/A</v>
      </c>
      <c r="ET227" s="138" t="e">
        <f>IF(VLOOKUP(CONCATENATE(H227,F227,ET$2),Matemáticas!$A:$H,7,FALSE)=BH227,1,0)</f>
        <v>#N/A</v>
      </c>
      <c r="EU227" s="138" t="e">
        <f>IF(VLOOKUP(CONCATENATE(H227,F227,EU$2),Matemáticas!$A:$H,7,FALSE)=BI227,1,0)</f>
        <v>#N/A</v>
      </c>
      <c r="EV227" s="138" t="e">
        <f>IF(VLOOKUP(CONCATENATE(H227,F227,EV$2),Ciencias!$A:$H,7,FALSE)=BJ227,1,0)</f>
        <v>#N/A</v>
      </c>
      <c r="EW227" s="138" t="e">
        <f>IF(VLOOKUP(CONCATENATE(H227,F227,EW$2),Ciencias!$A:$H,7,FALSE)=BK227,1,0)</f>
        <v>#N/A</v>
      </c>
      <c r="EX227" s="138" t="e">
        <f>IF(VLOOKUP(CONCATENATE(H227,F227,EX$2),Ciencias!$A:$H,7,FALSE)=BL227,1,0)</f>
        <v>#N/A</v>
      </c>
      <c r="EY227" s="138" t="e">
        <f>IF(VLOOKUP(CONCATENATE(H227,F227,EY$2),Ciencias!$A:$H,7,FALSE)=BM227,1,0)</f>
        <v>#N/A</v>
      </c>
      <c r="EZ227" s="138" t="e">
        <f>IF(VLOOKUP(CONCATENATE(H227,F227,EZ$2),Ciencias!$A:$H,7,FALSE)=BN227,1,0)</f>
        <v>#N/A</v>
      </c>
      <c r="FA227" s="138" t="e">
        <f>IF(VLOOKUP(CONCATENATE(H227,F227,FA$2),Ciencias!$A:$H,7,FALSE)=BO227,1,0)</f>
        <v>#N/A</v>
      </c>
      <c r="FB227" s="138" t="e">
        <f>IF(VLOOKUP(CONCATENATE(H227,F227,FB$2),Ciencias!$A:$H,7,FALSE)=BP227,1,0)</f>
        <v>#N/A</v>
      </c>
      <c r="FC227" s="138" t="e">
        <f>IF(VLOOKUP(CONCATENATE(H227,F227,FC$2),Ciencias!$A:$H,7,FALSE)=BQ227,1,0)</f>
        <v>#N/A</v>
      </c>
      <c r="FD227" s="138" t="e">
        <f>IF(VLOOKUP(CONCATENATE(H227,F227,FD$2),Ciencias!$A:$H,7,FALSE)=BR227,1,0)</f>
        <v>#N/A</v>
      </c>
      <c r="FE227" s="138" t="e">
        <f>IF(VLOOKUP(CONCATENATE(H227,F227,FE$2),Ciencias!$A:$H,7,FALSE)=BS227,1,0)</f>
        <v>#N/A</v>
      </c>
      <c r="FF227" s="138" t="e">
        <f>IF(VLOOKUP(CONCATENATE(H227,F227,FF$2),Ciencias!$A:$H,7,FALSE)=BT227,1,0)</f>
        <v>#N/A</v>
      </c>
      <c r="FG227" s="138" t="e">
        <f>IF(VLOOKUP(CONCATENATE(H227,F227,FG$2),Ciencias!$A:$H,7,FALSE)=BU227,1,0)</f>
        <v>#N/A</v>
      </c>
      <c r="FH227" s="138" t="e">
        <f>IF(VLOOKUP(CONCATENATE(H227,F227,FH$2),Ciencias!$A:$H,7,FALSE)=BV227,1,0)</f>
        <v>#N/A</v>
      </c>
      <c r="FI227" s="138" t="e">
        <f>IF(VLOOKUP(CONCATENATE(H227,F227,FI$2),Ciencias!$A:$H,7,FALSE)=BW227,1,0)</f>
        <v>#N/A</v>
      </c>
      <c r="FJ227" s="138" t="e">
        <f>IF(VLOOKUP(CONCATENATE(H227,F227,FJ$2),Ciencias!$A:$H,7,FALSE)=BX227,1,0)</f>
        <v>#N/A</v>
      </c>
      <c r="FK227" s="138" t="e">
        <f>IF(VLOOKUP(CONCATENATE(H227,F227,FK$2),Ciencias!$A:$H,7,FALSE)=BY227,1,0)</f>
        <v>#N/A</v>
      </c>
      <c r="FL227" s="138" t="e">
        <f>IF(VLOOKUP(CONCATENATE(H227,F227,FL$2),Ciencias!$A:$H,7,FALSE)=BZ227,1,0)</f>
        <v>#N/A</v>
      </c>
      <c r="FM227" s="138" t="e">
        <f>IF(VLOOKUP(CONCATENATE(H227,F227,FM$2),Ciencias!$A:$H,7,FALSE)=CA227,1,0)</f>
        <v>#N/A</v>
      </c>
      <c r="FN227" s="138" t="e">
        <f>IF(VLOOKUP(CONCATENATE(H227,F227,FN$2),Ciencias!$A:$H,7,FALSE)=CB227,1,0)</f>
        <v>#N/A</v>
      </c>
      <c r="FO227" s="138" t="e">
        <f>IF(VLOOKUP(CONCATENATE(H227,F227,FO$2),Ciencias!$A:$H,7,FALSE)=CC227,1,0)</f>
        <v>#N/A</v>
      </c>
      <c r="FP227" s="138" t="e">
        <f>IF(VLOOKUP(CONCATENATE(H227,F227,FP$2),GeoHis!$A:$H,7,FALSE)=CD227,1,0)</f>
        <v>#N/A</v>
      </c>
      <c r="FQ227" s="138" t="e">
        <f>IF(VLOOKUP(CONCATENATE(H227,F227,FQ$2),GeoHis!$A:$H,7,FALSE)=CE227,1,0)</f>
        <v>#N/A</v>
      </c>
      <c r="FR227" s="138" t="e">
        <f>IF(VLOOKUP(CONCATENATE(H227,F227,FR$2),GeoHis!$A:$H,7,FALSE)=CF227,1,0)</f>
        <v>#N/A</v>
      </c>
      <c r="FS227" s="138" t="e">
        <f>IF(VLOOKUP(CONCATENATE(H227,F227,FS$2),GeoHis!$A:$H,7,FALSE)=CG227,1,0)</f>
        <v>#N/A</v>
      </c>
      <c r="FT227" s="138" t="e">
        <f>IF(VLOOKUP(CONCATENATE(H227,F227,FT$2),GeoHis!$A:$H,7,FALSE)=CH227,1,0)</f>
        <v>#N/A</v>
      </c>
      <c r="FU227" s="138" t="e">
        <f>IF(VLOOKUP(CONCATENATE(H227,F227,FU$2),GeoHis!$A:$H,7,FALSE)=CI227,1,0)</f>
        <v>#N/A</v>
      </c>
      <c r="FV227" s="138" t="e">
        <f>IF(VLOOKUP(CONCATENATE(H227,F227,FV$2),GeoHis!$A:$H,7,FALSE)=CJ227,1,0)</f>
        <v>#N/A</v>
      </c>
      <c r="FW227" s="138" t="e">
        <f>IF(VLOOKUP(CONCATENATE(H227,F227,FW$2),GeoHis!$A:$H,7,FALSE)=CK227,1,0)</f>
        <v>#N/A</v>
      </c>
      <c r="FX227" s="138" t="e">
        <f>IF(VLOOKUP(CONCATENATE(H227,F227,FX$2),GeoHis!$A:$H,7,FALSE)=CL227,1,0)</f>
        <v>#N/A</v>
      </c>
      <c r="FY227" s="138" t="e">
        <f>IF(VLOOKUP(CONCATENATE(H227,F227,FY$2),GeoHis!$A:$H,7,FALSE)=CM227,1,0)</f>
        <v>#N/A</v>
      </c>
      <c r="FZ227" s="138" t="e">
        <f>IF(VLOOKUP(CONCATENATE(H227,F227,FZ$2),GeoHis!$A:$H,7,FALSE)=CN227,1,0)</f>
        <v>#N/A</v>
      </c>
      <c r="GA227" s="138" t="e">
        <f>IF(VLOOKUP(CONCATENATE(H227,F227,GA$2),GeoHis!$A:$H,7,FALSE)=CO227,1,0)</f>
        <v>#N/A</v>
      </c>
      <c r="GB227" s="138" t="e">
        <f>IF(VLOOKUP(CONCATENATE(H227,F227,GB$2),GeoHis!$A:$H,7,FALSE)=CP227,1,0)</f>
        <v>#N/A</v>
      </c>
      <c r="GC227" s="138" t="e">
        <f>IF(VLOOKUP(CONCATENATE(H227,F227,GC$2),GeoHis!$A:$H,7,FALSE)=CQ227,1,0)</f>
        <v>#N/A</v>
      </c>
      <c r="GD227" s="138" t="e">
        <f>IF(VLOOKUP(CONCATENATE(H227,F227,GD$2),GeoHis!$A:$H,7,FALSE)=CR227,1,0)</f>
        <v>#N/A</v>
      </c>
      <c r="GE227" s="135" t="str">
        <f t="shared" si="31"/>
        <v/>
      </c>
    </row>
    <row r="228" spans="1:187" x14ac:dyDescent="0.25">
      <c r="A228" s="127" t="str">
        <f>IF(C228="","",'Datos Generales'!$A$25)</f>
        <v/>
      </c>
      <c r="D228" s="126" t="str">
        <f t="shared" si="24"/>
        <v/>
      </c>
      <c r="E228" s="126">
        <f t="shared" si="25"/>
        <v>0</v>
      </c>
      <c r="F228" s="126" t="str">
        <f t="shared" si="26"/>
        <v/>
      </c>
      <c r="G228" s="126" t="str">
        <f>IF(C228="","",'Datos Generales'!$D$19)</f>
        <v/>
      </c>
      <c r="H228" s="21" t="str">
        <f>IF(C228="","",'Datos Generales'!$A$19)</f>
        <v/>
      </c>
      <c r="I228" s="126" t="str">
        <f>IF(C228="","",'Datos Generales'!$A$7)</f>
        <v/>
      </c>
      <c r="J228" s="21" t="str">
        <f>IF(C228="","",'Datos Generales'!$A$13)</f>
        <v/>
      </c>
      <c r="K228" s="21" t="str">
        <f>IF(C228="","",'Datos Generales'!$A$10)</f>
        <v/>
      </c>
      <c r="CS228" s="142" t="str">
        <f t="shared" si="27"/>
        <v/>
      </c>
      <c r="CT228" s="142" t="str">
        <f t="shared" si="28"/>
        <v/>
      </c>
      <c r="CU228" s="142" t="str">
        <f t="shared" si="29"/>
        <v/>
      </c>
      <c r="CV228" s="142" t="str">
        <f t="shared" si="30"/>
        <v/>
      </c>
      <c r="CW228" s="142" t="str">
        <f>IF(C228="","",IF('Datos Generales'!$A$19=1,AVERAGE(FP228:GD228),AVERAGE(Captura!FP228:FY228)))</f>
        <v/>
      </c>
      <c r="CX228" s="138" t="e">
        <f>IF(VLOOKUP(CONCATENATE($H$4,$F$4,CX$2),Español!$A:$H,7,FALSE)=L228,1,0)</f>
        <v>#N/A</v>
      </c>
      <c r="CY228" s="138" t="e">
        <f>IF(VLOOKUP(CONCATENATE(H228,F228,CY$2),Español!$A:$H,7,FALSE)=M228,1,0)</f>
        <v>#N/A</v>
      </c>
      <c r="CZ228" s="138" t="e">
        <f>IF(VLOOKUP(CONCATENATE(H228,F228,CZ$2),Español!$A:$H,7,FALSE)=N228,1,0)</f>
        <v>#N/A</v>
      </c>
      <c r="DA228" s="138" t="e">
        <f>IF(VLOOKUP(CONCATENATE(H228,F228,DA$2),Español!$A:$H,7,FALSE)=O228,1,0)</f>
        <v>#N/A</v>
      </c>
      <c r="DB228" s="138" t="e">
        <f>IF(VLOOKUP(CONCATENATE(H228,F228,DB$2),Español!$A:$H,7,FALSE)=P228,1,0)</f>
        <v>#N/A</v>
      </c>
      <c r="DC228" s="138" t="e">
        <f>IF(VLOOKUP(CONCATENATE(H228,F228,DC$2),Español!$A:$H,7,FALSE)=Q228,1,0)</f>
        <v>#N/A</v>
      </c>
      <c r="DD228" s="138" t="e">
        <f>IF(VLOOKUP(CONCATENATE(H228,F228,DD$2),Español!$A:$H,7,FALSE)=R228,1,0)</f>
        <v>#N/A</v>
      </c>
      <c r="DE228" s="138" t="e">
        <f>IF(VLOOKUP(CONCATENATE(H228,F228,DE$2),Español!$A:$H,7,FALSE)=S228,1,0)</f>
        <v>#N/A</v>
      </c>
      <c r="DF228" s="138" t="e">
        <f>IF(VLOOKUP(CONCATENATE(H228,F228,DF$2),Español!$A:$H,7,FALSE)=T228,1,0)</f>
        <v>#N/A</v>
      </c>
      <c r="DG228" s="138" t="e">
        <f>IF(VLOOKUP(CONCATENATE(H228,F228,DG$2),Español!$A:$H,7,FALSE)=U228,1,0)</f>
        <v>#N/A</v>
      </c>
      <c r="DH228" s="138" t="e">
        <f>IF(VLOOKUP(CONCATENATE(H228,F228,DH$2),Español!$A:$H,7,FALSE)=V228,1,0)</f>
        <v>#N/A</v>
      </c>
      <c r="DI228" s="138" t="e">
        <f>IF(VLOOKUP(CONCATENATE(H228,F228,DI$2),Español!$A:$H,7,FALSE)=W228,1,0)</f>
        <v>#N/A</v>
      </c>
      <c r="DJ228" s="138" t="e">
        <f>IF(VLOOKUP(CONCATENATE(H228,F228,DJ$2),Español!$A:$H,7,FALSE)=X228,1,0)</f>
        <v>#N/A</v>
      </c>
      <c r="DK228" s="138" t="e">
        <f>IF(VLOOKUP(CONCATENATE(H228,F228,DK$2),Español!$A:$H,7,FALSE)=Y228,1,0)</f>
        <v>#N/A</v>
      </c>
      <c r="DL228" s="138" t="e">
        <f>IF(VLOOKUP(CONCATENATE(H228,F228,DL$2),Español!$A:$H,7,FALSE)=Z228,1,0)</f>
        <v>#N/A</v>
      </c>
      <c r="DM228" s="138" t="e">
        <f>IF(VLOOKUP(CONCATENATE(H228,F228,DM$2),Español!$A:$H,7,FALSE)=AA228,1,0)</f>
        <v>#N/A</v>
      </c>
      <c r="DN228" s="138" t="e">
        <f>IF(VLOOKUP(CONCATENATE(H228,F228,DN$2),Español!$A:$H,7,FALSE)=AB228,1,0)</f>
        <v>#N/A</v>
      </c>
      <c r="DO228" s="138" t="e">
        <f>IF(VLOOKUP(CONCATENATE(H228,F228,DO$2),Español!$A:$H,7,FALSE)=AC228,1,0)</f>
        <v>#N/A</v>
      </c>
      <c r="DP228" s="138" t="e">
        <f>IF(VLOOKUP(CONCATENATE(H228,F228,DP$2),Español!$A:$H,7,FALSE)=AD228,1,0)</f>
        <v>#N/A</v>
      </c>
      <c r="DQ228" s="138" t="e">
        <f>IF(VLOOKUP(CONCATENATE(H228,F228,DQ$2),Español!$A:$H,7,FALSE)=AE228,1,0)</f>
        <v>#N/A</v>
      </c>
      <c r="DR228" s="138" t="e">
        <f>IF(VLOOKUP(CONCATENATE(H228,F228,DR$2),Inglés!$A:$H,7,FALSE)=AF228,1,0)</f>
        <v>#N/A</v>
      </c>
      <c r="DS228" s="138" t="e">
        <f>IF(VLOOKUP(CONCATENATE(H228,F228,DS$2),Inglés!$A:$H,7,FALSE)=AG228,1,0)</f>
        <v>#N/A</v>
      </c>
      <c r="DT228" s="138" t="e">
        <f>IF(VLOOKUP(CONCATENATE(H228,F228,DT$2),Inglés!$A:$H,7,FALSE)=AH228,1,0)</f>
        <v>#N/A</v>
      </c>
      <c r="DU228" s="138" t="e">
        <f>IF(VLOOKUP(CONCATENATE(H228,F228,DU$2),Inglés!$A:$H,7,FALSE)=AI228,1,0)</f>
        <v>#N/A</v>
      </c>
      <c r="DV228" s="138" t="e">
        <f>IF(VLOOKUP(CONCATENATE(H228,F228,DV$2),Inglés!$A:$H,7,FALSE)=AJ228,1,0)</f>
        <v>#N/A</v>
      </c>
      <c r="DW228" s="138" t="e">
        <f>IF(VLOOKUP(CONCATENATE(H228,F228,DW$2),Inglés!$A:$H,7,FALSE)=AK228,1,0)</f>
        <v>#N/A</v>
      </c>
      <c r="DX228" s="138" t="e">
        <f>IF(VLOOKUP(CONCATENATE(H228,F228,DX$2),Inglés!$A:$H,7,FALSE)=AL228,1,0)</f>
        <v>#N/A</v>
      </c>
      <c r="DY228" s="138" t="e">
        <f>IF(VLOOKUP(CONCATENATE(H228,F228,DY$2),Inglés!$A:$H,7,FALSE)=AM228,1,0)</f>
        <v>#N/A</v>
      </c>
      <c r="DZ228" s="138" t="e">
        <f>IF(VLOOKUP(CONCATENATE(H228,F228,DZ$2),Inglés!$A:$H,7,FALSE)=AN228,1,0)</f>
        <v>#N/A</v>
      </c>
      <c r="EA228" s="138" t="e">
        <f>IF(VLOOKUP(CONCATENATE(H228,F228,EA$2),Inglés!$A:$H,7,FALSE)=AO228,1,0)</f>
        <v>#N/A</v>
      </c>
      <c r="EB228" s="138" t="e">
        <f>IF(VLOOKUP(CONCATENATE(H228,F228,EB$2),Matemáticas!$A:$H,7,FALSE)=AP228,1,0)</f>
        <v>#N/A</v>
      </c>
      <c r="EC228" s="138" t="e">
        <f>IF(VLOOKUP(CONCATENATE(H228,F228,EC$2),Matemáticas!$A:$H,7,FALSE)=AQ228,1,0)</f>
        <v>#N/A</v>
      </c>
      <c r="ED228" s="138" t="e">
        <f>IF(VLOOKUP(CONCATENATE(H228,F228,ED$2),Matemáticas!$A:$H,7,FALSE)=AR228,1,0)</f>
        <v>#N/A</v>
      </c>
      <c r="EE228" s="138" t="e">
        <f>IF(VLOOKUP(CONCATENATE(H228,F228,EE$2),Matemáticas!$A:$H,7,FALSE)=AS228,1,0)</f>
        <v>#N/A</v>
      </c>
      <c r="EF228" s="138" t="e">
        <f>IF(VLOOKUP(CONCATENATE(H228,F228,EF$2),Matemáticas!$A:$H,7,FALSE)=AT228,1,0)</f>
        <v>#N/A</v>
      </c>
      <c r="EG228" s="138" t="e">
        <f>IF(VLOOKUP(CONCATENATE(H228,F228,EG$2),Matemáticas!$A:$H,7,FALSE)=AU228,1,0)</f>
        <v>#N/A</v>
      </c>
      <c r="EH228" s="138" t="e">
        <f>IF(VLOOKUP(CONCATENATE(H228,F228,EH$2),Matemáticas!$A:$H,7,FALSE)=AV228,1,0)</f>
        <v>#N/A</v>
      </c>
      <c r="EI228" s="138" t="e">
        <f>IF(VLOOKUP(CONCATENATE(H228,F228,EI$2),Matemáticas!$A:$H,7,FALSE)=AW228,1,0)</f>
        <v>#N/A</v>
      </c>
      <c r="EJ228" s="138" t="e">
        <f>IF(VLOOKUP(CONCATENATE(H228,F228,EJ$2),Matemáticas!$A:$H,7,FALSE)=AX228,1,0)</f>
        <v>#N/A</v>
      </c>
      <c r="EK228" s="138" t="e">
        <f>IF(VLOOKUP(CONCATENATE(H228,F228,EK$2),Matemáticas!$A:$H,7,FALSE)=AY228,1,0)</f>
        <v>#N/A</v>
      </c>
      <c r="EL228" s="138" t="e">
        <f>IF(VLOOKUP(CONCATENATE(H228,F228,EL$2),Matemáticas!$A:$H,7,FALSE)=AZ228,1,0)</f>
        <v>#N/A</v>
      </c>
      <c r="EM228" s="138" t="e">
        <f>IF(VLOOKUP(CONCATENATE(H228,F228,EM$2),Matemáticas!$A:$H,7,FALSE)=BA228,1,0)</f>
        <v>#N/A</v>
      </c>
      <c r="EN228" s="138" t="e">
        <f>IF(VLOOKUP(CONCATENATE(H228,F228,EN$2),Matemáticas!$A:$H,7,FALSE)=BB228,1,0)</f>
        <v>#N/A</v>
      </c>
      <c r="EO228" s="138" t="e">
        <f>IF(VLOOKUP(CONCATENATE(H228,F228,EO$2),Matemáticas!$A:$H,7,FALSE)=BC228,1,0)</f>
        <v>#N/A</v>
      </c>
      <c r="EP228" s="138" t="e">
        <f>IF(VLOOKUP(CONCATENATE(H228,F228,EP$2),Matemáticas!$A:$H,7,FALSE)=BD228,1,0)</f>
        <v>#N/A</v>
      </c>
      <c r="EQ228" s="138" t="e">
        <f>IF(VLOOKUP(CONCATENATE(H228,F228,EQ$2),Matemáticas!$A:$H,7,FALSE)=BE228,1,0)</f>
        <v>#N/A</v>
      </c>
      <c r="ER228" s="138" t="e">
        <f>IF(VLOOKUP(CONCATENATE(H228,F228,ER$2),Matemáticas!$A:$H,7,FALSE)=BF228,1,0)</f>
        <v>#N/A</v>
      </c>
      <c r="ES228" s="138" t="e">
        <f>IF(VLOOKUP(CONCATENATE(H228,F228,ES$2),Matemáticas!$A:$H,7,FALSE)=BG228,1,0)</f>
        <v>#N/A</v>
      </c>
      <c r="ET228" s="138" t="e">
        <f>IF(VLOOKUP(CONCATENATE(H228,F228,ET$2),Matemáticas!$A:$H,7,FALSE)=BH228,1,0)</f>
        <v>#N/A</v>
      </c>
      <c r="EU228" s="138" t="e">
        <f>IF(VLOOKUP(CONCATENATE(H228,F228,EU$2),Matemáticas!$A:$H,7,FALSE)=BI228,1,0)</f>
        <v>#N/A</v>
      </c>
      <c r="EV228" s="138" t="e">
        <f>IF(VLOOKUP(CONCATENATE(H228,F228,EV$2),Ciencias!$A:$H,7,FALSE)=BJ228,1,0)</f>
        <v>#N/A</v>
      </c>
      <c r="EW228" s="138" t="e">
        <f>IF(VLOOKUP(CONCATENATE(H228,F228,EW$2),Ciencias!$A:$H,7,FALSE)=BK228,1,0)</f>
        <v>#N/A</v>
      </c>
      <c r="EX228" s="138" t="e">
        <f>IF(VLOOKUP(CONCATENATE(H228,F228,EX$2),Ciencias!$A:$H,7,FALSE)=BL228,1,0)</f>
        <v>#N/A</v>
      </c>
      <c r="EY228" s="138" t="e">
        <f>IF(VLOOKUP(CONCATENATE(H228,F228,EY$2),Ciencias!$A:$H,7,FALSE)=BM228,1,0)</f>
        <v>#N/A</v>
      </c>
      <c r="EZ228" s="138" t="e">
        <f>IF(VLOOKUP(CONCATENATE(H228,F228,EZ$2),Ciencias!$A:$H,7,FALSE)=BN228,1,0)</f>
        <v>#N/A</v>
      </c>
      <c r="FA228" s="138" t="e">
        <f>IF(VLOOKUP(CONCATENATE(H228,F228,FA$2),Ciencias!$A:$H,7,FALSE)=BO228,1,0)</f>
        <v>#N/A</v>
      </c>
      <c r="FB228" s="138" t="e">
        <f>IF(VLOOKUP(CONCATENATE(H228,F228,FB$2),Ciencias!$A:$H,7,FALSE)=BP228,1,0)</f>
        <v>#N/A</v>
      </c>
      <c r="FC228" s="138" t="e">
        <f>IF(VLOOKUP(CONCATENATE(H228,F228,FC$2),Ciencias!$A:$H,7,FALSE)=BQ228,1,0)</f>
        <v>#N/A</v>
      </c>
      <c r="FD228" s="138" t="e">
        <f>IF(VLOOKUP(CONCATENATE(H228,F228,FD$2),Ciencias!$A:$H,7,FALSE)=BR228,1,0)</f>
        <v>#N/A</v>
      </c>
      <c r="FE228" s="138" t="e">
        <f>IF(VLOOKUP(CONCATENATE(H228,F228,FE$2),Ciencias!$A:$H,7,FALSE)=BS228,1,0)</f>
        <v>#N/A</v>
      </c>
      <c r="FF228" s="138" t="e">
        <f>IF(VLOOKUP(CONCATENATE(H228,F228,FF$2),Ciencias!$A:$H,7,FALSE)=BT228,1,0)</f>
        <v>#N/A</v>
      </c>
      <c r="FG228" s="138" t="e">
        <f>IF(VLOOKUP(CONCATENATE(H228,F228,FG$2),Ciencias!$A:$H,7,FALSE)=BU228,1,0)</f>
        <v>#N/A</v>
      </c>
      <c r="FH228" s="138" t="e">
        <f>IF(VLOOKUP(CONCATENATE(H228,F228,FH$2),Ciencias!$A:$H,7,FALSE)=BV228,1,0)</f>
        <v>#N/A</v>
      </c>
      <c r="FI228" s="138" t="e">
        <f>IF(VLOOKUP(CONCATENATE(H228,F228,FI$2),Ciencias!$A:$H,7,FALSE)=BW228,1,0)</f>
        <v>#N/A</v>
      </c>
      <c r="FJ228" s="138" t="e">
        <f>IF(VLOOKUP(CONCATENATE(H228,F228,FJ$2),Ciencias!$A:$H,7,FALSE)=BX228,1,0)</f>
        <v>#N/A</v>
      </c>
      <c r="FK228" s="138" t="e">
        <f>IF(VLOOKUP(CONCATENATE(H228,F228,FK$2),Ciencias!$A:$H,7,FALSE)=BY228,1,0)</f>
        <v>#N/A</v>
      </c>
      <c r="FL228" s="138" t="e">
        <f>IF(VLOOKUP(CONCATENATE(H228,F228,FL$2),Ciencias!$A:$H,7,FALSE)=BZ228,1,0)</f>
        <v>#N/A</v>
      </c>
      <c r="FM228" s="138" t="e">
        <f>IF(VLOOKUP(CONCATENATE(H228,F228,FM$2),Ciencias!$A:$H,7,FALSE)=CA228,1,0)</f>
        <v>#N/A</v>
      </c>
      <c r="FN228" s="138" t="e">
        <f>IF(VLOOKUP(CONCATENATE(H228,F228,FN$2),Ciencias!$A:$H,7,FALSE)=CB228,1,0)</f>
        <v>#N/A</v>
      </c>
      <c r="FO228" s="138" t="e">
        <f>IF(VLOOKUP(CONCATENATE(H228,F228,FO$2),Ciencias!$A:$H,7,FALSE)=CC228,1,0)</f>
        <v>#N/A</v>
      </c>
      <c r="FP228" s="138" t="e">
        <f>IF(VLOOKUP(CONCATENATE(H228,F228,FP$2),GeoHis!$A:$H,7,FALSE)=CD228,1,0)</f>
        <v>#N/A</v>
      </c>
      <c r="FQ228" s="138" t="e">
        <f>IF(VLOOKUP(CONCATENATE(H228,F228,FQ$2),GeoHis!$A:$H,7,FALSE)=CE228,1,0)</f>
        <v>#N/A</v>
      </c>
      <c r="FR228" s="138" t="e">
        <f>IF(VLOOKUP(CONCATENATE(H228,F228,FR$2),GeoHis!$A:$H,7,FALSE)=CF228,1,0)</f>
        <v>#N/A</v>
      </c>
      <c r="FS228" s="138" t="e">
        <f>IF(VLOOKUP(CONCATENATE(H228,F228,FS$2),GeoHis!$A:$H,7,FALSE)=CG228,1,0)</f>
        <v>#N/A</v>
      </c>
      <c r="FT228" s="138" t="e">
        <f>IF(VLOOKUP(CONCATENATE(H228,F228,FT$2),GeoHis!$A:$H,7,FALSE)=CH228,1,0)</f>
        <v>#N/A</v>
      </c>
      <c r="FU228" s="138" t="e">
        <f>IF(VLOOKUP(CONCATENATE(H228,F228,FU$2),GeoHis!$A:$H,7,FALSE)=CI228,1,0)</f>
        <v>#N/A</v>
      </c>
      <c r="FV228" s="138" t="e">
        <f>IF(VLOOKUP(CONCATENATE(H228,F228,FV$2),GeoHis!$A:$H,7,FALSE)=CJ228,1,0)</f>
        <v>#N/A</v>
      </c>
      <c r="FW228" s="138" t="e">
        <f>IF(VLOOKUP(CONCATENATE(H228,F228,FW$2),GeoHis!$A:$H,7,FALSE)=CK228,1,0)</f>
        <v>#N/A</v>
      </c>
      <c r="FX228" s="138" t="e">
        <f>IF(VLOOKUP(CONCATENATE(H228,F228,FX$2),GeoHis!$A:$H,7,FALSE)=CL228,1,0)</f>
        <v>#N/A</v>
      </c>
      <c r="FY228" s="138" t="e">
        <f>IF(VLOOKUP(CONCATENATE(H228,F228,FY$2),GeoHis!$A:$H,7,FALSE)=CM228,1,0)</f>
        <v>#N/A</v>
      </c>
      <c r="FZ228" s="138" t="e">
        <f>IF(VLOOKUP(CONCATENATE(H228,F228,FZ$2),GeoHis!$A:$H,7,FALSE)=CN228,1,0)</f>
        <v>#N/A</v>
      </c>
      <c r="GA228" s="138" t="e">
        <f>IF(VLOOKUP(CONCATENATE(H228,F228,GA$2),GeoHis!$A:$H,7,FALSE)=CO228,1,0)</f>
        <v>#N/A</v>
      </c>
      <c r="GB228" s="138" t="e">
        <f>IF(VLOOKUP(CONCATENATE(H228,F228,GB$2),GeoHis!$A:$H,7,FALSE)=CP228,1,0)</f>
        <v>#N/A</v>
      </c>
      <c r="GC228" s="138" t="e">
        <f>IF(VLOOKUP(CONCATENATE(H228,F228,GC$2),GeoHis!$A:$H,7,FALSE)=CQ228,1,0)</f>
        <v>#N/A</v>
      </c>
      <c r="GD228" s="138" t="e">
        <f>IF(VLOOKUP(CONCATENATE(H228,F228,GD$2),GeoHis!$A:$H,7,FALSE)=CR228,1,0)</f>
        <v>#N/A</v>
      </c>
      <c r="GE228" s="135" t="str">
        <f t="shared" si="31"/>
        <v/>
      </c>
    </row>
    <row r="229" spans="1:187" x14ac:dyDescent="0.25">
      <c r="A229" s="127" t="str">
        <f>IF(C229="","",'Datos Generales'!$A$25)</f>
        <v/>
      </c>
      <c r="D229" s="126" t="str">
        <f t="shared" si="24"/>
        <v/>
      </c>
      <c r="E229" s="126">
        <f t="shared" si="25"/>
        <v>0</v>
      </c>
      <c r="F229" s="126" t="str">
        <f t="shared" si="26"/>
        <v/>
      </c>
      <c r="G229" s="126" t="str">
        <f>IF(C229="","",'Datos Generales'!$D$19)</f>
        <v/>
      </c>
      <c r="H229" s="21" t="str">
        <f>IF(C229="","",'Datos Generales'!$A$19)</f>
        <v/>
      </c>
      <c r="I229" s="126" t="str">
        <f>IF(C229="","",'Datos Generales'!$A$7)</f>
        <v/>
      </c>
      <c r="J229" s="21" t="str">
        <f>IF(C229="","",'Datos Generales'!$A$13)</f>
        <v/>
      </c>
      <c r="K229" s="21" t="str">
        <f>IF(C229="","",'Datos Generales'!$A$10)</f>
        <v/>
      </c>
      <c r="CS229" s="142" t="str">
        <f t="shared" si="27"/>
        <v/>
      </c>
      <c r="CT229" s="142" t="str">
        <f t="shared" si="28"/>
        <v/>
      </c>
      <c r="CU229" s="142" t="str">
        <f t="shared" si="29"/>
        <v/>
      </c>
      <c r="CV229" s="142" t="str">
        <f t="shared" si="30"/>
        <v/>
      </c>
      <c r="CW229" s="142" t="str">
        <f>IF(C229="","",IF('Datos Generales'!$A$19=1,AVERAGE(FP229:GD229),AVERAGE(Captura!FP229:FY229)))</f>
        <v/>
      </c>
      <c r="CX229" s="138" t="e">
        <f>IF(VLOOKUP(CONCATENATE($H$4,$F$4,CX$2),Español!$A:$H,7,FALSE)=L229,1,0)</f>
        <v>#N/A</v>
      </c>
      <c r="CY229" s="138" t="e">
        <f>IF(VLOOKUP(CONCATENATE(H229,F229,CY$2),Español!$A:$H,7,FALSE)=M229,1,0)</f>
        <v>#N/A</v>
      </c>
      <c r="CZ229" s="138" t="e">
        <f>IF(VLOOKUP(CONCATENATE(H229,F229,CZ$2),Español!$A:$H,7,FALSE)=N229,1,0)</f>
        <v>#N/A</v>
      </c>
      <c r="DA229" s="138" t="e">
        <f>IF(VLOOKUP(CONCATENATE(H229,F229,DA$2),Español!$A:$H,7,FALSE)=O229,1,0)</f>
        <v>#N/A</v>
      </c>
      <c r="DB229" s="138" t="e">
        <f>IF(VLOOKUP(CONCATENATE(H229,F229,DB$2),Español!$A:$H,7,FALSE)=P229,1,0)</f>
        <v>#N/A</v>
      </c>
      <c r="DC229" s="138" t="e">
        <f>IF(VLOOKUP(CONCATENATE(H229,F229,DC$2),Español!$A:$H,7,FALSE)=Q229,1,0)</f>
        <v>#N/A</v>
      </c>
      <c r="DD229" s="138" t="e">
        <f>IF(VLOOKUP(CONCATENATE(H229,F229,DD$2),Español!$A:$H,7,FALSE)=R229,1,0)</f>
        <v>#N/A</v>
      </c>
      <c r="DE229" s="138" t="e">
        <f>IF(VLOOKUP(CONCATENATE(H229,F229,DE$2),Español!$A:$H,7,FALSE)=S229,1,0)</f>
        <v>#N/A</v>
      </c>
      <c r="DF229" s="138" t="e">
        <f>IF(VLOOKUP(CONCATENATE(H229,F229,DF$2),Español!$A:$H,7,FALSE)=T229,1,0)</f>
        <v>#N/A</v>
      </c>
      <c r="DG229" s="138" t="e">
        <f>IF(VLOOKUP(CONCATENATE(H229,F229,DG$2),Español!$A:$H,7,FALSE)=U229,1,0)</f>
        <v>#N/A</v>
      </c>
      <c r="DH229" s="138" t="e">
        <f>IF(VLOOKUP(CONCATENATE(H229,F229,DH$2),Español!$A:$H,7,FALSE)=V229,1,0)</f>
        <v>#N/A</v>
      </c>
      <c r="DI229" s="138" t="e">
        <f>IF(VLOOKUP(CONCATENATE(H229,F229,DI$2),Español!$A:$H,7,FALSE)=W229,1,0)</f>
        <v>#N/A</v>
      </c>
      <c r="DJ229" s="138" t="e">
        <f>IF(VLOOKUP(CONCATENATE(H229,F229,DJ$2),Español!$A:$H,7,FALSE)=X229,1,0)</f>
        <v>#N/A</v>
      </c>
      <c r="DK229" s="138" t="e">
        <f>IF(VLOOKUP(CONCATENATE(H229,F229,DK$2),Español!$A:$H,7,FALSE)=Y229,1,0)</f>
        <v>#N/A</v>
      </c>
      <c r="DL229" s="138" t="e">
        <f>IF(VLOOKUP(CONCATENATE(H229,F229,DL$2),Español!$A:$H,7,FALSE)=Z229,1,0)</f>
        <v>#N/A</v>
      </c>
      <c r="DM229" s="138" t="e">
        <f>IF(VLOOKUP(CONCATENATE(H229,F229,DM$2),Español!$A:$H,7,FALSE)=AA229,1,0)</f>
        <v>#N/A</v>
      </c>
      <c r="DN229" s="138" t="e">
        <f>IF(VLOOKUP(CONCATENATE(H229,F229,DN$2),Español!$A:$H,7,FALSE)=AB229,1,0)</f>
        <v>#N/A</v>
      </c>
      <c r="DO229" s="138" t="e">
        <f>IF(VLOOKUP(CONCATENATE(H229,F229,DO$2),Español!$A:$H,7,FALSE)=AC229,1,0)</f>
        <v>#N/A</v>
      </c>
      <c r="DP229" s="138" t="e">
        <f>IF(VLOOKUP(CONCATENATE(H229,F229,DP$2),Español!$A:$H,7,FALSE)=AD229,1,0)</f>
        <v>#N/A</v>
      </c>
      <c r="DQ229" s="138" t="e">
        <f>IF(VLOOKUP(CONCATENATE(H229,F229,DQ$2),Español!$A:$H,7,FALSE)=AE229,1,0)</f>
        <v>#N/A</v>
      </c>
      <c r="DR229" s="138" t="e">
        <f>IF(VLOOKUP(CONCATENATE(H229,F229,DR$2),Inglés!$A:$H,7,FALSE)=AF229,1,0)</f>
        <v>#N/A</v>
      </c>
      <c r="DS229" s="138" t="e">
        <f>IF(VLOOKUP(CONCATENATE(H229,F229,DS$2),Inglés!$A:$H,7,FALSE)=AG229,1,0)</f>
        <v>#N/A</v>
      </c>
      <c r="DT229" s="138" t="e">
        <f>IF(VLOOKUP(CONCATENATE(H229,F229,DT$2),Inglés!$A:$H,7,FALSE)=AH229,1,0)</f>
        <v>#N/A</v>
      </c>
      <c r="DU229" s="138" t="e">
        <f>IF(VLOOKUP(CONCATENATE(H229,F229,DU$2),Inglés!$A:$H,7,FALSE)=AI229,1,0)</f>
        <v>#N/A</v>
      </c>
      <c r="DV229" s="138" t="e">
        <f>IF(VLOOKUP(CONCATENATE(H229,F229,DV$2),Inglés!$A:$H,7,FALSE)=AJ229,1,0)</f>
        <v>#N/A</v>
      </c>
      <c r="DW229" s="138" t="e">
        <f>IF(VLOOKUP(CONCATENATE(H229,F229,DW$2),Inglés!$A:$H,7,FALSE)=AK229,1,0)</f>
        <v>#N/A</v>
      </c>
      <c r="DX229" s="138" t="e">
        <f>IF(VLOOKUP(CONCATENATE(H229,F229,DX$2),Inglés!$A:$H,7,FALSE)=AL229,1,0)</f>
        <v>#N/A</v>
      </c>
      <c r="DY229" s="138" t="e">
        <f>IF(VLOOKUP(CONCATENATE(H229,F229,DY$2),Inglés!$A:$H,7,FALSE)=AM229,1,0)</f>
        <v>#N/A</v>
      </c>
      <c r="DZ229" s="138" t="e">
        <f>IF(VLOOKUP(CONCATENATE(H229,F229,DZ$2),Inglés!$A:$H,7,FALSE)=AN229,1,0)</f>
        <v>#N/A</v>
      </c>
      <c r="EA229" s="138" t="e">
        <f>IF(VLOOKUP(CONCATENATE(H229,F229,EA$2),Inglés!$A:$H,7,FALSE)=AO229,1,0)</f>
        <v>#N/A</v>
      </c>
      <c r="EB229" s="138" t="e">
        <f>IF(VLOOKUP(CONCATENATE(H229,F229,EB$2),Matemáticas!$A:$H,7,FALSE)=AP229,1,0)</f>
        <v>#N/A</v>
      </c>
      <c r="EC229" s="138" t="e">
        <f>IF(VLOOKUP(CONCATENATE(H229,F229,EC$2),Matemáticas!$A:$H,7,FALSE)=AQ229,1,0)</f>
        <v>#N/A</v>
      </c>
      <c r="ED229" s="138" t="e">
        <f>IF(VLOOKUP(CONCATENATE(H229,F229,ED$2),Matemáticas!$A:$H,7,FALSE)=AR229,1,0)</f>
        <v>#N/A</v>
      </c>
      <c r="EE229" s="138" t="e">
        <f>IF(VLOOKUP(CONCATENATE(H229,F229,EE$2),Matemáticas!$A:$H,7,FALSE)=AS229,1,0)</f>
        <v>#N/A</v>
      </c>
      <c r="EF229" s="138" t="e">
        <f>IF(VLOOKUP(CONCATENATE(H229,F229,EF$2),Matemáticas!$A:$H,7,FALSE)=AT229,1,0)</f>
        <v>#N/A</v>
      </c>
      <c r="EG229" s="138" t="e">
        <f>IF(VLOOKUP(CONCATENATE(H229,F229,EG$2),Matemáticas!$A:$H,7,FALSE)=AU229,1,0)</f>
        <v>#N/A</v>
      </c>
      <c r="EH229" s="138" t="e">
        <f>IF(VLOOKUP(CONCATENATE(H229,F229,EH$2),Matemáticas!$A:$H,7,FALSE)=AV229,1,0)</f>
        <v>#N/A</v>
      </c>
      <c r="EI229" s="138" t="e">
        <f>IF(VLOOKUP(CONCATENATE(H229,F229,EI$2),Matemáticas!$A:$H,7,FALSE)=AW229,1,0)</f>
        <v>#N/A</v>
      </c>
      <c r="EJ229" s="138" t="e">
        <f>IF(VLOOKUP(CONCATENATE(H229,F229,EJ$2),Matemáticas!$A:$H,7,FALSE)=AX229,1,0)</f>
        <v>#N/A</v>
      </c>
      <c r="EK229" s="138" t="e">
        <f>IF(VLOOKUP(CONCATENATE(H229,F229,EK$2),Matemáticas!$A:$H,7,FALSE)=AY229,1,0)</f>
        <v>#N/A</v>
      </c>
      <c r="EL229" s="138" t="e">
        <f>IF(VLOOKUP(CONCATENATE(H229,F229,EL$2),Matemáticas!$A:$H,7,FALSE)=AZ229,1,0)</f>
        <v>#N/A</v>
      </c>
      <c r="EM229" s="138" t="e">
        <f>IF(VLOOKUP(CONCATENATE(H229,F229,EM$2),Matemáticas!$A:$H,7,FALSE)=BA229,1,0)</f>
        <v>#N/A</v>
      </c>
      <c r="EN229" s="138" t="e">
        <f>IF(VLOOKUP(CONCATENATE(H229,F229,EN$2),Matemáticas!$A:$H,7,FALSE)=BB229,1,0)</f>
        <v>#N/A</v>
      </c>
      <c r="EO229" s="138" t="e">
        <f>IF(VLOOKUP(CONCATENATE(H229,F229,EO$2),Matemáticas!$A:$H,7,FALSE)=BC229,1,0)</f>
        <v>#N/A</v>
      </c>
      <c r="EP229" s="138" t="e">
        <f>IF(VLOOKUP(CONCATENATE(H229,F229,EP$2),Matemáticas!$A:$H,7,FALSE)=BD229,1,0)</f>
        <v>#N/A</v>
      </c>
      <c r="EQ229" s="138" t="e">
        <f>IF(VLOOKUP(CONCATENATE(H229,F229,EQ$2),Matemáticas!$A:$H,7,FALSE)=BE229,1,0)</f>
        <v>#N/A</v>
      </c>
      <c r="ER229" s="138" t="e">
        <f>IF(VLOOKUP(CONCATENATE(H229,F229,ER$2),Matemáticas!$A:$H,7,FALSE)=BF229,1,0)</f>
        <v>#N/A</v>
      </c>
      <c r="ES229" s="138" t="e">
        <f>IF(VLOOKUP(CONCATENATE(H229,F229,ES$2),Matemáticas!$A:$H,7,FALSE)=BG229,1,0)</f>
        <v>#N/A</v>
      </c>
      <c r="ET229" s="138" t="e">
        <f>IF(VLOOKUP(CONCATENATE(H229,F229,ET$2),Matemáticas!$A:$H,7,FALSE)=BH229,1,0)</f>
        <v>#N/A</v>
      </c>
      <c r="EU229" s="138" t="e">
        <f>IF(VLOOKUP(CONCATENATE(H229,F229,EU$2),Matemáticas!$A:$H,7,FALSE)=BI229,1,0)</f>
        <v>#N/A</v>
      </c>
      <c r="EV229" s="138" t="e">
        <f>IF(VLOOKUP(CONCATENATE(H229,F229,EV$2),Ciencias!$A:$H,7,FALSE)=BJ229,1,0)</f>
        <v>#N/A</v>
      </c>
      <c r="EW229" s="138" t="e">
        <f>IF(VLOOKUP(CONCATENATE(H229,F229,EW$2),Ciencias!$A:$H,7,FALSE)=BK229,1,0)</f>
        <v>#N/A</v>
      </c>
      <c r="EX229" s="138" t="e">
        <f>IF(VLOOKUP(CONCATENATE(H229,F229,EX$2),Ciencias!$A:$H,7,FALSE)=BL229,1,0)</f>
        <v>#N/A</v>
      </c>
      <c r="EY229" s="138" t="e">
        <f>IF(VLOOKUP(CONCATENATE(H229,F229,EY$2),Ciencias!$A:$H,7,FALSE)=BM229,1,0)</f>
        <v>#N/A</v>
      </c>
      <c r="EZ229" s="138" t="e">
        <f>IF(VLOOKUP(CONCATENATE(H229,F229,EZ$2),Ciencias!$A:$H,7,FALSE)=BN229,1,0)</f>
        <v>#N/A</v>
      </c>
      <c r="FA229" s="138" t="e">
        <f>IF(VLOOKUP(CONCATENATE(H229,F229,FA$2),Ciencias!$A:$H,7,FALSE)=BO229,1,0)</f>
        <v>#N/A</v>
      </c>
      <c r="FB229" s="138" t="e">
        <f>IF(VLOOKUP(CONCATENATE(H229,F229,FB$2),Ciencias!$A:$H,7,FALSE)=BP229,1,0)</f>
        <v>#N/A</v>
      </c>
      <c r="FC229" s="138" t="e">
        <f>IF(VLOOKUP(CONCATENATE(H229,F229,FC$2),Ciencias!$A:$H,7,FALSE)=BQ229,1,0)</f>
        <v>#N/A</v>
      </c>
      <c r="FD229" s="138" t="e">
        <f>IF(VLOOKUP(CONCATENATE(H229,F229,FD$2),Ciencias!$A:$H,7,FALSE)=BR229,1,0)</f>
        <v>#N/A</v>
      </c>
      <c r="FE229" s="138" t="e">
        <f>IF(VLOOKUP(CONCATENATE(H229,F229,FE$2),Ciencias!$A:$H,7,FALSE)=BS229,1,0)</f>
        <v>#N/A</v>
      </c>
      <c r="FF229" s="138" t="e">
        <f>IF(VLOOKUP(CONCATENATE(H229,F229,FF$2),Ciencias!$A:$H,7,FALSE)=BT229,1,0)</f>
        <v>#N/A</v>
      </c>
      <c r="FG229" s="138" t="e">
        <f>IF(VLOOKUP(CONCATENATE(H229,F229,FG$2),Ciencias!$A:$H,7,FALSE)=BU229,1,0)</f>
        <v>#N/A</v>
      </c>
      <c r="FH229" s="138" t="e">
        <f>IF(VLOOKUP(CONCATENATE(H229,F229,FH$2),Ciencias!$A:$H,7,FALSE)=BV229,1,0)</f>
        <v>#N/A</v>
      </c>
      <c r="FI229" s="138" t="e">
        <f>IF(VLOOKUP(CONCATENATE(H229,F229,FI$2),Ciencias!$A:$H,7,FALSE)=BW229,1,0)</f>
        <v>#N/A</v>
      </c>
      <c r="FJ229" s="138" t="e">
        <f>IF(VLOOKUP(CONCATENATE(H229,F229,FJ$2),Ciencias!$A:$H,7,FALSE)=BX229,1,0)</f>
        <v>#N/A</v>
      </c>
      <c r="FK229" s="138" t="e">
        <f>IF(VLOOKUP(CONCATENATE(H229,F229,FK$2),Ciencias!$A:$H,7,FALSE)=BY229,1,0)</f>
        <v>#N/A</v>
      </c>
      <c r="FL229" s="138" t="e">
        <f>IF(VLOOKUP(CONCATENATE(H229,F229,FL$2),Ciencias!$A:$H,7,FALSE)=BZ229,1,0)</f>
        <v>#N/A</v>
      </c>
      <c r="FM229" s="138" t="e">
        <f>IF(VLOOKUP(CONCATENATE(H229,F229,FM$2),Ciencias!$A:$H,7,FALSE)=CA229,1,0)</f>
        <v>#N/A</v>
      </c>
      <c r="FN229" s="138" t="e">
        <f>IF(VLOOKUP(CONCATENATE(H229,F229,FN$2),Ciencias!$A:$H,7,FALSE)=CB229,1,0)</f>
        <v>#N/A</v>
      </c>
      <c r="FO229" s="138" t="e">
        <f>IF(VLOOKUP(CONCATENATE(H229,F229,FO$2),Ciencias!$A:$H,7,FALSE)=CC229,1,0)</f>
        <v>#N/A</v>
      </c>
      <c r="FP229" s="138" t="e">
        <f>IF(VLOOKUP(CONCATENATE(H229,F229,FP$2),GeoHis!$A:$H,7,FALSE)=CD229,1,0)</f>
        <v>#N/A</v>
      </c>
      <c r="FQ229" s="138" t="e">
        <f>IF(VLOOKUP(CONCATENATE(H229,F229,FQ$2),GeoHis!$A:$H,7,FALSE)=CE229,1,0)</f>
        <v>#N/A</v>
      </c>
      <c r="FR229" s="138" t="e">
        <f>IF(VLOOKUP(CONCATENATE(H229,F229,FR$2),GeoHis!$A:$H,7,FALSE)=CF229,1,0)</f>
        <v>#N/A</v>
      </c>
      <c r="FS229" s="138" t="e">
        <f>IF(VLOOKUP(CONCATENATE(H229,F229,FS$2),GeoHis!$A:$H,7,FALSE)=CG229,1,0)</f>
        <v>#N/A</v>
      </c>
      <c r="FT229" s="138" t="e">
        <f>IF(VLOOKUP(CONCATENATE(H229,F229,FT$2),GeoHis!$A:$H,7,FALSE)=CH229,1,0)</f>
        <v>#N/A</v>
      </c>
      <c r="FU229" s="138" t="e">
        <f>IF(VLOOKUP(CONCATENATE(H229,F229,FU$2),GeoHis!$A:$H,7,FALSE)=CI229,1,0)</f>
        <v>#N/A</v>
      </c>
      <c r="FV229" s="138" t="e">
        <f>IF(VLOOKUP(CONCATENATE(H229,F229,FV$2),GeoHis!$A:$H,7,FALSE)=CJ229,1,0)</f>
        <v>#N/A</v>
      </c>
      <c r="FW229" s="138" t="e">
        <f>IF(VLOOKUP(CONCATENATE(H229,F229,FW$2),GeoHis!$A:$H,7,FALSE)=CK229,1,0)</f>
        <v>#N/A</v>
      </c>
      <c r="FX229" s="138" t="e">
        <f>IF(VLOOKUP(CONCATENATE(H229,F229,FX$2),GeoHis!$A:$H,7,FALSE)=CL229,1,0)</f>
        <v>#N/A</v>
      </c>
      <c r="FY229" s="138" t="e">
        <f>IF(VLOOKUP(CONCATENATE(H229,F229,FY$2),GeoHis!$A:$H,7,FALSE)=CM229,1,0)</f>
        <v>#N/A</v>
      </c>
      <c r="FZ229" s="138" t="e">
        <f>IF(VLOOKUP(CONCATENATE(H229,F229,FZ$2),GeoHis!$A:$H,7,FALSE)=CN229,1,0)</f>
        <v>#N/A</v>
      </c>
      <c r="GA229" s="138" t="e">
        <f>IF(VLOOKUP(CONCATENATE(H229,F229,GA$2),GeoHis!$A:$H,7,FALSE)=CO229,1,0)</f>
        <v>#N/A</v>
      </c>
      <c r="GB229" s="138" t="e">
        <f>IF(VLOOKUP(CONCATENATE(H229,F229,GB$2),GeoHis!$A:$H,7,FALSE)=CP229,1,0)</f>
        <v>#N/A</v>
      </c>
      <c r="GC229" s="138" t="e">
        <f>IF(VLOOKUP(CONCATENATE(H229,F229,GC$2),GeoHis!$A:$H,7,FALSE)=CQ229,1,0)</f>
        <v>#N/A</v>
      </c>
      <c r="GD229" s="138" t="e">
        <f>IF(VLOOKUP(CONCATENATE(H229,F229,GD$2),GeoHis!$A:$H,7,FALSE)=CR229,1,0)</f>
        <v>#N/A</v>
      </c>
      <c r="GE229" s="135" t="str">
        <f t="shared" si="31"/>
        <v/>
      </c>
    </row>
    <row r="230" spans="1:187" x14ac:dyDescent="0.25">
      <c r="A230" s="127" t="str">
        <f>IF(C230="","",'Datos Generales'!$A$25)</f>
        <v/>
      </c>
      <c r="D230" s="126" t="str">
        <f t="shared" si="24"/>
        <v/>
      </c>
      <c r="E230" s="126">
        <f t="shared" si="25"/>
        <v>0</v>
      </c>
      <c r="F230" s="126" t="str">
        <f t="shared" si="26"/>
        <v/>
      </c>
      <c r="G230" s="126" t="str">
        <f>IF(C230="","",'Datos Generales'!$D$19)</f>
        <v/>
      </c>
      <c r="H230" s="21" t="str">
        <f>IF(C230="","",'Datos Generales'!$A$19)</f>
        <v/>
      </c>
      <c r="I230" s="126" t="str">
        <f>IF(C230="","",'Datos Generales'!$A$7)</f>
        <v/>
      </c>
      <c r="J230" s="21" t="str">
        <f>IF(C230="","",'Datos Generales'!$A$13)</f>
        <v/>
      </c>
      <c r="K230" s="21" t="str">
        <f>IF(C230="","",'Datos Generales'!$A$10)</f>
        <v/>
      </c>
      <c r="CS230" s="142" t="str">
        <f t="shared" si="27"/>
        <v/>
      </c>
      <c r="CT230" s="142" t="str">
        <f t="shared" si="28"/>
        <v/>
      </c>
      <c r="CU230" s="142" t="str">
        <f t="shared" si="29"/>
        <v/>
      </c>
      <c r="CV230" s="142" t="str">
        <f t="shared" si="30"/>
        <v/>
      </c>
      <c r="CW230" s="142" t="str">
        <f>IF(C230="","",IF('Datos Generales'!$A$19=1,AVERAGE(FP230:GD230),AVERAGE(Captura!FP230:FY230)))</f>
        <v/>
      </c>
      <c r="CX230" s="138" t="e">
        <f>IF(VLOOKUP(CONCATENATE($H$4,$F$4,CX$2),Español!$A:$H,7,FALSE)=L230,1,0)</f>
        <v>#N/A</v>
      </c>
      <c r="CY230" s="138" t="e">
        <f>IF(VLOOKUP(CONCATENATE(H230,F230,CY$2),Español!$A:$H,7,FALSE)=M230,1,0)</f>
        <v>#N/A</v>
      </c>
      <c r="CZ230" s="138" t="e">
        <f>IF(VLOOKUP(CONCATENATE(H230,F230,CZ$2),Español!$A:$H,7,FALSE)=N230,1,0)</f>
        <v>#N/A</v>
      </c>
      <c r="DA230" s="138" t="e">
        <f>IF(VLOOKUP(CONCATENATE(H230,F230,DA$2),Español!$A:$H,7,FALSE)=O230,1,0)</f>
        <v>#N/A</v>
      </c>
      <c r="DB230" s="138" t="e">
        <f>IF(VLOOKUP(CONCATENATE(H230,F230,DB$2),Español!$A:$H,7,FALSE)=P230,1,0)</f>
        <v>#N/A</v>
      </c>
      <c r="DC230" s="138" t="e">
        <f>IF(VLOOKUP(CONCATENATE(H230,F230,DC$2),Español!$A:$H,7,FALSE)=Q230,1,0)</f>
        <v>#N/A</v>
      </c>
      <c r="DD230" s="138" t="e">
        <f>IF(VLOOKUP(CONCATENATE(H230,F230,DD$2),Español!$A:$H,7,FALSE)=R230,1,0)</f>
        <v>#N/A</v>
      </c>
      <c r="DE230" s="138" t="e">
        <f>IF(VLOOKUP(CONCATENATE(H230,F230,DE$2),Español!$A:$H,7,FALSE)=S230,1,0)</f>
        <v>#N/A</v>
      </c>
      <c r="DF230" s="138" t="e">
        <f>IF(VLOOKUP(CONCATENATE(H230,F230,DF$2),Español!$A:$H,7,FALSE)=T230,1,0)</f>
        <v>#N/A</v>
      </c>
      <c r="DG230" s="138" t="e">
        <f>IF(VLOOKUP(CONCATENATE(H230,F230,DG$2),Español!$A:$H,7,FALSE)=U230,1,0)</f>
        <v>#N/A</v>
      </c>
      <c r="DH230" s="138" t="e">
        <f>IF(VLOOKUP(CONCATENATE(H230,F230,DH$2),Español!$A:$H,7,FALSE)=V230,1,0)</f>
        <v>#N/A</v>
      </c>
      <c r="DI230" s="138" t="e">
        <f>IF(VLOOKUP(CONCATENATE(H230,F230,DI$2),Español!$A:$H,7,FALSE)=W230,1,0)</f>
        <v>#N/A</v>
      </c>
      <c r="DJ230" s="138" t="e">
        <f>IF(VLOOKUP(CONCATENATE(H230,F230,DJ$2),Español!$A:$H,7,FALSE)=X230,1,0)</f>
        <v>#N/A</v>
      </c>
      <c r="DK230" s="138" t="e">
        <f>IF(VLOOKUP(CONCATENATE(H230,F230,DK$2),Español!$A:$H,7,FALSE)=Y230,1,0)</f>
        <v>#N/A</v>
      </c>
      <c r="DL230" s="138" t="e">
        <f>IF(VLOOKUP(CONCATENATE(H230,F230,DL$2),Español!$A:$H,7,FALSE)=Z230,1,0)</f>
        <v>#N/A</v>
      </c>
      <c r="DM230" s="138" t="e">
        <f>IF(VLOOKUP(CONCATENATE(H230,F230,DM$2),Español!$A:$H,7,FALSE)=AA230,1,0)</f>
        <v>#N/A</v>
      </c>
      <c r="DN230" s="138" t="e">
        <f>IF(VLOOKUP(CONCATENATE(H230,F230,DN$2),Español!$A:$H,7,FALSE)=AB230,1,0)</f>
        <v>#N/A</v>
      </c>
      <c r="DO230" s="138" t="e">
        <f>IF(VLOOKUP(CONCATENATE(H230,F230,DO$2),Español!$A:$H,7,FALSE)=AC230,1,0)</f>
        <v>#N/A</v>
      </c>
      <c r="DP230" s="138" t="e">
        <f>IF(VLOOKUP(CONCATENATE(H230,F230,DP$2),Español!$A:$H,7,FALSE)=AD230,1,0)</f>
        <v>#N/A</v>
      </c>
      <c r="DQ230" s="138" t="e">
        <f>IF(VLOOKUP(CONCATENATE(H230,F230,DQ$2),Español!$A:$H,7,FALSE)=AE230,1,0)</f>
        <v>#N/A</v>
      </c>
      <c r="DR230" s="138" t="e">
        <f>IF(VLOOKUP(CONCATENATE(H230,F230,DR$2),Inglés!$A:$H,7,FALSE)=AF230,1,0)</f>
        <v>#N/A</v>
      </c>
      <c r="DS230" s="138" t="e">
        <f>IF(VLOOKUP(CONCATENATE(H230,F230,DS$2),Inglés!$A:$H,7,FALSE)=AG230,1,0)</f>
        <v>#N/A</v>
      </c>
      <c r="DT230" s="138" t="e">
        <f>IF(VLOOKUP(CONCATENATE(H230,F230,DT$2),Inglés!$A:$H,7,FALSE)=AH230,1,0)</f>
        <v>#N/A</v>
      </c>
      <c r="DU230" s="138" t="e">
        <f>IF(VLOOKUP(CONCATENATE(H230,F230,DU$2),Inglés!$A:$H,7,FALSE)=AI230,1,0)</f>
        <v>#N/A</v>
      </c>
      <c r="DV230" s="138" t="e">
        <f>IF(VLOOKUP(CONCATENATE(H230,F230,DV$2),Inglés!$A:$H,7,FALSE)=AJ230,1,0)</f>
        <v>#N/A</v>
      </c>
      <c r="DW230" s="138" t="e">
        <f>IF(VLOOKUP(CONCATENATE(H230,F230,DW$2),Inglés!$A:$H,7,FALSE)=AK230,1,0)</f>
        <v>#N/A</v>
      </c>
      <c r="DX230" s="138" t="e">
        <f>IF(VLOOKUP(CONCATENATE(H230,F230,DX$2),Inglés!$A:$H,7,FALSE)=AL230,1,0)</f>
        <v>#N/A</v>
      </c>
      <c r="DY230" s="138" t="e">
        <f>IF(VLOOKUP(CONCATENATE(H230,F230,DY$2),Inglés!$A:$H,7,FALSE)=AM230,1,0)</f>
        <v>#N/A</v>
      </c>
      <c r="DZ230" s="138" t="e">
        <f>IF(VLOOKUP(CONCATENATE(H230,F230,DZ$2),Inglés!$A:$H,7,FALSE)=AN230,1,0)</f>
        <v>#N/A</v>
      </c>
      <c r="EA230" s="138" t="e">
        <f>IF(VLOOKUP(CONCATENATE(H230,F230,EA$2),Inglés!$A:$H,7,FALSE)=AO230,1,0)</f>
        <v>#N/A</v>
      </c>
      <c r="EB230" s="138" t="e">
        <f>IF(VLOOKUP(CONCATENATE(H230,F230,EB$2),Matemáticas!$A:$H,7,FALSE)=AP230,1,0)</f>
        <v>#N/A</v>
      </c>
      <c r="EC230" s="138" t="e">
        <f>IF(VLOOKUP(CONCATENATE(H230,F230,EC$2),Matemáticas!$A:$H,7,FALSE)=AQ230,1,0)</f>
        <v>#N/A</v>
      </c>
      <c r="ED230" s="138" t="e">
        <f>IF(VLOOKUP(CONCATENATE(H230,F230,ED$2),Matemáticas!$A:$H,7,FALSE)=AR230,1,0)</f>
        <v>#N/A</v>
      </c>
      <c r="EE230" s="138" t="e">
        <f>IF(VLOOKUP(CONCATENATE(H230,F230,EE$2),Matemáticas!$A:$H,7,FALSE)=AS230,1,0)</f>
        <v>#N/A</v>
      </c>
      <c r="EF230" s="138" t="e">
        <f>IF(VLOOKUP(CONCATENATE(H230,F230,EF$2),Matemáticas!$A:$H,7,FALSE)=AT230,1,0)</f>
        <v>#N/A</v>
      </c>
      <c r="EG230" s="138" t="e">
        <f>IF(VLOOKUP(CONCATENATE(H230,F230,EG$2),Matemáticas!$A:$H,7,FALSE)=AU230,1,0)</f>
        <v>#N/A</v>
      </c>
      <c r="EH230" s="138" t="e">
        <f>IF(VLOOKUP(CONCATENATE(H230,F230,EH$2),Matemáticas!$A:$H,7,FALSE)=AV230,1,0)</f>
        <v>#N/A</v>
      </c>
      <c r="EI230" s="138" t="e">
        <f>IF(VLOOKUP(CONCATENATE(H230,F230,EI$2),Matemáticas!$A:$H,7,FALSE)=AW230,1,0)</f>
        <v>#N/A</v>
      </c>
      <c r="EJ230" s="138" t="e">
        <f>IF(VLOOKUP(CONCATENATE(H230,F230,EJ$2),Matemáticas!$A:$H,7,FALSE)=AX230,1,0)</f>
        <v>#N/A</v>
      </c>
      <c r="EK230" s="138" t="e">
        <f>IF(VLOOKUP(CONCATENATE(H230,F230,EK$2),Matemáticas!$A:$H,7,FALSE)=AY230,1,0)</f>
        <v>#N/A</v>
      </c>
      <c r="EL230" s="138" t="e">
        <f>IF(VLOOKUP(CONCATENATE(H230,F230,EL$2),Matemáticas!$A:$H,7,FALSE)=AZ230,1,0)</f>
        <v>#N/A</v>
      </c>
      <c r="EM230" s="138" t="e">
        <f>IF(VLOOKUP(CONCATENATE(H230,F230,EM$2),Matemáticas!$A:$H,7,FALSE)=BA230,1,0)</f>
        <v>#N/A</v>
      </c>
      <c r="EN230" s="138" t="e">
        <f>IF(VLOOKUP(CONCATENATE(H230,F230,EN$2),Matemáticas!$A:$H,7,FALSE)=BB230,1,0)</f>
        <v>#N/A</v>
      </c>
      <c r="EO230" s="138" t="e">
        <f>IF(VLOOKUP(CONCATENATE(H230,F230,EO$2),Matemáticas!$A:$H,7,FALSE)=BC230,1,0)</f>
        <v>#N/A</v>
      </c>
      <c r="EP230" s="138" t="e">
        <f>IF(VLOOKUP(CONCATENATE(H230,F230,EP$2),Matemáticas!$A:$H,7,FALSE)=BD230,1,0)</f>
        <v>#N/A</v>
      </c>
      <c r="EQ230" s="138" t="e">
        <f>IF(VLOOKUP(CONCATENATE(H230,F230,EQ$2),Matemáticas!$A:$H,7,FALSE)=BE230,1,0)</f>
        <v>#N/A</v>
      </c>
      <c r="ER230" s="138" t="e">
        <f>IF(VLOOKUP(CONCATENATE(H230,F230,ER$2),Matemáticas!$A:$H,7,FALSE)=BF230,1,0)</f>
        <v>#N/A</v>
      </c>
      <c r="ES230" s="138" t="e">
        <f>IF(VLOOKUP(CONCATENATE(H230,F230,ES$2),Matemáticas!$A:$H,7,FALSE)=BG230,1,0)</f>
        <v>#N/A</v>
      </c>
      <c r="ET230" s="138" t="e">
        <f>IF(VLOOKUP(CONCATENATE(H230,F230,ET$2),Matemáticas!$A:$H,7,FALSE)=BH230,1,0)</f>
        <v>#N/A</v>
      </c>
      <c r="EU230" s="138" t="e">
        <f>IF(VLOOKUP(CONCATENATE(H230,F230,EU$2),Matemáticas!$A:$H,7,FALSE)=BI230,1,0)</f>
        <v>#N/A</v>
      </c>
      <c r="EV230" s="138" t="e">
        <f>IF(VLOOKUP(CONCATENATE(H230,F230,EV$2),Ciencias!$A:$H,7,FALSE)=BJ230,1,0)</f>
        <v>#N/A</v>
      </c>
      <c r="EW230" s="138" t="e">
        <f>IF(VLOOKUP(CONCATENATE(H230,F230,EW$2),Ciencias!$A:$H,7,FALSE)=BK230,1,0)</f>
        <v>#N/A</v>
      </c>
      <c r="EX230" s="138" t="e">
        <f>IF(VLOOKUP(CONCATENATE(H230,F230,EX$2),Ciencias!$A:$H,7,FALSE)=BL230,1,0)</f>
        <v>#N/A</v>
      </c>
      <c r="EY230" s="138" t="e">
        <f>IF(VLOOKUP(CONCATENATE(H230,F230,EY$2),Ciencias!$A:$H,7,FALSE)=BM230,1,0)</f>
        <v>#N/A</v>
      </c>
      <c r="EZ230" s="138" t="e">
        <f>IF(VLOOKUP(CONCATENATE(H230,F230,EZ$2),Ciencias!$A:$H,7,FALSE)=BN230,1,0)</f>
        <v>#N/A</v>
      </c>
      <c r="FA230" s="138" t="e">
        <f>IF(VLOOKUP(CONCATENATE(H230,F230,FA$2),Ciencias!$A:$H,7,FALSE)=BO230,1,0)</f>
        <v>#N/A</v>
      </c>
      <c r="FB230" s="138" t="e">
        <f>IF(VLOOKUP(CONCATENATE(H230,F230,FB$2),Ciencias!$A:$H,7,FALSE)=BP230,1,0)</f>
        <v>#N/A</v>
      </c>
      <c r="FC230" s="138" t="e">
        <f>IF(VLOOKUP(CONCATENATE(H230,F230,FC$2),Ciencias!$A:$H,7,FALSE)=BQ230,1,0)</f>
        <v>#N/A</v>
      </c>
      <c r="FD230" s="138" t="e">
        <f>IF(VLOOKUP(CONCATENATE(H230,F230,FD$2),Ciencias!$A:$H,7,FALSE)=BR230,1,0)</f>
        <v>#N/A</v>
      </c>
      <c r="FE230" s="138" t="e">
        <f>IF(VLOOKUP(CONCATENATE(H230,F230,FE$2),Ciencias!$A:$H,7,FALSE)=BS230,1,0)</f>
        <v>#N/A</v>
      </c>
      <c r="FF230" s="138" t="e">
        <f>IF(VLOOKUP(CONCATENATE(H230,F230,FF$2),Ciencias!$A:$H,7,FALSE)=BT230,1,0)</f>
        <v>#N/A</v>
      </c>
      <c r="FG230" s="138" t="e">
        <f>IF(VLOOKUP(CONCATENATE(H230,F230,FG$2),Ciencias!$A:$H,7,FALSE)=BU230,1,0)</f>
        <v>#N/A</v>
      </c>
      <c r="FH230" s="138" t="e">
        <f>IF(VLOOKUP(CONCATENATE(H230,F230,FH$2),Ciencias!$A:$H,7,FALSE)=BV230,1,0)</f>
        <v>#N/A</v>
      </c>
      <c r="FI230" s="138" t="e">
        <f>IF(VLOOKUP(CONCATENATE(H230,F230,FI$2),Ciencias!$A:$H,7,FALSE)=BW230,1,0)</f>
        <v>#N/A</v>
      </c>
      <c r="FJ230" s="138" t="e">
        <f>IF(VLOOKUP(CONCATENATE(H230,F230,FJ$2),Ciencias!$A:$H,7,FALSE)=BX230,1,0)</f>
        <v>#N/A</v>
      </c>
      <c r="FK230" s="138" t="e">
        <f>IF(VLOOKUP(CONCATENATE(H230,F230,FK$2),Ciencias!$A:$H,7,FALSE)=BY230,1,0)</f>
        <v>#N/A</v>
      </c>
      <c r="FL230" s="138" t="e">
        <f>IF(VLOOKUP(CONCATENATE(H230,F230,FL$2),Ciencias!$A:$H,7,FALSE)=BZ230,1,0)</f>
        <v>#N/A</v>
      </c>
      <c r="FM230" s="138" t="e">
        <f>IF(VLOOKUP(CONCATENATE(H230,F230,FM$2),Ciencias!$A:$H,7,FALSE)=CA230,1,0)</f>
        <v>#N/A</v>
      </c>
      <c r="FN230" s="138" t="e">
        <f>IF(VLOOKUP(CONCATENATE(H230,F230,FN$2),Ciencias!$A:$H,7,FALSE)=CB230,1,0)</f>
        <v>#N/A</v>
      </c>
      <c r="FO230" s="138" t="e">
        <f>IF(VLOOKUP(CONCATENATE(H230,F230,FO$2),Ciencias!$A:$H,7,FALSE)=CC230,1,0)</f>
        <v>#N/A</v>
      </c>
      <c r="FP230" s="138" t="e">
        <f>IF(VLOOKUP(CONCATENATE(H230,F230,FP$2),GeoHis!$A:$H,7,FALSE)=CD230,1,0)</f>
        <v>#N/A</v>
      </c>
      <c r="FQ230" s="138" t="e">
        <f>IF(VLOOKUP(CONCATENATE(H230,F230,FQ$2),GeoHis!$A:$H,7,FALSE)=CE230,1,0)</f>
        <v>#N/A</v>
      </c>
      <c r="FR230" s="138" t="e">
        <f>IF(VLOOKUP(CONCATENATE(H230,F230,FR$2),GeoHis!$A:$H,7,FALSE)=CF230,1,0)</f>
        <v>#N/A</v>
      </c>
      <c r="FS230" s="138" t="e">
        <f>IF(VLOOKUP(CONCATENATE(H230,F230,FS$2),GeoHis!$A:$H,7,FALSE)=CG230,1,0)</f>
        <v>#N/A</v>
      </c>
      <c r="FT230" s="138" t="e">
        <f>IF(VLOOKUP(CONCATENATE(H230,F230,FT$2),GeoHis!$A:$H,7,FALSE)=CH230,1,0)</f>
        <v>#N/A</v>
      </c>
      <c r="FU230" s="138" t="e">
        <f>IF(VLOOKUP(CONCATENATE(H230,F230,FU$2),GeoHis!$A:$H,7,FALSE)=CI230,1,0)</f>
        <v>#N/A</v>
      </c>
      <c r="FV230" s="138" t="e">
        <f>IF(VLOOKUP(CONCATENATE(H230,F230,FV$2),GeoHis!$A:$H,7,FALSE)=CJ230,1,0)</f>
        <v>#N/A</v>
      </c>
      <c r="FW230" s="138" t="e">
        <f>IF(VLOOKUP(CONCATENATE(H230,F230,FW$2),GeoHis!$A:$H,7,FALSE)=CK230,1,0)</f>
        <v>#N/A</v>
      </c>
      <c r="FX230" s="138" t="e">
        <f>IF(VLOOKUP(CONCATENATE(H230,F230,FX$2),GeoHis!$A:$H,7,FALSE)=CL230,1,0)</f>
        <v>#N/A</v>
      </c>
      <c r="FY230" s="138" t="e">
        <f>IF(VLOOKUP(CONCATENATE(H230,F230,FY$2),GeoHis!$A:$H,7,FALSE)=CM230,1,0)</f>
        <v>#N/A</v>
      </c>
      <c r="FZ230" s="138" t="e">
        <f>IF(VLOOKUP(CONCATENATE(H230,F230,FZ$2),GeoHis!$A:$H,7,FALSE)=CN230,1,0)</f>
        <v>#N/A</v>
      </c>
      <c r="GA230" s="138" t="e">
        <f>IF(VLOOKUP(CONCATENATE(H230,F230,GA$2),GeoHis!$A:$H,7,FALSE)=CO230,1,0)</f>
        <v>#N/A</v>
      </c>
      <c r="GB230" s="138" t="e">
        <f>IF(VLOOKUP(CONCATENATE(H230,F230,GB$2),GeoHis!$A:$H,7,FALSE)=CP230,1,0)</f>
        <v>#N/A</v>
      </c>
      <c r="GC230" s="138" t="e">
        <f>IF(VLOOKUP(CONCATENATE(H230,F230,GC$2),GeoHis!$A:$H,7,FALSE)=CQ230,1,0)</f>
        <v>#N/A</v>
      </c>
      <c r="GD230" s="138" t="e">
        <f>IF(VLOOKUP(CONCATENATE(H230,F230,GD$2),GeoHis!$A:$H,7,FALSE)=CR230,1,0)</f>
        <v>#N/A</v>
      </c>
      <c r="GE230" s="135" t="str">
        <f t="shared" si="31"/>
        <v/>
      </c>
    </row>
    <row r="231" spans="1:187" x14ac:dyDescent="0.25">
      <c r="A231" s="127" t="str">
        <f>IF(C231="","",'Datos Generales'!$A$25)</f>
        <v/>
      </c>
      <c r="D231" s="126" t="str">
        <f t="shared" si="24"/>
        <v/>
      </c>
      <c r="E231" s="126">
        <f t="shared" si="25"/>
        <v>0</v>
      </c>
      <c r="F231" s="126" t="str">
        <f t="shared" si="26"/>
        <v/>
      </c>
      <c r="G231" s="126" t="str">
        <f>IF(C231="","",'Datos Generales'!$D$19)</f>
        <v/>
      </c>
      <c r="H231" s="21" t="str">
        <f>IF(C231="","",'Datos Generales'!$A$19)</f>
        <v/>
      </c>
      <c r="I231" s="126" t="str">
        <f>IF(C231="","",'Datos Generales'!$A$7)</f>
        <v/>
      </c>
      <c r="J231" s="21" t="str">
        <f>IF(C231="","",'Datos Generales'!$A$13)</f>
        <v/>
      </c>
      <c r="K231" s="21" t="str">
        <f>IF(C231="","",'Datos Generales'!$A$10)</f>
        <v/>
      </c>
      <c r="CS231" s="142" t="str">
        <f t="shared" si="27"/>
        <v/>
      </c>
      <c r="CT231" s="142" t="str">
        <f t="shared" si="28"/>
        <v/>
      </c>
      <c r="CU231" s="142" t="str">
        <f t="shared" si="29"/>
        <v/>
      </c>
      <c r="CV231" s="142" t="str">
        <f t="shared" si="30"/>
        <v/>
      </c>
      <c r="CW231" s="142" t="str">
        <f>IF(C231="","",IF('Datos Generales'!$A$19=1,AVERAGE(FP231:GD231),AVERAGE(Captura!FP231:FY231)))</f>
        <v/>
      </c>
      <c r="CX231" s="138" t="e">
        <f>IF(VLOOKUP(CONCATENATE($H$4,$F$4,CX$2),Español!$A:$H,7,FALSE)=L231,1,0)</f>
        <v>#N/A</v>
      </c>
      <c r="CY231" s="138" t="e">
        <f>IF(VLOOKUP(CONCATENATE(H231,F231,CY$2),Español!$A:$H,7,FALSE)=M231,1,0)</f>
        <v>#N/A</v>
      </c>
      <c r="CZ231" s="138" t="e">
        <f>IF(VLOOKUP(CONCATENATE(H231,F231,CZ$2),Español!$A:$H,7,FALSE)=N231,1,0)</f>
        <v>#N/A</v>
      </c>
      <c r="DA231" s="138" t="e">
        <f>IF(VLOOKUP(CONCATENATE(H231,F231,DA$2),Español!$A:$H,7,FALSE)=O231,1,0)</f>
        <v>#N/A</v>
      </c>
      <c r="DB231" s="138" t="e">
        <f>IF(VLOOKUP(CONCATENATE(H231,F231,DB$2),Español!$A:$H,7,FALSE)=P231,1,0)</f>
        <v>#N/A</v>
      </c>
      <c r="DC231" s="138" t="e">
        <f>IF(VLOOKUP(CONCATENATE(H231,F231,DC$2),Español!$A:$H,7,FALSE)=Q231,1,0)</f>
        <v>#N/A</v>
      </c>
      <c r="DD231" s="138" t="e">
        <f>IF(VLOOKUP(CONCATENATE(H231,F231,DD$2),Español!$A:$H,7,FALSE)=R231,1,0)</f>
        <v>#N/A</v>
      </c>
      <c r="DE231" s="138" t="e">
        <f>IF(VLOOKUP(CONCATENATE(H231,F231,DE$2),Español!$A:$H,7,FALSE)=S231,1,0)</f>
        <v>#N/A</v>
      </c>
      <c r="DF231" s="138" t="e">
        <f>IF(VLOOKUP(CONCATENATE(H231,F231,DF$2),Español!$A:$H,7,FALSE)=T231,1,0)</f>
        <v>#N/A</v>
      </c>
      <c r="DG231" s="138" t="e">
        <f>IF(VLOOKUP(CONCATENATE(H231,F231,DG$2),Español!$A:$H,7,FALSE)=U231,1,0)</f>
        <v>#N/A</v>
      </c>
      <c r="DH231" s="138" t="e">
        <f>IF(VLOOKUP(CONCATENATE(H231,F231,DH$2),Español!$A:$H,7,FALSE)=V231,1,0)</f>
        <v>#N/A</v>
      </c>
      <c r="DI231" s="138" t="e">
        <f>IF(VLOOKUP(CONCATENATE(H231,F231,DI$2),Español!$A:$H,7,FALSE)=W231,1,0)</f>
        <v>#N/A</v>
      </c>
      <c r="DJ231" s="138" t="e">
        <f>IF(VLOOKUP(CONCATENATE(H231,F231,DJ$2),Español!$A:$H,7,FALSE)=X231,1,0)</f>
        <v>#N/A</v>
      </c>
      <c r="DK231" s="138" t="e">
        <f>IF(VLOOKUP(CONCATENATE(H231,F231,DK$2),Español!$A:$H,7,FALSE)=Y231,1,0)</f>
        <v>#N/A</v>
      </c>
      <c r="DL231" s="138" t="e">
        <f>IF(VLOOKUP(CONCATENATE(H231,F231,DL$2),Español!$A:$H,7,FALSE)=Z231,1,0)</f>
        <v>#N/A</v>
      </c>
      <c r="DM231" s="138" t="e">
        <f>IF(VLOOKUP(CONCATENATE(H231,F231,DM$2),Español!$A:$H,7,FALSE)=AA231,1,0)</f>
        <v>#N/A</v>
      </c>
      <c r="DN231" s="138" t="e">
        <f>IF(VLOOKUP(CONCATENATE(H231,F231,DN$2),Español!$A:$H,7,FALSE)=AB231,1,0)</f>
        <v>#N/A</v>
      </c>
      <c r="DO231" s="138" t="e">
        <f>IF(VLOOKUP(CONCATENATE(H231,F231,DO$2),Español!$A:$H,7,FALSE)=AC231,1,0)</f>
        <v>#N/A</v>
      </c>
      <c r="DP231" s="138" t="e">
        <f>IF(VLOOKUP(CONCATENATE(H231,F231,DP$2),Español!$A:$H,7,FALSE)=AD231,1,0)</f>
        <v>#N/A</v>
      </c>
      <c r="DQ231" s="138" t="e">
        <f>IF(VLOOKUP(CONCATENATE(H231,F231,DQ$2),Español!$A:$H,7,FALSE)=AE231,1,0)</f>
        <v>#N/A</v>
      </c>
      <c r="DR231" s="138" t="e">
        <f>IF(VLOOKUP(CONCATENATE(H231,F231,DR$2),Inglés!$A:$H,7,FALSE)=AF231,1,0)</f>
        <v>#N/A</v>
      </c>
      <c r="DS231" s="138" t="e">
        <f>IF(VLOOKUP(CONCATENATE(H231,F231,DS$2),Inglés!$A:$H,7,FALSE)=AG231,1,0)</f>
        <v>#N/A</v>
      </c>
      <c r="DT231" s="138" t="e">
        <f>IF(VLOOKUP(CONCATENATE(H231,F231,DT$2),Inglés!$A:$H,7,FALSE)=AH231,1,0)</f>
        <v>#N/A</v>
      </c>
      <c r="DU231" s="138" t="e">
        <f>IF(VLOOKUP(CONCATENATE(H231,F231,DU$2),Inglés!$A:$H,7,FALSE)=AI231,1,0)</f>
        <v>#N/A</v>
      </c>
      <c r="DV231" s="138" t="e">
        <f>IF(VLOOKUP(CONCATENATE(H231,F231,DV$2),Inglés!$A:$H,7,FALSE)=AJ231,1,0)</f>
        <v>#N/A</v>
      </c>
      <c r="DW231" s="138" t="e">
        <f>IF(VLOOKUP(CONCATENATE(H231,F231,DW$2),Inglés!$A:$H,7,FALSE)=AK231,1,0)</f>
        <v>#N/A</v>
      </c>
      <c r="DX231" s="138" t="e">
        <f>IF(VLOOKUP(CONCATENATE(H231,F231,DX$2),Inglés!$A:$H,7,FALSE)=AL231,1,0)</f>
        <v>#N/A</v>
      </c>
      <c r="DY231" s="138" t="e">
        <f>IF(VLOOKUP(CONCATENATE(H231,F231,DY$2),Inglés!$A:$H,7,FALSE)=AM231,1,0)</f>
        <v>#N/A</v>
      </c>
      <c r="DZ231" s="138" t="e">
        <f>IF(VLOOKUP(CONCATENATE(H231,F231,DZ$2),Inglés!$A:$H,7,FALSE)=AN231,1,0)</f>
        <v>#N/A</v>
      </c>
      <c r="EA231" s="138" t="e">
        <f>IF(VLOOKUP(CONCATENATE(H231,F231,EA$2),Inglés!$A:$H,7,FALSE)=AO231,1,0)</f>
        <v>#N/A</v>
      </c>
      <c r="EB231" s="138" t="e">
        <f>IF(VLOOKUP(CONCATENATE(H231,F231,EB$2),Matemáticas!$A:$H,7,FALSE)=AP231,1,0)</f>
        <v>#N/A</v>
      </c>
      <c r="EC231" s="138" t="e">
        <f>IF(VLOOKUP(CONCATENATE(H231,F231,EC$2),Matemáticas!$A:$H,7,FALSE)=AQ231,1,0)</f>
        <v>#N/A</v>
      </c>
      <c r="ED231" s="138" t="e">
        <f>IF(VLOOKUP(CONCATENATE(H231,F231,ED$2),Matemáticas!$A:$H,7,FALSE)=AR231,1,0)</f>
        <v>#N/A</v>
      </c>
      <c r="EE231" s="138" t="e">
        <f>IF(VLOOKUP(CONCATENATE(H231,F231,EE$2),Matemáticas!$A:$H,7,FALSE)=AS231,1,0)</f>
        <v>#N/A</v>
      </c>
      <c r="EF231" s="138" t="e">
        <f>IF(VLOOKUP(CONCATENATE(H231,F231,EF$2),Matemáticas!$A:$H,7,FALSE)=AT231,1,0)</f>
        <v>#N/A</v>
      </c>
      <c r="EG231" s="138" t="e">
        <f>IF(VLOOKUP(CONCATENATE(H231,F231,EG$2),Matemáticas!$A:$H,7,FALSE)=AU231,1,0)</f>
        <v>#N/A</v>
      </c>
      <c r="EH231" s="138" t="e">
        <f>IF(VLOOKUP(CONCATENATE(H231,F231,EH$2),Matemáticas!$A:$H,7,FALSE)=AV231,1,0)</f>
        <v>#N/A</v>
      </c>
      <c r="EI231" s="138" t="e">
        <f>IF(VLOOKUP(CONCATENATE(H231,F231,EI$2),Matemáticas!$A:$H,7,FALSE)=AW231,1,0)</f>
        <v>#N/A</v>
      </c>
      <c r="EJ231" s="138" t="e">
        <f>IF(VLOOKUP(CONCATENATE(H231,F231,EJ$2),Matemáticas!$A:$H,7,FALSE)=AX231,1,0)</f>
        <v>#N/A</v>
      </c>
      <c r="EK231" s="138" t="e">
        <f>IF(VLOOKUP(CONCATENATE(H231,F231,EK$2),Matemáticas!$A:$H,7,FALSE)=AY231,1,0)</f>
        <v>#N/A</v>
      </c>
      <c r="EL231" s="138" t="e">
        <f>IF(VLOOKUP(CONCATENATE(H231,F231,EL$2),Matemáticas!$A:$H,7,FALSE)=AZ231,1,0)</f>
        <v>#N/A</v>
      </c>
      <c r="EM231" s="138" t="e">
        <f>IF(VLOOKUP(CONCATENATE(H231,F231,EM$2),Matemáticas!$A:$H,7,FALSE)=BA231,1,0)</f>
        <v>#N/A</v>
      </c>
      <c r="EN231" s="138" t="e">
        <f>IF(VLOOKUP(CONCATENATE(H231,F231,EN$2),Matemáticas!$A:$H,7,FALSE)=BB231,1,0)</f>
        <v>#N/A</v>
      </c>
      <c r="EO231" s="138" t="e">
        <f>IF(VLOOKUP(CONCATENATE(H231,F231,EO$2),Matemáticas!$A:$H,7,FALSE)=BC231,1,0)</f>
        <v>#N/A</v>
      </c>
      <c r="EP231" s="138" t="e">
        <f>IF(VLOOKUP(CONCATENATE(H231,F231,EP$2),Matemáticas!$A:$H,7,FALSE)=BD231,1,0)</f>
        <v>#N/A</v>
      </c>
      <c r="EQ231" s="138" t="e">
        <f>IF(VLOOKUP(CONCATENATE(H231,F231,EQ$2),Matemáticas!$A:$H,7,FALSE)=BE231,1,0)</f>
        <v>#N/A</v>
      </c>
      <c r="ER231" s="138" t="e">
        <f>IF(VLOOKUP(CONCATENATE(H231,F231,ER$2),Matemáticas!$A:$H,7,FALSE)=BF231,1,0)</f>
        <v>#N/A</v>
      </c>
      <c r="ES231" s="138" t="e">
        <f>IF(VLOOKUP(CONCATENATE(H231,F231,ES$2),Matemáticas!$A:$H,7,FALSE)=BG231,1,0)</f>
        <v>#N/A</v>
      </c>
      <c r="ET231" s="138" t="e">
        <f>IF(VLOOKUP(CONCATENATE(H231,F231,ET$2),Matemáticas!$A:$H,7,FALSE)=BH231,1,0)</f>
        <v>#N/A</v>
      </c>
      <c r="EU231" s="138" t="e">
        <f>IF(VLOOKUP(CONCATENATE(H231,F231,EU$2),Matemáticas!$A:$H,7,FALSE)=BI231,1,0)</f>
        <v>#N/A</v>
      </c>
      <c r="EV231" s="138" t="e">
        <f>IF(VLOOKUP(CONCATENATE(H231,F231,EV$2),Ciencias!$A:$H,7,FALSE)=BJ231,1,0)</f>
        <v>#N/A</v>
      </c>
      <c r="EW231" s="138" t="e">
        <f>IF(VLOOKUP(CONCATENATE(H231,F231,EW$2),Ciencias!$A:$H,7,FALSE)=BK231,1,0)</f>
        <v>#N/A</v>
      </c>
      <c r="EX231" s="138" t="e">
        <f>IF(VLOOKUP(CONCATENATE(H231,F231,EX$2),Ciencias!$A:$H,7,FALSE)=BL231,1,0)</f>
        <v>#N/A</v>
      </c>
      <c r="EY231" s="138" t="e">
        <f>IF(VLOOKUP(CONCATENATE(H231,F231,EY$2),Ciencias!$A:$H,7,FALSE)=BM231,1,0)</f>
        <v>#N/A</v>
      </c>
      <c r="EZ231" s="138" t="e">
        <f>IF(VLOOKUP(CONCATENATE(H231,F231,EZ$2),Ciencias!$A:$H,7,FALSE)=BN231,1,0)</f>
        <v>#N/A</v>
      </c>
      <c r="FA231" s="138" t="e">
        <f>IF(VLOOKUP(CONCATENATE(H231,F231,FA$2),Ciencias!$A:$H,7,FALSE)=BO231,1,0)</f>
        <v>#N/A</v>
      </c>
      <c r="FB231" s="138" t="e">
        <f>IF(VLOOKUP(CONCATENATE(H231,F231,FB$2),Ciencias!$A:$H,7,FALSE)=BP231,1,0)</f>
        <v>#N/A</v>
      </c>
      <c r="FC231" s="138" t="e">
        <f>IF(VLOOKUP(CONCATENATE(H231,F231,FC$2),Ciencias!$A:$H,7,FALSE)=BQ231,1,0)</f>
        <v>#N/A</v>
      </c>
      <c r="FD231" s="138" t="e">
        <f>IF(VLOOKUP(CONCATENATE(H231,F231,FD$2),Ciencias!$A:$H,7,FALSE)=BR231,1,0)</f>
        <v>#N/A</v>
      </c>
      <c r="FE231" s="138" t="e">
        <f>IF(VLOOKUP(CONCATENATE(H231,F231,FE$2),Ciencias!$A:$H,7,FALSE)=BS231,1,0)</f>
        <v>#N/A</v>
      </c>
      <c r="FF231" s="138" t="e">
        <f>IF(VLOOKUP(CONCATENATE(H231,F231,FF$2),Ciencias!$A:$H,7,FALSE)=BT231,1,0)</f>
        <v>#N/A</v>
      </c>
      <c r="FG231" s="138" t="e">
        <f>IF(VLOOKUP(CONCATENATE(H231,F231,FG$2),Ciencias!$A:$H,7,FALSE)=BU231,1,0)</f>
        <v>#N/A</v>
      </c>
      <c r="FH231" s="138" t="e">
        <f>IF(VLOOKUP(CONCATENATE(H231,F231,FH$2),Ciencias!$A:$H,7,FALSE)=BV231,1,0)</f>
        <v>#N/A</v>
      </c>
      <c r="FI231" s="138" t="e">
        <f>IF(VLOOKUP(CONCATENATE(H231,F231,FI$2),Ciencias!$A:$H,7,FALSE)=BW231,1,0)</f>
        <v>#N/A</v>
      </c>
      <c r="FJ231" s="138" t="e">
        <f>IF(VLOOKUP(CONCATENATE(H231,F231,FJ$2),Ciencias!$A:$H,7,FALSE)=BX231,1,0)</f>
        <v>#N/A</v>
      </c>
      <c r="FK231" s="138" t="e">
        <f>IF(VLOOKUP(CONCATENATE(H231,F231,FK$2),Ciencias!$A:$H,7,FALSE)=BY231,1,0)</f>
        <v>#N/A</v>
      </c>
      <c r="FL231" s="138" t="e">
        <f>IF(VLOOKUP(CONCATENATE(H231,F231,FL$2),Ciencias!$A:$H,7,FALSE)=BZ231,1,0)</f>
        <v>#N/A</v>
      </c>
      <c r="FM231" s="138" t="e">
        <f>IF(VLOOKUP(CONCATENATE(H231,F231,FM$2),Ciencias!$A:$H,7,FALSE)=CA231,1,0)</f>
        <v>#N/A</v>
      </c>
      <c r="FN231" s="138" t="e">
        <f>IF(VLOOKUP(CONCATENATE(H231,F231,FN$2),Ciencias!$A:$H,7,FALSE)=CB231,1,0)</f>
        <v>#N/A</v>
      </c>
      <c r="FO231" s="138" t="e">
        <f>IF(VLOOKUP(CONCATENATE(H231,F231,FO$2),Ciencias!$A:$H,7,FALSE)=CC231,1,0)</f>
        <v>#N/A</v>
      </c>
      <c r="FP231" s="138" t="e">
        <f>IF(VLOOKUP(CONCATENATE(H231,F231,FP$2),GeoHis!$A:$H,7,FALSE)=CD231,1,0)</f>
        <v>#N/A</v>
      </c>
      <c r="FQ231" s="138" t="e">
        <f>IF(VLOOKUP(CONCATENATE(H231,F231,FQ$2),GeoHis!$A:$H,7,FALSE)=CE231,1,0)</f>
        <v>#N/A</v>
      </c>
      <c r="FR231" s="138" t="e">
        <f>IF(VLOOKUP(CONCATENATE(H231,F231,FR$2),GeoHis!$A:$H,7,FALSE)=CF231,1,0)</f>
        <v>#N/A</v>
      </c>
      <c r="FS231" s="138" t="e">
        <f>IF(VLOOKUP(CONCATENATE(H231,F231,FS$2),GeoHis!$A:$H,7,FALSE)=CG231,1,0)</f>
        <v>#N/A</v>
      </c>
      <c r="FT231" s="138" t="e">
        <f>IF(VLOOKUP(CONCATENATE(H231,F231,FT$2),GeoHis!$A:$H,7,FALSE)=CH231,1,0)</f>
        <v>#N/A</v>
      </c>
      <c r="FU231" s="138" t="e">
        <f>IF(VLOOKUP(CONCATENATE(H231,F231,FU$2),GeoHis!$A:$H,7,FALSE)=CI231,1,0)</f>
        <v>#N/A</v>
      </c>
      <c r="FV231" s="138" t="e">
        <f>IF(VLOOKUP(CONCATENATE(H231,F231,FV$2),GeoHis!$A:$H,7,FALSE)=CJ231,1,0)</f>
        <v>#N/A</v>
      </c>
      <c r="FW231" s="138" t="e">
        <f>IF(VLOOKUP(CONCATENATE(H231,F231,FW$2),GeoHis!$A:$H,7,FALSE)=CK231,1,0)</f>
        <v>#N/A</v>
      </c>
      <c r="FX231" s="138" t="e">
        <f>IF(VLOOKUP(CONCATENATE(H231,F231,FX$2),GeoHis!$A:$H,7,FALSE)=CL231,1,0)</f>
        <v>#N/A</v>
      </c>
      <c r="FY231" s="138" t="e">
        <f>IF(VLOOKUP(CONCATENATE(H231,F231,FY$2),GeoHis!$A:$H,7,FALSE)=CM231,1,0)</f>
        <v>#N/A</v>
      </c>
      <c r="FZ231" s="138" t="e">
        <f>IF(VLOOKUP(CONCATENATE(H231,F231,FZ$2),GeoHis!$A:$H,7,FALSE)=CN231,1,0)</f>
        <v>#N/A</v>
      </c>
      <c r="GA231" s="138" t="e">
        <f>IF(VLOOKUP(CONCATENATE(H231,F231,GA$2),GeoHis!$A:$H,7,FALSE)=CO231,1,0)</f>
        <v>#N/A</v>
      </c>
      <c r="GB231" s="138" t="e">
        <f>IF(VLOOKUP(CONCATENATE(H231,F231,GB$2),GeoHis!$A:$H,7,FALSE)=CP231,1,0)</f>
        <v>#N/A</v>
      </c>
      <c r="GC231" s="138" t="e">
        <f>IF(VLOOKUP(CONCATENATE(H231,F231,GC$2),GeoHis!$A:$H,7,FALSE)=CQ231,1,0)</f>
        <v>#N/A</v>
      </c>
      <c r="GD231" s="138" t="e">
        <f>IF(VLOOKUP(CONCATENATE(H231,F231,GD$2),GeoHis!$A:$H,7,FALSE)=CR231,1,0)</f>
        <v>#N/A</v>
      </c>
      <c r="GE231" s="135" t="str">
        <f t="shared" si="31"/>
        <v/>
      </c>
    </row>
    <row r="232" spans="1:187" x14ac:dyDescent="0.25">
      <c r="A232" s="127" t="str">
        <f>IF(C232="","",'Datos Generales'!$A$25)</f>
        <v/>
      </c>
      <c r="D232" s="126" t="str">
        <f t="shared" si="24"/>
        <v/>
      </c>
      <c r="E232" s="126">
        <f t="shared" si="25"/>
        <v>0</v>
      </c>
      <c r="F232" s="126" t="str">
        <f t="shared" si="26"/>
        <v/>
      </c>
      <c r="G232" s="126" t="str">
        <f>IF(C232="","",'Datos Generales'!$D$19)</f>
        <v/>
      </c>
      <c r="H232" s="21" t="str">
        <f>IF(C232="","",'Datos Generales'!$A$19)</f>
        <v/>
      </c>
      <c r="I232" s="126" t="str">
        <f>IF(C232="","",'Datos Generales'!$A$7)</f>
        <v/>
      </c>
      <c r="J232" s="21" t="str">
        <f>IF(C232="","",'Datos Generales'!$A$13)</f>
        <v/>
      </c>
      <c r="K232" s="21" t="str">
        <f>IF(C232="","",'Datos Generales'!$A$10)</f>
        <v/>
      </c>
      <c r="CS232" s="142" t="str">
        <f t="shared" si="27"/>
        <v/>
      </c>
      <c r="CT232" s="142" t="str">
        <f t="shared" si="28"/>
        <v/>
      </c>
      <c r="CU232" s="142" t="str">
        <f t="shared" si="29"/>
        <v/>
      </c>
      <c r="CV232" s="142" t="str">
        <f t="shared" si="30"/>
        <v/>
      </c>
      <c r="CW232" s="142" t="str">
        <f>IF(C232="","",IF('Datos Generales'!$A$19=1,AVERAGE(FP232:GD232),AVERAGE(Captura!FP232:FY232)))</f>
        <v/>
      </c>
      <c r="CX232" s="138" t="e">
        <f>IF(VLOOKUP(CONCATENATE($H$4,$F$4,CX$2),Español!$A:$H,7,FALSE)=L232,1,0)</f>
        <v>#N/A</v>
      </c>
      <c r="CY232" s="138" t="e">
        <f>IF(VLOOKUP(CONCATENATE(H232,F232,CY$2),Español!$A:$H,7,FALSE)=M232,1,0)</f>
        <v>#N/A</v>
      </c>
      <c r="CZ232" s="138" t="e">
        <f>IF(VLOOKUP(CONCATENATE(H232,F232,CZ$2),Español!$A:$H,7,FALSE)=N232,1,0)</f>
        <v>#N/A</v>
      </c>
      <c r="DA232" s="138" t="e">
        <f>IF(VLOOKUP(CONCATENATE(H232,F232,DA$2),Español!$A:$H,7,FALSE)=O232,1,0)</f>
        <v>#N/A</v>
      </c>
      <c r="DB232" s="138" t="e">
        <f>IF(VLOOKUP(CONCATENATE(H232,F232,DB$2),Español!$A:$H,7,FALSE)=P232,1,0)</f>
        <v>#N/A</v>
      </c>
      <c r="DC232" s="138" t="e">
        <f>IF(VLOOKUP(CONCATENATE(H232,F232,DC$2),Español!$A:$H,7,FALSE)=Q232,1,0)</f>
        <v>#N/A</v>
      </c>
      <c r="DD232" s="138" t="e">
        <f>IF(VLOOKUP(CONCATENATE(H232,F232,DD$2),Español!$A:$H,7,FALSE)=R232,1,0)</f>
        <v>#N/A</v>
      </c>
      <c r="DE232" s="138" t="e">
        <f>IF(VLOOKUP(CONCATENATE(H232,F232,DE$2),Español!$A:$H,7,FALSE)=S232,1,0)</f>
        <v>#N/A</v>
      </c>
      <c r="DF232" s="138" t="e">
        <f>IF(VLOOKUP(CONCATENATE(H232,F232,DF$2),Español!$A:$H,7,FALSE)=T232,1,0)</f>
        <v>#N/A</v>
      </c>
      <c r="DG232" s="138" t="e">
        <f>IF(VLOOKUP(CONCATENATE(H232,F232,DG$2),Español!$A:$H,7,FALSE)=U232,1,0)</f>
        <v>#N/A</v>
      </c>
      <c r="DH232" s="138" t="e">
        <f>IF(VLOOKUP(CONCATENATE(H232,F232,DH$2),Español!$A:$H,7,FALSE)=V232,1,0)</f>
        <v>#N/A</v>
      </c>
      <c r="DI232" s="138" t="e">
        <f>IF(VLOOKUP(CONCATENATE(H232,F232,DI$2),Español!$A:$H,7,FALSE)=W232,1,0)</f>
        <v>#N/A</v>
      </c>
      <c r="DJ232" s="138" t="e">
        <f>IF(VLOOKUP(CONCATENATE(H232,F232,DJ$2),Español!$A:$H,7,FALSE)=X232,1,0)</f>
        <v>#N/A</v>
      </c>
      <c r="DK232" s="138" t="e">
        <f>IF(VLOOKUP(CONCATENATE(H232,F232,DK$2),Español!$A:$H,7,FALSE)=Y232,1,0)</f>
        <v>#N/A</v>
      </c>
      <c r="DL232" s="138" t="e">
        <f>IF(VLOOKUP(CONCATENATE(H232,F232,DL$2),Español!$A:$H,7,FALSE)=Z232,1,0)</f>
        <v>#N/A</v>
      </c>
      <c r="DM232" s="138" t="e">
        <f>IF(VLOOKUP(CONCATENATE(H232,F232,DM$2),Español!$A:$H,7,FALSE)=AA232,1,0)</f>
        <v>#N/A</v>
      </c>
      <c r="DN232" s="138" t="e">
        <f>IF(VLOOKUP(CONCATENATE(H232,F232,DN$2),Español!$A:$H,7,FALSE)=AB232,1,0)</f>
        <v>#N/A</v>
      </c>
      <c r="DO232" s="138" t="e">
        <f>IF(VLOOKUP(CONCATENATE(H232,F232,DO$2),Español!$A:$H,7,FALSE)=AC232,1,0)</f>
        <v>#N/A</v>
      </c>
      <c r="DP232" s="138" t="e">
        <f>IF(VLOOKUP(CONCATENATE(H232,F232,DP$2),Español!$A:$H,7,FALSE)=AD232,1,0)</f>
        <v>#N/A</v>
      </c>
      <c r="DQ232" s="138" t="e">
        <f>IF(VLOOKUP(CONCATENATE(H232,F232,DQ$2),Español!$A:$H,7,FALSE)=AE232,1,0)</f>
        <v>#N/A</v>
      </c>
      <c r="DR232" s="138" t="e">
        <f>IF(VLOOKUP(CONCATENATE(H232,F232,DR$2),Inglés!$A:$H,7,FALSE)=AF232,1,0)</f>
        <v>#N/A</v>
      </c>
      <c r="DS232" s="138" t="e">
        <f>IF(VLOOKUP(CONCATENATE(H232,F232,DS$2),Inglés!$A:$H,7,FALSE)=AG232,1,0)</f>
        <v>#N/A</v>
      </c>
      <c r="DT232" s="138" t="e">
        <f>IF(VLOOKUP(CONCATENATE(H232,F232,DT$2),Inglés!$A:$H,7,FALSE)=AH232,1,0)</f>
        <v>#N/A</v>
      </c>
      <c r="DU232" s="138" t="e">
        <f>IF(VLOOKUP(CONCATENATE(H232,F232,DU$2),Inglés!$A:$H,7,FALSE)=AI232,1,0)</f>
        <v>#N/A</v>
      </c>
      <c r="DV232" s="138" t="e">
        <f>IF(VLOOKUP(CONCATENATE(H232,F232,DV$2),Inglés!$A:$H,7,FALSE)=AJ232,1,0)</f>
        <v>#N/A</v>
      </c>
      <c r="DW232" s="138" t="e">
        <f>IF(VLOOKUP(CONCATENATE(H232,F232,DW$2),Inglés!$A:$H,7,FALSE)=AK232,1,0)</f>
        <v>#N/A</v>
      </c>
      <c r="DX232" s="138" t="e">
        <f>IF(VLOOKUP(CONCATENATE(H232,F232,DX$2),Inglés!$A:$H,7,FALSE)=AL232,1,0)</f>
        <v>#N/A</v>
      </c>
      <c r="DY232" s="138" t="e">
        <f>IF(VLOOKUP(CONCATENATE(H232,F232,DY$2),Inglés!$A:$H,7,FALSE)=AM232,1,0)</f>
        <v>#N/A</v>
      </c>
      <c r="DZ232" s="138" t="e">
        <f>IF(VLOOKUP(CONCATENATE(H232,F232,DZ$2),Inglés!$A:$H,7,FALSE)=AN232,1,0)</f>
        <v>#N/A</v>
      </c>
      <c r="EA232" s="138" t="e">
        <f>IF(VLOOKUP(CONCATENATE(H232,F232,EA$2),Inglés!$A:$H,7,FALSE)=AO232,1,0)</f>
        <v>#N/A</v>
      </c>
      <c r="EB232" s="138" t="e">
        <f>IF(VLOOKUP(CONCATENATE(H232,F232,EB$2),Matemáticas!$A:$H,7,FALSE)=AP232,1,0)</f>
        <v>#N/A</v>
      </c>
      <c r="EC232" s="138" t="e">
        <f>IF(VLOOKUP(CONCATENATE(H232,F232,EC$2),Matemáticas!$A:$H,7,FALSE)=AQ232,1,0)</f>
        <v>#N/A</v>
      </c>
      <c r="ED232" s="138" t="e">
        <f>IF(VLOOKUP(CONCATENATE(H232,F232,ED$2),Matemáticas!$A:$H,7,FALSE)=AR232,1,0)</f>
        <v>#N/A</v>
      </c>
      <c r="EE232" s="138" t="e">
        <f>IF(VLOOKUP(CONCATENATE(H232,F232,EE$2),Matemáticas!$A:$H,7,FALSE)=AS232,1,0)</f>
        <v>#N/A</v>
      </c>
      <c r="EF232" s="138" t="e">
        <f>IF(VLOOKUP(CONCATENATE(H232,F232,EF$2),Matemáticas!$A:$H,7,FALSE)=AT232,1,0)</f>
        <v>#N/A</v>
      </c>
      <c r="EG232" s="138" t="e">
        <f>IF(VLOOKUP(CONCATENATE(H232,F232,EG$2),Matemáticas!$A:$H,7,FALSE)=AU232,1,0)</f>
        <v>#N/A</v>
      </c>
      <c r="EH232" s="138" t="e">
        <f>IF(VLOOKUP(CONCATENATE(H232,F232,EH$2),Matemáticas!$A:$H,7,FALSE)=AV232,1,0)</f>
        <v>#N/A</v>
      </c>
      <c r="EI232" s="138" t="e">
        <f>IF(VLOOKUP(CONCATENATE(H232,F232,EI$2),Matemáticas!$A:$H,7,FALSE)=AW232,1,0)</f>
        <v>#N/A</v>
      </c>
      <c r="EJ232" s="138" t="e">
        <f>IF(VLOOKUP(CONCATENATE(H232,F232,EJ$2),Matemáticas!$A:$H,7,FALSE)=AX232,1,0)</f>
        <v>#N/A</v>
      </c>
      <c r="EK232" s="138" t="e">
        <f>IF(VLOOKUP(CONCATENATE(H232,F232,EK$2),Matemáticas!$A:$H,7,FALSE)=AY232,1,0)</f>
        <v>#N/A</v>
      </c>
      <c r="EL232" s="138" t="e">
        <f>IF(VLOOKUP(CONCATENATE(H232,F232,EL$2),Matemáticas!$A:$H,7,FALSE)=AZ232,1,0)</f>
        <v>#N/A</v>
      </c>
      <c r="EM232" s="138" t="e">
        <f>IF(VLOOKUP(CONCATENATE(H232,F232,EM$2),Matemáticas!$A:$H,7,FALSE)=BA232,1,0)</f>
        <v>#N/A</v>
      </c>
      <c r="EN232" s="138" t="e">
        <f>IF(VLOOKUP(CONCATENATE(H232,F232,EN$2),Matemáticas!$A:$H,7,FALSE)=BB232,1,0)</f>
        <v>#N/A</v>
      </c>
      <c r="EO232" s="138" t="e">
        <f>IF(VLOOKUP(CONCATENATE(H232,F232,EO$2),Matemáticas!$A:$H,7,FALSE)=BC232,1,0)</f>
        <v>#N/A</v>
      </c>
      <c r="EP232" s="138" t="e">
        <f>IF(VLOOKUP(CONCATENATE(H232,F232,EP$2),Matemáticas!$A:$H,7,FALSE)=BD232,1,0)</f>
        <v>#N/A</v>
      </c>
      <c r="EQ232" s="138" t="e">
        <f>IF(VLOOKUP(CONCATENATE(H232,F232,EQ$2),Matemáticas!$A:$H,7,FALSE)=BE232,1,0)</f>
        <v>#N/A</v>
      </c>
      <c r="ER232" s="138" t="e">
        <f>IF(VLOOKUP(CONCATENATE(H232,F232,ER$2),Matemáticas!$A:$H,7,FALSE)=BF232,1,0)</f>
        <v>#N/A</v>
      </c>
      <c r="ES232" s="138" t="e">
        <f>IF(VLOOKUP(CONCATENATE(H232,F232,ES$2),Matemáticas!$A:$H,7,FALSE)=BG232,1,0)</f>
        <v>#N/A</v>
      </c>
      <c r="ET232" s="138" t="e">
        <f>IF(VLOOKUP(CONCATENATE(H232,F232,ET$2),Matemáticas!$A:$H,7,FALSE)=BH232,1,0)</f>
        <v>#N/A</v>
      </c>
      <c r="EU232" s="138" t="e">
        <f>IF(VLOOKUP(CONCATENATE(H232,F232,EU$2),Matemáticas!$A:$H,7,FALSE)=BI232,1,0)</f>
        <v>#N/A</v>
      </c>
      <c r="EV232" s="138" t="e">
        <f>IF(VLOOKUP(CONCATENATE(H232,F232,EV$2),Ciencias!$A:$H,7,FALSE)=BJ232,1,0)</f>
        <v>#N/A</v>
      </c>
      <c r="EW232" s="138" t="e">
        <f>IF(VLOOKUP(CONCATENATE(H232,F232,EW$2),Ciencias!$A:$H,7,FALSE)=BK232,1,0)</f>
        <v>#N/A</v>
      </c>
      <c r="EX232" s="138" t="e">
        <f>IF(VLOOKUP(CONCATENATE(H232,F232,EX$2),Ciencias!$A:$H,7,FALSE)=BL232,1,0)</f>
        <v>#N/A</v>
      </c>
      <c r="EY232" s="138" t="e">
        <f>IF(VLOOKUP(CONCATENATE(H232,F232,EY$2),Ciencias!$A:$H,7,FALSE)=BM232,1,0)</f>
        <v>#N/A</v>
      </c>
      <c r="EZ232" s="138" t="e">
        <f>IF(VLOOKUP(CONCATENATE(H232,F232,EZ$2),Ciencias!$A:$H,7,FALSE)=BN232,1,0)</f>
        <v>#N/A</v>
      </c>
      <c r="FA232" s="138" t="e">
        <f>IF(VLOOKUP(CONCATENATE(H232,F232,FA$2),Ciencias!$A:$H,7,FALSE)=BO232,1,0)</f>
        <v>#N/A</v>
      </c>
      <c r="FB232" s="138" t="e">
        <f>IF(VLOOKUP(CONCATENATE(H232,F232,FB$2),Ciencias!$A:$H,7,FALSE)=BP232,1,0)</f>
        <v>#N/A</v>
      </c>
      <c r="FC232" s="138" t="e">
        <f>IF(VLOOKUP(CONCATENATE(H232,F232,FC$2),Ciencias!$A:$H,7,FALSE)=BQ232,1,0)</f>
        <v>#N/A</v>
      </c>
      <c r="FD232" s="138" t="e">
        <f>IF(VLOOKUP(CONCATENATE(H232,F232,FD$2),Ciencias!$A:$H,7,FALSE)=BR232,1,0)</f>
        <v>#N/A</v>
      </c>
      <c r="FE232" s="138" t="e">
        <f>IF(VLOOKUP(CONCATENATE(H232,F232,FE$2),Ciencias!$A:$H,7,FALSE)=BS232,1,0)</f>
        <v>#N/A</v>
      </c>
      <c r="FF232" s="138" t="e">
        <f>IF(VLOOKUP(CONCATENATE(H232,F232,FF$2),Ciencias!$A:$H,7,FALSE)=BT232,1,0)</f>
        <v>#N/A</v>
      </c>
      <c r="FG232" s="138" t="e">
        <f>IF(VLOOKUP(CONCATENATE(H232,F232,FG$2),Ciencias!$A:$H,7,FALSE)=BU232,1,0)</f>
        <v>#N/A</v>
      </c>
      <c r="FH232" s="138" t="e">
        <f>IF(VLOOKUP(CONCATENATE(H232,F232,FH$2),Ciencias!$A:$H,7,FALSE)=BV232,1,0)</f>
        <v>#N/A</v>
      </c>
      <c r="FI232" s="138" t="e">
        <f>IF(VLOOKUP(CONCATENATE(H232,F232,FI$2),Ciencias!$A:$H,7,FALSE)=BW232,1,0)</f>
        <v>#N/A</v>
      </c>
      <c r="FJ232" s="138" t="e">
        <f>IF(VLOOKUP(CONCATENATE(H232,F232,FJ$2),Ciencias!$A:$H,7,FALSE)=BX232,1,0)</f>
        <v>#N/A</v>
      </c>
      <c r="FK232" s="138" t="e">
        <f>IF(VLOOKUP(CONCATENATE(H232,F232,FK$2),Ciencias!$A:$H,7,FALSE)=BY232,1,0)</f>
        <v>#N/A</v>
      </c>
      <c r="FL232" s="138" t="e">
        <f>IF(VLOOKUP(CONCATENATE(H232,F232,FL$2),Ciencias!$A:$H,7,FALSE)=BZ232,1,0)</f>
        <v>#N/A</v>
      </c>
      <c r="FM232" s="138" t="e">
        <f>IF(VLOOKUP(CONCATENATE(H232,F232,FM$2),Ciencias!$A:$H,7,FALSE)=CA232,1,0)</f>
        <v>#N/A</v>
      </c>
      <c r="FN232" s="138" t="e">
        <f>IF(VLOOKUP(CONCATENATE(H232,F232,FN$2),Ciencias!$A:$H,7,FALSE)=CB232,1,0)</f>
        <v>#N/A</v>
      </c>
      <c r="FO232" s="138" t="e">
        <f>IF(VLOOKUP(CONCATENATE(H232,F232,FO$2),Ciencias!$A:$H,7,FALSE)=CC232,1,0)</f>
        <v>#N/A</v>
      </c>
      <c r="FP232" s="138" t="e">
        <f>IF(VLOOKUP(CONCATENATE(H232,F232,FP$2),GeoHis!$A:$H,7,FALSE)=CD232,1,0)</f>
        <v>#N/A</v>
      </c>
      <c r="FQ232" s="138" t="e">
        <f>IF(VLOOKUP(CONCATENATE(H232,F232,FQ$2),GeoHis!$A:$H,7,FALSE)=CE232,1,0)</f>
        <v>#N/A</v>
      </c>
      <c r="FR232" s="138" t="e">
        <f>IF(VLOOKUP(CONCATENATE(H232,F232,FR$2),GeoHis!$A:$H,7,FALSE)=CF232,1,0)</f>
        <v>#N/A</v>
      </c>
      <c r="FS232" s="138" t="e">
        <f>IF(VLOOKUP(CONCATENATE(H232,F232,FS$2),GeoHis!$A:$H,7,FALSE)=CG232,1,0)</f>
        <v>#N/A</v>
      </c>
      <c r="FT232" s="138" t="e">
        <f>IF(VLOOKUP(CONCATENATE(H232,F232,FT$2),GeoHis!$A:$H,7,FALSE)=CH232,1,0)</f>
        <v>#N/A</v>
      </c>
      <c r="FU232" s="138" t="e">
        <f>IF(VLOOKUP(CONCATENATE(H232,F232,FU$2),GeoHis!$A:$H,7,FALSE)=CI232,1,0)</f>
        <v>#N/A</v>
      </c>
      <c r="FV232" s="138" t="e">
        <f>IF(VLOOKUP(CONCATENATE(H232,F232,FV$2),GeoHis!$A:$H,7,FALSE)=CJ232,1,0)</f>
        <v>#N/A</v>
      </c>
      <c r="FW232" s="138" t="e">
        <f>IF(VLOOKUP(CONCATENATE(H232,F232,FW$2),GeoHis!$A:$H,7,FALSE)=CK232,1,0)</f>
        <v>#N/A</v>
      </c>
      <c r="FX232" s="138" t="e">
        <f>IF(VLOOKUP(CONCATENATE(H232,F232,FX$2),GeoHis!$A:$H,7,FALSE)=CL232,1,0)</f>
        <v>#N/A</v>
      </c>
      <c r="FY232" s="138" t="e">
        <f>IF(VLOOKUP(CONCATENATE(H232,F232,FY$2),GeoHis!$A:$H,7,FALSE)=CM232,1,0)</f>
        <v>#N/A</v>
      </c>
      <c r="FZ232" s="138" t="e">
        <f>IF(VLOOKUP(CONCATENATE(H232,F232,FZ$2),GeoHis!$A:$H,7,FALSE)=CN232,1,0)</f>
        <v>#N/A</v>
      </c>
      <c r="GA232" s="138" t="e">
        <f>IF(VLOOKUP(CONCATENATE(H232,F232,GA$2),GeoHis!$A:$H,7,FALSE)=CO232,1,0)</f>
        <v>#N/A</v>
      </c>
      <c r="GB232" s="138" t="e">
        <f>IF(VLOOKUP(CONCATENATE(H232,F232,GB$2),GeoHis!$A:$H,7,FALSE)=CP232,1,0)</f>
        <v>#N/A</v>
      </c>
      <c r="GC232" s="138" t="e">
        <f>IF(VLOOKUP(CONCATENATE(H232,F232,GC$2),GeoHis!$A:$H,7,FALSE)=CQ232,1,0)</f>
        <v>#N/A</v>
      </c>
      <c r="GD232" s="138" t="e">
        <f>IF(VLOOKUP(CONCATENATE(H232,F232,GD$2),GeoHis!$A:$H,7,FALSE)=CR232,1,0)</f>
        <v>#N/A</v>
      </c>
      <c r="GE232" s="135" t="str">
        <f t="shared" si="31"/>
        <v/>
      </c>
    </row>
    <row r="233" spans="1:187" x14ac:dyDescent="0.25">
      <c r="A233" s="127" t="str">
        <f>IF(C233="","",'Datos Generales'!$A$25)</f>
        <v/>
      </c>
      <c r="D233" s="126" t="str">
        <f t="shared" si="24"/>
        <v/>
      </c>
      <c r="E233" s="126">
        <f t="shared" si="25"/>
        <v>0</v>
      </c>
      <c r="F233" s="126" t="str">
        <f t="shared" si="26"/>
        <v/>
      </c>
      <c r="G233" s="126" t="str">
        <f>IF(C233="","",'Datos Generales'!$D$19)</f>
        <v/>
      </c>
      <c r="H233" s="21" t="str">
        <f>IF(C233="","",'Datos Generales'!$A$19)</f>
        <v/>
      </c>
      <c r="I233" s="126" t="str">
        <f>IF(C233="","",'Datos Generales'!$A$7)</f>
        <v/>
      </c>
      <c r="J233" s="21" t="str">
        <f>IF(C233="","",'Datos Generales'!$A$13)</f>
        <v/>
      </c>
      <c r="K233" s="21" t="str">
        <f>IF(C233="","",'Datos Generales'!$A$10)</f>
        <v/>
      </c>
      <c r="CS233" s="142" t="str">
        <f t="shared" si="27"/>
        <v/>
      </c>
      <c r="CT233" s="142" t="str">
        <f t="shared" si="28"/>
        <v/>
      </c>
      <c r="CU233" s="142" t="str">
        <f t="shared" si="29"/>
        <v/>
      </c>
      <c r="CV233" s="142" t="str">
        <f t="shared" si="30"/>
        <v/>
      </c>
      <c r="CW233" s="142" t="str">
        <f>IF(C233="","",IF('Datos Generales'!$A$19=1,AVERAGE(FP233:GD233),AVERAGE(Captura!FP233:FY233)))</f>
        <v/>
      </c>
      <c r="CX233" s="138" t="e">
        <f>IF(VLOOKUP(CONCATENATE($H$4,$F$4,CX$2),Español!$A:$H,7,FALSE)=L233,1,0)</f>
        <v>#N/A</v>
      </c>
      <c r="CY233" s="138" t="e">
        <f>IF(VLOOKUP(CONCATENATE(H233,F233,CY$2),Español!$A:$H,7,FALSE)=M233,1,0)</f>
        <v>#N/A</v>
      </c>
      <c r="CZ233" s="138" t="e">
        <f>IF(VLOOKUP(CONCATENATE(H233,F233,CZ$2),Español!$A:$H,7,FALSE)=N233,1,0)</f>
        <v>#N/A</v>
      </c>
      <c r="DA233" s="138" t="e">
        <f>IF(VLOOKUP(CONCATENATE(H233,F233,DA$2),Español!$A:$H,7,FALSE)=O233,1,0)</f>
        <v>#N/A</v>
      </c>
      <c r="DB233" s="138" t="e">
        <f>IF(VLOOKUP(CONCATENATE(H233,F233,DB$2),Español!$A:$H,7,FALSE)=P233,1,0)</f>
        <v>#N/A</v>
      </c>
      <c r="DC233" s="138" t="e">
        <f>IF(VLOOKUP(CONCATENATE(H233,F233,DC$2),Español!$A:$H,7,FALSE)=Q233,1,0)</f>
        <v>#N/A</v>
      </c>
      <c r="DD233" s="138" t="e">
        <f>IF(VLOOKUP(CONCATENATE(H233,F233,DD$2),Español!$A:$H,7,FALSE)=R233,1,0)</f>
        <v>#N/A</v>
      </c>
      <c r="DE233" s="138" t="e">
        <f>IF(VLOOKUP(CONCATENATE(H233,F233,DE$2),Español!$A:$H,7,FALSE)=S233,1,0)</f>
        <v>#N/A</v>
      </c>
      <c r="DF233" s="138" t="e">
        <f>IF(VLOOKUP(CONCATENATE(H233,F233,DF$2),Español!$A:$H,7,FALSE)=T233,1,0)</f>
        <v>#N/A</v>
      </c>
      <c r="DG233" s="138" t="e">
        <f>IF(VLOOKUP(CONCATENATE(H233,F233,DG$2),Español!$A:$H,7,FALSE)=U233,1,0)</f>
        <v>#N/A</v>
      </c>
      <c r="DH233" s="138" t="e">
        <f>IF(VLOOKUP(CONCATENATE(H233,F233,DH$2),Español!$A:$H,7,FALSE)=V233,1,0)</f>
        <v>#N/A</v>
      </c>
      <c r="DI233" s="138" t="e">
        <f>IF(VLOOKUP(CONCATENATE(H233,F233,DI$2),Español!$A:$H,7,FALSE)=W233,1,0)</f>
        <v>#N/A</v>
      </c>
      <c r="DJ233" s="138" t="e">
        <f>IF(VLOOKUP(CONCATENATE(H233,F233,DJ$2),Español!$A:$H,7,FALSE)=X233,1,0)</f>
        <v>#N/A</v>
      </c>
      <c r="DK233" s="138" t="e">
        <f>IF(VLOOKUP(CONCATENATE(H233,F233,DK$2),Español!$A:$H,7,FALSE)=Y233,1,0)</f>
        <v>#N/A</v>
      </c>
      <c r="DL233" s="138" t="e">
        <f>IF(VLOOKUP(CONCATENATE(H233,F233,DL$2),Español!$A:$H,7,FALSE)=Z233,1,0)</f>
        <v>#N/A</v>
      </c>
      <c r="DM233" s="138" t="e">
        <f>IF(VLOOKUP(CONCATENATE(H233,F233,DM$2),Español!$A:$H,7,FALSE)=AA233,1,0)</f>
        <v>#N/A</v>
      </c>
      <c r="DN233" s="138" t="e">
        <f>IF(VLOOKUP(CONCATENATE(H233,F233,DN$2),Español!$A:$H,7,FALSE)=AB233,1,0)</f>
        <v>#N/A</v>
      </c>
      <c r="DO233" s="138" t="e">
        <f>IF(VLOOKUP(CONCATENATE(H233,F233,DO$2),Español!$A:$H,7,FALSE)=AC233,1,0)</f>
        <v>#N/A</v>
      </c>
      <c r="DP233" s="138" t="e">
        <f>IF(VLOOKUP(CONCATENATE(H233,F233,DP$2),Español!$A:$H,7,FALSE)=AD233,1,0)</f>
        <v>#N/A</v>
      </c>
      <c r="DQ233" s="138" t="e">
        <f>IF(VLOOKUP(CONCATENATE(H233,F233,DQ$2),Español!$A:$H,7,FALSE)=AE233,1,0)</f>
        <v>#N/A</v>
      </c>
      <c r="DR233" s="138" t="e">
        <f>IF(VLOOKUP(CONCATENATE(H233,F233,DR$2),Inglés!$A:$H,7,FALSE)=AF233,1,0)</f>
        <v>#N/A</v>
      </c>
      <c r="DS233" s="138" t="e">
        <f>IF(VLOOKUP(CONCATENATE(H233,F233,DS$2),Inglés!$A:$H,7,FALSE)=AG233,1,0)</f>
        <v>#N/A</v>
      </c>
      <c r="DT233" s="138" t="e">
        <f>IF(VLOOKUP(CONCATENATE(H233,F233,DT$2),Inglés!$A:$H,7,FALSE)=AH233,1,0)</f>
        <v>#N/A</v>
      </c>
      <c r="DU233" s="138" t="e">
        <f>IF(VLOOKUP(CONCATENATE(H233,F233,DU$2),Inglés!$A:$H,7,FALSE)=AI233,1,0)</f>
        <v>#N/A</v>
      </c>
      <c r="DV233" s="138" t="e">
        <f>IF(VLOOKUP(CONCATENATE(H233,F233,DV$2),Inglés!$A:$H,7,FALSE)=AJ233,1,0)</f>
        <v>#N/A</v>
      </c>
      <c r="DW233" s="138" t="e">
        <f>IF(VLOOKUP(CONCATENATE(H233,F233,DW$2),Inglés!$A:$H,7,FALSE)=AK233,1,0)</f>
        <v>#N/A</v>
      </c>
      <c r="DX233" s="138" t="e">
        <f>IF(VLOOKUP(CONCATENATE(H233,F233,DX$2),Inglés!$A:$H,7,FALSE)=AL233,1,0)</f>
        <v>#N/A</v>
      </c>
      <c r="DY233" s="138" t="e">
        <f>IF(VLOOKUP(CONCATENATE(H233,F233,DY$2),Inglés!$A:$H,7,FALSE)=AM233,1,0)</f>
        <v>#N/A</v>
      </c>
      <c r="DZ233" s="138" t="e">
        <f>IF(VLOOKUP(CONCATENATE(H233,F233,DZ$2),Inglés!$A:$H,7,FALSE)=AN233,1,0)</f>
        <v>#N/A</v>
      </c>
      <c r="EA233" s="138" t="e">
        <f>IF(VLOOKUP(CONCATENATE(H233,F233,EA$2),Inglés!$A:$H,7,FALSE)=AO233,1,0)</f>
        <v>#N/A</v>
      </c>
      <c r="EB233" s="138" t="e">
        <f>IF(VLOOKUP(CONCATENATE(H233,F233,EB$2),Matemáticas!$A:$H,7,FALSE)=AP233,1,0)</f>
        <v>#N/A</v>
      </c>
      <c r="EC233" s="138" t="e">
        <f>IF(VLOOKUP(CONCATENATE(H233,F233,EC$2),Matemáticas!$A:$H,7,FALSE)=AQ233,1,0)</f>
        <v>#N/A</v>
      </c>
      <c r="ED233" s="138" t="e">
        <f>IF(VLOOKUP(CONCATENATE(H233,F233,ED$2),Matemáticas!$A:$H,7,FALSE)=AR233,1,0)</f>
        <v>#N/A</v>
      </c>
      <c r="EE233" s="138" t="e">
        <f>IF(VLOOKUP(CONCATENATE(H233,F233,EE$2),Matemáticas!$A:$H,7,FALSE)=AS233,1,0)</f>
        <v>#N/A</v>
      </c>
      <c r="EF233" s="138" t="e">
        <f>IF(VLOOKUP(CONCATENATE(H233,F233,EF$2),Matemáticas!$A:$H,7,FALSE)=AT233,1,0)</f>
        <v>#N/A</v>
      </c>
      <c r="EG233" s="138" t="e">
        <f>IF(VLOOKUP(CONCATENATE(H233,F233,EG$2),Matemáticas!$A:$H,7,FALSE)=AU233,1,0)</f>
        <v>#N/A</v>
      </c>
      <c r="EH233" s="138" t="e">
        <f>IF(VLOOKUP(CONCATENATE(H233,F233,EH$2),Matemáticas!$A:$H,7,FALSE)=AV233,1,0)</f>
        <v>#N/A</v>
      </c>
      <c r="EI233" s="138" t="e">
        <f>IF(VLOOKUP(CONCATENATE(H233,F233,EI$2),Matemáticas!$A:$H,7,FALSE)=AW233,1,0)</f>
        <v>#N/A</v>
      </c>
      <c r="EJ233" s="138" t="e">
        <f>IF(VLOOKUP(CONCATENATE(H233,F233,EJ$2),Matemáticas!$A:$H,7,FALSE)=AX233,1,0)</f>
        <v>#N/A</v>
      </c>
      <c r="EK233" s="138" t="e">
        <f>IF(VLOOKUP(CONCATENATE(H233,F233,EK$2),Matemáticas!$A:$H,7,FALSE)=AY233,1,0)</f>
        <v>#N/A</v>
      </c>
      <c r="EL233" s="138" t="e">
        <f>IF(VLOOKUP(CONCATENATE(H233,F233,EL$2),Matemáticas!$A:$H,7,FALSE)=AZ233,1,0)</f>
        <v>#N/A</v>
      </c>
      <c r="EM233" s="138" t="e">
        <f>IF(VLOOKUP(CONCATENATE(H233,F233,EM$2),Matemáticas!$A:$H,7,FALSE)=BA233,1,0)</f>
        <v>#N/A</v>
      </c>
      <c r="EN233" s="138" t="e">
        <f>IF(VLOOKUP(CONCATENATE(H233,F233,EN$2),Matemáticas!$A:$H,7,FALSE)=BB233,1,0)</f>
        <v>#N/A</v>
      </c>
      <c r="EO233" s="138" t="e">
        <f>IF(VLOOKUP(CONCATENATE(H233,F233,EO$2),Matemáticas!$A:$H,7,FALSE)=BC233,1,0)</f>
        <v>#N/A</v>
      </c>
      <c r="EP233" s="138" t="e">
        <f>IF(VLOOKUP(CONCATENATE(H233,F233,EP$2),Matemáticas!$A:$H,7,FALSE)=BD233,1,0)</f>
        <v>#N/A</v>
      </c>
      <c r="EQ233" s="138" t="e">
        <f>IF(VLOOKUP(CONCATENATE(H233,F233,EQ$2),Matemáticas!$A:$H,7,FALSE)=BE233,1,0)</f>
        <v>#N/A</v>
      </c>
      <c r="ER233" s="138" t="e">
        <f>IF(VLOOKUP(CONCATENATE(H233,F233,ER$2),Matemáticas!$A:$H,7,FALSE)=BF233,1,0)</f>
        <v>#N/A</v>
      </c>
      <c r="ES233" s="138" t="e">
        <f>IF(VLOOKUP(CONCATENATE(H233,F233,ES$2),Matemáticas!$A:$H,7,FALSE)=BG233,1,0)</f>
        <v>#N/A</v>
      </c>
      <c r="ET233" s="138" t="e">
        <f>IF(VLOOKUP(CONCATENATE(H233,F233,ET$2),Matemáticas!$A:$H,7,FALSE)=BH233,1,0)</f>
        <v>#N/A</v>
      </c>
      <c r="EU233" s="138" t="e">
        <f>IF(VLOOKUP(CONCATENATE(H233,F233,EU$2),Matemáticas!$A:$H,7,FALSE)=BI233,1,0)</f>
        <v>#N/A</v>
      </c>
      <c r="EV233" s="138" t="e">
        <f>IF(VLOOKUP(CONCATENATE(H233,F233,EV$2),Ciencias!$A:$H,7,FALSE)=BJ233,1,0)</f>
        <v>#N/A</v>
      </c>
      <c r="EW233" s="138" t="e">
        <f>IF(VLOOKUP(CONCATENATE(H233,F233,EW$2),Ciencias!$A:$H,7,FALSE)=BK233,1,0)</f>
        <v>#N/A</v>
      </c>
      <c r="EX233" s="138" t="e">
        <f>IF(VLOOKUP(CONCATENATE(H233,F233,EX$2),Ciencias!$A:$H,7,FALSE)=BL233,1,0)</f>
        <v>#N/A</v>
      </c>
      <c r="EY233" s="138" t="e">
        <f>IF(VLOOKUP(CONCATENATE(H233,F233,EY$2),Ciencias!$A:$H,7,FALSE)=BM233,1,0)</f>
        <v>#N/A</v>
      </c>
      <c r="EZ233" s="138" t="e">
        <f>IF(VLOOKUP(CONCATENATE(H233,F233,EZ$2),Ciencias!$A:$H,7,FALSE)=BN233,1,0)</f>
        <v>#N/A</v>
      </c>
      <c r="FA233" s="138" t="e">
        <f>IF(VLOOKUP(CONCATENATE(H233,F233,FA$2),Ciencias!$A:$H,7,FALSE)=BO233,1,0)</f>
        <v>#N/A</v>
      </c>
      <c r="FB233" s="138" t="e">
        <f>IF(VLOOKUP(CONCATENATE(H233,F233,FB$2),Ciencias!$A:$H,7,FALSE)=BP233,1,0)</f>
        <v>#N/A</v>
      </c>
      <c r="FC233" s="138" t="e">
        <f>IF(VLOOKUP(CONCATENATE(H233,F233,FC$2),Ciencias!$A:$H,7,FALSE)=BQ233,1,0)</f>
        <v>#N/A</v>
      </c>
      <c r="FD233" s="138" t="e">
        <f>IF(VLOOKUP(CONCATENATE(H233,F233,FD$2),Ciencias!$A:$H,7,FALSE)=BR233,1,0)</f>
        <v>#N/A</v>
      </c>
      <c r="FE233" s="138" t="e">
        <f>IF(VLOOKUP(CONCATENATE(H233,F233,FE$2),Ciencias!$A:$H,7,FALSE)=BS233,1,0)</f>
        <v>#N/A</v>
      </c>
      <c r="FF233" s="138" t="e">
        <f>IF(VLOOKUP(CONCATENATE(H233,F233,FF$2),Ciencias!$A:$H,7,FALSE)=BT233,1,0)</f>
        <v>#N/A</v>
      </c>
      <c r="FG233" s="138" t="e">
        <f>IF(VLOOKUP(CONCATENATE(H233,F233,FG$2),Ciencias!$A:$H,7,FALSE)=BU233,1,0)</f>
        <v>#N/A</v>
      </c>
      <c r="FH233" s="138" t="e">
        <f>IF(VLOOKUP(CONCATENATE(H233,F233,FH$2),Ciencias!$A:$H,7,FALSE)=BV233,1,0)</f>
        <v>#N/A</v>
      </c>
      <c r="FI233" s="138" t="e">
        <f>IF(VLOOKUP(CONCATENATE(H233,F233,FI$2),Ciencias!$A:$H,7,FALSE)=BW233,1,0)</f>
        <v>#N/A</v>
      </c>
      <c r="FJ233" s="138" t="e">
        <f>IF(VLOOKUP(CONCATENATE(H233,F233,FJ$2),Ciencias!$A:$H,7,FALSE)=BX233,1,0)</f>
        <v>#N/A</v>
      </c>
      <c r="FK233" s="138" t="e">
        <f>IF(VLOOKUP(CONCATENATE(H233,F233,FK$2),Ciencias!$A:$H,7,FALSE)=BY233,1,0)</f>
        <v>#N/A</v>
      </c>
      <c r="FL233" s="138" t="e">
        <f>IF(VLOOKUP(CONCATENATE(H233,F233,FL$2),Ciencias!$A:$H,7,FALSE)=BZ233,1,0)</f>
        <v>#N/A</v>
      </c>
      <c r="FM233" s="138" t="e">
        <f>IF(VLOOKUP(CONCATENATE(H233,F233,FM$2),Ciencias!$A:$H,7,FALSE)=CA233,1,0)</f>
        <v>#N/A</v>
      </c>
      <c r="FN233" s="138" t="e">
        <f>IF(VLOOKUP(CONCATENATE(H233,F233,FN$2),Ciencias!$A:$H,7,FALSE)=CB233,1,0)</f>
        <v>#N/A</v>
      </c>
      <c r="FO233" s="138" t="e">
        <f>IF(VLOOKUP(CONCATENATE(H233,F233,FO$2),Ciencias!$A:$H,7,FALSE)=CC233,1,0)</f>
        <v>#N/A</v>
      </c>
      <c r="FP233" s="138" t="e">
        <f>IF(VLOOKUP(CONCATENATE(H233,F233,FP$2),GeoHis!$A:$H,7,FALSE)=CD233,1,0)</f>
        <v>#N/A</v>
      </c>
      <c r="FQ233" s="138" t="e">
        <f>IF(VLOOKUP(CONCATENATE(H233,F233,FQ$2),GeoHis!$A:$H,7,FALSE)=CE233,1,0)</f>
        <v>#N/A</v>
      </c>
      <c r="FR233" s="138" t="e">
        <f>IF(VLOOKUP(CONCATENATE(H233,F233,FR$2),GeoHis!$A:$H,7,FALSE)=CF233,1,0)</f>
        <v>#N/A</v>
      </c>
      <c r="FS233" s="138" t="e">
        <f>IF(VLOOKUP(CONCATENATE(H233,F233,FS$2),GeoHis!$A:$H,7,FALSE)=CG233,1,0)</f>
        <v>#N/A</v>
      </c>
      <c r="FT233" s="138" t="e">
        <f>IF(VLOOKUP(CONCATENATE(H233,F233,FT$2),GeoHis!$A:$H,7,FALSE)=CH233,1,0)</f>
        <v>#N/A</v>
      </c>
      <c r="FU233" s="138" t="e">
        <f>IF(VLOOKUP(CONCATENATE(H233,F233,FU$2),GeoHis!$A:$H,7,FALSE)=CI233,1,0)</f>
        <v>#N/A</v>
      </c>
      <c r="FV233" s="138" t="e">
        <f>IF(VLOOKUP(CONCATENATE(H233,F233,FV$2),GeoHis!$A:$H,7,FALSE)=CJ233,1,0)</f>
        <v>#N/A</v>
      </c>
      <c r="FW233" s="138" t="e">
        <f>IF(VLOOKUP(CONCATENATE(H233,F233,FW$2),GeoHis!$A:$H,7,FALSE)=CK233,1,0)</f>
        <v>#N/A</v>
      </c>
      <c r="FX233" s="138" t="e">
        <f>IF(VLOOKUP(CONCATENATE(H233,F233,FX$2),GeoHis!$A:$H,7,FALSE)=CL233,1,0)</f>
        <v>#N/A</v>
      </c>
      <c r="FY233" s="138" t="e">
        <f>IF(VLOOKUP(CONCATENATE(H233,F233,FY$2),GeoHis!$A:$H,7,FALSE)=CM233,1,0)</f>
        <v>#N/A</v>
      </c>
      <c r="FZ233" s="138" t="e">
        <f>IF(VLOOKUP(CONCATENATE(H233,F233,FZ$2),GeoHis!$A:$H,7,FALSE)=CN233,1,0)</f>
        <v>#N/A</v>
      </c>
      <c r="GA233" s="138" t="e">
        <f>IF(VLOOKUP(CONCATENATE(H233,F233,GA$2),GeoHis!$A:$H,7,FALSE)=CO233,1,0)</f>
        <v>#N/A</v>
      </c>
      <c r="GB233" s="138" t="e">
        <f>IF(VLOOKUP(CONCATENATE(H233,F233,GB$2),GeoHis!$A:$H,7,FALSE)=CP233,1,0)</f>
        <v>#N/A</v>
      </c>
      <c r="GC233" s="138" t="e">
        <f>IF(VLOOKUP(CONCATENATE(H233,F233,GC$2),GeoHis!$A:$H,7,FALSE)=CQ233,1,0)</f>
        <v>#N/A</v>
      </c>
      <c r="GD233" s="138" t="e">
        <f>IF(VLOOKUP(CONCATENATE(H233,F233,GD$2),GeoHis!$A:$H,7,FALSE)=CR233,1,0)</f>
        <v>#N/A</v>
      </c>
      <c r="GE233" s="135" t="str">
        <f t="shared" si="31"/>
        <v/>
      </c>
    </row>
    <row r="234" spans="1:187" x14ac:dyDescent="0.25">
      <c r="A234" s="127" t="str">
        <f>IF(C234="","",'Datos Generales'!$A$25)</f>
        <v/>
      </c>
      <c r="D234" s="126" t="str">
        <f t="shared" si="24"/>
        <v/>
      </c>
      <c r="E234" s="126">
        <f t="shared" si="25"/>
        <v>0</v>
      </c>
      <c r="F234" s="126" t="str">
        <f t="shared" si="26"/>
        <v/>
      </c>
      <c r="G234" s="126" t="str">
        <f>IF(C234="","",'Datos Generales'!$D$19)</f>
        <v/>
      </c>
      <c r="H234" s="21" t="str">
        <f>IF(C234="","",'Datos Generales'!$A$19)</f>
        <v/>
      </c>
      <c r="I234" s="126" t="str">
        <f>IF(C234="","",'Datos Generales'!$A$7)</f>
        <v/>
      </c>
      <c r="J234" s="21" t="str">
        <f>IF(C234="","",'Datos Generales'!$A$13)</f>
        <v/>
      </c>
      <c r="K234" s="21" t="str">
        <f>IF(C234="","",'Datos Generales'!$A$10)</f>
        <v/>
      </c>
      <c r="CS234" s="142" t="str">
        <f t="shared" si="27"/>
        <v/>
      </c>
      <c r="CT234" s="142" t="str">
        <f t="shared" si="28"/>
        <v/>
      </c>
      <c r="CU234" s="142" t="str">
        <f t="shared" si="29"/>
        <v/>
      </c>
      <c r="CV234" s="142" t="str">
        <f t="shared" si="30"/>
        <v/>
      </c>
      <c r="CW234" s="142" t="str">
        <f>IF(C234="","",IF('Datos Generales'!$A$19=1,AVERAGE(FP234:GD234),AVERAGE(Captura!FP234:FY234)))</f>
        <v/>
      </c>
      <c r="CX234" s="138" t="e">
        <f>IF(VLOOKUP(CONCATENATE($H$4,$F$4,CX$2),Español!$A:$H,7,FALSE)=L234,1,0)</f>
        <v>#N/A</v>
      </c>
      <c r="CY234" s="138" t="e">
        <f>IF(VLOOKUP(CONCATENATE(H234,F234,CY$2),Español!$A:$H,7,FALSE)=M234,1,0)</f>
        <v>#N/A</v>
      </c>
      <c r="CZ234" s="138" t="e">
        <f>IF(VLOOKUP(CONCATENATE(H234,F234,CZ$2),Español!$A:$H,7,FALSE)=N234,1,0)</f>
        <v>#N/A</v>
      </c>
      <c r="DA234" s="138" t="e">
        <f>IF(VLOOKUP(CONCATENATE(H234,F234,DA$2),Español!$A:$H,7,FALSE)=O234,1,0)</f>
        <v>#N/A</v>
      </c>
      <c r="DB234" s="138" t="e">
        <f>IF(VLOOKUP(CONCATENATE(H234,F234,DB$2),Español!$A:$H,7,FALSE)=P234,1,0)</f>
        <v>#N/A</v>
      </c>
      <c r="DC234" s="138" t="e">
        <f>IF(VLOOKUP(CONCATENATE(H234,F234,DC$2),Español!$A:$H,7,FALSE)=Q234,1,0)</f>
        <v>#N/A</v>
      </c>
      <c r="DD234" s="138" t="e">
        <f>IF(VLOOKUP(CONCATENATE(H234,F234,DD$2),Español!$A:$H,7,FALSE)=R234,1,0)</f>
        <v>#N/A</v>
      </c>
      <c r="DE234" s="138" t="e">
        <f>IF(VLOOKUP(CONCATENATE(H234,F234,DE$2),Español!$A:$H,7,FALSE)=S234,1,0)</f>
        <v>#N/A</v>
      </c>
      <c r="DF234" s="138" t="e">
        <f>IF(VLOOKUP(CONCATENATE(H234,F234,DF$2),Español!$A:$H,7,FALSE)=T234,1,0)</f>
        <v>#N/A</v>
      </c>
      <c r="DG234" s="138" t="e">
        <f>IF(VLOOKUP(CONCATENATE(H234,F234,DG$2),Español!$A:$H,7,FALSE)=U234,1,0)</f>
        <v>#N/A</v>
      </c>
      <c r="DH234" s="138" t="e">
        <f>IF(VLOOKUP(CONCATENATE(H234,F234,DH$2),Español!$A:$H,7,FALSE)=V234,1,0)</f>
        <v>#N/A</v>
      </c>
      <c r="DI234" s="138" t="e">
        <f>IF(VLOOKUP(CONCATENATE(H234,F234,DI$2),Español!$A:$H,7,FALSE)=W234,1,0)</f>
        <v>#N/A</v>
      </c>
      <c r="DJ234" s="138" t="e">
        <f>IF(VLOOKUP(CONCATENATE(H234,F234,DJ$2),Español!$A:$H,7,FALSE)=X234,1,0)</f>
        <v>#N/A</v>
      </c>
      <c r="DK234" s="138" t="e">
        <f>IF(VLOOKUP(CONCATENATE(H234,F234,DK$2),Español!$A:$H,7,FALSE)=Y234,1,0)</f>
        <v>#N/A</v>
      </c>
      <c r="DL234" s="138" t="e">
        <f>IF(VLOOKUP(CONCATENATE(H234,F234,DL$2),Español!$A:$H,7,FALSE)=Z234,1,0)</f>
        <v>#N/A</v>
      </c>
      <c r="DM234" s="138" t="e">
        <f>IF(VLOOKUP(CONCATENATE(H234,F234,DM$2),Español!$A:$H,7,FALSE)=AA234,1,0)</f>
        <v>#N/A</v>
      </c>
      <c r="DN234" s="138" t="e">
        <f>IF(VLOOKUP(CONCATENATE(H234,F234,DN$2),Español!$A:$H,7,FALSE)=AB234,1,0)</f>
        <v>#N/A</v>
      </c>
      <c r="DO234" s="138" t="e">
        <f>IF(VLOOKUP(CONCATENATE(H234,F234,DO$2),Español!$A:$H,7,FALSE)=AC234,1,0)</f>
        <v>#N/A</v>
      </c>
      <c r="DP234" s="138" t="e">
        <f>IF(VLOOKUP(CONCATENATE(H234,F234,DP$2),Español!$A:$H,7,FALSE)=AD234,1,0)</f>
        <v>#N/A</v>
      </c>
      <c r="DQ234" s="138" t="e">
        <f>IF(VLOOKUP(CONCATENATE(H234,F234,DQ$2),Español!$A:$H,7,FALSE)=AE234,1,0)</f>
        <v>#N/A</v>
      </c>
      <c r="DR234" s="138" t="e">
        <f>IF(VLOOKUP(CONCATENATE(H234,F234,DR$2),Inglés!$A:$H,7,FALSE)=AF234,1,0)</f>
        <v>#N/A</v>
      </c>
      <c r="DS234" s="138" t="e">
        <f>IF(VLOOKUP(CONCATENATE(H234,F234,DS$2),Inglés!$A:$H,7,FALSE)=AG234,1,0)</f>
        <v>#N/A</v>
      </c>
      <c r="DT234" s="138" t="e">
        <f>IF(VLOOKUP(CONCATENATE(H234,F234,DT$2),Inglés!$A:$H,7,FALSE)=AH234,1,0)</f>
        <v>#N/A</v>
      </c>
      <c r="DU234" s="138" t="e">
        <f>IF(VLOOKUP(CONCATENATE(H234,F234,DU$2),Inglés!$A:$H,7,FALSE)=AI234,1,0)</f>
        <v>#N/A</v>
      </c>
      <c r="DV234" s="138" t="e">
        <f>IF(VLOOKUP(CONCATENATE(H234,F234,DV$2),Inglés!$A:$H,7,FALSE)=AJ234,1,0)</f>
        <v>#N/A</v>
      </c>
      <c r="DW234" s="138" t="e">
        <f>IF(VLOOKUP(CONCATENATE(H234,F234,DW$2),Inglés!$A:$H,7,FALSE)=AK234,1,0)</f>
        <v>#N/A</v>
      </c>
      <c r="DX234" s="138" t="e">
        <f>IF(VLOOKUP(CONCATENATE(H234,F234,DX$2),Inglés!$A:$H,7,FALSE)=AL234,1,0)</f>
        <v>#N/A</v>
      </c>
      <c r="DY234" s="138" t="e">
        <f>IF(VLOOKUP(CONCATENATE(H234,F234,DY$2),Inglés!$A:$H,7,FALSE)=AM234,1,0)</f>
        <v>#N/A</v>
      </c>
      <c r="DZ234" s="138" t="e">
        <f>IF(VLOOKUP(CONCATENATE(H234,F234,DZ$2),Inglés!$A:$H,7,FALSE)=AN234,1,0)</f>
        <v>#N/A</v>
      </c>
      <c r="EA234" s="138" t="e">
        <f>IF(VLOOKUP(CONCATENATE(H234,F234,EA$2),Inglés!$A:$H,7,FALSE)=AO234,1,0)</f>
        <v>#N/A</v>
      </c>
      <c r="EB234" s="138" t="e">
        <f>IF(VLOOKUP(CONCATENATE(H234,F234,EB$2),Matemáticas!$A:$H,7,FALSE)=AP234,1,0)</f>
        <v>#N/A</v>
      </c>
      <c r="EC234" s="138" t="e">
        <f>IF(VLOOKUP(CONCATENATE(H234,F234,EC$2),Matemáticas!$A:$H,7,FALSE)=AQ234,1,0)</f>
        <v>#N/A</v>
      </c>
      <c r="ED234" s="138" t="e">
        <f>IF(VLOOKUP(CONCATENATE(H234,F234,ED$2),Matemáticas!$A:$H,7,FALSE)=AR234,1,0)</f>
        <v>#N/A</v>
      </c>
      <c r="EE234" s="138" t="e">
        <f>IF(VLOOKUP(CONCATENATE(H234,F234,EE$2),Matemáticas!$A:$H,7,FALSE)=AS234,1,0)</f>
        <v>#N/A</v>
      </c>
      <c r="EF234" s="138" t="e">
        <f>IF(VLOOKUP(CONCATENATE(H234,F234,EF$2),Matemáticas!$A:$H,7,FALSE)=AT234,1,0)</f>
        <v>#N/A</v>
      </c>
      <c r="EG234" s="138" t="e">
        <f>IF(VLOOKUP(CONCATENATE(H234,F234,EG$2),Matemáticas!$A:$H,7,FALSE)=AU234,1,0)</f>
        <v>#N/A</v>
      </c>
      <c r="EH234" s="138" t="e">
        <f>IF(VLOOKUP(CONCATENATE(H234,F234,EH$2),Matemáticas!$A:$H,7,FALSE)=AV234,1,0)</f>
        <v>#N/A</v>
      </c>
      <c r="EI234" s="138" t="e">
        <f>IF(VLOOKUP(CONCATENATE(H234,F234,EI$2),Matemáticas!$A:$H,7,FALSE)=AW234,1,0)</f>
        <v>#N/A</v>
      </c>
      <c r="EJ234" s="138" t="e">
        <f>IF(VLOOKUP(CONCATENATE(H234,F234,EJ$2),Matemáticas!$A:$H,7,FALSE)=AX234,1,0)</f>
        <v>#N/A</v>
      </c>
      <c r="EK234" s="138" t="e">
        <f>IF(VLOOKUP(CONCATENATE(H234,F234,EK$2),Matemáticas!$A:$H,7,FALSE)=AY234,1,0)</f>
        <v>#N/A</v>
      </c>
      <c r="EL234" s="138" t="e">
        <f>IF(VLOOKUP(CONCATENATE(H234,F234,EL$2),Matemáticas!$A:$H,7,FALSE)=AZ234,1,0)</f>
        <v>#N/A</v>
      </c>
      <c r="EM234" s="138" t="e">
        <f>IF(VLOOKUP(CONCATENATE(H234,F234,EM$2),Matemáticas!$A:$H,7,FALSE)=BA234,1,0)</f>
        <v>#N/A</v>
      </c>
      <c r="EN234" s="138" t="e">
        <f>IF(VLOOKUP(CONCATENATE(H234,F234,EN$2),Matemáticas!$A:$H,7,FALSE)=BB234,1,0)</f>
        <v>#N/A</v>
      </c>
      <c r="EO234" s="138" t="e">
        <f>IF(VLOOKUP(CONCATENATE(H234,F234,EO$2),Matemáticas!$A:$H,7,FALSE)=BC234,1,0)</f>
        <v>#N/A</v>
      </c>
      <c r="EP234" s="138" t="e">
        <f>IF(VLOOKUP(CONCATENATE(H234,F234,EP$2),Matemáticas!$A:$H,7,FALSE)=BD234,1,0)</f>
        <v>#N/A</v>
      </c>
      <c r="EQ234" s="138" t="e">
        <f>IF(VLOOKUP(CONCATENATE(H234,F234,EQ$2),Matemáticas!$A:$H,7,FALSE)=BE234,1,0)</f>
        <v>#N/A</v>
      </c>
      <c r="ER234" s="138" t="e">
        <f>IF(VLOOKUP(CONCATENATE(H234,F234,ER$2),Matemáticas!$A:$H,7,FALSE)=BF234,1,0)</f>
        <v>#N/A</v>
      </c>
      <c r="ES234" s="138" t="e">
        <f>IF(VLOOKUP(CONCATENATE(H234,F234,ES$2),Matemáticas!$A:$H,7,FALSE)=BG234,1,0)</f>
        <v>#N/A</v>
      </c>
      <c r="ET234" s="138" t="e">
        <f>IF(VLOOKUP(CONCATENATE(H234,F234,ET$2),Matemáticas!$A:$H,7,FALSE)=BH234,1,0)</f>
        <v>#N/A</v>
      </c>
      <c r="EU234" s="138" t="e">
        <f>IF(VLOOKUP(CONCATENATE(H234,F234,EU$2),Matemáticas!$A:$H,7,FALSE)=BI234,1,0)</f>
        <v>#N/A</v>
      </c>
      <c r="EV234" s="138" t="e">
        <f>IF(VLOOKUP(CONCATENATE(H234,F234,EV$2),Ciencias!$A:$H,7,FALSE)=BJ234,1,0)</f>
        <v>#N/A</v>
      </c>
      <c r="EW234" s="138" t="e">
        <f>IF(VLOOKUP(CONCATENATE(H234,F234,EW$2),Ciencias!$A:$H,7,FALSE)=BK234,1,0)</f>
        <v>#N/A</v>
      </c>
      <c r="EX234" s="138" t="e">
        <f>IF(VLOOKUP(CONCATENATE(H234,F234,EX$2),Ciencias!$A:$H,7,FALSE)=BL234,1,0)</f>
        <v>#N/A</v>
      </c>
      <c r="EY234" s="138" t="e">
        <f>IF(VLOOKUP(CONCATENATE(H234,F234,EY$2),Ciencias!$A:$H,7,FALSE)=BM234,1,0)</f>
        <v>#N/A</v>
      </c>
      <c r="EZ234" s="138" t="e">
        <f>IF(VLOOKUP(CONCATENATE(H234,F234,EZ$2),Ciencias!$A:$H,7,FALSE)=BN234,1,0)</f>
        <v>#N/A</v>
      </c>
      <c r="FA234" s="138" t="e">
        <f>IF(VLOOKUP(CONCATENATE(H234,F234,FA$2),Ciencias!$A:$H,7,FALSE)=BO234,1,0)</f>
        <v>#N/A</v>
      </c>
      <c r="FB234" s="138" t="e">
        <f>IF(VLOOKUP(CONCATENATE(H234,F234,FB$2),Ciencias!$A:$H,7,FALSE)=BP234,1,0)</f>
        <v>#N/A</v>
      </c>
      <c r="FC234" s="138" t="e">
        <f>IF(VLOOKUP(CONCATENATE(H234,F234,FC$2),Ciencias!$A:$H,7,FALSE)=BQ234,1,0)</f>
        <v>#N/A</v>
      </c>
      <c r="FD234" s="138" t="e">
        <f>IF(VLOOKUP(CONCATENATE(H234,F234,FD$2),Ciencias!$A:$H,7,FALSE)=BR234,1,0)</f>
        <v>#N/A</v>
      </c>
      <c r="FE234" s="138" t="e">
        <f>IF(VLOOKUP(CONCATENATE(H234,F234,FE$2),Ciencias!$A:$H,7,FALSE)=BS234,1,0)</f>
        <v>#N/A</v>
      </c>
      <c r="FF234" s="138" t="e">
        <f>IF(VLOOKUP(CONCATENATE(H234,F234,FF$2),Ciencias!$A:$H,7,FALSE)=BT234,1,0)</f>
        <v>#N/A</v>
      </c>
      <c r="FG234" s="138" t="e">
        <f>IF(VLOOKUP(CONCATENATE(H234,F234,FG$2),Ciencias!$A:$H,7,FALSE)=BU234,1,0)</f>
        <v>#N/A</v>
      </c>
      <c r="FH234" s="138" t="e">
        <f>IF(VLOOKUP(CONCATENATE(H234,F234,FH$2),Ciencias!$A:$H,7,FALSE)=BV234,1,0)</f>
        <v>#N/A</v>
      </c>
      <c r="FI234" s="138" t="e">
        <f>IF(VLOOKUP(CONCATENATE(H234,F234,FI$2),Ciencias!$A:$H,7,FALSE)=BW234,1,0)</f>
        <v>#N/A</v>
      </c>
      <c r="FJ234" s="138" t="e">
        <f>IF(VLOOKUP(CONCATENATE(H234,F234,FJ$2),Ciencias!$A:$H,7,FALSE)=BX234,1,0)</f>
        <v>#N/A</v>
      </c>
      <c r="FK234" s="138" t="e">
        <f>IF(VLOOKUP(CONCATENATE(H234,F234,FK$2),Ciencias!$A:$H,7,FALSE)=BY234,1,0)</f>
        <v>#N/A</v>
      </c>
      <c r="FL234" s="138" t="e">
        <f>IF(VLOOKUP(CONCATENATE(H234,F234,FL$2),Ciencias!$A:$H,7,FALSE)=BZ234,1,0)</f>
        <v>#N/A</v>
      </c>
      <c r="FM234" s="138" t="e">
        <f>IF(VLOOKUP(CONCATENATE(H234,F234,FM$2),Ciencias!$A:$H,7,FALSE)=CA234,1,0)</f>
        <v>#N/A</v>
      </c>
      <c r="FN234" s="138" t="e">
        <f>IF(VLOOKUP(CONCATENATE(H234,F234,FN$2),Ciencias!$A:$H,7,FALSE)=CB234,1,0)</f>
        <v>#N/A</v>
      </c>
      <c r="FO234" s="138" t="e">
        <f>IF(VLOOKUP(CONCATENATE(H234,F234,FO$2),Ciencias!$A:$H,7,FALSE)=CC234,1,0)</f>
        <v>#N/A</v>
      </c>
      <c r="FP234" s="138" t="e">
        <f>IF(VLOOKUP(CONCATENATE(H234,F234,FP$2),GeoHis!$A:$H,7,FALSE)=CD234,1,0)</f>
        <v>#N/A</v>
      </c>
      <c r="FQ234" s="138" t="e">
        <f>IF(VLOOKUP(CONCATENATE(H234,F234,FQ$2),GeoHis!$A:$H,7,FALSE)=CE234,1,0)</f>
        <v>#N/A</v>
      </c>
      <c r="FR234" s="138" t="e">
        <f>IF(VLOOKUP(CONCATENATE(H234,F234,FR$2),GeoHis!$A:$H,7,FALSE)=CF234,1,0)</f>
        <v>#N/A</v>
      </c>
      <c r="FS234" s="138" t="e">
        <f>IF(VLOOKUP(CONCATENATE(H234,F234,FS$2),GeoHis!$A:$H,7,FALSE)=CG234,1,0)</f>
        <v>#N/A</v>
      </c>
      <c r="FT234" s="138" t="e">
        <f>IF(VLOOKUP(CONCATENATE(H234,F234,FT$2),GeoHis!$A:$H,7,FALSE)=CH234,1,0)</f>
        <v>#N/A</v>
      </c>
      <c r="FU234" s="138" t="e">
        <f>IF(VLOOKUP(CONCATENATE(H234,F234,FU$2),GeoHis!$A:$H,7,FALSE)=CI234,1,0)</f>
        <v>#N/A</v>
      </c>
      <c r="FV234" s="138" t="e">
        <f>IF(VLOOKUP(CONCATENATE(H234,F234,FV$2),GeoHis!$A:$H,7,FALSE)=CJ234,1,0)</f>
        <v>#N/A</v>
      </c>
      <c r="FW234" s="138" t="e">
        <f>IF(VLOOKUP(CONCATENATE(H234,F234,FW$2),GeoHis!$A:$H,7,FALSE)=CK234,1,0)</f>
        <v>#N/A</v>
      </c>
      <c r="FX234" s="138" t="e">
        <f>IF(VLOOKUP(CONCATENATE(H234,F234,FX$2),GeoHis!$A:$H,7,FALSE)=CL234,1,0)</f>
        <v>#N/A</v>
      </c>
      <c r="FY234" s="138" t="e">
        <f>IF(VLOOKUP(CONCATENATE(H234,F234,FY$2),GeoHis!$A:$H,7,FALSE)=CM234,1,0)</f>
        <v>#N/A</v>
      </c>
      <c r="FZ234" s="138" t="e">
        <f>IF(VLOOKUP(CONCATENATE(H234,F234,FZ$2),GeoHis!$A:$H,7,FALSE)=CN234,1,0)</f>
        <v>#N/A</v>
      </c>
      <c r="GA234" s="138" t="e">
        <f>IF(VLOOKUP(CONCATENATE(H234,F234,GA$2),GeoHis!$A:$H,7,FALSE)=CO234,1,0)</f>
        <v>#N/A</v>
      </c>
      <c r="GB234" s="138" t="e">
        <f>IF(VLOOKUP(CONCATENATE(H234,F234,GB$2),GeoHis!$A:$H,7,FALSE)=CP234,1,0)</f>
        <v>#N/A</v>
      </c>
      <c r="GC234" s="138" t="e">
        <f>IF(VLOOKUP(CONCATENATE(H234,F234,GC$2),GeoHis!$A:$H,7,FALSE)=CQ234,1,0)</f>
        <v>#N/A</v>
      </c>
      <c r="GD234" s="138" t="e">
        <f>IF(VLOOKUP(CONCATENATE(H234,F234,GD$2),GeoHis!$A:$H,7,FALSE)=CR234,1,0)</f>
        <v>#N/A</v>
      </c>
      <c r="GE234" s="135" t="str">
        <f t="shared" si="31"/>
        <v/>
      </c>
    </row>
    <row r="235" spans="1:187" x14ac:dyDescent="0.25">
      <c r="A235" s="127" t="str">
        <f>IF(C235="","",'Datos Generales'!$A$25)</f>
        <v/>
      </c>
      <c r="D235" s="126" t="str">
        <f t="shared" si="24"/>
        <v/>
      </c>
      <c r="E235" s="126">
        <f t="shared" si="25"/>
        <v>0</v>
      </c>
      <c r="F235" s="126" t="str">
        <f t="shared" si="26"/>
        <v/>
      </c>
      <c r="G235" s="126" t="str">
        <f>IF(C235="","",'Datos Generales'!$D$19)</f>
        <v/>
      </c>
      <c r="H235" s="21" t="str">
        <f>IF(C235="","",'Datos Generales'!$A$19)</f>
        <v/>
      </c>
      <c r="I235" s="126" t="str">
        <f>IF(C235="","",'Datos Generales'!$A$7)</f>
        <v/>
      </c>
      <c r="J235" s="21" t="str">
        <f>IF(C235="","",'Datos Generales'!$A$13)</f>
        <v/>
      </c>
      <c r="K235" s="21" t="str">
        <f>IF(C235="","",'Datos Generales'!$A$10)</f>
        <v/>
      </c>
      <c r="CS235" s="142" t="str">
        <f t="shared" si="27"/>
        <v/>
      </c>
      <c r="CT235" s="142" t="str">
        <f t="shared" si="28"/>
        <v/>
      </c>
      <c r="CU235" s="142" t="str">
        <f t="shared" si="29"/>
        <v/>
      </c>
      <c r="CV235" s="142" t="str">
        <f t="shared" si="30"/>
        <v/>
      </c>
      <c r="CW235" s="142" t="str">
        <f>IF(C235="","",IF('Datos Generales'!$A$19=1,AVERAGE(FP235:GD235),AVERAGE(Captura!FP235:FY235)))</f>
        <v/>
      </c>
      <c r="CX235" s="138" t="e">
        <f>IF(VLOOKUP(CONCATENATE($H$4,$F$4,CX$2),Español!$A:$H,7,FALSE)=L235,1,0)</f>
        <v>#N/A</v>
      </c>
      <c r="CY235" s="138" t="e">
        <f>IF(VLOOKUP(CONCATENATE(H235,F235,CY$2),Español!$A:$H,7,FALSE)=M235,1,0)</f>
        <v>#N/A</v>
      </c>
      <c r="CZ235" s="138" t="e">
        <f>IF(VLOOKUP(CONCATENATE(H235,F235,CZ$2),Español!$A:$H,7,FALSE)=N235,1,0)</f>
        <v>#N/A</v>
      </c>
      <c r="DA235" s="138" t="e">
        <f>IF(VLOOKUP(CONCATENATE(H235,F235,DA$2),Español!$A:$H,7,FALSE)=O235,1,0)</f>
        <v>#N/A</v>
      </c>
      <c r="DB235" s="138" t="e">
        <f>IF(VLOOKUP(CONCATENATE(H235,F235,DB$2),Español!$A:$H,7,FALSE)=P235,1,0)</f>
        <v>#N/A</v>
      </c>
      <c r="DC235" s="138" t="e">
        <f>IF(VLOOKUP(CONCATENATE(H235,F235,DC$2),Español!$A:$H,7,FALSE)=Q235,1,0)</f>
        <v>#N/A</v>
      </c>
      <c r="DD235" s="138" t="e">
        <f>IF(VLOOKUP(CONCATENATE(H235,F235,DD$2),Español!$A:$H,7,FALSE)=R235,1,0)</f>
        <v>#N/A</v>
      </c>
      <c r="DE235" s="138" t="e">
        <f>IF(VLOOKUP(CONCATENATE(H235,F235,DE$2),Español!$A:$H,7,FALSE)=S235,1,0)</f>
        <v>#N/A</v>
      </c>
      <c r="DF235" s="138" t="e">
        <f>IF(VLOOKUP(CONCATENATE(H235,F235,DF$2),Español!$A:$H,7,FALSE)=T235,1,0)</f>
        <v>#N/A</v>
      </c>
      <c r="DG235" s="138" t="e">
        <f>IF(VLOOKUP(CONCATENATE(H235,F235,DG$2),Español!$A:$H,7,FALSE)=U235,1,0)</f>
        <v>#N/A</v>
      </c>
      <c r="DH235" s="138" t="e">
        <f>IF(VLOOKUP(CONCATENATE(H235,F235,DH$2),Español!$A:$H,7,FALSE)=V235,1,0)</f>
        <v>#N/A</v>
      </c>
      <c r="DI235" s="138" t="e">
        <f>IF(VLOOKUP(CONCATENATE(H235,F235,DI$2),Español!$A:$H,7,FALSE)=W235,1,0)</f>
        <v>#N/A</v>
      </c>
      <c r="DJ235" s="138" t="e">
        <f>IF(VLOOKUP(CONCATENATE(H235,F235,DJ$2),Español!$A:$H,7,FALSE)=X235,1,0)</f>
        <v>#N/A</v>
      </c>
      <c r="DK235" s="138" t="e">
        <f>IF(VLOOKUP(CONCATENATE(H235,F235,DK$2),Español!$A:$H,7,FALSE)=Y235,1,0)</f>
        <v>#N/A</v>
      </c>
      <c r="DL235" s="138" t="e">
        <f>IF(VLOOKUP(CONCATENATE(H235,F235,DL$2),Español!$A:$H,7,FALSE)=Z235,1,0)</f>
        <v>#N/A</v>
      </c>
      <c r="DM235" s="138" t="e">
        <f>IF(VLOOKUP(CONCATENATE(H235,F235,DM$2),Español!$A:$H,7,FALSE)=AA235,1,0)</f>
        <v>#N/A</v>
      </c>
      <c r="DN235" s="138" t="e">
        <f>IF(VLOOKUP(CONCATENATE(H235,F235,DN$2),Español!$A:$H,7,FALSE)=AB235,1,0)</f>
        <v>#N/A</v>
      </c>
      <c r="DO235" s="138" t="e">
        <f>IF(VLOOKUP(CONCATENATE(H235,F235,DO$2),Español!$A:$H,7,FALSE)=AC235,1,0)</f>
        <v>#N/A</v>
      </c>
      <c r="DP235" s="138" t="e">
        <f>IF(VLOOKUP(CONCATENATE(H235,F235,DP$2),Español!$A:$H,7,FALSE)=AD235,1,0)</f>
        <v>#N/A</v>
      </c>
      <c r="DQ235" s="138" t="e">
        <f>IF(VLOOKUP(CONCATENATE(H235,F235,DQ$2),Español!$A:$H,7,FALSE)=AE235,1,0)</f>
        <v>#N/A</v>
      </c>
      <c r="DR235" s="138" t="e">
        <f>IF(VLOOKUP(CONCATENATE(H235,F235,DR$2),Inglés!$A:$H,7,FALSE)=AF235,1,0)</f>
        <v>#N/A</v>
      </c>
      <c r="DS235" s="138" t="e">
        <f>IF(VLOOKUP(CONCATENATE(H235,F235,DS$2),Inglés!$A:$H,7,FALSE)=AG235,1,0)</f>
        <v>#N/A</v>
      </c>
      <c r="DT235" s="138" t="e">
        <f>IF(VLOOKUP(CONCATENATE(H235,F235,DT$2),Inglés!$A:$H,7,FALSE)=AH235,1,0)</f>
        <v>#N/A</v>
      </c>
      <c r="DU235" s="138" t="e">
        <f>IF(VLOOKUP(CONCATENATE(H235,F235,DU$2),Inglés!$A:$H,7,FALSE)=AI235,1,0)</f>
        <v>#N/A</v>
      </c>
      <c r="DV235" s="138" t="e">
        <f>IF(VLOOKUP(CONCATENATE(H235,F235,DV$2),Inglés!$A:$H,7,FALSE)=AJ235,1,0)</f>
        <v>#N/A</v>
      </c>
      <c r="DW235" s="138" t="e">
        <f>IF(VLOOKUP(CONCATENATE(H235,F235,DW$2),Inglés!$A:$H,7,FALSE)=AK235,1,0)</f>
        <v>#N/A</v>
      </c>
      <c r="DX235" s="138" t="e">
        <f>IF(VLOOKUP(CONCATENATE(H235,F235,DX$2),Inglés!$A:$H,7,FALSE)=AL235,1,0)</f>
        <v>#N/A</v>
      </c>
      <c r="DY235" s="138" t="e">
        <f>IF(VLOOKUP(CONCATENATE(H235,F235,DY$2),Inglés!$A:$H,7,FALSE)=AM235,1,0)</f>
        <v>#N/A</v>
      </c>
      <c r="DZ235" s="138" t="e">
        <f>IF(VLOOKUP(CONCATENATE(H235,F235,DZ$2),Inglés!$A:$H,7,FALSE)=AN235,1,0)</f>
        <v>#N/A</v>
      </c>
      <c r="EA235" s="138" t="e">
        <f>IF(VLOOKUP(CONCATENATE(H235,F235,EA$2),Inglés!$A:$H,7,FALSE)=AO235,1,0)</f>
        <v>#N/A</v>
      </c>
      <c r="EB235" s="138" t="e">
        <f>IF(VLOOKUP(CONCATENATE(H235,F235,EB$2),Matemáticas!$A:$H,7,FALSE)=AP235,1,0)</f>
        <v>#N/A</v>
      </c>
      <c r="EC235" s="138" t="e">
        <f>IF(VLOOKUP(CONCATENATE(H235,F235,EC$2),Matemáticas!$A:$H,7,FALSE)=AQ235,1,0)</f>
        <v>#N/A</v>
      </c>
      <c r="ED235" s="138" t="e">
        <f>IF(VLOOKUP(CONCATENATE(H235,F235,ED$2),Matemáticas!$A:$H,7,FALSE)=AR235,1,0)</f>
        <v>#N/A</v>
      </c>
      <c r="EE235" s="138" t="e">
        <f>IF(VLOOKUP(CONCATENATE(H235,F235,EE$2),Matemáticas!$A:$H,7,FALSE)=AS235,1,0)</f>
        <v>#N/A</v>
      </c>
      <c r="EF235" s="138" t="e">
        <f>IF(VLOOKUP(CONCATENATE(H235,F235,EF$2),Matemáticas!$A:$H,7,FALSE)=AT235,1,0)</f>
        <v>#N/A</v>
      </c>
      <c r="EG235" s="138" t="e">
        <f>IF(VLOOKUP(CONCATENATE(H235,F235,EG$2),Matemáticas!$A:$H,7,FALSE)=AU235,1,0)</f>
        <v>#N/A</v>
      </c>
      <c r="EH235" s="138" t="e">
        <f>IF(VLOOKUP(CONCATENATE(H235,F235,EH$2),Matemáticas!$A:$H,7,FALSE)=AV235,1,0)</f>
        <v>#N/A</v>
      </c>
      <c r="EI235" s="138" t="e">
        <f>IF(VLOOKUP(CONCATENATE(H235,F235,EI$2),Matemáticas!$A:$H,7,FALSE)=AW235,1,0)</f>
        <v>#N/A</v>
      </c>
      <c r="EJ235" s="138" t="e">
        <f>IF(VLOOKUP(CONCATENATE(H235,F235,EJ$2),Matemáticas!$A:$H,7,FALSE)=AX235,1,0)</f>
        <v>#N/A</v>
      </c>
      <c r="EK235" s="138" t="e">
        <f>IF(VLOOKUP(CONCATENATE(H235,F235,EK$2),Matemáticas!$A:$H,7,FALSE)=AY235,1,0)</f>
        <v>#N/A</v>
      </c>
      <c r="EL235" s="138" t="e">
        <f>IF(VLOOKUP(CONCATENATE(H235,F235,EL$2),Matemáticas!$A:$H,7,FALSE)=AZ235,1,0)</f>
        <v>#N/A</v>
      </c>
      <c r="EM235" s="138" t="e">
        <f>IF(VLOOKUP(CONCATENATE(H235,F235,EM$2),Matemáticas!$A:$H,7,FALSE)=BA235,1,0)</f>
        <v>#N/A</v>
      </c>
      <c r="EN235" s="138" t="e">
        <f>IF(VLOOKUP(CONCATENATE(H235,F235,EN$2),Matemáticas!$A:$H,7,FALSE)=BB235,1,0)</f>
        <v>#N/A</v>
      </c>
      <c r="EO235" s="138" t="e">
        <f>IF(VLOOKUP(CONCATENATE(H235,F235,EO$2),Matemáticas!$A:$H,7,FALSE)=BC235,1,0)</f>
        <v>#N/A</v>
      </c>
      <c r="EP235" s="138" t="e">
        <f>IF(VLOOKUP(CONCATENATE(H235,F235,EP$2),Matemáticas!$A:$H,7,FALSE)=BD235,1,0)</f>
        <v>#N/A</v>
      </c>
      <c r="EQ235" s="138" t="e">
        <f>IF(VLOOKUP(CONCATENATE(H235,F235,EQ$2),Matemáticas!$A:$H,7,FALSE)=BE235,1,0)</f>
        <v>#N/A</v>
      </c>
      <c r="ER235" s="138" t="e">
        <f>IF(VLOOKUP(CONCATENATE(H235,F235,ER$2),Matemáticas!$A:$H,7,FALSE)=BF235,1,0)</f>
        <v>#N/A</v>
      </c>
      <c r="ES235" s="138" t="e">
        <f>IF(VLOOKUP(CONCATENATE(H235,F235,ES$2),Matemáticas!$A:$H,7,FALSE)=BG235,1,0)</f>
        <v>#N/A</v>
      </c>
      <c r="ET235" s="138" t="e">
        <f>IF(VLOOKUP(CONCATENATE(H235,F235,ET$2),Matemáticas!$A:$H,7,FALSE)=BH235,1,0)</f>
        <v>#N/A</v>
      </c>
      <c r="EU235" s="138" t="e">
        <f>IF(VLOOKUP(CONCATENATE(H235,F235,EU$2),Matemáticas!$A:$H,7,FALSE)=BI235,1,0)</f>
        <v>#N/A</v>
      </c>
      <c r="EV235" s="138" t="e">
        <f>IF(VLOOKUP(CONCATENATE(H235,F235,EV$2),Ciencias!$A:$H,7,FALSE)=BJ235,1,0)</f>
        <v>#N/A</v>
      </c>
      <c r="EW235" s="138" t="e">
        <f>IF(VLOOKUP(CONCATENATE(H235,F235,EW$2),Ciencias!$A:$H,7,FALSE)=BK235,1,0)</f>
        <v>#N/A</v>
      </c>
      <c r="EX235" s="138" t="e">
        <f>IF(VLOOKUP(CONCATENATE(H235,F235,EX$2),Ciencias!$A:$H,7,FALSE)=BL235,1,0)</f>
        <v>#N/A</v>
      </c>
      <c r="EY235" s="138" t="e">
        <f>IF(VLOOKUP(CONCATENATE(H235,F235,EY$2),Ciencias!$A:$H,7,FALSE)=BM235,1,0)</f>
        <v>#N/A</v>
      </c>
      <c r="EZ235" s="138" t="e">
        <f>IF(VLOOKUP(CONCATENATE(H235,F235,EZ$2),Ciencias!$A:$H,7,FALSE)=BN235,1,0)</f>
        <v>#N/A</v>
      </c>
      <c r="FA235" s="138" t="e">
        <f>IF(VLOOKUP(CONCATENATE(H235,F235,FA$2),Ciencias!$A:$H,7,FALSE)=BO235,1,0)</f>
        <v>#N/A</v>
      </c>
      <c r="FB235" s="138" t="e">
        <f>IF(VLOOKUP(CONCATENATE(H235,F235,FB$2),Ciencias!$A:$H,7,FALSE)=BP235,1,0)</f>
        <v>#N/A</v>
      </c>
      <c r="FC235" s="138" t="e">
        <f>IF(VLOOKUP(CONCATENATE(H235,F235,FC$2),Ciencias!$A:$H,7,FALSE)=BQ235,1,0)</f>
        <v>#N/A</v>
      </c>
      <c r="FD235" s="138" t="e">
        <f>IF(VLOOKUP(CONCATENATE(H235,F235,FD$2),Ciencias!$A:$H,7,FALSE)=BR235,1,0)</f>
        <v>#N/A</v>
      </c>
      <c r="FE235" s="138" t="e">
        <f>IF(VLOOKUP(CONCATENATE(H235,F235,FE$2),Ciencias!$A:$H,7,FALSE)=BS235,1,0)</f>
        <v>#N/A</v>
      </c>
      <c r="FF235" s="138" t="e">
        <f>IF(VLOOKUP(CONCATENATE(H235,F235,FF$2),Ciencias!$A:$H,7,FALSE)=BT235,1,0)</f>
        <v>#N/A</v>
      </c>
      <c r="FG235" s="138" t="e">
        <f>IF(VLOOKUP(CONCATENATE(H235,F235,FG$2),Ciencias!$A:$H,7,FALSE)=BU235,1,0)</f>
        <v>#N/A</v>
      </c>
      <c r="FH235" s="138" t="e">
        <f>IF(VLOOKUP(CONCATENATE(H235,F235,FH$2),Ciencias!$A:$H,7,FALSE)=BV235,1,0)</f>
        <v>#N/A</v>
      </c>
      <c r="FI235" s="138" t="e">
        <f>IF(VLOOKUP(CONCATENATE(H235,F235,FI$2),Ciencias!$A:$H,7,FALSE)=BW235,1,0)</f>
        <v>#N/A</v>
      </c>
      <c r="FJ235" s="138" t="e">
        <f>IF(VLOOKUP(CONCATENATE(H235,F235,FJ$2),Ciencias!$A:$H,7,FALSE)=BX235,1,0)</f>
        <v>#N/A</v>
      </c>
      <c r="FK235" s="138" t="e">
        <f>IF(VLOOKUP(CONCATENATE(H235,F235,FK$2),Ciencias!$A:$H,7,FALSE)=BY235,1,0)</f>
        <v>#N/A</v>
      </c>
      <c r="FL235" s="138" t="e">
        <f>IF(VLOOKUP(CONCATENATE(H235,F235,FL$2),Ciencias!$A:$H,7,FALSE)=BZ235,1,0)</f>
        <v>#N/A</v>
      </c>
      <c r="FM235" s="138" t="e">
        <f>IF(VLOOKUP(CONCATENATE(H235,F235,FM$2),Ciencias!$A:$H,7,FALSE)=CA235,1,0)</f>
        <v>#N/A</v>
      </c>
      <c r="FN235" s="138" t="e">
        <f>IF(VLOOKUP(CONCATENATE(H235,F235,FN$2),Ciencias!$A:$H,7,FALSE)=CB235,1,0)</f>
        <v>#N/A</v>
      </c>
      <c r="FO235" s="138" t="e">
        <f>IF(VLOOKUP(CONCATENATE(H235,F235,FO$2),Ciencias!$A:$H,7,FALSE)=CC235,1,0)</f>
        <v>#N/A</v>
      </c>
      <c r="FP235" s="138" t="e">
        <f>IF(VLOOKUP(CONCATENATE(H235,F235,FP$2),GeoHis!$A:$H,7,FALSE)=CD235,1,0)</f>
        <v>#N/A</v>
      </c>
      <c r="FQ235" s="138" t="e">
        <f>IF(VLOOKUP(CONCATENATE(H235,F235,FQ$2),GeoHis!$A:$H,7,FALSE)=CE235,1,0)</f>
        <v>#N/A</v>
      </c>
      <c r="FR235" s="138" t="e">
        <f>IF(VLOOKUP(CONCATENATE(H235,F235,FR$2),GeoHis!$A:$H,7,FALSE)=CF235,1,0)</f>
        <v>#N/A</v>
      </c>
      <c r="FS235" s="138" t="e">
        <f>IF(VLOOKUP(CONCATENATE(H235,F235,FS$2),GeoHis!$A:$H,7,FALSE)=CG235,1,0)</f>
        <v>#N/A</v>
      </c>
      <c r="FT235" s="138" t="e">
        <f>IF(VLOOKUP(CONCATENATE(H235,F235,FT$2),GeoHis!$A:$H,7,FALSE)=CH235,1,0)</f>
        <v>#N/A</v>
      </c>
      <c r="FU235" s="138" t="e">
        <f>IF(VLOOKUP(CONCATENATE(H235,F235,FU$2),GeoHis!$A:$H,7,FALSE)=CI235,1,0)</f>
        <v>#N/A</v>
      </c>
      <c r="FV235" s="138" t="e">
        <f>IF(VLOOKUP(CONCATENATE(H235,F235,FV$2),GeoHis!$A:$H,7,FALSE)=CJ235,1,0)</f>
        <v>#N/A</v>
      </c>
      <c r="FW235" s="138" t="e">
        <f>IF(VLOOKUP(CONCATENATE(H235,F235,FW$2),GeoHis!$A:$H,7,FALSE)=CK235,1,0)</f>
        <v>#N/A</v>
      </c>
      <c r="FX235" s="138" t="e">
        <f>IF(VLOOKUP(CONCATENATE(H235,F235,FX$2),GeoHis!$A:$H,7,FALSE)=CL235,1,0)</f>
        <v>#N/A</v>
      </c>
      <c r="FY235" s="138" t="e">
        <f>IF(VLOOKUP(CONCATENATE(H235,F235,FY$2),GeoHis!$A:$H,7,FALSE)=CM235,1,0)</f>
        <v>#N/A</v>
      </c>
      <c r="FZ235" s="138" t="e">
        <f>IF(VLOOKUP(CONCATENATE(H235,F235,FZ$2),GeoHis!$A:$H,7,FALSE)=CN235,1,0)</f>
        <v>#N/A</v>
      </c>
      <c r="GA235" s="138" t="e">
        <f>IF(VLOOKUP(CONCATENATE(H235,F235,GA$2),GeoHis!$A:$H,7,FALSE)=CO235,1,0)</f>
        <v>#N/A</v>
      </c>
      <c r="GB235" s="138" t="e">
        <f>IF(VLOOKUP(CONCATENATE(H235,F235,GB$2),GeoHis!$A:$H,7,FALSE)=CP235,1,0)</f>
        <v>#N/A</v>
      </c>
      <c r="GC235" s="138" t="e">
        <f>IF(VLOOKUP(CONCATENATE(H235,F235,GC$2),GeoHis!$A:$H,7,FALSE)=CQ235,1,0)</f>
        <v>#N/A</v>
      </c>
      <c r="GD235" s="138" t="e">
        <f>IF(VLOOKUP(CONCATENATE(H235,F235,GD$2),GeoHis!$A:$H,7,FALSE)=CR235,1,0)</f>
        <v>#N/A</v>
      </c>
      <c r="GE235" s="135" t="str">
        <f t="shared" si="31"/>
        <v/>
      </c>
    </row>
    <row r="236" spans="1:187" x14ac:dyDescent="0.25">
      <c r="A236" s="127" t="str">
        <f>IF(C236="","",'Datos Generales'!$A$25)</f>
        <v/>
      </c>
      <c r="D236" s="126" t="str">
        <f t="shared" si="24"/>
        <v/>
      </c>
      <c r="E236" s="126">
        <f t="shared" si="25"/>
        <v>0</v>
      </c>
      <c r="F236" s="126" t="str">
        <f t="shared" si="26"/>
        <v/>
      </c>
      <c r="G236" s="126" t="str">
        <f>IF(C236="","",'Datos Generales'!$D$19)</f>
        <v/>
      </c>
      <c r="H236" s="21" t="str">
        <f>IF(C236="","",'Datos Generales'!$A$19)</f>
        <v/>
      </c>
      <c r="I236" s="126" t="str">
        <f>IF(C236="","",'Datos Generales'!$A$7)</f>
        <v/>
      </c>
      <c r="J236" s="21" t="str">
        <f>IF(C236="","",'Datos Generales'!$A$13)</f>
        <v/>
      </c>
      <c r="K236" s="21" t="str">
        <f>IF(C236="","",'Datos Generales'!$A$10)</f>
        <v/>
      </c>
      <c r="CS236" s="142" t="str">
        <f t="shared" si="27"/>
        <v/>
      </c>
      <c r="CT236" s="142" t="str">
        <f t="shared" si="28"/>
        <v/>
      </c>
      <c r="CU236" s="142" t="str">
        <f t="shared" si="29"/>
        <v/>
      </c>
      <c r="CV236" s="142" t="str">
        <f t="shared" si="30"/>
        <v/>
      </c>
      <c r="CW236" s="142" t="str">
        <f>IF(C236="","",IF('Datos Generales'!$A$19=1,AVERAGE(FP236:GD236),AVERAGE(Captura!FP236:FY236)))</f>
        <v/>
      </c>
      <c r="CX236" s="138" t="e">
        <f>IF(VLOOKUP(CONCATENATE($H$4,$F$4,CX$2),Español!$A:$H,7,FALSE)=L236,1,0)</f>
        <v>#N/A</v>
      </c>
      <c r="CY236" s="138" t="e">
        <f>IF(VLOOKUP(CONCATENATE(H236,F236,CY$2),Español!$A:$H,7,FALSE)=M236,1,0)</f>
        <v>#N/A</v>
      </c>
      <c r="CZ236" s="138" t="e">
        <f>IF(VLOOKUP(CONCATENATE(H236,F236,CZ$2),Español!$A:$H,7,FALSE)=N236,1,0)</f>
        <v>#N/A</v>
      </c>
      <c r="DA236" s="138" t="e">
        <f>IF(VLOOKUP(CONCATENATE(H236,F236,DA$2),Español!$A:$H,7,FALSE)=O236,1,0)</f>
        <v>#N/A</v>
      </c>
      <c r="DB236" s="138" t="e">
        <f>IF(VLOOKUP(CONCATENATE(H236,F236,DB$2),Español!$A:$H,7,FALSE)=P236,1,0)</f>
        <v>#N/A</v>
      </c>
      <c r="DC236" s="138" t="e">
        <f>IF(VLOOKUP(CONCATENATE(H236,F236,DC$2),Español!$A:$H,7,FALSE)=Q236,1,0)</f>
        <v>#N/A</v>
      </c>
      <c r="DD236" s="138" t="e">
        <f>IF(VLOOKUP(CONCATENATE(H236,F236,DD$2),Español!$A:$H,7,FALSE)=R236,1,0)</f>
        <v>#N/A</v>
      </c>
      <c r="DE236" s="138" t="e">
        <f>IF(VLOOKUP(CONCATENATE(H236,F236,DE$2),Español!$A:$H,7,FALSE)=S236,1,0)</f>
        <v>#N/A</v>
      </c>
      <c r="DF236" s="138" t="e">
        <f>IF(VLOOKUP(CONCATENATE(H236,F236,DF$2),Español!$A:$H,7,FALSE)=T236,1,0)</f>
        <v>#N/A</v>
      </c>
      <c r="DG236" s="138" t="e">
        <f>IF(VLOOKUP(CONCATENATE(H236,F236,DG$2),Español!$A:$H,7,FALSE)=U236,1,0)</f>
        <v>#N/A</v>
      </c>
      <c r="DH236" s="138" t="e">
        <f>IF(VLOOKUP(CONCATENATE(H236,F236,DH$2),Español!$A:$H,7,FALSE)=V236,1,0)</f>
        <v>#N/A</v>
      </c>
      <c r="DI236" s="138" t="e">
        <f>IF(VLOOKUP(CONCATENATE(H236,F236,DI$2),Español!$A:$H,7,FALSE)=W236,1,0)</f>
        <v>#N/A</v>
      </c>
      <c r="DJ236" s="138" t="e">
        <f>IF(VLOOKUP(CONCATENATE(H236,F236,DJ$2),Español!$A:$H,7,FALSE)=X236,1,0)</f>
        <v>#N/A</v>
      </c>
      <c r="DK236" s="138" t="e">
        <f>IF(VLOOKUP(CONCATENATE(H236,F236,DK$2),Español!$A:$H,7,FALSE)=Y236,1,0)</f>
        <v>#N/A</v>
      </c>
      <c r="DL236" s="138" t="e">
        <f>IF(VLOOKUP(CONCATENATE(H236,F236,DL$2),Español!$A:$H,7,FALSE)=Z236,1,0)</f>
        <v>#N/A</v>
      </c>
      <c r="DM236" s="138" t="e">
        <f>IF(VLOOKUP(CONCATENATE(H236,F236,DM$2),Español!$A:$H,7,FALSE)=AA236,1,0)</f>
        <v>#N/A</v>
      </c>
      <c r="DN236" s="138" t="e">
        <f>IF(VLOOKUP(CONCATENATE(H236,F236,DN$2),Español!$A:$H,7,FALSE)=AB236,1,0)</f>
        <v>#N/A</v>
      </c>
      <c r="DO236" s="138" t="e">
        <f>IF(VLOOKUP(CONCATENATE(H236,F236,DO$2),Español!$A:$H,7,FALSE)=AC236,1,0)</f>
        <v>#N/A</v>
      </c>
      <c r="DP236" s="138" t="e">
        <f>IF(VLOOKUP(CONCATENATE(H236,F236,DP$2),Español!$A:$H,7,FALSE)=AD236,1,0)</f>
        <v>#N/A</v>
      </c>
      <c r="DQ236" s="138" t="e">
        <f>IF(VLOOKUP(CONCATENATE(H236,F236,DQ$2),Español!$A:$H,7,FALSE)=AE236,1,0)</f>
        <v>#N/A</v>
      </c>
      <c r="DR236" s="138" t="e">
        <f>IF(VLOOKUP(CONCATENATE(H236,F236,DR$2),Inglés!$A:$H,7,FALSE)=AF236,1,0)</f>
        <v>#N/A</v>
      </c>
      <c r="DS236" s="138" t="e">
        <f>IF(VLOOKUP(CONCATENATE(H236,F236,DS$2),Inglés!$A:$H,7,FALSE)=AG236,1,0)</f>
        <v>#N/A</v>
      </c>
      <c r="DT236" s="138" t="e">
        <f>IF(VLOOKUP(CONCATENATE(H236,F236,DT$2),Inglés!$A:$H,7,FALSE)=AH236,1,0)</f>
        <v>#N/A</v>
      </c>
      <c r="DU236" s="138" t="e">
        <f>IF(VLOOKUP(CONCATENATE(H236,F236,DU$2),Inglés!$A:$H,7,FALSE)=AI236,1,0)</f>
        <v>#N/A</v>
      </c>
      <c r="DV236" s="138" t="e">
        <f>IF(VLOOKUP(CONCATENATE(H236,F236,DV$2),Inglés!$A:$H,7,FALSE)=AJ236,1,0)</f>
        <v>#N/A</v>
      </c>
      <c r="DW236" s="138" t="e">
        <f>IF(VLOOKUP(CONCATENATE(H236,F236,DW$2),Inglés!$A:$H,7,FALSE)=AK236,1,0)</f>
        <v>#N/A</v>
      </c>
      <c r="DX236" s="138" t="e">
        <f>IF(VLOOKUP(CONCATENATE(H236,F236,DX$2),Inglés!$A:$H,7,FALSE)=AL236,1,0)</f>
        <v>#N/A</v>
      </c>
      <c r="DY236" s="138" t="e">
        <f>IF(VLOOKUP(CONCATENATE(H236,F236,DY$2),Inglés!$A:$H,7,FALSE)=AM236,1,0)</f>
        <v>#N/A</v>
      </c>
      <c r="DZ236" s="138" t="e">
        <f>IF(VLOOKUP(CONCATENATE(H236,F236,DZ$2),Inglés!$A:$H,7,FALSE)=AN236,1,0)</f>
        <v>#N/A</v>
      </c>
      <c r="EA236" s="138" t="e">
        <f>IF(VLOOKUP(CONCATENATE(H236,F236,EA$2),Inglés!$A:$H,7,FALSE)=AO236,1,0)</f>
        <v>#N/A</v>
      </c>
      <c r="EB236" s="138" t="e">
        <f>IF(VLOOKUP(CONCATENATE(H236,F236,EB$2),Matemáticas!$A:$H,7,FALSE)=AP236,1,0)</f>
        <v>#N/A</v>
      </c>
      <c r="EC236" s="138" t="e">
        <f>IF(VLOOKUP(CONCATENATE(H236,F236,EC$2),Matemáticas!$A:$H,7,FALSE)=AQ236,1,0)</f>
        <v>#N/A</v>
      </c>
      <c r="ED236" s="138" t="e">
        <f>IF(VLOOKUP(CONCATENATE(H236,F236,ED$2),Matemáticas!$A:$H,7,FALSE)=AR236,1,0)</f>
        <v>#N/A</v>
      </c>
      <c r="EE236" s="138" t="e">
        <f>IF(VLOOKUP(CONCATENATE(H236,F236,EE$2),Matemáticas!$A:$H,7,FALSE)=AS236,1,0)</f>
        <v>#N/A</v>
      </c>
      <c r="EF236" s="138" t="e">
        <f>IF(VLOOKUP(CONCATENATE(H236,F236,EF$2),Matemáticas!$A:$H,7,FALSE)=AT236,1,0)</f>
        <v>#N/A</v>
      </c>
      <c r="EG236" s="138" t="e">
        <f>IF(VLOOKUP(CONCATENATE(H236,F236,EG$2),Matemáticas!$A:$H,7,FALSE)=AU236,1,0)</f>
        <v>#N/A</v>
      </c>
      <c r="EH236" s="138" t="e">
        <f>IF(VLOOKUP(CONCATENATE(H236,F236,EH$2),Matemáticas!$A:$H,7,FALSE)=AV236,1,0)</f>
        <v>#N/A</v>
      </c>
      <c r="EI236" s="138" t="e">
        <f>IF(VLOOKUP(CONCATENATE(H236,F236,EI$2),Matemáticas!$A:$H,7,FALSE)=AW236,1,0)</f>
        <v>#N/A</v>
      </c>
      <c r="EJ236" s="138" t="e">
        <f>IF(VLOOKUP(CONCATENATE(H236,F236,EJ$2),Matemáticas!$A:$H,7,FALSE)=AX236,1,0)</f>
        <v>#N/A</v>
      </c>
      <c r="EK236" s="138" t="e">
        <f>IF(VLOOKUP(CONCATENATE(H236,F236,EK$2),Matemáticas!$A:$H,7,FALSE)=AY236,1,0)</f>
        <v>#N/A</v>
      </c>
      <c r="EL236" s="138" t="e">
        <f>IF(VLOOKUP(CONCATENATE(H236,F236,EL$2),Matemáticas!$A:$H,7,FALSE)=AZ236,1,0)</f>
        <v>#N/A</v>
      </c>
      <c r="EM236" s="138" t="e">
        <f>IF(VLOOKUP(CONCATENATE(H236,F236,EM$2),Matemáticas!$A:$H,7,FALSE)=BA236,1,0)</f>
        <v>#N/A</v>
      </c>
      <c r="EN236" s="138" t="e">
        <f>IF(VLOOKUP(CONCATENATE(H236,F236,EN$2),Matemáticas!$A:$H,7,FALSE)=BB236,1,0)</f>
        <v>#N/A</v>
      </c>
      <c r="EO236" s="138" t="e">
        <f>IF(VLOOKUP(CONCATENATE(H236,F236,EO$2),Matemáticas!$A:$H,7,FALSE)=BC236,1,0)</f>
        <v>#N/A</v>
      </c>
      <c r="EP236" s="138" t="e">
        <f>IF(VLOOKUP(CONCATENATE(H236,F236,EP$2),Matemáticas!$A:$H,7,FALSE)=BD236,1,0)</f>
        <v>#N/A</v>
      </c>
      <c r="EQ236" s="138" t="e">
        <f>IF(VLOOKUP(CONCATENATE(H236,F236,EQ$2),Matemáticas!$A:$H,7,FALSE)=BE236,1,0)</f>
        <v>#N/A</v>
      </c>
      <c r="ER236" s="138" t="e">
        <f>IF(VLOOKUP(CONCATENATE(H236,F236,ER$2),Matemáticas!$A:$H,7,FALSE)=BF236,1,0)</f>
        <v>#N/A</v>
      </c>
      <c r="ES236" s="138" t="e">
        <f>IF(VLOOKUP(CONCATENATE(H236,F236,ES$2),Matemáticas!$A:$H,7,FALSE)=BG236,1,0)</f>
        <v>#N/A</v>
      </c>
      <c r="ET236" s="138" t="e">
        <f>IF(VLOOKUP(CONCATENATE(H236,F236,ET$2),Matemáticas!$A:$H,7,FALSE)=BH236,1,0)</f>
        <v>#N/A</v>
      </c>
      <c r="EU236" s="138" t="e">
        <f>IF(VLOOKUP(CONCATENATE(H236,F236,EU$2),Matemáticas!$A:$H,7,FALSE)=BI236,1,0)</f>
        <v>#N/A</v>
      </c>
      <c r="EV236" s="138" t="e">
        <f>IF(VLOOKUP(CONCATENATE(H236,F236,EV$2),Ciencias!$A:$H,7,FALSE)=BJ236,1,0)</f>
        <v>#N/A</v>
      </c>
      <c r="EW236" s="138" t="e">
        <f>IF(VLOOKUP(CONCATENATE(H236,F236,EW$2),Ciencias!$A:$H,7,FALSE)=BK236,1,0)</f>
        <v>#N/A</v>
      </c>
      <c r="EX236" s="138" t="e">
        <f>IF(VLOOKUP(CONCATENATE(H236,F236,EX$2),Ciencias!$A:$H,7,FALSE)=BL236,1,0)</f>
        <v>#N/A</v>
      </c>
      <c r="EY236" s="138" t="e">
        <f>IF(VLOOKUP(CONCATENATE(H236,F236,EY$2),Ciencias!$A:$H,7,FALSE)=BM236,1,0)</f>
        <v>#N/A</v>
      </c>
      <c r="EZ236" s="138" t="e">
        <f>IF(VLOOKUP(CONCATENATE(H236,F236,EZ$2),Ciencias!$A:$H,7,FALSE)=BN236,1,0)</f>
        <v>#N/A</v>
      </c>
      <c r="FA236" s="138" t="e">
        <f>IF(VLOOKUP(CONCATENATE(H236,F236,FA$2),Ciencias!$A:$H,7,FALSE)=BO236,1,0)</f>
        <v>#N/A</v>
      </c>
      <c r="FB236" s="138" t="e">
        <f>IF(VLOOKUP(CONCATENATE(H236,F236,FB$2),Ciencias!$A:$H,7,FALSE)=BP236,1,0)</f>
        <v>#N/A</v>
      </c>
      <c r="FC236" s="138" t="e">
        <f>IF(VLOOKUP(CONCATENATE(H236,F236,FC$2),Ciencias!$A:$H,7,FALSE)=BQ236,1,0)</f>
        <v>#N/A</v>
      </c>
      <c r="FD236" s="138" t="e">
        <f>IF(VLOOKUP(CONCATENATE(H236,F236,FD$2),Ciencias!$A:$H,7,FALSE)=BR236,1,0)</f>
        <v>#N/A</v>
      </c>
      <c r="FE236" s="138" t="e">
        <f>IF(VLOOKUP(CONCATENATE(H236,F236,FE$2),Ciencias!$A:$H,7,FALSE)=BS236,1,0)</f>
        <v>#N/A</v>
      </c>
      <c r="FF236" s="138" t="e">
        <f>IF(VLOOKUP(CONCATENATE(H236,F236,FF$2),Ciencias!$A:$H,7,FALSE)=BT236,1,0)</f>
        <v>#N/A</v>
      </c>
      <c r="FG236" s="138" t="e">
        <f>IF(VLOOKUP(CONCATENATE(H236,F236,FG$2),Ciencias!$A:$H,7,FALSE)=BU236,1,0)</f>
        <v>#N/A</v>
      </c>
      <c r="FH236" s="138" t="e">
        <f>IF(VLOOKUP(CONCATENATE(H236,F236,FH$2),Ciencias!$A:$H,7,FALSE)=BV236,1,0)</f>
        <v>#N/A</v>
      </c>
      <c r="FI236" s="138" t="e">
        <f>IF(VLOOKUP(CONCATENATE(H236,F236,FI$2),Ciencias!$A:$H,7,FALSE)=BW236,1,0)</f>
        <v>#N/A</v>
      </c>
      <c r="FJ236" s="138" t="e">
        <f>IF(VLOOKUP(CONCATENATE(H236,F236,FJ$2),Ciencias!$A:$H,7,FALSE)=BX236,1,0)</f>
        <v>#N/A</v>
      </c>
      <c r="FK236" s="138" t="e">
        <f>IF(VLOOKUP(CONCATENATE(H236,F236,FK$2),Ciencias!$A:$H,7,FALSE)=BY236,1,0)</f>
        <v>#N/A</v>
      </c>
      <c r="FL236" s="138" t="e">
        <f>IF(VLOOKUP(CONCATENATE(H236,F236,FL$2),Ciencias!$A:$H,7,FALSE)=BZ236,1,0)</f>
        <v>#N/A</v>
      </c>
      <c r="FM236" s="138" t="e">
        <f>IF(VLOOKUP(CONCATENATE(H236,F236,FM$2),Ciencias!$A:$H,7,FALSE)=CA236,1,0)</f>
        <v>#N/A</v>
      </c>
      <c r="FN236" s="138" t="e">
        <f>IF(VLOOKUP(CONCATENATE(H236,F236,FN$2),Ciencias!$A:$H,7,FALSE)=CB236,1,0)</f>
        <v>#N/A</v>
      </c>
      <c r="FO236" s="138" t="e">
        <f>IF(VLOOKUP(CONCATENATE(H236,F236,FO$2),Ciencias!$A:$H,7,FALSE)=CC236,1,0)</f>
        <v>#N/A</v>
      </c>
      <c r="FP236" s="138" t="e">
        <f>IF(VLOOKUP(CONCATENATE(H236,F236,FP$2),GeoHis!$A:$H,7,FALSE)=CD236,1,0)</f>
        <v>#N/A</v>
      </c>
      <c r="FQ236" s="138" t="e">
        <f>IF(VLOOKUP(CONCATENATE(H236,F236,FQ$2),GeoHis!$A:$H,7,FALSE)=CE236,1,0)</f>
        <v>#N/A</v>
      </c>
      <c r="FR236" s="138" t="e">
        <f>IF(VLOOKUP(CONCATENATE(H236,F236,FR$2),GeoHis!$A:$H,7,FALSE)=CF236,1,0)</f>
        <v>#N/A</v>
      </c>
      <c r="FS236" s="138" t="e">
        <f>IF(VLOOKUP(CONCATENATE(H236,F236,FS$2),GeoHis!$A:$H,7,FALSE)=CG236,1,0)</f>
        <v>#N/A</v>
      </c>
      <c r="FT236" s="138" t="e">
        <f>IF(VLOOKUP(CONCATENATE(H236,F236,FT$2),GeoHis!$A:$H,7,FALSE)=CH236,1,0)</f>
        <v>#N/A</v>
      </c>
      <c r="FU236" s="138" t="e">
        <f>IF(VLOOKUP(CONCATENATE(H236,F236,FU$2),GeoHis!$A:$H,7,FALSE)=CI236,1,0)</f>
        <v>#N/A</v>
      </c>
      <c r="FV236" s="138" t="e">
        <f>IF(VLOOKUP(CONCATENATE(H236,F236,FV$2),GeoHis!$A:$H,7,FALSE)=CJ236,1,0)</f>
        <v>#N/A</v>
      </c>
      <c r="FW236" s="138" t="e">
        <f>IF(VLOOKUP(CONCATENATE(H236,F236,FW$2),GeoHis!$A:$H,7,FALSE)=CK236,1,0)</f>
        <v>#N/A</v>
      </c>
      <c r="FX236" s="138" t="e">
        <f>IF(VLOOKUP(CONCATENATE(H236,F236,FX$2),GeoHis!$A:$H,7,FALSE)=CL236,1,0)</f>
        <v>#N/A</v>
      </c>
      <c r="FY236" s="138" t="e">
        <f>IF(VLOOKUP(CONCATENATE(H236,F236,FY$2),GeoHis!$A:$H,7,FALSE)=CM236,1,0)</f>
        <v>#N/A</v>
      </c>
      <c r="FZ236" s="138" t="e">
        <f>IF(VLOOKUP(CONCATENATE(H236,F236,FZ$2),GeoHis!$A:$H,7,FALSE)=CN236,1,0)</f>
        <v>#N/A</v>
      </c>
      <c r="GA236" s="138" t="e">
        <f>IF(VLOOKUP(CONCATENATE(H236,F236,GA$2),GeoHis!$A:$H,7,FALSE)=CO236,1,0)</f>
        <v>#N/A</v>
      </c>
      <c r="GB236" s="138" t="e">
        <f>IF(VLOOKUP(CONCATENATE(H236,F236,GB$2),GeoHis!$A:$H,7,FALSE)=CP236,1,0)</f>
        <v>#N/A</v>
      </c>
      <c r="GC236" s="138" t="e">
        <f>IF(VLOOKUP(CONCATENATE(H236,F236,GC$2),GeoHis!$A:$H,7,FALSE)=CQ236,1,0)</f>
        <v>#N/A</v>
      </c>
      <c r="GD236" s="138" t="e">
        <f>IF(VLOOKUP(CONCATENATE(H236,F236,GD$2),GeoHis!$A:$H,7,FALSE)=CR236,1,0)</f>
        <v>#N/A</v>
      </c>
      <c r="GE236" s="135" t="str">
        <f t="shared" si="31"/>
        <v/>
      </c>
    </row>
    <row r="237" spans="1:187" x14ac:dyDescent="0.25">
      <c r="A237" s="127" t="str">
        <f>IF(C237="","",'Datos Generales'!$A$25)</f>
        <v/>
      </c>
      <c r="D237" s="126" t="str">
        <f t="shared" si="24"/>
        <v/>
      </c>
      <c r="E237" s="126">
        <f t="shared" si="25"/>
        <v>0</v>
      </c>
      <c r="F237" s="126" t="str">
        <f t="shared" si="26"/>
        <v/>
      </c>
      <c r="G237" s="126" t="str">
        <f>IF(C237="","",'Datos Generales'!$D$19)</f>
        <v/>
      </c>
      <c r="H237" s="21" t="str">
        <f>IF(C237="","",'Datos Generales'!$A$19)</f>
        <v/>
      </c>
      <c r="I237" s="126" t="str">
        <f>IF(C237="","",'Datos Generales'!$A$7)</f>
        <v/>
      </c>
      <c r="J237" s="21" t="str">
        <f>IF(C237="","",'Datos Generales'!$A$13)</f>
        <v/>
      </c>
      <c r="K237" s="21" t="str">
        <f>IF(C237="","",'Datos Generales'!$A$10)</f>
        <v/>
      </c>
      <c r="CS237" s="142" t="str">
        <f t="shared" si="27"/>
        <v/>
      </c>
      <c r="CT237" s="142" t="str">
        <f t="shared" si="28"/>
        <v/>
      </c>
      <c r="CU237" s="142" t="str">
        <f t="shared" si="29"/>
        <v/>
      </c>
      <c r="CV237" s="142" t="str">
        <f t="shared" si="30"/>
        <v/>
      </c>
      <c r="CW237" s="142" t="str">
        <f>IF(C237="","",IF('Datos Generales'!$A$19=1,AVERAGE(FP237:GD237),AVERAGE(Captura!FP237:FY237)))</f>
        <v/>
      </c>
      <c r="CX237" s="138" t="e">
        <f>IF(VLOOKUP(CONCATENATE($H$4,$F$4,CX$2),Español!$A:$H,7,FALSE)=L237,1,0)</f>
        <v>#N/A</v>
      </c>
      <c r="CY237" s="138" t="e">
        <f>IF(VLOOKUP(CONCATENATE(H237,F237,CY$2),Español!$A:$H,7,FALSE)=M237,1,0)</f>
        <v>#N/A</v>
      </c>
      <c r="CZ237" s="138" t="e">
        <f>IF(VLOOKUP(CONCATENATE(H237,F237,CZ$2),Español!$A:$H,7,FALSE)=N237,1,0)</f>
        <v>#N/A</v>
      </c>
      <c r="DA237" s="138" t="e">
        <f>IF(VLOOKUP(CONCATENATE(H237,F237,DA$2),Español!$A:$H,7,FALSE)=O237,1,0)</f>
        <v>#N/A</v>
      </c>
      <c r="DB237" s="138" t="e">
        <f>IF(VLOOKUP(CONCATENATE(H237,F237,DB$2),Español!$A:$H,7,FALSE)=P237,1,0)</f>
        <v>#N/A</v>
      </c>
      <c r="DC237" s="138" t="e">
        <f>IF(VLOOKUP(CONCATENATE(H237,F237,DC$2),Español!$A:$H,7,FALSE)=Q237,1,0)</f>
        <v>#N/A</v>
      </c>
      <c r="DD237" s="138" t="e">
        <f>IF(VLOOKUP(CONCATENATE(H237,F237,DD$2),Español!$A:$H,7,FALSE)=R237,1,0)</f>
        <v>#N/A</v>
      </c>
      <c r="DE237" s="138" t="e">
        <f>IF(VLOOKUP(CONCATENATE(H237,F237,DE$2),Español!$A:$H,7,FALSE)=S237,1,0)</f>
        <v>#N/A</v>
      </c>
      <c r="DF237" s="138" t="e">
        <f>IF(VLOOKUP(CONCATENATE(H237,F237,DF$2),Español!$A:$H,7,FALSE)=T237,1,0)</f>
        <v>#N/A</v>
      </c>
      <c r="DG237" s="138" t="e">
        <f>IF(VLOOKUP(CONCATENATE(H237,F237,DG$2),Español!$A:$H,7,FALSE)=U237,1,0)</f>
        <v>#N/A</v>
      </c>
      <c r="DH237" s="138" t="e">
        <f>IF(VLOOKUP(CONCATENATE(H237,F237,DH$2),Español!$A:$H,7,FALSE)=V237,1,0)</f>
        <v>#N/A</v>
      </c>
      <c r="DI237" s="138" t="e">
        <f>IF(VLOOKUP(CONCATENATE(H237,F237,DI$2),Español!$A:$H,7,FALSE)=W237,1,0)</f>
        <v>#N/A</v>
      </c>
      <c r="DJ237" s="138" t="e">
        <f>IF(VLOOKUP(CONCATENATE(H237,F237,DJ$2),Español!$A:$H,7,FALSE)=X237,1,0)</f>
        <v>#N/A</v>
      </c>
      <c r="DK237" s="138" t="e">
        <f>IF(VLOOKUP(CONCATENATE(H237,F237,DK$2),Español!$A:$H,7,FALSE)=Y237,1,0)</f>
        <v>#N/A</v>
      </c>
      <c r="DL237" s="138" t="e">
        <f>IF(VLOOKUP(CONCATENATE(H237,F237,DL$2),Español!$A:$H,7,FALSE)=Z237,1,0)</f>
        <v>#N/A</v>
      </c>
      <c r="DM237" s="138" t="e">
        <f>IF(VLOOKUP(CONCATENATE(H237,F237,DM$2),Español!$A:$H,7,FALSE)=AA237,1,0)</f>
        <v>#N/A</v>
      </c>
      <c r="DN237" s="138" t="e">
        <f>IF(VLOOKUP(CONCATENATE(H237,F237,DN$2),Español!$A:$H,7,FALSE)=AB237,1,0)</f>
        <v>#N/A</v>
      </c>
      <c r="DO237" s="138" t="e">
        <f>IF(VLOOKUP(CONCATENATE(H237,F237,DO$2),Español!$A:$H,7,FALSE)=AC237,1,0)</f>
        <v>#N/A</v>
      </c>
      <c r="DP237" s="138" t="e">
        <f>IF(VLOOKUP(CONCATENATE(H237,F237,DP$2),Español!$A:$H,7,FALSE)=AD237,1,0)</f>
        <v>#N/A</v>
      </c>
      <c r="DQ237" s="138" t="e">
        <f>IF(VLOOKUP(CONCATENATE(H237,F237,DQ$2),Español!$A:$H,7,FALSE)=AE237,1,0)</f>
        <v>#N/A</v>
      </c>
      <c r="DR237" s="138" t="e">
        <f>IF(VLOOKUP(CONCATENATE(H237,F237,DR$2),Inglés!$A:$H,7,FALSE)=AF237,1,0)</f>
        <v>#N/A</v>
      </c>
      <c r="DS237" s="138" t="e">
        <f>IF(VLOOKUP(CONCATENATE(H237,F237,DS$2),Inglés!$A:$H,7,FALSE)=AG237,1,0)</f>
        <v>#N/A</v>
      </c>
      <c r="DT237" s="138" t="e">
        <f>IF(VLOOKUP(CONCATENATE(H237,F237,DT$2),Inglés!$A:$H,7,FALSE)=AH237,1,0)</f>
        <v>#N/A</v>
      </c>
      <c r="DU237" s="138" t="e">
        <f>IF(VLOOKUP(CONCATENATE(H237,F237,DU$2),Inglés!$A:$H,7,FALSE)=AI237,1,0)</f>
        <v>#N/A</v>
      </c>
      <c r="DV237" s="138" t="e">
        <f>IF(VLOOKUP(CONCATENATE(H237,F237,DV$2),Inglés!$A:$H,7,FALSE)=AJ237,1,0)</f>
        <v>#N/A</v>
      </c>
      <c r="DW237" s="138" t="e">
        <f>IF(VLOOKUP(CONCATENATE(H237,F237,DW$2),Inglés!$A:$H,7,FALSE)=AK237,1,0)</f>
        <v>#N/A</v>
      </c>
      <c r="DX237" s="138" t="e">
        <f>IF(VLOOKUP(CONCATENATE(H237,F237,DX$2),Inglés!$A:$H,7,FALSE)=AL237,1,0)</f>
        <v>#N/A</v>
      </c>
      <c r="DY237" s="138" t="e">
        <f>IF(VLOOKUP(CONCATENATE(H237,F237,DY$2),Inglés!$A:$H,7,FALSE)=AM237,1,0)</f>
        <v>#N/A</v>
      </c>
      <c r="DZ237" s="138" t="e">
        <f>IF(VLOOKUP(CONCATENATE(H237,F237,DZ$2),Inglés!$A:$H,7,FALSE)=AN237,1,0)</f>
        <v>#N/A</v>
      </c>
      <c r="EA237" s="138" t="e">
        <f>IF(VLOOKUP(CONCATENATE(H237,F237,EA$2),Inglés!$A:$H,7,FALSE)=AO237,1,0)</f>
        <v>#N/A</v>
      </c>
      <c r="EB237" s="138" t="e">
        <f>IF(VLOOKUP(CONCATENATE(H237,F237,EB$2),Matemáticas!$A:$H,7,FALSE)=AP237,1,0)</f>
        <v>#N/A</v>
      </c>
      <c r="EC237" s="138" t="e">
        <f>IF(VLOOKUP(CONCATENATE(H237,F237,EC$2),Matemáticas!$A:$H,7,FALSE)=AQ237,1,0)</f>
        <v>#N/A</v>
      </c>
      <c r="ED237" s="138" t="e">
        <f>IF(VLOOKUP(CONCATENATE(H237,F237,ED$2),Matemáticas!$A:$H,7,FALSE)=AR237,1,0)</f>
        <v>#N/A</v>
      </c>
      <c r="EE237" s="138" t="e">
        <f>IF(VLOOKUP(CONCATENATE(H237,F237,EE$2),Matemáticas!$A:$H,7,FALSE)=AS237,1,0)</f>
        <v>#N/A</v>
      </c>
      <c r="EF237" s="138" t="e">
        <f>IF(VLOOKUP(CONCATENATE(H237,F237,EF$2),Matemáticas!$A:$H,7,FALSE)=AT237,1,0)</f>
        <v>#N/A</v>
      </c>
      <c r="EG237" s="138" t="e">
        <f>IF(VLOOKUP(CONCATENATE(H237,F237,EG$2),Matemáticas!$A:$H,7,FALSE)=AU237,1,0)</f>
        <v>#N/A</v>
      </c>
      <c r="EH237" s="138" t="e">
        <f>IF(VLOOKUP(CONCATENATE(H237,F237,EH$2),Matemáticas!$A:$H,7,FALSE)=AV237,1,0)</f>
        <v>#N/A</v>
      </c>
      <c r="EI237" s="138" t="e">
        <f>IF(VLOOKUP(CONCATENATE(H237,F237,EI$2),Matemáticas!$A:$H,7,FALSE)=AW237,1,0)</f>
        <v>#N/A</v>
      </c>
      <c r="EJ237" s="138" t="e">
        <f>IF(VLOOKUP(CONCATENATE(H237,F237,EJ$2),Matemáticas!$A:$H,7,FALSE)=AX237,1,0)</f>
        <v>#N/A</v>
      </c>
      <c r="EK237" s="138" t="e">
        <f>IF(VLOOKUP(CONCATENATE(H237,F237,EK$2),Matemáticas!$A:$H,7,FALSE)=AY237,1,0)</f>
        <v>#N/A</v>
      </c>
      <c r="EL237" s="138" t="e">
        <f>IF(VLOOKUP(CONCATENATE(H237,F237,EL$2),Matemáticas!$A:$H,7,FALSE)=AZ237,1,0)</f>
        <v>#N/A</v>
      </c>
      <c r="EM237" s="138" t="e">
        <f>IF(VLOOKUP(CONCATENATE(H237,F237,EM$2),Matemáticas!$A:$H,7,FALSE)=BA237,1,0)</f>
        <v>#N/A</v>
      </c>
      <c r="EN237" s="138" t="e">
        <f>IF(VLOOKUP(CONCATENATE(H237,F237,EN$2),Matemáticas!$A:$H,7,FALSE)=BB237,1,0)</f>
        <v>#N/A</v>
      </c>
      <c r="EO237" s="138" t="e">
        <f>IF(VLOOKUP(CONCATENATE(H237,F237,EO$2),Matemáticas!$A:$H,7,FALSE)=BC237,1,0)</f>
        <v>#N/A</v>
      </c>
      <c r="EP237" s="138" t="e">
        <f>IF(VLOOKUP(CONCATENATE(H237,F237,EP$2),Matemáticas!$A:$H,7,FALSE)=BD237,1,0)</f>
        <v>#N/A</v>
      </c>
      <c r="EQ237" s="138" t="e">
        <f>IF(VLOOKUP(CONCATENATE(H237,F237,EQ$2),Matemáticas!$A:$H,7,FALSE)=BE237,1,0)</f>
        <v>#N/A</v>
      </c>
      <c r="ER237" s="138" t="e">
        <f>IF(VLOOKUP(CONCATENATE(H237,F237,ER$2),Matemáticas!$A:$H,7,FALSE)=BF237,1,0)</f>
        <v>#N/A</v>
      </c>
      <c r="ES237" s="138" t="e">
        <f>IF(VLOOKUP(CONCATENATE(H237,F237,ES$2),Matemáticas!$A:$H,7,FALSE)=BG237,1,0)</f>
        <v>#N/A</v>
      </c>
      <c r="ET237" s="138" t="e">
        <f>IF(VLOOKUP(CONCATENATE(H237,F237,ET$2),Matemáticas!$A:$H,7,FALSE)=BH237,1,0)</f>
        <v>#N/A</v>
      </c>
      <c r="EU237" s="138" t="e">
        <f>IF(VLOOKUP(CONCATENATE(H237,F237,EU$2),Matemáticas!$A:$H,7,FALSE)=BI237,1,0)</f>
        <v>#N/A</v>
      </c>
      <c r="EV237" s="138" t="e">
        <f>IF(VLOOKUP(CONCATENATE(H237,F237,EV$2),Ciencias!$A:$H,7,FALSE)=BJ237,1,0)</f>
        <v>#N/A</v>
      </c>
      <c r="EW237" s="138" t="e">
        <f>IF(VLOOKUP(CONCATENATE(H237,F237,EW$2),Ciencias!$A:$H,7,FALSE)=BK237,1,0)</f>
        <v>#N/A</v>
      </c>
      <c r="EX237" s="138" t="e">
        <f>IF(VLOOKUP(CONCATENATE(H237,F237,EX$2),Ciencias!$A:$H,7,FALSE)=BL237,1,0)</f>
        <v>#N/A</v>
      </c>
      <c r="EY237" s="138" t="e">
        <f>IF(VLOOKUP(CONCATENATE(H237,F237,EY$2),Ciencias!$A:$H,7,FALSE)=BM237,1,0)</f>
        <v>#N/A</v>
      </c>
      <c r="EZ237" s="138" t="e">
        <f>IF(VLOOKUP(CONCATENATE(H237,F237,EZ$2),Ciencias!$A:$H,7,FALSE)=BN237,1,0)</f>
        <v>#N/A</v>
      </c>
      <c r="FA237" s="138" t="e">
        <f>IF(VLOOKUP(CONCATENATE(H237,F237,FA$2),Ciencias!$A:$H,7,FALSE)=BO237,1,0)</f>
        <v>#N/A</v>
      </c>
      <c r="FB237" s="138" t="e">
        <f>IF(VLOOKUP(CONCATENATE(H237,F237,FB$2),Ciencias!$A:$H,7,FALSE)=BP237,1,0)</f>
        <v>#N/A</v>
      </c>
      <c r="FC237" s="138" t="e">
        <f>IF(VLOOKUP(CONCATENATE(H237,F237,FC$2),Ciencias!$A:$H,7,FALSE)=BQ237,1,0)</f>
        <v>#N/A</v>
      </c>
      <c r="FD237" s="138" t="e">
        <f>IF(VLOOKUP(CONCATENATE(H237,F237,FD$2),Ciencias!$A:$H,7,FALSE)=BR237,1,0)</f>
        <v>#N/A</v>
      </c>
      <c r="FE237" s="138" t="e">
        <f>IF(VLOOKUP(CONCATENATE(H237,F237,FE$2),Ciencias!$A:$H,7,FALSE)=BS237,1,0)</f>
        <v>#N/A</v>
      </c>
      <c r="FF237" s="138" t="e">
        <f>IF(VLOOKUP(CONCATENATE(H237,F237,FF$2),Ciencias!$A:$H,7,FALSE)=BT237,1,0)</f>
        <v>#N/A</v>
      </c>
      <c r="FG237" s="138" t="e">
        <f>IF(VLOOKUP(CONCATENATE(H237,F237,FG$2),Ciencias!$A:$H,7,FALSE)=BU237,1,0)</f>
        <v>#N/A</v>
      </c>
      <c r="FH237" s="138" t="e">
        <f>IF(VLOOKUP(CONCATENATE(H237,F237,FH$2),Ciencias!$A:$H,7,FALSE)=BV237,1,0)</f>
        <v>#N/A</v>
      </c>
      <c r="FI237" s="138" t="e">
        <f>IF(VLOOKUP(CONCATENATE(H237,F237,FI$2),Ciencias!$A:$H,7,FALSE)=BW237,1,0)</f>
        <v>#N/A</v>
      </c>
      <c r="FJ237" s="138" t="e">
        <f>IF(VLOOKUP(CONCATENATE(H237,F237,FJ$2),Ciencias!$A:$H,7,FALSE)=BX237,1,0)</f>
        <v>#N/A</v>
      </c>
      <c r="FK237" s="138" t="e">
        <f>IF(VLOOKUP(CONCATENATE(H237,F237,FK$2),Ciencias!$A:$H,7,FALSE)=BY237,1,0)</f>
        <v>#N/A</v>
      </c>
      <c r="FL237" s="138" t="e">
        <f>IF(VLOOKUP(CONCATENATE(H237,F237,FL$2),Ciencias!$A:$H,7,FALSE)=BZ237,1,0)</f>
        <v>#N/A</v>
      </c>
      <c r="FM237" s="138" t="e">
        <f>IF(VLOOKUP(CONCATENATE(H237,F237,FM$2),Ciencias!$A:$H,7,FALSE)=CA237,1,0)</f>
        <v>#N/A</v>
      </c>
      <c r="FN237" s="138" t="e">
        <f>IF(VLOOKUP(CONCATENATE(H237,F237,FN$2),Ciencias!$A:$H,7,FALSE)=CB237,1,0)</f>
        <v>#N/A</v>
      </c>
      <c r="FO237" s="138" t="e">
        <f>IF(VLOOKUP(CONCATENATE(H237,F237,FO$2),Ciencias!$A:$H,7,FALSE)=CC237,1,0)</f>
        <v>#N/A</v>
      </c>
      <c r="FP237" s="138" t="e">
        <f>IF(VLOOKUP(CONCATENATE(H237,F237,FP$2),GeoHis!$A:$H,7,FALSE)=CD237,1,0)</f>
        <v>#N/A</v>
      </c>
      <c r="FQ237" s="138" t="e">
        <f>IF(VLOOKUP(CONCATENATE(H237,F237,FQ$2),GeoHis!$A:$H,7,FALSE)=CE237,1,0)</f>
        <v>#N/A</v>
      </c>
      <c r="FR237" s="138" t="e">
        <f>IF(VLOOKUP(CONCATENATE(H237,F237,FR$2),GeoHis!$A:$H,7,FALSE)=CF237,1,0)</f>
        <v>#N/A</v>
      </c>
      <c r="FS237" s="138" t="e">
        <f>IF(VLOOKUP(CONCATENATE(H237,F237,FS$2),GeoHis!$A:$H,7,FALSE)=CG237,1,0)</f>
        <v>#N/A</v>
      </c>
      <c r="FT237" s="138" t="e">
        <f>IF(VLOOKUP(CONCATENATE(H237,F237,FT$2),GeoHis!$A:$H,7,FALSE)=CH237,1,0)</f>
        <v>#N/A</v>
      </c>
      <c r="FU237" s="138" t="e">
        <f>IF(VLOOKUP(CONCATENATE(H237,F237,FU$2),GeoHis!$A:$H,7,FALSE)=CI237,1,0)</f>
        <v>#N/A</v>
      </c>
      <c r="FV237" s="138" t="e">
        <f>IF(VLOOKUP(CONCATENATE(H237,F237,FV$2),GeoHis!$A:$H,7,FALSE)=CJ237,1,0)</f>
        <v>#N/A</v>
      </c>
      <c r="FW237" s="138" t="e">
        <f>IF(VLOOKUP(CONCATENATE(H237,F237,FW$2),GeoHis!$A:$H,7,FALSE)=CK237,1,0)</f>
        <v>#N/A</v>
      </c>
      <c r="FX237" s="138" t="e">
        <f>IF(VLOOKUP(CONCATENATE(H237,F237,FX$2),GeoHis!$A:$H,7,FALSE)=CL237,1,0)</f>
        <v>#N/A</v>
      </c>
      <c r="FY237" s="138" t="e">
        <f>IF(VLOOKUP(CONCATENATE(H237,F237,FY$2),GeoHis!$A:$H,7,FALSE)=CM237,1,0)</f>
        <v>#N/A</v>
      </c>
      <c r="FZ237" s="138" t="e">
        <f>IF(VLOOKUP(CONCATENATE(H237,F237,FZ$2),GeoHis!$A:$H,7,FALSE)=CN237,1,0)</f>
        <v>#N/A</v>
      </c>
      <c r="GA237" s="138" t="e">
        <f>IF(VLOOKUP(CONCATENATE(H237,F237,GA$2),GeoHis!$A:$H,7,FALSE)=CO237,1,0)</f>
        <v>#N/A</v>
      </c>
      <c r="GB237" s="138" t="e">
        <f>IF(VLOOKUP(CONCATENATE(H237,F237,GB$2),GeoHis!$A:$H,7,FALSE)=CP237,1,0)</f>
        <v>#N/A</v>
      </c>
      <c r="GC237" s="138" t="e">
        <f>IF(VLOOKUP(CONCATENATE(H237,F237,GC$2),GeoHis!$A:$H,7,FALSE)=CQ237,1,0)</f>
        <v>#N/A</v>
      </c>
      <c r="GD237" s="138" t="e">
        <f>IF(VLOOKUP(CONCATENATE(H237,F237,GD$2),GeoHis!$A:$H,7,FALSE)=CR237,1,0)</f>
        <v>#N/A</v>
      </c>
      <c r="GE237" s="135" t="str">
        <f t="shared" si="31"/>
        <v/>
      </c>
    </row>
    <row r="238" spans="1:187" x14ac:dyDescent="0.25">
      <c r="A238" s="127" t="str">
        <f>IF(C238="","",'Datos Generales'!$A$25)</f>
        <v/>
      </c>
      <c r="D238" s="126" t="str">
        <f t="shared" si="24"/>
        <v/>
      </c>
      <c r="E238" s="126">
        <f t="shared" si="25"/>
        <v>0</v>
      </c>
      <c r="F238" s="126" t="str">
        <f t="shared" si="26"/>
        <v/>
      </c>
      <c r="G238" s="126" t="str">
        <f>IF(C238="","",'Datos Generales'!$D$19)</f>
        <v/>
      </c>
      <c r="H238" s="21" t="str">
        <f>IF(C238="","",'Datos Generales'!$A$19)</f>
        <v/>
      </c>
      <c r="I238" s="126" t="str">
        <f>IF(C238="","",'Datos Generales'!$A$7)</f>
        <v/>
      </c>
      <c r="J238" s="21" t="str">
        <f>IF(C238="","",'Datos Generales'!$A$13)</f>
        <v/>
      </c>
      <c r="K238" s="21" t="str">
        <f>IF(C238="","",'Datos Generales'!$A$10)</f>
        <v/>
      </c>
      <c r="CS238" s="142" t="str">
        <f t="shared" si="27"/>
        <v/>
      </c>
      <c r="CT238" s="142" t="str">
        <f t="shared" si="28"/>
        <v/>
      </c>
      <c r="CU238" s="142" t="str">
        <f t="shared" si="29"/>
        <v/>
      </c>
      <c r="CV238" s="142" t="str">
        <f t="shared" si="30"/>
        <v/>
      </c>
      <c r="CW238" s="142" t="str">
        <f>IF(C238="","",IF('Datos Generales'!$A$19=1,AVERAGE(FP238:GD238),AVERAGE(Captura!FP238:FY238)))</f>
        <v/>
      </c>
      <c r="CX238" s="138" t="e">
        <f>IF(VLOOKUP(CONCATENATE($H$4,$F$4,CX$2),Español!$A:$H,7,FALSE)=L238,1,0)</f>
        <v>#N/A</v>
      </c>
      <c r="CY238" s="138" t="e">
        <f>IF(VLOOKUP(CONCATENATE(H238,F238,CY$2),Español!$A:$H,7,FALSE)=M238,1,0)</f>
        <v>#N/A</v>
      </c>
      <c r="CZ238" s="138" t="e">
        <f>IF(VLOOKUP(CONCATENATE(H238,F238,CZ$2),Español!$A:$H,7,FALSE)=N238,1,0)</f>
        <v>#N/A</v>
      </c>
      <c r="DA238" s="138" t="e">
        <f>IF(VLOOKUP(CONCATENATE(H238,F238,DA$2),Español!$A:$H,7,FALSE)=O238,1,0)</f>
        <v>#N/A</v>
      </c>
      <c r="DB238" s="138" t="e">
        <f>IF(VLOOKUP(CONCATENATE(H238,F238,DB$2),Español!$A:$H,7,FALSE)=P238,1,0)</f>
        <v>#N/A</v>
      </c>
      <c r="DC238" s="138" t="e">
        <f>IF(VLOOKUP(CONCATENATE(H238,F238,DC$2),Español!$A:$H,7,FALSE)=Q238,1,0)</f>
        <v>#N/A</v>
      </c>
      <c r="DD238" s="138" t="e">
        <f>IF(VLOOKUP(CONCATENATE(H238,F238,DD$2),Español!$A:$H,7,FALSE)=R238,1,0)</f>
        <v>#N/A</v>
      </c>
      <c r="DE238" s="138" t="e">
        <f>IF(VLOOKUP(CONCATENATE(H238,F238,DE$2),Español!$A:$H,7,FALSE)=S238,1,0)</f>
        <v>#N/A</v>
      </c>
      <c r="DF238" s="138" t="e">
        <f>IF(VLOOKUP(CONCATENATE(H238,F238,DF$2),Español!$A:$H,7,FALSE)=T238,1,0)</f>
        <v>#N/A</v>
      </c>
      <c r="DG238" s="138" t="e">
        <f>IF(VLOOKUP(CONCATENATE(H238,F238,DG$2),Español!$A:$H,7,FALSE)=U238,1,0)</f>
        <v>#N/A</v>
      </c>
      <c r="DH238" s="138" t="e">
        <f>IF(VLOOKUP(CONCATENATE(H238,F238,DH$2),Español!$A:$H,7,FALSE)=V238,1,0)</f>
        <v>#N/A</v>
      </c>
      <c r="DI238" s="138" t="e">
        <f>IF(VLOOKUP(CONCATENATE(H238,F238,DI$2),Español!$A:$H,7,FALSE)=W238,1,0)</f>
        <v>#N/A</v>
      </c>
      <c r="DJ238" s="138" t="e">
        <f>IF(VLOOKUP(CONCATENATE(H238,F238,DJ$2),Español!$A:$H,7,FALSE)=X238,1,0)</f>
        <v>#N/A</v>
      </c>
      <c r="DK238" s="138" t="e">
        <f>IF(VLOOKUP(CONCATENATE(H238,F238,DK$2),Español!$A:$H,7,FALSE)=Y238,1,0)</f>
        <v>#N/A</v>
      </c>
      <c r="DL238" s="138" t="e">
        <f>IF(VLOOKUP(CONCATENATE(H238,F238,DL$2),Español!$A:$H,7,FALSE)=Z238,1,0)</f>
        <v>#N/A</v>
      </c>
      <c r="DM238" s="138" t="e">
        <f>IF(VLOOKUP(CONCATENATE(H238,F238,DM$2),Español!$A:$H,7,FALSE)=AA238,1,0)</f>
        <v>#N/A</v>
      </c>
      <c r="DN238" s="138" t="e">
        <f>IF(VLOOKUP(CONCATENATE(H238,F238,DN$2),Español!$A:$H,7,FALSE)=AB238,1,0)</f>
        <v>#N/A</v>
      </c>
      <c r="DO238" s="138" t="e">
        <f>IF(VLOOKUP(CONCATENATE(H238,F238,DO$2),Español!$A:$H,7,FALSE)=AC238,1,0)</f>
        <v>#N/A</v>
      </c>
      <c r="DP238" s="138" t="e">
        <f>IF(VLOOKUP(CONCATENATE(H238,F238,DP$2),Español!$A:$H,7,FALSE)=AD238,1,0)</f>
        <v>#N/A</v>
      </c>
      <c r="DQ238" s="138" t="e">
        <f>IF(VLOOKUP(CONCATENATE(H238,F238,DQ$2),Español!$A:$H,7,FALSE)=AE238,1,0)</f>
        <v>#N/A</v>
      </c>
      <c r="DR238" s="138" t="e">
        <f>IF(VLOOKUP(CONCATENATE(H238,F238,DR$2),Inglés!$A:$H,7,FALSE)=AF238,1,0)</f>
        <v>#N/A</v>
      </c>
      <c r="DS238" s="138" t="e">
        <f>IF(VLOOKUP(CONCATENATE(H238,F238,DS$2),Inglés!$A:$H,7,FALSE)=AG238,1,0)</f>
        <v>#N/A</v>
      </c>
      <c r="DT238" s="138" t="e">
        <f>IF(VLOOKUP(CONCATENATE(H238,F238,DT$2),Inglés!$A:$H,7,FALSE)=AH238,1,0)</f>
        <v>#N/A</v>
      </c>
      <c r="DU238" s="138" t="e">
        <f>IF(VLOOKUP(CONCATENATE(H238,F238,DU$2),Inglés!$A:$H,7,FALSE)=AI238,1,0)</f>
        <v>#N/A</v>
      </c>
      <c r="DV238" s="138" t="e">
        <f>IF(VLOOKUP(CONCATENATE(H238,F238,DV$2),Inglés!$A:$H,7,FALSE)=AJ238,1,0)</f>
        <v>#N/A</v>
      </c>
      <c r="DW238" s="138" t="e">
        <f>IF(VLOOKUP(CONCATENATE(H238,F238,DW$2),Inglés!$A:$H,7,FALSE)=AK238,1,0)</f>
        <v>#N/A</v>
      </c>
      <c r="DX238" s="138" t="e">
        <f>IF(VLOOKUP(CONCATENATE(H238,F238,DX$2),Inglés!$A:$H,7,FALSE)=AL238,1,0)</f>
        <v>#N/A</v>
      </c>
      <c r="DY238" s="138" t="e">
        <f>IF(VLOOKUP(CONCATENATE(H238,F238,DY$2),Inglés!$A:$H,7,FALSE)=AM238,1,0)</f>
        <v>#N/A</v>
      </c>
      <c r="DZ238" s="138" t="e">
        <f>IF(VLOOKUP(CONCATENATE(H238,F238,DZ$2),Inglés!$A:$H,7,FALSE)=AN238,1,0)</f>
        <v>#N/A</v>
      </c>
      <c r="EA238" s="138" t="e">
        <f>IF(VLOOKUP(CONCATENATE(H238,F238,EA$2),Inglés!$A:$H,7,FALSE)=AO238,1,0)</f>
        <v>#N/A</v>
      </c>
      <c r="EB238" s="138" t="e">
        <f>IF(VLOOKUP(CONCATENATE(H238,F238,EB$2),Matemáticas!$A:$H,7,FALSE)=AP238,1,0)</f>
        <v>#N/A</v>
      </c>
      <c r="EC238" s="138" t="e">
        <f>IF(VLOOKUP(CONCATENATE(H238,F238,EC$2),Matemáticas!$A:$H,7,FALSE)=AQ238,1,0)</f>
        <v>#N/A</v>
      </c>
      <c r="ED238" s="138" t="e">
        <f>IF(VLOOKUP(CONCATENATE(H238,F238,ED$2),Matemáticas!$A:$H,7,FALSE)=AR238,1,0)</f>
        <v>#N/A</v>
      </c>
      <c r="EE238" s="138" t="e">
        <f>IF(VLOOKUP(CONCATENATE(H238,F238,EE$2),Matemáticas!$A:$H,7,FALSE)=AS238,1,0)</f>
        <v>#N/A</v>
      </c>
      <c r="EF238" s="138" t="e">
        <f>IF(VLOOKUP(CONCATENATE(H238,F238,EF$2),Matemáticas!$A:$H,7,FALSE)=AT238,1,0)</f>
        <v>#N/A</v>
      </c>
      <c r="EG238" s="138" t="e">
        <f>IF(VLOOKUP(CONCATENATE(H238,F238,EG$2),Matemáticas!$A:$H,7,FALSE)=AU238,1,0)</f>
        <v>#N/A</v>
      </c>
      <c r="EH238" s="138" t="e">
        <f>IF(VLOOKUP(CONCATENATE(H238,F238,EH$2),Matemáticas!$A:$H,7,FALSE)=AV238,1,0)</f>
        <v>#N/A</v>
      </c>
      <c r="EI238" s="138" t="e">
        <f>IF(VLOOKUP(CONCATENATE(H238,F238,EI$2),Matemáticas!$A:$H,7,FALSE)=AW238,1,0)</f>
        <v>#N/A</v>
      </c>
      <c r="EJ238" s="138" t="e">
        <f>IF(VLOOKUP(CONCATENATE(H238,F238,EJ$2),Matemáticas!$A:$H,7,FALSE)=AX238,1,0)</f>
        <v>#N/A</v>
      </c>
      <c r="EK238" s="138" t="e">
        <f>IF(VLOOKUP(CONCATENATE(H238,F238,EK$2),Matemáticas!$A:$H,7,FALSE)=AY238,1,0)</f>
        <v>#N/A</v>
      </c>
      <c r="EL238" s="138" t="e">
        <f>IF(VLOOKUP(CONCATENATE(H238,F238,EL$2),Matemáticas!$A:$H,7,FALSE)=AZ238,1,0)</f>
        <v>#N/A</v>
      </c>
      <c r="EM238" s="138" t="e">
        <f>IF(VLOOKUP(CONCATENATE(H238,F238,EM$2),Matemáticas!$A:$H,7,FALSE)=BA238,1,0)</f>
        <v>#N/A</v>
      </c>
      <c r="EN238" s="138" t="e">
        <f>IF(VLOOKUP(CONCATENATE(H238,F238,EN$2),Matemáticas!$A:$H,7,FALSE)=BB238,1,0)</f>
        <v>#N/A</v>
      </c>
      <c r="EO238" s="138" t="e">
        <f>IF(VLOOKUP(CONCATENATE(H238,F238,EO$2),Matemáticas!$A:$H,7,FALSE)=BC238,1,0)</f>
        <v>#N/A</v>
      </c>
      <c r="EP238" s="138" t="e">
        <f>IF(VLOOKUP(CONCATENATE(H238,F238,EP$2),Matemáticas!$A:$H,7,FALSE)=BD238,1,0)</f>
        <v>#N/A</v>
      </c>
      <c r="EQ238" s="138" t="e">
        <f>IF(VLOOKUP(CONCATENATE(H238,F238,EQ$2),Matemáticas!$A:$H,7,FALSE)=BE238,1,0)</f>
        <v>#N/A</v>
      </c>
      <c r="ER238" s="138" t="e">
        <f>IF(VLOOKUP(CONCATENATE(H238,F238,ER$2),Matemáticas!$A:$H,7,FALSE)=BF238,1,0)</f>
        <v>#N/A</v>
      </c>
      <c r="ES238" s="138" t="e">
        <f>IF(VLOOKUP(CONCATENATE(H238,F238,ES$2),Matemáticas!$A:$H,7,FALSE)=BG238,1,0)</f>
        <v>#N/A</v>
      </c>
      <c r="ET238" s="138" t="e">
        <f>IF(VLOOKUP(CONCATENATE(H238,F238,ET$2),Matemáticas!$A:$H,7,FALSE)=BH238,1,0)</f>
        <v>#N/A</v>
      </c>
      <c r="EU238" s="138" t="e">
        <f>IF(VLOOKUP(CONCATENATE(H238,F238,EU$2),Matemáticas!$A:$H,7,FALSE)=BI238,1,0)</f>
        <v>#N/A</v>
      </c>
      <c r="EV238" s="138" t="e">
        <f>IF(VLOOKUP(CONCATENATE(H238,F238,EV$2),Ciencias!$A:$H,7,FALSE)=BJ238,1,0)</f>
        <v>#N/A</v>
      </c>
      <c r="EW238" s="138" t="e">
        <f>IF(VLOOKUP(CONCATENATE(H238,F238,EW$2),Ciencias!$A:$H,7,FALSE)=BK238,1,0)</f>
        <v>#N/A</v>
      </c>
      <c r="EX238" s="138" t="e">
        <f>IF(VLOOKUP(CONCATENATE(H238,F238,EX$2),Ciencias!$A:$H,7,FALSE)=BL238,1,0)</f>
        <v>#N/A</v>
      </c>
      <c r="EY238" s="138" t="e">
        <f>IF(VLOOKUP(CONCATENATE(H238,F238,EY$2),Ciencias!$A:$H,7,FALSE)=BM238,1,0)</f>
        <v>#N/A</v>
      </c>
      <c r="EZ238" s="138" t="e">
        <f>IF(VLOOKUP(CONCATENATE(H238,F238,EZ$2),Ciencias!$A:$H,7,FALSE)=BN238,1,0)</f>
        <v>#N/A</v>
      </c>
      <c r="FA238" s="138" t="e">
        <f>IF(VLOOKUP(CONCATENATE(H238,F238,FA$2),Ciencias!$A:$H,7,FALSE)=BO238,1,0)</f>
        <v>#N/A</v>
      </c>
      <c r="FB238" s="138" t="e">
        <f>IF(VLOOKUP(CONCATENATE(H238,F238,FB$2),Ciencias!$A:$H,7,FALSE)=BP238,1,0)</f>
        <v>#N/A</v>
      </c>
      <c r="FC238" s="138" t="e">
        <f>IF(VLOOKUP(CONCATENATE(H238,F238,FC$2),Ciencias!$A:$H,7,FALSE)=BQ238,1,0)</f>
        <v>#N/A</v>
      </c>
      <c r="FD238" s="138" t="e">
        <f>IF(VLOOKUP(CONCATENATE(H238,F238,FD$2),Ciencias!$A:$H,7,FALSE)=BR238,1,0)</f>
        <v>#N/A</v>
      </c>
      <c r="FE238" s="138" t="e">
        <f>IF(VLOOKUP(CONCATENATE(H238,F238,FE$2),Ciencias!$A:$H,7,FALSE)=BS238,1,0)</f>
        <v>#N/A</v>
      </c>
      <c r="FF238" s="138" t="e">
        <f>IF(VLOOKUP(CONCATENATE(H238,F238,FF$2),Ciencias!$A:$H,7,FALSE)=BT238,1,0)</f>
        <v>#N/A</v>
      </c>
      <c r="FG238" s="138" t="e">
        <f>IF(VLOOKUP(CONCATENATE(H238,F238,FG$2),Ciencias!$A:$H,7,FALSE)=BU238,1,0)</f>
        <v>#N/A</v>
      </c>
      <c r="FH238" s="138" t="e">
        <f>IF(VLOOKUP(CONCATENATE(H238,F238,FH$2),Ciencias!$A:$H,7,FALSE)=BV238,1,0)</f>
        <v>#N/A</v>
      </c>
      <c r="FI238" s="138" t="e">
        <f>IF(VLOOKUP(CONCATENATE(H238,F238,FI$2),Ciencias!$A:$H,7,FALSE)=BW238,1,0)</f>
        <v>#N/A</v>
      </c>
      <c r="FJ238" s="138" t="e">
        <f>IF(VLOOKUP(CONCATENATE(H238,F238,FJ$2),Ciencias!$A:$H,7,FALSE)=BX238,1,0)</f>
        <v>#N/A</v>
      </c>
      <c r="FK238" s="138" t="e">
        <f>IF(VLOOKUP(CONCATENATE(H238,F238,FK$2),Ciencias!$A:$H,7,FALSE)=BY238,1,0)</f>
        <v>#N/A</v>
      </c>
      <c r="FL238" s="138" t="e">
        <f>IF(VLOOKUP(CONCATENATE(H238,F238,FL$2),Ciencias!$A:$H,7,FALSE)=BZ238,1,0)</f>
        <v>#N/A</v>
      </c>
      <c r="FM238" s="138" t="e">
        <f>IF(VLOOKUP(CONCATENATE(H238,F238,FM$2),Ciencias!$A:$H,7,FALSE)=CA238,1,0)</f>
        <v>#N/A</v>
      </c>
      <c r="FN238" s="138" t="e">
        <f>IF(VLOOKUP(CONCATENATE(H238,F238,FN$2),Ciencias!$A:$H,7,FALSE)=CB238,1,0)</f>
        <v>#N/A</v>
      </c>
      <c r="FO238" s="138" t="e">
        <f>IF(VLOOKUP(CONCATENATE(H238,F238,FO$2),Ciencias!$A:$H,7,FALSE)=CC238,1,0)</f>
        <v>#N/A</v>
      </c>
      <c r="FP238" s="138" t="e">
        <f>IF(VLOOKUP(CONCATENATE(H238,F238,FP$2),GeoHis!$A:$H,7,FALSE)=CD238,1,0)</f>
        <v>#N/A</v>
      </c>
      <c r="FQ238" s="138" t="e">
        <f>IF(VLOOKUP(CONCATENATE(H238,F238,FQ$2),GeoHis!$A:$H,7,FALSE)=CE238,1,0)</f>
        <v>#N/A</v>
      </c>
      <c r="FR238" s="138" t="e">
        <f>IF(VLOOKUP(CONCATENATE(H238,F238,FR$2),GeoHis!$A:$H,7,FALSE)=CF238,1,0)</f>
        <v>#N/A</v>
      </c>
      <c r="FS238" s="138" t="e">
        <f>IF(VLOOKUP(CONCATENATE(H238,F238,FS$2),GeoHis!$A:$H,7,FALSE)=CG238,1,0)</f>
        <v>#N/A</v>
      </c>
      <c r="FT238" s="138" t="e">
        <f>IF(VLOOKUP(CONCATENATE(H238,F238,FT$2),GeoHis!$A:$H,7,FALSE)=CH238,1,0)</f>
        <v>#N/A</v>
      </c>
      <c r="FU238" s="138" t="e">
        <f>IF(VLOOKUP(CONCATENATE(H238,F238,FU$2),GeoHis!$A:$H,7,FALSE)=CI238,1,0)</f>
        <v>#N/A</v>
      </c>
      <c r="FV238" s="138" t="e">
        <f>IF(VLOOKUP(CONCATENATE(H238,F238,FV$2),GeoHis!$A:$H,7,FALSE)=CJ238,1,0)</f>
        <v>#N/A</v>
      </c>
      <c r="FW238" s="138" t="e">
        <f>IF(VLOOKUP(CONCATENATE(H238,F238,FW$2),GeoHis!$A:$H,7,FALSE)=CK238,1,0)</f>
        <v>#N/A</v>
      </c>
      <c r="FX238" s="138" t="e">
        <f>IF(VLOOKUP(CONCATENATE(H238,F238,FX$2),GeoHis!$A:$H,7,FALSE)=CL238,1,0)</f>
        <v>#N/A</v>
      </c>
      <c r="FY238" s="138" t="e">
        <f>IF(VLOOKUP(CONCATENATE(H238,F238,FY$2),GeoHis!$A:$H,7,FALSE)=CM238,1,0)</f>
        <v>#N/A</v>
      </c>
      <c r="FZ238" s="138" t="e">
        <f>IF(VLOOKUP(CONCATENATE(H238,F238,FZ$2),GeoHis!$A:$H,7,FALSE)=CN238,1,0)</f>
        <v>#N/A</v>
      </c>
      <c r="GA238" s="138" t="e">
        <f>IF(VLOOKUP(CONCATENATE(H238,F238,GA$2),GeoHis!$A:$H,7,FALSE)=CO238,1,0)</f>
        <v>#N/A</v>
      </c>
      <c r="GB238" s="138" t="e">
        <f>IF(VLOOKUP(CONCATENATE(H238,F238,GB$2),GeoHis!$A:$H,7,FALSE)=CP238,1,0)</f>
        <v>#N/A</v>
      </c>
      <c r="GC238" s="138" t="e">
        <f>IF(VLOOKUP(CONCATENATE(H238,F238,GC$2),GeoHis!$A:$H,7,FALSE)=CQ238,1,0)</f>
        <v>#N/A</v>
      </c>
      <c r="GD238" s="138" t="e">
        <f>IF(VLOOKUP(CONCATENATE(H238,F238,GD$2),GeoHis!$A:$H,7,FALSE)=CR238,1,0)</f>
        <v>#N/A</v>
      </c>
      <c r="GE238" s="135" t="str">
        <f t="shared" si="31"/>
        <v/>
      </c>
    </row>
    <row r="239" spans="1:187" x14ac:dyDescent="0.25">
      <c r="A239" s="127" t="str">
        <f>IF(C239="","",'Datos Generales'!$A$25)</f>
        <v/>
      </c>
      <c r="D239" s="126" t="str">
        <f t="shared" si="24"/>
        <v/>
      </c>
      <c r="E239" s="126">
        <f t="shared" si="25"/>
        <v>0</v>
      </c>
      <c r="F239" s="126" t="str">
        <f t="shared" si="26"/>
        <v/>
      </c>
      <c r="G239" s="126" t="str">
        <f>IF(C239="","",'Datos Generales'!$D$19)</f>
        <v/>
      </c>
      <c r="H239" s="21" t="str">
        <f>IF(C239="","",'Datos Generales'!$A$19)</f>
        <v/>
      </c>
      <c r="I239" s="126" t="str">
        <f>IF(C239="","",'Datos Generales'!$A$7)</f>
        <v/>
      </c>
      <c r="J239" s="21" t="str">
        <f>IF(C239="","",'Datos Generales'!$A$13)</f>
        <v/>
      </c>
      <c r="K239" s="21" t="str">
        <f>IF(C239="","",'Datos Generales'!$A$10)</f>
        <v/>
      </c>
      <c r="CS239" s="142" t="str">
        <f t="shared" si="27"/>
        <v/>
      </c>
      <c r="CT239" s="142" t="str">
        <f t="shared" si="28"/>
        <v/>
      </c>
      <c r="CU239" s="142" t="str">
        <f t="shared" si="29"/>
        <v/>
      </c>
      <c r="CV239" s="142" t="str">
        <f t="shared" si="30"/>
        <v/>
      </c>
      <c r="CW239" s="142" t="str">
        <f>IF(C239="","",IF('Datos Generales'!$A$19=1,AVERAGE(FP239:GD239),AVERAGE(Captura!FP239:FY239)))</f>
        <v/>
      </c>
      <c r="CX239" s="138" t="e">
        <f>IF(VLOOKUP(CONCATENATE($H$4,$F$4,CX$2),Español!$A:$H,7,FALSE)=L239,1,0)</f>
        <v>#N/A</v>
      </c>
      <c r="CY239" s="138" t="e">
        <f>IF(VLOOKUP(CONCATENATE(H239,F239,CY$2),Español!$A:$H,7,FALSE)=M239,1,0)</f>
        <v>#N/A</v>
      </c>
      <c r="CZ239" s="138" t="e">
        <f>IF(VLOOKUP(CONCATENATE(H239,F239,CZ$2),Español!$A:$H,7,FALSE)=N239,1,0)</f>
        <v>#N/A</v>
      </c>
      <c r="DA239" s="138" t="e">
        <f>IF(VLOOKUP(CONCATENATE(H239,F239,DA$2),Español!$A:$H,7,FALSE)=O239,1,0)</f>
        <v>#N/A</v>
      </c>
      <c r="DB239" s="138" t="e">
        <f>IF(VLOOKUP(CONCATENATE(H239,F239,DB$2),Español!$A:$H,7,FALSE)=P239,1,0)</f>
        <v>#N/A</v>
      </c>
      <c r="DC239" s="138" t="e">
        <f>IF(VLOOKUP(CONCATENATE(H239,F239,DC$2),Español!$A:$H,7,FALSE)=Q239,1,0)</f>
        <v>#N/A</v>
      </c>
      <c r="DD239" s="138" t="e">
        <f>IF(VLOOKUP(CONCATENATE(H239,F239,DD$2),Español!$A:$H,7,FALSE)=R239,1,0)</f>
        <v>#N/A</v>
      </c>
      <c r="DE239" s="138" t="e">
        <f>IF(VLOOKUP(CONCATENATE(H239,F239,DE$2),Español!$A:$H,7,FALSE)=S239,1,0)</f>
        <v>#N/A</v>
      </c>
      <c r="DF239" s="138" t="e">
        <f>IF(VLOOKUP(CONCATENATE(H239,F239,DF$2),Español!$A:$H,7,FALSE)=T239,1,0)</f>
        <v>#N/A</v>
      </c>
      <c r="DG239" s="138" t="e">
        <f>IF(VLOOKUP(CONCATENATE(H239,F239,DG$2),Español!$A:$H,7,FALSE)=U239,1,0)</f>
        <v>#N/A</v>
      </c>
      <c r="DH239" s="138" t="e">
        <f>IF(VLOOKUP(CONCATENATE(H239,F239,DH$2),Español!$A:$H,7,FALSE)=V239,1,0)</f>
        <v>#N/A</v>
      </c>
      <c r="DI239" s="138" t="e">
        <f>IF(VLOOKUP(CONCATENATE(H239,F239,DI$2),Español!$A:$H,7,FALSE)=W239,1,0)</f>
        <v>#N/A</v>
      </c>
      <c r="DJ239" s="138" t="e">
        <f>IF(VLOOKUP(CONCATENATE(H239,F239,DJ$2),Español!$A:$H,7,FALSE)=X239,1,0)</f>
        <v>#N/A</v>
      </c>
      <c r="DK239" s="138" t="e">
        <f>IF(VLOOKUP(CONCATENATE(H239,F239,DK$2),Español!$A:$H,7,FALSE)=Y239,1,0)</f>
        <v>#N/A</v>
      </c>
      <c r="DL239" s="138" t="e">
        <f>IF(VLOOKUP(CONCATENATE(H239,F239,DL$2),Español!$A:$H,7,FALSE)=Z239,1,0)</f>
        <v>#N/A</v>
      </c>
      <c r="DM239" s="138" t="e">
        <f>IF(VLOOKUP(CONCATENATE(H239,F239,DM$2),Español!$A:$H,7,FALSE)=AA239,1,0)</f>
        <v>#N/A</v>
      </c>
      <c r="DN239" s="138" t="e">
        <f>IF(VLOOKUP(CONCATENATE(H239,F239,DN$2),Español!$A:$H,7,FALSE)=AB239,1,0)</f>
        <v>#N/A</v>
      </c>
      <c r="DO239" s="138" t="e">
        <f>IF(VLOOKUP(CONCATENATE(H239,F239,DO$2),Español!$A:$H,7,FALSE)=AC239,1,0)</f>
        <v>#N/A</v>
      </c>
      <c r="DP239" s="138" t="e">
        <f>IF(VLOOKUP(CONCATENATE(H239,F239,DP$2),Español!$A:$H,7,FALSE)=AD239,1,0)</f>
        <v>#N/A</v>
      </c>
      <c r="DQ239" s="138" t="e">
        <f>IF(VLOOKUP(CONCATENATE(H239,F239,DQ$2),Español!$A:$H,7,FALSE)=AE239,1,0)</f>
        <v>#N/A</v>
      </c>
      <c r="DR239" s="138" t="e">
        <f>IF(VLOOKUP(CONCATENATE(H239,F239,DR$2),Inglés!$A:$H,7,FALSE)=AF239,1,0)</f>
        <v>#N/A</v>
      </c>
      <c r="DS239" s="138" t="e">
        <f>IF(VLOOKUP(CONCATENATE(H239,F239,DS$2),Inglés!$A:$H,7,FALSE)=AG239,1,0)</f>
        <v>#N/A</v>
      </c>
      <c r="DT239" s="138" t="e">
        <f>IF(VLOOKUP(CONCATENATE(H239,F239,DT$2),Inglés!$A:$H,7,FALSE)=AH239,1,0)</f>
        <v>#N/A</v>
      </c>
      <c r="DU239" s="138" t="e">
        <f>IF(VLOOKUP(CONCATENATE(H239,F239,DU$2),Inglés!$A:$H,7,FALSE)=AI239,1,0)</f>
        <v>#N/A</v>
      </c>
      <c r="DV239" s="138" t="e">
        <f>IF(VLOOKUP(CONCATENATE(H239,F239,DV$2),Inglés!$A:$H,7,FALSE)=AJ239,1,0)</f>
        <v>#N/A</v>
      </c>
      <c r="DW239" s="138" t="e">
        <f>IF(VLOOKUP(CONCATENATE(H239,F239,DW$2),Inglés!$A:$H,7,FALSE)=AK239,1,0)</f>
        <v>#N/A</v>
      </c>
      <c r="DX239" s="138" t="e">
        <f>IF(VLOOKUP(CONCATENATE(H239,F239,DX$2),Inglés!$A:$H,7,FALSE)=AL239,1,0)</f>
        <v>#N/A</v>
      </c>
      <c r="DY239" s="138" t="e">
        <f>IF(VLOOKUP(CONCATENATE(H239,F239,DY$2),Inglés!$A:$H,7,FALSE)=AM239,1,0)</f>
        <v>#N/A</v>
      </c>
      <c r="DZ239" s="138" t="e">
        <f>IF(VLOOKUP(CONCATENATE(H239,F239,DZ$2),Inglés!$A:$H,7,FALSE)=AN239,1,0)</f>
        <v>#N/A</v>
      </c>
      <c r="EA239" s="138" t="e">
        <f>IF(VLOOKUP(CONCATENATE(H239,F239,EA$2),Inglés!$A:$H,7,FALSE)=AO239,1,0)</f>
        <v>#N/A</v>
      </c>
      <c r="EB239" s="138" t="e">
        <f>IF(VLOOKUP(CONCATENATE(H239,F239,EB$2),Matemáticas!$A:$H,7,FALSE)=AP239,1,0)</f>
        <v>#N/A</v>
      </c>
      <c r="EC239" s="138" t="e">
        <f>IF(VLOOKUP(CONCATENATE(H239,F239,EC$2),Matemáticas!$A:$H,7,FALSE)=AQ239,1,0)</f>
        <v>#N/A</v>
      </c>
      <c r="ED239" s="138" t="e">
        <f>IF(VLOOKUP(CONCATENATE(H239,F239,ED$2),Matemáticas!$A:$H,7,FALSE)=AR239,1,0)</f>
        <v>#N/A</v>
      </c>
      <c r="EE239" s="138" t="e">
        <f>IF(VLOOKUP(CONCATENATE(H239,F239,EE$2),Matemáticas!$A:$H,7,FALSE)=AS239,1,0)</f>
        <v>#N/A</v>
      </c>
      <c r="EF239" s="138" t="e">
        <f>IF(VLOOKUP(CONCATENATE(H239,F239,EF$2),Matemáticas!$A:$H,7,FALSE)=AT239,1,0)</f>
        <v>#N/A</v>
      </c>
      <c r="EG239" s="138" t="e">
        <f>IF(VLOOKUP(CONCATENATE(H239,F239,EG$2),Matemáticas!$A:$H,7,FALSE)=AU239,1,0)</f>
        <v>#N/A</v>
      </c>
      <c r="EH239" s="138" t="e">
        <f>IF(VLOOKUP(CONCATENATE(H239,F239,EH$2),Matemáticas!$A:$H,7,FALSE)=AV239,1,0)</f>
        <v>#N/A</v>
      </c>
      <c r="EI239" s="138" t="e">
        <f>IF(VLOOKUP(CONCATENATE(H239,F239,EI$2),Matemáticas!$A:$H,7,FALSE)=AW239,1,0)</f>
        <v>#N/A</v>
      </c>
      <c r="EJ239" s="138" t="e">
        <f>IF(VLOOKUP(CONCATENATE(H239,F239,EJ$2),Matemáticas!$A:$H,7,FALSE)=AX239,1,0)</f>
        <v>#N/A</v>
      </c>
      <c r="EK239" s="138" t="e">
        <f>IF(VLOOKUP(CONCATENATE(H239,F239,EK$2),Matemáticas!$A:$H,7,FALSE)=AY239,1,0)</f>
        <v>#N/A</v>
      </c>
      <c r="EL239" s="138" t="e">
        <f>IF(VLOOKUP(CONCATENATE(H239,F239,EL$2),Matemáticas!$A:$H,7,FALSE)=AZ239,1,0)</f>
        <v>#N/A</v>
      </c>
      <c r="EM239" s="138" t="e">
        <f>IF(VLOOKUP(CONCATENATE(H239,F239,EM$2),Matemáticas!$A:$H,7,FALSE)=BA239,1,0)</f>
        <v>#N/A</v>
      </c>
      <c r="EN239" s="138" t="e">
        <f>IF(VLOOKUP(CONCATENATE(H239,F239,EN$2),Matemáticas!$A:$H,7,FALSE)=BB239,1,0)</f>
        <v>#N/A</v>
      </c>
      <c r="EO239" s="138" t="e">
        <f>IF(VLOOKUP(CONCATENATE(H239,F239,EO$2),Matemáticas!$A:$H,7,FALSE)=BC239,1,0)</f>
        <v>#N/A</v>
      </c>
      <c r="EP239" s="138" t="e">
        <f>IF(VLOOKUP(CONCATENATE(H239,F239,EP$2),Matemáticas!$A:$H,7,FALSE)=BD239,1,0)</f>
        <v>#N/A</v>
      </c>
      <c r="EQ239" s="138" t="e">
        <f>IF(VLOOKUP(CONCATENATE(H239,F239,EQ$2),Matemáticas!$A:$H,7,FALSE)=BE239,1,0)</f>
        <v>#N/A</v>
      </c>
      <c r="ER239" s="138" t="e">
        <f>IF(VLOOKUP(CONCATENATE(H239,F239,ER$2),Matemáticas!$A:$H,7,FALSE)=BF239,1,0)</f>
        <v>#N/A</v>
      </c>
      <c r="ES239" s="138" t="e">
        <f>IF(VLOOKUP(CONCATENATE(H239,F239,ES$2),Matemáticas!$A:$H,7,FALSE)=BG239,1,0)</f>
        <v>#N/A</v>
      </c>
      <c r="ET239" s="138" t="e">
        <f>IF(VLOOKUP(CONCATENATE(H239,F239,ET$2),Matemáticas!$A:$H,7,FALSE)=BH239,1,0)</f>
        <v>#N/A</v>
      </c>
      <c r="EU239" s="138" t="e">
        <f>IF(VLOOKUP(CONCATENATE(H239,F239,EU$2),Matemáticas!$A:$H,7,FALSE)=BI239,1,0)</f>
        <v>#N/A</v>
      </c>
      <c r="EV239" s="138" t="e">
        <f>IF(VLOOKUP(CONCATENATE(H239,F239,EV$2),Ciencias!$A:$H,7,FALSE)=BJ239,1,0)</f>
        <v>#N/A</v>
      </c>
      <c r="EW239" s="138" t="e">
        <f>IF(VLOOKUP(CONCATENATE(H239,F239,EW$2),Ciencias!$A:$H,7,FALSE)=BK239,1,0)</f>
        <v>#N/A</v>
      </c>
      <c r="EX239" s="138" t="e">
        <f>IF(VLOOKUP(CONCATENATE(H239,F239,EX$2),Ciencias!$A:$H,7,FALSE)=BL239,1,0)</f>
        <v>#N/A</v>
      </c>
      <c r="EY239" s="138" t="e">
        <f>IF(VLOOKUP(CONCATENATE(H239,F239,EY$2),Ciencias!$A:$H,7,FALSE)=BM239,1,0)</f>
        <v>#N/A</v>
      </c>
      <c r="EZ239" s="138" t="e">
        <f>IF(VLOOKUP(CONCATENATE(H239,F239,EZ$2),Ciencias!$A:$H,7,FALSE)=BN239,1,0)</f>
        <v>#N/A</v>
      </c>
      <c r="FA239" s="138" t="e">
        <f>IF(VLOOKUP(CONCATENATE(H239,F239,FA$2),Ciencias!$A:$H,7,FALSE)=BO239,1,0)</f>
        <v>#N/A</v>
      </c>
      <c r="FB239" s="138" t="e">
        <f>IF(VLOOKUP(CONCATENATE(H239,F239,FB$2),Ciencias!$A:$H,7,FALSE)=BP239,1,0)</f>
        <v>#N/A</v>
      </c>
      <c r="FC239" s="138" t="e">
        <f>IF(VLOOKUP(CONCATENATE(H239,F239,FC$2),Ciencias!$A:$H,7,FALSE)=BQ239,1,0)</f>
        <v>#N/A</v>
      </c>
      <c r="FD239" s="138" t="e">
        <f>IF(VLOOKUP(CONCATENATE(H239,F239,FD$2),Ciencias!$A:$H,7,FALSE)=BR239,1,0)</f>
        <v>#N/A</v>
      </c>
      <c r="FE239" s="138" t="e">
        <f>IF(VLOOKUP(CONCATENATE(H239,F239,FE$2),Ciencias!$A:$H,7,FALSE)=BS239,1,0)</f>
        <v>#N/A</v>
      </c>
      <c r="FF239" s="138" t="e">
        <f>IF(VLOOKUP(CONCATENATE(H239,F239,FF$2),Ciencias!$A:$H,7,FALSE)=BT239,1,0)</f>
        <v>#N/A</v>
      </c>
      <c r="FG239" s="138" t="e">
        <f>IF(VLOOKUP(CONCATENATE(H239,F239,FG$2),Ciencias!$A:$H,7,FALSE)=BU239,1,0)</f>
        <v>#N/A</v>
      </c>
      <c r="FH239" s="138" t="e">
        <f>IF(VLOOKUP(CONCATENATE(H239,F239,FH$2),Ciencias!$A:$H,7,FALSE)=BV239,1,0)</f>
        <v>#N/A</v>
      </c>
      <c r="FI239" s="138" t="e">
        <f>IF(VLOOKUP(CONCATENATE(H239,F239,FI$2),Ciencias!$A:$H,7,FALSE)=BW239,1,0)</f>
        <v>#N/A</v>
      </c>
      <c r="FJ239" s="138" t="e">
        <f>IF(VLOOKUP(CONCATENATE(H239,F239,FJ$2),Ciencias!$A:$H,7,FALSE)=BX239,1,0)</f>
        <v>#N/A</v>
      </c>
      <c r="FK239" s="138" t="e">
        <f>IF(VLOOKUP(CONCATENATE(H239,F239,FK$2),Ciencias!$A:$H,7,FALSE)=BY239,1,0)</f>
        <v>#N/A</v>
      </c>
      <c r="FL239" s="138" t="e">
        <f>IF(VLOOKUP(CONCATENATE(H239,F239,FL$2),Ciencias!$A:$H,7,FALSE)=BZ239,1,0)</f>
        <v>#N/A</v>
      </c>
      <c r="FM239" s="138" t="e">
        <f>IF(VLOOKUP(CONCATENATE(H239,F239,FM$2),Ciencias!$A:$H,7,FALSE)=CA239,1,0)</f>
        <v>#N/A</v>
      </c>
      <c r="FN239" s="138" t="e">
        <f>IF(VLOOKUP(CONCATENATE(H239,F239,FN$2),Ciencias!$A:$H,7,FALSE)=CB239,1,0)</f>
        <v>#N/A</v>
      </c>
      <c r="FO239" s="138" t="e">
        <f>IF(VLOOKUP(CONCATENATE(H239,F239,FO$2),Ciencias!$A:$H,7,FALSE)=CC239,1,0)</f>
        <v>#N/A</v>
      </c>
      <c r="FP239" s="138" t="e">
        <f>IF(VLOOKUP(CONCATENATE(H239,F239,FP$2),GeoHis!$A:$H,7,FALSE)=CD239,1,0)</f>
        <v>#N/A</v>
      </c>
      <c r="FQ239" s="138" t="e">
        <f>IF(VLOOKUP(CONCATENATE(H239,F239,FQ$2),GeoHis!$A:$H,7,FALSE)=CE239,1,0)</f>
        <v>#N/A</v>
      </c>
      <c r="FR239" s="138" t="e">
        <f>IF(VLOOKUP(CONCATENATE(H239,F239,FR$2),GeoHis!$A:$H,7,FALSE)=CF239,1,0)</f>
        <v>#N/A</v>
      </c>
      <c r="FS239" s="138" t="e">
        <f>IF(VLOOKUP(CONCATENATE(H239,F239,FS$2),GeoHis!$A:$H,7,FALSE)=CG239,1,0)</f>
        <v>#N/A</v>
      </c>
      <c r="FT239" s="138" t="e">
        <f>IF(VLOOKUP(CONCATENATE(H239,F239,FT$2),GeoHis!$A:$H,7,FALSE)=CH239,1,0)</f>
        <v>#N/A</v>
      </c>
      <c r="FU239" s="138" t="e">
        <f>IF(VLOOKUP(CONCATENATE(H239,F239,FU$2),GeoHis!$A:$H,7,FALSE)=CI239,1,0)</f>
        <v>#N/A</v>
      </c>
      <c r="FV239" s="138" t="e">
        <f>IF(VLOOKUP(CONCATENATE(H239,F239,FV$2),GeoHis!$A:$H,7,FALSE)=CJ239,1,0)</f>
        <v>#N/A</v>
      </c>
      <c r="FW239" s="138" t="e">
        <f>IF(VLOOKUP(CONCATENATE(H239,F239,FW$2),GeoHis!$A:$H,7,FALSE)=CK239,1,0)</f>
        <v>#N/A</v>
      </c>
      <c r="FX239" s="138" t="e">
        <f>IF(VLOOKUP(CONCATENATE(H239,F239,FX$2),GeoHis!$A:$H,7,FALSE)=CL239,1,0)</f>
        <v>#N/A</v>
      </c>
      <c r="FY239" s="138" t="e">
        <f>IF(VLOOKUP(CONCATENATE(H239,F239,FY$2),GeoHis!$A:$H,7,FALSE)=CM239,1,0)</f>
        <v>#N/A</v>
      </c>
      <c r="FZ239" s="138" t="e">
        <f>IF(VLOOKUP(CONCATENATE(H239,F239,FZ$2),GeoHis!$A:$H,7,FALSE)=CN239,1,0)</f>
        <v>#N/A</v>
      </c>
      <c r="GA239" s="138" t="e">
        <f>IF(VLOOKUP(CONCATENATE(H239,F239,GA$2),GeoHis!$A:$H,7,FALSE)=CO239,1,0)</f>
        <v>#N/A</v>
      </c>
      <c r="GB239" s="138" t="e">
        <f>IF(VLOOKUP(CONCATENATE(H239,F239,GB$2),GeoHis!$A:$H,7,FALSE)=CP239,1,0)</f>
        <v>#N/A</v>
      </c>
      <c r="GC239" s="138" t="e">
        <f>IF(VLOOKUP(CONCATENATE(H239,F239,GC$2),GeoHis!$A:$H,7,FALSE)=CQ239,1,0)</f>
        <v>#N/A</v>
      </c>
      <c r="GD239" s="138" t="e">
        <f>IF(VLOOKUP(CONCATENATE(H239,F239,GD$2),GeoHis!$A:$H,7,FALSE)=CR239,1,0)</f>
        <v>#N/A</v>
      </c>
      <c r="GE239" s="135" t="str">
        <f t="shared" si="31"/>
        <v/>
      </c>
    </row>
    <row r="240" spans="1:187" x14ac:dyDescent="0.25">
      <c r="A240" s="127" t="str">
        <f>IF(C240="","",'Datos Generales'!$A$25)</f>
        <v/>
      </c>
      <c r="D240" s="126" t="str">
        <f t="shared" si="24"/>
        <v/>
      </c>
      <c r="E240" s="126">
        <f t="shared" si="25"/>
        <v>0</v>
      </c>
      <c r="F240" s="126" t="str">
        <f t="shared" si="26"/>
        <v/>
      </c>
      <c r="G240" s="126" t="str">
        <f>IF(C240="","",'Datos Generales'!$D$19)</f>
        <v/>
      </c>
      <c r="H240" s="21" t="str">
        <f>IF(C240="","",'Datos Generales'!$A$19)</f>
        <v/>
      </c>
      <c r="I240" s="126" t="str">
        <f>IF(C240="","",'Datos Generales'!$A$7)</f>
        <v/>
      </c>
      <c r="J240" s="21" t="str">
        <f>IF(C240="","",'Datos Generales'!$A$13)</f>
        <v/>
      </c>
      <c r="K240" s="21" t="str">
        <f>IF(C240="","",'Datos Generales'!$A$10)</f>
        <v/>
      </c>
      <c r="CS240" s="142" t="str">
        <f t="shared" si="27"/>
        <v/>
      </c>
      <c r="CT240" s="142" t="str">
        <f t="shared" si="28"/>
        <v/>
      </c>
      <c r="CU240" s="142" t="str">
        <f t="shared" si="29"/>
        <v/>
      </c>
      <c r="CV240" s="142" t="str">
        <f t="shared" si="30"/>
        <v/>
      </c>
      <c r="CW240" s="142" t="str">
        <f>IF(C240="","",IF('Datos Generales'!$A$19=1,AVERAGE(FP240:GD240),AVERAGE(Captura!FP240:FY240)))</f>
        <v/>
      </c>
      <c r="CX240" s="138" t="e">
        <f>IF(VLOOKUP(CONCATENATE($H$4,$F$4,CX$2),Español!$A:$H,7,FALSE)=L240,1,0)</f>
        <v>#N/A</v>
      </c>
      <c r="CY240" s="138" t="e">
        <f>IF(VLOOKUP(CONCATENATE(H240,F240,CY$2),Español!$A:$H,7,FALSE)=M240,1,0)</f>
        <v>#N/A</v>
      </c>
      <c r="CZ240" s="138" t="e">
        <f>IF(VLOOKUP(CONCATENATE(H240,F240,CZ$2),Español!$A:$H,7,FALSE)=N240,1,0)</f>
        <v>#N/A</v>
      </c>
      <c r="DA240" s="138" t="e">
        <f>IF(VLOOKUP(CONCATENATE(H240,F240,DA$2),Español!$A:$H,7,FALSE)=O240,1,0)</f>
        <v>#N/A</v>
      </c>
      <c r="DB240" s="138" t="e">
        <f>IF(VLOOKUP(CONCATENATE(H240,F240,DB$2),Español!$A:$H,7,FALSE)=P240,1,0)</f>
        <v>#N/A</v>
      </c>
      <c r="DC240" s="138" t="e">
        <f>IF(VLOOKUP(CONCATENATE(H240,F240,DC$2),Español!$A:$H,7,FALSE)=Q240,1,0)</f>
        <v>#N/A</v>
      </c>
      <c r="DD240" s="138" t="e">
        <f>IF(VLOOKUP(CONCATENATE(H240,F240,DD$2),Español!$A:$H,7,FALSE)=R240,1,0)</f>
        <v>#N/A</v>
      </c>
      <c r="DE240" s="138" t="e">
        <f>IF(VLOOKUP(CONCATENATE(H240,F240,DE$2),Español!$A:$H,7,FALSE)=S240,1,0)</f>
        <v>#N/A</v>
      </c>
      <c r="DF240" s="138" t="e">
        <f>IF(VLOOKUP(CONCATENATE(H240,F240,DF$2),Español!$A:$H,7,FALSE)=T240,1,0)</f>
        <v>#N/A</v>
      </c>
      <c r="DG240" s="138" t="e">
        <f>IF(VLOOKUP(CONCATENATE(H240,F240,DG$2),Español!$A:$H,7,FALSE)=U240,1,0)</f>
        <v>#N/A</v>
      </c>
      <c r="DH240" s="138" t="e">
        <f>IF(VLOOKUP(CONCATENATE(H240,F240,DH$2),Español!$A:$H,7,FALSE)=V240,1,0)</f>
        <v>#N/A</v>
      </c>
      <c r="DI240" s="138" t="e">
        <f>IF(VLOOKUP(CONCATENATE(H240,F240,DI$2),Español!$A:$H,7,FALSE)=W240,1,0)</f>
        <v>#N/A</v>
      </c>
      <c r="DJ240" s="138" t="e">
        <f>IF(VLOOKUP(CONCATENATE(H240,F240,DJ$2),Español!$A:$H,7,FALSE)=X240,1,0)</f>
        <v>#N/A</v>
      </c>
      <c r="DK240" s="138" t="e">
        <f>IF(VLOOKUP(CONCATENATE(H240,F240,DK$2),Español!$A:$H,7,FALSE)=Y240,1,0)</f>
        <v>#N/A</v>
      </c>
      <c r="DL240" s="138" t="e">
        <f>IF(VLOOKUP(CONCATENATE(H240,F240,DL$2),Español!$A:$H,7,FALSE)=Z240,1,0)</f>
        <v>#N/A</v>
      </c>
      <c r="DM240" s="138" t="e">
        <f>IF(VLOOKUP(CONCATENATE(H240,F240,DM$2),Español!$A:$H,7,FALSE)=AA240,1,0)</f>
        <v>#N/A</v>
      </c>
      <c r="DN240" s="138" t="e">
        <f>IF(VLOOKUP(CONCATENATE(H240,F240,DN$2),Español!$A:$H,7,FALSE)=AB240,1,0)</f>
        <v>#N/A</v>
      </c>
      <c r="DO240" s="138" t="e">
        <f>IF(VLOOKUP(CONCATENATE(H240,F240,DO$2),Español!$A:$H,7,FALSE)=AC240,1,0)</f>
        <v>#N/A</v>
      </c>
      <c r="DP240" s="138" t="e">
        <f>IF(VLOOKUP(CONCATENATE(H240,F240,DP$2),Español!$A:$H,7,FALSE)=AD240,1,0)</f>
        <v>#N/A</v>
      </c>
      <c r="DQ240" s="138" t="e">
        <f>IF(VLOOKUP(CONCATENATE(H240,F240,DQ$2),Español!$A:$H,7,FALSE)=AE240,1,0)</f>
        <v>#N/A</v>
      </c>
      <c r="DR240" s="138" t="e">
        <f>IF(VLOOKUP(CONCATENATE(H240,F240,DR$2),Inglés!$A:$H,7,FALSE)=AF240,1,0)</f>
        <v>#N/A</v>
      </c>
      <c r="DS240" s="138" t="e">
        <f>IF(VLOOKUP(CONCATENATE(H240,F240,DS$2),Inglés!$A:$H,7,FALSE)=AG240,1,0)</f>
        <v>#N/A</v>
      </c>
      <c r="DT240" s="138" t="e">
        <f>IF(VLOOKUP(CONCATENATE(H240,F240,DT$2),Inglés!$A:$H,7,FALSE)=AH240,1,0)</f>
        <v>#N/A</v>
      </c>
      <c r="DU240" s="138" t="e">
        <f>IF(VLOOKUP(CONCATENATE(H240,F240,DU$2),Inglés!$A:$H,7,FALSE)=AI240,1,0)</f>
        <v>#N/A</v>
      </c>
      <c r="DV240" s="138" t="e">
        <f>IF(VLOOKUP(CONCATENATE(H240,F240,DV$2),Inglés!$A:$H,7,FALSE)=AJ240,1,0)</f>
        <v>#N/A</v>
      </c>
      <c r="DW240" s="138" t="e">
        <f>IF(VLOOKUP(CONCATENATE(H240,F240,DW$2),Inglés!$A:$H,7,FALSE)=AK240,1,0)</f>
        <v>#N/A</v>
      </c>
      <c r="DX240" s="138" t="e">
        <f>IF(VLOOKUP(CONCATENATE(H240,F240,DX$2),Inglés!$A:$H,7,FALSE)=AL240,1,0)</f>
        <v>#N/A</v>
      </c>
      <c r="DY240" s="138" t="e">
        <f>IF(VLOOKUP(CONCATENATE(H240,F240,DY$2),Inglés!$A:$H,7,FALSE)=AM240,1,0)</f>
        <v>#N/A</v>
      </c>
      <c r="DZ240" s="138" t="e">
        <f>IF(VLOOKUP(CONCATENATE(H240,F240,DZ$2),Inglés!$A:$H,7,FALSE)=AN240,1,0)</f>
        <v>#N/A</v>
      </c>
      <c r="EA240" s="138" t="e">
        <f>IF(VLOOKUP(CONCATENATE(H240,F240,EA$2),Inglés!$A:$H,7,FALSE)=AO240,1,0)</f>
        <v>#N/A</v>
      </c>
      <c r="EB240" s="138" t="e">
        <f>IF(VLOOKUP(CONCATENATE(H240,F240,EB$2),Matemáticas!$A:$H,7,FALSE)=AP240,1,0)</f>
        <v>#N/A</v>
      </c>
      <c r="EC240" s="138" t="e">
        <f>IF(VLOOKUP(CONCATENATE(H240,F240,EC$2),Matemáticas!$A:$H,7,FALSE)=AQ240,1,0)</f>
        <v>#N/A</v>
      </c>
      <c r="ED240" s="138" t="e">
        <f>IF(VLOOKUP(CONCATENATE(H240,F240,ED$2),Matemáticas!$A:$H,7,FALSE)=AR240,1,0)</f>
        <v>#N/A</v>
      </c>
      <c r="EE240" s="138" t="e">
        <f>IF(VLOOKUP(CONCATENATE(H240,F240,EE$2),Matemáticas!$A:$H,7,FALSE)=AS240,1,0)</f>
        <v>#N/A</v>
      </c>
      <c r="EF240" s="138" t="e">
        <f>IF(VLOOKUP(CONCATENATE(H240,F240,EF$2),Matemáticas!$A:$H,7,FALSE)=AT240,1,0)</f>
        <v>#N/A</v>
      </c>
      <c r="EG240" s="138" t="e">
        <f>IF(VLOOKUP(CONCATENATE(H240,F240,EG$2),Matemáticas!$A:$H,7,FALSE)=AU240,1,0)</f>
        <v>#N/A</v>
      </c>
      <c r="EH240" s="138" t="e">
        <f>IF(VLOOKUP(CONCATENATE(H240,F240,EH$2),Matemáticas!$A:$H,7,FALSE)=AV240,1,0)</f>
        <v>#N/A</v>
      </c>
      <c r="EI240" s="138" t="e">
        <f>IF(VLOOKUP(CONCATENATE(H240,F240,EI$2),Matemáticas!$A:$H,7,FALSE)=AW240,1,0)</f>
        <v>#N/A</v>
      </c>
      <c r="EJ240" s="138" t="e">
        <f>IF(VLOOKUP(CONCATENATE(H240,F240,EJ$2),Matemáticas!$A:$H,7,FALSE)=AX240,1,0)</f>
        <v>#N/A</v>
      </c>
      <c r="EK240" s="138" t="e">
        <f>IF(VLOOKUP(CONCATENATE(H240,F240,EK$2),Matemáticas!$A:$H,7,FALSE)=AY240,1,0)</f>
        <v>#N/A</v>
      </c>
      <c r="EL240" s="138" t="e">
        <f>IF(VLOOKUP(CONCATENATE(H240,F240,EL$2),Matemáticas!$A:$H,7,FALSE)=AZ240,1,0)</f>
        <v>#N/A</v>
      </c>
      <c r="EM240" s="138" t="e">
        <f>IF(VLOOKUP(CONCATENATE(H240,F240,EM$2),Matemáticas!$A:$H,7,FALSE)=BA240,1,0)</f>
        <v>#N/A</v>
      </c>
      <c r="EN240" s="138" t="e">
        <f>IF(VLOOKUP(CONCATENATE(H240,F240,EN$2),Matemáticas!$A:$H,7,FALSE)=BB240,1,0)</f>
        <v>#N/A</v>
      </c>
      <c r="EO240" s="138" t="e">
        <f>IF(VLOOKUP(CONCATENATE(H240,F240,EO$2),Matemáticas!$A:$H,7,FALSE)=BC240,1,0)</f>
        <v>#N/A</v>
      </c>
      <c r="EP240" s="138" t="e">
        <f>IF(VLOOKUP(CONCATENATE(H240,F240,EP$2),Matemáticas!$A:$H,7,FALSE)=BD240,1,0)</f>
        <v>#N/A</v>
      </c>
      <c r="EQ240" s="138" t="e">
        <f>IF(VLOOKUP(CONCATENATE(H240,F240,EQ$2),Matemáticas!$A:$H,7,FALSE)=BE240,1,0)</f>
        <v>#N/A</v>
      </c>
      <c r="ER240" s="138" t="e">
        <f>IF(VLOOKUP(CONCATENATE(H240,F240,ER$2),Matemáticas!$A:$H,7,FALSE)=BF240,1,0)</f>
        <v>#N/A</v>
      </c>
      <c r="ES240" s="138" t="e">
        <f>IF(VLOOKUP(CONCATENATE(H240,F240,ES$2),Matemáticas!$A:$H,7,FALSE)=BG240,1,0)</f>
        <v>#N/A</v>
      </c>
      <c r="ET240" s="138" t="e">
        <f>IF(VLOOKUP(CONCATENATE(H240,F240,ET$2),Matemáticas!$A:$H,7,FALSE)=BH240,1,0)</f>
        <v>#N/A</v>
      </c>
      <c r="EU240" s="138" t="e">
        <f>IF(VLOOKUP(CONCATENATE(H240,F240,EU$2),Matemáticas!$A:$H,7,FALSE)=BI240,1,0)</f>
        <v>#N/A</v>
      </c>
      <c r="EV240" s="138" t="e">
        <f>IF(VLOOKUP(CONCATENATE(H240,F240,EV$2),Ciencias!$A:$H,7,FALSE)=BJ240,1,0)</f>
        <v>#N/A</v>
      </c>
      <c r="EW240" s="138" t="e">
        <f>IF(VLOOKUP(CONCATENATE(H240,F240,EW$2),Ciencias!$A:$H,7,FALSE)=BK240,1,0)</f>
        <v>#N/A</v>
      </c>
      <c r="EX240" s="138" t="e">
        <f>IF(VLOOKUP(CONCATENATE(H240,F240,EX$2),Ciencias!$A:$H,7,FALSE)=BL240,1,0)</f>
        <v>#N/A</v>
      </c>
      <c r="EY240" s="138" t="e">
        <f>IF(VLOOKUP(CONCATENATE(H240,F240,EY$2),Ciencias!$A:$H,7,FALSE)=BM240,1,0)</f>
        <v>#N/A</v>
      </c>
      <c r="EZ240" s="138" t="e">
        <f>IF(VLOOKUP(CONCATENATE(H240,F240,EZ$2),Ciencias!$A:$H,7,FALSE)=BN240,1,0)</f>
        <v>#N/A</v>
      </c>
      <c r="FA240" s="138" t="e">
        <f>IF(VLOOKUP(CONCATENATE(H240,F240,FA$2),Ciencias!$A:$H,7,FALSE)=BO240,1,0)</f>
        <v>#N/A</v>
      </c>
      <c r="FB240" s="138" t="e">
        <f>IF(VLOOKUP(CONCATENATE(H240,F240,FB$2),Ciencias!$A:$H,7,FALSE)=BP240,1,0)</f>
        <v>#N/A</v>
      </c>
      <c r="FC240" s="138" t="e">
        <f>IF(VLOOKUP(CONCATENATE(H240,F240,FC$2),Ciencias!$A:$H,7,FALSE)=BQ240,1,0)</f>
        <v>#N/A</v>
      </c>
      <c r="FD240" s="138" t="e">
        <f>IF(VLOOKUP(CONCATENATE(H240,F240,FD$2),Ciencias!$A:$H,7,FALSE)=BR240,1,0)</f>
        <v>#N/A</v>
      </c>
      <c r="FE240" s="138" t="e">
        <f>IF(VLOOKUP(CONCATENATE(H240,F240,FE$2),Ciencias!$A:$H,7,FALSE)=BS240,1,0)</f>
        <v>#N/A</v>
      </c>
      <c r="FF240" s="138" t="e">
        <f>IF(VLOOKUP(CONCATENATE(H240,F240,FF$2),Ciencias!$A:$H,7,FALSE)=BT240,1,0)</f>
        <v>#N/A</v>
      </c>
      <c r="FG240" s="138" t="e">
        <f>IF(VLOOKUP(CONCATENATE(H240,F240,FG$2),Ciencias!$A:$H,7,FALSE)=BU240,1,0)</f>
        <v>#N/A</v>
      </c>
      <c r="FH240" s="138" t="e">
        <f>IF(VLOOKUP(CONCATENATE(H240,F240,FH$2),Ciencias!$A:$H,7,FALSE)=BV240,1,0)</f>
        <v>#N/A</v>
      </c>
      <c r="FI240" s="138" t="e">
        <f>IF(VLOOKUP(CONCATENATE(H240,F240,FI$2),Ciencias!$A:$H,7,FALSE)=BW240,1,0)</f>
        <v>#N/A</v>
      </c>
      <c r="FJ240" s="138" t="e">
        <f>IF(VLOOKUP(CONCATENATE(H240,F240,FJ$2),Ciencias!$A:$H,7,FALSE)=BX240,1,0)</f>
        <v>#N/A</v>
      </c>
      <c r="FK240" s="138" t="e">
        <f>IF(VLOOKUP(CONCATENATE(H240,F240,FK$2),Ciencias!$A:$H,7,FALSE)=BY240,1,0)</f>
        <v>#N/A</v>
      </c>
      <c r="FL240" s="138" t="e">
        <f>IF(VLOOKUP(CONCATENATE(H240,F240,FL$2),Ciencias!$A:$H,7,FALSE)=BZ240,1,0)</f>
        <v>#N/A</v>
      </c>
      <c r="FM240" s="138" t="e">
        <f>IF(VLOOKUP(CONCATENATE(H240,F240,FM$2),Ciencias!$A:$H,7,FALSE)=CA240,1,0)</f>
        <v>#N/A</v>
      </c>
      <c r="FN240" s="138" t="e">
        <f>IF(VLOOKUP(CONCATENATE(H240,F240,FN$2),Ciencias!$A:$H,7,FALSE)=CB240,1,0)</f>
        <v>#N/A</v>
      </c>
      <c r="FO240" s="138" t="e">
        <f>IF(VLOOKUP(CONCATENATE(H240,F240,FO$2),Ciencias!$A:$H,7,FALSE)=CC240,1,0)</f>
        <v>#N/A</v>
      </c>
      <c r="FP240" s="138" t="e">
        <f>IF(VLOOKUP(CONCATENATE(H240,F240,FP$2),GeoHis!$A:$H,7,FALSE)=CD240,1,0)</f>
        <v>#N/A</v>
      </c>
      <c r="FQ240" s="138" t="e">
        <f>IF(VLOOKUP(CONCATENATE(H240,F240,FQ$2),GeoHis!$A:$H,7,FALSE)=CE240,1,0)</f>
        <v>#N/A</v>
      </c>
      <c r="FR240" s="138" t="e">
        <f>IF(VLOOKUP(CONCATENATE(H240,F240,FR$2),GeoHis!$A:$H,7,FALSE)=CF240,1,0)</f>
        <v>#N/A</v>
      </c>
      <c r="FS240" s="138" t="e">
        <f>IF(VLOOKUP(CONCATENATE(H240,F240,FS$2),GeoHis!$A:$H,7,FALSE)=CG240,1,0)</f>
        <v>#N/A</v>
      </c>
      <c r="FT240" s="138" t="e">
        <f>IF(VLOOKUP(CONCATENATE(H240,F240,FT$2),GeoHis!$A:$H,7,FALSE)=CH240,1,0)</f>
        <v>#N/A</v>
      </c>
      <c r="FU240" s="138" t="e">
        <f>IF(VLOOKUP(CONCATENATE(H240,F240,FU$2),GeoHis!$A:$H,7,FALSE)=CI240,1,0)</f>
        <v>#N/A</v>
      </c>
      <c r="FV240" s="138" t="e">
        <f>IF(VLOOKUP(CONCATENATE(H240,F240,FV$2),GeoHis!$A:$H,7,FALSE)=CJ240,1,0)</f>
        <v>#N/A</v>
      </c>
      <c r="FW240" s="138" t="e">
        <f>IF(VLOOKUP(CONCATENATE(H240,F240,FW$2),GeoHis!$A:$H,7,FALSE)=CK240,1,0)</f>
        <v>#N/A</v>
      </c>
      <c r="FX240" s="138" t="e">
        <f>IF(VLOOKUP(CONCATENATE(H240,F240,FX$2),GeoHis!$A:$H,7,FALSE)=CL240,1,0)</f>
        <v>#N/A</v>
      </c>
      <c r="FY240" s="138" t="e">
        <f>IF(VLOOKUP(CONCATENATE(H240,F240,FY$2),GeoHis!$A:$H,7,FALSE)=CM240,1,0)</f>
        <v>#N/A</v>
      </c>
      <c r="FZ240" s="138" t="e">
        <f>IF(VLOOKUP(CONCATENATE(H240,F240,FZ$2),GeoHis!$A:$H,7,FALSE)=CN240,1,0)</f>
        <v>#N/A</v>
      </c>
      <c r="GA240" s="138" t="e">
        <f>IF(VLOOKUP(CONCATENATE(H240,F240,GA$2),GeoHis!$A:$H,7,FALSE)=CO240,1,0)</f>
        <v>#N/A</v>
      </c>
      <c r="GB240" s="138" t="e">
        <f>IF(VLOOKUP(CONCATENATE(H240,F240,GB$2),GeoHis!$A:$H,7,FALSE)=CP240,1,0)</f>
        <v>#N/A</v>
      </c>
      <c r="GC240" s="138" t="e">
        <f>IF(VLOOKUP(CONCATENATE(H240,F240,GC$2),GeoHis!$A:$H,7,FALSE)=CQ240,1,0)</f>
        <v>#N/A</v>
      </c>
      <c r="GD240" s="138" t="e">
        <f>IF(VLOOKUP(CONCATENATE(H240,F240,GD$2),GeoHis!$A:$H,7,FALSE)=CR240,1,0)</f>
        <v>#N/A</v>
      </c>
      <c r="GE240" s="135" t="str">
        <f t="shared" si="31"/>
        <v/>
      </c>
    </row>
    <row r="241" spans="1:187" x14ac:dyDescent="0.25">
      <c r="A241" s="127" t="str">
        <f>IF(C241="","",'Datos Generales'!$A$25)</f>
        <v/>
      </c>
      <c r="D241" s="126" t="str">
        <f t="shared" si="24"/>
        <v/>
      </c>
      <c r="E241" s="126">
        <f t="shared" si="25"/>
        <v>0</v>
      </c>
      <c r="F241" s="126" t="str">
        <f t="shared" si="26"/>
        <v/>
      </c>
      <c r="G241" s="126" t="str">
        <f>IF(C241="","",'Datos Generales'!$D$19)</f>
        <v/>
      </c>
      <c r="H241" s="21" t="str">
        <f>IF(C241="","",'Datos Generales'!$A$19)</f>
        <v/>
      </c>
      <c r="I241" s="126" t="str">
        <f>IF(C241="","",'Datos Generales'!$A$7)</f>
        <v/>
      </c>
      <c r="J241" s="21" t="str">
        <f>IF(C241="","",'Datos Generales'!$A$13)</f>
        <v/>
      </c>
      <c r="K241" s="21" t="str">
        <f>IF(C241="","",'Datos Generales'!$A$10)</f>
        <v/>
      </c>
      <c r="CS241" s="142" t="str">
        <f t="shared" si="27"/>
        <v/>
      </c>
      <c r="CT241" s="142" t="str">
        <f t="shared" si="28"/>
        <v/>
      </c>
      <c r="CU241" s="142" t="str">
        <f t="shared" si="29"/>
        <v/>
      </c>
      <c r="CV241" s="142" t="str">
        <f t="shared" si="30"/>
        <v/>
      </c>
      <c r="CW241" s="142" t="str">
        <f>IF(C241="","",IF('Datos Generales'!$A$19=1,AVERAGE(FP241:GD241),AVERAGE(Captura!FP241:FY241)))</f>
        <v/>
      </c>
      <c r="CX241" s="138" t="e">
        <f>IF(VLOOKUP(CONCATENATE($H$4,$F$4,CX$2),Español!$A:$H,7,FALSE)=L241,1,0)</f>
        <v>#N/A</v>
      </c>
      <c r="CY241" s="138" t="e">
        <f>IF(VLOOKUP(CONCATENATE(H241,F241,CY$2),Español!$A:$H,7,FALSE)=M241,1,0)</f>
        <v>#N/A</v>
      </c>
      <c r="CZ241" s="138" t="e">
        <f>IF(VLOOKUP(CONCATENATE(H241,F241,CZ$2),Español!$A:$H,7,FALSE)=N241,1,0)</f>
        <v>#N/A</v>
      </c>
      <c r="DA241" s="138" t="e">
        <f>IF(VLOOKUP(CONCATENATE(H241,F241,DA$2),Español!$A:$H,7,FALSE)=O241,1,0)</f>
        <v>#N/A</v>
      </c>
      <c r="DB241" s="138" t="e">
        <f>IF(VLOOKUP(CONCATENATE(H241,F241,DB$2),Español!$A:$H,7,FALSE)=P241,1,0)</f>
        <v>#N/A</v>
      </c>
      <c r="DC241" s="138" t="e">
        <f>IF(VLOOKUP(CONCATENATE(H241,F241,DC$2),Español!$A:$H,7,FALSE)=Q241,1,0)</f>
        <v>#N/A</v>
      </c>
      <c r="DD241" s="138" t="e">
        <f>IF(VLOOKUP(CONCATENATE(H241,F241,DD$2),Español!$A:$H,7,FALSE)=R241,1,0)</f>
        <v>#N/A</v>
      </c>
      <c r="DE241" s="138" t="e">
        <f>IF(VLOOKUP(CONCATENATE(H241,F241,DE$2),Español!$A:$H,7,FALSE)=S241,1,0)</f>
        <v>#N/A</v>
      </c>
      <c r="DF241" s="138" t="e">
        <f>IF(VLOOKUP(CONCATENATE(H241,F241,DF$2),Español!$A:$H,7,FALSE)=T241,1,0)</f>
        <v>#N/A</v>
      </c>
      <c r="DG241" s="138" t="e">
        <f>IF(VLOOKUP(CONCATENATE(H241,F241,DG$2),Español!$A:$H,7,FALSE)=U241,1,0)</f>
        <v>#N/A</v>
      </c>
      <c r="DH241" s="138" t="e">
        <f>IF(VLOOKUP(CONCATENATE(H241,F241,DH$2),Español!$A:$H,7,FALSE)=V241,1,0)</f>
        <v>#N/A</v>
      </c>
      <c r="DI241" s="138" t="e">
        <f>IF(VLOOKUP(CONCATENATE(H241,F241,DI$2),Español!$A:$H,7,FALSE)=W241,1,0)</f>
        <v>#N/A</v>
      </c>
      <c r="DJ241" s="138" t="e">
        <f>IF(VLOOKUP(CONCATENATE(H241,F241,DJ$2),Español!$A:$H,7,FALSE)=X241,1,0)</f>
        <v>#N/A</v>
      </c>
      <c r="DK241" s="138" t="e">
        <f>IF(VLOOKUP(CONCATENATE(H241,F241,DK$2),Español!$A:$H,7,FALSE)=Y241,1,0)</f>
        <v>#N/A</v>
      </c>
      <c r="DL241" s="138" t="e">
        <f>IF(VLOOKUP(CONCATENATE(H241,F241,DL$2),Español!$A:$H,7,FALSE)=Z241,1,0)</f>
        <v>#N/A</v>
      </c>
      <c r="DM241" s="138" t="e">
        <f>IF(VLOOKUP(CONCATENATE(H241,F241,DM$2),Español!$A:$H,7,FALSE)=AA241,1,0)</f>
        <v>#N/A</v>
      </c>
      <c r="DN241" s="138" t="e">
        <f>IF(VLOOKUP(CONCATENATE(H241,F241,DN$2),Español!$A:$H,7,FALSE)=AB241,1,0)</f>
        <v>#N/A</v>
      </c>
      <c r="DO241" s="138" t="e">
        <f>IF(VLOOKUP(CONCATENATE(H241,F241,DO$2),Español!$A:$H,7,FALSE)=AC241,1,0)</f>
        <v>#N/A</v>
      </c>
      <c r="DP241" s="138" t="e">
        <f>IF(VLOOKUP(CONCATENATE(H241,F241,DP$2),Español!$A:$H,7,FALSE)=AD241,1,0)</f>
        <v>#N/A</v>
      </c>
      <c r="DQ241" s="138" t="e">
        <f>IF(VLOOKUP(CONCATENATE(H241,F241,DQ$2),Español!$A:$H,7,FALSE)=AE241,1,0)</f>
        <v>#N/A</v>
      </c>
      <c r="DR241" s="138" t="e">
        <f>IF(VLOOKUP(CONCATENATE(H241,F241,DR$2),Inglés!$A:$H,7,FALSE)=AF241,1,0)</f>
        <v>#N/A</v>
      </c>
      <c r="DS241" s="138" t="e">
        <f>IF(VLOOKUP(CONCATENATE(H241,F241,DS$2),Inglés!$A:$H,7,FALSE)=AG241,1,0)</f>
        <v>#N/A</v>
      </c>
      <c r="DT241" s="138" t="e">
        <f>IF(VLOOKUP(CONCATENATE(H241,F241,DT$2),Inglés!$A:$H,7,FALSE)=AH241,1,0)</f>
        <v>#N/A</v>
      </c>
      <c r="DU241" s="138" t="e">
        <f>IF(VLOOKUP(CONCATENATE(H241,F241,DU$2),Inglés!$A:$H,7,FALSE)=AI241,1,0)</f>
        <v>#N/A</v>
      </c>
      <c r="DV241" s="138" t="e">
        <f>IF(VLOOKUP(CONCATENATE(H241,F241,DV$2),Inglés!$A:$H,7,FALSE)=AJ241,1,0)</f>
        <v>#N/A</v>
      </c>
      <c r="DW241" s="138" t="e">
        <f>IF(VLOOKUP(CONCATENATE(H241,F241,DW$2),Inglés!$A:$H,7,FALSE)=AK241,1,0)</f>
        <v>#N/A</v>
      </c>
      <c r="DX241" s="138" t="e">
        <f>IF(VLOOKUP(CONCATENATE(H241,F241,DX$2),Inglés!$A:$H,7,FALSE)=AL241,1,0)</f>
        <v>#N/A</v>
      </c>
      <c r="DY241" s="138" t="e">
        <f>IF(VLOOKUP(CONCATENATE(H241,F241,DY$2),Inglés!$A:$H,7,FALSE)=AM241,1,0)</f>
        <v>#N/A</v>
      </c>
      <c r="DZ241" s="138" t="e">
        <f>IF(VLOOKUP(CONCATENATE(H241,F241,DZ$2),Inglés!$A:$H,7,FALSE)=AN241,1,0)</f>
        <v>#N/A</v>
      </c>
      <c r="EA241" s="138" t="e">
        <f>IF(VLOOKUP(CONCATENATE(H241,F241,EA$2),Inglés!$A:$H,7,FALSE)=AO241,1,0)</f>
        <v>#N/A</v>
      </c>
      <c r="EB241" s="138" t="e">
        <f>IF(VLOOKUP(CONCATENATE(H241,F241,EB$2),Matemáticas!$A:$H,7,FALSE)=AP241,1,0)</f>
        <v>#N/A</v>
      </c>
      <c r="EC241" s="138" t="e">
        <f>IF(VLOOKUP(CONCATENATE(H241,F241,EC$2),Matemáticas!$A:$H,7,FALSE)=AQ241,1,0)</f>
        <v>#N/A</v>
      </c>
      <c r="ED241" s="138" t="e">
        <f>IF(VLOOKUP(CONCATENATE(H241,F241,ED$2),Matemáticas!$A:$H,7,FALSE)=AR241,1,0)</f>
        <v>#N/A</v>
      </c>
      <c r="EE241" s="138" t="e">
        <f>IF(VLOOKUP(CONCATENATE(H241,F241,EE$2),Matemáticas!$A:$H,7,FALSE)=AS241,1,0)</f>
        <v>#N/A</v>
      </c>
      <c r="EF241" s="138" t="e">
        <f>IF(VLOOKUP(CONCATENATE(H241,F241,EF$2),Matemáticas!$A:$H,7,FALSE)=AT241,1,0)</f>
        <v>#N/A</v>
      </c>
      <c r="EG241" s="138" t="e">
        <f>IF(VLOOKUP(CONCATENATE(H241,F241,EG$2),Matemáticas!$A:$H,7,FALSE)=AU241,1,0)</f>
        <v>#N/A</v>
      </c>
      <c r="EH241" s="138" t="e">
        <f>IF(VLOOKUP(CONCATENATE(H241,F241,EH$2),Matemáticas!$A:$H,7,FALSE)=AV241,1,0)</f>
        <v>#N/A</v>
      </c>
      <c r="EI241" s="138" t="e">
        <f>IF(VLOOKUP(CONCATENATE(H241,F241,EI$2),Matemáticas!$A:$H,7,FALSE)=AW241,1,0)</f>
        <v>#N/A</v>
      </c>
      <c r="EJ241" s="138" t="e">
        <f>IF(VLOOKUP(CONCATENATE(H241,F241,EJ$2),Matemáticas!$A:$H,7,FALSE)=AX241,1,0)</f>
        <v>#N/A</v>
      </c>
      <c r="EK241" s="138" t="e">
        <f>IF(VLOOKUP(CONCATENATE(H241,F241,EK$2),Matemáticas!$A:$H,7,FALSE)=AY241,1,0)</f>
        <v>#N/A</v>
      </c>
      <c r="EL241" s="138" t="e">
        <f>IF(VLOOKUP(CONCATENATE(H241,F241,EL$2),Matemáticas!$A:$H,7,FALSE)=AZ241,1,0)</f>
        <v>#N/A</v>
      </c>
      <c r="EM241" s="138" t="e">
        <f>IF(VLOOKUP(CONCATENATE(H241,F241,EM$2),Matemáticas!$A:$H,7,FALSE)=BA241,1,0)</f>
        <v>#N/A</v>
      </c>
      <c r="EN241" s="138" t="e">
        <f>IF(VLOOKUP(CONCATENATE(H241,F241,EN$2),Matemáticas!$A:$H,7,FALSE)=BB241,1,0)</f>
        <v>#N/A</v>
      </c>
      <c r="EO241" s="138" t="e">
        <f>IF(VLOOKUP(CONCATENATE(H241,F241,EO$2),Matemáticas!$A:$H,7,FALSE)=BC241,1,0)</f>
        <v>#N/A</v>
      </c>
      <c r="EP241" s="138" t="e">
        <f>IF(VLOOKUP(CONCATENATE(H241,F241,EP$2),Matemáticas!$A:$H,7,FALSE)=BD241,1,0)</f>
        <v>#N/A</v>
      </c>
      <c r="EQ241" s="138" t="e">
        <f>IF(VLOOKUP(CONCATENATE(H241,F241,EQ$2),Matemáticas!$A:$H,7,FALSE)=BE241,1,0)</f>
        <v>#N/A</v>
      </c>
      <c r="ER241" s="138" t="e">
        <f>IF(VLOOKUP(CONCATENATE(H241,F241,ER$2),Matemáticas!$A:$H,7,FALSE)=BF241,1,0)</f>
        <v>#N/A</v>
      </c>
      <c r="ES241" s="138" t="e">
        <f>IF(VLOOKUP(CONCATENATE(H241,F241,ES$2),Matemáticas!$A:$H,7,FALSE)=BG241,1,0)</f>
        <v>#N/A</v>
      </c>
      <c r="ET241" s="138" t="e">
        <f>IF(VLOOKUP(CONCATENATE(H241,F241,ET$2),Matemáticas!$A:$H,7,FALSE)=BH241,1,0)</f>
        <v>#N/A</v>
      </c>
      <c r="EU241" s="138" t="e">
        <f>IF(VLOOKUP(CONCATENATE(H241,F241,EU$2),Matemáticas!$A:$H,7,FALSE)=BI241,1,0)</f>
        <v>#N/A</v>
      </c>
      <c r="EV241" s="138" t="e">
        <f>IF(VLOOKUP(CONCATENATE(H241,F241,EV$2),Ciencias!$A:$H,7,FALSE)=BJ241,1,0)</f>
        <v>#N/A</v>
      </c>
      <c r="EW241" s="138" t="e">
        <f>IF(VLOOKUP(CONCATENATE(H241,F241,EW$2),Ciencias!$A:$H,7,FALSE)=BK241,1,0)</f>
        <v>#N/A</v>
      </c>
      <c r="EX241" s="138" t="e">
        <f>IF(VLOOKUP(CONCATENATE(H241,F241,EX$2),Ciencias!$A:$H,7,FALSE)=BL241,1,0)</f>
        <v>#N/A</v>
      </c>
      <c r="EY241" s="138" t="e">
        <f>IF(VLOOKUP(CONCATENATE(H241,F241,EY$2),Ciencias!$A:$H,7,FALSE)=BM241,1,0)</f>
        <v>#N/A</v>
      </c>
      <c r="EZ241" s="138" t="e">
        <f>IF(VLOOKUP(CONCATENATE(H241,F241,EZ$2),Ciencias!$A:$H,7,FALSE)=BN241,1,0)</f>
        <v>#N/A</v>
      </c>
      <c r="FA241" s="138" t="e">
        <f>IF(VLOOKUP(CONCATENATE(H241,F241,FA$2),Ciencias!$A:$H,7,FALSE)=BO241,1,0)</f>
        <v>#N/A</v>
      </c>
      <c r="FB241" s="138" t="e">
        <f>IF(VLOOKUP(CONCATENATE(H241,F241,FB$2),Ciencias!$A:$H,7,FALSE)=BP241,1,0)</f>
        <v>#N/A</v>
      </c>
      <c r="FC241" s="138" t="e">
        <f>IF(VLOOKUP(CONCATENATE(H241,F241,FC$2),Ciencias!$A:$H,7,FALSE)=BQ241,1,0)</f>
        <v>#N/A</v>
      </c>
      <c r="FD241" s="138" t="e">
        <f>IF(VLOOKUP(CONCATENATE(H241,F241,FD$2),Ciencias!$A:$H,7,FALSE)=BR241,1,0)</f>
        <v>#N/A</v>
      </c>
      <c r="FE241" s="138" t="e">
        <f>IF(VLOOKUP(CONCATENATE(H241,F241,FE$2),Ciencias!$A:$H,7,FALSE)=BS241,1,0)</f>
        <v>#N/A</v>
      </c>
      <c r="FF241" s="138" t="e">
        <f>IF(VLOOKUP(CONCATENATE(H241,F241,FF$2),Ciencias!$A:$H,7,FALSE)=BT241,1,0)</f>
        <v>#N/A</v>
      </c>
      <c r="FG241" s="138" t="e">
        <f>IF(VLOOKUP(CONCATENATE(H241,F241,FG$2),Ciencias!$A:$H,7,FALSE)=BU241,1,0)</f>
        <v>#N/A</v>
      </c>
      <c r="FH241" s="138" t="e">
        <f>IF(VLOOKUP(CONCATENATE(H241,F241,FH$2),Ciencias!$A:$H,7,FALSE)=BV241,1,0)</f>
        <v>#N/A</v>
      </c>
      <c r="FI241" s="138" t="e">
        <f>IF(VLOOKUP(CONCATENATE(H241,F241,FI$2),Ciencias!$A:$H,7,FALSE)=BW241,1,0)</f>
        <v>#N/A</v>
      </c>
      <c r="FJ241" s="138" t="e">
        <f>IF(VLOOKUP(CONCATENATE(H241,F241,FJ$2),Ciencias!$A:$H,7,FALSE)=BX241,1,0)</f>
        <v>#N/A</v>
      </c>
      <c r="FK241" s="138" t="e">
        <f>IF(VLOOKUP(CONCATENATE(H241,F241,FK$2),Ciencias!$A:$H,7,FALSE)=BY241,1,0)</f>
        <v>#N/A</v>
      </c>
      <c r="FL241" s="138" t="e">
        <f>IF(VLOOKUP(CONCATENATE(H241,F241,FL$2),Ciencias!$A:$H,7,FALSE)=BZ241,1,0)</f>
        <v>#N/A</v>
      </c>
      <c r="FM241" s="138" t="e">
        <f>IF(VLOOKUP(CONCATENATE(H241,F241,FM$2),Ciencias!$A:$H,7,FALSE)=CA241,1,0)</f>
        <v>#N/A</v>
      </c>
      <c r="FN241" s="138" t="e">
        <f>IF(VLOOKUP(CONCATENATE(H241,F241,FN$2),Ciencias!$A:$H,7,FALSE)=CB241,1,0)</f>
        <v>#N/A</v>
      </c>
      <c r="FO241" s="138" t="e">
        <f>IF(VLOOKUP(CONCATENATE(H241,F241,FO$2),Ciencias!$A:$H,7,FALSE)=CC241,1,0)</f>
        <v>#N/A</v>
      </c>
      <c r="FP241" s="138" t="e">
        <f>IF(VLOOKUP(CONCATENATE(H241,F241,FP$2),GeoHis!$A:$H,7,FALSE)=CD241,1,0)</f>
        <v>#N/A</v>
      </c>
      <c r="FQ241" s="138" t="e">
        <f>IF(VLOOKUP(CONCATENATE(H241,F241,FQ$2),GeoHis!$A:$H,7,FALSE)=CE241,1,0)</f>
        <v>#N/A</v>
      </c>
      <c r="FR241" s="138" t="e">
        <f>IF(VLOOKUP(CONCATENATE(H241,F241,FR$2),GeoHis!$A:$H,7,FALSE)=CF241,1,0)</f>
        <v>#N/A</v>
      </c>
      <c r="FS241" s="138" t="e">
        <f>IF(VLOOKUP(CONCATENATE(H241,F241,FS$2),GeoHis!$A:$H,7,FALSE)=CG241,1,0)</f>
        <v>#N/A</v>
      </c>
      <c r="FT241" s="138" t="e">
        <f>IF(VLOOKUP(CONCATENATE(H241,F241,FT$2),GeoHis!$A:$H,7,FALSE)=CH241,1,0)</f>
        <v>#N/A</v>
      </c>
      <c r="FU241" s="138" t="e">
        <f>IF(VLOOKUP(CONCATENATE(H241,F241,FU$2),GeoHis!$A:$H,7,FALSE)=CI241,1,0)</f>
        <v>#N/A</v>
      </c>
      <c r="FV241" s="138" t="e">
        <f>IF(VLOOKUP(CONCATENATE(H241,F241,FV$2),GeoHis!$A:$H,7,FALSE)=CJ241,1,0)</f>
        <v>#N/A</v>
      </c>
      <c r="FW241" s="138" t="e">
        <f>IF(VLOOKUP(CONCATENATE(H241,F241,FW$2),GeoHis!$A:$H,7,FALSE)=CK241,1,0)</f>
        <v>#N/A</v>
      </c>
      <c r="FX241" s="138" t="e">
        <f>IF(VLOOKUP(CONCATENATE(H241,F241,FX$2),GeoHis!$A:$H,7,FALSE)=CL241,1,0)</f>
        <v>#N/A</v>
      </c>
      <c r="FY241" s="138" t="e">
        <f>IF(VLOOKUP(CONCATENATE(H241,F241,FY$2),GeoHis!$A:$H,7,FALSE)=CM241,1,0)</f>
        <v>#N/A</v>
      </c>
      <c r="FZ241" s="138" t="e">
        <f>IF(VLOOKUP(CONCATENATE(H241,F241,FZ$2),GeoHis!$A:$H,7,FALSE)=CN241,1,0)</f>
        <v>#N/A</v>
      </c>
      <c r="GA241" s="138" t="e">
        <f>IF(VLOOKUP(CONCATENATE(H241,F241,GA$2),GeoHis!$A:$H,7,FALSE)=CO241,1,0)</f>
        <v>#N/A</v>
      </c>
      <c r="GB241" s="138" t="e">
        <f>IF(VLOOKUP(CONCATENATE(H241,F241,GB$2),GeoHis!$A:$H,7,FALSE)=CP241,1,0)</f>
        <v>#N/A</v>
      </c>
      <c r="GC241" s="138" t="e">
        <f>IF(VLOOKUP(CONCATENATE(H241,F241,GC$2),GeoHis!$A:$H,7,FALSE)=CQ241,1,0)</f>
        <v>#N/A</v>
      </c>
      <c r="GD241" s="138" t="e">
        <f>IF(VLOOKUP(CONCATENATE(H241,F241,GD$2),GeoHis!$A:$H,7,FALSE)=CR241,1,0)</f>
        <v>#N/A</v>
      </c>
      <c r="GE241" s="135" t="str">
        <f t="shared" si="31"/>
        <v/>
      </c>
    </row>
    <row r="242" spans="1:187" x14ac:dyDescent="0.25">
      <c r="A242" s="127" t="str">
        <f>IF(C242="","",'Datos Generales'!$A$25)</f>
        <v/>
      </c>
      <c r="D242" s="126" t="str">
        <f t="shared" si="24"/>
        <v/>
      </c>
      <c r="E242" s="126">
        <f t="shared" si="25"/>
        <v>0</v>
      </c>
      <c r="F242" s="126" t="str">
        <f t="shared" si="26"/>
        <v/>
      </c>
      <c r="G242" s="126" t="str">
        <f>IF(C242="","",'Datos Generales'!$D$19)</f>
        <v/>
      </c>
      <c r="H242" s="21" t="str">
        <f>IF(C242="","",'Datos Generales'!$A$19)</f>
        <v/>
      </c>
      <c r="I242" s="126" t="str">
        <f>IF(C242="","",'Datos Generales'!$A$7)</f>
        <v/>
      </c>
      <c r="J242" s="21" t="str">
        <f>IF(C242="","",'Datos Generales'!$A$13)</f>
        <v/>
      </c>
      <c r="K242" s="21" t="str">
        <f>IF(C242="","",'Datos Generales'!$A$10)</f>
        <v/>
      </c>
      <c r="CS242" s="142" t="str">
        <f t="shared" si="27"/>
        <v/>
      </c>
      <c r="CT242" s="142" t="str">
        <f t="shared" si="28"/>
        <v/>
      </c>
      <c r="CU242" s="142" t="str">
        <f t="shared" si="29"/>
        <v/>
      </c>
      <c r="CV242" s="142" t="str">
        <f t="shared" si="30"/>
        <v/>
      </c>
      <c r="CW242" s="142" t="str">
        <f>IF(C242="","",IF('Datos Generales'!$A$19=1,AVERAGE(FP242:GD242),AVERAGE(Captura!FP242:FY242)))</f>
        <v/>
      </c>
      <c r="CX242" s="138" t="e">
        <f>IF(VLOOKUP(CONCATENATE($H$4,$F$4,CX$2),Español!$A:$H,7,FALSE)=L242,1,0)</f>
        <v>#N/A</v>
      </c>
      <c r="CY242" s="138" t="e">
        <f>IF(VLOOKUP(CONCATENATE(H242,F242,CY$2),Español!$A:$H,7,FALSE)=M242,1,0)</f>
        <v>#N/A</v>
      </c>
      <c r="CZ242" s="138" t="e">
        <f>IF(VLOOKUP(CONCATENATE(H242,F242,CZ$2),Español!$A:$H,7,FALSE)=N242,1,0)</f>
        <v>#N/A</v>
      </c>
      <c r="DA242" s="138" t="e">
        <f>IF(VLOOKUP(CONCATENATE(H242,F242,DA$2),Español!$A:$H,7,FALSE)=O242,1,0)</f>
        <v>#N/A</v>
      </c>
      <c r="DB242" s="138" t="e">
        <f>IF(VLOOKUP(CONCATENATE(H242,F242,DB$2),Español!$A:$H,7,FALSE)=P242,1,0)</f>
        <v>#N/A</v>
      </c>
      <c r="DC242" s="138" t="e">
        <f>IF(VLOOKUP(CONCATENATE(H242,F242,DC$2),Español!$A:$H,7,FALSE)=Q242,1,0)</f>
        <v>#N/A</v>
      </c>
      <c r="DD242" s="138" t="e">
        <f>IF(VLOOKUP(CONCATENATE(H242,F242,DD$2),Español!$A:$H,7,FALSE)=R242,1,0)</f>
        <v>#N/A</v>
      </c>
      <c r="DE242" s="138" t="e">
        <f>IF(VLOOKUP(CONCATENATE(H242,F242,DE$2),Español!$A:$H,7,FALSE)=S242,1,0)</f>
        <v>#N/A</v>
      </c>
      <c r="DF242" s="138" t="e">
        <f>IF(VLOOKUP(CONCATENATE(H242,F242,DF$2),Español!$A:$H,7,FALSE)=T242,1,0)</f>
        <v>#N/A</v>
      </c>
      <c r="DG242" s="138" t="e">
        <f>IF(VLOOKUP(CONCATENATE(H242,F242,DG$2),Español!$A:$H,7,FALSE)=U242,1,0)</f>
        <v>#N/A</v>
      </c>
      <c r="DH242" s="138" t="e">
        <f>IF(VLOOKUP(CONCATENATE(H242,F242,DH$2),Español!$A:$H,7,FALSE)=V242,1,0)</f>
        <v>#N/A</v>
      </c>
      <c r="DI242" s="138" t="e">
        <f>IF(VLOOKUP(CONCATENATE(H242,F242,DI$2),Español!$A:$H,7,FALSE)=W242,1,0)</f>
        <v>#N/A</v>
      </c>
      <c r="DJ242" s="138" t="e">
        <f>IF(VLOOKUP(CONCATENATE(H242,F242,DJ$2),Español!$A:$H,7,FALSE)=X242,1,0)</f>
        <v>#N/A</v>
      </c>
      <c r="DK242" s="138" t="e">
        <f>IF(VLOOKUP(CONCATENATE(H242,F242,DK$2),Español!$A:$H,7,FALSE)=Y242,1,0)</f>
        <v>#N/A</v>
      </c>
      <c r="DL242" s="138" t="e">
        <f>IF(VLOOKUP(CONCATENATE(H242,F242,DL$2),Español!$A:$H,7,FALSE)=Z242,1,0)</f>
        <v>#N/A</v>
      </c>
      <c r="DM242" s="138" t="e">
        <f>IF(VLOOKUP(CONCATENATE(H242,F242,DM$2),Español!$A:$H,7,FALSE)=AA242,1,0)</f>
        <v>#N/A</v>
      </c>
      <c r="DN242" s="138" t="e">
        <f>IF(VLOOKUP(CONCATENATE(H242,F242,DN$2),Español!$A:$H,7,FALSE)=AB242,1,0)</f>
        <v>#N/A</v>
      </c>
      <c r="DO242" s="138" t="e">
        <f>IF(VLOOKUP(CONCATENATE(H242,F242,DO$2),Español!$A:$H,7,FALSE)=AC242,1,0)</f>
        <v>#N/A</v>
      </c>
      <c r="DP242" s="138" t="e">
        <f>IF(VLOOKUP(CONCATENATE(H242,F242,DP$2),Español!$A:$H,7,FALSE)=AD242,1,0)</f>
        <v>#N/A</v>
      </c>
      <c r="DQ242" s="138" t="e">
        <f>IF(VLOOKUP(CONCATENATE(H242,F242,DQ$2),Español!$A:$H,7,FALSE)=AE242,1,0)</f>
        <v>#N/A</v>
      </c>
      <c r="DR242" s="138" t="e">
        <f>IF(VLOOKUP(CONCATENATE(H242,F242,DR$2),Inglés!$A:$H,7,FALSE)=AF242,1,0)</f>
        <v>#N/A</v>
      </c>
      <c r="DS242" s="138" t="e">
        <f>IF(VLOOKUP(CONCATENATE(H242,F242,DS$2),Inglés!$A:$H,7,FALSE)=AG242,1,0)</f>
        <v>#N/A</v>
      </c>
      <c r="DT242" s="138" t="e">
        <f>IF(VLOOKUP(CONCATENATE(H242,F242,DT$2),Inglés!$A:$H,7,FALSE)=AH242,1,0)</f>
        <v>#N/A</v>
      </c>
      <c r="DU242" s="138" t="e">
        <f>IF(VLOOKUP(CONCATENATE(H242,F242,DU$2),Inglés!$A:$H,7,FALSE)=AI242,1,0)</f>
        <v>#N/A</v>
      </c>
      <c r="DV242" s="138" t="e">
        <f>IF(VLOOKUP(CONCATENATE(H242,F242,DV$2),Inglés!$A:$H,7,FALSE)=AJ242,1,0)</f>
        <v>#N/A</v>
      </c>
      <c r="DW242" s="138" t="e">
        <f>IF(VLOOKUP(CONCATENATE(H242,F242,DW$2),Inglés!$A:$H,7,FALSE)=AK242,1,0)</f>
        <v>#N/A</v>
      </c>
      <c r="DX242" s="138" t="e">
        <f>IF(VLOOKUP(CONCATENATE(H242,F242,DX$2),Inglés!$A:$H,7,FALSE)=AL242,1,0)</f>
        <v>#N/A</v>
      </c>
      <c r="DY242" s="138" t="e">
        <f>IF(VLOOKUP(CONCATENATE(H242,F242,DY$2),Inglés!$A:$H,7,FALSE)=AM242,1,0)</f>
        <v>#N/A</v>
      </c>
      <c r="DZ242" s="138" t="e">
        <f>IF(VLOOKUP(CONCATENATE(H242,F242,DZ$2),Inglés!$A:$H,7,FALSE)=AN242,1,0)</f>
        <v>#N/A</v>
      </c>
      <c r="EA242" s="138" t="e">
        <f>IF(VLOOKUP(CONCATENATE(H242,F242,EA$2),Inglés!$A:$H,7,FALSE)=AO242,1,0)</f>
        <v>#N/A</v>
      </c>
      <c r="EB242" s="138" t="e">
        <f>IF(VLOOKUP(CONCATENATE(H242,F242,EB$2),Matemáticas!$A:$H,7,FALSE)=AP242,1,0)</f>
        <v>#N/A</v>
      </c>
      <c r="EC242" s="138" t="e">
        <f>IF(VLOOKUP(CONCATENATE(H242,F242,EC$2),Matemáticas!$A:$H,7,FALSE)=AQ242,1,0)</f>
        <v>#N/A</v>
      </c>
      <c r="ED242" s="138" t="e">
        <f>IF(VLOOKUP(CONCATENATE(H242,F242,ED$2),Matemáticas!$A:$H,7,FALSE)=AR242,1,0)</f>
        <v>#N/A</v>
      </c>
      <c r="EE242" s="138" t="e">
        <f>IF(VLOOKUP(CONCATENATE(H242,F242,EE$2),Matemáticas!$A:$H,7,FALSE)=AS242,1,0)</f>
        <v>#N/A</v>
      </c>
      <c r="EF242" s="138" t="e">
        <f>IF(VLOOKUP(CONCATENATE(H242,F242,EF$2),Matemáticas!$A:$H,7,FALSE)=AT242,1,0)</f>
        <v>#N/A</v>
      </c>
      <c r="EG242" s="138" t="e">
        <f>IF(VLOOKUP(CONCATENATE(H242,F242,EG$2),Matemáticas!$A:$H,7,FALSE)=AU242,1,0)</f>
        <v>#N/A</v>
      </c>
      <c r="EH242" s="138" t="e">
        <f>IF(VLOOKUP(CONCATENATE(H242,F242,EH$2),Matemáticas!$A:$H,7,FALSE)=AV242,1,0)</f>
        <v>#N/A</v>
      </c>
      <c r="EI242" s="138" t="e">
        <f>IF(VLOOKUP(CONCATENATE(H242,F242,EI$2),Matemáticas!$A:$H,7,FALSE)=AW242,1,0)</f>
        <v>#N/A</v>
      </c>
      <c r="EJ242" s="138" t="e">
        <f>IF(VLOOKUP(CONCATENATE(H242,F242,EJ$2),Matemáticas!$A:$H,7,FALSE)=AX242,1,0)</f>
        <v>#N/A</v>
      </c>
      <c r="EK242" s="138" t="e">
        <f>IF(VLOOKUP(CONCATENATE(H242,F242,EK$2),Matemáticas!$A:$H,7,FALSE)=AY242,1,0)</f>
        <v>#N/A</v>
      </c>
      <c r="EL242" s="138" t="e">
        <f>IF(VLOOKUP(CONCATENATE(H242,F242,EL$2),Matemáticas!$A:$H,7,FALSE)=AZ242,1,0)</f>
        <v>#N/A</v>
      </c>
      <c r="EM242" s="138" t="e">
        <f>IF(VLOOKUP(CONCATENATE(H242,F242,EM$2),Matemáticas!$A:$H,7,FALSE)=BA242,1,0)</f>
        <v>#N/A</v>
      </c>
      <c r="EN242" s="138" t="e">
        <f>IF(VLOOKUP(CONCATENATE(H242,F242,EN$2),Matemáticas!$A:$H,7,FALSE)=BB242,1,0)</f>
        <v>#N/A</v>
      </c>
      <c r="EO242" s="138" t="e">
        <f>IF(VLOOKUP(CONCATENATE(H242,F242,EO$2),Matemáticas!$A:$H,7,FALSE)=BC242,1,0)</f>
        <v>#N/A</v>
      </c>
      <c r="EP242" s="138" t="e">
        <f>IF(VLOOKUP(CONCATENATE(H242,F242,EP$2),Matemáticas!$A:$H,7,FALSE)=BD242,1,0)</f>
        <v>#N/A</v>
      </c>
      <c r="EQ242" s="138" t="e">
        <f>IF(VLOOKUP(CONCATENATE(H242,F242,EQ$2),Matemáticas!$A:$H,7,FALSE)=BE242,1,0)</f>
        <v>#N/A</v>
      </c>
      <c r="ER242" s="138" t="e">
        <f>IF(VLOOKUP(CONCATENATE(H242,F242,ER$2),Matemáticas!$A:$H,7,FALSE)=BF242,1,0)</f>
        <v>#N/A</v>
      </c>
      <c r="ES242" s="138" t="e">
        <f>IF(VLOOKUP(CONCATENATE(H242,F242,ES$2),Matemáticas!$A:$H,7,FALSE)=BG242,1,0)</f>
        <v>#N/A</v>
      </c>
      <c r="ET242" s="138" t="e">
        <f>IF(VLOOKUP(CONCATENATE(H242,F242,ET$2),Matemáticas!$A:$H,7,FALSE)=BH242,1,0)</f>
        <v>#N/A</v>
      </c>
      <c r="EU242" s="138" t="e">
        <f>IF(VLOOKUP(CONCATENATE(H242,F242,EU$2),Matemáticas!$A:$H,7,FALSE)=BI242,1,0)</f>
        <v>#N/A</v>
      </c>
      <c r="EV242" s="138" t="e">
        <f>IF(VLOOKUP(CONCATENATE(H242,F242,EV$2),Ciencias!$A:$H,7,FALSE)=BJ242,1,0)</f>
        <v>#N/A</v>
      </c>
      <c r="EW242" s="138" t="e">
        <f>IF(VLOOKUP(CONCATENATE(H242,F242,EW$2),Ciencias!$A:$H,7,FALSE)=BK242,1,0)</f>
        <v>#N/A</v>
      </c>
      <c r="EX242" s="138" t="e">
        <f>IF(VLOOKUP(CONCATENATE(H242,F242,EX$2),Ciencias!$A:$H,7,FALSE)=BL242,1,0)</f>
        <v>#N/A</v>
      </c>
      <c r="EY242" s="138" t="e">
        <f>IF(VLOOKUP(CONCATENATE(H242,F242,EY$2),Ciencias!$A:$H,7,FALSE)=BM242,1,0)</f>
        <v>#N/A</v>
      </c>
      <c r="EZ242" s="138" t="e">
        <f>IF(VLOOKUP(CONCATENATE(H242,F242,EZ$2),Ciencias!$A:$H,7,FALSE)=BN242,1,0)</f>
        <v>#N/A</v>
      </c>
      <c r="FA242" s="138" t="e">
        <f>IF(VLOOKUP(CONCATENATE(H242,F242,FA$2),Ciencias!$A:$H,7,FALSE)=BO242,1,0)</f>
        <v>#N/A</v>
      </c>
      <c r="FB242" s="138" t="e">
        <f>IF(VLOOKUP(CONCATENATE(H242,F242,FB$2),Ciencias!$A:$H,7,FALSE)=BP242,1,0)</f>
        <v>#N/A</v>
      </c>
      <c r="FC242" s="138" t="e">
        <f>IF(VLOOKUP(CONCATENATE(H242,F242,FC$2),Ciencias!$A:$H,7,FALSE)=BQ242,1,0)</f>
        <v>#N/A</v>
      </c>
      <c r="FD242" s="138" t="e">
        <f>IF(VLOOKUP(CONCATENATE(H242,F242,FD$2),Ciencias!$A:$H,7,FALSE)=BR242,1,0)</f>
        <v>#N/A</v>
      </c>
      <c r="FE242" s="138" t="e">
        <f>IF(VLOOKUP(CONCATENATE(H242,F242,FE$2),Ciencias!$A:$H,7,FALSE)=BS242,1,0)</f>
        <v>#N/A</v>
      </c>
      <c r="FF242" s="138" t="e">
        <f>IF(VLOOKUP(CONCATENATE(H242,F242,FF$2),Ciencias!$A:$H,7,FALSE)=BT242,1,0)</f>
        <v>#N/A</v>
      </c>
      <c r="FG242" s="138" t="e">
        <f>IF(VLOOKUP(CONCATENATE(H242,F242,FG$2),Ciencias!$A:$H,7,FALSE)=BU242,1,0)</f>
        <v>#N/A</v>
      </c>
      <c r="FH242" s="138" t="e">
        <f>IF(VLOOKUP(CONCATENATE(H242,F242,FH$2),Ciencias!$A:$H,7,FALSE)=BV242,1,0)</f>
        <v>#N/A</v>
      </c>
      <c r="FI242" s="138" t="e">
        <f>IF(VLOOKUP(CONCATENATE(H242,F242,FI$2),Ciencias!$A:$H,7,FALSE)=BW242,1,0)</f>
        <v>#N/A</v>
      </c>
      <c r="FJ242" s="138" t="e">
        <f>IF(VLOOKUP(CONCATENATE(H242,F242,FJ$2),Ciencias!$A:$H,7,FALSE)=BX242,1,0)</f>
        <v>#N/A</v>
      </c>
      <c r="FK242" s="138" t="e">
        <f>IF(VLOOKUP(CONCATENATE(H242,F242,FK$2),Ciencias!$A:$H,7,FALSE)=BY242,1,0)</f>
        <v>#N/A</v>
      </c>
      <c r="FL242" s="138" t="e">
        <f>IF(VLOOKUP(CONCATENATE(H242,F242,FL$2),Ciencias!$A:$H,7,FALSE)=BZ242,1,0)</f>
        <v>#N/A</v>
      </c>
      <c r="FM242" s="138" t="e">
        <f>IF(VLOOKUP(CONCATENATE(H242,F242,FM$2),Ciencias!$A:$H,7,FALSE)=CA242,1,0)</f>
        <v>#N/A</v>
      </c>
      <c r="FN242" s="138" t="e">
        <f>IF(VLOOKUP(CONCATENATE(H242,F242,FN$2),Ciencias!$A:$H,7,FALSE)=CB242,1,0)</f>
        <v>#N/A</v>
      </c>
      <c r="FO242" s="138" t="e">
        <f>IF(VLOOKUP(CONCATENATE(H242,F242,FO$2),Ciencias!$A:$H,7,FALSE)=CC242,1,0)</f>
        <v>#N/A</v>
      </c>
      <c r="FP242" s="138" t="e">
        <f>IF(VLOOKUP(CONCATENATE(H242,F242,FP$2),GeoHis!$A:$H,7,FALSE)=CD242,1,0)</f>
        <v>#N/A</v>
      </c>
      <c r="FQ242" s="138" t="e">
        <f>IF(VLOOKUP(CONCATENATE(H242,F242,FQ$2),GeoHis!$A:$H,7,FALSE)=CE242,1,0)</f>
        <v>#N/A</v>
      </c>
      <c r="FR242" s="138" t="e">
        <f>IF(VLOOKUP(CONCATENATE(H242,F242,FR$2),GeoHis!$A:$H,7,FALSE)=CF242,1,0)</f>
        <v>#N/A</v>
      </c>
      <c r="FS242" s="138" t="e">
        <f>IF(VLOOKUP(CONCATENATE(H242,F242,FS$2),GeoHis!$A:$H,7,FALSE)=CG242,1,0)</f>
        <v>#N/A</v>
      </c>
      <c r="FT242" s="138" t="e">
        <f>IF(VLOOKUP(CONCATENATE(H242,F242,FT$2),GeoHis!$A:$H,7,FALSE)=CH242,1,0)</f>
        <v>#N/A</v>
      </c>
      <c r="FU242" s="138" t="e">
        <f>IF(VLOOKUP(CONCATENATE(H242,F242,FU$2),GeoHis!$A:$H,7,FALSE)=CI242,1,0)</f>
        <v>#N/A</v>
      </c>
      <c r="FV242" s="138" t="e">
        <f>IF(VLOOKUP(CONCATENATE(H242,F242,FV$2),GeoHis!$A:$H,7,FALSE)=CJ242,1,0)</f>
        <v>#N/A</v>
      </c>
      <c r="FW242" s="138" t="e">
        <f>IF(VLOOKUP(CONCATENATE(H242,F242,FW$2),GeoHis!$A:$H,7,FALSE)=CK242,1,0)</f>
        <v>#N/A</v>
      </c>
      <c r="FX242" s="138" t="e">
        <f>IF(VLOOKUP(CONCATENATE(H242,F242,FX$2),GeoHis!$A:$H,7,FALSE)=CL242,1,0)</f>
        <v>#N/A</v>
      </c>
      <c r="FY242" s="138" t="e">
        <f>IF(VLOOKUP(CONCATENATE(H242,F242,FY$2),GeoHis!$A:$H,7,FALSE)=CM242,1,0)</f>
        <v>#N/A</v>
      </c>
      <c r="FZ242" s="138" t="e">
        <f>IF(VLOOKUP(CONCATENATE(H242,F242,FZ$2),GeoHis!$A:$H,7,FALSE)=CN242,1,0)</f>
        <v>#N/A</v>
      </c>
      <c r="GA242" s="138" t="e">
        <f>IF(VLOOKUP(CONCATENATE(H242,F242,GA$2),GeoHis!$A:$H,7,FALSE)=CO242,1,0)</f>
        <v>#N/A</v>
      </c>
      <c r="GB242" s="138" t="e">
        <f>IF(VLOOKUP(CONCATENATE(H242,F242,GB$2),GeoHis!$A:$H,7,FALSE)=CP242,1,0)</f>
        <v>#N/A</v>
      </c>
      <c r="GC242" s="138" t="e">
        <f>IF(VLOOKUP(CONCATENATE(H242,F242,GC$2),GeoHis!$A:$H,7,FALSE)=CQ242,1,0)</f>
        <v>#N/A</v>
      </c>
      <c r="GD242" s="138" t="e">
        <f>IF(VLOOKUP(CONCATENATE(H242,F242,GD$2),GeoHis!$A:$H,7,FALSE)=CR242,1,0)</f>
        <v>#N/A</v>
      </c>
      <c r="GE242" s="135" t="str">
        <f t="shared" si="31"/>
        <v/>
      </c>
    </row>
    <row r="243" spans="1:187" x14ac:dyDescent="0.25">
      <c r="A243" s="127" t="str">
        <f>IF(C243="","",'Datos Generales'!$A$25)</f>
        <v/>
      </c>
      <c r="D243" s="126" t="str">
        <f t="shared" si="24"/>
        <v/>
      </c>
      <c r="E243" s="126">
        <f t="shared" si="25"/>
        <v>0</v>
      </c>
      <c r="F243" s="126" t="str">
        <f t="shared" si="26"/>
        <v/>
      </c>
      <c r="G243" s="126" t="str">
        <f>IF(C243="","",'Datos Generales'!$D$19)</f>
        <v/>
      </c>
      <c r="H243" s="21" t="str">
        <f>IF(C243="","",'Datos Generales'!$A$19)</f>
        <v/>
      </c>
      <c r="I243" s="126" t="str">
        <f>IF(C243="","",'Datos Generales'!$A$7)</f>
        <v/>
      </c>
      <c r="J243" s="21" t="str">
        <f>IF(C243="","",'Datos Generales'!$A$13)</f>
        <v/>
      </c>
      <c r="K243" s="21" t="str">
        <f>IF(C243="","",'Datos Generales'!$A$10)</f>
        <v/>
      </c>
      <c r="CS243" s="142" t="str">
        <f t="shared" si="27"/>
        <v/>
      </c>
      <c r="CT243" s="142" t="str">
        <f t="shared" si="28"/>
        <v/>
      </c>
      <c r="CU243" s="142" t="str">
        <f t="shared" si="29"/>
        <v/>
      </c>
      <c r="CV243" s="142" t="str">
        <f t="shared" si="30"/>
        <v/>
      </c>
      <c r="CW243" s="142" t="str">
        <f>IF(C243="","",IF('Datos Generales'!$A$19=1,AVERAGE(FP243:GD243),AVERAGE(Captura!FP243:FY243)))</f>
        <v/>
      </c>
      <c r="CX243" s="138" t="e">
        <f>IF(VLOOKUP(CONCATENATE($H$4,$F$4,CX$2),Español!$A:$H,7,FALSE)=L243,1,0)</f>
        <v>#N/A</v>
      </c>
      <c r="CY243" s="138" t="e">
        <f>IF(VLOOKUP(CONCATENATE(H243,F243,CY$2),Español!$A:$H,7,FALSE)=M243,1,0)</f>
        <v>#N/A</v>
      </c>
      <c r="CZ243" s="138" t="e">
        <f>IF(VLOOKUP(CONCATENATE(H243,F243,CZ$2),Español!$A:$H,7,FALSE)=N243,1,0)</f>
        <v>#N/A</v>
      </c>
      <c r="DA243" s="138" t="e">
        <f>IF(VLOOKUP(CONCATENATE(H243,F243,DA$2),Español!$A:$H,7,FALSE)=O243,1,0)</f>
        <v>#N/A</v>
      </c>
      <c r="DB243" s="138" t="e">
        <f>IF(VLOOKUP(CONCATENATE(H243,F243,DB$2),Español!$A:$H,7,FALSE)=P243,1,0)</f>
        <v>#N/A</v>
      </c>
      <c r="DC243" s="138" t="e">
        <f>IF(VLOOKUP(CONCATENATE(H243,F243,DC$2),Español!$A:$H,7,FALSE)=Q243,1,0)</f>
        <v>#N/A</v>
      </c>
      <c r="DD243" s="138" t="e">
        <f>IF(VLOOKUP(CONCATENATE(H243,F243,DD$2),Español!$A:$H,7,FALSE)=R243,1,0)</f>
        <v>#N/A</v>
      </c>
      <c r="DE243" s="138" t="e">
        <f>IF(VLOOKUP(CONCATENATE(H243,F243,DE$2),Español!$A:$H,7,FALSE)=S243,1,0)</f>
        <v>#N/A</v>
      </c>
      <c r="DF243" s="138" t="e">
        <f>IF(VLOOKUP(CONCATENATE(H243,F243,DF$2),Español!$A:$H,7,FALSE)=T243,1,0)</f>
        <v>#N/A</v>
      </c>
      <c r="DG243" s="138" t="e">
        <f>IF(VLOOKUP(CONCATENATE(H243,F243,DG$2),Español!$A:$H,7,FALSE)=U243,1,0)</f>
        <v>#N/A</v>
      </c>
      <c r="DH243" s="138" t="e">
        <f>IF(VLOOKUP(CONCATENATE(H243,F243,DH$2),Español!$A:$H,7,FALSE)=V243,1,0)</f>
        <v>#N/A</v>
      </c>
      <c r="DI243" s="138" t="e">
        <f>IF(VLOOKUP(CONCATENATE(H243,F243,DI$2),Español!$A:$H,7,FALSE)=W243,1,0)</f>
        <v>#N/A</v>
      </c>
      <c r="DJ243" s="138" t="e">
        <f>IF(VLOOKUP(CONCATENATE(H243,F243,DJ$2),Español!$A:$H,7,FALSE)=X243,1,0)</f>
        <v>#N/A</v>
      </c>
      <c r="DK243" s="138" t="e">
        <f>IF(VLOOKUP(CONCATENATE(H243,F243,DK$2),Español!$A:$H,7,FALSE)=Y243,1,0)</f>
        <v>#N/A</v>
      </c>
      <c r="DL243" s="138" t="e">
        <f>IF(VLOOKUP(CONCATENATE(H243,F243,DL$2),Español!$A:$H,7,FALSE)=Z243,1,0)</f>
        <v>#N/A</v>
      </c>
      <c r="DM243" s="138" t="e">
        <f>IF(VLOOKUP(CONCATENATE(H243,F243,DM$2),Español!$A:$H,7,FALSE)=AA243,1,0)</f>
        <v>#N/A</v>
      </c>
      <c r="DN243" s="138" t="e">
        <f>IF(VLOOKUP(CONCATENATE(H243,F243,DN$2),Español!$A:$H,7,FALSE)=AB243,1,0)</f>
        <v>#N/A</v>
      </c>
      <c r="DO243" s="138" t="e">
        <f>IF(VLOOKUP(CONCATENATE(H243,F243,DO$2),Español!$A:$H,7,FALSE)=AC243,1,0)</f>
        <v>#N/A</v>
      </c>
      <c r="DP243" s="138" t="e">
        <f>IF(VLOOKUP(CONCATENATE(H243,F243,DP$2),Español!$A:$H,7,FALSE)=AD243,1,0)</f>
        <v>#N/A</v>
      </c>
      <c r="DQ243" s="138" t="e">
        <f>IF(VLOOKUP(CONCATENATE(H243,F243,DQ$2),Español!$A:$H,7,FALSE)=AE243,1,0)</f>
        <v>#N/A</v>
      </c>
      <c r="DR243" s="138" t="e">
        <f>IF(VLOOKUP(CONCATENATE(H243,F243,DR$2),Inglés!$A:$H,7,FALSE)=AF243,1,0)</f>
        <v>#N/A</v>
      </c>
      <c r="DS243" s="138" t="e">
        <f>IF(VLOOKUP(CONCATENATE(H243,F243,DS$2),Inglés!$A:$H,7,FALSE)=AG243,1,0)</f>
        <v>#N/A</v>
      </c>
      <c r="DT243" s="138" t="e">
        <f>IF(VLOOKUP(CONCATENATE(H243,F243,DT$2),Inglés!$A:$H,7,FALSE)=AH243,1,0)</f>
        <v>#N/A</v>
      </c>
      <c r="DU243" s="138" t="e">
        <f>IF(VLOOKUP(CONCATENATE(H243,F243,DU$2),Inglés!$A:$H,7,FALSE)=AI243,1,0)</f>
        <v>#N/A</v>
      </c>
      <c r="DV243" s="138" t="e">
        <f>IF(VLOOKUP(CONCATENATE(H243,F243,DV$2),Inglés!$A:$H,7,FALSE)=AJ243,1,0)</f>
        <v>#N/A</v>
      </c>
      <c r="DW243" s="138" t="e">
        <f>IF(VLOOKUP(CONCATENATE(H243,F243,DW$2),Inglés!$A:$H,7,FALSE)=AK243,1,0)</f>
        <v>#N/A</v>
      </c>
      <c r="DX243" s="138" t="e">
        <f>IF(VLOOKUP(CONCATENATE(H243,F243,DX$2),Inglés!$A:$H,7,FALSE)=AL243,1,0)</f>
        <v>#N/A</v>
      </c>
      <c r="DY243" s="138" t="e">
        <f>IF(VLOOKUP(CONCATENATE(H243,F243,DY$2),Inglés!$A:$H,7,FALSE)=AM243,1,0)</f>
        <v>#N/A</v>
      </c>
      <c r="DZ243" s="138" t="e">
        <f>IF(VLOOKUP(CONCATENATE(H243,F243,DZ$2),Inglés!$A:$H,7,FALSE)=AN243,1,0)</f>
        <v>#N/A</v>
      </c>
      <c r="EA243" s="138" t="e">
        <f>IF(VLOOKUP(CONCATENATE(H243,F243,EA$2),Inglés!$A:$H,7,FALSE)=AO243,1,0)</f>
        <v>#N/A</v>
      </c>
      <c r="EB243" s="138" t="e">
        <f>IF(VLOOKUP(CONCATENATE(H243,F243,EB$2),Matemáticas!$A:$H,7,FALSE)=AP243,1,0)</f>
        <v>#N/A</v>
      </c>
      <c r="EC243" s="138" t="e">
        <f>IF(VLOOKUP(CONCATENATE(H243,F243,EC$2),Matemáticas!$A:$H,7,FALSE)=AQ243,1,0)</f>
        <v>#N/A</v>
      </c>
      <c r="ED243" s="138" t="e">
        <f>IF(VLOOKUP(CONCATENATE(H243,F243,ED$2),Matemáticas!$A:$H,7,FALSE)=AR243,1,0)</f>
        <v>#N/A</v>
      </c>
      <c r="EE243" s="138" t="e">
        <f>IF(VLOOKUP(CONCATENATE(H243,F243,EE$2),Matemáticas!$A:$H,7,FALSE)=AS243,1,0)</f>
        <v>#N/A</v>
      </c>
      <c r="EF243" s="138" t="e">
        <f>IF(VLOOKUP(CONCATENATE(H243,F243,EF$2),Matemáticas!$A:$H,7,FALSE)=AT243,1,0)</f>
        <v>#N/A</v>
      </c>
      <c r="EG243" s="138" t="e">
        <f>IF(VLOOKUP(CONCATENATE(H243,F243,EG$2),Matemáticas!$A:$H,7,FALSE)=AU243,1,0)</f>
        <v>#N/A</v>
      </c>
      <c r="EH243" s="138" t="e">
        <f>IF(VLOOKUP(CONCATENATE(H243,F243,EH$2),Matemáticas!$A:$H,7,FALSE)=AV243,1,0)</f>
        <v>#N/A</v>
      </c>
      <c r="EI243" s="138" t="e">
        <f>IF(VLOOKUP(CONCATENATE(H243,F243,EI$2),Matemáticas!$A:$H,7,FALSE)=AW243,1,0)</f>
        <v>#N/A</v>
      </c>
      <c r="EJ243" s="138" t="e">
        <f>IF(VLOOKUP(CONCATENATE(H243,F243,EJ$2),Matemáticas!$A:$H,7,FALSE)=AX243,1,0)</f>
        <v>#N/A</v>
      </c>
      <c r="EK243" s="138" t="e">
        <f>IF(VLOOKUP(CONCATENATE(H243,F243,EK$2),Matemáticas!$A:$H,7,FALSE)=AY243,1,0)</f>
        <v>#N/A</v>
      </c>
      <c r="EL243" s="138" t="e">
        <f>IF(VLOOKUP(CONCATENATE(H243,F243,EL$2),Matemáticas!$A:$H,7,FALSE)=AZ243,1,0)</f>
        <v>#N/A</v>
      </c>
      <c r="EM243" s="138" t="e">
        <f>IF(VLOOKUP(CONCATENATE(H243,F243,EM$2),Matemáticas!$A:$H,7,FALSE)=BA243,1,0)</f>
        <v>#N/A</v>
      </c>
      <c r="EN243" s="138" t="e">
        <f>IF(VLOOKUP(CONCATENATE(H243,F243,EN$2),Matemáticas!$A:$H,7,FALSE)=BB243,1,0)</f>
        <v>#N/A</v>
      </c>
      <c r="EO243" s="138" t="e">
        <f>IF(VLOOKUP(CONCATENATE(H243,F243,EO$2),Matemáticas!$A:$H,7,FALSE)=BC243,1,0)</f>
        <v>#N/A</v>
      </c>
      <c r="EP243" s="138" t="e">
        <f>IF(VLOOKUP(CONCATENATE(H243,F243,EP$2),Matemáticas!$A:$H,7,FALSE)=BD243,1,0)</f>
        <v>#N/A</v>
      </c>
      <c r="EQ243" s="138" t="e">
        <f>IF(VLOOKUP(CONCATENATE(H243,F243,EQ$2),Matemáticas!$A:$H,7,FALSE)=BE243,1,0)</f>
        <v>#N/A</v>
      </c>
      <c r="ER243" s="138" t="e">
        <f>IF(VLOOKUP(CONCATENATE(H243,F243,ER$2),Matemáticas!$A:$H,7,FALSE)=BF243,1,0)</f>
        <v>#N/A</v>
      </c>
      <c r="ES243" s="138" t="e">
        <f>IF(VLOOKUP(CONCATENATE(H243,F243,ES$2),Matemáticas!$A:$H,7,FALSE)=BG243,1,0)</f>
        <v>#N/A</v>
      </c>
      <c r="ET243" s="138" t="e">
        <f>IF(VLOOKUP(CONCATENATE(H243,F243,ET$2),Matemáticas!$A:$H,7,FALSE)=BH243,1,0)</f>
        <v>#N/A</v>
      </c>
      <c r="EU243" s="138" t="e">
        <f>IF(VLOOKUP(CONCATENATE(H243,F243,EU$2),Matemáticas!$A:$H,7,FALSE)=BI243,1,0)</f>
        <v>#N/A</v>
      </c>
      <c r="EV243" s="138" t="e">
        <f>IF(VLOOKUP(CONCATENATE(H243,F243,EV$2),Ciencias!$A:$H,7,FALSE)=BJ243,1,0)</f>
        <v>#N/A</v>
      </c>
      <c r="EW243" s="138" t="e">
        <f>IF(VLOOKUP(CONCATENATE(H243,F243,EW$2),Ciencias!$A:$H,7,FALSE)=BK243,1,0)</f>
        <v>#N/A</v>
      </c>
      <c r="EX243" s="138" t="e">
        <f>IF(VLOOKUP(CONCATENATE(H243,F243,EX$2),Ciencias!$A:$H,7,FALSE)=BL243,1,0)</f>
        <v>#N/A</v>
      </c>
      <c r="EY243" s="138" t="e">
        <f>IF(VLOOKUP(CONCATENATE(H243,F243,EY$2),Ciencias!$A:$H,7,FALSE)=BM243,1,0)</f>
        <v>#N/A</v>
      </c>
      <c r="EZ243" s="138" t="e">
        <f>IF(VLOOKUP(CONCATENATE(H243,F243,EZ$2),Ciencias!$A:$H,7,FALSE)=BN243,1,0)</f>
        <v>#N/A</v>
      </c>
      <c r="FA243" s="138" t="e">
        <f>IF(VLOOKUP(CONCATENATE(H243,F243,FA$2),Ciencias!$A:$H,7,FALSE)=BO243,1,0)</f>
        <v>#N/A</v>
      </c>
      <c r="FB243" s="138" t="e">
        <f>IF(VLOOKUP(CONCATENATE(H243,F243,FB$2),Ciencias!$A:$H,7,FALSE)=BP243,1,0)</f>
        <v>#N/A</v>
      </c>
      <c r="FC243" s="138" t="e">
        <f>IF(VLOOKUP(CONCATENATE(H243,F243,FC$2),Ciencias!$A:$H,7,FALSE)=BQ243,1,0)</f>
        <v>#N/A</v>
      </c>
      <c r="FD243" s="138" t="e">
        <f>IF(VLOOKUP(CONCATENATE(H243,F243,FD$2),Ciencias!$A:$H,7,FALSE)=BR243,1,0)</f>
        <v>#N/A</v>
      </c>
      <c r="FE243" s="138" t="e">
        <f>IF(VLOOKUP(CONCATENATE(H243,F243,FE$2),Ciencias!$A:$H,7,FALSE)=BS243,1,0)</f>
        <v>#N/A</v>
      </c>
      <c r="FF243" s="138" t="e">
        <f>IF(VLOOKUP(CONCATENATE(H243,F243,FF$2),Ciencias!$A:$H,7,FALSE)=BT243,1,0)</f>
        <v>#N/A</v>
      </c>
      <c r="FG243" s="138" t="e">
        <f>IF(VLOOKUP(CONCATENATE(H243,F243,FG$2),Ciencias!$A:$H,7,FALSE)=BU243,1,0)</f>
        <v>#N/A</v>
      </c>
      <c r="FH243" s="138" t="e">
        <f>IF(VLOOKUP(CONCATENATE(H243,F243,FH$2),Ciencias!$A:$H,7,FALSE)=BV243,1,0)</f>
        <v>#N/A</v>
      </c>
      <c r="FI243" s="138" t="e">
        <f>IF(VLOOKUP(CONCATENATE(H243,F243,FI$2),Ciencias!$A:$H,7,FALSE)=BW243,1,0)</f>
        <v>#N/A</v>
      </c>
      <c r="FJ243" s="138" t="e">
        <f>IF(VLOOKUP(CONCATENATE(H243,F243,FJ$2),Ciencias!$A:$H,7,FALSE)=BX243,1,0)</f>
        <v>#N/A</v>
      </c>
      <c r="FK243" s="138" t="e">
        <f>IF(VLOOKUP(CONCATENATE(H243,F243,FK$2),Ciencias!$A:$H,7,FALSE)=BY243,1,0)</f>
        <v>#N/A</v>
      </c>
      <c r="FL243" s="138" t="e">
        <f>IF(VLOOKUP(CONCATENATE(H243,F243,FL$2),Ciencias!$A:$H,7,FALSE)=BZ243,1,0)</f>
        <v>#N/A</v>
      </c>
      <c r="FM243" s="138" t="e">
        <f>IF(VLOOKUP(CONCATENATE(H243,F243,FM$2),Ciencias!$A:$H,7,FALSE)=CA243,1,0)</f>
        <v>#N/A</v>
      </c>
      <c r="FN243" s="138" t="e">
        <f>IF(VLOOKUP(CONCATENATE(H243,F243,FN$2),Ciencias!$A:$H,7,FALSE)=CB243,1,0)</f>
        <v>#N/A</v>
      </c>
      <c r="FO243" s="138" t="e">
        <f>IF(VLOOKUP(CONCATENATE(H243,F243,FO$2),Ciencias!$A:$H,7,FALSE)=CC243,1,0)</f>
        <v>#N/A</v>
      </c>
      <c r="FP243" s="138" t="e">
        <f>IF(VLOOKUP(CONCATENATE(H243,F243,FP$2),GeoHis!$A:$H,7,FALSE)=CD243,1,0)</f>
        <v>#N/A</v>
      </c>
      <c r="FQ243" s="138" t="e">
        <f>IF(VLOOKUP(CONCATENATE(H243,F243,FQ$2),GeoHis!$A:$H,7,FALSE)=CE243,1,0)</f>
        <v>#N/A</v>
      </c>
      <c r="FR243" s="138" t="e">
        <f>IF(VLOOKUP(CONCATENATE(H243,F243,FR$2),GeoHis!$A:$H,7,FALSE)=CF243,1,0)</f>
        <v>#N/A</v>
      </c>
      <c r="FS243" s="138" t="e">
        <f>IF(VLOOKUP(CONCATENATE(H243,F243,FS$2),GeoHis!$A:$H,7,FALSE)=CG243,1,0)</f>
        <v>#N/A</v>
      </c>
      <c r="FT243" s="138" t="e">
        <f>IF(VLOOKUP(CONCATENATE(H243,F243,FT$2),GeoHis!$A:$H,7,FALSE)=CH243,1,0)</f>
        <v>#N/A</v>
      </c>
      <c r="FU243" s="138" t="e">
        <f>IF(VLOOKUP(CONCATENATE(H243,F243,FU$2),GeoHis!$A:$H,7,FALSE)=CI243,1,0)</f>
        <v>#N/A</v>
      </c>
      <c r="FV243" s="138" t="e">
        <f>IF(VLOOKUP(CONCATENATE(H243,F243,FV$2),GeoHis!$A:$H,7,FALSE)=CJ243,1,0)</f>
        <v>#N/A</v>
      </c>
      <c r="FW243" s="138" t="e">
        <f>IF(VLOOKUP(CONCATENATE(H243,F243,FW$2),GeoHis!$A:$H,7,FALSE)=CK243,1,0)</f>
        <v>#N/A</v>
      </c>
      <c r="FX243" s="138" t="e">
        <f>IF(VLOOKUP(CONCATENATE(H243,F243,FX$2),GeoHis!$A:$H,7,FALSE)=CL243,1,0)</f>
        <v>#N/A</v>
      </c>
      <c r="FY243" s="138" t="e">
        <f>IF(VLOOKUP(CONCATENATE(H243,F243,FY$2),GeoHis!$A:$H,7,FALSE)=CM243,1,0)</f>
        <v>#N/A</v>
      </c>
      <c r="FZ243" s="138" t="e">
        <f>IF(VLOOKUP(CONCATENATE(H243,F243,FZ$2),GeoHis!$A:$H,7,FALSE)=CN243,1,0)</f>
        <v>#N/A</v>
      </c>
      <c r="GA243" s="138" t="e">
        <f>IF(VLOOKUP(CONCATENATE(H243,F243,GA$2),GeoHis!$A:$H,7,FALSE)=CO243,1,0)</f>
        <v>#N/A</v>
      </c>
      <c r="GB243" s="138" t="e">
        <f>IF(VLOOKUP(CONCATENATE(H243,F243,GB$2),GeoHis!$A:$H,7,FALSE)=CP243,1,0)</f>
        <v>#N/A</v>
      </c>
      <c r="GC243" s="138" t="e">
        <f>IF(VLOOKUP(CONCATENATE(H243,F243,GC$2),GeoHis!$A:$H,7,FALSE)=CQ243,1,0)</f>
        <v>#N/A</v>
      </c>
      <c r="GD243" s="138" t="e">
        <f>IF(VLOOKUP(CONCATENATE(H243,F243,GD$2),GeoHis!$A:$H,7,FALSE)=CR243,1,0)</f>
        <v>#N/A</v>
      </c>
      <c r="GE243" s="135" t="str">
        <f t="shared" si="31"/>
        <v/>
      </c>
    </row>
    <row r="244" spans="1:187" x14ac:dyDescent="0.25">
      <c r="A244" s="127" t="str">
        <f>IF(C244="","",'Datos Generales'!$A$25)</f>
        <v/>
      </c>
      <c r="D244" s="126" t="str">
        <f t="shared" si="24"/>
        <v/>
      </c>
      <c r="E244" s="126">
        <f t="shared" si="25"/>
        <v>0</v>
      </c>
      <c r="F244" s="126" t="str">
        <f t="shared" si="26"/>
        <v/>
      </c>
      <c r="G244" s="126" t="str">
        <f>IF(C244="","",'Datos Generales'!$D$19)</f>
        <v/>
      </c>
      <c r="H244" s="21" t="str">
        <f>IF(C244="","",'Datos Generales'!$A$19)</f>
        <v/>
      </c>
      <c r="I244" s="126" t="str">
        <f>IF(C244="","",'Datos Generales'!$A$7)</f>
        <v/>
      </c>
      <c r="J244" s="21" t="str">
        <f>IF(C244="","",'Datos Generales'!$A$13)</f>
        <v/>
      </c>
      <c r="K244" s="21" t="str">
        <f>IF(C244="","",'Datos Generales'!$A$10)</f>
        <v/>
      </c>
      <c r="CS244" s="142" t="str">
        <f t="shared" si="27"/>
        <v/>
      </c>
      <c r="CT244" s="142" t="str">
        <f t="shared" si="28"/>
        <v/>
      </c>
      <c r="CU244" s="142" t="str">
        <f t="shared" si="29"/>
        <v/>
      </c>
      <c r="CV244" s="142" t="str">
        <f t="shared" si="30"/>
        <v/>
      </c>
      <c r="CW244" s="142" t="str">
        <f>IF(C244="","",IF('Datos Generales'!$A$19=1,AVERAGE(FP244:GD244),AVERAGE(Captura!FP244:FY244)))</f>
        <v/>
      </c>
      <c r="CX244" s="138" t="e">
        <f>IF(VLOOKUP(CONCATENATE($H$4,$F$4,CX$2),Español!$A:$H,7,FALSE)=L244,1,0)</f>
        <v>#N/A</v>
      </c>
      <c r="CY244" s="138" t="e">
        <f>IF(VLOOKUP(CONCATENATE(H244,F244,CY$2),Español!$A:$H,7,FALSE)=M244,1,0)</f>
        <v>#N/A</v>
      </c>
      <c r="CZ244" s="138" t="e">
        <f>IF(VLOOKUP(CONCATENATE(H244,F244,CZ$2),Español!$A:$H,7,FALSE)=N244,1,0)</f>
        <v>#N/A</v>
      </c>
      <c r="DA244" s="138" t="e">
        <f>IF(VLOOKUP(CONCATENATE(H244,F244,DA$2),Español!$A:$H,7,FALSE)=O244,1,0)</f>
        <v>#N/A</v>
      </c>
      <c r="DB244" s="138" t="e">
        <f>IF(VLOOKUP(CONCATENATE(H244,F244,DB$2),Español!$A:$H,7,FALSE)=P244,1,0)</f>
        <v>#N/A</v>
      </c>
      <c r="DC244" s="138" t="e">
        <f>IF(VLOOKUP(CONCATENATE(H244,F244,DC$2),Español!$A:$H,7,FALSE)=Q244,1,0)</f>
        <v>#N/A</v>
      </c>
      <c r="DD244" s="138" t="e">
        <f>IF(VLOOKUP(CONCATENATE(H244,F244,DD$2),Español!$A:$H,7,FALSE)=R244,1,0)</f>
        <v>#N/A</v>
      </c>
      <c r="DE244" s="138" t="e">
        <f>IF(VLOOKUP(CONCATENATE(H244,F244,DE$2),Español!$A:$H,7,FALSE)=S244,1,0)</f>
        <v>#N/A</v>
      </c>
      <c r="DF244" s="138" t="e">
        <f>IF(VLOOKUP(CONCATENATE(H244,F244,DF$2),Español!$A:$H,7,FALSE)=T244,1,0)</f>
        <v>#N/A</v>
      </c>
      <c r="DG244" s="138" t="e">
        <f>IF(VLOOKUP(CONCATENATE(H244,F244,DG$2),Español!$A:$H,7,FALSE)=U244,1,0)</f>
        <v>#N/A</v>
      </c>
      <c r="DH244" s="138" t="e">
        <f>IF(VLOOKUP(CONCATENATE(H244,F244,DH$2),Español!$A:$H,7,FALSE)=V244,1,0)</f>
        <v>#N/A</v>
      </c>
      <c r="DI244" s="138" t="e">
        <f>IF(VLOOKUP(CONCATENATE(H244,F244,DI$2),Español!$A:$H,7,FALSE)=W244,1,0)</f>
        <v>#N/A</v>
      </c>
      <c r="DJ244" s="138" t="e">
        <f>IF(VLOOKUP(CONCATENATE(H244,F244,DJ$2),Español!$A:$H,7,FALSE)=X244,1,0)</f>
        <v>#N/A</v>
      </c>
      <c r="DK244" s="138" t="e">
        <f>IF(VLOOKUP(CONCATENATE(H244,F244,DK$2),Español!$A:$H,7,FALSE)=Y244,1,0)</f>
        <v>#N/A</v>
      </c>
      <c r="DL244" s="138" t="e">
        <f>IF(VLOOKUP(CONCATENATE(H244,F244,DL$2),Español!$A:$H,7,FALSE)=Z244,1,0)</f>
        <v>#N/A</v>
      </c>
      <c r="DM244" s="138" t="e">
        <f>IF(VLOOKUP(CONCATENATE(H244,F244,DM$2),Español!$A:$H,7,FALSE)=AA244,1,0)</f>
        <v>#N/A</v>
      </c>
      <c r="DN244" s="138" t="e">
        <f>IF(VLOOKUP(CONCATENATE(H244,F244,DN$2),Español!$A:$H,7,FALSE)=AB244,1,0)</f>
        <v>#N/A</v>
      </c>
      <c r="DO244" s="138" t="e">
        <f>IF(VLOOKUP(CONCATENATE(H244,F244,DO$2),Español!$A:$H,7,FALSE)=AC244,1,0)</f>
        <v>#N/A</v>
      </c>
      <c r="DP244" s="138" t="e">
        <f>IF(VLOOKUP(CONCATENATE(H244,F244,DP$2),Español!$A:$H,7,FALSE)=AD244,1,0)</f>
        <v>#N/A</v>
      </c>
      <c r="DQ244" s="138" t="e">
        <f>IF(VLOOKUP(CONCATENATE(H244,F244,DQ$2),Español!$A:$H,7,FALSE)=AE244,1,0)</f>
        <v>#N/A</v>
      </c>
      <c r="DR244" s="138" t="e">
        <f>IF(VLOOKUP(CONCATENATE(H244,F244,DR$2),Inglés!$A:$H,7,FALSE)=AF244,1,0)</f>
        <v>#N/A</v>
      </c>
      <c r="DS244" s="138" t="e">
        <f>IF(VLOOKUP(CONCATENATE(H244,F244,DS$2),Inglés!$A:$H,7,FALSE)=AG244,1,0)</f>
        <v>#N/A</v>
      </c>
      <c r="DT244" s="138" t="e">
        <f>IF(VLOOKUP(CONCATENATE(H244,F244,DT$2),Inglés!$A:$H,7,FALSE)=AH244,1,0)</f>
        <v>#N/A</v>
      </c>
      <c r="DU244" s="138" t="e">
        <f>IF(VLOOKUP(CONCATENATE(H244,F244,DU$2),Inglés!$A:$H,7,FALSE)=AI244,1,0)</f>
        <v>#N/A</v>
      </c>
      <c r="DV244" s="138" t="e">
        <f>IF(VLOOKUP(CONCATENATE(H244,F244,DV$2),Inglés!$A:$H,7,FALSE)=AJ244,1,0)</f>
        <v>#N/A</v>
      </c>
      <c r="DW244" s="138" t="e">
        <f>IF(VLOOKUP(CONCATENATE(H244,F244,DW$2),Inglés!$A:$H,7,FALSE)=AK244,1,0)</f>
        <v>#N/A</v>
      </c>
      <c r="DX244" s="138" t="e">
        <f>IF(VLOOKUP(CONCATENATE(H244,F244,DX$2),Inglés!$A:$H,7,FALSE)=AL244,1,0)</f>
        <v>#N/A</v>
      </c>
      <c r="DY244" s="138" t="e">
        <f>IF(VLOOKUP(CONCATENATE(H244,F244,DY$2),Inglés!$A:$H,7,FALSE)=AM244,1,0)</f>
        <v>#N/A</v>
      </c>
      <c r="DZ244" s="138" t="e">
        <f>IF(VLOOKUP(CONCATENATE(H244,F244,DZ$2),Inglés!$A:$H,7,FALSE)=AN244,1,0)</f>
        <v>#N/A</v>
      </c>
      <c r="EA244" s="138" t="e">
        <f>IF(VLOOKUP(CONCATENATE(H244,F244,EA$2),Inglés!$A:$H,7,FALSE)=AO244,1,0)</f>
        <v>#N/A</v>
      </c>
      <c r="EB244" s="138" t="e">
        <f>IF(VLOOKUP(CONCATENATE(H244,F244,EB$2),Matemáticas!$A:$H,7,FALSE)=AP244,1,0)</f>
        <v>#N/A</v>
      </c>
      <c r="EC244" s="138" t="e">
        <f>IF(VLOOKUP(CONCATENATE(H244,F244,EC$2),Matemáticas!$A:$H,7,FALSE)=AQ244,1,0)</f>
        <v>#N/A</v>
      </c>
      <c r="ED244" s="138" t="e">
        <f>IF(VLOOKUP(CONCATENATE(H244,F244,ED$2),Matemáticas!$A:$H,7,FALSE)=AR244,1,0)</f>
        <v>#N/A</v>
      </c>
      <c r="EE244" s="138" t="e">
        <f>IF(VLOOKUP(CONCATENATE(H244,F244,EE$2),Matemáticas!$A:$H,7,FALSE)=AS244,1,0)</f>
        <v>#N/A</v>
      </c>
      <c r="EF244" s="138" t="e">
        <f>IF(VLOOKUP(CONCATENATE(H244,F244,EF$2),Matemáticas!$A:$H,7,FALSE)=AT244,1,0)</f>
        <v>#N/A</v>
      </c>
      <c r="EG244" s="138" t="e">
        <f>IF(VLOOKUP(CONCATENATE(H244,F244,EG$2),Matemáticas!$A:$H,7,FALSE)=AU244,1,0)</f>
        <v>#N/A</v>
      </c>
      <c r="EH244" s="138" t="e">
        <f>IF(VLOOKUP(CONCATENATE(H244,F244,EH$2),Matemáticas!$A:$H,7,FALSE)=AV244,1,0)</f>
        <v>#N/A</v>
      </c>
      <c r="EI244" s="138" t="e">
        <f>IF(VLOOKUP(CONCATENATE(H244,F244,EI$2),Matemáticas!$A:$H,7,FALSE)=AW244,1,0)</f>
        <v>#N/A</v>
      </c>
      <c r="EJ244" s="138" t="e">
        <f>IF(VLOOKUP(CONCATENATE(H244,F244,EJ$2),Matemáticas!$A:$H,7,FALSE)=AX244,1,0)</f>
        <v>#N/A</v>
      </c>
      <c r="EK244" s="138" t="e">
        <f>IF(VLOOKUP(CONCATENATE(H244,F244,EK$2),Matemáticas!$A:$H,7,FALSE)=AY244,1,0)</f>
        <v>#N/A</v>
      </c>
      <c r="EL244" s="138" t="e">
        <f>IF(VLOOKUP(CONCATENATE(H244,F244,EL$2),Matemáticas!$A:$H,7,FALSE)=AZ244,1,0)</f>
        <v>#N/A</v>
      </c>
      <c r="EM244" s="138" t="e">
        <f>IF(VLOOKUP(CONCATENATE(H244,F244,EM$2),Matemáticas!$A:$H,7,FALSE)=BA244,1,0)</f>
        <v>#N/A</v>
      </c>
      <c r="EN244" s="138" t="e">
        <f>IF(VLOOKUP(CONCATENATE(H244,F244,EN$2),Matemáticas!$A:$H,7,FALSE)=BB244,1,0)</f>
        <v>#N/A</v>
      </c>
      <c r="EO244" s="138" t="e">
        <f>IF(VLOOKUP(CONCATENATE(H244,F244,EO$2),Matemáticas!$A:$H,7,FALSE)=BC244,1,0)</f>
        <v>#N/A</v>
      </c>
      <c r="EP244" s="138" t="e">
        <f>IF(VLOOKUP(CONCATENATE(H244,F244,EP$2),Matemáticas!$A:$H,7,FALSE)=BD244,1,0)</f>
        <v>#N/A</v>
      </c>
      <c r="EQ244" s="138" t="e">
        <f>IF(VLOOKUP(CONCATENATE(H244,F244,EQ$2),Matemáticas!$A:$H,7,FALSE)=BE244,1,0)</f>
        <v>#N/A</v>
      </c>
      <c r="ER244" s="138" t="e">
        <f>IF(VLOOKUP(CONCATENATE(H244,F244,ER$2),Matemáticas!$A:$H,7,FALSE)=BF244,1,0)</f>
        <v>#N/A</v>
      </c>
      <c r="ES244" s="138" t="e">
        <f>IF(VLOOKUP(CONCATENATE(H244,F244,ES$2),Matemáticas!$A:$H,7,FALSE)=BG244,1,0)</f>
        <v>#N/A</v>
      </c>
      <c r="ET244" s="138" t="e">
        <f>IF(VLOOKUP(CONCATENATE(H244,F244,ET$2),Matemáticas!$A:$H,7,FALSE)=BH244,1,0)</f>
        <v>#N/A</v>
      </c>
      <c r="EU244" s="138" t="e">
        <f>IF(VLOOKUP(CONCATENATE(H244,F244,EU$2),Matemáticas!$A:$H,7,FALSE)=BI244,1,0)</f>
        <v>#N/A</v>
      </c>
      <c r="EV244" s="138" t="e">
        <f>IF(VLOOKUP(CONCATENATE(H244,F244,EV$2),Ciencias!$A:$H,7,FALSE)=BJ244,1,0)</f>
        <v>#N/A</v>
      </c>
      <c r="EW244" s="138" t="e">
        <f>IF(VLOOKUP(CONCATENATE(H244,F244,EW$2),Ciencias!$A:$H,7,FALSE)=BK244,1,0)</f>
        <v>#N/A</v>
      </c>
      <c r="EX244" s="138" t="e">
        <f>IF(VLOOKUP(CONCATENATE(H244,F244,EX$2),Ciencias!$A:$H,7,FALSE)=BL244,1,0)</f>
        <v>#N/A</v>
      </c>
      <c r="EY244" s="138" t="e">
        <f>IF(VLOOKUP(CONCATENATE(H244,F244,EY$2),Ciencias!$A:$H,7,FALSE)=BM244,1,0)</f>
        <v>#N/A</v>
      </c>
      <c r="EZ244" s="138" t="e">
        <f>IF(VLOOKUP(CONCATENATE(H244,F244,EZ$2),Ciencias!$A:$H,7,FALSE)=BN244,1,0)</f>
        <v>#N/A</v>
      </c>
      <c r="FA244" s="138" t="e">
        <f>IF(VLOOKUP(CONCATENATE(H244,F244,FA$2),Ciencias!$A:$H,7,FALSE)=BO244,1,0)</f>
        <v>#N/A</v>
      </c>
      <c r="FB244" s="138" t="e">
        <f>IF(VLOOKUP(CONCATENATE(H244,F244,FB$2),Ciencias!$A:$H,7,FALSE)=BP244,1,0)</f>
        <v>#N/A</v>
      </c>
      <c r="FC244" s="138" t="e">
        <f>IF(VLOOKUP(CONCATENATE(H244,F244,FC$2),Ciencias!$A:$H,7,FALSE)=BQ244,1,0)</f>
        <v>#N/A</v>
      </c>
      <c r="FD244" s="138" t="e">
        <f>IF(VLOOKUP(CONCATENATE(H244,F244,FD$2),Ciencias!$A:$H,7,FALSE)=BR244,1,0)</f>
        <v>#N/A</v>
      </c>
      <c r="FE244" s="138" t="e">
        <f>IF(VLOOKUP(CONCATENATE(H244,F244,FE$2),Ciencias!$A:$H,7,FALSE)=BS244,1,0)</f>
        <v>#N/A</v>
      </c>
      <c r="FF244" s="138" t="e">
        <f>IF(VLOOKUP(CONCATENATE(H244,F244,FF$2),Ciencias!$A:$H,7,FALSE)=BT244,1,0)</f>
        <v>#N/A</v>
      </c>
      <c r="FG244" s="138" t="e">
        <f>IF(VLOOKUP(CONCATENATE(H244,F244,FG$2),Ciencias!$A:$H,7,FALSE)=BU244,1,0)</f>
        <v>#N/A</v>
      </c>
      <c r="FH244" s="138" t="e">
        <f>IF(VLOOKUP(CONCATENATE(H244,F244,FH$2),Ciencias!$A:$H,7,FALSE)=BV244,1,0)</f>
        <v>#N/A</v>
      </c>
      <c r="FI244" s="138" t="e">
        <f>IF(VLOOKUP(CONCATENATE(H244,F244,FI$2),Ciencias!$A:$H,7,FALSE)=BW244,1,0)</f>
        <v>#N/A</v>
      </c>
      <c r="FJ244" s="138" t="e">
        <f>IF(VLOOKUP(CONCATENATE(H244,F244,FJ$2),Ciencias!$A:$H,7,FALSE)=BX244,1,0)</f>
        <v>#N/A</v>
      </c>
      <c r="FK244" s="138" t="e">
        <f>IF(VLOOKUP(CONCATENATE(H244,F244,FK$2),Ciencias!$A:$H,7,FALSE)=BY244,1,0)</f>
        <v>#N/A</v>
      </c>
      <c r="FL244" s="138" t="e">
        <f>IF(VLOOKUP(CONCATENATE(H244,F244,FL$2),Ciencias!$A:$H,7,FALSE)=BZ244,1,0)</f>
        <v>#N/A</v>
      </c>
      <c r="FM244" s="138" t="e">
        <f>IF(VLOOKUP(CONCATENATE(H244,F244,FM$2),Ciencias!$A:$H,7,FALSE)=CA244,1,0)</f>
        <v>#N/A</v>
      </c>
      <c r="FN244" s="138" t="e">
        <f>IF(VLOOKUP(CONCATENATE(H244,F244,FN$2),Ciencias!$A:$H,7,FALSE)=CB244,1,0)</f>
        <v>#N/A</v>
      </c>
      <c r="FO244" s="138" t="e">
        <f>IF(VLOOKUP(CONCATENATE(H244,F244,FO$2),Ciencias!$A:$H,7,FALSE)=CC244,1,0)</f>
        <v>#N/A</v>
      </c>
      <c r="FP244" s="138" t="e">
        <f>IF(VLOOKUP(CONCATENATE(H244,F244,FP$2),GeoHis!$A:$H,7,FALSE)=CD244,1,0)</f>
        <v>#N/A</v>
      </c>
      <c r="FQ244" s="138" t="e">
        <f>IF(VLOOKUP(CONCATENATE(H244,F244,FQ$2),GeoHis!$A:$H,7,FALSE)=CE244,1,0)</f>
        <v>#N/A</v>
      </c>
      <c r="FR244" s="138" t="e">
        <f>IF(VLOOKUP(CONCATENATE(H244,F244,FR$2),GeoHis!$A:$H,7,FALSE)=CF244,1,0)</f>
        <v>#N/A</v>
      </c>
      <c r="FS244" s="138" t="e">
        <f>IF(VLOOKUP(CONCATENATE(H244,F244,FS$2),GeoHis!$A:$H,7,FALSE)=CG244,1,0)</f>
        <v>#N/A</v>
      </c>
      <c r="FT244" s="138" t="e">
        <f>IF(VLOOKUP(CONCATENATE(H244,F244,FT$2),GeoHis!$A:$H,7,FALSE)=CH244,1,0)</f>
        <v>#N/A</v>
      </c>
      <c r="FU244" s="138" t="e">
        <f>IF(VLOOKUP(CONCATENATE(H244,F244,FU$2),GeoHis!$A:$H,7,FALSE)=CI244,1,0)</f>
        <v>#N/A</v>
      </c>
      <c r="FV244" s="138" t="e">
        <f>IF(VLOOKUP(CONCATENATE(H244,F244,FV$2),GeoHis!$A:$H,7,FALSE)=CJ244,1,0)</f>
        <v>#N/A</v>
      </c>
      <c r="FW244" s="138" t="e">
        <f>IF(VLOOKUP(CONCATENATE(H244,F244,FW$2),GeoHis!$A:$H,7,FALSE)=CK244,1,0)</f>
        <v>#N/A</v>
      </c>
      <c r="FX244" s="138" t="e">
        <f>IF(VLOOKUP(CONCATENATE(H244,F244,FX$2),GeoHis!$A:$H,7,FALSE)=CL244,1,0)</f>
        <v>#N/A</v>
      </c>
      <c r="FY244" s="138" t="e">
        <f>IF(VLOOKUP(CONCATENATE(H244,F244,FY$2),GeoHis!$A:$H,7,FALSE)=CM244,1,0)</f>
        <v>#N/A</v>
      </c>
      <c r="FZ244" s="138" t="e">
        <f>IF(VLOOKUP(CONCATENATE(H244,F244,FZ$2),GeoHis!$A:$H,7,FALSE)=CN244,1,0)</f>
        <v>#N/A</v>
      </c>
      <c r="GA244" s="138" t="e">
        <f>IF(VLOOKUP(CONCATENATE(H244,F244,GA$2),GeoHis!$A:$H,7,FALSE)=CO244,1,0)</f>
        <v>#N/A</v>
      </c>
      <c r="GB244" s="138" t="e">
        <f>IF(VLOOKUP(CONCATENATE(H244,F244,GB$2),GeoHis!$A:$H,7,FALSE)=CP244,1,0)</f>
        <v>#N/A</v>
      </c>
      <c r="GC244" s="138" t="e">
        <f>IF(VLOOKUP(CONCATENATE(H244,F244,GC$2),GeoHis!$A:$H,7,FALSE)=CQ244,1,0)</f>
        <v>#N/A</v>
      </c>
      <c r="GD244" s="138" t="e">
        <f>IF(VLOOKUP(CONCATENATE(H244,F244,GD$2),GeoHis!$A:$H,7,FALSE)=CR244,1,0)</f>
        <v>#N/A</v>
      </c>
      <c r="GE244" s="135" t="str">
        <f t="shared" si="31"/>
        <v/>
      </c>
    </row>
    <row r="245" spans="1:187" x14ac:dyDescent="0.25">
      <c r="A245" s="127" t="str">
        <f>IF(C245="","",'Datos Generales'!$A$25)</f>
        <v/>
      </c>
      <c r="D245" s="126" t="str">
        <f t="shared" si="24"/>
        <v/>
      </c>
      <c r="E245" s="126">
        <f t="shared" si="25"/>
        <v>0</v>
      </c>
      <c r="F245" s="126" t="str">
        <f t="shared" si="26"/>
        <v/>
      </c>
      <c r="G245" s="126" t="str">
        <f>IF(C245="","",'Datos Generales'!$D$19)</f>
        <v/>
      </c>
      <c r="H245" s="21" t="str">
        <f>IF(C245="","",'Datos Generales'!$A$19)</f>
        <v/>
      </c>
      <c r="I245" s="126" t="str">
        <f>IF(C245="","",'Datos Generales'!$A$7)</f>
        <v/>
      </c>
      <c r="J245" s="21" t="str">
        <f>IF(C245="","",'Datos Generales'!$A$13)</f>
        <v/>
      </c>
      <c r="K245" s="21" t="str">
        <f>IF(C245="","",'Datos Generales'!$A$10)</f>
        <v/>
      </c>
      <c r="CS245" s="142" t="str">
        <f t="shared" si="27"/>
        <v/>
      </c>
      <c r="CT245" s="142" t="str">
        <f t="shared" si="28"/>
        <v/>
      </c>
      <c r="CU245" s="142" t="str">
        <f t="shared" si="29"/>
        <v/>
      </c>
      <c r="CV245" s="142" t="str">
        <f t="shared" si="30"/>
        <v/>
      </c>
      <c r="CW245" s="142" t="str">
        <f>IF(C245="","",IF('Datos Generales'!$A$19=1,AVERAGE(FP245:GD245),AVERAGE(Captura!FP245:FY245)))</f>
        <v/>
      </c>
      <c r="CX245" s="138" t="e">
        <f>IF(VLOOKUP(CONCATENATE($H$4,$F$4,CX$2),Español!$A:$H,7,FALSE)=L245,1,0)</f>
        <v>#N/A</v>
      </c>
      <c r="CY245" s="138" t="e">
        <f>IF(VLOOKUP(CONCATENATE(H245,F245,CY$2),Español!$A:$H,7,FALSE)=M245,1,0)</f>
        <v>#N/A</v>
      </c>
      <c r="CZ245" s="138" t="e">
        <f>IF(VLOOKUP(CONCATENATE(H245,F245,CZ$2),Español!$A:$H,7,FALSE)=N245,1,0)</f>
        <v>#N/A</v>
      </c>
      <c r="DA245" s="138" t="e">
        <f>IF(VLOOKUP(CONCATENATE(H245,F245,DA$2),Español!$A:$H,7,FALSE)=O245,1,0)</f>
        <v>#N/A</v>
      </c>
      <c r="DB245" s="138" t="e">
        <f>IF(VLOOKUP(CONCATENATE(H245,F245,DB$2),Español!$A:$H,7,FALSE)=P245,1,0)</f>
        <v>#N/A</v>
      </c>
      <c r="DC245" s="138" t="e">
        <f>IF(VLOOKUP(CONCATENATE(H245,F245,DC$2),Español!$A:$H,7,FALSE)=Q245,1,0)</f>
        <v>#N/A</v>
      </c>
      <c r="DD245" s="138" t="e">
        <f>IF(VLOOKUP(CONCATENATE(H245,F245,DD$2),Español!$A:$H,7,FALSE)=R245,1,0)</f>
        <v>#N/A</v>
      </c>
      <c r="DE245" s="138" t="e">
        <f>IF(VLOOKUP(CONCATENATE(H245,F245,DE$2),Español!$A:$H,7,FALSE)=S245,1,0)</f>
        <v>#N/A</v>
      </c>
      <c r="DF245" s="138" t="e">
        <f>IF(VLOOKUP(CONCATENATE(H245,F245,DF$2),Español!$A:$H,7,FALSE)=T245,1,0)</f>
        <v>#N/A</v>
      </c>
      <c r="DG245" s="138" t="e">
        <f>IF(VLOOKUP(CONCATENATE(H245,F245,DG$2),Español!$A:$H,7,FALSE)=U245,1,0)</f>
        <v>#N/A</v>
      </c>
      <c r="DH245" s="138" t="e">
        <f>IF(VLOOKUP(CONCATENATE(H245,F245,DH$2),Español!$A:$H,7,FALSE)=V245,1,0)</f>
        <v>#N/A</v>
      </c>
      <c r="DI245" s="138" t="e">
        <f>IF(VLOOKUP(CONCATENATE(H245,F245,DI$2),Español!$A:$H,7,FALSE)=W245,1,0)</f>
        <v>#N/A</v>
      </c>
      <c r="DJ245" s="138" t="e">
        <f>IF(VLOOKUP(CONCATENATE(H245,F245,DJ$2),Español!$A:$H,7,FALSE)=X245,1,0)</f>
        <v>#N/A</v>
      </c>
      <c r="DK245" s="138" t="e">
        <f>IF(VLOOKUP(CONCATENATE(H245,F245,DK$2),Español!$A:$H,7,FALSE)=Y245,1,0)</f>
        <v>#N/A</v>
      </c>
      <c r="DL245" s="138" t="e">
        <f>IF(VLOOKUP(CONCATENATE(H245,F245,DL$2),Español!$A:$H,7,FALSE)=Z245,1,0)</f>
        <v>#N/A</v>
      </c>
      <c r="DM245" s="138" t="e">
        <f>IF(VLOOKUP(CONCATENATE(H245,F245,DM$2),Español!$A:$H,7,FALSE)=AA245,1,0)</f>
        <v>#N/A</v>
      </c>
      <c r="DN245" s="138" t="e">
        <f>IF(VLOOKUP(CONCATENATE(H245,F245,DN$2),Español!$A:$H,7,FALSE)=AB245,1,0)</f>
        <v>#N/A</v>
      </c>
      <c r="DO245" s="138" t="e">
        <f>IF(VLOOKUP(CONCATENATE(H245,F245,DO$2),Español!$A:$H,7,FALSE)=AC245,1,0)</f>
        <v>#N/A</v>
      </c>
      <c r="DP245" s="138" t="e">
        <f>IF(VLOOKUP(CONCATENATE(H245,F245,DP$2),Español!$A:$H,7,FALSE)=AD245,1,0)</f>
        <v>#N/A</v>
      </c>
      <c r="DQ245" s="138" t="e">
        <f>IF(VLOOKUP(CONCATENATE(H245,F245,DQ$2),Español!$A:$H,7,FALSE)=AE245,1,0)</f>
        <v>#N/A</v>
      </c>
      <c r="DR245" s="138" t="e">
        <f>IF(VLOOKUP(CONCATENATE(H245,F245,DR$2),Inglés!$A:$H,7,FALSE)=AF245,1,0)</f>
        <v>#N/A</v>
      </c>
      <c r="DS245" s="138" t="e">
        <f>IF(VLOOKUP(CONCATENATE(H245,F245,DS$2),Inglés!$A:$H,7,FALSE)=AG245,1,0)</f>
        <v>#N/A</v>
      </c>
      <c r="DT245" s="138" t="e">
        <f>IF(VLOOKUP(CONCATENATE(H245,F245,DT$2),Inglés!$A:$H,7,FALSE)=AH245,1,0)</f>
        <v>#N/A</v>
      </c>
      <c r="DU245" s="138" t="e">
        <f>IF(VLOOKUP(CONCATENATE(H245,F245,DU$2),Inglés!$A:$H,7,FALSE)=AI245,1,0)</f>
        <v>#N/A</v>
      </c>
      <c r="DV245" s="138" t="e">
        <f>IF(VLOOKUP(CONCATENATE(H245,F245,DV$2),Inglés!$A:$H,7,FALSE)=AJ245,1,0)</f>
        <v>#N/A</v>
      </c>
      <c r="DW245" s="138" t="e">
        <f>IF(VLOOKUP(CONCATENATE(H245,F245,DW$2),Inglés!$A:$H,7,FALSE)=AK245,1,0)</f>
        <v>#N/A</v>
      </c>
      <c r="DX245" s="138" t="e">
        <f>IF(VLOOKUP(CONCATENATE(H245,F245,DX$2),Inglés!$A:$H,7,FALSE)=AL245,1,0)</f>
        <v>#N/A</v>
      </c>
      <c r="DY245" s="138" t="e">
        <f>IF(VLOOKUP(CONCATENATE(H245,F245,DY$2),Inglés!$A:$H,7,FALSE)=AM245,1,0)</f>
        <v>#N/A</v>
      </c>
      <c r="DZ245" s="138" t="e">
        <f>IF(VLOOKUP(CONCATENATE(H245,F245,DZ$2),Inglés!$A:$H,7,FALSE)=AN245,1,0)</f>
        <v>#N/A</v>
      </c>
      <c r="EA245" s="138" t="e">
        <f>IF(VLOOKUP(CONCATENATE(H245,F245,EA$2),Inglés!$A:$H,7,FALSE)=AO245,1,0)</f>
        <v>#N/A</v>
      </c>
      <c r="EB245" s="138" t="e">
        <f>IF(VLOOKUP(CONCATENATE(H245,F245,EB$2),Matemáticas!$A:$H,7,FALSE)=AP245,1,0)</f>
        <v>#N/A</v>
      </c>
      <c r="EC245" s="138" t="e">
        <f>IF(VLOOKUP(CONCATENATE(H245,F245,EC$2),Matemáticas!$A:$H,7,FALSE)=AQ245,1,0)</f>
        <v>#N/A</v>
      </c>
      <c r="ED245" s="138" t="e">
        <f>IF(VLOOKUP(CONCATENATE(H245,F245,ED$2),Matemáticas!$A:$H,7,FALSE)=AR245,1,0)</f>
        <v>#N/A</v>
      </c>
      <c r="EE245" s="138" t="e">
        <f>IF(VLOOKUP(CONCATENATE(H245,F245,EE$2),Matemáticas!$A:$H,7,FALSE)=AS245,1,0)</f>
        <v>#N/A</v>
      </c>
      <c r="EF245" s="138" t="e">
        <f>IF(VLOOKUP(CONCATENATE(H245,F245,EF$2),Matemáticas!$A:$H,7,FALSE)=AT245,1,0)</f>
        <v>#N/A</v>
      </c>
      <c r="EG245" s="138" t="e">
        <f>IF(VLOOKUP(CONCATENATE(H245,F245,EG$2),Matemáticas!$A:$H,7,FALSE)=AU245,1,0)</f>
        <v>#N/A</v>
      </c>
      <c r="EH245" s="138" t="e">
        <f>IF(VLOOKUP(CONCATENATE(H245,F245,EH$2),Matemáticas!$A:$H,7,FALSE)=AV245,1,0)</f>
        <v>#N/A</v>
      </c>
      <c r="EI245" s="138" t="e">
        <f>IF(VLOOKUP(CONCATENATE(H245,F245,EI$2),Matemáticas!$A:$H,7,FALSE)=AW245,1,0)</f>
        <v>#N/A</v>
      </c>
      <c r="EJ245" s="138" t="e">
        <f>IF(VLOOKUP(CONCATENATE(H245,F245,EJ$2),Matemáticas!$A:$H,7,FALSE)=AX245,1,0)</f>
        <v>#N/A</v>
      </c>
      <c r="EK245" s="138" t="e">
        <f>IF(VLOOKUP(CONCATENATE(H245,F245,EK$2),Matemáticas!$A:$H,7,FALSE)=AY245,1,0)</f>
        <v>#N/A</v>
      </c>
      <c r="EL245" s="138" t="e">
        <f>IF(VLOOKUP(CONCATENATE(H245,F245,EL$2),Matemáticas!$A:$H,7,FALSE)=AZ245,1,0)</f>
        <v>#N/A</v>
      </c>
      <c r="EM245" s="138" t="e">
        <f>IF(VLOOKUP(CONCATENATE(H245,F245,EM$2),Matemáticas!$A:$H,7,FALSE)=BA245,1,0)</f>
        <v>#N/A</v>
      </c>
      <c r="EN245" s="138" t="e">
        <f>IF(VLOOKUP(CONCATENATE(H245,F245,EN$2),Matemáticas!$A:$H,7,FALSE)=BB245,1,0)</f>
        <v>#N/A</v>
      </c>
      <c r="EO245" s="138" t="e">
        <f>IF(VLOOKUP(CONCATENATE(H245,F245,EO$2),Matemáticas!$A:$H,7,FALSE)=BC245,1,0)</f>
        <v>#N/A</v>
      </c>
      <c r="EP245" s="138" t="e">
        <f>IF(VLOOKUP(CONCATENATE(H245,F245,EP$2),Matemáticas!$A:$H,7,FALSE)=BD245,1,0)</f>
        <v>#N/A</v>
      </c>
      <c r="EQ245" s="138" t="e">
        <f>IF(VLOOKUP(CONCATENATE(H245,F245,EQ$2),Matemáticas!$A:$H,7,FALSE)=BE245,1,0)</f>
        <v>#N/A</v>
      </c>
      <c r="ER245" s="138" t="e">
        <f>IF(VLOOKUP(CONCATENATE(H245,F245,ER$2),Matemáticas!$A:$H,7,FALSE)=BF245,1,0)</f>
        <v>#N/A</v>
      </c>
      <c r="ES245" s="138" t="e">
        <f>IF(VLOOKUP(CONCATENATE(H245,F245,ES$2),Matemáticas!$A:$H,7,FALSE)=BG245,1,0)</f>
        <v>#N/A</v>
      </c>
      <c r="ET245" s="138" t="e">
        <f>IF(VLOOKUP(CONCATENATE(H245,F245,ET$2),Matemáticas!$A:$H,7,FALSE)=BH245,1,0)</f>
        <v>#N/A</v>
      </c>
      <c r="EU245" s="138" t="e">
        <f>IF(VLOOKUP(CONCATENATE(H245,F245,EU$2),Matemáticas!$A:$H,7,FALSE)=BI245,1,0)</f>
        <v>#N/A</v>
      </c>
      <c r="EV245" s="138" t="e">
        <f>IF(VLOOKUP(CONCATENATE(H245,F245,EV$2),Ciencias!$A:$H,7,FALSE)=BJ245,1,0)</f>
        <v>#N/A</v>
      </c>
      <c r="EW245" s="138" t="e">
        <f>IF(VLOOKUP(CONCATENATE(H245,F245,EW$2),Ciencias!$A:$H,7,FALSE)=BK245,1,0)</f>
        <v>#N/A</v>
      </c>
      <c r="EX245" s="138" t="e">
        <f>IF(VLOOKUP(CONCATENATE(H245,F245,EX$2),Ciencias!$A:$H,7,FALSE)=BL245,1,0)</f>
        <v>#N/A</v>
      </c>
      <c r="EY245" s="138" t="e">
        <f>IF(VLOOKUP(CONCATENATE(H245,F245,EY$2),Ciencias!$A:$H,7,FALSE)=BM245,1,0)</f>
        <v>#N/A</v>
      </c>
      <c r="EZ245" s="138" t="e">
        <f>IF(VLOOKUP(CONCATENATE(H245,F245,EZ$2),Ciencias!$A:$H,7,FALSE)=BN245,1,0)</f>
        <v>#N/A</v>
      </c>
      <c r="FA245" s="138" t="e">
        <f>IF(VLOOKUP(CONCATENATE(H245,F245,FA$2),Ciencias!$A:$H,7,FALSE)=BO245,1,0)</f>
        <v>#N/A</v>
      </c>
      <c r="FB245" s="138" t="e">
        <f>IF(VLOOKUP(CONCATENATE(H245,F245,FB$2),Ciencias!$A:$H,7,FALSE)=BP245,1,0)</f>
        <v>#N/A</v>
      </c>
      <c r="FC245" s="138" t="e">
        <f>IF(VLOOKUP(CONCATENATE(H245,F245,FC$2),Ciencias!$A:$H,7,FALSE)=BQ245,1,0)</f>
        <v>#N/A</v>
      </c>
      <c r="FD245" s="138" t="e">
        <f>IF(VLOOKUP(CONCATENATE(H245,F245,FD$2),Ciencias!$A:$H,7,FALSE)=BR245,1,0)</f>
        <v>#N/A</v>
      </c>
      <c r="FE245" s="138" t="e">
        <f>IF(VLOOKUP(CONCATENATE(H245,F245,FE$2),Ciencias!$A:$H,7,FALSE)=BS245,1,0)</f>
        <v>#N/A</v>
      </c>
      <c r="FF245" s="138" t="e">
        <f>IF(VLOOKUP(CONCATENATE(H245,F245,FF$2),Ciencias!$A:$H,7,FALSE)=BT245,1,0)</f>
        <v>#N/A</v>
      </c>
      <c r="FG245" s="138" t="e">
        <f>IF(VLOOKUP(CONCATENATE(H245,F245,FG$2),Ciencias!$A:$H,7,FALSE)=BU245,1,0)</f>
        <v>#N/A</v>
      </c>
      <c r="FH245" s="138" t="e">
        <f>IF(VLOOKUP(CONCATENATE(H245,F245,FH$2),Ciencias!$A:$H,7,FALSE)=BV245,1,0)</f>
        <v>#N/A</v>
      </c>
      <c r="FI245" s="138" t="e">
        <f>IF(VLOOKUP(CONCATENATE(H245,F245,FI$2),Ciencias!$A:$H,7,FALSE)=BW245,1,0)</f>
        <v>#N/A</v>
      </c>
      <c r="FJ245" s="138" t="e">
        <f>IF(VLOOKUP(CONCATENATE(H245,F245,FJ$2),Ciencias!$A:$H,7,FALSE)=BX245,1,0)</f>
        <v>#N/A</v>
      </c>
      <c r="FK245" s="138" t="e">
        <f>IF(VLOOKUP(CONCATENATE(H245,F245,FK$2),Ciencias!$A:$H,7,FALSE)=BY245,1,0)</f>
        <v>#N/A</v>
      </c>
      <c r="FL245" s="138" t="e">
        <f>IF(VLOOKUP(CONCATENATE(H245,F245,FL$2),Ciencias!$A:$H,7,FALSE)=BZ245,1,0)</f>
        <v>#N/A</v>
      </c>
      <c r="FM245" s="138" t="e">
        <f>IF(VLOOKUP(CONCATENATE(H245,F245,FM$2),Ciencias!$A:$H,7,FALSE)=CA245,1,0)</f>
        <v>#N/A</v>
      </c>
      <c r="FN245" s="138" t="e">
        <f>IF(VLOOKUP(CONCATENATE(H245,F245,FN$2),Ciencias!$A:$H,7,FALSE)=CB245,1,0)</f>
        <v>#N/A</v>
      </c>
      <c r="FO245" s="138" t="e">
        <f>IF(VLOOKUP(CONCATENATE(H245,F245,FO$2),Ciencias!$A:$H,7,FALSE)=CC245,1,0)</f>
        <v>#N/A</v>
      </c>
      <c r="FP245" s="138" t="e">
        <f>IF(VLOOKUP(CONCATENATE(H245,F245,FP$2),GeoHis!$A:$H,7,FALSE)=CD245,1,0)</f>
        <v>#N/A</v>
      </c>
      <c r="FQ245" s="138" t="e">
        <f>IF(VLOOKUP(CONCATENATE(H245,F245,FQ$2),GeoHis!$A:$H,7,FALSE)=CE245,1,0)</f>
        <v>#N/A</v>
      </c>
      <c r="FR245" s="138" t="e">
        <f>IF(VLOOKUP(CONCATENATE(H245,F245,FR$2),GeoHis!$A:$H,7,FALSE)=CF245,1,0)</f>
        <v>#N/A</v>
      </c>
      <c r="FS245" s="138" t="e">
        <f>IF(VLOOKUP(CONCATENATE(H245,F245,FS$2),GeoHis!$A:$H,7,FALSE)=CG245,1,0)</f>
        <v>#N/A</v>
      </c>
      <c r="FT245" s="138" t="e">
        <f>IF(VLOOKUP(CONCATENATE(H245,F245,FT$2),GeoHis!$A:$H,7,FALSE)=CH245,1,0)</f>
        <v>#N/A</v>
      </c>
      <c r="FU245" s="138" t="e">
        <f>IF(VLOOKUP(CONCATENATE(H245,F245,FU$2),GeoHis!$A:$H,7,FALSE)=CI245,1,0)</f>
        <v>#N/A</v>
      </c>
      <c r="FV245" s="138" t="e">
        <f>IF(VLOOKUP(CONCATENATE(H245,F245,FV$2),GeoHis!$A:$H,7,FALSE)=CJ245,1,0)</f>
        <v>#N/A</v>
      </c>
      <c r="FW245" s="138" t="e">
        <f>IF(VLOOKUP(CONCATENATE(H245,F245,FW$2),GeoHis!$A:$H,7,FALSE)=CK245,1,0)</f>
        <v>#N/A</v>
      </c>
      <c r="FX245" s="138" t="e">
        <f>IF(VLOOKUP(CONCATENATE(H245,F245,FX$2),GeoHis!$A:$H,7,FALSE)=CL245,1,0)</f>
        <v>#N/A</v>
      </c>
      <c r="FY245" s="138" t="e">
        <f>IF(VLOOKUP(CONCATENATE(H245,F245,FY$2),GeoHis!$A:$H,7,FALSE)=CM245,1,0)</f>
        <v>#N/A</v>
      </c>
      <c r="FZ245" s="138" t="e">
        <f>IF(VLOOKUP(CONCATENATE(H245,F245,FZ$2),GeoHis!$A:$H,7,FALSE)=CN245,1,0)</f>
        <v>#N/A</v>
      </c>
      <c r="GA245" s="138" t="e">
        <f>IF(VLOOKUP(CONCATENATE(H245,F245,GA$2),GeoHis!$A:$H,7,FALSE)=CO245,1,0)</f>
        <v>#N/A</v>
      </c>
      <c r="GB245" s="138" t="e">
        <f>IF(VLOOKUP(CONCATENATE(H245,F245,GB$2),GeoHis!$A:$H,7,FALSE)=CP245,1,0)</f>
        <v>#N/A</v>
      </c>
      <c r="GC245" s="138" t="e">
        <f>IF(VLOOKUP(CONCATENATE(H245,F245,GC$2),GeoHis!$A:$H,7,FALSE)=CQ245,1,0)</f>
        <v>#N/A</v>
      </c>
      <c r="GD245" s="138" t="e">
        <f>IF(VLOOKUP(CONCATENATE(H245,F245,GD$2),GeoHis!$A:$H,7,FALSE)=CR245,1,0)</f>
        <v>#N/A</v>
      </c>
      <c r="GE245" s="135" t="str">
        <f t="shared" si="31"/>
        <v/>
      </c>
    </row>
    <row r="246" spans="1:187" x14ac:dyDescent="0.25">
      <c r="A246" s="127" t="str">
        <f>IF(C246="","",'Datos Generales'!$A$25)</f>
        <v/>
      </c>
      <c r="D246" s="126" t="str">
        <f t="shared" si="24"/>
        <v/>
      </c>
      <c r="E246" s="126">
        <f t="shared" si="25"/>
        <v>0</v>
      </c>
      <c r="F246" s="126" t="str">
        <f t="shared" si="26"/>
        <v/>
      </c>
      <c r="G246" s="126" t="str">
        <f>IF(C246="","",'Datos Generales'!$D$19)</f>
        <v/>
      </c>
      <c r="H246" s="21" t="str">
        <f>IF(C246="","",'Datos Generales'!$A$19)</f>
        <v/>
      </c>
      <c r="I246" s="126" t="str">
        <f>IF(C246="","",'Datos Generales'!$A$7)</f>
        <v/>
      </c>
      <c r="J246" s="21" t="str">
        <f>IF(C246="","",'Datos Generales'!$A$13)</f>
        <v/>
      </c>
      <c r="K246" s="21" t="str">
        <f>IF(C246="","",'Datos Generales'!$A$10)</f>
        <v/>
      </c>
      <c r="CS246" s="142" t="str">
        <f t="shared" si="27"/>
        <v/>
      </c>
      <c r="CT246" s="142" t="str">
        <f t="shared" si="28"/>
        <v/>
      </c>
      <c r="CU246" s="142" t="str">
        <f t="shared" si="29"/>
        <v/>
      </c>
      <c r="CV246" s="142" t="str">
        <f t="shared" si="30"/>
        <v/>
      </c>
      <c r="CW246" s="142" t="str">
        <f>IF(C246="","",IF('Datos Generales'!$A$19=1,AVERAGE(FP246:GD246),AVERAGE(Captura!FP246:FY246)))</f>
        <v/>
      </c>
      <c r="CX246" s="138" t="e">
        <f>IF(VLOOKUP(CONCATENATE($H$4,$F$4,CX$2),Español!$A:$H,7,FALSE)=L246,1,0)</f>
        <v>#N/A</v>
      </c>
      <c r="CY246" s="138" t="e">
        <f>IF(VLOOKUP(CONCATENATE(H246,F246,CY$2),Español!$A:$H,7,FALSE)=M246,1,0)</f>
        <v>#N/A</v>
      </c>
      <c r="CZ246" s="138" t="e">
        <f>IF(VLOOKUP(CONCATENATE(H246,F246,CZ$2),Español!$A:$H,7,FALSE)=N246,1,0)</f>
        <v>#N/A</v>
      </c>
      <c r="DA246" s="138" t="e">
        <f>IF(VLOOKUP(CONCATENATE(H246,F246,DA$2),Español!$A:$H,7,FALSE)=O246,1,0)</f>
        <v>#N/A</v>
      </c>
      <c r="DB246" s="138" t="e">
        <f>IF(VLOOKUP(CONCATENATE(H246,F246,DB$2),Español!$A:$H,7,FALSE)=P246,1,0)</f>
        <v>#N/A</v>
      </c>
      <c r="DC246" s="138" t="e">
        <f>IF(VLOOKUP(CONCATENATE(H246,F246,DC$2),Español!$A:$H,7,FALSE)=Q246,1,0)</f>
        <v>#N/A</v>
      </c>
      <c r="DD246" s="138" t="e">
        <f>IF(VLOOKUP(CONCATENATE(H246,F246,DD$2),Español!$A:$H,7,FALSE)=R246,1,0)</f>
        <v>#N/A</v>
      </c>
      <c r="DE246" s="138" t="e">
        <f>IF(VLOOKUP(CONCATENATE(H246,F246,DE$2),Español!$A:$H,7,FALSE)=S246,1,0)</f>
        <v>#N/A</v>
      </c>
      <c r="DF246" s="138" t="e">
        <f>IF(VLOOKUP(CONCATENATE(H246,F246,DF$2),Español!$A:$H,7,FALSE)=T246,1,0)</f>
        <v>#N/A</v>
      </c>
      <c r="DG246" s="138" t="e">
        <f>IF(VLOOKUP(CONCATENATE(H246,F246,DG$2),Español!$A:$H,7,FALSE)=U246,1,0)</f>
        <v>#N/A</v>
      </c>
      <c r="DH246" s="138" t="e">
        <f>IF(VLOOKUP(CONCATENATE(H246,F246,DH$2),Español!$A:$H,7,FALSE)=V246,1,0)</f>
        <v>#N/A</v>
      </c>
      <c r="DI246" s="138" t="e">
        <f>IF(VLOOKUP(CONCATENATE(H246,F246,DI$2),Español!$A:$H,7,FALSE)=W246,1,0)</f>
        <v>#N/A</v>
      </c>
      <c r="DJ246" s="138" t="e">
        <f>IF(VLOOKUP(CONCATENATE(H246,F246,DJ$2),Español!$A:$H,7,FALSE)=X246,1,0)</f>
        <v>#N/A</v>
      </c>
      <c r="DK246" s="138" t="e">
        <f>IF(VLOOKUP(CONCATENATE(H246,F246,DK$2),Español!$A:$H,7,FALSE)=Y246,1,0)</f>
        <v>#N/A</v>
      </c>
      <c r="DL246" s="138" t="e">
        <f>IF(VLOOKUP(CONCATENATE(H246,F246,DL$2),Español!$A:$H,7,FALSE)=Z246,1,0)</f>
        <v>#N/A</v>
      </c>
      <c r="DM246" s="138" t="e">
        <f>IF(VLOOKUP(CONCATENATE(H246,F246,DM$2),Español!$A:$H,7,FALSE)=AA246,1,0)</f>
        <v>#N/A</v>
      </c>
      <c r="DN246" s="138" t="e">
        <f>IF(VLOOKUP(CONCATENATE(H246,F246,DN$2),Español!$A:$H,7,FALSE)=AB246,1,0)</f>
        <v>#N/A</v>
      </c>
      <c r="DO246" s="138" t="e">
        <f>IF(VLOOKUP(CONCATENATE(H246,F246,DO$2),Español!$A:$H,7,FALSE)=AC246,1,0)</f>
        <v>#N/A</v>
      </c>
      <c r="DP246" s="138" t="e">
        <f>IF(VLOOKUP(CONCATENATE(H246,F246,DP$2),Español!$A:$H,7,FALSE)=AD246,1,0)</f>
        <v>#N/A</v>
      </c>
      <c r="DQ246" s="138" t="e">
        <f>IF(VLOOKUP(CONCATENATE(H246,F246,DQ$2),Español!$A:$H,7,FALSE)=AE246,1,0)</f>
        <v>#N/A</v>
      </c>
      <c r="DR246" s="138" t="e">
        <f>IF(VLOOKUP(CONCATENATE(H246,F246,DR$2),Inglés!$A:$H,7,FALSE)=AF246,1,0)</f>
        <v>#N/A</v>
      </c>
      <c r="DS246" s="138" t="e">
        <f>IF(VLOOKUP(CONCATENATE(H246,F246,DS$2),Inglés!$A:$H,7,FALSE)=AG246,1,0)</f>
        <v>#N/A</v>
      </c>
      <c r="DT246" s="138" t="e">
        <f>IF(VLOOKUP(CONCATENATE(H246,F246,DT$2),Inglés!$A:$H,7,FALSE)=AH246,1,0)</f>
        <v>#N/A</v>
      </c>
      <c r="DU246" s="138" t="e">
        <f>IF(VLOOKUP(CONCATENATE(H246,F246,DU$2),Inglés!$A:$H,7,FALSE)=AI246,1,0)</f>
        <v>#N/A</v>
      </c>
      <c r="DV246" s="138" t="e">
        <f>IF(VLOOKUP(CONCATENATE(H246,F246,DV$2),Inglés!$A:$H,7,FALSE)=AJ246,1,0)</f>
        <v>#N/A</v>
      </c>
      <c r="DW246" s="138" t="e">
        <f>IF(VLOOKUP(CONCATENATE(H246,F246,DW$2),Inglés!$A:$H,7,FALSE)=AK246,1,0)</f>
        <v>#N/A</v>
      </c>
      <c r="DX246" s="138" t="e">
        <f>IF(VLOOKUP(CONCATENATE(H246,F246,DX$2),Inglés!$A:$H,7,FALSE)=AL246,1,0)</f>
        <v>#N/A</v>
      </c>
      <c r="DY246" s="138" t="e">
        <f>IF(VLOOKUP(CONCATENATE(H246,F246,DY$2),Inglés!$A:$H,7,FALSE)=AM246,1,0)</f>
        <v>#N/A</v>
      </c>
      <c r="DZ246" s="138" t="e">
        <f>IF(VLOOKUP(CONCATENATE(H246,F246,DZ$2),Inglés!$A:$H,7,FALSE)=AN246,1,0)</f>
        <v>#N/A</v>
      </c>
      <c r="EA246" s="138" t="e">
        <f>IF(VLOOKUP(CONCATENATE(H246,F246,EA$2),Inglés!$A:$H,7,FALSE)=AO246,1,0)</f>
        <v>#N/A</v>
      </c>
      <c r="EB246" s="138" t="e">
        <f>IF(VLOOKUP(CONCATENATE(H246,F246,EB$2),Matemáticas!$A:$H,7,FALSE)=AP246,1,0)</f>
        <v>#N/A</v>
      </c>
      <c r="EC246" s="138" t="e">
        <f>IF(VLOOKUP(CONCATENATE(H246,F246,EC$2),Matemáticas!$A:$H,7,FALSE)=AQ246,1,0)</f>
        <v>#N/A</v>
      </c>
      <c r="ED246" s="138" t="e">
        <f>IF(VLOOKUP(CONCATENATE(H246,F246,ED$2),Matemáticas!$A:$H,7,FALSE)=AR246,1,0)</f>
        <v>#N/A</v>
      </c>
      <c r="EE246" s="138" t="e">
        <f>IF(VLOOKUP(CONCATENATE(H246,F246,EE$2),Matemáticas!$A:$H,7,FALSE)=AS246,1,0)</f>
        <v>#N/A</v>
      </c>
      <c r="EF246" s="138" t="e">
        <f>IF(VLOOKUP(CONCATENATE(H246,F246,EF$2),Matemáticas!$A:$H,7,FALSE)=AT246,1,0)</f>
        <v>#N/A</v>
      </c>
      <c r="EG246" s="138" t="e">
        <f>IF(VLOOKUP(CONCATENATE(H246,F246,EG$2),Matemáticas!$A:$H,7,FALSE)=AU246,1,0)</f>
        <v>#N/A</v>
      </c>
      <c r="EH246" s="138" t="e">
        <f>IF(VLOOKUP(CONCATENATE(H246,F246,EH$2),Matemáticas!$A:$H,7,FALSE)=AV246,1,0)</f>
        <v>#N/A</v>
      </c>
      <c r="EI246" s="138" t="e">
        <f>IF(VLOOKUP(CONCATENATE(H246,F246,EI$2),Matemáticas!$A:$H,7,FALSE)=AW246,1,0)</f>
        <v>#N/A</v>
      </c>
      <c r="EJ246" s="138" t="e">
        <f>IF(VLOOKUP(CONCATENATE(H246,F246,EJ$2),Matemáticas!$A:$H,7,FALSE)=AX246,1,0)</f>
        <v>#N/A</v>
      </c>
      <c r="EK246" s="138" t="e">
        <f>IF(VLOOKUP(CONCATENATE(H246,F246,EK$2),Matemáticas!$A:$H,7,FALSE)=AY246,1,0)</f>
        <v>#N/A</v>
      </c>
      <c r="EL246" s="138" t="e">
        <f>IF(VLOOKUP(CONCATENATE(H246,F246,EL$2),Matemáticas!$A:$H,7,FALSE)=AZ246,1,0)</f>
        <v>#N/A</v>
      </c>
      <c r="EM246" s="138" t="e">
        <f>IF(VLOOKUP(CONCATENATE(H246,F246,EM$2),Matemáticas!$A:$H,7,FALSE)=BA246,1,0)</f>
        <v>#N/A</v>
      </c>
      <c r="EN246" s="138" t="e">
        <f>IF(VLOOKUP(CONCATENATE(H246,F246,EN$2),Matemáticas!$A:$H,7,FALSE)=BB246,1,0)</f>
        <v>#N/A</v>
      </c>
      <c r="EO246" s="138" t="e">
        <f>IF(VLOOKUP(CONCATENATE(H246,F246,EO$2),Matemáticas!$A:$H,7,FALSE)=BC246,1,0)</f>
        <v>#N/A</v>
      </c>
      <c r="EP246" s="138" t="e">
        <f>IF(VLOOKUP(CONCATENATE(H246,F246,EP$2),Matemáticas!$A:$H,7,FALSE)=BD246,1,0)</f>
        <v>#N/A</v>
      </c>
      <c r="EQ246" s="138" t="e">
        <f>IF(VLOOKUP(CONCATENATE(H246,F246,EQ$2),Matemáticas!$A:$H,7,FALSE)=BE246,1,0)</f>
        <v>#N/A</v>
      </c>
      <c r="ER246" s="138" t="e">
        <f>IF(VLOOKUP(CONCATENATE(H246,F246,ER$2),Matemáticas!$A:$H,7,FALSE)=BF246,1,0)</f>
        <v>#N/A</v>
      </c>
      <c r="ES246" s="138" t="e">
        <f>IF(VLOOKUP(CONCATENATE(H246,F246,ES$2),Matemáticas!$A:$H,7,FALSE)=BG246,1,0)</f>
        <v>#N/A</v>
      </c>
      <c r="ET246" s="138" t="e">
        <f>IF(VLOOKUP(CONCATENATE(H246,F246,ET$2),Matemáticas!$A:$H,7,FALSE)=BH246,1,0)</f>
        <v>#N/A</v>
      </c>
      <c r="EU246" s="138" t="e">
        <f>IF(VLOOKUP(CONCATENATE(H246,F246,EU$2),Matemáticas!$A:$H,7,FALSE)=BI246,1,0)</f>
        <v>#N/A</v>
      </c>
      <c r="EV246" s="138" t="e">
        <f>IF(VLOOKUP(CONCATENATE(H246,F246,EV$2),Ciencias!$A:$H,7,FALSE)=BJ246,1,0)</f>
        <v>#N/A</v>
      </c>
      <c r="EW246" s="138" t="e">
        <f>IF(VLOOKUP(CONCATENATE(H246,F246,EW$2),Ciencias!$A:$H,7,FALSE)=BK246,1,0)</f>
        <v>#N/A</v>
      </c>
      <c r="EX246" s="138" t="e">
        <f>IF(VLOOKUP(CONCATENATE(H246,F246,EX$2),Ciencias!$A:$H,7,FALSE)=BL246,1,0)</f>
        <v>#N/A</v>
      </c>
      <c r="EY246" s="138" t="e">
        <f>IF(VLOOKUP(CONCATENATE(H246,F246,EY$2),Ciencias!$A:$H,7,FALSE)=BM246,1,0)</f>
        <v>#N/A</v>
      </c>
      <c r="EZ246" s="138" t="e">
        <f>IF(VLOOKUP(CONCATENATE(H246,F246,EZ$2),Ciencias!$A:$H,7,FALSE)=BN246,1,0)</f>
        <v>#N/A</v>
      </c>
      <c r="FA246" s="138" t="e">
        <f>IF(VLOOKUP(CONCATENATE(H246,F246,FA$2),Ciencias!$A:$H,7,FALSE)=BO246,1,0)</f>
        <v>#N/A</v>
      </c>
      <c r="FB246" s="138" t="e">
        <f>IF(VLOOKUP(CONCATENATE(H246,F246,FB$2),Ciencias!$A:$H,7,FALSE)=BP246,1,0)</f>
        <v>#N/A</v>
      </c>
      <c r="FC246" s="138" t="e">
        <f>IF(VLOOKUP(CONCATENATE(H246,F246,FC$2),Ciencias!$A:$H,7,FALSE)=BQ246,1,0)</f>
        <v>#N/A</v>
      </c>
      <c r="FD246" s="138" t="e">
        <f>IF(VLOOKUP(CONCATENATE(H246,F246,FD$2),Ciencias!$A:$H,7,FALSE)=BR246,1,0)</f>
        <v>#N/A</v>
      </c>
      <c r="FE246" s="138" t="e">
        <f>IF(VLOOKUP(CONCATENATE(H246,F246,FE$2),Ciencias!$A:$H,7,FALSE)=BS246,1,0)</f>
        <v>#N/A</v>
      </c>
      <c r="FF246" s="138" t="e">
        <f>IF(VLOOKUP(CONCATENATE(H246,F246,FF$2),Ciencias!$A:$H,7,FALSE)=BT246,1,0)</f>
        <v>#N/A</v>
      </c>
      <c r="FG246" s="138" t="e">
        <f>IF(VLOOKUP(CONCATENATE(H246,F246,FG$2),Ciencias!$A:$H,7,FALSE)=BU246,1,0)</f>
        <v>#N/A</v>
      </c>
      <c r="FH246" s="138" t="e">
        <f>IF(VLOOKUP(CONCATENATE(H246,F246,FH$2),Ciencias!$A:$H,7,FALSE)=BV246,1,0)</f>
        <v>#N/A</v>
      </c>
      <c r="FI246" s="138" t="e">
        <f>IF(VLOOKUP(CONCATENATE(H246,F246,FI$2),Ciencias!$A:$H,7,FALSE)=BW246,1,0)</f>
        <v>#N/A</v>
      </c>
      <c r="FJ246" s="138" t="e">
        <f>IF(VLOOKUP(CONCATENATE(H246,F246,FJ$2),Ciencias!$A:$H,7,FALSE)=BX246,1,0)</f>
        <v>#N/A</v>
      </c>
      <c r="FK246" s="138" t="e">
        <f>IF(VLOOKUP(CONCATENATE(H246,F246,FK$2),Ciencias!$A:$H,7,FALSE)=BY246,1,0)</f>
        <v>#N/A</v>
      </c>
      <c r="FL246" s="138" t="e">
        <f>IF(VLOOKUP(CONCATENATE(H246,F246,FL$2),Ciencias!$A:$H,7,FALSE)=BZ246,1,0)</f>
        <v>#N/A</v>
      </c>
      <c r="FM246" s="138" t="e">
        <f>IF(VLOOKUP(CONCATENATE(H246,F246,FM$2),Ciencias!$A:$H,7,FALSE)=CA246,1,0)</f>
        <v>#N/A</v>
      </c>
      <c r="FN246" s="138" t="e">
        <f>IF(VLOOKUP(CONCATENATE(H246,F246,FN$2),Ciencias!$A:$H,7,FALSE)=CB246,1,0)</f>
        <v>#N/A</v>
      </c>
      <c r="FO246" s="138" t="e">
        <f>IF(VLOOKUP(CONCATENATE(H246,F246,FO$2),Ciencias!$A:$H,7,FALSE)=CC246,1,0)</f>
        <v>#N/A</v>
      </c>
      <c r="FP246" s="138" t="e">
        <f>IF(VLOOKUP(CONCATENATE(H246,F246,FP$2),GeoHis!$A:$H,7,FALSE)=CD246,1,0)</f>
        <v>#N/A</v>
      </c>
      <c r="FQ246" s="138" t="e">
        <f>IF(VLOOKUP(CONCATENATE(H246,F246,FQ$2),GeoHis!$A:$H,7,FALSE)=CE246,1,0)</f>
        <v>#N/A</v>
      </c>
      <c r="FR246" s="138" t="e">
        <f>IF(VLOOKUP(CONCATENATE(H246,F246,FR$2),GeoHis!$A:$H,7,FALSE)=CF246,1,0)</f>
        <v>#N/A</v>
      </c>
      <c r="FS246" s="138" t="e">
        <f>IF(VLOOKUP(CONCATENATE(H246,F246,FS$2),GeoHis!$A:$H,7,FALSE)=CG246,1,0)</f>
        <v>#N/A</v>
      </c>
      <c r="FT246" s="138" t="e">
        <f>IF(VLOOKUP(CONCATENATE(H246,F246,FT$2),GeoHis!$A:$H,7,FALSE)=CH246,1,0)</f>
        <v>#N/A</v>
      </c>
      <c r="FU246" s="138" t="e">
        <f>IF(VLOOKUP(CONCATENATE(H246,F246,FU$2),GeoHis!$A:$H,7,FALSE)=CI246,1,0)</f>
        <v>#N/A</v>
      </c>
      <c r="FV246" s="138" t="e">
        <f>IF(VLOOKUP(CONCATENATE(H246,F246,FV$2),GeoHis!$A:$H,7,FALSE)=CJ246,1,0)</f>
        <v>#N/A</v>
      </c>
      <c r="FW246" s="138" t="e">
        <f>IF(VLOOKUP(CONCATENATE(H246,F246,FW$2),GeoHis!$A:$H,7,FALSE)=CK246,1,0)</f>
        <v>#N/A</v>
      </c>
      <c r="FX246" s="138" t="e">
        <f>IF(VLOOKUP(CONCATENATE(H246,F246,FX$2),GeoHis!$A:$H,7,FALSE)=CL246,1,0)</f>
        <v>#N/A</v>
      </c>
      <c r="FY246" s="138" t="e">
        <f>IF(VLOOKUP(CONCATENATE(H246,F246,FY$2),GeoHis!$A:$H,7,FALSE)=CM246,1,0)</f>
        <v>#N/A</v>
      </c>
      <c r="FZ246" s="138" t="e">
        <f>IF(VLOOKUP(CONCATENATE(H246,F246,FZ$2),GeoHis!$A:$H,7,FALSE)=CN246,1,0)</f>
        <v>#N/A</v>
      </c>
      <c r="GA246" s="138" t="e">
        <f>IF(VLOOKUP(CONCATENATE(H246,F246,GA$2),GeoHis!$A:$H,7,FALSE)=CO246,1,0)</f>
        <v>#N/A</v>
      </c>
      <c r="GB246" s="138" t="e">
        <f>IF(VLOOKUP(CONCATENATE(H246,F246,GB$2),GeoHis!$A:$H,7,FALSE)=CP246,1,0)</f>
        <v>#N/A</v>
      </c>
      <c r="GC246" s="138" t="e">
        <f>IF(VLOOKUP(CONCATENATE(H246,F246,GC$2),GeoHis!$A:$H,7,FALSE)=CQ246,1,0)</f>
        <v>#N/A</v>
      </c>
      <c r="GD246" s="138" t="e">
        <f>IF(VLOOKUP(CONCATENATE(H246,F246,GD$2),GeoHis!$A:$H,7,FALSE)=CR246,1,0)</f>
        <v>#N/A</v>
      </c>
      <c r="GE246" s="135" t="str">
        <f t="shared" si="31"/>
        <v/>
      </c>
    </row>
    <row r="247" spans="1:187" x14ac:dyDescent="0.25">
      <c r="A247" s="127" t="str">
        <f>IF(C247="","",'Datos Generales'!$A$25)</f>
        <v/>
      </c>
      <c r="D247" s="126" t="str">
        <f t="shared" si="24"/>
        <v/>
      </c>
      <c r="E247" s="126">
        <f t="shared" si="25"/>
        <v>0</v>
      </c>
      <c r="F247" s="126" t="str">
        <f t="shared" si="26"/>
        <v/>
      </c>
      <c r="G247" s="126" t="str">
        <f>IF(C247="","",'Datos Generales'!$D$19)</f>
        <v/>
      </c>
      <c r="H247" s="21" t="str">
        <f>IF(C247="","",'Datos Generales'!$A$19)</f>
        <v/>
      </c>
      <c r="I247" s="126" t="str">
        <f>IF(C247="","",'Datos Generales'!$A$7)</f>
        <v/>
      </c>
      <c r="J247" s="21" t="str">
        <f>IF(C247="","",'Datos Generales'!$A$13)</f>
        <v/>
      </c>
      <c r="K247" s="21" t="str">
        <f>IF(C247="","",'Datos Generales'!$A$10)</f>
        <v/>
      </c>
      <c r="CS247" s="142" t="str">
        <f t="shared" si="27"/>
        <v/>
      </c>
      <c r="CT247" s="142" t="str">
        <f t="shared" si="28"/>
        <v/>
      </c>
      <c r="CU247" s="142" t="str">
        <f t="shared" si="29"/>
        <v/>
      </c>
      <c r="CV247" s="142" t="str">
        <f t="shared" si="30"/>
        <v/>
      </c>
      <c r="CW247" s="142" t="str">
        <f>IF(C247="","",IF('Datos Generales'!$A$19=1,AVERAGE(FP247:GD247),AVERAGE(Captura!FP247:FY247)))</f>
        <v/>
      </c>
      <c r="CX247" s="138" t="e">
        <f>IF(VLOOKUP(CONCATENATE($H$4,$F$4,CX$2),Español!$A:$H,7,FALSE)=L247,1,0)</f>
        <v>#N/A</v>
      </c>
      <c r="CY247" s="138" t="e">
        <f>IF(VLOOKUP(CONCATENATE(H247,F247,CY$2),Español!$A:$H,7,FALSE)=M247,1,0)</f>
        <v>#N/A</v>
      </c>
      <c r="CZ247" s="138" t="e">
        <f>IF(VLOOKUP(CONCATENATE(H247,F247,CZ$2),Español!$A:$H,7,FALSE)=N247,1,0)</f>
        <v>#N/A</v>
      </c>
      <c r="DA247" s="138" t="e">
        <f>IF(VLOOKUP(CONCATENATE(H247,F247,DA$2),Español!$A:$H,7,FALSE)=O247,1,0)</f>
        <v>#N/A</v>
      </c>
      <c r="DB247" s="138" t="e">
        <f>IF(VLOOKUP(CONCATENATE(H247,F247,DB$2),Español!$A:$H,7,FALSE)=P247,1,0)</f>
        <v>#N/A</v>
      </c>
      <c r="DC247" s="138" t="e">
        <f>IF(VLOOKUP(CONCATENATE(H247,F247,DC$2),Español!$A:$H,7,FALSE)=Q247,1,0)</f>
        <v>#N/A</v>
      </c>
      <c r="DD247" s="138" t="e">
        <f>IF(VLOOKUP(CONCATENATE(H247,F247,DD$2),Español!$A:$H,7,FALSE)=R247,1,0)</f>
        <v>#N/A</v>
      </c>
      <c r="DE247" s="138" t="e">
        <f>IF(VLOOKUP(CONCATENATE(H247,F247,DE$2),Español!$A:$H,7,FALSE)=S247,1,0)</f>
        <v>#N/A</v>
      </c>
      <c r="DF247" s="138" t="e">
        <f>IF(VLOOKUP(CONCATENATE(H247,F247,DF$2),Español!$A:$H,7,FALSE)=T247,1,0)</f>
        <v>#N/A</v>
      </c>
      <c r="DG247" s="138" t="e">
        <f>IF(VLOOKUP(CONCATENATE(H247,F247,DG$2),Español!$A:$H,7,FALSE)=U247,1,0)</f>
        <v>#N/A</v>
      </c>
      <c r="DH247" s="138" t="e">
        <f>IF(VLOOKUP(CONCATENATE(H247,F247,DH$2),Español!$A:$H,7,FALSE)=V247,1,0)</f>
        <v>#N/A</v>
      </c>
      <c r="DI247" s="138" t="e">
        <f>IF(VLOOKUP(CONCATENATE(H247,F247,DI$2),Español!$A:$H,7,FALSE)=W247,1,0)</f>
        <v>#N/A</v>
      </c>
      <c r="DJ247" s="138" t="e">
        <f>IF(VLOOKUP(CONCATENATE(H247,F247,DJ$2),Español!$A:$H,7,FALSE)=X247,1,0)</f>
        <v>#N/A</v>
      </c>
      <c r="DK247" s="138" t="e">
        <f>IF(VLOOKUP(CONCATENATE(H247,F247,DK$2),Español!$A:$H,7,FALSE)=Y247,1,0)</f>
        <v>#N/A</v>
      </c>
      <c r="DL247" s="138" t="e">
        <f>IF(VLOOKUP(CONCATENATE(H247,F247,DL$2),Español!$A:$H,7,FALSE)=Z247,1,0)</f>
        <v>#N/A</v>
      </c>
      <c r="DM247" s="138" t="e">
        <f>IF(VLOOKUP(CONCATENATE(H247,F247,DM$2),Español!$A:$H,7,FALSE)=AA247,1,0)</f>
        <v>#N/A</v>
      </c>
      <c r="DN247" s="138" t="e">
        <f>IF(VLOOKUP(CONCATENATE(H247,F247,DN$2),Español!$A:$H,7,FALSE)=AB247,1,0)</f>
        <v>#N/A</v>
      </c>
      <c r="DO247" s="138" t="e">
        <f>IF(VLOOKUP(CONCATENATE(H247,F247,DO$2),Español!$A:$H,7,FALSE)=AC247,1,0)</f>
        <v>#N/A</v>
      </c>
      <c r="DP247" s="138" t="e">
        <f>IF(VLOOKUP(CONCATENATE(H247,F247,DP$2),Español!$A:$H,7,FALSE)=AD247,1,0)</f>
        <v>#N/A</v>
      </c>
      <c r="DQ247" s="138" t="e">
        <f>IF(VLOOKUP(CONCATENATE(H247,F247,DQ$2),Español!$A:$H,7,FALSE)=AE247,1,0)</f>
        <v>#N/A</v>
      </c>
      <c r="DR247" s="138" t="e">
        <f>IF(VLOOKUP(CONCATENATE(H247,F247,DR$2),Inglés!$A:$H,7,FALSE)=AF247,1,0)</f>
        <v>#N/A</v>
      </c>
      <c r="DS247" s="138" t="e">
        <f>IF(VLOOKUP(CONCATENATE(H247,F247,DS$2),Inglés!$A:$H,7,FALSE)=AG247,1,0)</f>
        <v>#N/A</v>
      </c>
      <c r="DT247" s="138" t="e">
        <f>IF(VLOOKUP(CONCATENATE(H247,F247,DT$2),Inglés!$A:$H,7,FALSE)=AH247,1,0)</f>
        <v>#N/A</v>
      </c>
      <c r="DU247" s="138" t="e">
        <f>IF(VLOOKUP(CONCATENATE(H247,F247,DU$2),Inglés!$A:$H,7,FALSE)=AI247,1,0)</f>
        <v>#N/A</v>
      </c>
      <c r="DV247" s="138" t="e">
        <f>IF(VLOOKUP(CONCATENATE(H247,F247,DV$2),Inglés!$A:$H,7,FALSE)=AJ247,1,0)</f>
        <v>#N/A</v>
      </c>
      <c r="DW247" s="138" t="e">
        <f>IF(VLOOKUP(CONCATENATE(H247,F247,DW$2),Inglés!$A:$H,7,FALSE)=AK247,1,0)</f>
        <v>#N/A</v>
      </c>
      <c r="DX247" s="138" t="e">
        <f>IF(VLOOKUP(CONCATENATE(H247,F247,DX$2),Inglés!$A:$H,7,FALSE)=AL247,1,0)</f>
        <v>#N/A</v>
      </c>
      <c r="DY247" s="138" t="e">
        <f>IF(VLOOKUP(CONCATENATE(H247,F247,DY$2),Inglés!$A:$H,7,FALSE)=AM247,1,0)</f>
        <v>#N/A</v>
      </c>
      <c r="DZ247" s="138" t="e">
        <f>IF(VLOOKUP(CONCATENATE(H247,F247,DZ$2),Inglés!$A:$H,7,FALSE)=AN247,1,0)</f>
        <v>#N/A</v>
      </c>
      <c r="EA247" s="138" t="e">
        <f>IF(VLOOKUP(CONCATENATE(H247,F247,EA$2),Inglés!$A:$H,7,FALSE)=AO247,1,0)</f>
        <v>#N/A</v>
      </c>
      <c r="EB247" s="138" t="e">
        <f>IF(VLOOKUP(CONCATENATE(H247,F247,EB$2),Matemáticas!$A:$H,7,FALSE)=AP247,1,0)</f>
        <v>#N/A</v>
      </c>
      <c r="EC247" s="138" t="e">
        <f>IF(VLOOKUP(CONCATENATE(H247,F247,EC$2),Matemáticas!$A:$H,7,FALSE)=AQ247,1,0)</f>
        <v>#N/A</v>
      </c>
      <c r="ED247" s="138" t="e">
        <f>IF(VLOOKUP(CONCATENATE(H247,F247,ED$2),Matemáticas!$A:$H,7,FALSE)=AR247,1,0)</f>
        <v>#N/A</v>
      </c>
      <c r="EE247" s="138" t="e">
        <f>IF(VLOOKUP(CONCATENATE(H247,F247,EE$2),Matemáticas!$A:$H,7,FALSE)=AS247,1,0)</f>
        <v>#N/A</v>
      </c>
      <c r="EF247" s="138" t="e">
        <f>IF(VLOOKUP(CONCATENATE(H247,F247,EF$2),Matemáticas!$A:$H,7,FALSE)=AT247,1,0)</f>
        <v>#N/A</v>
      </c>
      <c r="EG247" s="138" t="e">
        <f>IF(VLOOKUP(CONCATENATE(H247,F247,EG$2),Matemáticas!$A:$H,7,FALSE)=AU247,1,0)</f>
        <v>#N/A</v>
      </c>
      <c r="EH247" s="138" t="e">
        <f>IF(VLOOKUP(CONCATENATE(H247,F247,EH$2),Matemáticas!$A:$H,7,FALSE)=AV247,1,0)</f>
        <v>#N/A</v>
      </c>
      <c r="EI247" s="138" t="e">
        <f>IF(VLOOKUP(CONCATENATE(H247,F247,EI$2),Matemáticas!$A:$H,7,FALSE)=AW247,1,0)</f>
        <v>#N/A</v>
      </c>
      <c r="EJ247" s="138" t="e">
        <f>IF(VLOOKUP(CONCATENATE(H247,F247,EJ$2),Matemáticas!$A:$H,7,FALSE)=AX247,1,0)</f>
        <v>#N/A</v>
      </c>
      <c r="EK247" s="138" t="e">
        <f>IF(VLOOKUP(CONCATENATE(H247,F247,EK$2),Matemáticas!$A:$H,7,FALSE)=AY247,1,0)</f>
        <v>#N/A</v>
      </c>
      <c r="EL247" s="138" t="e">
        <f>IF(VLOOKUP(CONCATENATE(H247,F247,EL$2),Matemáticas!$A:$H,7,FALSE)=AZ247,1,0)</f>
        <v>#N/A</v>
      </c>
      <c r="EM247" s="138" t="e">
        <f>IF(VLOOKUP(CONCATENATE(H247,F247,EM$2),Matemáticas!$A:$H,7,FALSE)=BA247,1,0)</f>
        <v>#N/A</v>
      </c>
      <c r="EN247" s="138" t="e">
        <f>IF(VLOOKUP(CONCATENATE(H247,F247,EN$2),Matemáticas!$A:$H,7,FALSE)=BB247,1,0)</f>
        <v>#N/A</v>
      </c>
      <c r="EO247" s="138" t="e">
        <f>IF(VLOOKUP(CONCATENATE(H247,F247,EO$2),Matemáticas!$A:$H,7,FALSE)=BC247,1,0)</f>
        <v>#N/A</v>
      </c>
      <c r="EP247" s="138" t="e">
        <f>IF(VLOOKUP(CONCATENATE(H247,F247,EP$2),Matemáticas!$A:$H,7,FALSE)=BD247,1,0)</f>
        <v>#N/A</v>
      </c>
      <c r="EQ247" s="138" t="e">
        <f>IF(VLOOKUP(CONCATENATE(H247,F247,EQ$2),Matemáticas!$A:$H,7,FALSE)=BE247,1,0)</f>
        <v>#N/A</v>
      </c>
      <c r="ER247" s="138" t="e">
        <f>IF(VLOOKUP(CONCATENATE(H247,F247,ER$2),Matemáticas!$A:$H,7,FALSE)=BF247,1,0)</f>
        <v>#N/A</v>
      </c>
      <c r="ES247" s="138" t="e">
        <f>IF(VLOOKUP(CONCATENATE(H247,F247,ES$2),Matemáticas!$A:$H,7,FALSE)=BG247,1,0)</f>
        <v>#N/A</v>
      </c>
      <c r="ET247" s="138" t="e">
        <f>IF(VLOOKUP(CONCATENATE(H247,F247,ET$2),Matemáticas!$A:$H,7,FALSE)=BH247,1,0)</f>
        <v>#N/A</v>
      </c>
      <c r="EU247" s="138" t="e">
        <f>IF(VLOOKUP(CONCATENATE(H247,F247,EU$2),Matemáticas!$A:$H,7,FALSE)=BI247,1,0)</f>
        <v>#N/A</v>
      </c>
      <c r="EV247" s="138" t="e">
        <f>IF(VLOOKUP(CONCATENATE(H247,F247,EV$2),Ciencias!$A:$H,7,FALSE)=BJ247,1,0)</f>
        <v>#N/A</v>
      </c>
      <c r="EW247" s="138" t="e">
        <f>IF(VLOOKUP(CONCATENATE(H247,F247,EW$2),Ciencias!$A:$H,7,FALSE)=BK247,1,0)</f>
        <v>#N/A</v>
      </c>
      <c r="EX247" s="138" t="e">
        <f>IF(VLOOKUP(CONCATENATE(H247,F247,EX$2),Ciencias!$A:$H,7,FALSE)=BL247,1,0)</f>
        <v>#N/A</v>
      </c>
      <c r="EY247" s="138" t="e">
        <f>IF(VLOOKUP(CONCATENATE(H247,F247,EY$2),Ciencias!$A:$H,7,FALSE)=BM247,1,0)</f>
        <v>#N/A</v>
      </c>
      <c r="EZ247" s="138" t="e">
        <f>IF(VLOOKUP(CONCATENATE(H247,F247,EZ$2),Ciencias!$A:$H,7,FALSE)=BN247,1,0)</f>
        <v>#N/A</v>
      </c>
      <c r="FA247" s="138" t="e">
        <f>IF(VLOOKUP(CONCATENATE(H247,F247,FA$2),Ciencias!$A:$H,7,FALSE)=BO247,1,0)</f>
        <v>#N/A</v>
      </c>
      <c r="FB247" s="138" t="e">
        <f>IF(VLOOKUP(CONCATENATE(H247,F247,FB$2),Ciencias!$A:$H,7,FALSE)=BP247,1,0)</f>
        <v>#N/A</v>
      </c>
      <c r="FC247" s="138" t="e">
        <f>IF(VLOOKUP(CONCATENATE(H247,F247,FC$2),Ciencias!$A:$H,7,FALSE)=BQ247,1,0)</f>
        <v>#N/A</v>
      </c>
      <c r="FD247" s="138" t="e">
        <f>IF(VLOOKUP(CONCATENATE(H247,F247,FD$2),Ciencias!$A:$H,7,FALSE)=BR247,1,0)</f>
        <v>#N/A</v>
      </c>
      <c r="FE247" s="138" t="e">
        <f>IF(VLOOKUP(CONCATENATE(H247,F247,FE$2),Ciencias!$A:$H,7,FALSE)=BS247,1,0)</f>
        <v>#N/A</v>
      </c>
      <c r="FF247" s="138" t="e">
        <f>IF(VLOOKUP(CONCATENATE(H247,F247,FF$2),Ciencias!$A:$H,7,FALSE)=BT247,1,0)</f>
        <v>#N/A</v>
      </c>
      <c r="FG247" s="138" t="e">
        <f>IF(VLOOKUP(CONCATENATE(H247,F247,FG$2),Ciencias!$A:$H,7,FALSE)=BU247,1,0)</f>
        <v>#N/A</v>
      </c>
      <c r="FH247" s="138" t="e">
        <f>IF(VLOOKUP(CONCATENATE(H247,F247,FH$2),Ciencias!$A:$H,7,FALSE)=BV247,1,0)</f>
        <v>#N/A</v>
      </c>
      <c r="FI247" s="138" t="e">
        <f>IF(VLOOKUP(CONCATENATE(H247,F247,FI$2),Ciencias!$A:$H,7,FALSE)=BW247,1,0)</f>
        <v>#N/A</v>
      </c>
      <c r="FJ247" s="138" t="e">
        <f>IF(VLOOKUP(CONCATENATE(H247,F247,FJ$2),Ciencias!$A:$H,7,FALSE)=BX247,1,0)</f>
        <v>#N/A</v>
      </c>
      <c r="FK247" s="138" t="e">
        <f>IF(VLOOKUP(CONCATENATE(H247,F247,FK$2),Ciencias!$A:$H,7,FALSE)=BY247,1,0)</f>
        <v>#N/A</v>
      </c>
      <c r="FL247" s="138" t="e">
        <f>IF(VLOOKUP(CONCATENATE(H247,F247,FL$2),Ciencias!$A:$H,7,FALSE)=BZ247,1,0)</f>
        <v>#N/A</v>
      </c>
      <c r="FM247" s="138" t="e">
        <f>IF(VLOOKUP(CONCATENATE(H247,F247,FM$2),Ciencias!$A:$H,7,FALSE)=CA247,1,0)</f>
        <v>#N/A</v>
      </c>
      <c r="FN247" s="138" t="e">
        <f>IF(VLOOKUP(CONCATENATE(H247,F247,FN$2),Ciencias!$A:$H,7,FALSE)=CB247,1,0)</f>
        <v>#N/A</v>
      </c>
      <c r="FO247" s="138" t="e">
        <f>IF(VLOOKUP(CONCATENATE(H247,F247,FO$2),Ciencias!$A:$H,7,FALSE)=CC247,1,0)</f>
        <v>#N/A</v>
      </c>
      <c r="FP247" s="138" t="e">
        <f>IF(VLOOKUP(CONCATENATE(H247,F247,FP$2),GeoHis!$A:$H,7,FALSE)=CD247,1,0)</f>
        <v>#N/A</v>
      </c>
      <c r="FQ247" s="138" t="e">
        <f>IF(VLOOKUP(CONCATENATE(H247,F247,FQ$2),GeoHis!$A:$H,7,FALSE)=CE247,1,0)</f>
        <v>#N/A</v>
      </c>
      <c r="FR247" s="138" t="e">
        <f>IF(VLOOKUP(CONCATENATE(H247,F247,FR$2),GeoHis!$A:$H,7,FALSE)=CF247,1,0)</f>
        <v>#N/A</v>
      </c>
      <c r="FS247" s="138" t="e">
        <f>IF(VLOOKUP(CONCATENATE(H247,F247,FS$2),GeoHis!$A:$H,7,FALSE)=CG247,1,0)</f>
        <v>#N/A</v>
      </c>
      <c r="FT247" s="138" t="e">
        <f>IF(VLOOKUP(CONCATENATE(H247,F247,FT$2),GeoHis!$A:$H,7,FALSE)=CH247,1,0)</f>
        <v>#N/A</v>
      </c>
      <c r="FU247" s="138" t="e">
        <f>IF(VLOOKUP(CONCATENATE(H247,F247,FU$2),GeoHis!$A:$H,7,FALSE)=CI247,1,0)</f>
        <v>#N/A</v>
      </c>
      <c r="FV247" s="138" t="e">
        <f>IF(VLOOKUP(CONCATENATE(H247,F247,FV$2),GeoHis!$A:$H,7,FALSE)=CJ247,1,0)</f>
        <v>#N/A</v>
      </c>
      <c r="FW247" s="138" t="e">
        <f>IF(VLOOKUP(CONCATENATE(H247,F247,FW$2),GeoHis!$A:$H,7,FALSE)=CK247,1,0)</f>
        <v>#N/A</v>
      </c>
      <c r="FX247" s="138" t="e">
        <f>IF(VLOOKUP(CONCATENATE(H247,F247,FX$2),GeoHis!$A:$H,7,FALSE)=CL247,1,0)</f>
        <v>#N/A</v>
      </c>
      <c r="FY247" s="138" t="e">
        <f>IF(VLOOKUP(CONCATENATE(H247,F247,FY$2),GeoHis!$A:$H,7,FALSE)=CM247,1,0)</f>
        <v>#N/A</v>
      </c>
      <c r="FZ247" s="138" t="e">
        <f>IF(VLOOKUP(CONCATENATE(H247,F247,FZ$2),GeoHis!$A:$H,7,FALSE)=CN247,1,0)</f>
        <v>#N/A</v>
      </c>
      <c r="GA247" s="138" t="e">
        <f>IF(VLOOKUP(CONCATENATE(H247,F247,GA$2),GeoHis!$A:$H,7,FALSE)=CO247,1,0)</f>
        <v>#N/A</v>
      </c>
      <c r="GB247" s="138" t="e">
        <f>IF(VLOOKUP(CONCATENATE(H247,F247,GB$2),GeoHis!$A:$H,7,FALSE)=CP247,1,0)</f>
        <v>#N/A</v>
      </c>
      <c r="GC247" s="138" t="e">
        <f>IF(VLOOKUP(CONCATENATE(H247,F247,GC$2),GeoHis!$A:$H,7,FALSE)=CQ247,1,0)</f>
        <v>#N/A</v>
      </c>
      <c r="GD247" s="138" t="e">
        <f>IF(VLOOKUP(CONCATENATE(H247,F247,GD$2),GeoHis!$A:$H,7,FALSE)=CR247,1,0)</f>
        <v>#N/A</v>
      </c>
      <c r="GE247" s="135" t="str">
        <f t="shared" si="31"/>
        <v/>
      </c>
    </row>
    <row r="248" spans="1:187" x14ac:dyDescent="0.25">
      <c r="A248" s="127" t="str">
        <f>IF(C248="","",'Datos Generales'!$A$25)</f>
        <v/>
      </c>
      <c r="D248" s="126" t="str">
        <f t="shared" si="24"/>
        <v/>
      </c>
      <c r="E248" s="126">
        <f t="shared" si="25"/>
        <v>0</v>
      </c>
      <c r="F248" s="126" t="str">
        <f t="shared" si="26"/>
        <v/>
      </c>
      <c r="G248" s="126" t="str">
        <f>IF(C248="","",'Datos Generales'!$D$19)</f>
        <v/>
      </c>
      <c r="H248" s="21" t="str">
        <f>IF(C248="","",'Datos Generales'!$A$19)</f>
        <v/>
      </c>
      <c r="I248" s="126" t="str">
        <f>IF(C248="","",'Datos Generales'!$A$7)</f>
        <v/>
      </c>
      <c r="J248" s="21" t="str">
        <f>IF(C248="","",'Datos Generales'!$A$13)</f>
        <v/>
      </c>
      <c r="K248" s="21" t="str">
        <f>IF(C248="","",'Datos Generales'!$A$10)</f>
        <v/>
      </c>
      <c r="CS248" s="142" t="str">
        <f t="shared" si="27"/>
        <v/>
      </c>
      <c r="CT248" s="142" t="str">
        <f t="shared" si="28"/>
        <v/>
      </c>
      <c r="CU248" s="142" t="str">
        <f t="shared" si="29"/>
        <v/>
      </c>
      <c r="CV248" s="142" t="str">
        <f t="shared" si="30"/>
        <v/>
      </c>
      <c r="CW248" s="142" t="str">
        <f>IF(C248="","",IF('Datos Generales'!$A$19=1,AVERAGE(FP248:GD248),AVERAGE(Captura!FP248:FY248)))</f>
        <v/>
      </c>
      <c r="CX248" s="138" t="e">
        <f>IF(VLOOKUP(CONCATENATE($H$4,$F$4,CX$2),Español!$A:$H,7,FALSE)=L248,1,0)</f>
        <v>#N/A</v>
      </c>
      <c r="CY248" s="138" t="e">
        <f>IF(VLOOKUP(CONCATENATE(H248,F248,CY$2),Español!$A:$H,7,FALSE)=M248,1,0)</f>
        <v>#N/A</v>
      </c>
      <c r="CZ248" s="138" t="e">
        <f>IF(VLOOKUP(CONCATENATE(H248,F248,CZ$2),Español!$A:$H,7,FALSE)=N248,1,0)</f>
        <v>#N/A</v>
      </c>
      <c r="DA248" s="138" t="e">
        <f>IF(VLOOKUP(CONCATENATE(H248,F248,DA$2),Español!$A:$H,7,FALSE)=O248,1,0)</f>
        <v>#N/A</v>
      </c>
      <c r="DB248" s="138" t="e">
        <f>IF(VLOOKUP(CONCATENATE(H248,F248,DB$2),Español!$A:$H,7,FALSE)=P248,1,0)</f>
        <v>#N/A</v>
      </c>
      <c r="DC248" s="138" t="e">
        <f>IF(VLOOKUP(CONCATENATE(H248,F248,DC$2),Español!$A:$H,7,FALSE)=Q248,1,0)</f>
        <v>#N/A</v>
      </c>
      <c r="DD248" s="138" t="e">
        <f>IF(VLOOKUP(CONCATENATE(H248,F248,DD$2),Español!$A:$H,7,FALSE)=R248,1,0)</f>
        <v>#N/A</v>
      </c>
      <c r="DE248" s="138" t="e">
        <f>IF(VLOOKUP(CONCATENATE(H248,F248,DE$2),Español!$A:$H,7,FALSE)=S248,1,0)</f>
        <v>#N/A</v>
      </c>
      <c r="DF248" s="138" t="e">
        <f>IF(VLOOKUP(CONCATENATE(H248,F248,DF$2),Español!$A:$H,7,FALSE)=T248,1,0)</f>
        <v>#N/A</v>
      </c>
      <c r="DG248" s="138" t="e">
        <f>IF(VLOOKUP(CONCATENATE(H248,F248,DG$2),Español!$A:$H,7,FALSE)=U248,1,0)</f>
        <v>#N/A</v>
      </c>
      <c r="DH248" s="138" t="e">
        <f>IF(VLOOKUP(CONCATENATE(H248,F248,DH$2),Español!$A:$H,7,FALSE)=V248,1,0)</f>
        <v>#N/A</v>
      </c>
      <c r="DI248" s="138" t="e">
        <f>IF(VLOOKUP(CONCATENATE(H248,F248,DI$2),Español!$A:$H,7,FALSE)=W248,1,0)</f>
        <v>#N/A</v>
      </c>
      <c r="DJ248" s="138" t="e">
        <f>IF(VLOOKUP(CONCATENATE(H248,F248,DJ$2),Español!$A:$H,7,FALSE)=X248,1,0)</f>
        <v>#N/A</v>
      </c>
      <c r="DK248" s="138" t="e">
        <f>IF(VLOOKUP(CONCATENATE(H248,F248,DK$2),Español!$A:$H,7,FALSE)=Y248,1,0)</f>
        <v>#N/A</v>
      </c>
      <c r="DL248" s="138" t="e">
        <f>IF(VLOOKUP(CONCATENATE(H248,F248,DL$2),Español!$A:$H,7,FALSE)=Z248,1,0)</f>
        <v>#N/A</v>
      </c>
      <c r="DM248" s="138" t="e">
        <f>IF(VLOOKUP(CONCATENATE(H248,F248,DM$2),Español!$A:$H,7,FALSE)=AA248,1,0)</f>
        <v>#N/A</v>
      </c>
      <c r="DN248" s="138" t="e">
        <f>IF(VLOOKUP(CONCATENATE(H248,F248,DN$2),Español!$A:$H,7,FALSE)=AB248,1,0)</f>
        <v>#N/A</v>
      </c>
      <c r="DO248" s="138" t="e">
        <f>IF(VLOOKUP(CONCATENATE(H248,F248,DO$2),Español!$A:$H,7,FALSE)=AC248,1,0)</f>
        <v>#N/A</v>
      </c>
      <c r="DP248" s="138" t="e">
        <f>IF(VLOOKUP(CONCATENATE(H248,F248,DP$2),Español!$A:$H,7,FALSE)=AD248,1,0)</f>
        <v>#N/A</v>
      </c>
      <c r="DQ248" s="138" t="e">
        <f>IF(VLOOKUP(CONCATENATE(H248,F248,DQ$2),Español!$A:$H,7,FALSE)=AE248,1,0)</f>
        <v>#N/A</v>
      </c>
      <c r="DR248" s="138" t="e">
        <f>IF(VLOOKUP(CONCATENATE(H248,F248,DR$2),Inglés!$A:$H,7,FALSE)=AF248,1,0)</f>
        <v>#N/A</v>
      </c>
      <c r="DS248" s="138" t="e">
        <f>IF(VLOOKUP(CONCATENATE(H248,F248,DS$2),Inglés!$A:$H,7,FALSE)=AG248,1,0)</f>
        <v>#N/A</v>
      </c>
      <c r="DT248" s="138" t="e">
        <f>IF(VLOOKUP(CONCATENATE(H248,F248,DT$2),Inglés!$A:$H,7,FALSE)=AH248,1,0)</f>
        <v>#N/A</v>
      </c>
      <c r="DU248" s="138" t="e">
        <f>IF(VLOOKUP(CONCATENATE(H248,F248,DU$2),Inglés!$A:$H,7,FALSE)=AI248,1,0)</f>
        <v>#N/A</v>
      </c>
      <c r="DV248" s="138" t="e">
        <f>IF(VLOOKUP(CONCATENATE(H248,F248,DV$2),Inglés!$A:$H,7,FALSE)=AJ248,1,0)</f>
        <v>#N/A</v>
      </c>
      <c r="DW248" s="138" t="e">
        <f>IF(VLOOKUP(CONCATENATE(H248,F248,DW$2),Inglés!$A:$H,7,FALSE)=AK248,1,0)</f>
        <v>#N/A</v>
      </c>
      <c r="DX248" s="138" t="e">
        <f>IF(VLOOKUP(CONCATENATE(H248,F248,DX$2),Inglés!$A:$H,7,FALSE)=AL248,1,0)</f>
        <v>#N/A</v>
      </c>
      <c r="DY248" s="138" t="e">
        <f>IF(VLOOKUP(CONCATENATE(H248,F248,DY$2),Inglés!$A:$H,7,FALSE)=AM248,1,0)</f>
        <v>#N/A</v>
      </c>
      <c r="DZ248" s="138" t="e">
        <f>IF(VLOOKUP(CONCATENATE(H248,F248,DZ$2),Inglés!$A:$H,7,FALSE)=AN248,1,0)</f>
        <v>#N/A</v>
      </c>
      <c r="EA248" s="138" t="e">
        <f>IF(VLOOKUP(CONCATENATE(H248,F248,EA$2),Inglés!$A:$H,7,FALSE)=AO248,1,0)</f>
        <v>#N/A</v>
      </c>
      <c r="EB248" s="138" t="e">
        <f>IF(VLOOKUP(CONCATENATE(H248,F248,EB$2),Matemáticas!$A:$H,7,FALSE)=AP248,1,0)</f>
        <v>#N/A</v>
      </c>
      <c r="EC248" s="138" t="e">
        <f>IF(VLOOKUP(CONCATENATE(H248,F248,EC$2),Matemáticas!$A:$H,7,FALSE)=AQ248,1,0)</f>
        <v>#N/A</v>
      </c>
      <c r="ED248" s="138" t="e">
        <f>IF(VLOOKUP(CONCATENATE(H248,F248,ED$2),Matemáticas!$A:$H,7,FALSE)=AR248,1,0)</f>
        <v>#N/A</v>
      </c>
      <c r="EE248" s="138" t="e">
        <f>IF(VLOOKUP(CONCATENATE(H248,F248,EE$2),Matemáticas!$A:$H,7,FALSE)=AS248,1,0)</f>
        <v>#N/A</v>
      </c>
      <c r="EF248" s="138" t="e">
        <f>IF(VLOOKUP(CONCATENATE(H248,F248,EF$2),Matemáticas!$A:$H,7,FALSE)=AT248,1,0)</f>
        <v>#N/A</v>
      </c>
      <c r="EG248" s="138" t="e">
        <f>IF(VLOOKUP(CONCATENATE(H248,F248,EG$2),Matemáticas!$A:$H,7,FALSE)=AU248,1,0)</f>
        <v>#N/A</v>
      </c>
      <c r="EH248" s="138" t="e">
        <f>IF(VLOOKUP(CONCATENATE(H248,F248,EH$2),Matemáticas!$A:$H,7,FALSE)=AV248,1,0)</f>
        <v>#N/A</v>
      </c>
      <c r="EI248" s="138" t="e">
        <f>IF(VLOOKUP(CONCATENATE(H248,F248,EI$2),Matemáticas!$A:$H,7,FALSE)=AW248,1,0)</f>
        <v>#N/A</v>
      </c>
      <c r="EJ248" s="138" t="e">
        <f>IF(VLOOKUP(CONCATENATE(H248,F248,EJ$2),Matemáticas!$A:$H,7,FALSE)=AX248,1,0)</f>
        <v>#N/A</v>
      </c>
      <c r="EK248" s="138" t="e">
        <f>IF(VLOOKUP(CONCATENATE(H248,F248,EK$2),Matemáticas!$A:$H,7,FALSE)=AY248,1,0)</f>
        <v>#N/A</v>
      </c>
      <c r="EL248" s="138" t="e">
        <f>IF(VLOOKUP(CONCATENATE(H248,F248,EL$2),Matemáticas!$A:$H,7,FALSE)=AZ248,1,0)</f>
        <v>#N/A</v>
      </c>
      <c r="EM248" s="138" t="e">
        <f>IF(VLOOKUP(CONCATENATE(H248,F248,EM$2),Matemáticas!$A:$H,7,FALSE)=BA248,1,0)</f>
        <v>#N/A</v>
      </c>
      <c r="EN248" s="138" t="e">
        <f>IF(VLOOKUP(CONCATENATE(H248,F248,EN$2),Matemáticas!$A:$H,7,FALSE)=BB248,1,0)</f>
        <v>#N/A</v>
      </c>
      <c r="EO248" s="138" t="e">
        <f>IF(VLOOKUP(CONCATENATE(H248,F248,EO$2),Matemáticas!$A:$H,7,FALSE)=BC248,1,0)</f>
        <v>#N/A</v>
      </c>
      <c r="EP248" s="138" t="e">
        <f>IF(VLOOKUP(CONCATENATE(H248,F248,EP$2),Matemáticas!$A:$H,7,FALSE)=BD248,1,0)</f>
        <v>#N/A</v>
      </c>
      <c r="EQ248" s="138" t="e">
        <f>IF(VLOOKUP(CONCATENATE(H248,F248,EQ$2),Matemáticas!$A:$H,7,FALSE)=BE248,1,0)</f>
        <v>#N/A</v>
      </c>
      <c r="ER248" s="138" t="e">
        <f>IF(VLOOKUP(CONCATENATE(H248,F248,ER$2),Matemáticas!$A:$H,7,FALSE)=BF248,1,0)</f>
        <v>#N/A</v>
      </c>
      <c r="ES248" s="138" t="e">
        <f>IF(VLOOKUP(CONCATENATE(H248,F248,ES$2),Matemáticas!$A:$H,7,FALSE)=BG248,1,0)</f>
        <v>#N/A</v>
      </c>
      <c r="ET248" s="138" t="e">
        <f>IF(VLOOKUP(CONCATENATE(H248,F248,ET$2),Matemáticas!$A:$H,7,FALSE)=BH248,1,0)</f>
        <v>#N/A</v>
      </c>
      <c r="EU248" s="138" t="e">
        <f>IF(VLOOKUP(CONCATENATE(H248,F248,EU$2),Matemáticas!$A:$H,7,FALSE)=BI248,1,0)</f>
        <v>#N/A</v>
      </c>
      <c r="EV248" s="138" t="e">
        <f>IF(VLOOKUP(CONCATENATE(H248,F248,EV$2),Ciencias!$A:$H,7,FALSE)=BJ248,1,0)</f>
        <v>#N/A</v>
      </c>
      <c r="EW248" s="138" t="e">
        <f>IF(VLOOKUP(CONCATENATE(H248,F248,EW$2),Ciencias!$A:$H,7,FALSE)=BK248,1,0)</f>
        <v>#N/A</v>
      </c>
      <c r="EX248" s="138" t="e">
        <f>IF(VLOOKUP(CONCATENATE(H248,F248,EX$2),Ciencias!$A:$H,7,FALSE)=BL248,1,0)</f>
        <v>#N/A</v>
      </c>
      <c r="EY248" s="138" t="e">
        <f>IF(VLOOKUP(CONCATENATE(H248,F248,EY$2),Ciencias!$A:$H,7,FALSE)=BM248,1,0)</f>
        <v>#N/A</v>
      </c>
      <c r="EZ248" s="138" t="e">
        <f>IF(VLOOKUP(CONCATENATE(H248,F248,EZ$2),Ciencias!$A:$H,7,FALSE)=BN248,1,0)</f>
        <v>#N/A</v>
      </c>
      <c r="FA248" s="138" t="e">
        <f>IF(VLOOKUP(CONCATENATE(H248,F248,FA$2),Ciencias!$A:$H,7,FALSE)=BO248,1,0)</f>
        <v>#N/A</v>
      </c>
      <c r="FB248" s="138" t="e">
        <f>IF(VLOOKUP(CONCATENATE(H248,F248,FB$2),Ciencias!$A:$H,7,FALSE)=BP248,1,0)</f>
        <v>#N/A</v>
      </c>
      <c r="FC248" s="138" t="e">
        <f>IF(VLOOKUP(CONCATENATE(H248,F248,FC$2),Ciencias!$A:$H,7,FALSE)=BQ248,1,0)</f>
        <v>#N/A</v>
      </c>
      <c r="FD248" s="138" t="e">
        <f>IF(VLOOKUP(CONCATENATE(H248,F248,FD$2),Ciencias!$A:$H,7,FALSE)=BR248,1,0)</f>
        <v>#N/A</v>
      </c>
      <c r="FE248" s="138" t="e">
        <f>IF(VLOOKUP(CONCATENATE(H248,F248,FE$2),Ciencias!$A:$H,7,FALSE)=BS248,1,0)</f>
        <v>#N/A</v>
      </c>
      <c r="FF248" s="138" t="e">
        <f>IF(VLOOKUP(CONCATENATE(H248,F248,FF$2),Ciencias!$A:$H,7,FALSE)=BT248,1,0)</f>
        <v>#N/A</v>
      </c>
      <c r="FG248" s="138" t="e">
        <f>IF(VLOOKUP(CONCATENATE(H248,F248,FG$2),Ciencias!$A:$H,7,FALSE)=BU248,1,0)</f>
        <v>#N/A</v>
      </c>
      <c r="FH248" s="138" t="e">
        <f>IF(VLOOKUP(CONCATENATE(H248,F248,FH$2),Ciencias!$A:$H,7,FALSE)=BV248,1,0)</f>
        <v>#N/A</v>
      </c>
      <c r="FI248" s="138" t="e">
        <f>IF(VLOOKUP(CONCATENATE(H248,F248,FI$2),Ciencias!$A:$H,7,FALSE)=BW248,1,0)</f>
        <v>#N/A</v>
      </c>
      <c r="FJ248" s="138" t="e">
        <f>IF(VLOOKUP(CONCATENATE(H248,F248,FJ$2),Ciencias!$A:$H,7,FALSE)=BX248,1,0)</f>
        <v>#N/A</v>
      </c>
      <c r="FK248" s="138" t="e">
        <f>IF(VLOOKUP(CONCATENATE(H248,F248,FK$2),Ciencias!$A:$H,7,FALSE)=BY248,1,0)</f>
        <v>#N/A</v>
      </c>
      <c r="FL248" s="138" t="e">
        <f>IF(VLOOKUP(CONCATENATE(H248,F248,FL$2),Ciencias!$A:$H,7,FALSE)=BZ248,1,0)</f>
        <v>#N/A</v>
      </c>
      <c r="FM248" s="138" t="e">
        <f>IF(VLOOKUP(CONCATENATE(H248,F248,FM$2),Ciencias!$A:$H,7,FALSE)=CA248,1,0)</f>
        <v>#N/A</v>
      </c>
      <c r="FN248" s="138" t="e">
        <f>IF(VLOOKUP(CONCATENATE(H248,F248,FN$2),Ciencias!$A:$H,7,FALSE)=CB248,1,0)</f>
        <v>#N/A</v>
      </c>
      <c r="FO248" s="138" t="e">
        <f>IF(VLOOKUP(CONCATENATE(H248,F248,FO$2),Ciencias!$A:$H,7,FALSE)=CC248,1,0)</f>
        <v>#N/A</v>
      </c>
      <c r="FP248" s="138" t="e">
        <f>IF(VLOOKUP(CONCATENATE(H248,F248,FP$2),GeoHis!$A:$H,7,FALSE)=CD248,1,0)</f>
        <v>#N/A</v>
      </c>
      <c r="FQ248" s="138" t="e">
        <f>IF(VLOOKUP(CONCATENATE(H248,F248,FQ$2),GeoHis!$A:$H,7,FALSE)=CE248,1,0)</f>
        <v>#N/A</v>
      </c>
      <c r="FR248" s="138" t="e">
        <f>IF(VLOOKUP(CONCATENATE(H248,F248,FR$2),GeoHis!$A:$H,7,FALSE)=CF248,1,0)</f>
        <v>#N/A</v>
      </c>
      <c r="FS248" s="138" t="e">
        <f>IF(VLOOKUP(CONCATENATE(H248,F248,FS$2),GeoHis!$A:$H,7,FALSE)=CG248,1,0)</f>
        <v>#N/A</v>
      </c>
      <c r="FT248" s="138" t="e">
        <f>IF(VLOOKUP(CONCATENATE(H248,F248,FT$2),GeoHis!$A:$H,7,FALSE)=CH248,1,0)</f>
        <v>#N/A</v>
      </c>
      <c r="FU248" s="138" t="e">
        <f>IF(VLOOKUP(CONCATENATE(H248,F248,FU$2),GeoHis!$A:$H,7,FALSE)=CI248,1,0)</f>
        <v>#N/A</v>
      </c>
      <c r="FV248" s="138" t="e">
        <f>IF(VLOOKUP(CONCATENATE(H248,F248,FV$2),GeoHis!$A:$H,7,FALSE)=CJ248,1,0)</f>
        <v>#N/A</v>
      </c>
      <c r="FW248" s="138" t="e">
        <f>IF(VLOOKUP(CONCATENATE(H248,F248,FW$2),GeoHis!$A:$H,7,FALSE)=CK248,1,0)</f>
        <v>#N/A</v>
      </c>
      <c r="FX248" s="138" t="e">
        <f>IF(VLOOKUP(CONCATENATE(H248,F248,FX$2),GeoHis!$A:$H,7,FALSE)=CL248,1,0)</f>
        <v>#N/A</v>
      </c>
      <c r="FY248" s="138" t="e">
        <f>IF(VLOOKUP(CONCATENATE(H248,F248,FY$2),GeoHis!$A:$H,7,FALSE)=CM248,1,0)</f>
        <v>#N/A</v>
      </c>
      <c r="FZ248" s="138" t="e">
        <f>IF(VLOOKUP(CONCATENATE(H248,F248,FZ$2),GeoHis!$A:$H,7,FALSE)=CN248,1,0)</f>
        <v>#N/A</v>
      </c>
      <c r="GA248" s="138" t="e">
        <f>IF(VLOOKUP(CONCATENATE(H248,F248,GA$2),GeoHis!$A:$H,7,FALSE)=CO248,1,0)</f>
        <v>#N/A</v>
      </c>
      <c r="GB248" s="138" t="e">
        <f>IF(VLOOKUP(CONCATENATE(H248,F248,GB$2),GeoHis!$A:$H,7,FALSE)=CP248,1,0)</f>
        <v>#N/A</v>
      </c>
      <c r="GC248" s="138" t="e">
        <f>IF(VLOOKUP(CONCATENATE(H248,F248,GC$2),GeoHis!$A:$H,7,FALSE)=CQ248,1,0)</f>
        <v>#N/A</v>
      </c>
      <c r="GD248" s="138" t="e">
        <f>IF(VLOOKUP(CONCATENATE(H248,F248,GD$2),GeoHis!$A:$H,7,FALSE)=CR248,1,0)</f>
        <v>#N/A</v>
      </c>
      <c r="GE248" s="135" t="str">
        <f t="shared" si="31"/>
        <v/>
      </c>
    </row>
    <row r="249" spans="1:187" x14ac:dyDescent="0.25">
      <c r="A249" s="127" t="str">
        <f>IF(C249="","",'Datos Generales'!$A$25)</f>
        <v/>
      </c>
      <c r="D249" s="126" t="str">
        <f t="shared" si="24"/>
        <v/>
      </c>
      <c r="E249" s="126">
        <f t="shared" si="25"/>
        <v>0</v>
      </c>
      <c r="F249" s="126" t="str">
        <f t="shared" si="26"/>
        <v/>
      </c>
      <c r="G249" s="126" t="str">
        <f>IF(C249="","",'Datos Generales'!$D$19)</f>
        <v/>
      </c>
      <c r="H249" s="21" t="str">
        <f>IF(C249="","",'Datos Generales'!$A$19)</f>
        <v/>
      </c>
      <c r="I249" s="126" t="str">
        <f>IF(C249="","",'Datos Generales'!$A$7)</f>
        <v/>
      </c>
      <c r="J249" s="21" t="str">
        <f>IF(C249="","",'Datos Generales'!$A$13)</f>
        <v/>
      </c>
      <c r="K249" s="21" t="str">
        <f>IF(C249="","",'Datos Generales'!$A$10)</f>
        <v/>
      </c>
      <c r="CS249" s="142" t="str">
        <f t="shared" si="27"/>
        <v/>
      </c>
      <c r="CT249" s="142" t="str">
        <f t="shared" si="28"/>
        <v/>
      </c>
      <c r="CU249" s="142" t="str">
        <f t="shared" si="29"/>
        <v/>
      </c>
      <c r="CV249" s="142" t="str">
        <f t="shared" si="30"/>
        <v/>
      </c>
      <c r="CW249" s="142" t="str">
        <f>IF(C249="","",IF('Datos Generales'!$A$19=1,AVERAGE(FP249:GD249),AVERAGE(Captura!FP249:FY249)))</f>
        <v/>
      </c>
      <c r="CX249" s="138" t="e">
        <f>IF(VLOOKUP(CONCATENATE($H$4,$F$4,CX$2),Español!$A:$H,7,FALSE)=L249,1,0)</f>
        <v>#N/A</v>
      </c>
      <c r="CY249" s="138" t="e">
        <f>IF(VLOOKUP(CONCATENATE(H249,F249,CY$2),Español!$A:$H,7,FALSE)=M249,1,0)</f>
        <v>#N/A</v>
      </c>
      <c r="CZ249" s="138" t="e">
        <f>IF(VLOOKUP(CONCATENATE(H249,F249,CZ$2),Español!$A:$H,7,FALSE)=N249,1,0)</f>
        <v>#N/A</v>
      </c>
      <c r="DA249" s="138" t="e">
        <f>IF(VLOOKUP(CONCATENATE(H249,F249,DA$2),Español!$A:$H,7,FALSE)=O249,1,0)</f>
        <v>#N/A</v>
      </c>
      <c r="DB249" s="138" t="e">
        <f>IF(VLOOKUP(CONCATENATE(H249,F249,DB$2),Español!$A:$H,7,FALSE)=P249,1,0)</f>
        <v>#N/A</v>
      </c>
      <c r="DC249" s="138" t="e">
        <f>IF(VLOOKUP(CONCATENATE(H249,F249,DC$2),Español!$A:$H,7,FALSE)=Q249,1,0)</f>
        <v>#N/A</v>
      </c>
      <c r="DD249" s="138" t="e">
        <f>IF(VLOOKUP(CONCATENATE(H249,F249,DD$2),Español!$A:$H,7,FALSE)=R249,1,0)</f>
        <v>#N/A</v>
      </c>
      <c r="DE249" s="138" t="e">
        <f>IF(VLOOKUP(CONCATENATE(H249,F249,DE$2),Español!$A:$H,7,FALSE)=S249,1,0)</f>
        <v>#N/A</v>
      </c>
      <c r="DF249" s="138" t="e">
        <f>IF(VLOOKUP(CONCATENATE(H249,F249,DF$2),Español!$A:$H,7,FALSE)=T249,1,0)</f>
        <v>#N/A</v>
      </c>
      <c r="DG249" s="138" t="e">
        <f>IF(VLOOKUP(CONCATENATE(H249,F249,DG$2),Español!$A:$H,7,FALSE)=U249,1,0)</f>
        <v>#N/A</v>
      </c>
      <c r="DH249" s="138" t="e">
        <f>IF(VLOOKUP(CONCATENATE(H249,F249,DH$2),Español!$A:$H,7,FALSE)=V249,1,0)</f>
        <v>#N/A</v>
      </c>
      <c r="DI249" s="138" t="e">
        <f>IF(VLOOKUP(CONCATENATE(H249,F249,DI$2),Español!$A:$H,7,FALSE)=W249,1,0)</f>
        <v>#N/A</v>
      </c>
      <c r="DJ249" s="138" t="e">
        <f>IF(VLOOKUP(CONCATENATE(H249,F249,DJ$2),Español!$A:$H,7,FALSE)=X249,1,0)</f>
        <v>#N/A</v>
      </c>
      <c r="DK249" s="138" t="e">
        <f>IF(VLOOKUP(CONCATENATE(H249,F249,DK$2),Español!$A:$H,7,FALSE)=Y249,1,0)</f>
        <v>#N/A</v>
      </c>
      <c r="DL249" s="138" t="e">
        <f>IF(VLOOKUP(CONCATENATE(H249,F249,DL$2),Español!$A:$H,7,FALSE)=Z249,1,0)</f>
        <v>#N/A</v>
      </c>
      <c r="DM249" s="138" t="e">
        <f>IF(VLOOKUP(CONCATENATE(H249,F249,DM$2),Español!$A:$H,7,FALSE)=AA249,1,0)</f>
        <v>#N/A</v>
      </c>
      <c r="DN249" s="138" t="e">
        <f>IF(VLOOKUP(CONCATENATE(H249,F249,DN$2),Español!$A:$H,7,FALSE)=AB249,1,0)</f>
        <v>#N/A</v>
      </c>
      <c r="DO249" s="138" t="e">
        <f>IF(VLOOKUP(CONCATENATE(H249,F249,DO$2),Español!$A:$H,7,FALSE)=AC249,1,0)</f>
        <v>#N/A</v>
      </c>
      <c r="DP249" s="138" t="e">
        <f>IF(VLOOKUP(CONCATENATE(H249,F249,DP$2),Español!$A:$H,7,FALSE)=AD249,1,0)</f>
        <v>#N/A</v>
      </c>
      <c r="DQ249" s="138" t="e">
        <f>IF(VLOOKUP(CONCATENATE(H249,F249,DQ$2),Español!$A:$H,7,FALSE)=AE249,1,0)</f>
        <v>#N/A</v>
      </c>
      <c r="DR249" s="138" t="e">
        <f>IF(VLOOKUP(CONCATENATE(H249,F249,DR$2),Inglés!$A:$H,7,FALSE)=AF249,1,0)</f>
        <v>#N/A</v>
      </c>
      <c r="DS249" s="138" t="e">
        <f>IF(VLOOKUP(CONCATENATE(H249,F249,DS$2),Inglés!$A:$H,7,FALSE)=AG249,1,0)</f>
        <v>#N/A</v>
      </c>
      <c r="DT249" s="138" t="e">
        <f>IF(VLOOKUP(CONCATENATE(H249,F249,DT$2),Inglés!$A:$H,7,FALSE)=AH249,1,0)</f>
        <v>#N/A</v>
      </c>
      <c r="DU249" s="138" t="e">
        <f>IF(VLOOKUP(CONCATENATE(H249,F249,DU$2),Inglés!$A:$H,7,FALSE)=AI249,1,0)</f>
        <v>#N/A</v>
      </c>
      <c r="DV249" s="138" t="e">
        <f>IF(VLOOKUP(CONCATENATE(H249,F249,DV$2),Inglés!$A:$H,7,FALSE)=AJ249,1,0)</f>
        <v>#N/A</v>
      </c>
      <c r="DW249" s="138" t="e">
        <f>IF(VLOOKUP(CONCATENATE(H249,F249,DW$2),Inglés!$A:$H,7,FALSE)=AK249,1,0)</f>
        <v>#N/A</v>
      </c>
      <c r="DX249" s="138" t="e">
        <f>IF(VLOOKUP(CONCATENATE(H249,F249,DX$2),Inglés!$A:$H,7,FALSE)=AL249,1,0)</f>
        <v>#N/A</v>
      </c>
      <c r="DY249" s="138" t="e">
        <f>IF(VLOOKUP(CONCATENATE(H249,F249,DY$2),Inglés!$A:$H,7,FALSE)=AM249,1,0)</f>
        <v>#N/A</v>
      </c>
      <c r="DZ249" s="138" t="e">
        <f>IF(VLOOKUP(CONCATENATE(H249,F249,DZ$2),Inglés!$A:$H,7,FALSE)=AN249,1,0)</f>
        <v>#N/A</v>
      </c>
      <c r="EA249" s="138" t="e">
        <f>IF(VLOOKUP(CONCATENATE(H249,F249,EA$2),Inglés!$A:$H,7,FALSE)=AO249,1,0)</f>
        <v>#N/A</v>
      </c>
      <c r="EB249" s="138" t="e">
        <f>IF(VLOOKUP(CONCATENATE(H249,F249,EB$2),Matemáticas!$A:$H,7,FALSE)=AP249,1,0)</f>
        <v>#N/A</v>
      </c>
      <c r="EC249" s="138" t="e">
        <f>IF(VLOOKUP(CONCATENATE(H249,F249,EC$2),Matemáticas!$A:$H,7,FALSE)=AQ249,1,0)</f>
        <v>#N/A</v>
      </c>
      <c r="ED249" s="138" t="e">
        <f>IF(VLOOKUP(CONCATENATE(H249,F249,ED$2),Matemáticas!$A:$H,7,FALSE)=AR249,1,0)</f>
        <v>#N/A</v>
      </c>
      <c r="EE249" s="138" t="e">
        <f>IF(VLOOKUP(CONCATENATE(H249,F249,EE$2),Matemáticas!$A:$H,7,FALSE)=AS249,1,0)</f>
        <v>#N/A</v>
      </c>
      <c r="EF249" s="138" t="e">
        <f>IF(VLOOKUP(CONCATENATE(H249,F249,EF$2),Matemáticas!$A:$H,7,FALSE)=AT249,1,0)</f>
        <v>#N/A</v>
      </c>
      <c r="EG249" s="138" t="e">
        <f>IF(VLOOKUP(CONCATENATE(H249,F249,EG$2),Matemáticas!$A:$H,7,FALSE)=AU249,1,0)</f>
        <v>#N/A</v>
      </c>
      <c r="EH249" s="138" t="e">
        <f>IF(VLOOKUP(CONCATENATE(H249,F249,EH$2),Matemáticas!$A:$H,7,FALSE)=AV249,1,0)</f>
        <v>#N/A</v>
      </c>
      <c r="EI249" s="138" t="e">
        <f>IF(VLOOKUP(CONCATENATE(H249,F249,EI$2),Matemáticas!$A:$H,7,FALSE)=AW249,1,0)</f>
        <v>#N/A</v>
      </c>
      <c r="EJ249" s="138" t="e">
        <f>IF(VLOOKUP(CONCATENATE(H249,F249,EJ$2),Matemáticas!$A:$H,7,FALSE)=AX249,1,0)</f>
        <v>#N/A</v>
      </c>
      <c r="EK249" s="138" t="e">
        <f>IF(VLOOKUP(CONCATENATE(H249,F249,EK$2),Matemáticas!$A:$H,7,FALSE)=AY249,1,0)</f>
        <v>#N/A</v>
      </c>
      <c r="EL249" s="138" t="e">
        <f>IF(VLOOKUP(CONCATENATE(H249,F249,EL$2),Matemáticas!$A:$H,7,FALSE)=AZ249,1,0)</f>
        <v>#N/A</v>
      </c>
      <c r="EM249" s="138" t="e">
        <f>IF(VLOOKUP(CONCATENATE(H249,F249,EM$2),Matemáticas!$A:$H,7,FALSE)=BA249,1,0)</f>
        <v>#N/A</v>
      </c>
      <c r="EN249" s="138" t="e">
        <f>IF(VLOOKUP(CONCATENATE(H249,F249,EN$2),Matemáticas!$A:$H,7,FALSE)=BB249,1,0)</f>
        <v>#N/A</v>
      </c>
      <c r="EO249" s="138" t="e">
        <f>IF(VLOOKUP(CONCATENATE(H249,F249,EO$2),Matemáticas!$A:$H,7,FALSE)=BC249,1,0)</f>
        <v>#N/A</v>
      </c>
      <c r="EP249" s="138" t="e">
        <f>IF(VLOOKUP(CONCATENATE(H249,F249,EP$2),Matemáticas!$A:$H,7,FALSE)=BD249,1,0)</f>
        <v>#N/A</v>
      </c>
      <c r="EQ249" s="138" t="e">
        <f>IF(VLOOKUP(CONCATENATE(H249,F249,EQ$2),Matemáticas!$A:$H,7,FALSE)=BE249,1,0)</f>
        <v>#N/A</v>
      </c>
      <c r="ER249" s="138" t="e">
        <f>IF(VLOOKUP(CONCATENATE(H249,F249,ER$2),Matemáticas!$A:$H,7,FALSE)=BF249,1,0)</f>
        <v>#N/A</v>
      </c>
      <c r="ES249" s="138" t="e">
        <f>IF(VLOOKUP(CONCATENATE(H249,F249,ES$2),Matemáticas!$A:$H,7,FALSE)=BG249,1,0)</f>
        <v>#N/A</v>
      </c>
      <c r="ET249" s="138" t="e">
        <f>IF(VLOOKUP(CONCATENATE(H249,F249,ET$2),Matemáticas!$A:$H,7,FALSE)=BH249,1,0)</f>
        <v>#N/A</v>
      </c>
      <c r="EU249" s="138" t="e">
        <f>IF(VLOOKUP(CONCATENATE(H249,F249,EU$2),Matemáticas!$A:$H,7,FALSE)=BI249,1,0)</f>
        <v>#N/A</v>
      </c>
      <c r="EV249" s="138" t="e">
        <f>IF(VLOOKUP(CONCATENATE(H249,F249,EV$2),Ciencias!$A:$H,7,FALSE)=BJ249,1,0)</f>
        <v>#N/A</v>
      </c>
      <c r="EW249" s="138" t="e">
        <f>IF(VLOOKUP(CONCATENATE(H249,F249,EW$2),Ciencias!$A:$H,7,FALSE)=BK249,1,0)</f>
        <v>#N/A</v>
      </c>
      <c r="EX249" s="138" t="e">
        <f>IF(VLOOKUP(CONCATENATE(H249,F249,EX$2),Ciencias!$A:$H,7,FALSE)=BL249,1,0)</f>
        <v>#N/A</v>
      </c>
      <c r="EY249" s="138" t="e">
        <f>IF(VLOOKUP(CONCATENATE(H249,F249,EY$2),Ciencias!$A:$H,7,FALSE)=BM249,1,0)</f>
        <v>#N/A</v>
      </c>
      <c r="EZ249" s="138" t="e">
        <f>IF(VLOOKUP(CONCATENATE(H249,F249,EZ$2),Ciencias!$A:$H,7,FALSE)=BN249,1,0)</f>
        <v>#N/A</v>
      </c>
      <c r="FA249" s="138" t="e">
        <f>IF(VLOOKUP(CONCATENATE(H249,F249,FA$2),Ciencias!$A:$H,7,FALSE)=BO249,1,0)</f>
        <v>#N/A</v>
      </c>
      <c r="FB249" s="138" t="e">
        <f>IF(VLOOKUP(CONCATENATE(H249,F249,FB$2),Ciencias!$A:$H,7,FALSE)=BP249,1,0)</f>
        <v>#N/A</v>
      </c>
      <c r="FC249" s="138" t="e">
        <f>IF(VLOOKUP(CONCATENATE(H249,F249,FC$2),Ciencias!$A:$H,7,FALSE)=BQ249,1,0)</f>
        <v>#N/A</v>
      </c>
      <c r="FD249" s="138" t="e">
        <f>IF(VLOOKUP(CONCATENATE(H249,F249,FD$2),Ciencias!$A:$H,7,FALSE)=BR249,1,0)</f>
        <v>#N/A</v>
      </c>
      <c r="FE249" s="138" t="e">
        <f>IF(VLOOKUP(CONCATENATE(H249,F249,FE$2),Ciencias!$A:$H,7,FALSE)=BS249,1,0)</f>
        <v>#N/A</v>
      </c>
      <c r="FF249" s="138" t="e">
        <f>IF(VLOOKUP(CONCATENATE(H249,F249,FF$2),Ciencias!$A:$H,7,FALSE)=BT249,1,0)</f>
        <v>#N/A</v>
      </c>
      <c r="FG249" s="138" t="e">
        <f>IF(VLOOKUP(CONCATENATE(H249,F249,FG$2),Ciencias!$A:$H,7,FALSE)=BU249,1,0)</f>
        <v>#N/A</v>
      </c>
      <c r="FH249" s="138" t="e">
        <f>IF(VLOOKUP(CONCATENATE(H249,F249,FH$2),Ciencias!$A:$H,7,FALSE)=BV249,1,0)</f>
        <v>#N/A</v>
      </c>
      <c r="FI249" s="138" t="e">
        <f>IF(VLOOKUP(CONCATENATE(H249,F249,FI$2),Ciencias!$A:$H,7,FALSE)=BW249,1,0)</f>
        <v>#N/A</v>
      </c>
      <c r="FJ249" s="138" t="e">
        <f>IF(VLOOKUP(CONCATENATE(H249,F249,FJ$2),Ciencias!$A:$H,7,FALSE)=BX249,1,0)</f>
        <v>#N/A</v>
      </c>
      <c r="FK249" s="138" t="e">
        <f>IF(VLOOKUP(CONCATENATE(H249,F249,FK$2),Ciencias!$A:$H,7,FALSE)=BY249,1,0)</f>
        <v>#N/A</v>
      </c>
      <c r="FL249" s="138" t="e">
        <f>IF(VLOOKUP(CONCATENATE(H249,F249,FL$2),Ciencias!$A:$H,7,FALSE)=BZ249,1,0)</f>
        <v>#N/A</v>
      </c>
      <c r="FM249" s="138" t="e">
        <f>IF(VLOOKUP(CONCATENATE(H249,F249,FM$2),Ciencias!$A:$H,7,FALSE)=CA249,1,0)</f>
        <v>#N/A</v>
      </c>
      <c r="FN249" s="138" t="e">
        <f>IF(VLOOKUP(CONCATENATE(H249,F249,FN$2),Ciencias!$A:$H,7,FALSE)=CB249,1,0)</f>
        <v>#N/A</v>
      </c>
      <c r="FO249" s="138" t="e">
        <f>IF(VLOOKUP(CONCATENATE(H249,F249,FO$2),Ciencias!$A:$H,7,FALSE)=CC249,1,0)</f>
        <v>#N/A</v>
      </c>
      <c r="FP249" s="138" t="e">
        <f>IF(VLOOKUP(CONCATENATE(H249,F249,FP$2),GeoHis!$A:$H,7,FALSE)=CD249,1,0)</f>
        <v>#N/A</v>
      </c>
      <c r="FQ249" s="138" t="e">
        <f>IF(VLOOKUP(CONCATENATE(H249,F249,FQ$2),GeoHis!$A:$H,7,FALSE)=CE249,1,0)</f>
        <v>#N/A</v>
      </c>
      <c r="FR249" s="138" t="e">
        <f>IF(VLOOKUP(CONCATENATE(H249,F249,FR$2),GeoHis!$A:$H,7,FALSE)=CF249,1,0)</f>
        <v>#N/A</v>
      </c>
      <c r="FS249" s="138" t="e">
        <f>IF(VLOOKUP(CONCATENATE(H249,F249,FS$2),GeoHis!$A:$H,7,FALSE)=CG249,1,0)</f>
        <v>#N/A</v>
      </c>
      <c r="FT249" s="138" t="e">
        <f>IF(VLOOKUP(CONCATENATE(H249,F249,FT$2),GeoHis!$A:$H,7,FALSE)=CH249,1,0)</f>
        <v>#N/A</v>
      </c>
      <c r="FU249" s="138" t="e">
        <f>IF(VLOOKUP(CONCATENATE(H249,F249,FU$2),GeoHis!$A:$H,7,FALSE)=CI249,1,0)</f>
        <v>#N/A</v>
      </c>
      <c r="FV249" s="138" t="e">
        <f>IF(VLOOKUP(CONCATENATE(H249,F249,FV$2),GeoHis!$A:$H,7,FALSE)=CJ249,1,0)</f>
        <v>#N/A</v>
      </c>
      <c r="FW249" s="138" t="e">
        <f>IF(VLOOKUP(CONCATENATE(H249,F249,FW$2),GeoHis!$A:$H,7,FALSE)=CK249,1,0)</f>
        <v>#N/A</v>
      </c>
      <c r="FX249" s="138" t="e">
        <f>IF(VLOOKUP(CONCATENATE(H249,F249,FX$2),GeoHis!$A:$H,7,FALSE)=CL249,1,0)</f>
        <v>#N/A</v>
      </c>
      <c r="FY249" s="138" t="e">
        <f>IF(VLOOKUP(CONCATENATE(H249,F249,FY$2),GeoHis!$A:$H,7,FALSE)=CM249,1,0)</f>
        <v>#N/A</v>
      </c>
      <c r="FZ249" s="138" t="e">
        <f>IF(VLOOKUP(CONCATENATE(H249,F249,FZ$2),GeoHis!$A:$H,7,FALSE)=CN249,1,0)</f>
        <v>#N/A</v>
      </c>
      <c r="GA249" s="138" t="e">
        <f>IF(VLOOKUP(CONCATENATE(H249,F249,GA$2),GeoHis!$A:$H,7,FALSE)=CO249,1,0)</f>
        <v>#N/A</v>
      </c>
      <c r="GB249" s="138" t="e">
        <f>IF(VLOOKUP(CONCATENATE(H249,F249,GB$2),GeoHis!$A:$H,7,FALSE)=CP249,1,0)</f>
        <v>#N/A</v>
      </c>
      <c r="GC249" s="138" t="e">
        <f>IF(VLOOKUP(CONCATENATE(H249,F249,GC$2),GeoHis!$A:$H,7,FALSE)=CQ249,1,0)</f>
        <v>#N/A</v>
      </c>
      <c r="GD249" s="138" t="e">
        <f>IF(VLOOKUP(CONCATENATE(H249,F249,GD$2),GeoHis!$A:$H,7,FALSE)=CR249,1,0)</f>
        <v>#N/A</v>
      </c>
      <c r="GE249" s="135" t="str">
        <f t="shared" si="31"/>
        <v/>
      </c>
    </row>
    <row r="250" spans="1:187" x14ac:dyDescent="0.25">
      <c r="A250" s="127" t="str">
        <f>IF(C250="","",'Datos Generales'!$A$25)</f>
        <v/>
      </c>
      <c r="D250" s="126" t="str">
        <f t="shared" si="24"/>
        <v/>
      </c>
      <c r="E250" s="126">
        <f t="shared" si="25"/>
        <v>0</v>
      </c>
      <c r="F250" s="126" t="str">
        <f t="shared" si="26"/>
        <v/>
      </c>
      <c r="G250" s="126" t="str">
        <f>IF(C250="","",'Datos Generales'!$D$19)</f>
        <v/>
      </c>
      <c r="H250" s="21" t="str">
        <f>IF(C250="","",'Datos Generales'!$A$19)</f>
        <v/>
      </c>
      <c r="I250" s="126" t="str">
        <f>IF(C250="","",'Datos Generales'!$A$7)</f>
        <v/>
      </c>
      <c r="J250" s="21" t="str">
        <f>IF(C250="","",'Datos Generales'!$A$13)</f>
        <v/>
      </c>
      <c r="K250" s="21" t="str">
        <f>IF(C250="","",'Datos Generales'!$A$10)</f>
        <v/>
      </c>
      <c r="CS250" s="142" t="str">
        <f t="shared" si="27"/>
        <v/>
      </c>
      <c r="CT250" s="142" t="str">
        <f t="shared" si="28"/>
        <v/>
      </c>
      <c r="CU250" s="142" t="str">
        <f t="shared" si="29"/>
        <v/>
      </c>
      <c r="CV250" s="142" t="str">
        <f t="shared" si="30"/>
        <v/>
      </c>
      <c r="CW250" s="142" t="str">
        <f>IF(C250="","",IF('Datos Generales'!$A$19=1,AVERAGE(FP250:GD250),AVERAGE(Captura!FP250:FY250)))</f>
        <v/>
      </c>
      <c r="CX250" s="138" t="e">
        <f>IF(VLOOKUP(CONCATENATE($H$4,$F$4,CX$2),Español!$A:$H,7,FALSE)=L250,1,0)</f>
        <v>#N/A</v>
      </c>
      <c r="CY250" s="138" t="e">
        <f>IF(VLOOKUP(CONCATENATE(H250,F250,CY$2),Español!$A:$H,7,FALSE)=M250,1,0)</f>
        <v>#N/A</v>
      </c>
      <c r="CZ250" s="138" t="e">
        <f>IF(VLOOKUP(CONCATENATE(H250,F250,CZ$2),Español!$A:$H,7,FALSE)=N250,1,0)</f>
        <v>#N/A</v>
      </c>
      <c r="DA250" s="138" t="e">
        <f>IF(VLOOKUP(CONCATENATE(H250,F250,DA$2),Español!$A:$H,7,FALSE)=O250,1,0)</f>
        <v>#N/A</v>
      </c>
      <c r="DB250" s="138" t="e">
        <f>IF(VLOOKUP(CONCATENATE(H250,F250,DB$2),Español!$A:$H,7,FALSE)=P250,1,0)</f>
        <v>#N/A</v>
      </c>
      <c r="DC250" s="138" t="e">
        <f>IF(VLOOKUP(CONCATENATE(H250,F250,DC$2),Español!$A:$H,7,FALSE)=Q250,1,0)</f>
        <v>#N/A</v>
      </c>
      <c r="DD250" s="138" t="e">
        <f>IF(VLOOKUP(CONCATENATE(H250,F250,DD$2),Español!$A:$H,7,FALSE)=R250,1,0)</f>
        <v>#N/A</v>
      </c>
      <c r="DE250" s="138" t="e">
        <f>IF(VLOOKUP(CONCATENATE(H250,F250,DE$2),Español!$A:$H,7,FALSE)=S250,1,0)</f>
        <v>#N/A</v>
      </c>
      <c r="DF250" s="138" t="e">
        <f>IF(VLOOKUP(CONCATENATE(H250,F250,DF$2),Español!$A:$H,7,FALSE)=T250,1,0)</f>
        <v>#N/A</v>
      </c>
      <c r="DG250" s="138" t="e">
        <f>IF(VLOOKUP(CONCATENATE(H250,F250,DG$2),Español!$A:$H,7,FALSE)=U250,1,0)</f>
        <v>#N/A</v>
      </c>
      <c r="DH250" s="138" t="e">
        <f>IF(VLOOKUP(CONCATENATE(H250,F250,DH$2),Español!$A:$H,7,FALSE)=V250,1,0)</f>
        <v>#N/A</v>
      </c>
      <c r="DI250" s="138" t="e">
        <f>IF(VLOOKUP(CONCATENATE(H250,F250,DI$2),Español!$A:$H,7,FALSE)=W250,1,0)</f>
        <v>#N/A</v>
      </c>
      <c r="DJ250" s="138" t="e">
        <f>IF(VLOOKUP(CONCATENATE(H250,F250,DJ$2),Español!$A:$H,7,FALSE)=X250,1,0)</f>
        <v>#N/A</v>
      </c>
      <c r="DK250" s="138" t="e">
        <f>IF(VLOOKUP(CONCATENATE(H250,F250,DK$2),Español!$A:$H,7,FALSE)=Y250,1,0)</f>
        <v>#N/A</v>
      </c>
      <c r="DL250" s="138" t="e">
        <f>IF(VLOOKUP(CONCATENATE(H250,F250,DL$2),Español!$A:$H,7,FALSE)=Z250,1,0)</f>
        <v>#N/A</v>
      </c>
      <c r="DM250" s="138" t="e">
        <f>IF(VLOOKUP(CONCATENATE(H250,F250,DM$2),Español!$A:$H,7,FALSE)=AA250,1,0)</f>
        <v>#N/A</v>
      </c>
      <c r="DN250" s="138" t="e">
        <f>IF(VLOOKUP(CONCATENATE(H250,F250,DN$2),Español!$A:$H,7,FALSE)=AB250,1,0)</f>
        <v>#N/A</v>
      </c>
      <c r="DO250" s="138" t="e">
        <f>IF(VLOOKUP(CONCATENATE(H250,F250,DO$2),Español!$A:$H,7,FALSE)=AC250,1,0)</f>
        <v>#N/A</v>
      </c>
      <c r="DP250" s="138" t="e">
        <f>IF(VLOOKUP(CONCATENATE(H250,F250,DP$2),Español!$A:$H,7,FALSE)=AD250,1,0)</f>
        <v>#N/A</v>
      </c>
      <c r="DQ250" s="138" t="e">
        <f>IF(VLOOKUP(CONCATENATE(H250,F250,DQ$2),Español!$A:$H,7,FALSE)=AE250,1,0)</f>
        <v>#N/A</v>
      </c>
      <c r="DR250" s="138" t="e">
        <f>IF(VLOOKUP(CONCATENATE(H250,F250,DR$2),Inglés!$A:$H,7,FALSE)=AF250,1,0)</f>
        <v>#N/A</v>
      </c>
      <c r="DS250" s="138" t="e">
        <f>IF(VLOOKUP(CONCATENATE(H250,F250,DS$2),Inglés!$A:$H,7,FALSE)=AG250,1,0)</f>
        <v>#N/A</v>
      </c>
      <c r="DT250" s="138" t="e">
        <f>IF(VLOOKUP(CONCATENATE(H250,F250,DT$2),Inglés!$A:$H,7,FALSE)=AH250,1,0)</f>
        <v>#N/A</v>
      </c>
      <c r="DU250" s="138" t="e">
        <f>IF(VLOOKUP(CONCATENATE(H250,F250,DU$2),Inglés!$A:$H,7,FALSE)=AI250,1,0)</f>
        <v>#N/A</v>
      </c>
      <c r="DV250" s="138" t="e">
        <f>IF(VLOOKUP(CONCATENATE(H250,F250,DV$2),Inglés!$A:$H,7,FALSE)=AJ250,1,0)</f>
        <v>#N/A</v>
      </c>
      <c r="DW250" s="138" t="e">
        <f>IF(VLOOKUP(CONCATENATE(H250,F250,DW$2),Inglés!$A:$H,7,FALSE)=AK250,1,0)</f>
        <v>#N/A</v>
      </c>
      <c r="DX250" s="138" t="e">
        <f>IF(VLOOKUP(CONCATENATE(H250,F250,DX$2),Inglés!$A:$H,7,FALSE)=AL250,1,0)</f>
        <v>#N/A</v>
      </c>
      <c r="DY250" s="138" t="e">
        <f>IF(VLOOKUP(CONCATENATE(H250,F250,DY$2),Inglés!$A:$H,7,FALSE)=AM250,1,0)</f>
        <v>#N/A</v>
      </c>
      <c r="DZ250" s="138" t="e">
        <f>IF(VLOOKUP(CONCATENATE(H250,F250,DZ$2),Inglés!$A:$H,7,FALSE)=AN250,1,0)</f>
        <v>#N/A</v>
      </c>
      <c r="EA250" s="138" t="e">
        <f>IF(VLOOKUP(CONCATENATE(H250,F250,EA$2),Inglés!$A:$H,7,FALSE)=AO250,1,0)</f>
        <v>#N/A</v>
      </c>
      <c r="EB250" s="138" t="e">
        <f>IF(VLOOKUP(CONCATENATE(H250,F250,EB$2),Matemáticas!$A:$H,7,FALSE)=AP250,1,0)</f>
        <v>#N/A</v>
      </c>
      <c r="EC250" s="138" t="e">
        <f>IF(VLOOKUP(CONCATENATE(H250,F250,EC$2),Matemáticas!$A:$H,7,FALSE)=AQ250,1,0)</f>
        <v>#N/A</v>
      </c>
      <c r="ED250" s="138" t="e">
        <f>IF(VLOOKUP(CONCATENATE(H250,F250,ED$2),Matemáticas!$A:$H,7,FALSE)=AR250,1,0)</f>
        <v>#N/A</v>
      </c>
      <c r="EE250" s="138" t="e">
        <f>IF(VLOOKUP(CONCATENATE(H250,F250,EE$2),Matemáticas!$A:$H,7,FALSE)=AS250,1,0)</f>
        <v>#N/A</v>
      </c>
      <c r="EF250" s="138" t="e">
        <f>IF(VLOOKUP(CONCATENATE(H250,F250,EF$2),Matemáticas!$A:$H,7,FALSE)=AT250,1,0)</f>
        <v>#N/A</v>
      </c>
      <c r="EG250" s="138" t="e">
        <f>IF(VLOOKUP(CONCATENATE(H250,F250,EG$2),Matemáticas!$A:$H,7,FALSE)=AU250,1,0)</f>
        <v>#N/A</v>
      </c>
      <c r="EH250" s="138" t="e">
        <f>IF(VLOOKUP(CONCATENATE(H250,F250,EH$2),Matemáticas!$A:$H,7,FALSE)=AV250,1,0)</f>
        <v>#N/A</v>
      </c>
      <c r="EI250" s="138" t="e">
        <f>IF(VLOOKUP(CONCATENATE(H250,F250,EI$2),Matemáticas!$A:$H,7,FALSE)=AW250,1,0)</f>
        <v>#N/A</v>
      </c>
      <c r="EJ250" s="138" t="e">
        <f>IF(VLOOKUP(CONCATENATE(H250,F250,EJ$2),Matemáticas!$A:$H,7,FALSE)=AX250,1,0)</f>
        <v>#N/A</v>
      </c>
      <c r="EK250" s="138" t="e">
        <f>IF(VLOOKUP(CONCATENATE(H250,F250,EK$2),Matemáticas!$A:$H,7,FALSE)=AY250,1,0)</f>
        <v>#N/A</v>
      </c>
      <c r="EL250" s="138" t="e">
        <f>IF(VLOOKUP(CONCATENATE(H250,F250,EL$2),Matemáticas!$A:$H,7,FALSE)=AZ250,1,0)</f>
        <v>#N/A</v>
      </c>
      <c r="EM250" s="138" t="e">
        <f>IF(VLOOKUP(CONCATENATE(H250,F250,EM$2),Matemáticas!$A:$H,7,FALSE)=BA250,1,0)</f>
        <v>#N/A</v>
      </c>
      <c r="EN250" s="138" t="e">
        <f>IF(VLOOKUP(CONCATENATE(H250,F250,EN$2),Matemáticas!$A:$H,7,FALSE)=BB250,1,0)</f>
        <v>#N/A</v>
      </c>
      <c r="EO250" s="138" t="e">
        <f>IF(VLOOKUP(CONCATENATE(H250,F250,EO$2),Matemáticas!$A:$H,7,FALSE)=BC250,1,0)</f>
        <v>#N/A</v>
      </c>
      <c r="EP250" s="138" t="e">
        <f>IF(VLOOKUP(CONCATENATE(H250,F250,EP$2),Matemáticas!$A:$H,7,FALSE)=BD250,1,0)</f>
        <v>#N/A</v>
      </c>
      <c r="EQ250" s="138" t="e">
        <f>IF(VLOOKUP(CONCATENATE(H250,F250,EQ$2),Matemáticas!$A:$H,7,FALSE)=BE250,1,0)</f>
        <v>#N/A</v>
      </c>
      <c r="ER250" s="138" t="e">
        <f>IF(VLOOKUP(CONCATENATE(H250,F250,ER$2),Matemáticas!$A:$H,7,FALSE)=BF250,1,0)</f>
        <v>#N/A</v>
      </c>
      <c r="ES250" s="138" t="e">
        <f>IF(VLOOKUP(CONCATENATE(H250,F250,ES$2),Matemáticas!$A:$H,7,FALSE)=BG250,1,0)</f>
        <v>#N/A</v>
      </c>
      <c r="ET250" s="138" t="e">
        <f>IF(VLOOKUP(CONCATENATE(H250,F250,ET$2),Matemáticas!$A:$H,7,FALSE)=BH250,1,0)</f>
        <v>#N/A</v>
      </c>
      <c r="EU250" s="138" t="e">
        <f>IF(VLOOKUP(CONCATENATE(H250,F250,EU$2),Matemáticas!$A:$H,7,FALSE)=BI250,1,0)</f>
        <v>#N/A</v>
      </c>
      <c r="EV250" s="138" t="e">
        <f>IF(VLOOKUP(CONCATENATE(H250,F250,EV$2),Ciencias!$A:$H,7,FALSE)=BJ250,1,0)</f>
        <v>#N/A</v>
      </c>
      <c r="EW250" s="138" t="e">
        <f>IF(VLOOKUP(CONCATENATE(H250,F250,EW$2),Ciencias!$A:$H,7,FALSE)=BK250,1,0)</f>
        <v>#N/A</v>
      </c>
      <c r="EX250" s="138" t="e">
        <f>IF(VLOOKUP(CONCATENATE(H250,F250,EX$2),Ciencias!$A:$H,7,FALSE)=BL250,1,0)</f>
        <v>#N/A</v>
      </c>
      <c r="EY250" s="138" t="e">
        <f>IF(VLOOKUP(CONCATENATE(H250,F250,EY$2),Ciencias!$A:$H,7,FALSE)=BM250,1,0)</f>
        <v>#N/A</v>
      </c>
      <c r="EZ250" s="138" t="e">
        <f>IF(VLOOKUP(CONCATENATE(H250,F250,EZ$2),Ciencias!$A:$H,7,FALSE)=BN250,1,0)</f>
        <v>#N/A</v>
      </c>
      <c r="FA250" s="138" t="e">
        <f>IF(VLOOKUP(CONCATENATE(H250,F250,FA$2),Ciencias!$A:$H,7,FALSE)=BO250,1,0)</f>
        <v>#N/A</v>
      </c>
      <c r="FB250" s="138" t="e">
        <f>IF(VLOOKUP(CONCATENATE(H250,F250,FB$2),Ciencias!$A:$H,7,FALSE)=BP250,1,0)</f>
        <v>#N/A</v>
      </c>
      <c r="FC250" s="138" t="e">
        <f>IF(VLOOKUP(CONCATENATE(H250,F250,FC$2),Ciencias!$A:$H,7,FALSE)=BQ250,1,0)</f>
        <v>#N/A</v>
      </c>
      <c r="FD250" s="138" t="e">
        <f>IF(VLOOKUP(CONCATENATE(H250,F250,FD$2),Ciencias!$A:$H,7,FALSE)=BR250,1,0)</f>
        <v>#N/A</v>
      </c>
      <c r="FE250" s="138" t="e">
        <f>IF(VLOOKUP(CONCATENATE(H250,F250,FE$2),Ciencias!$A:$H,7,FALSE)=BS250,1,0)</f>
        <v>#N/A</v>
      </c>
      <c r="FF250" s="138" t="e">
        <f>IF(VLOOKUP(CONCATENATE(H250,F250,FF$2),Ciencias!$A:$H,7,FALSE)=BT250,1,0)</f>
        <v>#N/A</v>
      </c>
      <c r="FG250" s="138" t="e">
        <f>IF(VLOOKUP(CONCATENATE(H250,F250,FG$2),Ciencias!$A:$H,7,FALSE)=BU250,1,0)</f>
        <v>#N/A</v>
      </c>
      <c r="FH250" s="138" t="e">
        <f>IF(VLOOKUP(CONCATENATE(H250,F250,FH$2),Ciencias!$A:$H,7,FALSE)=BV250,1,0)</f>
        <v>#N/A</v>
      </c>
      <c r="FI250" s="138" t="e">
        <f>IF(VLOOKUP(CONCATENATE(H250,F250,FI$2),Ciencias!$A:$H,7,FALSE)=BW250,1,0)</f>
        <v>#N/A</v>
      </c>
      <c r="FJ250" s="138" t="e">
        <f>IF(VLOOKUP(CONCATENATE(H250,F250,FJ$2),Ciencias!$A:$H,7,FALSE)=BX250,1,0)</f>
        <v>#N/A</v>
      </c>
      <c r="FK250" s="138" t="e">
        <f>IF(VLOOKUP(CONCATENATE(H250,F250,FK$2),Ciencias!$A:$H,7,FALSE)=BY250,1,0)</f>
        <v>#N/A</v>
      </c>
      <c r="FL250" s="138" t="e">
        <f>IF(VLOOKUP(CONCATENATE(H250,F250,FL$2),Ciencias!$A:$H,7,FALSE)=BZ250,1,0)</f>
        <v>#N/A</v>
      </c>
      <c r="FM250" s="138" t="e">
        <f>IF(VLOOKUP(CONCATENATE(H250,F250,FM$2),Ciencias!$A:$H,7,FALSE)=CA250,1,0)</f>
        <v>#N/A</v>
      </c>
      <c r="FN250" s="138" t="e">
        <f>IF(VLOOKUP(CONCATENATE(H250,F250,FN$2),Ciencias!$A:$H,7,FALSE)=CB250,1,0)</f>
        <v>#N/A</v>
      </c>
      <c r="FO250" s="138" t="e">
        <f>IF(VLOOKUP(CONCATENATE(H250,F250,FO$2),Ciencias!$A:$H,7,FALSE)=CC250,1,0)</f>
        <v>#N/A</v>
      </c>
      <c r="FP250" s="138" t="e">
        <f>IF(VLOOKUP(CONCATENATE(H250,F250,FP$2),GeoHis!$A:$H,7,FALSE)=CD250,1,0)</f>
        <v>#N/A</v>
      </c>
      <c r="FQ250" s="138" t="e">
        <f>IF(VLOOKUP(CONCATENATE(H250,F250,FQ$2),GeoHis!$A:$H,7,FALSE)=CE250,1,0)</f>
        <v>#N/A</v>
      </c>
      <c r="FR250" s="138" t="e">
        <f>IF(VLOOKUP(CONCATENATE(H250,F250,FR$2),GeoHis!$A:$H,7,FALSE)=CF250,1,0)</f>
        <v>#N/A</v>
      </c>
      <c r="FS250" s="138" t="e">
        <f>IF(VLOOKUP(CONCATENATE(H250,F250,FS$2),GeoHis!$A:$H,7,FALSE)=CG250,1,0)</f>
        <v>#N/A</v>
      </c>
      <c r="FT250" s="138" t="e">
        <f>IF(VLOOKUP(CONCATENATE(H250,F250,FT$2),GeoHis!$A:$H,7,FALSE)=CH250,1,0)</f>
        <v>#N/A</v>
      </c>
      <c r="FU250" s="138" t="e">
        <f>IF(VLOOKUP(CONCATENATE(H250,F250,FU$2),GeoHis!$A:$H,7,FALSE)=CI250,1,0)</f>
        <v>#N/A</v>
      </c>
      <c r="FV250" s="138" t="e">
        <f>IF(VLOOKUP(CONCATENATE(H250,F250,FV$2),GeoHis!$A:$H,7,FALSE)=CJ250,1,0)</f>
        <v>#N/A</v>
      </c>
      <c r="FW250" s="138" t="e">
        <f>IF(VLOOKUP(CONCATENATE(H250,F250,FW$2),GeoHis!$A:$H,7,FALSE)=CK250,1,0)</f>
        <v>#N/A</v>
      </c>
      <c r="FX250" s="138" t="e">
        <f>IF(VLOOKUP(CONCATENATE(H250,F250,FX$2),GeoHis!$A:$H,7,FALSE)=CL250,1,0)</f>
        <v>#N/A</v>
      </c>
      <c r="FY250" s="138" t="e">
        <f>IF(VLOOKUP(CONCATENATE(H250,F250,FY$2),GeoHis!$A:$H,7,FALSE)=CM250,1,0)</f>
        <v>#N/A</v>
      </c>
      <c r="FZ250" s="138" t="e">
        <f>IF(VLOOKUP(CONCATENATE(H250,F250,FZ$2),GeoHis!$A:$H,7,FALSE)=CN250,1,0)</f>
        <v>#N/A</v>
      </c>
      <c r="GA250" s="138" t="e">
        <f>IF(VLOOKUP(CONCATENATE(H250,F250,GA$2),GeoHis!$A:$H,7,FALSE)=CO250,1,0)</f>
        <v>#N/A</v>
      </c>
      <c r="GB250" s="138" t="e">
        <f>IF(VLOOKUP(CONCATENATE(H250,F250,GB$2),GeoHis!$A:$H,7,FALSE)=CP250,1,0)</f>
        <v>#N/A</v>
      </c>
      <c r="GC250" s="138" t="e">
        <f>IF(VLOOKUP(CONCATENATE(H250,F250,GC$2),GeoHis!$A:$H,7,FALSE)=CQ250,1,0)</f>
        <v>#N/A</v>
      </c>
      <c r="GD250" s="138" t="e">
        <f>IF(VLOOKUP(CONCATENATE(H250,F250,GD$2),GeoHis!$A:$H,7,FALSE)=CR250,1,0)</f>
        <v>#N/A</v>
      </c>
      <c r="GE250" s="135" t="str">
        <f t="shared" si="31"/>
        <v/>
      </c>
    </row>
    <row r="251" spans="1:187" x14ac:dyDescent="0.25">
      <c r="A251" s="127" t="str">
        <f>IF(C251="","",'Datos Generales'!$A$25)</f>
        <v/>
      </c>
      <c r="D251" s="126" t="str">
        <f t="shared" si="24"/>
        <v/>
      </c>
      <c r="E251" s="126">
        <f t="shared" si="25"/>
        <v>0</v>
      </c>
      <c r="F251" s="126" t="str">
        <f t="shared" si="26"/>
        <v/>
      </c>
      <c r="G251" s="126" t="str">
        <f>IF(C251="","",'Datos Generales'!$D$19)</f>
        <v/>
      </c>
      <c r="H251" s="21" t="str">
        <f>IF(C251="","",'Datos Generales'!$A$19)</f>
        <v/>
      </c>
      <c r="I251" s="126" t="str">
        <f>IF(C251="","",'Datos Generales'!$A$7)</f>
        <v/>
      </c>
      <c r="J251" s="21" t="str">
        <f>IF(C251="","",'Datos Generales'!$A$13)</f>
        <v/>
      </c>
      <c r="K251" s="21" t="str">
        <f>IF(C251="","",'Datos Generales'!$A$10)</f>
        <v/>
      </c>
      <c r="CS251" s="142" t="str">
        <f t="shared" si="27"/>
        <v/>
      </c>
      <c r="CT251" s="142" t="str">
        <f t="shared" si="28"/>
        <v/>
      </c>
      <c r="CU251" s="142" t="str">
        <f t="shared" si="29"/>
        <v/>
      </c>
      <c r="CV251" s="142" t="str">
        <f t="shared" si="30"/>
        <v/>
      </c>
      <c r="CW251" s="142" t="str">
        <f>IF(C251="","",IF('Datos Generales'!$A$19=1,AVERAGE(FP251:GD251),AVERAGE(Captura!FP251:FY251)))</f>
        <v/>
      </c>
      <c r="CX251" s="138" t="e">
        <f>IF(VLOOKUP(CONCATENATE($H$4,$F$4,CX$2),Español!$A:$H,7,FALSE)=L251,1,0)</f>
        <v>#N/A</v>
      </c>
      <c r="CY251" s="138" t="e">
        <f>IF(VLOOKUP(CONCATENATE(H251,F251,CY$2),Español!$A:$H,7,FALSE)=M251,1,0)</f>
        <v>#N/A</v>
      </c>
      <c r="CZ251" s="138" t="e">
        <f>IF(VLOOKUP(CONCATENATE(H251,F251,CZ$2),Español!$A:$H,7,FALSE)=N251,1,0)</f>
        <v>#N/A</v>
      </c>
      <c r="DA251" s="138" t="e">
        <f>IF(VLOOKUP(CONCATENATE(H251,F251,DA$2),Español!$A:$H,7,FALSE)=O251,1,0)</f>
        <v>#N/A</v>
      </c>
      <c r="DB251" s="138" t="e">
        <f>IF(VLOOKUP(CONCATENATE(H251,F251,DB$2),Español!$A:$H,7,FALSE)=P251,1,0)</f>
        <v>#N/A</v>
      </c>
      <c r="DC251" s="138" t="e">
        <f>IF(VLOOKUP(CONCATENATE(H251,F251,DC$2),Español!$A:$H,7,FALSE)=Q251,1,0)</f>
        <v>#N/A</v>
      </c>
      <c r="DD251" s="138" t="e">
        <f>IF(VLOOKUP(CONCATENATE(H251,F251,DD$2),Español!$A:$H,7,FALSE)=R251,1,0)</f>
        <v>#N/A</v>
      </c>
      <c r="DE251" s="138" t="e">
        <f>IF(VLOOKUP(CONCATENATE(H251,F251,DE$2),Español!$A:$H,7,FALSE)=S251,1,0)</f>
        <v>#N/A</v>
      </c>
      <c r="DF251" s="138" t="e">
        <f>IF(VLOOKUP(CONCATENATE(H251,F251,DF$2),Español!$A:$H,7,FALSE)=T251,1,0)</f>
        <v>#N/A</v>
      </c>
      <c r="DG251" s="138" t="e">
        <f>IF(VLOOKUP(CONCATENATE(H251,F251,DG$2),Español!$A:$H,7,FALSE)=U251,1,0)</f>
        <v>#N/A</v>
      </c>
      <c r="DH251" s="138" t="e">
        <f>IF(VLOOKUP(CONCATENATE(H251,F251,DH$2),Español!$A:$H,7,FALSE)=V251,1,0)</f>
        <v>#N/A</v>
      </c>
      <c r="DI251" s="138" t="e">
        <f>IF(VLOOKUP(CONCATENATE(H251,F251,DI$2),Español!$A:$H,7,FALSE)=W251,1,0)</f>
        <v>#N/A</v>
      </c>
      <c r="DJ251" s="138" t="e">
        <f>IF(VLOOKUP(CONCATENATE(H251,F251,DJ$2),Español!$A:$H,7,FALSE)=X251,1,0)</f>
        <v>#N/A</v>
      </c>
      <c r="DK251" s="138" t="e">
        <f>IF(VLOOKUP(CONCATENATE(H251,F251,DK$2),Español!$A:$H,7,FALSE)=Y251,1,0)</f>
        <v>#N/A</v>
      </c>
      <c r="DL251" s="138" t="e">
        <f>IF(VLOOKUP(CONCATENATE(H251,F251,DL$2),Español!$A:$H,7,FALSE)=Z251,1,0)</f>
        <v>#N/A</v>
      </c>
      <c r="DM251" s="138" t="e">
        <f>IF(VLOOKUP(CONCATENATE(H251,F251,DM$2),Español!$A:$H,7,FALSE)=AA251,1,0)</f>
        <v>#N/A</v>
      </c>
      <c r="DN251" s="138" t="e">
        <f>IF(VLOOKUP(CONCATENATE(H251,F251,DN$2),Español!$A:$H,7,FALSE)=AB251,1,0)</f>
        <v>#N/A</v>
      </c>
      <c r="DO251" s="138" t="e">
        <f>IF(VLOOKUP(CONCATENATE(H251,F251,DO$2),Español!$A:$H,7,FALSE)=AC251,1,0)</f>
        <v>#N/A</v>
      </c>
      <c r="DP251" s="138" t="e">
        <f>IF(VLOOKUP(CONCATENATE(H251,F251,DP$2),Español!$A:$H,7,FALSE)=AD251,1,0)</f>
        <v>#N/A</v>
      </c>
      <c r="DQ251" s="138" t="e">
        <f>IF(VLOOKUP(CONCATENATE(H251,F251,DQ$2),Español!$A:$H,7,FALSE)=AE251,1,0)</f>
        <v>#N/A</v>
      </c>
      <c r="DR251" s="138" t="e">
        <f>IF(VLOOKUP(CONCATENATE(H251,F251,DR$2),Inglés!$A:$H,7,FALSE)=AF251,1,0)</f>
        <v>#N/A</v>
      </c>
      <c r="DS251" s="138" t="e">
        <f>IF(VLOOKUP(CONCATENATE(H251,F251,DS$2),Inglés!$A:$H,7,FALSE)=AG251,1,0)</f>
        <v>#N/A</v>
      </c>
      <c r="DT251" s="138" t="e">
        <f>IF(VLOOKUP(CONCATENATE(H251,F251,DT$2),Inglés!$A:$H,7,FALSE)=AH251,1,0)</f>
        <v>#N/A</v>
      </c>
      <c r="DU251" s="138" t="e">
        <f>IF(VLOOKUP(CONCATENATE(H251,F251,DU$2),Inglés!$A:$H,7,FALSE)=AI251,1,0)</f>
        <v>#N/A</v>
      </c>
      <c r="DV251" s="138" t="e">
        <f>IF(VLOOKUP(CONCATENATE(H251,F251,DV$2),Inglés!$A:$H,7,FALSE)=AJ251,1,0)</f>
        <v>#N/A</v>
      </c>
      <c r="DW251" s="138" t="e">
        <f>IF(VLOOKUP(CONCATENATE(H251,F251,DW$2),Inglés!$A:$H,7,FALSE)=AK251,1,0)</f>
        <v>#N/A</v>
      </c>
      <c r="DX251" s="138" t="e">
        <f>IF(VLOOKUP(CONCATENATE(H251,F251,DX$2),Inglés!$A:$H,7,FALSE)=AL251,1,0)</f>
        <v>#N/A</v>
      </c>
      <c r="DY251" s="138" t="e">
        <f>IF(VLOOKUP(CONCATENATE(H251,F251,DY$2),Inglés!$A:$H,7,FALSE)=AM251,1,0)</f>
        <v>#N/A</v>
      </c>
      <c r="DZ251" s="138" t="e">
        <f>IF(VLOOKUP(CONCATENATE(H251,F251,DZ$2),Inglés!$A:$H,7,FALSE)=AN251,1,0)</f>
        <v>#N/A</v>
      </c>
      <c r="EA251" s="138" t="e">
        <f>IF(VLOOKUP(CONCATENATE(H251,F251,EA$2),Inglés!$A:$H,7,FALSE)=AO251,1,0)</f>
        <v>#N/A</v>
      </c>
      <c r="EB251" s="138" t="e">
        <f>IF(VLOOKUP(CONCATENATE(H251,F251,EB$2),Matemáticas!$A:$H,7,FALSE)=AP251,1,0)</f>
        <v>#N/A</v>
      </c>
      <c r="EC251" s="138" t="e">
        <f>IF(VLOOKUP(CONCATENATE(H251,F251,EC$2),Matemáticas!$A:$H,7,FALSE)=AQ251,1,0)</f>
        <v>#N/A</v>
      </c>
      <c r="ED251" s="138" t="e">
        <f>IF(VLOOKUP(CONCATENATE(H251,F251,ED$2),Matemáticas!$A:$H,7,FALSE)=AR251,1,0)</f>
        <v>#N/A</v>
      </c>
      <c r="EE251" s="138" t="e">
        <f>IF(VLOOKUP(CONCATENATE(H251,F251,EE$2),Matemáticas!$A:$H,7,FALSE)=AS251,1,0)</f>
        <v>#N/A</v>
      </c>
      <c r="EF251" s="138" t="e">
        <f>IF(VLOOKUP(CONCATENATE(H251,F251,EF$2),Matemáticas!$A:$H,7,FALSE)=AT251,1,0)</f>
        <v>#N/A</v>
      </c>
      <c r="EG251" s="138" t="e">
        <f>IF(VLOOKUP(CONCATENATE(H251,F251,EG$2),Matemáticas!$A:$H,7,FALSE)=AU251,1,0)</f>
        <v>#N/A</v>
      </c>
      <c r="EH251" s="138" t="e">
        <f>IF(VLOOKUP(CONCATENATE(H251,F251,EH$2),Matemáticas!$A:$H,7,FALSE)=AV251,1,0)</f>
        <v>#N/A</v>
      </c>
      <c r="EI251" s="138" t="e">
        <f>IF(VLOOKUP(CONCATENATE(H251,F251,EI$2),Matemáticas!$A:$H,7,FALSE)=AW251,1,0)</f>
        <v>#N/A</v>
      </c>
      <c r="EJ251" s="138" t="e">
        <f>IF(VLOOKUP(CONCATENATE(H251,F251,EJ$2),Matemáticas!$A:$H,7,FALSE)=AX251,1,0)</f>
        <v>#N/A</v>
      </c>
      <c r="EK251" s="138" t="e">
        <f>IF(VLOOKUP(CONCATENATE(H251,F251,EK$2),Matemáticas!$A:$H,7,FALSE)=AY251,1,0)</f>
        <v>#N/A</v>
      </c>
      <c r="EL251" s="138" t="e">
        <f>IF(VLOOKUP(CONCATENATE(H251,F251,EL$2),Matemáticas!$A:$H,7,FALSE)=AZ251,1,0)</f>
        <v>#N/A</v>
      </c>
      <c r="EM251" s="138" t="e">
        <f>IF(VLOOKUP(CONCATENATE(H251,F251,EM$2),Matemáticas!$A:$H,7,FALSE)=BA251,1,0)</f>
        <v>#N/A</v>
      </c>
      <c r="EN251" s="138" t="e">
        <f>IF(VLOOKUP(CONCATENATE(H251,F251,EN$2),Matemáticas!$A:$H,7,FALSE)=BB251,1,0)</f>
        <v>#N/A</v>
      </c>
      <c r="EO251" s="138" t="e">
        <f>IF(VLOOKUP(CONCATENATE(H251,F251,EO$2),Matemáticas!$A:$H,7,FALSE)=BC251,1,0)</f>
        <v>#N/A</v>
      </c>
      <c r="EP251" s="138" t="e">
        <f>IF(VLOOKUP(CONCATENATE(H251,F251,EP$2),Matemáticas!$A:$H,7,FALSE)=BD251,1,0)</f>
        <v>#N/A</v>
      </c>
      <c r="EQ251" s="138" t="e">
        <f>IF(VLOOKUP(CONCATENATE(H251,F251,EQ$2),Matemáticas!$A:$H,7,FALSE)=BE251,1,0)</f>
        <v>#N/A</v>
      </c>
      <c r="ER251" s="138" t="e">
        <f>IF(VLOOKUP(CONCATENATE(H251,F251,ER$2),Matemáticas!$A:$H,7,FALSE)=BF251,1,0)</f>
        <v>#N/A</v>
      </c>
      <c r="ES251" s="138" t="e">
        <f>IF(VLOOKUP(CONCATENATE(H251,F251,ES$2),Matemáticas!$A:$H,7,FALSE)=BG251,1,0)</f>
        <v>#N/A</v>
      </c>
      <c r="ET251" s="138" t="e">
        <f>IF(VLOOKUP(CONCATENATE(H251,F251,ET$2),Matemáticas!$A:$H,7,FALSE)=BH251,1,0)</f>
        <v>#N/A</v>
      </c>
      <c r="EU251" s="138" t="e">
        <f>IF(VLOOKUP(CONCATENATE(H251,F251,EU$2),Matemáticas!$A:$H,7,FALSE)=BI251,1,0)</f>
        <v>#N/A</v>
      </c>
      <c r="EV251" s="138" t="e">
        <f>IF(VLOOKUP(CONCATENATE(H251,F251,EV$2),Ciencias!$A:$H,7,FALSE)=BJ251,1,0)</f>
        <v>#N/A</v>
      </c>
      <c r="EW251" s="138" t="e">
        <f>IF(VLOOKUP(CONCATENATE(H251,F251,EW$2),Ciencias!$A:$H,7,FALSE)=BK251,1,0)</f>
        <v>#N/A</v>
      </c>
      <c r="EX251" s="138" t="e">
        <f>IF(VLOOKUP(CONCATENATE(H251,F251,EX$2),Ciencias!$A:$H,7,FALSE)=BL251,1,0)</f>
        <v>#N/A</v>
      </c>
      <c r="EY251" s="138" t="e">
        <f>IF(VLOOKUP(CONCATENATE(H251,F251,EY$2),Ciencias!$A:$H,7,FALSE)=BM251,1,0)</f>
        <v>#N/A</v>
      </c>
      <c r="EZ251" s="138" t="e">
        <f>IF(VLOOKUP(CONCATENATE(H251,F251,EZ$2),Ciencias!$A:$H,7,FALSE)=BN251,1,0)</f>
        <v>#N/A</v>
      </c>
      <c r="FA251" s="138" t="e">
        <f>IF(VLOOKUP(CONCATENATE(H251,F251,FA$2),Ciencias!$A:$H,7,FALSE)=BO251,1,0)</f>
        <v>#N/A</v>
      </c>
      <c r="FB251" s="138" t="e">
        <f>IF(VLOOKUP(CONCATENATE(H251,F251,FB$2),Ciencias!$A:$H,7,FALSE)=BP251,1,0)</f>
        <v>#N/A</v>
      </c>
      <c r="FC251" s="138" t="e">
        <f>IF(VLOOKUP(CONCATENATE(H251,F251,FC$2),Ciencias!$A:$H,7,FALSE)=BQ251,1,0)</f>
        <v>#N/A</v>
      </c>
      <c r="FD251" s="138" t="e">
        <f>IF(VLOOKUP(CONCATENATE(H251,F251,FD$2),Ciencias!$A:$H,7,FALSE)=BR251,1,0)</f>
        <v>#N/A</v>
      </c>
      <c r="FE251" s="138" t="e">
        <f>IF(VLOOKUP(CONCATENATE(H251,F251,FE$2),Ciencias!$A:$H,7,FALSE)=BS251,1,0)</f>
        <v>#N/A</v>
      </c>
      <c r="FF251" s="138" t="e">
        <f>IF(VLOOKUP(CONCATENATE(H251,F251,FF$2),Ciencias!$A:$H,7,FALSE)=BT251,1,0)</f>
        <v>#N/A</v>
      </c>
      <c r="FG251" s="138" t="e">
        <f>IF(VLOOKUP(CONCATENATE(H251,F251,FG$2),Ciencias!$A:$H,7,FALSE)=BU251,1,0)</f>
        <v>#N/A</v>
      </c>
      <c r="FH251" s="138" t="e">
        <f>IF(VLOOKUP(CONCATENATE(H251,F251,FH$2),Ciencias!$A:$H,7,FALSE)=BV251,1,0)</f>
        <v>#N/A</v>
      </c>
      <c r="FI251" s="138" t="e">
        <f>IF(VLOOKUP(CONCATENATE(H251,F251,FI$2),Ciencias!$A:$H,7,FALSE)=BW251,1,0)</f>
        <v>#N/A</v>
      </c>
      <c r="FJ251" s="138" t="e">
        <f>IF(VLOOKUP(CONCATENATE(H251,F251,FJ$2),Ciencias!$A:$H,7,FALSE)=BX251,1,0)</f>
        <v>#N/A</v>
      </c>
      <c r="FK251" s="138" t="e">
        <f>IF(VLOOKUP(CONCATENATE(H251,F251,FK$2),Ciencias!$A:$H,7,FALSE)=BY251,1,0)</f>
        <v>#N/A</v>
      </c>
      <c r="FL251" s="138" t="e">
        <f>IF(VLOOKUP(CONCATENATE(H251,F251,FL$2),Ciencias!$A:$H,7,FALSE)=BZ251,1,0)</f>
        <v>#N/A</v>
      </c>
      <c r="FM251" s="138" t="e">
        <f>IF(VLOOKUP(CONCATENATE(H251,F251,FM$2),Ciencias!$A:$H,7,FALSE)=CA251,1,0)</f>
        <v>#N/A</v>
      </c>
      <c r="FN251" s="138" t="e">
        <f>IF(VLOOKUP(CONCATENATE(H251,F251,FN$2),Ciencias!$A:$H,7,FALSE)=CB251,1,0)</f>
        <v>#N/A</v>
      </c>
      <c r="FO251" s="138" t="e">
        <f>IF(VLOOKUP(CONCATENATE(H251,F251,FO$2),Ciencias!$A:$H,7,FALSE)=CC251,1,0)</f>
        <v>#N/A</v>
      </c>
      <c r="FP251" s="138" t="e">
        <f>IF(VLOOKUP(CONCATENATE(H251,F251,FP$2),GeoHis!$A:$H,7,FALSE)=CD251,1,0)</f>
        <v>#N/A</v>
      </c>
      <c r="FQ251" s="138" t="e">
        <f>IF(VLOOKUP(CONCATENATE(H251,F251,FQ$2),GeoHis!$A:$H,7,FALSE)=CE251,1,0)</f>
        <v>#N/A</v>
      </c>
      <c r="FR251" s="138" t="e">
        <f>IF(VLOOKUP(CONCATENATE(H251,F251,FR$2),GeoHis!$A:$H,7,FALSE)=CF251,1,0)</f>
        <v>#N/A</v>
      </c>
      <c r="FS251" s="138" t="e">
        <f>IF(VLOOKUP(CONCATENATE(H251,F251,FS$2),GeoHis!$A:$H,7,FALSE)=CG251,1,0)</f>
        <v>#N/A</v>
      </c>
      <c r="FT251" s="138" t="e">
        <f>IF(VLOOKUP(CONCATENATE(H251,F251,FT$2),GeoHis!$A:$H,7,FALSE)=CH251,1,0)</f>
        <v>#N/A</v>
      </c>
      <c r="FU251" s="138" t="e">
        <f>IF(VLOOKUP(CONCATENATE(H251,F251,FU$2),GeoHis!$A:$H,7,FALSE)=CI251,1,0)</f>
        <v>#N/A</v>
      </c>
      <c r="FV251" s="138" t="e">
        <f>IF(VLOOKUP(CONCATENATE(H251,F251,FV$2),GeoHis!$A:$H,7,FALSE)=CJ251,1,0)</f>
        <v>#N/A</v>
      </c>
      <c r="FW251" s="138" t="e">
        <f>IF(VLOOKUP(CONCATENATE(H251,F251,FW$2),GeoHis!$A:$H,7,FALSE)=CK251,1,0)</f>
        <v>#N/A</v>
      </c>
      <c r="FX251" s="138" t="e">
        <f>IF(VLOOKUP(CONCATENATE(H251,F251,FX$2),GeoHis!$A:$H,7,FALSE)=CL251,1,0)</f>
        <v>#N/A</v>
      </c>
      <c r="FY251" s="138" t="e">
        <f>IF(VLOOKUP(CONCATENATE(H251,F251,FY$2),GeoHis!$A:$H,7,FALSE)=CM251,1,0)</f>
        <v>#N/A</v>
      </c>
      <c r="FZ251" s="138" t="e">
        <f>IF(VLOOKUP(CONCATENATE(H251,F251,FZ$2),GeoHis!$A:$H,7,FALSE)=CN251,1,0)</f>
        <v>#N/A</v>
      </c>
      <c r="GA251" s="138" t="e">
        <f>IF(VLOOKUP(CONCATENATE(H251,F251,GA$2),GeoHis!$A:$H,7,FALSE)=CO251,1,0)</f>
        <v>#N/A</v>
      </c>
      <c r="GB251" s="138" t="e">
        <f>IF(VLOOKUP(CONCATENATE(H251,F251,GB$2),GeoHis!$A:$H,7,FALSE)=CP251,1,0)</f>
        <v>#N/A</v>
      </c>
      <c r="GC251" s="138" t="e">
        <f>IF(VLOOKUP(CONCATENATE(H251,F251,GC$2),GeoHis!$A:$H,7,FALSE)=CQ251,1,0)</f>
        <v>#N/A</v>
      </c>
      <c r="GD251" s="138" t="e">
        <f>IF(VLOOKUP(CONCATENATE(H251,F251,GD$2),GeoHis!$A:$H,7,FALSE)=CR251,1,0)</f>
        <v>#N/A</v>
      </c>
      <c r="GE251" s="135" t="str">
        <f t="shared" si="31"/>
        <v/>
      </c>
    </row>
    <row r="252" spans="1:187" x14ac:dyDescent="0.25">
      <c r="A252" s="127" t="str">
        <f>IF(C252="","",'Datos Generales'!$A$25)</f>
        <v/>
      </c>
      <c r="D252" s="126" t="str">
        <f t="shared" si="24"/>
        <v/>
      </c>
      <c r="E252" s="126">
        <f t="shared" si="25"/>
        <v>0</v>
      </c>
      <c r="F252" s="126" t="str">
        <f t="shared" si="26"/>
        <v/>
      </c>
      <c r="G252" s="126" t="str">
        <f>IF(C252="","",'Datos Generales'!$D$19)</f>
        <v/>
      </c>
      <c r="H252" s="21" t="str">
        <f>IF(C252="","",'Datos Generales'!$A$19)</f>
        <v/>
      </c>
      <c r="I252" s="126" t="str">
        <f>IF(C252="","",'Datos Generales'!$A$7)</f>
        <v/>
      </c>
      <c r="J252" s="21" t="str">
        <f>IF(C252="","",'Datos Generales'!$A$13)</f>
        <v/>
      </c>
      <c r="K252" s="21" t="str">
        <f>IF(C252="","",'Datos Generales'!$A$10)</f>
        <v/>
      </c>
      <c r="CS252" s="142" t="str">
        <f t="shared" si="27"/>
        <v/>
      </c>
      <c r="CT252" s="142" t="str">
        <f t="shared" si="28"/>
        <v/>
      </c>
      <c r="CU252" s="142" t="str">
        <f t="shared" si="29"/>
        <v/>
      </c>
      <c r="CV252" s="142" t="str">
        <f t="shared" si="30"/>
        <v/>
      </c>
      <c r="CW252" s="142" t="str">
        <f>IF(C252="","",IF('Datos Generales'!$A$19=1,AVERAGE(FP252:GD252),AVERAGE(Captura!FP252:FY252)))</f>
        <v/>
      </c>
      <c r="CX252" s="138" t="e">
        <f>IF(VLOOKUP(CONCATENATE($H$4,$F$4,CX$2),Español!$A:$H,7,FALSE)=L252,1,0)</f>
        <v>#N/A</v>
      </c>
      <c r="CY252" s="138" t="e">
        <f>IF(VLOOKUP(CONCATENATE(H252,F252,CY$2),Español!$A:$H,7,FALSE)=M252,1,0)</f>
        <v>#N/A</v>
      </c>
      <c r="CZ252" s="138" t="e">
        <f>IF(VLOOKUP(CONCATENATE(H252,F252,CZ$2),Español!$A:$H,7,FALSE)=N252,1,0)</f>
        <v>#N/A</v>
      </c>
      <c r="DA252" s="138" t="e">
        <f>IF(VLOOKUP(CONCATENATE(H252,F252,DA$2),Español!$A:$H,7,FALSE)=O252,1,0)</f>
        <v>#N/A</v>
      </c>
      <c r="DB252" s="138" t="e">
        <f>IF(VLOOKUP(CONCATENATE(H252,F252,DB$2),Español!$A:$H,7,FALSE)=P252,1,0)</f>
        <v>#N/A</v>
      </c>
      <c r="DC252" s="138" t="e">
        <f>IF(VLOOKUP(CONCATENATE(H252,F252,DC$2),Español!$A:$H,7,FALSE)=Q252,1,0)</f>
        <v>#N/A</v>
      </c>
      <c r="DD252" s="138" t="e">
        <f>IF(VLOOKUP(CONCATENATE(H252,F252,DD$2),Español!$A:$H,7,FALSE)=R252,1,0)</f>
        <v>#N/A</v>
      </c>
      <c r="DE252" s="138" t="e">
        <f>IF(VLOOKUP(CONCATENATE(H252,F252,DE$2),Español!$A:$H,7,FALSE)=S252,1,0)</f>
        <v>#N/A</v>
      </c>
      <c r="DF252" s="138" t="e">
        <f>IF(VLOOKUP(CONCATENATE(H252,F252,DF$2),Español!$A:$H,7,FALSE)=T252,1,0)</f>
        <v>#N/A</v>
      </c>
      <c r="DG252" s="138" t="e">
        <f>IF(VLOOKUP(CONCATENATE(H252,F252,DG$2),Español!$A:$H,7,FALSE)=U252,1,0)</f>
        <v>#N/A</v>
      </c>
      <c r="DH252" s="138" t="e">
        <f>IF(VLOOKUP(CONCATENATE(H252,F252,DH$2),Español!$A:$H,7,FALSE)=V252,1,0)</f>
        <v>#N/A</v>
      </c>
      <c r="DI252" s="138" t="e">
        <f>IF(VLOOKUP(CONCATENATE(H252,F252,DI$2),Español!$A:$H,7,FALSE)=W252,1,0)</f>
        <v>#N/A</v>
      </c>
      <c r="DJ252" s="138" t="e">
        <f>IF(VLOOKUP(CONCATENATE(H252,F252,DJ$2),Español!$A:$H,7,FALSE)=X252,1,0)</f>
        <v>#N/A</v>
      </c>
      <c r="DK252" s="138" t="e">
        <f>IF(VLOOKUP(CONCATENATE(H252,F252,DK$2),Español!$A:$H,7,FALSE)=Y252,1,0)</f>
        <v>#N/A</v>
      </c>
      <c r="DL252" s="138" t="e">
        <f>IF(VLOOKUP(CONCATENATE(H252,F252,DL$2),Español!$A:$H,7,FALSE)=Z252,1,0)</f>
        <v>#N/A</v>
      </c>
      <c r="DM252" s="138" t="e">
        <f>IF(VLOOKUP(CONCATENATE(H252,F252,DM$2),Español!$A:$H,7,FALSE)=AA252,1,0)</f>
        <v>#N/A</v>
      </c>
      <c r="DN252" s="138" t="e">
        <f>IF(VLOOKUP(CONCATENATE(H252,F252,DN$2),Español!$A:$H,7,FALSE)=AB252,1,0)</f>
        <v>#N/A</v>
      </c>
      <c r="DO252" s="138" t="e">
        <f>IF(VLOOKUP(CONCATENATE(H252,F252,DO$2),Español!$A:$H,7,FALSE)=AC252,1,0)</f>
        <v>#N/A</v>
      </c>
      <c r="DP252" s="138" t="e">
        <f>IF(VLOOKUP(CONCATENATE(H252,F252,DP$2),Español!$A:$H,7,FALSE)=AD252,1,0)</f>
        <v>#N/A</v>
      </c>
      <c r="DQ252" s="138" t="e">
        <f>IF(VLOOKUP(CONCATENATE(H252,F252,DQ$2),Español!$A:$H,7,FALSE)=AE252,1,0)</f>
        <v>#N/A</v>
      </c>
      <c r="DR252" s="138" t="e">
        <f>IF(VLOOKUP(CONCATENATE(H252,F252,DR$2),Inglés!$A:$H,7,FALSE)=AF252,1,0)</f>
        <v>#N/A</v>
      </c>
      <c r="DS252" s="138" t="e">
        <f>IF(VLOOKUP(CONCATENATE(H252,F252,DS$2),Inglés!$A:$H,7,FALSE)=AG252,1,0)</f>
        <v>#N/A</v>
      </c>
      <c r="DT252" s="138" t="e">
        <f>IF(VLOOKUP(CONCATENATE(H252,F252,DT$2),Inglés!$A:$H,7,FALSE)=AH252,1,0)</f>
        <v>#N/A</v>
      </c>
      <c r="DU252" s="138" t="e">
        <f>IF(VLOOKUP(CONCATENATE(H252,F252,DU$2),Inglés!$A:$H,7,FALSE)=AI252,1,0)</f>
        <v>#N/A</v>
      </c>
      <c r="DV252" s="138" t="e">
        <f>IF(VLOOKUP(CONCATENATE(H252,F252,DV$2),Inglés!$A:$H,7,FALSE)=AJ252,1,0)</f>
        <v>#N/A</v>
      </c>
      <c r="DW252" s="138" t="e">
        <f>IF(VLOOKUP(CONCATENATE(H252,F252,DW$2),Inglés!$A:$H,7,FALSE)=AK252,1,0)</f>
        <v>#N/A</v>
      </c>
      <c r="DX252" s="138" t="e">
        <f>IF(VLOOKUP(CONCATENATE(H252,F252,DX$2),Inglés!$A:$H,7,FALSE)=AL252,1,0)</f>
        <v>#N/A</v>
      </c>
      <c r="DY252" s="138" t="e">
        <f>IF(VLOOKUP(CONCATENATE(H252,F252,DY$2),Inglés!$A:$H,7,FALSE)=AM252,1,0)</f>
        <v>#N/A</v>
      </c>
      <c r="DZ252" s="138" t="e">
        <f>IF(VLOOKUP(CONCATENATE(H252,F252,DZ$2),Inglés!$A:$H,7,FALSE)=AN252,1,0)</f>
        <v>#N/A</v>
      </c>
      <c r="EA252" s="138" t="e">
        <f>IF(VLOOKUP(CONCATENATE(H252,F252,EA$2),Inglés!$A:$H,7,FALSE)=AO252,1,0)</f>
        <v>#N/A</v>
      </c>
      <c r="EB252" s="138" t="e">
        <f>IF(VLOOKUP(CONCATENATE(H252,F252,EB$2),Matemáticas!$A:$H,7,FALSE)=AP252,1,0)</f>
        <v>#N/A</v>
      </c>
      <c r="EC252" s="138" t="e">
        <f>IF(VLOOKUP(CONCATENATE(H252,F252,EC$2),Matemáticas!$A:$H,7,FALSE)=AQ252,1,0)</f>
        <v>#N/A</v>
      </c>
      <c r="ED252" s="138" t="e">
        <f>IF(VLOOKUP(CONCATENATE(H252,F252,ED$2),Matemáticas!$A:$H,7,FALSE)=AR252,1,0)</f>
        <v>#N/A</v>
      </c>
      <c r="EE252" s="138" t="e">
        <f>IF(VLOOKUP(CONCATENATE(H252,F252,EE$2),Matemáticas!$A:$H,7,FALSE)=AS252,1,0)</f>
        <v>#N/A</v>
      </c>
      <c r="EF252" s="138" t="e">
        <f>IF(VLOOKUP(CONCATENATE(H252,F252,EF$2),Matemáticas!$A:$H,7,FALSE)=AT252,1,0)</f>
        <v>#N/A</v>
      </c>
      <c r="EG252" s="138" t="e">
        <f>IF(VLOOKUP(CONCATENATE(H252,F252,EG$2),Matemáticas!$A:$H,7,FALSE)=AU252,1,0)</f>
        <v>#N/A</v>
      </c>
      <c r="EH252" s="138" t="e">
        <f>IF(VLOOKUP(CONCATENATE(H252,F252,EH$2),Matemáticas!$A:$H,7,FALSE)=AV252,1,0)</f>
        <v>#N/A</v>
      </c>
      <c r="EI252" s="138" t="e">
        <f>IF(VLOOKUP(CONCATENATE(H252,F252,EI$2),Matemáticas!$A:$H,7,FALSE)=AW252,1,0)</f>
        <v>#N/A</v>
      </c>
      <c r="EJ252" s="138" t="e">
        <f>IF(VLOOKUP(CONCATENATE(H252,F252,EJ$2),Matemáticas!$A:$H,7,FALSE)=AX252,1,0)</f>
        <v>#N/A</v>
      </c>
      <c r="EK252" s="138" t="e">
        <f>IF(VLOOKUP(CONCATENATE(H252,F252,EK$2),Matemáticas!$A:$H,7,FALSE)=AY252,1,0)</f>
        <v>#N/A</v>
      </c>
      <c r="EL252" s="138" t="e">
        <f>IF(VLOOKUP(CONCATENATE(H252,F252,EL$2),Matemáticas!$A:$H,7,FALSE)=AZ252,1,0)</f>
        <v>#N/A</v>
      </c>
      <c r="EM252" s="138" t="e">
        <f>IF(VLOOKUP(CONCATENATE(H252,F252,EM$2),Matemáticas!$A:$H,7,FALSE)=BA252,1,0)</f>
        <v>#N/A</v>
      </c>
      <c r="EN252" s="138" t="e">
        <f>IF(VLOOKUP(CONCATENATE(H252,F252,EN$2),Matemáticas!$A:$H,7,FALSE)=BB252,1,0)</f>
        <v>#N/A</v>
      </c>
      <c r="EO252" s="138" t="e">
        <f>IF(VLOOKUP(CONCATENATE(H252,F252,EO$2),Matemáticas!$A:$H,7,FALSE)=BC252,1,0)</f>
        <v>#N/A</v>
      </c>
      <c r="EP252" s="138" t="e">
        <f>IF(VLOOKUP(CONCATENATE(H252,F252,EP$2),Matemáticas!$A:$H,7,FALSE)=BD252,1,0)</f>
        <v>#N/A</v>
      </c>
      <c r="EQ252" s="138" t="e">
        <f>IF(VLOOKUP(CONCATENATE(H252,F252,EQ$2),Matemáticas!$A:$H,7,FALSE)=BE252,1,0)</f>
        <v>#N/A</v>
      </c>
      <c r="ER252" s="138" t="e">
        <f>IF(VLOOKUP(CONCATENATE(H252,F252,ER$2),Matemáticas!$A:$H,7,FALSE)=BF252,1,0)</f>
        <v>#N/A</v>
      </c>
      <c r="ES252" s="138" t="e">
        <f>IF(VLOOKUP(CONCATENATE(H252,F252,ES$2),Matemáticas!$A:$H,7,FALSE)=BG252,1,0)</f>
        <v>#N/A</v>
      </c>
      <c r="ET252" s="138" t="e">
        <f>IF(VLOOKUP(CONCATENATE(H252,F252,ET$2),Matemáticas!$A:$H,7,FALSE)=BH252,1,0)</f>
        <v>#N/A</v>
      </c>
      <c r="EU252" s="138" t="e">
        <f>IF(VLOOKUP(CONCATENATE(H252,F252,EU$2),Matemáticas!$A:$H,7,FALSE)=BI252,1,0)</f>
        <v>#N/A</v>
      </c>
      <c r="EV252" s="138" t="e">
        <f>IF(VLOOKUP(CONCATENATE(H252,F252,EV$2),Ciencias!$A:$H,7,FALSE)=BJ252,1,0)</f>
        <v>#N/A</v>
      </c>
      <c r="EW252" s="138" t="e">
        <f>IF(VLOOKUP(CONCATENATE(H252,F252,EW$2),Ciencias!$A:$H,7,FALSE)=BK252,1,0)</f>
        <v>#N/A</v>
      </c>
      <c r="EX252" s="138" t="e">
        <f>IF(VLOOKUP(CONCATENATE(H252,F252,EX$2),Ciencias!$A:$H,7,FALSE)=BL252,1,0)</f>
        <v>#N/A</v>
      </c>
      <c r="EY252" s="138" t="e">
        <f>IF(VLOOKUP(CONCATENATE(H252,F252,EY$2),Ciencias!$A:$H,7,FALSE)=BM252,1,0)</f>
        <v>#N/A</v>
      </c>
      <c r="EZ252" s="138" t="e">
        <f>IF(VLOOKUP(CONCATENATE(H252,F252,EZ$2),Ciencias!$A:$H,7,FALSE)=BN252,1,0)</f>
        <v>#N/A</v>
      </c>
      <c r="FA252" s="138" t="e">
        <f>IF(VLOOKUP(CONCATENATE(H252,F252,FA$2),Ciencias!$A:$H,7,FALSE)=BO252,1,0)</f>
        <v>#N/A</v>
      </c>
      <c r="FB252" s="138" t="e">
        <f>IF(VLOOKUP(CONCATENATE(H252,F252,FB$2),Ciencias!$A:$H,7,FALSE)=BP252,1,0)</f>
        <v>#N/A</v>
      </c>
      <c r="FC252" s="138" t="e">
        <f>IF(VLOOKUP(CONCATENATE(H252,F252,FC$2),Ciencias!$A:$H,7,FALSE)=BQ252,1,0)</f>
        <v>#N/A</v>
      </c>
      <c r="FD252" s="138" t="e">
        <f>IF(VLOOKUP(CONCATENATE(H252,F252,FD$2),Ciencias!$A:$H,7,FALSE)=BR252,1,0)</f>
        <v>#N/A</v>
      </c>
      <c r="FE252" s="138" t="e">
        <f>IF(VLOOKUP(CONCATENATE(H252,F252,FE$2),Ciencias!$A:$H,7,FALSE)=BS252,1,0)</f>
        <v>#N/A</v>
      </c>
      <c r="FF252" s="138" t="e">
        <f>IF(VLOOKUP(CONCATENATE(H252,F252,FF$2),Ciencias!$A:$H,7,FALSE)=BT252,1,0)</f>
        <v>#N/A</v>
      </c>
      <c r="FG252" s="138" t="e">
        <f>IF(VLOOKUP(CONCATENATE(H252,F252,FG$2),Ciencias!$A:$H,7,FALSE)=BU252,1,0)</f>
        <v>#N/A</v>
      </c>
      <c r="FH252" s="138" t="e">
        <f>IF(VLOOKUP(CONCATENATE(H252,F252,FH$2),Ciencias!$A:$H,7,FALSE)=BV252,1,0)</f>
        <v>#N/A</v>
      </c>
      <c r="FI252" s="138" t="e">
        <f>IF(VLOOKUP(CONCATENATE(H252,F252,FI$2),Ciencias!$A:$H,7,FALSE)=BW252,1,0)</f>
        <v>#N/A</v>
      </c>
      <c r="FJ252" s="138" t="e">
        <f>IF(VLOOKUP(CONCATENATE(H252,F252,FJ$2),Ciencias!$A:$H,7,FALSE)=BX252,1,0)</f>
        <v>#N/A</v>
      </c>
      <c r="FK252" s="138" t="e">
        <f>IF(VLOOKUP(CONCATENATE(H252,F252,FK$2),Ciencias!$A:$H,7,FALSE)=BY252,1,0)</f>
        <v>#N/A</v>
      </c>
      <c r="FL252" s="138" t="e">
        <f>IF(VLOOKUP(CONCATENATE(H252,F252,FL$2),Ciencias!$A:$H,7,FALSE)=BZ252,1,0)</f>
        <v>#N/A</v>
      </c>
      <c r="FM252" s="138" t="e">
        <f>IF(VLOOKUP(CONCATENATE(H252,F252,FM$2),Ciencias!$A:$H,7,FALSE)=CA252,1,0)</f>
        <v>#N/A</v>
      </c>
      <c r="FN252" s="138" t="e">
        <f>IF(VLOOKUP(CONCATENATE(H252,F252,FN$2),Ciencias!$A:$H,7,FALSE)=CB252,1,0)</f>
        <v>#N/A</v>
      </c>
      <c r="FO252" s="138" t="e">
        <f>IF(VLOOKUP(CONCATENATE(H252,F252,FO$2),Ciencias!$A:$H,7,FALSE)=CC252,1,0)</f>
        <v>#N/A</v>
      </c>
      <c r="FP252" s="138" t="e">
        <f>IF(VLOOKUP(CONCATENATE(H252,F252,FP$2),GeoHis!$A:$H,7,FALSE)=CD252,1,0)</f>
        <v>#N/A</v>
      </c>
      <c r="FQ252" s="138" t="e">
        <f>IF(VLOOKUP(CONCATENATE(H252,F252,FQ$2),GeoHis!$A:$H,7,FALSE)=CE252,1,0)</f>
        <v>#N/A</v>
      </c>
      <c r="FR252" s="138" t="e">
        <f>IF(VLOOKUP(CONCATENATE(H252,F252,FR$2),GeoHis!$A:$H,7,FALSE)=CF252,1,0)</f>
        <v>#N/A</v>
      </c>
      <c r="FS252" s="138" t="e">
        <f>IF(VLOOKUP(CONCATENATE(H252,F252,FS$2),GeoHis!$A:$H,7,FALSE)=CG252,1,0)</f>
        <v>#N/A</v>
      </c>
      <c r="FT252" s="138" t="e">
        <f>IF(VLOOKUP(CONCATENATE(H252,F252,FT$2),GeoHis!$A:$H,7,FALSE)=CH252,1,0)</f>
        <v>#N/A</v>
      </c>
      <c r="FU252" s="138" t="e">
        <f>IF(VLOOKUP(CONCATENATE(H252,F252,FU$2),GeoHis!$A:$H,7,FALSE)=CI252,1,0)</f>
        <v>#N/A</v>
      </c>
      <c r="FV252" s="138" t="e">
        <f>IF(VLOOKUP(CONCATENATE(H252,F252,FV$2),GeoHis!$A:$H,7,FALSE)=CJ252,1,0)</f>
        <v>#N/A</v>
      </c>
      <c r="FW252" s="138" t="e">
        <f>IF(VLOOKUP(CONCATENATE(H252,F252,FW$2),GeoHis!$A:$H,7,FALSE)=CK252,1,0)</f>
        <v>#N/A</v>
      </c>
      <c r="FX252" s="138" t="e">
        <f>IF(VLOOKUP(CONCATENATE(H252,F252,FX$2),GeoHis!$A:$H,7,FALSE)=CL252,1,0)</f>
        <v>#N/A</v>
      </c>
      <c r="FY252" s="138" t="e">
        <f>IF(VLOOKUP(CONCATENATE(H252,F252,FY$2),GeoHis!$A:$H,7,FALSE)=CM252,1,0)</f>
        <v>#N/A</v>
      </c>
      <c r="FZ252" s="138" t="e">
        <f>IF(VLOOKUP(CONCATENATE(H252,F252,FZ$2),GeoHis!$A:$H,7,FALSE)=CN252,1,0)</f>
        <v>#N/A</v>
      </c>
      <c r="GA252" s="138" t="e">
        <f>IF(VLOOKUP(CONCATENATE(H252,F252,GA$2),GeoHis!$A:$H,7,FALSE)=CO252,1,0)</f>
        <v>#N/A</v>
      </c>
      <c r="GB252" s="138" t="e">
        <f>IF(VLOOKUP(CONCATENATE(H252,F252,GB$2),GeoHis!$A:$H,7,FALSE)=CP252,1,0)</f>
        <v>#N/A</v>
      </c>
      <c r="GC252" s="138" t="e">
        <f>IF(VLOOKUP(CONCATENATE(H252,F252,GC$2),GeoHis!$A:$H,7,FALSE)=CQ252,1,0)</f>
        <v>#N/A</v>
      </c>
      <c r="GD252" s="138" t="e">
        <f>IF(VLOOKUP(CONCATENATE(H252,F252,GD$2),GeoHis!$A:$H,7,FALSE)=CR252,1,0)</f>
        <v>#N/A</v>
      </c>
      <c r="GE252" s="135" t="str">
        <f t="shared" si="31"/>
        <v/>
      </c>
    </row>
    <row r="253" spans="1:187" x14ac:dyDescent="0.25">
      <c r="A253" s="127" t="str">
        <f>IF(C253="","",'Datos Generales'!$A$25)</f>
        <v/>
      </c>
      <c r="D253" s="126" t="str">
        <f t="shared" si="24"/>
        <v/>
      </c>
      <c r="E253" s="126">
        <f t="shared" si="25"/>
        <v>0</v>
      </c>
      <c r="F253" s="126" t="str">
        <f t="shared" si="26"/>
        <v/>
      </c>
      <c r="G253" s="126" t="str">
        <f>IF(C253="","",'Datos Generales'!$D$19)</f>
        <v/>
      </c>
      <c r="H253" s="21" t="str">
        <f>IF(C253="","",'Datos Generales'!$A$19)</f>
        <v/>
      </c>
      <c r="I253" s="126" t="str">
        <f>IF(C253="","",'Datos Generales'!$A$7)</f>
        <v/>
      </c>
      <c r="J253" s="21" t="str">
        <f>IF(C253="","",'Datos Generales'!$A$13)</f>
        <v/>
      </c>
      <c r="K253" s="21" t="str">
        <f>IF(C253="","",'Datos Generales'!$A$10)</f>
        <v/>
      </c>
      <c r="CS253" s="142" t="str">
        <f t="shared" si="27"/>
        <v/>
      </c>
      <c r="CT253" s="142" t="str">
        <f t="shared" si="28"/>
        <v/>
      </c>
      <c r="CU253" s="142" t="str">
        <f t="shared" si="29"/>
        <v/>
      </c>
      <c r="CV253" s="142" t="str">
        <f t="shared" si="30"/>
        <v/>
      </c>
      <c r="CW253" s="142" t="str">
        <f>IF(C253="","",IF('Datos Generales'!$A$19=1,AVERAGE(FP253:GD253),AVERAGE(Captura!FP253:FY253)))</f>
        <v/>
      </c>
      <c r="CX253" s="138" t="e">
        <f>IF(VLOOKUP(CONCATENATE($H$4,$F$4,CX$2),Español!$A:$H,7,FALSE)=L253,1,0)</f>
        <v>#N/A</v>
      </c>
      <c r="CY253" s="138" t="e">
        <f>IF(VLOOKUP(CONCATENATE(H253,F253,CY$2),Español!$A:$H,7,FALSE)=M253,1,0)</f>
        <v>#N/A</v>
      </c>
      <c r="CZ253" s="138" t="e">
        <f>IF(VLOOKUP(CONCATENATE(H253,F253,CZ$2),Español!$A:$H,7,FALSE)=N253,1,0)</f>
        <v>#N/A</v>
      </c>
      <c r="DA253" s="138" t="e">
        <f>IF(VLOOKUP(CONCATENATE(H253,F253,DA$2),Español!$A:$H,7,FALSE)=O253,1,0)</f>
        <v>#N/A</v>
      </c>
      <c r="DB253" s="138" t="e">
        <f>IF(VLOOKUP(CONCATENATE(H253,F253,DB$2),Español!$A:$H,7,FALSE)=P253,1,0)</f>
        <v>#N/A</v>
      </c>
      <c r="DC253" s="138" t="e">
        <f>IF(VLOOKUP(CONCATENATE(H253,F253,DC$2),Español!$A:$H,7,FALSE)=Q253,1,0)</f>
        <v>#N/A</v>
      </c>
      <c r="DD253" s="138" t="e">
        <f>IF(VLOOKUP(CONCATENATE(H253,F253,DD$2),Español!$A:$H,7,FALSE)=R253,1,0)</f>
        <v>#N/A</v>
      </c>
      <c r="DE253" s="138" t="e">
        <f>IF(VLOOKUP(CONCATENATE(H253,F253,DE$2),Español!$A:$H,7,FALSE)=S253,1,0)</f>
        <v>#N/A</v>
      </c>
      <c r="DF253" s="138" t="e">
        <f>IF(VLOOKUP(CONCATENATE(H253,F253,DF$2),Español!$A:$H,7,FALSE)=T253,1,0)</f>
        <v>#N/A</v>
      </c>
      <c r="DG253" s="138" t="e">
        <f>IF(VLOOKUP(CONCATENATE(H253,F253,DG$2),Español!$A:$H,7,FALSE)=U253,1,0)</f>
        <v>#N/A</v>
      </c>
      <c r="DH253" s="138" t="e">
        <f>IF(VLOOKUP(CONCATENATE(H253,F253,DH$2),Español!$A:$H,7,FALSE)=V253,1,0)</f>
        <v>#N/A</v>
      </c>
      <c r="DI253" s="138" t="e">
        <f>IF(VLOOKUP(CONCATENATE(H253,F253,DI$2),Español!$A:$H,7,FALSE)=W253,1,0)</f>
        <v>#N/A</v>
      </c>
      <c r="DJ253" s="138" t="e">
        <f>IF(VLOOKUP(CONCATENATE(H253,F253,DJ$2),Español!$A:$H,7,FALSE)=X253,1,0)</f>
        <v>#N/A</v>
      </c>
      <c r="DK253" s="138" t="e">
        <f>IF(VLOOKUP(CONCATENATE(H253,F253,DK$2),Español!$A:$H,7,FALSE)=Y253,1,0)</f>
        <v>#N/A</v>
      </c>
      <c r="DL253" s="138" t="e">
        <f>IF(VLOOKUP(CONCATENATE(H253,F253,DL$2),Español!$A:$H,7,FALSE)=Z253,1,0)</f>
        <v>#N/A</v>
      </c>
      <c r="DM253" s="138" t="e">
        <f>IF(VLOOKUP(CONCATENATE(H253,F253,DM$2),Español!$A:$H,7,FALSE)=AA253,1,0)</f>
        <v>#N/A</v>
      </c>
      <c r="DN253" s="138" t="e">
        <f>IF(VLOOKUP(CONCATENATE(H253,F253,DN$2),Español!$A:$H,7,FALSE)=AB253,1,0)</f>
        <v>#N/A</v>
      </c>
      <c r="DO253" s="138" t="e">
        <f>IF(VLOOKUP(CONCATENATE(H253,F253,DO$2),Español!$A:$H,7,FALSE)=AC253,1,0)</f>
        <v>#N/A</v>
      </c>
      <c r="DP253" s="138" t="e">
        <f>IF(VLOOKUP(CONCATENATE(H253,F253,DP$2),Español!$A:$H,7,FALSE)=AD253,1,0)</f>
        <v>#N/A</v>
      </c>
      <c r="DQ253" s="138" t="e">
        <f>IF(VLOOKUP(CONCATENATE(H253,F253,DQ$2),Español!$A:$H,7,FALSE)=AE253,1,0)</f>
        <v>#N/A</v>
      </c>
      <c r="DR253" s="138" t="e">
        <f>IF(VLOOKUP(CONCATENATE(H253,F253,DR$2),Inglés!$A:$H,7,FALSE)=AF253,1,0)</f>
        <v>#N/A</v>
      </c>
      <c r="DS253" s="138" t="e">
        <f>IF(VLOOKUP(CONCATENATE(H253,F253,DS$2),Inglés!$A:$H,7,FALSE)=AG253,1,0)</f>
        <v>#N/A</v>
      </c>
      <c r="DT253" s="138" t="e">
        <f>IF(VLOOKUP(CONCATENATE(H253,F253,DT$2),Inglés!$A:$H,7,FALSE)=AH253,1,0)</f>
        <v>#N/A</v>
      </c>
      <c r="DU253" s="138" t="e">
        <f>IF(VLOOKUP(CONCATENATE(H253,F253,DU$2),Inglés!$A:$H,7,FALSE)=AI253,1,0)</f>
        <v>#N/A</v>
      </c>
      <c r="DV253" s="138" t="e">
        <f>IF(VLOOKUP(CONCATENATE(H253,F253,DV$2),Inglés!$A:$H,7,FALSE)=AJ253,1,0)</f>
        <v>#N/A</v>
      </c>
      <c r="DW253" s="138" t="e">
        <f>IF(VLOOKUP(CONCATENATE(H253,F253,DW$2),Inglés!$A:$H,7,FALSE)=AK253,1,0)</f>
        <v>#N/A</v>
      </c>
      <c r="DX253" s="138" t="e">
        <f>IF(VLOOKUP(CONCATENATE(H253,F253,DX$2),Inglés!$A:$H,7,FALSE)=AL253,1,0)</f>
        <v>#N/A</v>
      </c>
      <c r="DY253" s="138" t="e">
        <f>IF(VLOOKUP(CONCATENATE(H253,F253,DY$2),Inglés!$A:$H,7,FALSE)=AM253,1,0)</f>
        <v>#N/A</v>
      </c>
      <c r="DZ253" s="138" t="e">
        <f>IF(VLOOKUP(CONCATENATE(H253,F253,DZ$2),Inglés!$A:$H,7,FALSE)=AN253,1,0)</f>
        <v>#N/A</v>
      </c>
      <c r="EA253" s="138" t="e">
        <f>IF(VLOOKUP(CONCATENATE(H253,F253,EA$2),Inglés!$A:$H,7,FALSE)=AO253,1,0)</f>
        <v>#N/A</v>
      </c>
      <c r="EB253" s="138" t="e">
        <f>IF(VLOOKUP(CONCATENATE(H253,F253,EB$2),Matemáticas!$A:$H,7,FALSE)=AP253,1,0)</f>
        <v>#N/A</v>
      </c>
      <c r="EC253" s="138" t="e">
        <f>IF(VLOOKUP(CONCATENATE(H253,F253,EC$2),Matemáticas!$A:$H,7,FALSE)=AQ253,1,0)</f>
        <v>#N/A</v>
      </c>
      <c r="ED253" s="138" t="e">
        <f>IF(VLOOKUP(CONCATENATE(H253,F253,ED$2),Matemáticas!$A:$H,7,FALSE)=AR253,1,0)</f>
        <v>#N/A</v>
      </c>
      <c r="EE253" s="138" t="e">
        <f>IF(VLOOKUP(CONCATENATE(H253,F253,EE$2),Matemáticas!$A:$H,7,FALSE)=AS253,1,0)</f>
        <v>#N/A</v>
      </c>
      <c r="EF253" s="138" t="e">
        <f>IF(VLOOKUP(CONCATENATE(H253,F253,EF$2),Matemáticas!$A:$H,7,FALSE)=AT253,1,0)</f>
        <v>#N/A</v>
      </c>
      <c r="EG253" s="138" t="e">
        <f>IF(VLOOKUP(CONCATENATE(H253,F253,EG$2),Matemáticas!$A:$H,7,FALSE)=AU253,1,0)</f>
        <v>#N/A</v>
      </c>
      <c r="EH253" s="138" t="e">
        <f>IF(VLOOKUP(CONCATENATE(H253,F253,EH$2),Matemáticas!$A:$H,7,FALSE)=AV253,1,0)</f>
        <v>#N/A</v>
      </c>
      <c r="EI253" s="138" t="e">
        <f>IF(VLOOKUP(CONCATENATE(H253,F253,EI$2),Matemáticas!$A:$H,7,FALSE)=AW253,1,0)</f>
        <v>#N/A</v>
      </c>
      <c r="EJ253" s="138" t="e">
        <f>IF(VLOOKUP(CONCATENATE(H253,F253,EJ$2),Matemáticas!$A:$H,7,FALSE)=AX253,1,0)</f>
        <v>#N/A</v>
      </c>
      <c r="EK253" s="138" t="e">
        <f>IF(VLOOKUP(CONCATENATE(H253,F253,EK$2),Matemáticas!$A:$H,7,FALSE)=AY253,1,0)</f>
        <v>#N/A</v>
      </c>
      <c r="EL253" s="138" t="e">
        <f>IF(VLOOKUP(CONCATENATE(H253,F253,EL$2),Matemáticas!$A:$H,7,FALSE)=AZ253,1,0)</f>
        <v>#N/A</v>
      </c>
      <c r="EM253" s="138" t="e">
        <f>IF(VLOOKUP(CONCATENATE(H253,F253,EM$2),Matemáticas!$A:$H,7,FALSE)=BA253,1,0)</f>
        <v>#N/A</v>
      </c>
      <c r="EN253" s="138" t="e">
        <f>IF(VLOOKUP(CONCATENATE(H253,F253,EN$2),Matemáticas!$A:$H,7,FALSE)=BB253,1,0)</f>
        <v>#N/A</v>
      </c>
      <c r="EO253" s="138" t="e">
        <f>IF(VLOOKUP(CONCATENATE(H253,F253,EO$2),Matemáticas!$A:$H,7,FALSE)=BC253,1,0)</f>
        <v>#N/A</v>
      </c>
      <c r="EP253" s="138" t="e">
        <f>IF(VLOOKUP(CONCATENATE(H253,F253,EP$2),Matemáticas!$A:$H,7,FALSE)=BD253,1,0)</f>
        <v>#N/A</v>
      </c>
      <c r="EQ253" s="138" t="e">
        <f>IF(VLOOKUP(CONCATENATE(H253,F253,EQ$2),Matemáticas!$A:$H,7,FALSE)=BE253,1,0)</f>
        <v>#N/A</v>
      </c>
      <c r="ER253" s="138" t="e">
        <f>IF(VLOOKUP(CONCATENATE(H253,F253,ER$2),Matemáticas!$A:$H,7,FALSE)=BF253,1,0)</f>
        <v>#N/A</v>
      </c>
      <c r="ES253" s="138" t="e">
        <f>IF(VLOOKUP(CONCATENATE(H253,F253,ES$2),Matemáticas!$A:$H,7,FALSE)=BG253,1,0)</f>
        <v>#N/A</v>
      </c>
      <c r="ET253" s="138" t="e">
        <f>IF(VLOOKUP(CONCATENATE(H253,F253,ET$2),Matemáticas!$A:$H,7,FALSE)=BH253,1,0)</f>
        <v>#N/A</v>
      </c>
      <c r="EU253" s="138" t="e">
        <f>IF(VLOOKUP(CONCATENATE(H253,F253,EU$2),Matemáticas!$A:$H,7,FALSE)=BI253,1,0)</f>
        <v>#N/A</v>
      </c>
      <c r="EV253" s="138" t="e">
        <f>IF(VLOOKUP(CONCATENATE(H253,F253,EV$2),Ciencias!$A:$H,7,FALSE)=BJ253,1,0)</f>
        <v>#N/A</v>
      </c>
      <c r="EW253" s="138" t="e">
        <f>IF(VLOOKUP(CONCATENATE(H253,F253,EW$2),Ciencias!$A:$H,7,FALSE)=BK253,1,0)</f>
        <v>#N/A</v>
      </c>
      <c r="EX253" s="138" t="e">
        <f>IF(VLOOKUP(CONCATENATE(H253,F253,EX$2),Ciencias!$A:$H,7,FALSE)=BL253,1,0)</f>
        <v>#N/A</v>
      </c>
      <c r="EY253" s="138" t="e">
        <f>IF(VLOOKUP(CONCATENATE(H253,F253,EY$2),Ciencias!$A:$H,7,FALSE)=BM253,1,0)</f>
        <v>#N/A</v>
      </c>
      <c r="EZ253" s="138" t="e">
        <f>IF(VLOOKUP(CONCATENATE(H253,F253,EZ$2),Ciencias!$A:$H,7,FALSE)=BN253,1,0)</f>
        <v>#N/A</v>
      </c>
      <c r="FA253" s="138" t="e">
        <f>IF(VLOOKUP(CONCATENATE(H253,F253,FA$2),Ciencias!$A:$H,7,FALSE)=BO253,1,0)</f>
        <v>#N/A</v>
      </c>
      <c r="FB253" s="138" t="e">
        <f>IF(VLOOKUP(CONCATENATE(H253,F253,FB$2),Ciencias!$A:$H,7,FALSE)=BP253,1,0)</f>
        <v>#N/A</v>
      </c>
      <c r="FC253" s="138" t="e">
        <f>IF(VLOOKUP(CONCATENATE(H253,F253,FC$2),Ciencias!$A:$H,7,FALSE)=BQ253,1,0)</f>
        <v>#N/A</v>
      </c>
      <c r="FD253" s="138" t="e">
        <f>IF(VLOOKUP(CONCATENATE(H253,F253,FD$2),Ciencias!$A:$H,7,FALSE)=BR253,1,0)</f>
        <v>#N/A</v>
      </c>
      <c r="FE253" s="138" t="e">
        <f>IF(VLOOKUP(CONCATENATE(H253,F253,FE$2),Ciencias!$A:$H,7,FALSE)=BS253,1,0)</f>
        <v>#N/A</v>
      </c>
      <c r="FF253" s="138" t="e">
        <f>IF(VLOOKUP(CONCATENATE(H253,F253,FF$2),Ciencias!$A:$H,7,FALSE)=BT253,1,0)</f>
        <v>#N/A</v>
      </c>
      <c r="FG253" s="138" t="e">
        <f>IF(VLOOKUP(CONCATENATE(H253,F253,FG$2),Ciencias!$A:$H,7,FALSE)=BU253,1,0)</f>
        <v>#N/A</v>
      </c>
      <c r="FH253" s="138" t="e">
        <f>IF(VLOOKUP(CONCATENATE(H253,F253,FH$2),Ciencias!$A:$H,7,FALSE)=BV253,1,0)</f>
        <v>#N/A</v>
      </c>
      <c r="FI253" s="138" t="e">
        <f>IF(VLOOKUP(CONCATENATE(H253,F253,FI$2),Ciencias!$A:$H,7,FALSE)=BW253,1,0)</f>
        <v>#N/A</v>
      </c>
      <c r="FJ253" s="138" t="e">
        <f>IF(VLOOKUP(CONCATENATE(H253,F253,FJ$2),Ciencias!$A:$H,7,FALSE)=BX253,1,0)</f>
        <v>#N/A</v>
      </c>
      <c r="FK253" s="138" t="e">
        <f>IF(VLOOKUP(CONCATENATE(H253,F253,FK$2),Ciencias!$A:$H,7,FALSE)=BY253,1,0)</f>
        <v>#N/A</v>
      </c>
      <c r="FL253" s="138" t="e">
        <f>IF(VLOOKUP(CONCATENATE(H253,F253,FL$2),Ciencias!$A:$H,7,FALSE)=BZ253,1,0)</f>
        <v>#N/A</v>
      </c>
      <c r="FM253" s="138" t="e">
        <f>IF(VLOOKUP(CONCATENATE(H253,F253,FM$2),Ciencias!$A:$H,7,FALSE)=CA253,1,0)</f>
        <v>#N/A</v>
      </c>
      <c r="FN253" s="138" t="e">
        <f>IF(VLOOKUP(CONCATENATE(H253,F253,FN$2),Ciencias!$A:$H,7,FALSE)=CB253,1,0)</f>
        <v>#N/A</v>
      </c>
      <c r="FO253" s="138" t="e">
        <f>IF(VLOOKUP(CONCATENATE(H253,F253,FO$2),Ciencias!$A:$H,7,FALSE)=CC253,1,0)</f>
        <v>#N/A</v>
      </c>
      <c r="FP253" s="138" t="e">
        <f>IF(VLOOKUP(CONCATENATE(H253,F253,FP$2),GeoHis!$A:$H,7,FALSE)=CD253,1,0)</f>
        <v>#N/A</v>
      </c>
      <c r="FQ253" s="138" t="e">
        <f>IF(VLOOKUP(CONCATENATE(H253,F253,FQ$2),GeoHis!$A:$H,7,FALSE)=CE253,1,0)</f>
        <v>#N/A</v>
      </c>
      <c r="FR253" s="138" t="e">
        <f>IF(VLOOKUP(CONCATENATE(H253,F253,FR$2),GeoHis!$A:$H,7,FALSE)=CF253,1,0)</f>
        <v>#N/A</v>
      </c>
      <c r="FS253" s="138" t="e">
        <f>IF(VLOOKUP(CONCATENATE(H253,F253,FS$2),GeoHis!$A:$H,7,FALSE)=CG253,1,0)</f>
        <v>#N/A</v>
      </c>
      <c r="FT253" s="138" t="e">
        <f>IF(VLOOKUP(CONCATENATE(H253,F253,FT$2),GeoHis!$A:$H,7,FALSE)=CH253,1,0)</f>
        <v>#N/A</v>
      </c>
      <c r="FU253" s="138" t="e">
        <f>IF(VLOOKUP(CONCATENATE(H253,F253,FU$2),GeoHis!$A:$H,7,FALSE)=CI253,1,0)</f>
        <v>#N/A</v>
      </c>
      <c r="FV253" s="138" t="e">
        <f>IF(VLOOKUP(CONCATENATE(H253,F253,FV$2),GeoHis!$A:$H,7,FALSE)=CJ253,1,0)</f>
        <v>#N/A</v>
      </c>
      <c r="FW253" s="138" t="e">
        <f>IF(VLOOKUP(CONCATENATE(H253,F253,FW$2),GeoHis!$A:$H,7,FALSE)=CK253,1,0)</f>
        <v>#N/A</v>
      </c>
      <c r="FX253" s="138" t="e">
        <f>IF(VLOOKUP(CONCATENATE(H253,F253,FX$2),GeoHis!$A:$H,7,FALSE)=CL253,1,0)</f>
        <v>#N/A</v>
      </c>
      <c r="FY253" s="138" t="e">
        <f>IF(VLOOKUP(CONCATENATE(H253,F253,FY$2),GeoHis!$A:$H,7,FALSE)=CM253,1,0)</f>
        <v>#N/A</v>
      </c>
      <c r="FZ253" s="138" t="e">
        <f>IF(VLOOKUP(CONCATENATE(H253,F253,FZ$2),GeoHis!$A:$H,7,FALSE)=CN253,1,0)</f>
        <v>#N/A</v>
      </c>
      <c r="GA253" s="138" t="e">
        <f>IF(VLOOKUP(CONCATENATE(H253,F253,GA$2),GeoHis!$A:$H,7,FALSE)=CO253,1,0)</f>
        <v>#N/A</v>
      </c>
      <c r="GB253" s="138" t="e">
        <f>IF(VLOOKUP(CONCATENATE(H253,F253,GB$2),GeoHis!$A:$H,7,FALSE)=CP253,1,0)</f>
        <v>#N/A</v>
      </c>
      <c r="GC253" s="138" t="e">
        <f>IF(VLOOKUP(CONCATENATE(H253,F253,GC$2),GeoHis!$A:$H,7,FALSE)=CQ253,1,0)</f>
        <v>#N/A</v>
      </c>
      <c r="GD253" s="138" t="e">
        <f>IF(VLOOKUP(CONCATENATE(H253,F253,GD$2),GeoHis!$A:$H,7,FALSE)=CR253,1,0)</f>
        <v>#N/A</v>
      </c>
      <c r="GE253" s="135" t="str">
        <f t="shared" si="31"/>
        <v/>
      </c>
    </row>
    <row r="254" spans="1:187" x14ac:dyDescent="0.25">
      <c r="A254" s="127" t="str">
        <f>IF(C254="","",'Datos Generales'!$A$25)</f>
        <v/>
      </c>
      <c r="D254" s="126" t="str">
        <f t="shared" si="24"/>
        <v/>
      </c>
      <c r="E254" s="126">
        <f t="shared" si="25"/>
        <v>0</v>
      </c>
      <c r="F254" s="126" t="str">
        <f t="shared" si="26"/>
        <v/>
      </c>
      <c r="G254" s="126" t="str">
        <f>IF(C254="","",'Datos Generales'!$D$19)</f>
        <v/>
      </c>
      <c r="H254" s="21" t="str">
        <f>IF(C254="","",'Datos Generales'!$A$19)</f>
        <v/>
      </c>
      <c r="I254" s="126" t="str">
        <f>IF(C254="","",'Datos Generales'!$A$7)</f>
        <v/>
      </c>
      <c r="J254" s="21" t="str">
        <f>IF(C254="","",'Datos Generales'!$A$13)</f>
        <v/>
      </c>
      <c r="K254" s="21" t="str">
        <f>IF(C254="","",'Datos Generales'!$A$10)</f>
        <v/>
      </c>
      <c r="CS254" s="142" t="str">
        <f t="shared" si="27"/>
        <v/>
      </c>
      <c r="CT254" s="142" t="str">
        <f t="shared" si="28"/>
        <v/>
      </c>
      <c r="CU254" s="142" t="str">
        <f t="shared" si="29"/>
        <v/>
      </c>
      <c r="CV254" s="142" t="str">
        <f t="shared" si="30"/>
        <v/>
      </c>
      <c r="CW254" s="142" t="str">
        <f>IF(C254="","",IF('Datos Generales'!$A$19=1,AVERAGE(FP254:GD254),AVERAGE(Captura!FP254:FY254)))</f>
        <v/>
      </c>
      <c r="CX254" s="138" t="e">
        <f>IF(VLOOKUP(CONCATENATE($H$4,$F$4,CX$2),Español!$A:$H,7,FALSE)=L254,1,0)</f>
        <v>#N/A</v>
      </c>
      <c r="CY254" s="138" t="e">
        <f>IF(VLOOKUP(CONCATENATE(H254,F254,CY$2),Español!$A:$H,7,FALSE)=M254,1,0)</f>
        <v>#N/A</v>
      </c>
      <c r="CZ254" s="138" t="e">
        <f>IF(VLOOKUP(CONCATENATE(H254,F254,CZ$2),Español!$A:$H,7,FALSE)=N254,1,0)</f>
        <v>#N/A</v>
      </c>
      <c r="DA254" s="138" t="e">
        <f>IF(VLOOKUP(CONCATENATE(H254,F254,DA$2),Español!$A:$H,7,FALSE)=O254,1,0)</f>
        <v>#N/A</v>
      </c>
      <c r="DB254" s="138" t="e">
        <f>IF(VLOOKUP(CONCATENATE(H254,F254,DB$2),Español!$A:$H,7,FALSE)=P254,1,0)</f>
        <v>#N/A</v>
      </c>
      <c r="DC254" s="138" t="e">
        <f>IF(VLOOKUP(CONCATENATE(H254,F254,DC$2),Español!$A:$H,7,FALSE)=Q254,1,0)</f>
        <v>#N/A</v>
      </c>
      <c r="DD254" s="138" t="e">
        <f>IF(VLOOKUP(CONCATENATE(H254,F254,DD$2),Español!$A:$H,7,FALSE)=R254,1,0)</f>
        <v>#N/A</v>
      </c>
      <c r="DE254" s="138" t="e">
        <f>IF(VLOOKUP(CONCATENATE(H254,F254,DE$2),Español!$A:$H,7,FALSE)=S254,1,0)</f>
        <v>#N/A</v>
      </c>
      <c r="DF254" s="138" t="e">
        <f>IF(VLOOKUP(CONCATENATE(H254,F254,DF$2),Español!$A:$H,7,FALSE)=T254,1,0)</f>
        <v>#N/A</v>
      </c>
      <c r="DG254" s="138" t="e">
        <f>IF(VLOOKUP(CONCATENATE(H254,F254,DG$2),Español!$A:$H,7,FALSE)=U254,1,0)</f>
        <v>#N/A</v>
      </c>
      <c r="DH254" s="138" t="e">
        <f>IF(VLOOKUP(CONCATENATE(H254,F254,DH$2),Español!$A:$H,7,FALSE)=V254,1,0)</f>
        <v>#N/A</v>
      </c>
      <c r="DI254" s="138" t="e">
        <f>IF(VLOOKUP(CONCATENATE(H254,F254,DI$2),Español!$A:$H,7,FALSE)=W254,1,0)</f>
        <v>#N/A</v>
      </c>
      <c r="DJ254" s="138" t="e">
        <f>IF(VLOOKUP(CONCATENATE(H254,F254,DJ$2),Español!$A:$H,7,FALSE)=X254,1,0)</f>
        <v>#N/A</v>
      </c>
      <c r="DK254" s="138" t="e">
        <f>IF(VLOOKUP(CONCATENATE(H254,F254,DK$2),Español!$A:$H,7,FALSE)=Y254,1,0)</f>
        <v>#N/A</v>
      </c>
      <c r="DL254" s="138" t="e">
        <f>IF(VLOOKUP(CONCATENATE(H254,F254,DL$2),Español!$A:$H,7,FALSE)=Z254,1,0)</f>
        <v>#N/A</v>
      </c>
      <c r="DM254" s="138" t="e">
        <f>IF(VLOOKUP(CONCATENATE(H254,F254,DM$2),Español!$A:$H,7,FALSE)=AA254,1,0)</f>
        <v>#N/A</v>
      </c>
      <c r="DN254" s="138" t="e">
        <f>IF(VLOOKUP(CONCATENATE(H254,F254,DN$2),Español!$A:$H,7,FALSE)=AB254,1,0)</f>
        <v>#N/A</v>
      </c>
      <c r="DO254" s="138" t="e">
        <f>IF(VLOOKUP(CONCATENATE(H254,F254,DO$2),Español!$A:$H,7,FALSE)=AC254,1,0)</f>
        <v>#N/A</v>
      </c>
      <c r="DP254" s="138" t="e">
        <f>IF(VLOOKUP(CONCATENATE(H254,F254,DP$2),Español!$A:$H,7,FALSE)=AD254,1,0)</f>
        <v>#N/A</v>
      </c>
      <c r="DQ254" s="138" t="e">
        <f>IF(VLOOKUP(CONCATENATE(H254,F254,DQ$2),Español!$A:$H,7,FALSE)=AE254,1,0)</f>
        <v>#N/A</v>
      </c>
      <c r="DR254" s="138" t="e">
        <f>IF(VLOOKUP(CONCATENATE(H254,F254,DR$2),Inglés!$A:$H,7,FALSE)=AF254,1,0)</f>
        <v>#N/A</v>
      </c>
      <c r="DS254" s="138" t="e">
        <f>IF(VLOOKUP(CONCATENATE(H254,F254,DS$2),Inglés!$A:$H,7,FALSE)=AG254,1,0)</f>
        <v>#N/A</v>
      </c>
      <c r="DT254" s="138" t="e">
        <f>IF(VLOOKUP(CONCATENATE(H254,F254,DT$2),Inglés!$A:$H,7,FALSE)=AH254,1,0)</f>
        <v>#N/A</v>
      </c>
      <c r="DU254" s="138" t="e">
        <f>IF(VLOOKUP(CONCATENATE(H254,F254,DU$2),Inglés!$A:$H,7,FALSE)=AI254,1,0)</f>
        <v>#N/A</v>
      </c>
      <c r="DV254" s="138" t="e">
        <f>IF(VLOOKUP(CONCATENATE(H254,F254,DV$2),Inglés!$A:$H,7,FALSE)=AJ254,1,0)</f>
        <v>#N/A</v>
      </c>
      <c r="DW254" s="138" t="e">
        <f>IF(VLOOKUP(CONCATENATE(H254,F254,DW$2),Inglés!$A:$H,7,FALSE)=AK254,1,0)</f>
        <v>#N/A</v>
      </c>
      <c r="DX254" s="138" t="e">
        <f>IF(VLOOKUP(CONCATENATE(H254,F254,DX$2),Inglés!$A:$H,7,FALSE)=AL254,1,0)</f>
        <v>#N/A</v>
      </c>
      <c r="DY254" s="138" t="e">
        <f>IF(VLOOKUP(CONCATENATE(H254,F254,DY$2),Inglés!$A:$H,7,FALSE)=AM254,1,0)</f>
        <v>#N/A</v>
      </c>
      <c r="DZ254" s="138" t="e">
        <f>IF(VLOOKUP(CONCATENATE(H254,F254,DZ$2),Inglés!$A:$H,7,FALSE)=AN254,1,0)</f>
        <v>#N/A</v>
      </c>
      <c r="EA254" s="138" t="e">
        <f>IF(VLOOKUP(CONCATENATE(H254,F254,EA$2),Inglés!$A:$H,7,FALSE)=AO254,1,0)</f>
        <v>#N/A</v>
      </c>
      <c r="EB254" s="138" t="e">
        <f>IF(VLOOKUP(CONCATENATE(H254,F254,EB$2),Matemáticas!$A:$H,7,FALSE)=AP254,1,0)</f>
        <v>#N/A</v>
      </c>
      <c r="EC254" s="138" t="e">
        <f>IF(VLOOKUP(CONCATENATE(H254,F254,EC$2),Matemáticas!$A:$H,7,FALSE)=AQ254,1,0)</f>
        <v>#N/A</v>
      </c>
      <c r="ED254" s="138" t="e">
        <f>IF(VLOOKUP(CONCATENATE(H254,F254,ED$2),Matemáticas!$A:$H,7,FALSE)=AR254,1,0)</f>
        <v>#N/A</v>
      </c>
      <c r="EE254" s="138" t="e">
        <f>IF(VLOOKUP(CONCATENATE(H254,F254,EE$2),Matemáticas!$A:$H,7,FALSE)=AS254,1,0)</f>
        <v>#N/A</v>
      </c>
      <c r="EF254" s="138" t="e">
        <f>IF(VLOOKUP(CONCATENATE(H254,F254,EF$2),Matemáticas!$A:$H,7,FALSE)=AT254,1,0)</f>
        <v>#N/A</v>
      </c>
      <c r="EG254" s="138" t="e">
        <f>IF(VLOOKUP(CONCATENATE(H254,F254,EG$2),Matemáticas!$A:$H,7,FALSE)=AU254,1,0)</f>
        <v>#N/A</v>
      </c>
      <c r="EH254" s="138" t="e">
        <f>IF(VLOOKUP(CONCATENATE(H254,F254,EH$2),Matemáticas!$A:$H,7,FALSE)=AV254,1,0)</f>
        <v>#N/A</v>
      </c>
      <c r="EI254" s="138" t="e">
        <f>IF(VLOOKUP(CONCATENATE(H254,F254,EI$2),Matemáticas!$A:$H,7,FALSE)=AW254,1,0)</f>
        <v>#N/A</v>
      </c>
      <c r="EJ254" s="138" t="e">
        <f>IF(VLOOKUP(CONCATENATE(H254,F254,EJ$2),Matemáticas!$A:$H,7,FALSE)=AX254,1,0)</f>
        <v>#N/A</v>
      </c>
      <c r="EK254" s="138" t="e">
        <f>IF(VLOOKUP(CONCATENATE(H254,F254,EK$2),Matemáticas!$A:$H,7,FALSE)=AY254,1,0)</f>
        <v>#N/A</v>
      </c>
      <c r="EL254" s="138" t="e">
        <f>IF(VLOOKUP(CONCATENATE(H254,F254,EL$2),Matemáticas!$A:$H,7,FALSE)=AZ254,1,0)</f>
        <v>#N/A</v>
      </c>
      <c r="EM254" s="138" t="e">
        <f>IF(VLOOKUP(CONCATENATE(H254,F254,EM$2),Matemáticas!$A:$H,7,FALSE)=BA254,1,0)</f>
        <v>#N/A</v>
      </c>
      <c r="EN254" s="138" t="e">
        <f>IF(VLOOKUP(CONCATENATE(H254,F254,EN$2),Matemáticas!$A:$H,7,FALSE)=BB254,1,0)</f>
        <v>#N/A</v>
      </c>
      <c r="EO254" s="138" t="e">
        <f>IF(VLOOKUP(CONCATENATE(H254,F254,EO$2),Matemáticas!$A:$H,7,FALSE)=BC254,1,0)</f>
        <v>#N/A</v>
      </c>
      <c r="EP254" s="138" t="e">
        <f>IF(VLOOKUP(CONCATENATE(H254,F254,EP$2),Matemáticas!$A:$H,7,FALSE)=BD254,1,0)</f>
        <v>#N/A</v>
      </c>
      <c r="EQ254" s="138" t="e">
        <f>IF(VLOOKUP(CONCATENATE(H254,F254,EQ$2),Matemáticas!$A:$H,7,FALSE)=BE254,1,0)</f>
        <v>#N/A</v>
      </c>
      <c r="ER254" s="138" t="e">
        <f>IF(VLOOKUP(CONCATENATE(H254,F254,ER$2),Matemáticas!$A:$H,7,FALSE)=BF254,1,0)</f>
        <v>#N/A</v>
      </c>
      <c r="ES254" s="138" t="e">
        <f>IF(VLOOKUP(CONCATENATE(H254,F254,ES$2),Matemáticas!$A:$H,7,FALSE)=BG254,1,0)</f>
        <v>#N/A</v>
      </c>
      <c r="ET254" s="138" t="e">
        <f>IF(VLOOKUP(CONCATENATE(H254,F254,ET$2),Matemáticas!$A:$H,7,FALSE)=BH254,1,0)</f>
        <v>#N/A</v>
      </c>
      <c r="EU254" s="138" t="e">
        <f>IF(VLOOKUP(CONCATENATE(H254,F254,EU$2),Matemáticas!$A:$H,7,FALSE)=BI254,1,0)</f>
        <v>#N/A</v>
      </c>
      <c r="EV254" s="138" t="e">
        <f>IF(VLOOKUP(CONCATENATE(H254,F254,EV$2),Ciencias!$A:$H,7,FALSE)=BJ254,1,0)</f>
        <v>#N/A</v>
      </c>
      <c r="EW254" s="138" t="e">
        <f>IF(VLOOKUP(CONCATENATE(H254,F254,EW$2),Ciencias!$A:$H,7,FALSE)=BK254,1,0)</f>
        <v>#N/A</v>
      </c>
      <c r="EX254" s="138" t="e">
        <f>IF(VLOOKUP(CONCATENATE(H254,F254,EX$2),Ciencias!$A:$H,7,FALSE)=BL254,1,0)</f>
        <v>#N/A</v>
      </c>
      <c r="EY254" s="138" t="e">
        <f>IF(VLOOKUP(CONCATENATE(H254,F254,EY$2),Ciencias!$A:$H,7,FALSE)=BM254,1,0)</f>
        <v>#N/A</v>
      </c>
      <c r="EZ254" s="138" t="e">
        <f>IF(VLOOKUP(CONCATENATE(H254,F254,EZ$2),Ciencias!$A:$H,7,FALSE)=BN254,1,0)</f>
        <v>#N/A</v>
      </c>
      <c r="FA254" s="138" t="e">
        <f>IF(VLOOKUP(CONCATENATE(H254,F254,FA$2),Ciencias!$A:$H,7,FALSE)=BO254,1,0)</f>
        <v>#N/A</v>
      </c>
      <c r="FB254" s="138" t="e">
        <f>IF(VLOOKUP(CONCATENATE(H254,F254,FB$2),Ciencias!$A:$H,7,FALSE)=BP254,1,0)</f>
        <v>#N/A</v>
      </c>
      <c r="FC254" s="138" t="e">
        <f>IF(VLOOKUP(CONCATENATE(H254,F254,FC$2),Ciencias!$A:$H,7,FALSE)=BQ254,1,0)</f>
        <v>#N/A</v>
      </c>
      <c r="FD254" s="138" t="e">
        <f>IF(VLOOKUP(CONCATENATE(H254,F254,FD$2),Ciencias!$A:$H,7,FALSE)=BR254,1,0)</f>
        <v>#N/A</v>
      </c>
      <c r="FE254" s="138" t="e">
        <f>IF(VLOOKUP(CONCATENATE(H254,F254,FE$2),Ciencias!$A:$H,7,FALSE)=BS254,1,0)</f>
        <v>#N/A</v>
      </c>
      <c r="FF254" s="138" t="e">
        <f>IF(VLOOKUP(CONCATENATE(H254,F254,FF$2),Ciencias!$A:$H,7,FALSE)=BT254,1,0)</f>
        <v>#N/A</v>
      </c>
      <c r="FG254" s="138" t="e">
        <f>IF(VLOOKUP(CONCATENATE(H254,F254,FG$2),Ciencias!$A:$H,7,FALSE)=BU254,1,0)</f>
        <v>#N/A</v>
      </c>
      <c r="FH254" s="138" t="e">
        <f>IF(VLOOKUP(CONCATENATE(H254,F254,FH$2),Ciencias!$A:$H,7,FALSE)=BV254,1,0)</f>
        <v>#N/A</v>
      </c>
      <c r="FI254" s="138" t="e">
        <f>IF(VLOOKUP(CONCATENATE(H254,F254,FI$2),Ciencias!$A:$H,7,FALSE)=BW254,1,0)</f>
        <v>#N/A</v>
      </c>
      <c r="FJ254" s="138" t="e">
        <f>IF(VLOOKUP(CONCATENATE(H254,F254,FJ$2),Ciencias!$A:$H,7,FALSE)=BX254,1,0)</f>
        <v>#N/A</v>
      </c>
      <c r="FK254" s="138" t="e">
        <f>IF(VLOOKUP(CONCATENATE(H254,F254,FK$2),Ciencias!$A:$H,7,FALSE)=BY254,1,0)</f>
        <v>#N/A</v>
      </c>
      <c r="FL254" s="138" t="e">
        <f>IF(VLOOKUP(CONCATENATE(H254,F254,FL$2),Ciencias!$A:$H,7,FALSE)=BZ254,1,0)</f>
        <v>#N/A</v>
      </c>
      <c r="FM254" s="138" t="e">
        <f>IF(VLOOKUP(CONCATENATE(H254,F254,FM$2),Ciencias!$A:$H,7,FALSE)=CA254,1,0)</f>
        <v>#N/A</v>
      </c>
      <c r="FN254" s="138" t="e">
        <f>IF(VLOOKUP(CONCATENATE(H254,F254,FN$2),Ciencias!$A:$H,7,FALSE)=CB254,1,0)</f>
        <v>#N/A</v>
      </c>
      <c r="FO254" s="138" t="e">
        <f>IF(VLOOKUP(CONCATENATE(H254,F254,FO$2),Ciencias!$A:$H,7,FALSE)=CC254,1,0)</f>
        <v>#N/A</v>
      </c>
      <c r="FP254" s="138" t="e">
        <f>IF(VLOOKUP(CONCATENATE(H254,F254,FP$2),GeoHis!$A:$H,7,FALSE)=CD254,1,0)</f>
        <v>#N/A</v>
      </c>
      <c r="FQ254" s="138" t="e">
        <f>IF(VLOOKUP(CONCATENATE(H254,F254,FQ$2),GeoHis!$A:$H,7,FALSE)=CE254,1,0)</f>
        <v>#N/A</v>
      </c>
      <c r="FR254" s="138" t="e">
        <f>IF(VLOOKUP(CONCATENATE(H254,F254,FR$2),GeoHis!$A:$H,7,FALSE)=CF254,1,0)</f>
        <v>#N/A</v>
      </c>
      <c r="FS254" s="138" t="e">
        <f>IF(VLOOKUP(CONCATENATE(H254,F254,FS$2),GeoHis!$A:$H,7,FALSE)=CG254,1,0)</f>
        <v>#N/A</v>
      </c>
      <c r="FT254" s="138" t="e">
        <f>IF(VLOOKUP(CONCATENATE(H254,F254,FT$2),GeoHis!$A:$H,7,FALSE)=CH254,1,0)</f>
        <v>#N/A</v>
      </c>
      <c r="FU254" s="138" t="e">
        <f>IF(VLOOKUP(CONCATENATE(H254,F254,FU$2),GeoHis!$A:$H,7,FALSE)=CI254,1,0)</f>
        <v>#N/A</v>
      </c>
      <c r="FV254" s="138" t="e">
        <f>IF(VLOOKUP(CONCATENATE(H254,F254,FV$2),GeoHis!$A:$H,7,FALSE)=CJ254,1,0)</f>
        <v>#N/A</v>
      </c>
      <c r="FW254" s="138" t="e">
        <f>IF(VLOOKUP(CONCATENATE(H254,F254,FW$2),GeoHis!$A:$H,7,FALSE)=CK254,1,0)</f>
        <v>#N/A</v>
      </c>
      <c r="FX254" s="138" t="e">
        <f>IF(VLOOKUP(CONCATENATE(H254,F254,FX$2),GeoHis!$A:$H,7,FALSE)=CL254,1,0)</f>
        <v>#N/A</v>
      </c>
      <c r="FY254" s="138" t="e">
        <f>IF(VLOOKUP(CONCATENATE(H254,F254,FY$2),GeoHis!$A:$H,7,FALSE)=CM254,1,0)</f>
        <v>#N/A</v>
      </c>
      <c r="FZ254" s="138" t="e">
        <f>IF(VLOOKUP(CONCATENATE(H254,F254,FZ$2),GeoHis!$A:$H,7,FALSE)=CN254,1,0)</f>
        <v>#N/A</v>
      </c>
      <c r="GA254" s="138" t="e">
        <f>IF(VLOOKUP(CONCATENATE(H254,F254,GA$2),GeoHis!$A:$H,7,FALSE)=CO254,1,0)</f>
        <v>#N/A</v>
      </c>
      <c r="GB254" s="138" t="e">
        <f>IF(VLOOKUP(CONCATENATE(H254,F254,GB$2),GeoHis!$A:$H,7,FALSE)=CP254,1,0)</f>
        <v>#N/A</v>
      </c>
      <c r="GC254" s="138" t="e">
        <f>IF(VLOOKUP(CONCATENATE(H254,F254,GC$2),GeoHis!$A:$H,7,FALSE)=CQ254,1,0)</f>
        <v>#N/A</v>
      </c>
      <c r="GD254" s="138" t="e">
        <f>IF(VLOOKUP(CONCATENATE(H254,F254,GD$2),GeoHis!$A:$H,7,FALSE)=CR254,1,0)</f>
        <v>#N/A</v>
      </c>
      <c r="GE254" s="135" t="str">
        <f t="shared" si="31"/>
        <v/>
      </c>
    </row>
    <row r="255" spans="1:187" x14ac:dyDescent="0.25">
      <c r="A255" s="127" t="str">
        <f>IF(C255="","",'Datos Generales'!$A$25)</f>
        <v/>
      </c>
      <c r="D255" s="126" t="str">
        <f t="shared" si="24"/>
        <v/>
      </c>
      <c r="E255" s="126">
        <f t="shared" si="25"/>
        <v>0</v>
      </c>
      <c r="F255" s="126" t="str">
        <f t="shared" si="26"/>
        <v/>
      </c>
      <c r="G255" s="126" t="str">
        <f>IF(C255="","",'Datos Generales'!$D$19)</f>
        <v/>
      </c>
      <c r="H255" s="21" t="str">
        <f>IF(C255="","",'Datos Generales'!$A$19)</f>
        <v/>
      </c>
      <c r="I255" s="126" t="str">
        <f>IF(C255="","",'Datos Generales'!$A$7)</f>
        <v/>
      </c>
      <c r="J255" s="21" t="str">
        <f>IF(C255="","",'Datos Generales'!$A$13)</f>
        <v/>
      </c>
      <c r="K255" s="21" t="str">
        <f>IF(C255="","",'Datos Generales'!$A$10)</f>
        <v/>
      </c>
      <c r="CS255" s="142" t="str">
        <f t="shared" si="27"/>
        <v/>
      </c>
      <c r="CT255" s="142" t="str">
        <f t="shared" si="28"/>
        <v/>
      </c>
      <c r="CU255" s="142" t="str">
        <f t="shared" si="29"/>
        <v/>
      </c>
      <c r="CV255" s="142" t="str">
        <f t="shared" si="30"/>
        <v/>
      </c>
      <c r="CW255" s="142" t="str">
        <f>IF(C255="","",IF('Datos Generales'!$A$19=1,AVERAGE(FP255:GD255),AVERAGE(Captura!FP255:FY255)))</f>
        <v/>
      </c>
      <c r="CX255" s="138" t="e">
        <f>IF(VLOOKUP(CONCATENATE($H$4,$F$4,CX$2),Español!$A:$H,7,FALSE)=L255,1,0)</f>
        <v>#N/A</v>
      </c>
      <c r="CY255" s="138" t="e">
        <f>IF(VLOOKUP(CONCATENATE(H255,F255,CY$2),Español!$A:$H,7,FALSE)=M255,1,0)</f>
        <v>#N/A</v>
      </c>
      <c r="CZ255" s="138" t="e">
        <f>IF(VLOOKUP(CONCATENATE(H255,F255,CZ$2),Español!$A:$H,7,FALSE)=N255,1,0)</f>
        <v>#N/A</v>
      </c>
      <c r="DA255" s="138" t="e">
        <f>IF(VLOOKUP(CONCATENATE(H255,F255,DA$2),Español!$A:$H,7,FALSE)=O255,1,0)</f>
        <v>#N/A</v>
      </c>
      <c r="DB255" s="138" t="e">
        <f>IF(VLOOKUP(CONCATENATE(H255,F255,DB$2),Español!$A:$H,7,FALSE)=P255,1,0)</f>
        <v>#N/A</v>
      </c>
      <c r="DC255" s="138" t="e">
        <f>IF(VLOOKUP(CONCATENATE(H255,F255,DC$2),Español!$A:$H,7,FALSE)=Q255,1,0)</f>
        <v>#N/A</v>
      </c>
      <c r="DD255" s="138" t="e">
        <f>IF(VLOOKUP(CONCATENATE(H255,F255,DD$2),Español!$A:$H,7,FALSE)=R255,1,0)</f>
        <v>#N/A</v>
      </c>
      <c r="DE255" s="138" t="e">
        <f>IF(VLOOKUP(CONCATENATE(H255,F255,DE$2),Español!$A:$H,7,FALSE)=S255,1,0)</f>
        <v>#N/A</v>
      </c>
      <c r="DF255" s="138" t="e">
        <f>IF(VLOOKUP(CONCATENATE(H255,F255,DF$2),Español!$A:$H,7,FALSE)=T255,1,0)</f>
        <v>#N/A</v>
      </c>
      <c r="DG255" s="138" t="e">
        <f>IF(VLOOKUP(CONCATENATE(H255,F255,DG$2),Español!$A:$H,7,FALSE)=U255,1,0)</f>
        <v>#N/A</v>
      </c>
      <c r="DH255" s="138" t="e">
        <f>IF(VLOOKUP(CONCATENATE(H255,F255,DH$2),Español!$A:$H,7,FALSE)=V255,1,0)</f>
        <v>#N/A</v>
      </c>
      <c r="DI255" s="138" t="e">
        <f>IF(VLOOKUP(CONCATENATE(H255,F255,DI$2),Español!$A:$H,7,FALSE)=W255,1,0)</f>
        <v>#N/A</v>
      </c>
      <c r="DJ255" s="138" t="e">
        <f>IF(VLOOKUP(CONCATENATE(H255,F255,DJ$2),Español!$A:$H,7,FALSE)=X255,1,0)</f>
        <v>#N/A</v>
      </c>
      <c r="DK255" s="138" t="e">
        <f>IF(VLOOKUP(CONCATENATE(H255,F255,DK$2),Español!$A:$H,7,FALSE)=Y255,1,0)</f>
        <v>#N/A</v>
      </c>
      <c r="DL255" s="138" t="e">
        <f>IF(VLOOKUP(CONCATENATE(H255,F255,DL$2),Español!$A:$H,7,FALSE)=Z255,1,0)</f>
        <v>#N/A</v>
      </c>
      <c r="DM255" s="138" t="e">
        <f>IF(VLOOKUP(CONCATENATE(H255,F255,DM$2),Español!$A:$H,7,FALSE)=AA255,1,0)</f>
        <v>#N/A</v>
      </c>
      <c r="DN255" s="138" t="e">
        <f>IF(VLOOKUP(CONCATENATE(H255,F255,DN$2),Español!$A:$H,7,FALSE)=AB255,1,0)</f>
        <v>#N/A</v>
      </c>
      <c r="DO255" s="138" t="e">
        <f>IF(VLOOKUP(CONCATENATE(H255,F255,DO$2),Español!$A:$H,7,FALSE)=AC255,1,0)</f>
        <v>#N/A</v>
      </c>
      <c r="DP255" s="138" t="e">
        <f>IF(VLOOKUP(CONCATENATE(H255,F255,DP$2),Español!$A:$H,7,FALSE)=AD255,1,0)</f>
        <v>#N/A</v>
      </c>
      <c r="DQ255" s="138" t="e">
        <f>IF(VLOOKUP(CONCATENATE(H255,F255,DQ$2),Español!$A:$H,7,FALSE)=AE255,1,0)</f>
        <v>#N/A</v>
      </c>
      <c r="DR255" s="138" t="e">
        <f>IF(VLOOKUP(CONCATENATE(H255,F255,DR$2),Inglés!$A:$H,7,FALSE)=AF255,1,0)</f>
        <v>#N/A</v>
      </c>
      <c r="DS255" s="138" t="e">
        <f>IF(VLOOKUP(CONCATENATE(H255,F255,DS$2),Inglés!$A:$H,7,FALSE)=AG255,1,0)</f>
        <v>#N/A</v>
      </c>
      <c r="DT255" s="138" t="e">
        <f>IF(VLOOKUP(CONCATENATE(H255,F255,DT$2),Inglés!$A:$H,7,FALSE)=AH255,1,0)</f>
        <v>#N/A</v>
      </c>
      <c r="DU255" s="138" t="e">
        <f>IF(VLOOKUP(CONCATENATE(H255,F255,DU$2),Inglés!$A:$H,7,FALSE)=AI255,1,0)</f>
        <v>#N/A</v>
      </c>
      <c r="DV255" s="138" t="e">
        <f>IF(VLOOKUP(CONCATENATE(H255,F255,DV$2),Inglés!$A:$H,7,FALSE)=AJ255,1,0)</f>
        <v>#N/A</v>
      </c>
      <c r="DW255" s="138" t="e">
        <f>IF(VLOOKUP(CONCATENATE(H255,F255,DW$2),Inglés!$A:$H,7,FALSE)=AK255,1,0)</f>
        <v>#N/A</v>
      </c>
      <c r="DX255" s="138" t="e">
        <f>IF(VLOOKUP(CONCATENATE(H255,F255,DX$2),Inglés!$A:$H,7,FALSE)=AL255,1,0)</f>
        <v>#N/A</v>
      </c>
      <c r="DY255" s="138" t="e">
        <f>IF(VLOOKUP(CONCATENATE(H255,F255,DY$2),Inglés!$A:$H,7,FALSE)=AM255,1,0)</f>
        <v>#N/A</v>
      </c>
      <c r="DZ255" s="138" t="e">
        <f>IF(VLOOKUP(CONCATENATE(H255,F255,DZ$2),Inglés!$A:$H,7,FALSE)=AN255,1,0)</f>
        <v>#N/A</v>
      </c>
      <c r="EA255" s="138" t="e">
        <f>IF(VLOOKUP(CONCATENATE(H255,F255,EA$2),Inglés!$A:$H,7,FALSE)=AO255,1,0)</f>
        <v>#N/A</v>
      </c>
      <c r="EB255" s="138" t="e">
        <f>IF(VLOOKUP(CONCATENATE(H255,F255,EB$2),Matemáticas!$A:$H,7,FALSE)=AP255,1,0)</f>
        <v>#N/A</v>
      </c>
      <c r="EC255" s="138" t="e">
        <f>IF(VLOOKUP(CONCATENATE(H255,F255,EC$2),Matemáticas!$A:$H,7,FALSE)=AQ255,1,0)</f>
        <v>#N/A</v>
      </c>
      <c r="ED255" s="138" t="e">
        <f>IF(VLOOKUP(CONCATENATE(H255,F255,ED$2),Matemáticas!$A:$H,7,FALSE)=AR255,1,0)</f>
        <v>#N/A</v>
      </c>
      <c r="EE255" s="138" t="e">
        <f>IF(VLOOKUP(CONCATENATE(H255,F255,EE$2),Matemáticas!$A:$H,7,FALSE)=AS255,1,0)</f>
        <v>#N/A</v>
      </c>
      <c r="EF255" s="138" t="e">
        <f>IF(VLOOKUP(CONCATENATE(H255,F255,EF$2),Matemáticas!$A:$H,7,FALSE)=AT255,1,0)</f>
        <v>#N/A</v>
      </c>
      <c r="EG255" s="138" t="e">
        <f>IF(VLOOKUP(CONCATENATE(H255,F255,EG$2),Matemáticas!$A:$H,7,FALSE)=AU255,1,0)</f>
        <v>#N/A</v>
      </c>
      <c r="EH255" s="138" t="e">
        <f>IF(VLOOKUP(CONCATENATE(H255,F255,EH$2),Matemáticas!$A:$H,7,FALSE)=AV255,1,0)</f>
        <v>#N/A</v>
      </c>
      <c r="EI255" s="138" t="e">
        <f>IF(VLOOKUP(CONCATENATE(H255,F255,EI$2),Matemáticas!$A:$H,7,FALSE)=AW255,1,0)</f>
        <v>#N/A</v>
      </c>
      <c r="EJ255" s="138" t="e">
        <f>IF(VLOOKUP(CONCATENATE(H255,F255,EJ$2),Matemáticas!$A:$H,7,FALSE)=AX255,1,0)</f>
        <v>#N/A</v>
      </c>
      <c r="EK255" s="138" t="e">
        <f>IF(VLOOKUP(CONCATENATE(H255,F255,EK$2),Matemáticas!$A:$H,7,FALSE)=AY255,1,0)</f>
        <v>#N/A</v>
      </c>
      <c r="EL255" s="138" t="e">
        <f>IF(VLOOKUP(CONCATENATE(H255,F255,EL$2),Matemáticas!$A:$H,7,FALSE)=AZ255,1,0)</f>
        <v>#N/A</v>
      </c>
      <c r="EM255" s="138" t="e">
        <f>IF(VLOOKUP(CONCATENATE(H255,F255,EM$2),Matemáticas!$A:$H,7,FALSE)=BA255,1,0)</f>
        <v>#N/A</v>
      </c>
      <c r="EN255" s="138" t="e">
        <f>IF(VLOOKUP(CONCATENATE(H255,F255,EN$2),Matemáticas!$A:$H,7,FALSE)=BB255,1,0)</f>
        <v>#N/A</v>
      </c>
      <c r="EO255" s="138" t="e">
        <f>IF(VLOOKUP(CONCATENATE(H255,F255,EO$2),Matemáticas!$A:$H,7,FALSE)=BC255,1,0)</f>
        <v>#N/A</v>
      </c>
      <c r="EP255" s="138" t="e">
        <f>IF(VLOOKUP(CONCATENATE(H255,F255,EP$2),Matemáticas!$A:$H,7,FALSE)=BD255,1,0)</f>
        <v>#N/A</v>
      </c>
      <c r="EQ255" s="138" t="e">
        <f>IF(VLOOKUP(CONCATENATE(H255,F255,EQ$2),Matemáticas!$A:$H,7,FALSE)=BE255,1,0)</f>
        <v>#N/A</v>
      </c>
      <c r="ER255" s="138" t="e">
        <f>IF(VLOOKUP(CONCATENATE(H255,F255,ER$2),Matemáticas!$A:$H,7,FALSE)=BF255,1,0)</f>
        <v>#N/A</v>
      </c>
      <c r="ES255" s="138" t="e">
        <f>IF(VLOOKUP(CONCATENATE(H255,F255,ES$2),Matemáticas!$A:$H,7,FALSE)=BG255,1,0)</f>
        <v>#N/A</v>
      </c>
      <c r="ET255" s="138" t="e">
        <f>IF(VLOOKUP(CONCATENATE(H255,F255,ET$2),Matemáticas!$A:$H,7,FALSE)=BH255,1,0)</f>
        <v>#N/A</v>
      </c>
      <c r="EU255" s="138" t="e">
        <f>IF(VLOOKUP(CONCATENATE(H255,F255,EU$2),Matemáticas!$A:$H,7,FALSE)=BI255,1,0)</f>
        <v>#N/A</v>
      </c>
      <c r="EV255" s="138" t="e">
        <f>IF(VLOOKUP(CONCATENATE(H255,F255,EV$2),Ciencias!$A:$H,7,FALSE)=BJ255,1,0)</f>
        <v>#N/A</v>
      </c>
      <c r="EW255" s="138" t="e">
        <f>IF(VLOOKUP(CONCATENATE(H255,F255,EW$2),Ciencias!$A:$H,7,FALSE)=BK255,1,0)</f>
        <v>#N/A</v>
      </c>
      <c r="EX255" s="138" t="e">
        <f>IF(VLOOKUP(CONCATENATE(H255,F255,EX$2),Ciencias!$A:$H,7,FALSE)=BL255,1,0)</f>
        <v>#N/A</v>
      </c>
      <c r="EY255" s="138" t="e">
        <f>IF(VLOOKUP(CONCATENATE(H255,F255,EY$2),Ciencias!$A:$H,7,FALSE)=BM255,1,0)</f>
        <v>#N/A</v>
      </c>
      <c r="EZ255" s="138" t="e">
        <f>IF(VLOOKUP(CONCATENATE(H255,F255,EZ$2),Ciencias!$A:$H,7,FALSE)=BN255,1,0)</f>
        <v>#N/A</v>
      </c>
      <c r="FA255" s="138" t="e">
        <f>IF(VLOOKUP(CONCATENATE(H255,F255,FA$2),Ciencias!$A:$H,7,FALSE)=BO255,1,0)</f>
        <v>#N/A</v>
      </c>
      <c r="FB255" s="138" t="e">
        <f>IF(VLOOKUP(CONCATENATE(H255,F255,FB$2),Ciencias!$A:$H,7,FALSE)=BP255,1,0)</f>
        <v>#N/A</v>
      </c>
      <c r="FC255" s="138" t="e">
        <f>IF(VLOOKUP(CONCATENATE(H255,F255,FC$2),Ciencias!$A:$H,7,FALSE)=BQ255,1,0)</f>
        <v>#N/A</v>
      </c>
      <c r="FD255" s="138" t="e">
        <f>IF(VLOOKUP(CONCATENATE(H255,F255,FD$2),Ciencias!$A:$H,7,FALSE)=BR255,1,0)</f>
        <v>#N/A</v>
      </c>
      <c r="FE255" s="138" t="e">
        <f>IF(VLOOKUP(CONCATENATE(H255,F255,FE$2),Ciencias!$A:$H,7,FALSE)=BS255,1,0)</f>
        <v>#N/A</v>
      </c>
      <c r="FF255" s="138" t="e">
        <f>IF(VLOOKUP(CONCATENATE(H255,F255,FF$2),Ciencias!$A:$H,7,FALSE)=BT255,1,0)</f>
        <v>#N/A</v>
      </c>
      <c r="FG255" s="138" t="e">
        <f>IF(VLOOKUP(CONCATENATE(H255,F255,FG$2),Ciencias!$A:$H,7,FALSE)=BU255,1,0)</f>
        <v>#N/A</v>
      </c>
      <c r="FH255" s="138" t="e">
        <f>IF(VLOOKUP(CONCATENATE(H255,F255,FH$2),Ciencias!$A:$H,7,FALSE)=BV255,1,0)</f>
        <v>#N/A</v>
      </c>
      <c r="FI255" s="138" t="e">
        <f>IF(VLOOKUP(CONCATENATE(H255,F255,FI$2),Ciencias!$A:$H,7,FALSE)=BW255,1,0)</f>
        <v>#N/A</v>
      </c>
      <c r="FJ255" s="138" t="e">
        <f>IF(VLOOKUP(CONCATENATE(H255,F255,FJ$2),Ciencias!$A:$H,7,FALSE)=BX255,1,0)</f>
        <v>#N/A</v>
      </c>
      <c r="FK255" s="138" t="e">
        <f>IF(VLOOKUP(CONCATENATE(H255,F255,FK$2),Ciencias!$A:$H,7,FALSE)=BY255,1,0)</f>
        <v>#N/A</v>
      </c>
      <c r="FL255" s="138" t="e">
        <f>IF(VLOOKUP(CONCATENATE(H255,F255,FL$2),Ciencias!$A:$H,7,FALSE)=BZ255,1,0)</f>
        <v>#N/A</v>
      </c>
      <c r="FM255" s="138" t="e">
        <f>IF(VLOOKUP(CONCATENATE(H255,F255,FM$2),Ciencias!$A:$H,7,FALSE)=CA255,1,0)</f>
        <v>#N/A</v>
      </c>
      <c r="FN255" s="138" t="e">
        <f>IF(VLOOKUP(CONCATENATE(H255,F255,FN$2),Ciencias!$A:$H,7,FALSE)=CB255,1,0)</f>
        <v>#N/A</v>
      </c>
      <c r="FO255" s="138" t="e">
        <f>IF(VLOOKUP(CONCATENATE(H255,F255,FO$2),Ciencias!$A:$H,7,FALSE)=CC255,1,0)</f>
        <v>#N/A</v>
      </c>
      <c r="FP255" s="138" t="e">
        <f>IF(VLOOKUP(CONCATENATE(H255,F255,FP$2),GeoHis!$A:$H,7,FALSE)=CD255,1,0)</f>
        <v>#N/A</v>
      </c>
      <c r="FQ255" s="138" t="e">
        <f>IF(VLOOKUP(CONCATENATE(H255,F255,FQ$2),GeoHis!$A:$H,7,FALSE)=CE255,1,0)</f>
        <v>#N/A</v>
      </c>
      <c r="FR255" s="138" t="e">
        <f>IF(VLOOKUP(CONCATENATE(H255,F255,FR$2),GeoHis!$A:$H,7,FALSE)=CF255,1,0)</f>
        <v>#N/A</v>
      </c>
      <c r="FS255" s="138" t="e">
        <f>IF(VLOOKUP(CONCATENATE(H255,F255,FS$2),GeoHis!$A:$H,7,FALSE)=CG255,1,0)</f>
        <v>#N/A</v>
      </c>
      <c r="FT255" s="138" t="e">
        <f>IF(VLOOKUP(CONCATENATE(H255,F255,FT$2),GeoHis!$A:$H,7,FALSE)=CH255,1,0)</f>
        <v>#N/A</v>
      </c>
      <c r="FU255" s="138" t="e">
        <f>IF(VLOOKUP(CONCATENATE(H255,F255,FU$2),GeoHis!$A:$H,7,FALSE)=CI255,1,0)</f>
        <v>#N/A</v>
      </c>
      <c r="FV255" s="138" t="e">
        <f>IF(VLOOKUP(CONCATENATE(H255,F255,FV$2),GeoHis!$A:$H,7,FALSE)=CJ255,1,0)</f>
        <v>#N/A</v>
      </c>
      <c r="FW255" s="138" t="e">
        <f>IF(VLOOKUP(CONCATENATE(H255,F255,FW$2),GeoHis!$A:$H,7,FALSE)=CK255,1,0)</f>
        <v>#N/A</v>
      </c>
      <c r="FX255" s="138" t="e">
        <f>IF(VLOOKUP(CONCATENATE(H255,F255,FX$2),GeoHis!$A:$H,7,FALSE)=CL255,1,0)</f>
        <v>#N/A</v>
      </c>
      <c r="FY255" s="138" t="e">
        <f>IF(VLOOKUP(CONCATENATE(H255,F255,FY$2),GeoHis!$A:$H,7,FALSE)=CM255,1,0)</f>
        <v>#N/A</v>
      </c>
      <c r="FZ255" s="138" t="e">
        <f>IF(VLOOKUP(CONCATENATE(H255,F255,FZ$2),GeoHis!$A:$H,7,FALSE)=CN255,1,0)</f>
        <v>#N/A</v>
      </c>
      <c r="GA255" s="138" t="e">
        <f>IF(VLOOKUP(CONCATENATE(H255,F255,GA$2),GeoHis!$A:$H,7,FALSE)=CO255,1,0)</f>
        <v>#N/A</v>
      </c>
      <c r="GB255" s="138" t="e">
        <f>IF(VLOOKUP(CONCATENATE(H255,F255,GB$2),GeoHis!$A:$H,7,FALSE)=CP255,1,0)</f>
        <v>#N/A</v>
      </c>
      <c r="GC255" s="138" t="e">
        <f>IF(VLOOKUP(CONCATENATE(H255,F255,GC$2),GeoHis!$A:$H,7,FALSE)=CQ255,1,0)</f>
        <v>#N/A</v>
      </c>
      <c r="GD255" s="138" t="e">
        <f>IF(VLOOKUP(CONCATENATE(H255,F255,GD$2),GeoHis!$A:$H,7,FALSE)=CR255,1,0)</f>
        <v>#N/A</v>
      </c>
      <c r="GE255" s="135" t="str">
        <f t="shared" si="31"/>
        <v/>
      </c>
    </row>
    <row r="256" spans="1:187" x14ac:dyDescent="0.25">
      <c r="A256" s="127" t="str">
        <f>IF(C256="","",'Datos Generales'!$A$25)</f>
        <v/>
      </c>
      <c r="D256" s="126" t="str">
        <f t="shared" si="24"/>
        <v/>
      </c>
      <c r="E256" s="126">
        <f t="shared" si="25"/>
        <v>0</v>
      </c>
      <c r="F256" s="126" t="str">
        <f t="shared" si="26"/>
        <v/>
      </c>
      <c r="G256" s="126" t="str">
        <f>IF(C256="","",'Datos Generales'!$D$19)</f>
        <v/>
      </c>
      <c r="H256" s="21" t="str">
        <f>IF(C256="","",'Datos Generales'!$A$19)</f>
        <v/>
      </c>
      <c r="I256" s="126" t="str">
        <f>IF(C256="","",'Datos Generales'!$A$7)</f>
        <v/>
      </c>
      <c r="J256" s="21" t="str">
        <f>IF(C256="","",'Datos Generales'!$A$13)</f>
        <v/>
      </c>
      <c r="K256" s="21" t="str">
        <f>IF(C256="","",'Datos Generales'!$A$10)</f>
        <v/>
      </c>
      <c r="CS256" s="142" t="str">
        <f t="shared" si="27"/>
        <v/>
      </c>
      <c r="CT256" s="142" t="str">
        <f t="shared" si="28"/>
        <v/>
      </c>
      <c r="CU256" s="142" t="str">
        <f t="shared" si="29"/>
        <v/>
      </c>
      <c r="CV256" s="142" t="str">
        <f t="shared" si="30"/>
        <v/>
      </c>
      <c r="CW256" s="142" t="str">
        <f>IF(C256="","",IF('Datos Generales'!$A$19=1,AVERAGE(FP256:GD256),AVERAGE(Captura!FP256:FY256)))</f>
        <v/>
      </c>
      <c r="CX256" s="138" t="e">
        <f>IF(VLOOKUP(CONCATENATE($H$4,$F$4,CX$2),Español!$A:$H,7,FALSE)=L256,1,0)</f>
        <v>#N/A</v>
      </c>
      <c r="CY256" s="138" t="e">
        <f>IF(VLOOKUP(CONCATENATE(H256,F256,CY$2),Español!$A:$H,7,FALSE)=M256,1,0)</f>
        <v>#N/A</v>
      </c>
      <c r="CZ256" s="138" t="e">
        <f>IF(VLOOKUP(CONCATENATE(H256,F256,CZ$2),Español!$A:$H,7,FALSE)=N256,1,0)</f>
        <v>#N/A</v>
      </c>
      <c r="DA256" s="138" t="e">
        <f>IF(VLOOKUP(CONCATENATE(H256,F256,DA$2),Español!$A:$H,7,FALSE)=O256,1,0)</f>
        <v>#N/A</v>
      </c>
      <c r="DB256" s="138" t="e">
        <f>IF(VLOOKUP(CONCATENATE(H256,F256,DB$2),Español!$A:$H,7,FALSE)=P256,1,0)</f>
        <v>#N/A</v>
      </c>
      <c r="DC256" s="138" t="e">
        <f>IF(VLOOKUP(CONCATENATE(H256,F256,DC$2),Español!$A:$H,7,FALSE)=Q256,1,0)</f>
        <v>#N/A</v>
      </c>
      <c r="DD256" s="138" t="e">
        <f>IF(VLOOKUP(CONCATENATE(H256,F256,DD$2),Español!$A:$H,7,FALSE)=R256,1,0)</f>
        <v>#N/A</v>
      </c>
      <c r="DE256" s="138" t="e">
        <f>IF(VLOOKUP(CONCATENATE(H256,F256,DE$2),Español!$A:$H,7,FALSE)=S256,1,0)</f>
        <v>#N/A</v>
      </c>
      <c r="DF256" s="138" t="e">
        <f>IF(VLOOKUP(CONCATENATE(H256,F256,DF$2),Español!$A:$H,7,FALSE)=T256,1,0)</f>
        <v>#N/A</v>
      </c>
      <c r="DG256" s="138" t="e">
        <f>IF(VLOOKUP(CONCATENATE(H256,F256,DG$2),Español!$A:$H,7,FALSE)=U256,1,0)</f>
        <v>#N/A</v>
      </c>
      <c r="DH256" s="138" t="e">
        <f>IF(VLOOKUP(CONCATENATE(H256,F256,DH$2),Español!$A:$H,7,FALSE)=V256,1,0)</f>
        <v>#N/A</v>
      </c>
      <c r="DI256" s="138" t="e">
        <f>IF(VLOOKUP(CONCATENATE(H256,F256,DI$2),Español!$A:$H,7,FALSE)=W256,1,0)</f>
        <v>#N/A</v>
      </c>
      <c r="DJ256" s="138" t="e">
        <f>IF(VLOOKUP(CONCATENATE(H256,F256,DJ$2),Español!$A:$H,7,FALSE)=X256,1,0)</f>
        <v>#N/A</v>
      </c>
      <c r="DK256" s="138" t="e">
        <f>IF(VLOOKUP(CONCATENATE(H256,F256,DK$2),Español!$A:$H,7,FALSE)=Y256,1,0)</f>
        <v>#N/A</v>
      </c>
      <c r="DL256" s="138" t="e">
        <f>IF(VLOOKUP(CONCATENATE(H256,F256,DL$2),Español!$A:$H,7,FALSE)=Z256,1,0)</f>
        <v>#N/A</v>
      </c>
      <c r="DM256" s="138" t="e">
        <f>IF(VLOOKUP(CONCATENATE(H256,F256,DM$2),Español!$A:$H,7,FALSE)=AA256,1,0)</f>
        <v>#N/A</v>
      </c>
      <c r="DN256" s="138" t="e">
        <f>IF(VLOOKUP(CONCATENATE(H256,F256,DN$2),Español!$A:$H,7,FALSE)=AB256,1,0)</f>
        <v>#N/A</v>
      </c>
      <c r="DO256" s="138" t="e">
        <f>IF(VLOOKUP(CONCATENATE(H256,F256,DO$2),Español!$A:$H,7,FALSE)=AC256,1,0)</f>
        <v>#N/A</v>
      </c>
      <c r="DP256" s="138" t="e">
        <f>IF(VLOOKUP(CONCATENATE(H256,F256,DP$2),Español!$A:$H,7,FALSE)=AD256,1,0)</f>
        <v>#N/A</v>
      </c>
      <c r="DQ256" s="138" t="e">
        <f>IF(VLOOKUP(CONCATENATE(H256,F256,DQ$2),Español!$A:$H,7,FALSE)=AE256,1,0)</f>
        <v>#N/A</v>
      </c>
      <c r="DR256" s="138" t="e">
        <f>IF(VLOOKUP(CONCATENATE(H256,F256,DR$2),Inglés!$A:$H,7,FALSE)=AF256,1,0)</f>
        <v>#N/A</v>
      </c>
      <c r="DS256" s="138" t="e">
        <f>IF(VLOOKUP(CONCATENATE(H256,F256,DS$2),Inglés!$A:$H,7,FALSE)=AG256,1,0)</f>
        <v>#N/A</v>
      </c>
      <c r="DT256" s="138" t="e">
        <f>IF(VLOOKUP(CONCATENATE(H256,F256,DT$2),Inglés!$A:$H,7,FALSE)=AH256,1,0)</f>
        <v>#N/A</v>
      </c>
      <c r="DU256" s="138" t="e">
        <f>IF(VLOOKUP(CONCATENATE(H256,F256,DU$2),Inglés!$A:$H,7,FALSE)=AI256,1,0)</f>
        <v>#N/A</v>
      </c>
      <c r="DV256" s="138" t="e">
        <f>IF(VLOOKUP(CONCATENATE(H256,F256,DV$2),Inglés!$A:$H,7,FALSE)=AJ256,1,0)</f>
        <v>#N/A</v>
      </c>
      <c r="DW256" s="138" t="e">
        <f>IF(VLOOKUP(CONCATENATE(H256,F256,DW$2),Inglés!$A:$H,7,FALSE)=AK256,1,0)</f>
        <v>#N/A</v>
      </c>
      <c r="DX256" s="138" t="e">
        <f>IF(VLOOKUP(CONCATENATE(H256,F256,DX$2),Inglés!$A:$H,7,FALSE)=AL256,1,0)</f>
        <v>#N/A</v>
      </c>
      <c r="DY256" s="138" t="e">
        <f>IF(VLOOKUP(CONCATENATE(H256,F256,DY$2),Inglés!$A:$H,7,FALSE)=AM256,1,0)</f>
        <v>#N/A</v>
      </c>
      <c r="DZ256" s="138" t="e">
        <f>IF(VLOOKUP(CONCATENATE(H256,F256,DZ$2),Inglés!$A:$H,7,FALSE)=AN256,1,0)</f>
        <v>#N/A</v>
      </c>
      <c r="EA256" s="138" t="e">
        <f>IF(VLOOKUP(CONCATENATE(H256,F256,EA$2),Inglés!$A:$H,7,FALSE)=AO256,1,0)</f>
        <v>#N/A</v>
      </c>
      <c r="EB256" s="138" t="e">
        <f>IF(VLOOKUP(CONCATENATE(H256,F256,EB$2),Matemáticas!$A:$H,7,FALSE)=AP256,1,0)</f>
        <v>#N/A</v>
      </c>
      <c r="EC256" s="138" t="e">
        <f>IF(VLOOKUP(CONCATENATE(H256,F256,EC$2),Matemáticas!$A:$H,7,FALSE)=AQ256,1,0)</f>
        <v>#N/A</v>
      </c>
      <c r="ED256" s="138" t="e">
        <f>IF(VLOOKUP(CONCATENATE(H256,F256,ED$2),Matemáticas!$A:$H,7,FALSE)=AR256,1,0)</f>
        <v>#N/A</v>
      </c>
      <c r="EE256" s="138" t="e">
        <f>IF(VLOOKUP(CONCATENATE(H256,F256,EE$2),Matemáticas!$A:$H,7,FALSE)=AS256,1,0)</f>
        <v>#N/A</v>
      </c>
      <c r="EF256" s="138" t="e">
        <f>IF(VLOOKUP(CONCATENATE(H256,F256,EF$2),Matemáticas!$A:$H,7,FALSE)=AT256,1,0)</f>
        <v>#N/A</v>
      </c>
      <c r="EG256" s="138" t="e">
        <f>IF(VLOOKUP(CONCATENATE(H256,F256,EG$2),Matemáticas!$A:$H,7,FALSE)=AU256,1,0)</f>
        <v>#N/A</v>
      </c>
      <c r="EH256" s="138" t="e">
        <f>IF(VLOOKUP(CONCATENATE(H256,F256,EH$2),Matemáticas!$A:$H,7,FALSE)=AV256,1,0)</f>
        <v>#N/A</v>
      </c>
      <c r="EI256" s="138" t="e">
        <f>IF(VLOOKUP(CONCATENATE(H256,F256,EI$2),Matemáticas!$A:$H,7,FALSE)=AW256,1,0)</f>
        <v>#N/A</v>
      </c>
      <c r="EJ256" s="138" t="e">
        <f>IF(VLOOKUP(CONCATENATE(H256,F256,EJ$2),Matemáticas!$A:$H,7,FALSE)=AX256,1,0)</f>
        <v>#N/A</v>
      </c>
      <c r="EK256" s="138" t="e">
        <f>IF(VLOOKUP(CONCATENATE(H256,F256,EK$2),Matemáticas!$A:$H,7,FALSE)=AY256,1,0)</f>
        <v>#N/A</v>
      </c>
      <c r="EL256" s="138" t="e">
        <f>IF(VLOOKUP(CONCATENATE(H256,F256,EL$2),Matemáticas!$A:$H,7,FALSE)=AZ256,1,0)</f>
        <v>#N/A</v>
      </c>
      <c r="EM256" s="138" t="e">
        <f>IF(VLOOKUP(CONCATENATE(H256,F256,EM$2),Matemáticas!$A:$H,7,FALSE)=BA256,1,0)</f>
        <v>#N/A</v>
      </c>
      <c r="EN256" s="138" t="e">
        <f>IF(VLOOKUP(CONCATENATE(H256,F256,EN$2),Matemáticas!$A:$H,7,FALSE)=BB256,1,0)</f>
        <v>#N/A</v>
      </c>
      <c r="EO256" s="138" t="e">
        <f>IF(VLOOKUP(CONCATENATE(H256,F256,EO$2),Matemáticas!$A:$H,7,FALSE)=BC256,1,0)</f>
        <v>#N/A</v>
      </c>
      <c r="EP256" s="138" t="e">
        <f>IF(VLOOKUP(CONCATENATE(H256,F256,EP$2),Matemáticas!$A:$H,7,FALSE)=BD256,1,0)</f>
        <v>#N/A</v>
      </c>
      <c r="EQ256" s="138" t="e">
        <f>IF(VLOOKUP(CONCATENATE(H256,F256,EQ$2),Matemáticas!$A:$H,7,FALSE)=BE256,1,0)</f>
        <v>#N/A</v>
      </c>
      <c r="ER256" s="138" t="e">
        <f>IF(VLOOKUP(CONCATENATE(H256,F256,ER$2),Matemáticas!$A:$H,7,FALSE)=BF256,1,0)</f>
        <v>#N/A</v>
      </c>
      <c r="ES256" s="138" t="e">
        <f>IF(VLOOKUP(CONCATENATE(H256,F256,ES$2),Matemáticas!$A:$H,7,FALSE)=BG256,1,0)</f>
        <v>#N/A</v>
      </c>
      <c r="ET256" s="138" t="e">
        <f>IF(VLOOKUP(CONCATENATE(H256,F256,ET$2),Matemáticas!$A:$H,7,FALSE)=BH256,1,0)</f>
        <v>#N/A</v>
      </c>
      <c r="EU256" s="138" t="e">
        <f>IF(VLOOKUP(CONCATENATE(H256,F256,EU$2),Matemáticas!$A:$H,7,FALSE)=BI256,1,0)</f>
        <v>#N/A</v>
      </c>
      <c r="EV256" s="138" t="e">
        <f>IF(VLOOKUP(CONCATENATE(H256,F256,EV$2),Ciencias!$A:$H,7,FALSE)=BJ256,1,0)</f>
        <v>#N/A</v>
      </c>
      <c r="EW256" s="138" t="e">
        <f>IF(VLOOKUP(CONCATENATE(H256,F256,EW$2),Ciencias!$A:$H,7,FALSE)=BK256,1,0)</f>
        <v>#N/A</v>
      </c>
      <c r="EX256" s="138" t="e">
        <f>IF(VLOOKUP(CONCATENATE(H256,F256,EX$2),Ciencias!$A:$H,7,FALSE)=BL256,1,0)</f>
        <v>#N/A</v>
      </c>
      <c r="EY256" s="138" t="e">
        <f>IF(VLOOKUP(CONCATENATE(H256,F256,EY$2),Ciencias!$A:$H,7,FALSE)=BM256,1,0)</f>
        <v>#N/A</v>
      </c>
      <c r="EZ256" s="138" t="e">
        <f>IF(VLOOKUP(CONCATENATE(H256,F256,EZ$2),Ciencias!$A:$H,7,FALSE)=BN256,1,0)</f>
        <v>#N/A</v>
      </c>
      <c r="FA256" s="138" t="e">
        <f>IF(VLOOKUP(CONCATENATE(H256,F256,FA$2),Ciencias!$A:$H,7,FALSE)=BO256,1,0)</f>
        <v>#N/A</v>
      </c>
      <c r="FB256" s="138" t="e">
        <f>IF(VLOOKUP(CONCATENATE(H256,F256,FB$2),Ciencias!$A:$H,7,FALSE)=BP256,1,0)</f>
        <v>#N/A</v>
      </c>
      <c r="FC256" s="138" t="e">
        <f>IF(VLOOKUP(CONCATENATE(H256,F256,FC$2),Ciencias!$A:$H,7,FALSE)=BQ256,1,0)</f>
        <v>#N/A</v>
      </c>
      <c r="FD256" s="138" t="e">
        <f>IF(VLOOKUP(CONCATENATE(H256,F256,FD$2),Ciencias!$A:$H,7,FALSE)=BR256,1,0)</f>
        <v>#N/A</v>
      </c>
      <c r="FE256" s="138" t="e">
        <f>IF(VLOOKUP(CONCATENATE(H256,F256,FE$2),Ciencias!$A:$H,7,FALSE)=BS256,1,0)</f>
        <v>#N/A</v>
      </c>
      <c r="FF256" s="138" t="e">
        <f>IF(VLOOKUP(CONCATENATE(H256,F256,FF$2),Ciencias!$A:$H,7,FALSE)=BT256,1,0)</f>
        <v>#N/A</v>
      </c>
      <c r="FG256" s="138" t="e">
        <f>IF(VLOOKUP(CONCATENATE(H256,F256,FG$2),Ciencias!$A:$H,7,FALSE)=BU256,1,0)</f>
        <v>#N/A</v>
      </c>
      <c r="FH256" s="138" t="e">
        <f>IF(VLOOKUP(CONCATENATE(H256,F256,FH$2),Ciencias!$A:$H,7,FALSE)=BV256,1,0)</f>
        <v>#N/A</v>
      </c>
      <c r="FI256" s="138" t="e">
        <f>IF(VLOOKUP(CONCATENATE(H256,F256,FI$2),Ciencias!$A:$H,7,FALSE)=BW256,1,0)</f>
        <v>#N/A</v>
      </c>
      <c r="FJ256" s="138" t="e">
        <f>IF(VLOOKUP(CONCATENATE(H256,F256,FJ$2),Ciencias!$A:$H,7,FALSE)=BX256,1,0)</f>
        <v>#N/A</v>
      </c>
      <c r="FK256" s="138" t="e">
        <f>IF(VLOOKUP(CONCATENATE(H256,F256,FK$2),Ciencias!$A:$H,7,FALSE)=BY256,1,0)</f>
        <v>#N/A</v>
      </c>
      <c r="FL256" s="138" t="e">
        <f>IF(VLOOKUP(CONCATENATE(H256,F256,FL$2),Ciencias!$A:$H,7,FALSE)=BZ256,1,0)</f>
        <v>#N/A</v>
      </c>
      <c r="FM256" s="138" t="e">
        <f>IF(VLOOKUP(CONCATENATE(H256,F256,FM$2),Ciencias!$A:$H,7,FALSE)=CA256,1,0)</f>
        <v>#N/A</v>
      </c>
      <c r="FN256" s="138" t="e">
        <f>IF(VLOOKUP(CONCATENATE(H256,F256,FN$2),Ciencias!$A:$H,7,FALSE)=CB256,1,0)</f>
        <v>#N/A</v>
      </c>
      <c r="FO256" s="138" t="e">
        <f>IF(VLOOKUP(CONCATENATE(H256,F256,FO$2),Ciencias!$A:$H,7,FALSE)=CC256,1,0)</f>
        <v>#N/A</v>
      </c>
      <c r="FP256" s="138" t="e">
        <f>IF(VLOOKUP(CONCATENATE(H256,F256,FP$2),GeoHis!$A:$H,7,FALSE)=CD256,1,0)</f>
        <v>#N/A</v>
      </c>
      <c r="FQ256" s="138" t="e">
        <f>IF(VLOOKUP(CONCATENATE(H256,F256,FQ$2),GeoHis!$A:$H,7,FALSE)=CE256,1,0)</f>
        <v>#N/A</v>
      </c>
      <c r="FR256" s="138" t="e">
        <f>IF(VLOOKUP(CONCATENATE(H256,F256,FR$2),GeoHis!$A:$H,7,FALSE)=CF256,1,0)</f>
        <v>#N/A</v>
      </c>
      <c r="FS256" s="138" t="e">
        <f>IF(VLOOKUP(CONCATENATE(H256,F256,FS$2),GeoHis!$A:$H,7,FALSE)=CG256,1,0)</f>
        <v>#N/A</v>
      </c>
      <c r="FT256" s="138" t="e">
        <f>IF(VLOOKUP(CONCATENATE(H256,F256,FT$2),GeoHis!$A:$H,7,FALSE)=CH256,1,0)</f>
        <v>#N/A</v>
      </c>
      <c r="FU256" s="138" t="e">
        <f>IF(VLOOKUP(CONCATENATE(H256,F256,FU$2),GeoHis!$A:$H,7,FALSE)=CI256,1,0)</f>
        <v>#N/A</v>
      </c>
      <c r="FV256" s="138" t="e">
        <f>IF(VLOOKUP(CONCATENATE(H256,F256,FV$2),GeoHis!$A:$H,7,FALSE)=CJ256,1,0)</f>
        <v>#N/A</v>
      </c>
      <c r="FW256" s="138" t="e">
        <f>IF(VLOOKUP(CONCATENATE(H256,F256,FW$2),GeoHis!$A:$H,7,FALSE)=CK256,1,0)</f>
        <v>#N/A</v>
      </c>
      <c r="FX256" s="138" t="e">
        <f>IF(VLOOKUP(CONCATENATE(H256,F256,FX$2),GeoHis!$A:$H,7,FALSE)=CL256,1,0)</f>
        <v>#N/A</v>
      </c>
      <c r="FY256" s="138" t="e">
        <f>IF(VLOOKUP(CONCATENATE(H256,F256,FY$2),GeoHis!$A:$H,7,FALSE)=CM256,1,0)</f>
        <v>#N/A</v>
      </c>
      <c r="FZ256" s="138" t="e">
        <f>IF(VLOOKUP(CONCATENATE(H256,F256,FZ$2),GeoHis!$A:$H,7,FALSE)=CN256,1,0)</f>
        <v>#N/A</v>
      </c>
      <c r="GA256" s="138" t="e">
        <f>IF(VLOOKUP(CONCATENATE(H256,F256,GA$2),GeoHis!$A:$H,7,FALSE)=CO256,1,0)</f>
        <v>#N/A</v>
      </c>
      <c r="GB256" s="138" t="e">
        <f>IF(VLOOKUP(CONCATENATE(H256,F256,GB$2),GeoHis!$A:$H,7,FALSE)=CP256,1,0)</f>
        <v>#N/A</v>
      </c>
      <c r="GC256" s="138" t="e">
        <f>IF(VLOOKUP(CONCATENATE(H256,F256,GC$2),GeoHis!$A:$H,7,FALSE)=CQ256,1,0)</f>
        <v>#N/A</v>
      </c>
      <c r="GD256" s="138" t="e">
        <f>IF(VLOOKUP(CONCATENATE(H256,F256,GD$2),GeoHis!$A:$H,7,FALSE)=CR256,1,0)</f>
        <v>#N/A</v>
      </c>
      <c r="GE256" s="135" t="str">
        <f t="shared" si="31"/>
        <v/>
      </c>
    </row>
    <row r="257" spans="1:187" x14ac:dyDescent="0.25">
      <c r="A257" s="127" t="str">
        <f>IF(C257="","",'Datos Generales'!$A$25)</f>
        <v/>
      </c>
      <c r="D257" s="126" t="str">
        <f t="shared" si="24"/>
        <v/>
      </c>
      <c r="E257" s="126">
        <f t="shared" si="25"/>
        <v>0</v>
      </c>
      <c r="F257" s="126" t="str">
        <f t="shared" si="26"/>
        <v/>
      </c>
      <c r="G257" s="126" t="str">
        <f>IF(C257="","",'Datos Generales'!$D$19)</f>
        <v/>
      </c>
      <c r="H257" s="21" t="str">
        <f>IF(C257="","",'Datos Generales'!$A$19)</f>
        <v/>
      </c>
      <c r="I257" s="126" t="str">
        <f>IF(C257="","",'Datos Generales'!$A$7)</f>
        <v/>
      </c>
      <c r="J257" s="21" t="str">
        <f>IF(C257="","",'Datos Generales'!$A$13)</f>
        <v/>
      </c>
      <c r="K257" s="21" t="str">
        <f>IF(C257="","",'Datos Generales'!$A$10)</f>
        <v/>
      </c>
      <c r="CS257" s="142" t="str">
        <f t="shared" si="27"/>
        <v/>
      </c>
      <c r="CT257" s="142" t="str">
        <f t="shared" si="28"/>
        <v/>
      </c>
      <c r="CU257" s="142" t="str">
        <f t="shared" si="29"/>
        <v/>
      </c>
      <c r="CV257" s="142" t="str">
        <f t="shared" si="30"/>
        <v/>
      </c>
      <c r="CW257" s="142" t="str">
        <f>IF(C257="","",IF('Datos Generales'!$A$19=1,AVERAGE(FP257:GD257),AVERAGE(Captura!FP257:FY257)))</f>
        <v/>
      </c>
      <c r="CX257" s="138" t="e">
        <f>IF(VLOOKUP(CONCATENATE($H$4,$F$4,CX$2),Español!$A:$H,7,FALSE)=L257,1,0)</f>
        <v>#N/A</v>
      </c>
      <c r="CY257" s="138" t="e">
        <f>IF(VLOOKUP(CONCATENATE(H257,F257,CY$2),Español!$A:$H,7,FALSE)=M257,1,0)</f>
        <v>#N/A</v>
      </c>
      <c r="CZ257" s="138" t="e">
        <f>IF(VLOOKUP(CONCATENATE(H257,F257,CZ$2),Español!$A:$H,7,FALSE)=N257,1,0)</f>
        <v>#N/A</v>
      </c>
      <c r="DA257" s="138" t="e">
        <f>IF(VLOOKUP(CONCATENATE(H257,F257,DA$2),Español!$A:$H,7,FALSE)=O257,1,0)</f>
        <v>#N/A</v>
      </c>
      <c r="DB257" s="138" t="e">
        <f>IF(VLOOKUP(CONCATENATE(H257,F257,DB$2),Español!$A:$H,7,FALSE)=P257,1,0)</f>
        <v>#N/A</v>
      </c>
      <c r="DC257" s="138" t="e">
        <f>IF(VLOOKUP(CONCATENATE(H257,F257,DC$2),Español!$A:$H,7,FALSE)=Q257,1,0)</f>
        <v>#N/A</v>
      </c>
      <c r="DD257" s="138" t="e">
        <f>IF(VLOOKUP(CONCATENATE(H257,F257,DD$2),Español!$A:$H,7,FALSE)=R257,1,0)</f>
        <v>#N/A</v>
      </c>
      <c r="DE257" s="138" t="e">
        <f>IF(VLOOKUP(CONCATENATE(H257,F257,DE$2),Español!$A:$H,7,FALSE)=S257,1,0)</f>
        <v>#N/A</v>
      </c>
      <c r="DF257" s="138" t="e">
        <f>IF(VLOOKUP(CONCATENATE(H257,F257,DF$2),Español!$A:$H,7,FALSE)=T257,1,0)</f>
        <v>#N/A</v>
      </c>
      <c r="DG257" s="138" t="e">
        <f>IF(VLOOKUP(CONCATENATE(H257,F257,DG$2),Español!$A:$H,7,FALSE)=U257,1,0)</f>
        <v>#N/A</v>
      </c>
      <c r="DH257" s="138" t="e">
        <f>IF(VLOOKUP(CONCATENATE(H257,F257,DH$2),Español!$A:$H,7,FALSE)=V257,1,0)</f>
        <v>#N/A</v>
      </c>
      <c r="DI257" s="138" t="e">
        <f>IF(VLOOKUP(CONCATENATE(H257,F257,DI$2),Español!$A:$H,7,FALSE)=W257,1,0)</f>
        <v>#N/A</v>
      </c>
      <c r="DJ257" s="138" t="e">
        <f>IF(VLOOKUP(CONCATENATE(H257,F257,DJ$2),Español!$A:$H,7,FALSE)=X257,1,0)</f>
        <v>#N/A</v>
      </c>
      <c r="DK257" s="138" t="e">
        <f>IF(VLOOKUP(CONCATENATE(H257,F257,DK$2),Español!$A:$H,7,FALSE)=Y257,1,0)</f>
        <v>#N/A</v>
      </c>
      <c r="DL257" s="138" t="e">
        <f>IF(VLOOKUP(CONCATENATE(H257,F257,DL$2),Español!$A:$H,7,FALSE)=Z257,1,0)</f>
        <v>#N/A</v>
      </c>
      <c r="DM257" s="138" t="e">
        <f>IF(VLOOKUP(CONCATENATE(H257,F257,DM$2),Español!$A:$H,7,FALSE)=AA257,1,0)</f>
        <v>#N/A</v>
      </c>
      <c r="DN257" s="138" t="e">
        <f>IF(VLOOKUP(CONCATENATE(H257,F257,DN$2),Español!$A:$H,7,FALSE)=AB257,1,0)</f>
        <v>#N/A</v>
      </c>
      <c r="DO257" s="138" t="e">
        <f>IF(VLOOKUP(CONCATENATE(H257,F257,DO$2),Español!$A:$H,7,FALSE)=AC257,1,0)</f>
        <v>#N/A</v>
      </c>
      <c r="DP257" s="138" t="e">
        <f>IF(VLOOKUP(CONCATENATE(H257,F257,DP$2),Español!$A:$H,7,FALSE)=AD257,1,0)</f>
        <v>#N/A</v>
      </c>
      <c r="DQ257" s="138" t="e">
        <f>IF(VLOOKUP(CONCATENATE(H257,F257,DQ$2),Español!$A:$H,7,FALSE)=AE257,1,0)</f>
        <v>#N/A</v>
      </c>
      <c r="DR257" s="138" t="e">
        <f>IF(VLOOKUP(CONCATENATE(H257,F257,DR$2),Inglés!$A:$H,7,FALSE)=AF257,1,0)</f>
        <v>#N/A</v>
      </c>
      <c r="DS257" s="138" t="e">
        <f>IF(VLOOKUP(CONCATENATE(H257,F257,DS$2),Inglés!$A:$H,7,FALSE)=AG257,1,0)</f>
        <v>#N/A</v>
      </c>
      <c r="DT257" s="138" t="e">
        <f>IF(VLOOKUP(CONCATENATE(H257,F257,DT$2),Inglés!$A:$H,7,FALSE)=AH257,1,0)</f>
        <v>#N/A</v>
      </c>
      <c r="DU257" s="138" t="e">
        <f>IF(VLOOKUP(CONCATENATE(H257,F257,DU$2),Inglés!$A:$H,7,FALSE)=AI257,1,0)</f>
        <v>#N/A</v>
      </c>
      <c r="DV257" s="138" t="e">
        <f>IF(VLOOKUP(CONCATENATE(H257,F257,DV$2),Inglés!$A:$H,7,FALSE)=AJ257,1,0)</f>
        <v>#N/A</v>
      </c>
      <c r="DW257" s="138" t="e">
        <f>IF(VLOOKUP(CONCATENATE(H257,F257,DW$2),Inglés!$A:$H,7,FALSE)=AK257,1,0)</f>
        <v>#N/A</v>
      </c>
      <c r="DX257" s="138" t="e">
        <f>IF(VLOOKUP(CONCATENATE(H257,F257,DX$2),Inglés!$A:$H,7,FALSE)=AL257,1,0)</f>
        <v>#N/A</v>
      </c>
      <c r="DY257" s="138" t="e">
        <f>IF(VLOOKUP(CONCATENATE(H257,F257,DY$2),Inglés!$A:$H,7,FALSE)=AM257,1,0)</f>
        <v>#N/A</v>
      </c>
      <c r="DZ257" s="138" t="e">
        <f>IF(VLOOKUP(CONCATENATE(H257,F257,DZ$2),Inglés!$A:$H,7,FALSE)=AN257,1,0)</f>
        <v>#N/A</v>
      </c>
      <c r="EA257" s="138" t="e">
        <f>IF(VLOOKUP(CONCATENATE(H257,F257,EA$2),Inglés!$A:$H,7,FALSE)=AO257,1,0)</f>
        <v>#N/A</v>
      </c>
      <c r="EB257" s="138" t="e">
        <f>IF(VLOOKUP(CONCATENATE(H257,F257,EB$2),Matemáticas!$A:$H,7,FALSE)=AP257,1,0)</f>
        <v>#N/A</v>
      </c>
      <c r="EC257" s="138" t="e">
        <f>IF(VLOOKUP(CONCATENATE(H257,F257,EC$2),Matemáticas!$A:$H,7,FALSE)=AQ257,1,0)</f>
        <v>#N/A</v>
      </c>
      <c r="ED257" s="138" t="e">
        <f>IF(VLOOKUP(CONCATENATE(H257,F257,ED$2),Matemáticas!$A:$H,7,FALSE)=AR257,1,0)</f>
        <v>#N/A</v>
      </c>
      <c r="EE257" s="138" t="e">
        <f>IF(VLOOKUP(CONCATENATE(H257,F257,EE$2),Matemáticas!$A:$H,7,FALSE)=AS257,1,0)</f>
        <v>#N/A</v>
      </c>
      <c r="EF257" s="138" t="e">
        <f>IF(VLOOKUP(CONCATENATE(H257,F257,EF$2),Matemáticas!$A:$H,7,FALSE)=AT257,1,0)</f>
        <v>#N/A</v>
      </c>
      <c r="EG257" s="138" t="e">
        <f>IF(VLOOKUP(CONCATENATE(H257,F257,EG$2),Matemáticas!$A:$H,7,FALSE)=AU257,1,0)</f>
        <v>#N/A</v>
      </c>
      <c r="EH257" s="138" t="e">
        <f>IF(VLOOKUP(CONCATENATE(H257,F257,EH$2),Matemáticas!$A:$H,7,FALSE)=AV257,1,0)</f>
        <v>#N/A</v>
      </c>
      <c r="EI257" s="138" t="e">
        <f>IF(VLOOKUP(CONCATENATE(H257,F257,EI$2),Matemáticas!$A:$H,7,FALSE)=AW257,1,0)</f>
        <v>#N/A</v>
      </c>
      <c r="EJ257" s="138" t="e">
        <f>IF(VLOOKUP(CONCATENATE(H257,F257,EJ$2),Matemáticas!$A:$H,7,FALSE)=AX257,1,0)</f>
        <v>#N/A</v>
      </c>
      <c r="EK257" s="138" t="e">
        <f>IF(VLOOKUP(CONCATENATE(H257,F257,EK$2),Matemáticas!$A:$H,7,FALSE)=AY257,1,0)</f>
        <v>#N/A</v>
      </c>
      <c r="EL257" s="138" t="e">
        <f>IF(VLOOKUP(CONCATENATE(H257,F257,EL$2),Matemáticas!$A:$H,7,FALSE)=AZ257,1,0)</f>
        <v>#N/A</v>
      </c>
      <c r="EM257" s="138" t="e">
        <f>IF(VLOOKUP(CONCATENATE(H257,F257,EM$2),Matemáticas!$A:$H,7,FALSE)=BA257,1,0)</f>
        <v>#N/A</v>
      </c>
      <c r="EN257" s="138" t="e">
        <f>IF(VLOOKUP(CONCATENATE(H257,F257,EN$2),Matemáticas!$A:$H,7,FALSE)=BB257,1,0)</f>
        <v>#N/A</v>
      </c>
      <c r="EO257" s="138" t="e">
        <f>IF(VLOOKUP(CONCATENATE(H257,F257,EO$2),Matemáticas!$A:$H,7,FALSE)=BC257,1,0)</f>
        <v>#N/A</v>
      </c>
      <c r="EP257" s="138" t="e">
        <f>IF(VLOOKUP(CONCATENATE(H257,F257,EP$2),Matemáticas!$A:$H,7,FALSE)=BD257,1,0)</f>
        <v>#N/A</v>
      </c>
      <c r="EQ257" s="138" t="e">
        <f>IF(VLOOKUP(CONCATENATE(H257,F257,EQ$2),Matemáticas!$A:$H,7,FALSE)=BE257,1,0)</f>
        <v>#N/A</v>
      </c>
      <c r="ER257" s="138" t="e">
        <f>IF(VLOOKUP(CONCATENATE(H257,F257,ER$2),Matemáticas!$A:$H,7,FALSE)=BF257,1,0)</f>
        <v>#N/A</v>
      </c>
      <c r="ES257" s="138" t="e">
        <f>IF(VLOOKUP(CONCATENATE(H257,F257,ES$2),Matemáticas!$A:$H,7,FALSE)=BG257,1,0)</f>
        <v>#N/A</v>
      </c>
      <c r="ET257" s="138" t="e">
        <f>IF(VLOOKUP(CONCATENATE(H257,F257,ET$2),Matemáticas!$A:$H,7,FALSE)=BH257,1,0)</f>
        <v>#N/A</v>
      </c>
      <c r="EU257" s="138" t="e">
        <f>IF(VLOOKUP(CONCATENATE(H257,F257,EU$2),Matemáticas!$A:$H,7,FALSE)=BI257,1,0)</f>
        <v>#N/A</v>
      </c>
      <c r="EV257" s="138" t="e">
        <f>IF(VLOOKUP(CONCATENATE(H257,F257,EV$2),Ciencias!$A:$H,7,FALSE)=BJ257,1,0)</f>
        <v>#N/A</v>
      </c>
      <c r="EW257" s="138" t="e">
        <f>IF(VLOOKUP(CONCATENATE(H257,F257,EW$2),Ciencias!$A:$H,7,FALSE)=BK257,1,0)</f>
        <v>#N/A</v>
      </c>
      <c r="EX257" s="138" t="e">
        <f>IF(VLOOKUP(CONCATENATE(H257,F257,EX$2),Ciencias!$A:$H,7,FALSE)=BL257,1,0)</f>
        <v>#N/A</v>
      </c>
      <c r="EY257" s="138" t="e">
        <f>IF(VLOOKUP(CONCATENATE(H257,F257,EY$2),Ciencias!$A:$H,7,FALSE)=BM257,1,0)</f>
        <v>#N/A</v>
      </c>
      <c r="EZ257" s="138" t="e">
        <f>IF(VLOOKUP(CONCATENATE(H257,F257,EZ$2),Ciencias!$A:$H,7,FALSE)=BN257,1,0)</f>
        <v>#N/A</v>
      </c>
      <c r="FA257" s="138" t="e">
        <f>IF(VLOOKUP(CONCATENATE(H257,F257,FA$2),Ciencias!$A:$H,7,FALSE)=BO257,1,0)</f>
        <v>#N/A</v>
      </c>
      <c r="FB257" s="138" t="e">
        <f>IF(VLOOKUP(CONCATENATE(H257,F257,FB$2),Ciencias!$A:$H,7,FALSE)=BP257,1,0)</f>
        <v>#N/A</v>
      </c>
      <c r="FC257" s="138" t="e">
        <f>IF(VLOOKUP(CONCATENATE(H257,F257,FC$2),Ciencias!$A:$H,7,FALSE)=BQ257,1,0)</f>
        <v>#N/A</v>
      </c>
      <c r="FD257" s="138" t="e">
        <f>IF(VLOOKUP(CONCATENATE(H257,F257,FD$2),Ciencias!$A:$H,7,FALSE)=BR257,1,0)</f>
        <v>#N/A</v>
      </c>
      <c r="FE257" s="138" t="e">
        <f>IF(VLOOKUP(CONCATENATE(H257,F257,FE$2),Ciencias!$A:$H,7,FALSE)=BS257,1,0)</f>
        <v>#N/A</v>
      </c>
      <c r="FF257" s="138" t="e">
        <f>IF(VLOOKUP(CONCATENATE(H257,F257,FF$2),Ciencias!$A:$H,7,FALSE)=BT257,1,0)</f>
        <v>#N/A</v>
      </c>
      <c r="FG257" s="138" t="e">
        <f>IF(VLOOKUP(CONCATENATE(H257,F257,FG$2),Ciencias!$A:$H,7,FALSE)=BU257,1,0)</f>
        <v>#N/A</v>
      </c>
      <c r="FH257" s="138" t="e">
        <f>IF(VLOOKUP(CONCATENATE(H257,F257,FH$2),Ciencias!$A:$H,7,FALSE)=BV257,1,0)</f>
        <v>#N/A</v>
      </c>
      <c r="FI257" s="138" t="e">
        <f>IF(VLOOKUP(CONCATENATE(H257,F257,FI$2),Ciencias!$A:$H,7,FALSE)=BW257,1,0)</f>
        <v>#N/A</v>
      </c>
      <c r="FJ257" s="138" t="e">
        <f>IF(VLOOKUP(CONCATENATE(H257,F257,FJ$2),Ciencias!$A:$H,7,FALSE)=BX257,1,0)</f>
        <v>#N/A</v>
      </c>
      <c r="FK257" s="138" t="e">
        <f>IF(VLOOKUP(CONCATENATE(H257,F257,FK$2),Ciencias!$A:$H,7,FALSE)=BY257,1,0)</f>
        <v>#N/A</v>
      </c>
      <c r="FL257" s="138" t="e">
        <f>IF(VLOOKUP(CONCATENATE(H257,F257,FL$2),Ciencias!$A:$H,7,FALSE)=BZ257,1,0)</f>
        <v>#N/A</v>
      </c>
      <c r="FM257" s="138" t="e">
        <f>IF(VLOOKUP(CONCATENATE(H257,F257,FM$2),Ciencias!$A:$H,7,FALSE)=CA257,1,0)</f>
        <v>#N/A</v>
      </c>
      <c r="FN257" s="138" t="e">
        <f>IF(VLOOKUP(CONCATENATE(H257,F257,FN$2),Ciencias!$A:$H,7,FALSE)=CB257,1,0)</f>
        <v>#N/A</v>
      </c>
      <c r="FO257" s="138" t="e">
        <f>IF(VLOOKUP(CONCATENATE(H257,F257,FO$2),Ciencias!$A:$H,7,FALSE)=CC257,1,0)</f>
        <v>#N/A</v>
      </c>
      <c r="FP257" s="138" t="e">
        <f>IF(VLOOKUP(CONCATENATE(H257,F257,FP$2),GeoHis!$A:$H,7,FALSE)=CD257,1,0)</f>
        <v>#N/A</v>
      </c>
      <c r="FQ257" s="138" t="e">
        <f>IF(VLOOKUP(CONCATENATE(H257,F257,FQ$2),GeoHis!$A:$H,7,FALSE)=CE257,1,0)</f>
        <v>#N/A</v>
      </c>
      <c r="FR257" s="138" t="e">
        <f>IF(VLOOKUP(CONCATENATE(H257,F257,FR$2),GeoHis!$A:$H,7,FALSE)=CF257,1,0)</f>
        <v>#N/A</v>
      </c>
      <c r="FS257" s="138" t="e">
        <f>IF(VLOOKUP(CONCATENATE(H257,F257,FS$2),GeoHis!$A:$H,7,FALSE)=CG257,1,0)</f>
        <v>#N/A</v>
      </c>
      <c r="FT257" s="138" t="e">
        <f>IF(VLOOKUP(CONCATENATE(H257,F257,FT$2),GeoHis!$A:$H,7,FALSE)=CH257,1,0)</f>
        <v>#N/A</v>
      </c>
      <c r="FU257" s="138" t="e">
        <f>IF(VLOOKUP(CONCATENATE(H257,F257,FU$2),GeoHis!$A:$H,7,FALSE)=CI257,1,0)</f>
        <v>#N/A</v>
      </c>
      <c r="FV257" s="138" t="e">
        <f>IF(VLOOKUP(CONCATENATE(H257,F257,FV$2),GeoHis!$A:$H,7,FALSE)=CJ257,1,0)</f>
        <v>#N/A</v>
      </c>
      <c r="FW257" s="138" t="e">
        <f>IF(VLOOKUP(CONCATENATE(H257,F257,FW$2),GeoHis!$A:$H,7,FALSE)=CK257,1,0)</f>
        <v>#N/A</v>
      </c>
      <c r="FX257" s="138" t="e">
        <f>IF(VLOOKUP(CONCATENATE(H257,F257,FX$2),GeoHis!$A:$H,7,FALSE)=CL257,1,0)</f>
        <v>#N/A</v>
      </c>
      <c r="FY257" s="138" t="e">
        <f>IF(VLOOKUP(CONCATENATE(H257,F257,FY$2),GeoHis!$A:$H,7,FALSE)=CM257,1,0)</f>
        <v>#N/A</v>
      </c>
      <c r="FZ257" s="138" t="e">
        <f>IF(VLOOKUP(CONCATENATE(H257,F257,FZ$2),GeoHis!$A:$H,7,FALSE)=CN257,1,0)</f>
        <v>#N/A</v>
      </c>
      <c r="GA257" s="138" t="e">
        <f>IF(VLOOKUP(CONCATENATE(H257,F257,GA$2),GeoHis!$A:$H,7,FALSE)=CO257,1,0)</f>
        <v>#N/A</v>
      </c>
      <c r="GB257" s="138" t="e">
        <f>IF(VLOOKUP(CONCATENATE(H257,F257,GB$2),GeoHis!$A:$H,7,FALSE)=CP257,1,0)</f>
        <v>#N/A</v>
      </c>
      <c r="GC257" s="138" t="e">
        <f>IF(VLOOKUP(CONCATENATE(H257,F257,GC$2),GeoHis!$A:$H,7,FALSE)=CQ257,1,0)</f>
        <v>#N/A</v>
      </c>
      <c r="GD257" s="138" t="e">
        <f>IF(VLOOKUP(CONCATENATE(H257,F257,GD$2),GeoHis!$A:$H,7,FALSE)=CR257,1,0)</f>
        <v>#N/A</v>
      </c>
      <c r="GE257" s="135" t="str">
        <f t="shared" si="31"/>
        <v/>
      </c>
    </row>
    <row r="258" spans="1:187" x14ac:dyDescent="0.25">
      <c r="A258" s="127" t="str">
        <f>IF(C258="","",'Datos Generales'!$A$25)</f>
        <v/>
      </c>
      <c r="D258" s="126" t="str">
        <f t="shared" si="24"/>
        <v/>
      </c>
      <c r="E258" s="126">
        <f t="shared" si="25"/>
        <v>0</v>
      </c>
      <c r="F258" s="126" t="str">
        <f t="shared" si="26"/>
        <v/>
      </c>
      <c r="G258" s="126" t="str">
        <f>IF(C258="","",'Datos Generales'!$D$19)</f>
        <v/>
      </c>
      <c r="H258" s="21" t="str">
        <f>IF(C258="","",'Datos Generales'!$A$19)</f>
        <v/>
      </c>
      <c r="I258" s="126" t="str">
        <f>IF(C258="","",'Datos Generales'!$A$7)</f>
        <v/>
      </c>
      <c r="J258" s="21" t="str">
        <f>IF(C258="","",'Datos Generales'!$A$13)</f>
        <v/>
      </c>
      <c r="K258" s="21" t="str">
        <f>IF(C258="","",'Datos Generales'!$A$10)</f>
        <v/>
      </c>
      <c r="CS258" s="142" t="str">
        <f t="shared" si="27"/>
        <v/>
      </c>
      <c r="CT258" s="142" t="str">
        <f t="shared" si="28"/>
        <v/>
      </c>
      <c r="CU258" s="142" t="str">
        <f t="shared" si="29"/>
        <v/>
      </c>
      <c r="CV258" s="142" t="str">
        <f t="shared" si="30"/>
        <v/>
      </c>
      <c r="CW258" s="142" t="str">
        <f>IF(C258="","",IF('Datos Generales'!$A$19=1,AVERAGE(FP258:GD258),AVERAGE(Captura!FP258:FY258)))</f>
        <v/>
      </c>
      <c r="CX258" s="138" t="e">
        <f>IF(VLOOKUP(CONCATENATE($H$4,$F$4,CX$2),Español!$A:$H,7,FALSE)=L258,1,0)</f>
        <v>#N/A</v>
      </c>
      <c r="CY258" s="138" t="e">
        <f>IF(VLOOKUP(CONCATENATE(H258,F258,CY$2),Español!$A:$H,7,FALSE)=M258,1,0)</f>
        <v>#N/A</v>
      </c>
      <c r="CZ258" s="138" t="e">
        <f>IF(VLOOKUP(CONCATENATE(H258,F258,CZ$2),Español!$A:$H,7,FALSE)=N258,1,0)</f>
        <v>#N/A</v>
      </c>
      <c r="DA258" s="138" t="e">
        <f>IF(VLOOKUP(CONCATENATE(H258,F258,DA$2),Español!$A:$H,7,FALSE)=O258,1,0)</f>
        <v>#N/A</v>
      </c>
      <c r="DB258" s="138" t="e">
        <f>IF(VLOOKUP(CONCATENATE(H258,F258,DB$2),Español!$A:$H,7,FALSE)=P258,1,0)</f>
        <v>#N/A</v>
      </c>
      <c r="DC258" s="138" t="e">
        <f>IF(VLOOKUP(CONCATENATE(H258,F258,DC$2),Español!$A:$H,7,FALSE)=Q258,1,0)</f>
        <v>#N/A</v>
      </c>
      <c r="DD258" s="138" t="e">
        <f>IF(VLOOKUP(CONCATENATE(H258,F258,DD$2),Español!$A:$H,7,FALSE)=R258,1,0)</f>
        <v>#N/A</v>
      </c>
      <c r="DE258" s="138" t="e">
        <f>IF(VLOOKUP(CONCATENATE(H258,F258,DE$2),Español!$A:$H,7,FALSE)=S258,1,0)</f>
        <v>#N/A</v>
      </c>
      <c r="DF258" s="138" t="e">
        <f>IF(VLOOKUP(CONCATENATE(H258,F258,DF$2),Español!$A:$H,7,FALSE)=T258,1,0)</f>
        <v>#N/A</v>
      </c>
      <c r="DG258" s="138" t="e">
        <f>IF(VLOOKUP(CONCATENATE(H258,F258,DG$2),Español!$A:$H,7,FALSE)=U258,1,0)</f>
        <v>#N/A</v>
      </c>
      <c r="DH258" s="138" t="e">
        <f>IF(VLOOKUP(CONCATENATE(H258,F258,DH$2),Español!$A:$H,7,FALSE)=V258,1,0)</f>
        <v>#N/A</v>
      </c>
      <c r="DI258" s="138" t="e">
        <f>IF(VLOOKUP(CONCATENATE(H258,F258,DI$2),Español!$A:$H,7,FALSE)=W258,1,0)</f>
        <v>#N/A</v>
      </c>
      <c r="DJ258" s="138" t="e">
        <f>IF(VLOOKUP(CONCATENATE(H258,F258,DJ$2),Español!$A:$H,7,FALSE)=X258,1,0)</f>
        <v>#N/A</v>
      </c>
      <c r="DK258" s="138" t="e">
        <f>IF(VLOOKUP(CONCATENATE(H258,F258,DK$2),Español!$A:$H,7,FALSE)=Y258,1,0)</f>
        <v>#N/A</v>
      </c>
      <c r="DL258" s="138" t="e">
        <f>IF(VLOOKUP(CONCATENATE(H258,F258,DL$2),Español!$A:$H,7,FALSE)=Z258,1,0)</f>
        <v>#N/A</v>
      </c>
      <c r="DM258" s="138" t="e">
        <f>IF(VLOOKUP(CONCATENATE(H258,F258,DM$2),Español!$A:$H,7,FALSE)=AA258,1,0)</f>
        <v>#N/A</v>
      </c>
      <c r="DN258" s="138" t="e">
        <f>IF(VLOOKUP(CONCATENATE(H258,F258,DN$2),Español!$A:$H,7,FALSE)=AB258,1,0)</f>
        <v>#N/A</v>
      </c>
      <c r="DO258" s="138" t="e">
        <f>IF(VLOOKUP(CONCATENATE(H258,F258,DO$2),Español!$A:$H,7,FALSE)=AC258,1,0)</f>
        <v>#N/A</v>
      </c>
      <c r="DP258" s="138" t="e">
        <f>IF(VLOOKUP(CONCATENATE(H258,F258,DP$2),Español!$A:$H,7,FALSE)=AD258,1,0)</f>
        <v>#N/A</v>
      </c>
      <c r="DQ258" s="138" t="e">
        <f>IF(VLOOKUP(CONCATENATE(H258,F258,DQ$2),Español!$A:$H,7,FALSE)=AE258,1,0)</f>
        <v>#N/A</v>
      </c>
      <c r="DR258" s="138" t="e">
        <f>IF(VLOOKUP(CONCATENATE(H258,F258,DR$2),Inglés!$A:$H,7,FALSE)=AF258,1,0)</f>
        <v>#N/A</v>
      </c>
      <c r="DS258" s="138" t="e">
        <f>IF(VLOOKUP(CONCATENATE(H258,F258,DS$2),Inglés!$A:$H,7,FALSE)=AG258,1,0)</f>
        <v>#N/A</v>
      </c>
      <c r="DT258" s="138" t="e">
        <f>IF(VLOOKUP(CONCATENATE(H258,F258,DT$2),Inglés!$A:$H,7,FALSE)=AH258,1,0)</f>
        <v>#N/A</v>
      </c>
      <c r="DU258" s="138" t="e">
        <f>IF(VLOOKUP(CONCATENATE(H258,F258,DU$2),Inglés!$A:$H,7,FALSE)=AI258,1,0)</f>
        <v>#N/A</v>
      </c>
      <c r="DV258" s="138" t="e">
        <f>IF(VLOOKUP(CONCATENATE(H258,F258,DV$2),Inglés!$A:$H,7,FALSE)=AJ258,1,0)</f>
        <v>#N/A</v>
      </c>
      <c r="DW258" s="138" t="e">
        <f>IF(VLOOKUP(CONCATENATE(H258,F258,DW$2),Inglés!$A:$H,7,FALSE)=AK258,1,0)</f>
        <v>#N/A</v>
      </c>
      <c r="DX258" s="138" t="e">
        <f>IF(VLOOKUP(CONCATENATE(H258,F258,DX$2),Inglés!$A:$H,7,FALSE)=AL258,1,0)</f>
        <v>#N/A</v>
      </c>
      <c r="DY258" s="138" t="e">
        <f>IF(VLOOKUP(CONCATENATE(H258,F258,DY$2),Inglés!$A:$H,7,FALSE)=AM258,1,0)</f>
        <v>#N/A</v>
      </c>
      <c r="DZ258" s="138" t="e">
        <f>IF(VLOOKUP(CONCATENATE(H258,F258,DZ$2),Inglés!$A:$H,7,FALSE)=AN258,1,0)</f>
        <v>#N/A</v>
      </c>
      <c r="EA258" s="138" t="e">
        <f>IF(VLOOKUP(CONCATENATE(H258,F258,EA$2),Inglés!$A:$H,7,FALSE)=AO258,1,0)</f>
        <v>#N/A</v>
      </c>
      <c r="EB258" s="138" t="e">
        <f>IF(VLOOKUP(CONCATENATE(H258,F258,EB$2),Matemáticas!$A:$H,7,FALSE)=AP258,1,0)</f>
        <v>#N/A</v>
      </c>
      <c r="EC258" s="138" t="e">
        <f>IF(VLOOKUP(CONCATENATE(H258,F258,EC$2),Matemáticas!$A:$H,7,FALSE)=AQ258,1,0)</f>
        <v>#N/A</v>
      </c>
      <c r="ED258" s="138" t="e">
        <f>IF(VLOOKUP(CONCATENATE(H258,F258,ED$2),Matemáticas!$A:$H,7,FALSE)=AR258,1,0)</f>
        <v>#N/A</v>
      </c>
      <c r="EE258" s="138" t="e">
        <f>IF(VLOOKUP(CONCATENATE(H258,F258,EE$2),Matemáticas!$A:$H,7,FALSE)=AS258,1,0)</f>
        <v>#N/A</v>
      </c>
      <c r="EF258" s="138" t="e">
        <f>IF(VLOOKUP(CONCATENATE(H258,F258,EF$2),Matemáticas!$A:$H,7,FALSE)=AT258,1,0)</f>
        <v>#N/A</v>
      </c>
      <c r="EG258" s="138" t="e">
        <f>IF(VLOOKUP(CONCATENATE(H258,F258,EG$2),Matemáticas!$A:$H,7,FALSE)=AU258,1,0)</f>
        <v>#N/A</v>
      </c>
      <c r="EH258" s="138" t="e">
        <f>IF(VLOOKUP(CONCATENATE(H258,F258,EH$2),Matemáticas!$A:$H,7,FALSE)=AV258,1,0)</f>
        <v>#N/A</v>
      </c>
      <c r="EI258" s="138" t="e">
        <f>IF(VLOOKUP(CONCATENATE(H258,F258,EI$2),Matemáticas!$A:$H,7,FALSE)=AW258,1,0)</f>
        <v>#N/A</v>
      </c>
      <c r="EJ258" s="138" t="e">
        <f>IF(VLOOKUP(CONCATENATE(H258,F258,EJ$2),Matemáticas!$A:$H,7,FALSE)=AX258,1,0)</f>
        <v>#N/A</v>
      </c>
      <c r="EK258" s="138" t="e">
        <f>IF(VLOOKUP(CONCATENATE(H258,F258,EK$2),Matemáticas!$A:$H,7,FALSE)=AY258,1,0)</f>
        <v>#N/A</v>
      </c>
      <c r="EL258" s="138" t="e">
        <f>IF(VLOOKUP(CONCATENATE(H258,F258,EL$2),Matemáticas!$A:$H,7,FALSE)=AZ258,1,0)</f>
        <v>#N/A</v>
      </c>
      <c r="EM258" s="138" t="e">
        <f>IF(VLOOKUP(CONCATENATE(H258,F258,EM$2),Matemáticas!$A:$H,7,FALSE)=BA258,1,0)</f>
        <v>#N/A</v>
      </c>
      <c r="EN258" s="138" t="e">
        <f>IF(VLOOKUP(CONCATENATE(H258,F258,EN$2),Matemáticas!$A:$H,7,FALSE)=BB258,1,0)</f>
        <v>#N/A</v>
      </c>
      <c r="EO258" s="138" t="e">
        <f>IF(VLOOKUP(CONCATENATE(H258,F258,EO$2),Matemáticas!$A:$H,7,FALSE)=BC258,1,0)</f>
        <v>#N/A</v>
      </c>
      <c r="EP258" s="138" t="e">
        <f>IF(VLOOKUP(CONCATENATE(H258,F258,EP$2),Matemáticas!$A:$H,7,FALSE)=BD258,1,0)</f>
        <v>#N/A</v>
      </c>
      <c r="EQ258" s="138" t="e">
        <f>IF(VLOOKUP(CONCATENATE(H258,F258,EQ$2),Matemáticas!$A:$H,7,FALSE)=BE258,1,0)</f>
        <v>#N/A</v>
      </c>
      <c r="ER258" s="138" t="e">
        <f>IF(VLOOKUP(CONCATENATE(H258,F258,ER$2),Matemáticas!$A:$H,7,FALSE)=BF258,1,0)</f>
        <v>#N/A</v>
      </c>
      <c r="ES258" s="138" t="e">
        <f>IF(VLOOKUP(CONCATENATE(H258,F258,ES$2),Matemáticas!$A:$H,7,FALSE)=BG258,1,0)</f>
        <v>#N/A</v>
      </c>
      <c r="ET258" s="138" t="e">
        <f>IF(VLOOKUP(CONCATENATE(H258,F258,ET$2),Matemáticas!$A:$H,7,FALSE)=BH258,1,0)</f>
        <v>#N/A</v>
      </c>
      <c r="EU258" s="138" t="e">
        <f>IF(VLOOKUP(CONCATENATE(H258,F258,EU$2),Matemáticas!$A:$H,7,FALSE)=BI258,1,0)</f>
        <v>#N/A</v>
      </c>
      <c r="EV258" s="138" t="e">
        <f>IF(VLOOKUP(CONCATENATE(H258,F258,EV$2),Ciencias!$A:$H,7,FALSE)=BJ258,1,0)</f>
        <v>#N/A</v>
      </c>
      <c r="EW258" s="138" t="e">
        <f>IF(VLOOKUP(CONCATENATE(H258,F258,EW$2),Ciencias!$A:$H,7,FALSE)=BK258,1,0)</f>
        <v>#N/A</v>
      </c>
      <c r="EX258" s="138" t="e">
        <f>IF(VLOOKUP(CONCATENATE(H258,F258,EX$2),Ciencias!$A:$H,7,FALSE)=BL258,1,0)</f>
        <v>#N/A</v>
      </c>
      <c r="EY258" s="138" t="e">
        <f>IF(VLOOKUP(CONCATENATE(H258,F258,EY$2),Ciencias!$A:$H,7,FALSE)=BM258,1,0)</f>
        <v>#N/A</v>
      </c>
      <c r="EZ258" s="138" t="e">
        <f>IF(VLOOKUP(CONCATENATE(H258,F258,EZ$2),Ciencias!$A:$H,7,FALSE)=BN258,1,0)</f>
        <v>#N/A</v>
      </c>
      <c r="FA258" s="138" t="e">
        <f>IF(VLOOKUP(CONCATENATE(H258,F258,FA$2),Ciencias!$A:$H,7,FALSE)=BO258,1,0)</f>
        <v>#N/A</v>
      </c>
      <c r="FB258" s="138" t="e">
        <f>IF(VLOOKUP(CONCATENATE(H258,F258,FB$2),Ciencias!$A:$H,7,FALSE)=BP258,1,0)</f>
        <v>#N/A</v>
      </c>
      <c r="FC258" s="138" t="e">
        <f>IF(VLOOKUP(CONCATENATE(H258,F258,FC$2),Ciencias!$A:$H,7,FALSE)=BQ258,1,0)</f>
        <v>#N/A</v>
      </c>
      <c r="FD258" s="138" t="e">
        <f>IF(VLOOKUP(CONCATENATE(H258,F258,FD$2),Ciencias!$A:$H,7,FALSE)=BR258,1,0)</f>
        <v>#N/A</v>
      </c>
      <c r="FE258" s="138" t="e">
        <f>IF(VLOOKUP(CONCATENATE(H258,F258,FE$2),Ciencias!$A:$H,7,FALSE)=BS258,1,0)</f>
        <v>#N/A</v>
      </c>
      <c r="FF258" s="138" t="e">
        <f>IF(VLOOKUP(CONCATENATE(H258,F258,FF$2),Ciencias!$A:$H,7,FALSE)=BT258,1,0)</f>
        <v>#N/A</v>
      </c>
      <c r="FG258" s="138" t="e">
        <f>IF(VLOOKUP(CONCATENATE(H258,F258,FG$2),Ciencias!$A:$H,7,FALSE)=BU258,1,0)</f>
        <v>#N/A</v>
      </c>
      <c r="FH258" s="138" t="e">
        <f>IF(VLOOKUP(CONCATENATE(H258,F258,FH$2),Ciencias!$A:$H,7,FALSE)=BV258,1,0)</f>
        <v>#N/A</v>
      </c>
      <c r="FI258" s="138" t="e">
        <f>IF(VLOOKUP(CONCATENATE(H258,F258,FI$2),Ciencias!$A:$H,7,FALSE)=BW258,1,0)</f>
        <v>#N/A</v>
      </c>
      <c r="FJ258" s="138" t="e">
        <f>IF(VLOOKUP(CONCATENATE(H258,F258,FJ$2),Ciencias!$A:$H,7,FALSE)=BX258,1,0)</f>
        <v>#N/A</v>
      </c>
      <c r="FK258" s="138" t="e">
        <f>IF(VLOOKUP(CONCATENATE(H258,F258,FK$2),Ciencias!$A:$H,7,FALSE)=BY258,1,0)</f>
        <v>#N/A</v>
      </c>
      <c r="FL258" s="138" t="e">
        <f>IF(VLOOKUP(CONCATENATE(H258,F258,FL$2),Ciencias!$A:$H,7,FALSE)=BZ258,1,0)</f>
        <v>#N/A</v>
      </c>
      <c r="FM258" s="138" t="e">
        <f>IF(VLOOKUP(CONCATENATE(H258,F258,FM$2),Ciencias!$A:$H,7,FALSE)=CA258,1,0)</f>
        <v>#N/A</v>
      </c>
      <c r="FN258" s="138" t="e">
        <f>IF(VLOOKUP(CONCATENATE(H258,F258,FN$2),Ciencias!$A:$H,7,FALSE)=CB258,1,0)</f>
        <v>#N/A</v>
      </c>
      <c r="FO258" s="138" t="e">
        <f>IF(VLOOKUP(CONCATENATE(H258,F258,FO$2),Ciencias!$A:$H,7,FALSE)=CC258,1,0)</f>
        <v>#N/A</v>
      </c>
      <c r="FP258" s="138" t="e">
        <f>IF(VLOOKUP(CONCATENATE(H258,F258,FP$2),GeoHis!$A:$H,7,FALSE)=CD258,1,0)</f>
        <v>#N/A</v>
      </c>
      <c r="FQ258" s="138" t="e">
        <f>IF(VLOOKUP(CONCATENATE(H258,F258,FQ$2),GeoHis!$A:$H,7,FALSE)=CE258,1,0)</f>
        <v>#N/A</v>
      </c>
      <c r="FR258" s="138" t="e">
        <f>IF(VLOOKUP(CONCATENATE(H258,F258,FR$2),GeoHis!$A:$H,7,FALSE)=CF258,1,0)</f>
        <v>#N/A</v>
      </c>
      <c r="FS258" s="138" t="e">
        <f>IF(VLOOKUP(CONCATENATE(H258,F258,FS$2),GeoHis!$A:$H,7,FALSE)=CG258,1,0)</f>
        <v>#N/A</v>
      </c>
      <c r="FT258" s="138" t="e">
        <f>IF(VLOOKUP(CONCATENATE(H258,F258,FT$2),GeoHis!$A:$H,7,FALSE)=CH258,1,0)</f>
        <v>#N/A</v>
      </c>
      <c r="FU258" s="138" t="e">
        <f>IF(VLOOKUP(CONCATENATE(H258,F258,FU$2),GeoHis!$A:$H,7,FALSE)=CI258,1,0)</f>
        <v>#N/A</v>
      </c>
      <c r="FV258" s="138" t="e">
        <f>IF(VLOOKUP(CONCATENATE(H258,F258,FV$2),GeoHis!$A:$H,7,FALSE)=CJ258,1,0)</f>
        <v>#N/A</v>
      </c>
      <c r="FW258" s="138" t="e">
        <f>IF(VLOOKUP(CONCATENATE(H258,F258,FW$2),GeoHis!$A:$H,7,FALSE)=CK258,1,0)</f>
        <v>#N/A</v>
      </c>
      <c r="FX258" s="138" t="e">
        <f>IF(VLOOKUP(CONCATENATE(H258,F258,FX$2),GeoHis!$A:$H,7,FALSE)=CL258,1,0)</f>
        <v>#N/A</v>
      </c>
      <c r="FY258" s="138" t="e">
        <f>IF(VLOOKUP(CONCATENATE(H258,F258,FY$2),GeoHis!$A:$H,7,FALSE)=CM258,1,0)</f>
        <v>#N/A</v>
      </c>
      <c r="FZ258" s="138" t="e">
        <f>IF(VLOOKUP(CONCATENATE(H258,F258,FZ$2),GeoHis!$A:$H,7,FALSE)=CN258,1,0)</f>
        <v>#N/A</v>
      </c>
      <c r="GA258" s="138" t="e">
        <f>IF(VLOOKUP(CONCATENATE(H258,F258,GA$2),GeoHis!$A:$H,7,FALSE)=CO258,1,0)</f>
        <v>#N/A</v>
      </c>
      <c r="GB258" s="138" t="e">
        <f>IF(VLOOKUP(CONCATENATE(H258,F258,GB$2),GeoHis!$A:$H,7,FALSE)=CP258,1,0)</f>
        <v>#N/A</v>
      </c>
      <c r="GC258" s="138" t="e">
        <f>IF(VLOOKUP(CONCATENATE(H258,F258,GC$2),GeoHis!$A:$H,7,FALSE)=CQ258,1,0)</f>
        <v>#N/A</v>
      </c>
      <c r="GD258" s="138" t="e">
        <f>IF(VLOOKUP(CONCATENATE(H258,F258,GD$2),GeoHis!$A:$H,7,FALSE)=CR258,1,0)</f>
        <v>#N/A</v>
      </c>
      <c r="GE258" s="135" t="str">
        <f t="shared" si="31"/>
        <v/>
      </c>
    </row>
    <row r="259" spans="1:187" x14ac:dyDescent="0.25">
      <c r="A259" s="127" t="str">
        <f>IF(C259="","",'Datos Generales'!$A$25)</f>
        <v/>
      </c>
      <c r="D259" s="126" t="str">
        <f t="shared" si="24"/>
        <v/>
      </c>
      <c r="E259" s="126">
        <f t="shared" si="25"/>
        <v>0</v>
      </c>
      <c r="F259" s="126" t="str">
        <f t="shared" si="26"/>
        <v/>
      </c>
      <c r="G259" s="126" t="str">
        <f>IF(C259="","",'Datos Generales'!$D$19)</f>
        <v/>
      </c>
      <c r="H259" s="21" t="str">
        <f>IF(C259="","",'Datos Generales'!$A$19)</f>
        <v/>
      </c>
      <c r="I259" s="126" t="str">
        <f>IF(C259="","",'Datos Generales'!$A$7)</f>
        <v/>
      </c>
      <c r="J259" s="21" t="str">
        <f>IF(C259="","",'Datos Generales'!$A$13)</f>
        <v/>
      </c>
      <c r="K259" s="21" t="str">
        <f>IF(C259="","",'Datos Generales'!$A$10)</f>
        <v/>
      </c>
      <c r="CS259" s="142" t="str">
        <f t="shared" si="27"/>
        <v/>
      </c>
      <c r="CT259" s="142" t="str">
        <f t="shared" si="28"/>
        <v/>
      </c>
      <c r="CU259" s="142" t="str">
        <f t="shared" si="29"/>
        <v/>
      </c>
      <c r="CV259" s="142" t="str">
        <f t="shared" si="30"/>
        <v/>
      </c>
      <c r="CW259" s="142" t="str">
        <f>IF(C259="","",IF('Datos Generales'!$A$19=1,AVERAGE(FP259:GD259),AVERAGE(Captura!FP259:FY259)))</f>
        <v/>
      </c>
      <c r="CX259" s="138" t="e">
        <f>IF(VLOOKUP(CONCATENATE($H$4,$F$4,CX$2),Español!$A:$H,7,FALSE)=L259,1,0)</f>
        <v>#N/A</v>
      </c>
      <c r="CY259" s="138" t="e">
        <f>IF(VLOOKUP(CONCATENATE(H259,F259,CY$2),Español!$A:$H,7,FALSE)=M259,1,0)</f>
        <v>#N/A</v>
      </c>
      <c r="CZ259" s="138" t="e">
        <f>IF(VLOOKUP(CONCATENATE(H259,F259,CZ$2),Español!$A:$H,7,FALSE)=N259,1,0)</f>
        <v>#N/A</v>
      </c>
      <c r="DA259" s="138" t="e">
        <f>IF(VLOOKUP(CONCATENATE(H259,F259,DA$2),Español!$A:$H,7,FALSE)=O259,1,0)</f>
        <v>#N/A</v>
      </c>
      <c r="DB259" s="138" t="e">
        <f>IF(VLOOKUP(CONCATENATE(H259,F259,DB$2),Español!$A:$H,7,FALSE)=P259,1,0)</f>
        <v>#N/A</v>
      </c>
      <c r="DC259" s="138" t="e">
        <f>IF(VLOOKUP(CONCATENATE(H259,F259,DC$2),Español!$A:$H,7,FALSE)=Q259,1,0)</f>
        <v>#N/A</v>
      </c>
      <c r="DD259" s="138" t="e">
        <f>IF(VLOOKUP(CONCATENATE(H259,F259,DD$2),Español!$A:$H,7,FALSE)=R259,1,0)</f>
        <v>#N/A</v>
      </c>
      <c r="DE259" s="138" t="e">
        <f>IF(VLOOKUP(CONCATENATE(H259,F259,DE$2),Español!$A:$H,7,FALSE)=S259,1,0)</f>
        <v>#N/A</v>
      </c>
      <c r="DF259" s="138" t="e">
        <f>IF(VLOOKUP(CONCATENATE(H259,F259,DF$2),Español!$A:$H,7,FALSE)=T259,1,0)</f>
        <v>#N/A</v>
      </c>
      <c r="DG259" s="138" t="e">
        <f>IF(VLOOKUP(CONCATENATE(H259,F259,DG$2),Español!$A:$H,7,FALSE)=U259,1,0)</f>
        <v>#N/A</v>
      </c>
      <c r="DH259" s="138" t="e">
        <f>IF(VLOOKUP(CONCATENATE(H259,F259,DH$2),Español!$A:$H,7,FALSE)=V259,1,0)</f>
        <v>#N/A</v>
      </c>
      <c r="DI259" s="138" t="e">
        <f>IF(VLOOKUP(CONCATENATE(H259,F259,DI$2),Español!$A:$H,7,FALSE)=W259,1,0)</f>
        <v>#N/A</v>
      </c>
      <c r="DJ259" s="138" t="e">
        <f>IF(VLOOKUP(CONCATENATE(H259,F259,DJ$2),Español!$A:$H,7,FALSE)=X259,1,0)</f>
        <v>#N/A</v>
      </c>
      <c r="DK259" s="138" t="e">
        <f>IF(VLOOKUP(CONCATENATE(H259,F259,DK$2),Español!$A:$H,7,FALSE)=Y259,1,0)</f>
        <v>#N/A</v>
      </c>
      <c r="DL259" s="138" t="e">
        <f>IF(VLOOKUP(CONCATENATE(H259,F259,DL$2),Español!$A:$H,7,FALSE)=Z259,1,0)</f>
        <v>#N/A</v>
      </c>
      <c r="DM259" s="138" t="e">
        <f>IF(VLOOKUP(CONCATENATE(H259,F259,DM$2),Español!$A:$H,7,FALSE)=AA259,1,0)</f>
        <v>#N/A</v>
      </c>
      <c r="DN259" s="138" t="e">
        <f>IF(VLOOKUP(CONCATENATE(H259,F259,DN$2),Español!$A:$H,7,FALSE)=AB259,1,0)</f>
        <v>#N/A</v>
      </c>
      <c r="DO259" s="138" t="e">
        <f>IF(VLOOKUP(CONCATENATE(H259,F259,DO$2),Español!$A:$H,7,FALSE)=AC259,1,0)</f>
        <v>#N/A</v>
      </c>
      <c r="DP259" s="138" t="e">
        <f>IF(VLOOKUP(CONCATENATE(H259,F259,DP$2),Español!$A:$H,7,FALSE)=AD259,1,0)</f>
        <v>#N/A</v>
      </c>
      <c r="DQ259" s="138" t="e">
        <f>IF(VLOOKUP(CONCATENATE(H259,F259,DQ$2),Español!$A:$H,7,FALSE)=AE259,1,0)</f>
        <v>#N/A</v>
      </c>
      <c r="DR259" s="138" t="e">
        <f>IF(VLOOKUP(CONCATENATE(H259,F259,DR$2),Inglés!$A:$H,7,FALSE)=AF259,1,0)</f>
        <v>#N/A</v>
      </c>
      <c r="DS259" s="138" t="e">
        <f>IF(VLOOKUP(CONCATENATE(H259,F259,DS$2),Inglés!$A:$H,7,FALSE)=AG259,1,0)</f>
        <v>#N/A</v>
      </c>
      <c r="DT259" s="138" t="e">
        <f>IF(VLOOKUP(CONCATENATE(H259,F259,DT$2),Inglés!$A:$H,7,FALSE)=AH259,1,0)</f>
        <v>#N/A</v>
      </c>
      <c r="DU259" s="138" t="e">
        <f>IF(VLOOKUP(CONCATENATE(H259,F259,DU$2),Inglés!$A:$H,7,FALSE)=AI259,1,0)</f>
        <v>#N/A</v>
      </c>
      <c r="DV259" s="138" t="e">
        <f>IF(VLOOKUP(CONCATENATE(H259,F259,DV$2),Inglés!$A:$H,7,FALSE)=AJ259,1,0)</f>
        <v>#N/A</v>
      </c>
      <c r="DW259" s="138" t="e">
        <f>IF(VLOOKUP(CONCATENATE(H259,F259,DW$2),Inglés!$A:$H,7,FALSE)=AK259,1,0)</f>
        <v>#N/A</v>
      </c>
      <c r="DX259" s="138" t="e">
        <f>IF(VLOOKUP(CONCATENATE(H259,F259,DX$2),Inglés!$A:$H,7,FALSE)=AL259,1,0)</f>
        <v>#N/A</v>
      </c>
      <c r="DY259" s="138" t="e">
        <f>IF(VLOOKUP(CONCATENATE(H259,F259,DY$2),Inglés!$A:$H,7,FALSE)=AM259,1,0)</f>
        <v>#N/A</v>
      </c>
      <c r="DZ259" s="138" t="e">
        <f>IF(VLOOKUP(CONCATENATE(H259,F259,DZ$2),Inglés!$A:$H,7,FALSE)=AN259,1,0)</f>
        <v>#N/A</v>
      </c>
      <c r="EA259" s="138" t="e">
        <f>IF(VLOOKUP(CONCATENATE(H259,F259,EA$2),Inglés!$A:$H,7,FALSE)=AO259,1,0)</f>
        <v>#N/A</v>
      </c>
      <c r="EB259" s="138" t="e">
        <f>IF(VLOOKUP(CONCATENATE(H259,F259,EB$2),Matemáticas!$A:$H,7,FALSE)=AP259,1,0)</f>
        <v>#N/A</v>
      </c>
      <c r="EC259" s="138" t="e">
        <f>IF(VLOOKUP(CONCATENATE(H259,F259,EC$2),Matemáticas!$A:$H,7,FALSE)=AQ259,1,0)</f>
        <v>#N/A</v>
      </c>
      <c r="ED259" s="138" t="e">
        <f>IF(VLOOKUP(CONCATENATE(H259,F259,ED$2),Matemáticas!$A:$H,7,FALSE)=AR259,1,0)</f>
        <v>#N/A</v>
      </c>
      <c r="EE259" s="138" t="e">
        <f>IF(VLOOKUP(CONCATENATE(H259,F259,EE$2),Matemáticas!$A:$H,7,FALSE)=AS259,1,0)</f>
        <v>#N/A</v>
      </c>
      <c r="EF259" s="138" t="e">
        <f>IF(VLOOKUP(CONCATENATE(H259,F259,EF$2),Matemáticas!$A:$H,7,FALSE)=AT259,1,0)</f>
        <v>#N/A</v>
      </c>
      <c r="EG259" s="138" t="e">
        <f>IF(VLOOKUP(CONCATENATE(H259,F259,EG$2),Matemáticas!$A:$H,7,FALSE)=AU259,1,0)</f>
        <v>#N/A</v>
      </c>
      <c r="EH259" s="138" t="e">
        <f>IF(VLOOKUP(CONCATENATE(H259,F259,EH$2),Matemáticas!$A:$H,7,FALSE)=AV259,1,0)</f>
        <v>#N/A</v>
      </c>
      <c r="EI259" s="138" t="e">
        <f>IF(VLOOKUP(CONCATENATE(H259,F259,EI$2),Matemáticas!$A:$H,7,FALSE)=AW259,1,0)</f>
        <v>#N/A</v>
      </c>
      <c r="EJ259" s="138" t="e">
        <f>IF(VLOOKUP(CONCATENATE(H259,F259,EJ$2),Matemáticas!$A:$H,7,FALSE)=AX259,1,0)</f>
        <v>#N/A</v>
      </c>
      <c r="EK259" s="138" t="e">
        <f>IF(VLOOKUP(CONCATENATE(H259,F259,EK$2),Matemáticas!$A:$H,7,FALSE)=AY259,1,0)</f>
        <v>#N/A</v>
      </c>
      <c r="EL259" s="138" t="e">
        <f>IF(VLOOKUP(CONCATENATE(H259,F259,EL$2),Matemáticas!$A:$H,7,FALSE)=AZ259,1,0)</f>
        <v>#N/A</v>
      </c>
      <c r="EM259" s="138" t="e">
        <f>IF(VLOOKUP(CONCATENATE(H259,F259,EM$2),Matemáticas!$A:$H,7,FALSE)=BA259,1,0)</f>
        <v>#N/A</v>
      </c>
      <c r="EN259" s="138" t="e">
        <f>IF(VLOOKUP(CONCATENATE(H259,F259,EN$2),Matemáticas!$A:$H,7,FALSE)=BB259,1,0)</f>
        <v>#N/A</v>
      </c>
      <c r="EO259" s="138" t="e">
        <f>IF(VLOOKUP(CONCATENATE(H259,F259,EO$2),Matemáticas!$A:$H,7,FALSE)=BC259,1,0)</f>
        <v>#N/A</v>
      </c>
      <c r="EP259" s="138" t="e">
        <f>IF(VLOOKUP(CONCATENATE(H259,F259,EP$2),Matemáticas!$A:$H,7,FALSE)=BD259,1,0)</f>
        <v>#N/A</v>
      </c>
      <c r="EQ259" s="138" t="e">
        <f>IF(VLOOKUP(CONCATENATE(H259,F259,EQ$2),Matemáticas!$A:$H,7,FALSE)=BE259,1,0)</f>
        <v>#N/A</v>
      </c>
      <c r="ER259" s="138" t="e">
        <f>IF(VLOOKUP(CONCATENATE(H259,F259,ER$2),Matemáticas!$A:$H,7,FALSE)=BF259,1,0)</f>
        <v>#N/A</v>
      </c>
      <c r="ES259" s="138" t="e">
        <f>IF(VLOOKUP(CONCATENATE(H259,F259,ES$2),Matemáticas!$A:$H,7,FALSE)=BG259,1,0)</f>
        <v>#N/A</v>
      </c>
      <c r="ET259" s="138" t="e">
        <f>IF(VLOOKUP(CONCATENATE(H259,F259,ET$2),Matemáticas!$A:$H,7,FALSE)=BH259,1,0)</f>
        <v>#N/A</v>
      </c>
      <c r="EU259" s="138" t="e">
        <f>IF(VLOOKUP(CONCATENATE(H259,F259,EU$2),Matemáticas!$A:$H,7,FALSE)=BI259,1,0)</f>
        <v>#N/A</v>
      </c>
      <c r="EV259" s="138" t="e">
        <f>IF(VLOOKUP(CONCATENATE(H259,F259,EV$2),Ciencias!$A:$H,7,FALSE)=BJ259,1,0)</f>
        <v>#N/A</v>
      </c>
      <c r="EW259" s="138" t="e">
        <f>IF(VLOOKUP(CONCATENATE(H259,F259,EW$2),Ciencias!$A:$H,7,FALSE)=BK259,1,0)</f>
        <v>#N/A</v>
      </c>
      <c r="EX259" s="138" t="e">
        <f>IF(VLOOKUP(CONCATENATE(H259,F259,EX$2),Ciencias!$A:$H,7,FALSE)=BL259,1,0)</f>
        <v>#N/A</v>
      </c>
      <c r="EY259" s="138" t="e">
        <f>IF(VLOOKUP(CONCATENATE(H259,F259,EY$2),Ciencias!$A:$H,7,FALSE)=BM259,1,0)</f>
        <v>#N/A</v>
      </c>
      <c r="EZ259" s="138" t="e">
        <f>IF(VLOOKUP(CONCATENATE(H259,F259,EZ$2),Ciencias!$A:$H,7,FALSE)=BN259,1,0)</f>
        <v>#N/A</v>
      </c>
      <c r="FA259" s="138" t="e">
        <f>IF(VLOOKUP(CONCATENATE(H259,F259,FA$2),Ciencias!$A:$H,7,FALSE)=BO259,1,0)</f>
        <v>#N/A</v>
      </c>
      <c r="FB259" s="138" t="e">
        <f>IF(VLOOKUP(CONCATENATE(H259,F259,FB$2),Ciencias!$A:$H,7,FALSE)=BP259,1,0)</f>
        <v>#N/A</v>
      </c>
      <c r="FC259" s="138" t="e">
        <f>IF(VLOOKUP(CONCATENATE(H259,F259,FC$2),Ciencias!$A:$H,7,FALSE)=BQ259,1,0)</f>
        <v>#N/A</v>
      </c>
      <c r="FD259" s="138" t="e">
        <f>IF(VLOOKUP(CONCATENATE(H259,F259,FD$2),Ciencias!$A:$H,7,FALSE)=BR259,1,0)</f>
        <v>#N/A</v>
      </c>
      <c r="FE259" s="138" t="e">
        <f>IF(VLOOKUP(CONCATENATE(H259,F259,FE$2),Ciencias!$A:$H,7,FALSE)=BS259,1,0)</f>
        <v>#N/A</v>
      </c>
      <c r="FF259" s="138" t="e">
        <f>IF(VLOOKUP(CONCATENATE(H259,F259,FF$2),Ciencias!$A:$H,7,FALSE)=BT259,1,0)</f>
        <v>#N/A</v>
      </c>
      <c r="FG259" s="138" t="e">
        <f>IF(VLOOKUP(CONCATENATE(H259,F259,FG$2),Ciencias!$A:$H,7,FALSE)=BU259,1,0)</f>
        <v>#N/A</v>
      </c>
      <c r="FH259" s="138" t="e">
        <f>IF(VLOOKUP(CONCATENATE(H259,F259,FH$2),Ciencias!$A:$H,7,FALSE)=BV259,1,0)</f>
        <v>#N/A</v>
      </c>
      <c r="FI259" s="138" t="e">
        <f>IF(VLOOKUP(CONCATENATE(H259,F259,FI$2),Ciencias!$A:$H,7,FALSE)=BW259,1,0)</f>
        <v>#N/A</v>
      </c>
      <c r="FJ259" s="138" t="e">
        <f>IF(VLOOKUP(CONCATENATE(H259,F259,FJ$2),Ciencias!$A:$H,7,FALSE)=BX259,1,0)</f>
        <v>#N/A</v>
      </c>
      <c r="FK259" s="138" t="e">
        <f>IF(VLOOKUP(CONCATENATE(H259,F259,FK$2),Ciencias!$A:$H,7,FALSE)=BY259,1,0)</f>
        <v>#N/A</v>
      </c>
      <c r="FL259" s="138" t="e">
        <f>IF(VLOOKUP(CONCATENATE(H259,F259,FL$2),Ciencias!$A:$H,7,FALSE)=BZ259,1,0)</f>
        <v>#N/A</v>
      </c>
      <c r="FM259" s="138" t="e">
        <f>IF(VLOOKUP(CONCATENATE(H259,F259,FM$2),Ciencias!$A:$H,7,FALSE)=CA259,1,0)</f>
        <v>#N/A</v>
      </c>
      <c r="FN259" s="138" t="e">
        <f>IF(VLOOKUP(CONCATENATE(H259,F259,FN$2),Ciencias!$A:$H,7,FALSE)=CB259,1,0)</f>
        <v>#N/A</v>
      </c>
      <c r="FO259" s="138" t="e">
        <f>IF(VLOOKUP(CONCATENATE(H259,F259,FO$2),Ciencias!$A:$H,7,FALSE)=CC259,1,0)</f>
        <v>#N/A</v>
      </c>
      <c r="FP259" s="138" t="e">
        <f>IF(VLOOKUP(CONCATENATE(H259,F259,FP$2),GeoHis!$A:$H,7,FALSE)=CD259,1,0)</f>
        <v>#N/A</v>
      </c>
      <c r="FQ259" s="138" t="e">
        <f>IF(VLOOKUP(CONCATENATE(H259,F259,FQ$2),GeoHis!$A:$H,7,FALSE)=CE259,1,0)</f>
        <v>#N/A</v>
      </c>
      <c r="FR259" s="138" t="e">
        <f>IF(VLOOKUP(CONCATENATE(H259,F259,FR$2),GeoHis!$A:$H,7,FALSE)=CF259,1,0)</f>
        <v>#N/A</v>
      </c>
      <c r="FS259" s="138" t="e">
        <f>IF(VLOOKUP(CONCATENATE(H259,F259,FS$2),GeoHis!$A:$H,7,FALSE)=CG259,1,0)</f>
        <v>#N/A</v>
      </c>
      <c r="FT259" s="138" t="e">
        <f>IF(VLOOKUP(CONCATENATE(H259,F259,FT$2),GeoHis!$A:$H,7,FALSE)=CH259,1,0)</f>
        <v>#N/A</v>
      </c>
      <c r="FU259" s="138" t="e">
        <f>IF(VLOOKUP(CONCATENATE(H259,F259,FU$2),GeoHis!$A:$H,7,FALSE)=CI259,1,0)</f>
        <v>#N/A</v>
      </c>
      <c r="FV259" s="138" t="e">
        <f>IF(VLOOKUP(CONCATENATE(H259,F259,FV$2),GeoHis!$A:$H,7,FALSE)=CJ259,1,0)</f>
        <v>#N/A</v>
      </c>
      <c r="FW259" s="138" t="e">
        <f>IF(VLOOKUP(CONCATENATE(H259,F259,FW$2),GeoHis!$A:$H,7,FALSE)=CK259,1,0)</f>
        <v>#N/A</v>
      </c>
      <c r="FX259" s="138" t="e">
        <f>IF(VLOOKUP(CONCATENATE(H259,F259,FX$2),GeoHis!$A:$H,7,FALSE)=CL259,1,0)</f>
        <v>#N/A</v>
      </c>
      <c r="FY259" s="138" t="e">
        <f>IF(VLOOKUP(CONCATENATE(H259,F259,FY$2),GeoHis!$A:$H,7,FALSE)=CM259,1,0)</f>
        <v>#N/A</v>
      </c>
      <c r="FZ259" s="138" t="e">
        <f>IF(VLOOKUP(CONCATENATE(H259,F259,FZ$2),GeoHis!$A:$H,7,FALSE)=CN259,1,0)</f>
        <v>#N/A</v>
      </c>
      <c r="GA259" s="138" t="e">
        <f>IF(VLOOKUP(CONCATENATE(H259,F259,GA$2),GeoHis!$A:$H,7,FALSE)=CO259,1,0)</f>
        <v>#N/A</v>
      </c>
      <c r="GB259" s="138" t="e">
        <f>IF(VLOOKUP(CONCATENATE(H259,F259,GB$2),GeoHis!$A:$H,7,FALSE)=CP259,1,0)</f>
        <v>#N/A</v>
      </c>
      <c r="GC259" s="138" t="e">
        <f>IF(VLOOKUP(CONCATENATE(H259,F259,GC$2),GeoHis!$A:$H,7,FALSE)=CQ259,1,0)</f>
        <v>#N/A</v>
      </c>
      <c r="GD259" s="138" t="e">
        <f>IF(VLOOKUP(CONCATENATE(H259,F259,GD$2),GeoHis!$A:$H,7,FALSE)=CR259,1,0)</f>
        <v>#N/A</v>
      </c>
      <c r="GE259" s="135" t="str">
        <f t="shared" si="31"/>
        <v/>
      </c>
    </row>
    <row r="260" spans="1:187" x14ac:dyDescent="0.25">
      <c r="A260" s="127" t="str">
        <f>IF(C260="","",'Datos Generales'!$A$25)</f>
        <v/>
      </c>
      <c r="D260" s="126" t="str">
        <f t="shared" ref="D260:D323" si="32">CONCATENATE(C260,F260,G260,H260,I260,J260,K260)</f>
        <v/>
      </c>
      <c r="E260" s="126">
        <f t="shared" ref="E260:E323" si="33">B260</f>
        <v>0</v>
      </c>
      <c r="F260" s="126" t="str">
        <f t="shared" ref="F260:F323" si="34">IF(C260="","",IF(F259="","",F259))</f>
        <v/>
      </c>
      <c r="G260" s="126" t="str">
        <f>IF(C260="","",'Datos Generales'!$D$19)</f>
        <v/>
      </c>
      <c r="H260" s="21" t="str">
        <f>IF(C260="","",'Datos Generales'!$A$19)</f>
        <v/>
      </c>
      <c r="I260" s="126" t="str">
        <f>IF(C260="","",'Datos Generales'!$A$7)</f>
        <v/>
      </c>
      <c r="J260" s="21" t="str">
        <f>IF(C260="","",'Datos Generales'!$A$13)</f>
        <v/>
      </c>
      <c r="K260" s="21" t="str">
        <f>IF(C260="","",'Datos Generales'!$A$10)</f>
        <v/>
      </c>
      <c r="CS260" s="142" t="str">
        <f t="shared" ref="CS260:CS323" si="35">IF(C260="","",AVERAGE(CX260:DQ260))</f>
        <v/>
      </c>
      <c r="CT260" s="142" t="str">
        <f t="shared" ref="CT260:CT323" si="36">IF(C260="","",AVERAGE(DR260:EA260))</f>
        <v/>
      </c>
      <c r="CU260" s="142" t="str">
        <f t="shared" ref="CU260:CU323" si="37">IF(C260="","",AVERAGE(EB260:EU260))</f>
        <v/>
      </c>
      <c r="CV260" s="142" t="str">
        <f t="shared" ref="CV260:CV323" si="38">IF(C260="","",AVERAGE(EV260:FO260))</f>
        <v/>
      </c>
      <c r="CW260" s="142" t="str">
        <f>IF(C260="","",IF('Datos Generales'!$A$19=1,AVERAGE(FP260:GD260),AVERAGE(Captura!FP260:FY260)))</f>
        <v/>
      </c>
      <c r="CX260" s="138" t="e">
        <f>IF(VLOOKUP(CONCATENATE($H$4,$F$4,CX$2),Español!$A:$H,7,FALSE)=L260,1,0)</f>
        <v>#N/A</v>
      </c>
      <c r="CY260" s="138" t="e">
        <f>IF(VLOOKUP(CONCATENATE(H260,F260,CY$2),Español!$A:$H,7,FALSE)=M260,1,0)</f>
        <v>#N/A</v>
      </c>
      <c r="CZ260" s="138" t="e">
        <f>IF(VLOOKUP(CONCATENATE(H260,F260,CZ$2),Español!$A:$H,7,FALSE)=N260,1,0)</f>
        <v>#N/A</v>
      </c>
      <c r="DA260" s="138" t="e">
        <f>IF(VLOOKUP(CONCATENATE(H260,F260,DA$2),Español!$A:$H,7,FALSE)=O260,1,0)</f>
        <v>#N/A</v>
      </c>
      <c r="DB260" s="138" t="e">
        <f>IF(VLOOKUP(CONCATENATE(H260,F260,DB$2),Español!$A:$H,7,FALSE)=P260,1,0)</f>
        <v>#N/A</v>
      </c>
      <c r="DC260" s="138" t="e">
        <f>IF(VLOOKUP(CONCATENATE(H260,F260,DC$2),Español!$A:$H,7,FALSE)=Q260,1,0)</f>
        <v>#N/A</v>
      </c>
      <c r="DD260" s="138" t="e">
        <f>IF(VLOOKUP(CONCATENATE(H260,F260,DD$2),Español!$A:$H,7,FALSE)=R260,1,0)</f>
        <v>#N/A</v>
      </c>
      <c r="DE260" s="138" t="e">
        <f>IF(VLOOKUP(CONCATENATE(H260,F260,DE$2),Español!$A:$H,7,FALSE)=S260,1,0)</f>
        <v>#N/A</v>
      </c>
      <c r="DF260" s="138" t="e">
        <f>IF(VLOOKUP(CONCATENATE(H260,F260,DF$2),Español!$A:$H,7,FALSE)=T260,1,0)</f>
        <v>#N/A</v>
      </c>
      <c r="DG260" s="138" t="e">
        <f>IF(VLOOKUP(CONCATENATE(H260,F260,DG$2),Español!$A:$H,7,FALSE)=U260,1,0)</f>
        <v>#N/A</v>
      </c>
      <c r="DH260" s="138" t="e">
        <f>IF(VLOOKUP(CONCATENATE(H260,F260,DH$2),Español!$A:$H,7,FALSE)=V260,1,0)</f>
        <v>#N/A</v>
      </c>
      <c r="DI260" s="138" t="e">
        <f>IF(VLOOKUP(CONCATENATE(H260,F260,DI$2),Español!$A:$H,7,FALSE)=W260,1,0)</f>
        <v>#N/A</v>
      </c>
      <c r="DJ260" s="138" t="e">
        <f>IF(VLOOKUP(CONCATENATE(H260,F260,DJ$2),Español!$A:$H,7,FALSE)=X260,1,0)</f>
        <v>#N/A</v>
      </c>
      <c r="DK260" s="138" t="e">
        <f>IF(VLOOKUP(CONCATENATE(H260,F260,DK$2),Español!$A:$H,7,FALSE)=Y260,1,0)</f>
        <v>#N/A</v>
      </c>
      <c r="DL260" s="138" t="e">
        <f>IF(VLOOKUP(CONCATENATE(H260,F260,DL$2),Español!$A:$H,7,FALSE)=Z260,1,0)</f>
        <v>#N/A</v>
      </c>
      <c r="DM260" s="138" t="e">
        <f>IF(VLOOKUP(CONCATENATE(H260,F260,DM$2),Español!$A:$H,7,FALSE)=AA260,1,0)</f>
        <v>#N/A</v>
      </c>
      <c r="DN260" s="138" t="e">
        <f>IF(VLOOKUP(CONCATENATE(H260,F260,DN$2),Español!$A:$H,7,FALSE)=AB260,1,0)</f>
        <v>#N/A</v>
      </c>
      <c r="DO260" s="138" t="e">
        <f>IF(VLOOKUP(CONCATENATE(H260,F260,DO$2),Español!$A:$H,7,FALSE)=AC260,1,0)</f>
        <v>#N/A</v>
      </c>
      <c r="DP260" s="138" t="e">
        <f>IF(VLOOKUP(CONCATENATE(H260,F260,DP$2),Español!$A:$H,7,FALSE)=AD260,1,0)</f>
        <v>#N/A</v>
      </c>
      <c r="DQ260" s="138" t="e">
        <f>IF(VLOOKUP(CONCATENATE(H260,F260,DQ$2),Español!$A:$H,7,FALSE)=AE260,1,0)</f>
        <v>#N/A</v>
      </c>
      <c r="DR260" s="138" t="e">
        <f>IF(VLOOKUP(CONCATENATE(H260,F260,DR$2),Inglés!$A:$H,7,FALSE)=AF260,1,0)</f>
        <v>#N/A</v>
      </c>
      <c r="DS260" s="138" t="e">
        <f>IF(VLOOKUP(CONCATENATE(H260,F260,DS$2),Inglés!$A:$H,7,FALSE)=AG260,1,0)</f>
        <v>#N/A</v>
      </c>
      <c r="DT260" s="138" t="e">
        <f>IF(VLOOKUP(CONCATENATE(H260,F260,DT$2),Inglés!$A:$H,7,FALSE)=AH260,1,0)</f>
        <v>#N/A</v>
      </c>
      <c r="DU260" s="138" t="e">
        <f>IF(VLOOKUP(CONCATENATE(H260,F260,DU$2),Inglés!$A:$H,7,FALSE)=AI260,1,0)</f>
        <v>#N/A</v>
      </c>
      <c r="DV260" s="138" t="e">
        <f>IF(VLOOKUP(CONCATENATE(H260,F260,DV$2),Inglés!$A:$H,7,FALSE)=AJ260,1,0)</f>
        <v>#N/A</v>
      </c>
      <c r="DW260" s="138" t="e">
        <f>IF(VLOOKUP(CONCATENATE(H260,F260,DW$2),Inglés!$A:$H,7,FALSE)=AK260,1,0)</f>
        <v>#N/A</v>
      </c>
      <c r="DX260" s="138" t="e">
        <f>IF(VLOOKUP(CONCATENATE(H260,F260,DX$2),Inglés!$A:$H,7,FALSE)=AL260,1,0)</f>
        <v>#N/A</v>
      </c>
      <c r="DY260" s="138" t="e">
        <f>IF(VLOOKUP(CONCATENATE(H260,F260,DY$2),Inglés!$A:$H,7,FALSE)=AM260,1,0)</f>
        <v>#N/A</v>
      </c>
      <c r="DZ260" s="138" t="e">
        <f>IF(VLOOKUP(CONCATENATE(H260,F260,DZ$2),Inglés!$A:$H,7,FALSE)=AN260,1,0)</f>
        <v>#N/A</v>
      </c>
      <c r="EA260" s="138" t="e">
        <f>IF(VLOOKUP(CONCATENATE(H260,F260,EA$2),Inglés!$A:$H,7,FALSE)=AO260,1,0)</f>
        <v>#N/A</v>
      </c>
      <c r="EB260" s="138" t="e">
        <f>IF(VLOOKUP(CONCATENATE(H260,F260,EB$2),Matemáticas!$A:$H,7,FALSE)=AP260,1,0)</f>
        <v>#N/A</v>
      </c>
      <c r="EC260" s="138" t="e">
        <f>IF(VLOOKUP(CONCATENATE(H260,F260,EC$2),Matemáticas!$A:$H,7,FALSE)=AQ260,1,0)</f>
        <v>#N/A</v>
      </c>
      <c r="ED260" s="138" t="e">
        <f>IF(VLOOKUP(CONCATENATE(H260,F260,ED$2),Matemáticas!$A:$H,7,FALSE)=AR260,1,0)</f>
        <v>#N/A</v>
      </c>
      <c r="EE260" s="138" t="e">
        <f>IF(VLOOKUP(CONCATENATE(H260,F260,EE$2),Matemáticas!$A:$H,7,FALSE)=AS260,1,0)</f>
        <v>#N/A</v>
      </c>
      <c r="EF260" s="138" t="e">
        <f>IF(VLOOKUP(CONCATENATE(H260,F260,EF$2),Matemáticas!$A:$H,7,FALSE)=AT260,1,0)</f>
        <v>#N/A</v>
      </c>
      <c r="EG260" s="138" t="e">
        <f>IF(VLOOKUP(CONCATENATE(H260,F260,EG$2),Matemáticas!$A:$H,7,FALSE)=AU260,1,0)</f>
        <v>#N/A</v>
      </c>
      <c r="EH260" s="138" t="e">
        <f>IF(VLOOKUP(CONCATENATE(H260,F260,EH$2),Matemáticas!$A:$H,7,FALSE)=AV260,1,0)</f>
        <v>#N/A</v>
      </c>
      <c r="EI260" s="138" t="e">
        <f>IF(VLOOKUP(CONCATENATE(H260,F260,EI$2),Matemáticas!$A:$H,7,FALSE)=AW260,1,0)</f>
        <v>#N/A</v>
      </c>
      <c r="EJ260" s="138" t="e">
        <f>IF(VLOOKUP(CONCATENATE(H260,F260,EJ$2),Matemáticas!$A:$H,7,FALSE)=AX260,1,0)</f>
        <v>#N/A</v>
      </c>
      <c r="EK260" s="138" t="e">
        <f>IF(VLOOKUP(CONCATENATE(H260,F260,EK$2),Matemáticas!$A:$H,7,FALSE)=AY260,1,0)</f>
        <v>#N/A</v>
      </c>
      <c r="EL260" s="138" t="e">
        <f>IF(VLOOKUP(CONCATENATE(H260,F260,EL$2),Matemáticas!$A:$H,7,FALSE)=AZ260,1,0)</f>
        <v>#N/A</v>
      </c>
      <c r="EM260" s="138" t="e">
        <f>IF(VLOOKUP(CONCATENATE(H260,F260,EM$2),Matemáticas!$A:$H,7,FALSE)=BA260,1,0)</f>
        <v>#N/A</v>
      </c>
      <c r="EN260" s="138" t="e">
        <f>IF(VLOOKUP(CONCATENATE(H260,F260,EN$2),Matemáticas!$A:$H,7,FALSE)=BB260,1,0)</f>
        <v>#N/A</v>
      </c>
      <c r="EO260" s="138" t="e">
        <f>IF(VLOOKUP(CONCATENATE(H260,F260,EO$2),Matemáticas!$A:$H,7,FALSE)=BC260,1,0)</f>
        <v>#N/A</v>
      </c>
      <c r="EP260" s="138" t="e">
        <f>IF(VLOOKUP(CONCATENATE(H260,F260,EP$2),Matemáticas!$A:$H,7,FALSE)=BD260,1,0)</f>
        <v>#N/A</v>
      </c>
      <c r="EQ260" s="138" t="e">
        <f>IF(VLOOKUP(CONCATENATE(H260,F260,EQ$2),Matemáticas!$A:$H,7,FALSE)=BE260,1,0)</f>
        <v>#N/A</v>
      </c>
      <c r="ER260" s="138" t="e">
        <f>IF(VLOOKUP(CONCATENATE(H260,F260,ER$2),Matemáticas!$A:$H,7,FALSE)=BF260,1,0)</f>
        <v>#N/A</v>
      </c>
      <c r="ES260" s="138" t="e">
        <f>IF(VLOOKUP(CONCATENATE(H260,F260,ES$2),Matemáticas!$A:$H,7,FALSE)=BG260,1,0)</f>
        <v>#N/A</v>
      </c>
      <c r="ET260" s="138" t="e">
        <f>IF(VLOOKUP(CONCATENATE(H260,F260,ET$2),Matemáticas!$A:$H,7,FALSE)=BH260,1,0)</f>
        <v>#N/A</v>
      </c>
      <c r="EU260" s="138" t="e">
        <f>IF(VLOOKUP(CONCATENATE(H260,F260,EU$2),Matemáticas!$A:$H,7,FALSE)=BI260,1,0)</f>
        <v>#N/A</v>
      </c>
      <c r="EV260" s="138" t="e">
        <f>IF(VLOOKUP(CONCATENATE(H260,F260,EV$2),Ciencias!$A:$H,7,FALSE)=BJ260,1,0)</f>
        <v>#N/A</v>
      </c>
      <c r="EW260" s="138" t="e">
        <f>IF(VLOOKUP(CONCATENATE(H260,F260,EW$2),Ciencias!$A:$H,7,FALSE)=BK260,1,0)</f>
        <v>#N/A</v>
      </c>
      <c r="EX260" s="138" t="e">
        <f>IF(VLOOKUP(CONCATENATE(H260,F260,EX$2),Ciencias!$A:$H,7,FALSE)=BL260,1,0)</f>
        <v>#N/A</v>
      </c>
      <c r="EY260" s="138" t="e">
        <f>IF(VLOOKUP(CONCATENATE(H260,F260,EY$2),Ciencias!$A:$H,7,FALSE)=BM260,1,0)</f>
        <v>#N/A</v>
      </c>
      <c r="EZ260" s="138" t="e">
        <f>IF(VLOOKUP(CONCATENATE(H260,F260,EZ$2),Ciencias!$A:$H,7,FALSE)=BN260,1,0)</f>
        <v>#N/A</v>
      </c>
      <c r="FA260" s="138" t="e">
        <f>IF(VLOOKUP(CONCATENATE(H260,F260,FA$2),Ciencias!$A:$H,7,FALSE)=BO260,1,0)</f>
        <v>#N/A</v>
      </c>
      <c r="FB260" s="138" t="e">
        <f>IF(VLOOKUP(CONCATENATE(H260,F260,FB$2),Ciencias!$A:$H,7,FALSE)=BP260,1,0)</f>
        <v>#N/A</v>
      </c>
      <c r="FC260" s="138" t="e">
        <f>IF(VLOOKUP(CONCATENATE(H260,F260,FC$2),Ciencias!$A:$H,7,FALSE)=BQ260,1,0)</f>
        <v>#N/A</v>
      </c>
      <c r="FD260" s="138" t="e">
        <f>IF(VLOOKUP(CONCATENATE(H260,F260,FD$2),Ciencias!$A:$H,7,FALSE)=BR260,1,0)</f>
        <v>#N/A</v>
      </c>
      <c r="FE260" s="138" t="e">
        <f>IF(VLOOKUP(CONCATENATE(H260,F260,FE$2),Ciencias!$A:$H,7,FALSE)=BS260,1,0)</f>
        <v>#N/A</v>
      </c>
      <c r="FF260" s="138" t="e">
        <f>IF(VLOOKUP(CONCATENATE(H260,F260,FF$2),Ciencias!$A:$H,7,FALSE)=BT260,1,0)</f>
        <v>#N/A</v>
      </c>
      <c r="FG260" s="138" t="e">
        <f>IF(VLOOKUP(CONCATENATE(H260,F260,FG$2),Ciencias!$A:$H,7,FALSE)=BU260,1,0)</f>
        <v>#N/A</v>
      </c>
      <c r="FH260" s="138" t="e">
        <f>IF(VLOOKUP(CONCATENATE(H260,F260,FH$2),Ciencias!$A:$H,7,FALSE)=BV260,1,0)</f>
        <v>#N/A</v>
      </c>
      <c r="FI260" s="138" t="e">
        <f>IF(VLOOKUP(CONCATENATE(H260,F260,FI$2),Ciencias!$A:$H,7,FALSE)=BW260,1,0)</f>
        <v>#N/A</v>
      </c>
      <c r="FJ260" s="138" t="e">
        <f>IF(VLOOKUP(CONCATENATE(H260,F260,FJ$2),Ciencias!$A:$H,7,FALSE)=BX260,1,0)</f>
        <v>#N/A</v>
      </c>
      <c r="FK260" s="138" t="e">
        <f>IF(VLOOKUP(CONCATENATE(H260,F260,FK$2),Ciencias!$A:$H,7,FALSE)=BY260,1,0)</f>
        <v>#N/A</v>
      </c>
      <c r="FL260" s="138" t="e">
        <f>IF(VLOOKUP(CONCATENATE(H260,F260,FL$2),Ciencias!$A:$H,7,FALSE)=BZ260,1,0)</f>
        <v>#N/A</v>
      </c>
      <c r="FM260" s="138" t="e">
        <f>IF(VLOOKUP(CONCATENATE(H260,F260,FM$2),Ciencias!$A:$H,7,FALSE)=CA260,1,0)</f>
        <v>#N/A</v>
      </c>
      <c r="FN260" s="138" t="e">
        <f>IF(VLOOKUP(CONCATENATE(H260,F260,FN$2),Ciencias!$A:$H,7,FALSE)=CB260,1,0)</f>
        <v>#N/A</v>
      </c>
      <c r="FO260" s="138" t="e">
        <f>IF(VLOOKUP(CONCATENATE(H260,F260,FO$2),Ciencias!$A:$H,7,FALSE)=CC260,1,0)</f>
        <v>#N/A</v>
      </c>
      <c r="FP260" s="138" t="e">
        <f>IF(VLOOKUP(CONCATENATE(H260,F260,FP$2),GeoHis!$A:$H,7,FALSE)=CD260,1,0)</f>
        <v>#N/A</v>
      </c>
      <c r="FQ260" s="138" t="e">
        <f>IF(VLOOKUP(CONCATENATE(H260,F260,FQ$2),GeoHis!$A:$H,7,FALSE)=CE260,1,0)</f>
        <v>#N/A</v>
      </c>
      <c r="FR260" s="138" t="e">
        <f>IF(VLOOKUP(CONCATENATE(H260,F260,FR$2),GeoHis!$A:$H,7,FALSE)=CF260,1,0)</f>
        <v>#N/A</v>
      </c>
      <c r="FS260" s="138" t="e">
        <f>IF(VLOOKUP(CONCATENATE(H260,F260,FS$2),GeoHis!$A:$H,7,FALSE)=CG260,1,0)</f>
        <v>#N/A</v>
      </c>
      <c r="FT260" s="138" t="e">
        <f>IF(VLOOKUP(CONCATENATE(H260,F260,FT$2),GeoHis!$A:$H,7,FALSE)=CH260,1,0)</f>
        <v>#N/A</v>
      </c>
      <c r="FU260" s="138" t="e">
        <f>IF(VLOOKUP(CONCATENATE(H260,F260,FU$2),GeoHis!$A:$H,7,FALSE)=CI260,1,0)</f>
        <v>#N/A</v>
      </c>
      <c r="FV260" s="138" t="e">
        <f>IF(VLOOKUP(CONCATENATE(H260,F260,FV$2),GeoHis!$A:$H,7,FALSE)=CJ260,1,0)</f>
        <v>#N/A</v>
      </c>
      <c r="FW260" s="138" t="e">
        <f>IF(VLOOKUP(CONCATENATE(H260,F260,FW$2),GeoHis!$A:$H,7,FALSE)=CK260,1,0)</f>
        <v>#N/A</v>
      </c>
      <c r="FX260" s="138" t="e">
        <f>IF(VLOOKUP(CONCATENATE(H260,F260,FX$2),GeoHis!$A:$H,7,FALSE)=CL260,1,0)</f>
        <v>#N/A</v>
      </c>
      <c r="FY260" s="138" t="e">
        <f>IF(VLOOKUP(CONCATENATE(H260,F260,FY$2),GeoHis!$A:$H,7,FALSE)=CM260,1,0)</f>
        <v>#N/A</v>
      </c>
      <c r="FZ260" s="138" t="e">
        <f>IF(VLOOKUP(CONCATENATE(H260,F260,FZ$2),GeoHis!$A:$H,7,FALSE)=CN260,1,0)</f>
        <v>#N/A</v>
      </c>
      <c r="GA260" s="138" t="e">
        <f>IF(VLOOKUP(CONCATENATE(H260,F260,GA$2),GeoHis!$A:$H,7,FALSE)=CO260,1,0)</f>
        <v>#N/A</v>
      </c>
      <c r="GB260" s="138" t="e">
        <f>IF(VLOOKUP(CONCATENATE(H260,F260,GB$2),GeoHis!$A:$H,7,FALSE)=CP260,1,0)</f>
        <v>#N/A</v>
      </c>
      <c r="GC260" s="138" t="e">
        <f>IF(VLOOKUP(CONCATENATE(H260,F260,GC$2),GeoHis!$A:$H,7,FALSE)=CQ260,1,0)</f>
        <v>#N/A</v>
      </c>
      <c r="GD260" s="138" t="e">
        <f>IF(VLOOKUP(CONCATENATE(H260,F260,GD$2),GeoHis!$A:$H,7,FALSE)=CR260,1,0)</f>
        <v>#N/A</v>
      </c>
      <c r="GE260" s="135" t="str">
        <f t="shared" ref="GE260:GE323" si="39">A260</f>
        <v/>
      </c>
    </row>
    <row r="261" spans="1:187" x14ac:dyDescent="0.25">
      <c r="A261" s="127" t="str">
        <f>IF(C261="","",'Datos Generales'!$A$25)</f>
        <v/>
      </c>
      <c r="D261" s="126" t="str">
        <f t="shared" si="32"/>
        <v/>
      </c>
      <c r="E261" s="126">
        <f t="shared" si="33"/>
        <v>0</v>
      </c>
      <c r="F261" s="126" t="str">
        <f t="shared" si="34"/>
        <v/>
      </c>
      <c r="G261" s="126" t="str">
        <f>IF(C261="","",'Datos Generales'!$D$19)</f>
        <v/>
      </c>
      <c r="H261" s="21" t="str">
        <f>IF(C261="","",'Datos Generales'!$A$19)</f>
        <v/>
      </c>
      <c r="I261" s="126" t="str">
        <f>IF(C261="","",'Datos Generales'!$A$7)</f>
        <v/>
      </c>
      <c r="J261" s="21" t="str">
        <f>IF(C261="","",'Datos Generales'!$A$13)</f>
        <v/>
      </c>
      <c r="K261" s="21" t="str">
        <f>IF(C261="","",'Datos Generales'!$A$10)</f>
        <v/>
      </c>
      <c r="CS261" s="142" t="str">
        <f t="shared" si="35"/>
        <v/>
      </c>
      <c r="CT261" s="142" t="str">
        <f t="shared" si="36"/>
        <v/>
      </c>
      <c r="CU261" s="142" t="str">
        <f t="shared" si="37"/>
        <v/>
      </c>
      <c r="CV261" s="142" t="str">
        <f t="shared" si="38"/>
        <v/>
      </c>
      <c r="CW261" s="142" t="str">
        <f>IF(C261="","",IF('Datos Generales'!$A$19=1,AVERAGE(FP261:GD261),AVERAGE(Captura!FP261:FY261)))</f>
        <v/>
      </c>
      <c r="CX261" s="138" t="e">
        <f>IF(VLOOKUP(CONCATENATE($H$4,$F$4,CX$2),Español!$A:$H,7,FALSE)=L261,1,0)</f>
        <v>#N/A</v>
      </c>
      <c r="CY261" s="138" t="e">
        <f>IF(VLOOKUP(CONCATENATE(H261,F261,CY$2),Español!$A:$H,7,FALSE)=M261,1,0)</f>
        <v>#N/A</v>
      </c>
      <c r="CZ261" s="138" t="e">
        <f>IF(VLOOKUP(CONCATENATE(H261,F261,CZ$2),Español!$A:$H,7,FALSE)=N261,1,0)</f>
        <v>#N/A</v>
      </c>
      <c r="DA261" s="138" t="e">
        <f>IF(VLOOKUP(CONCATENATE(H261,F261,DA$2),Español!$A:$H,7,FALSE)=O261,1,0)</f>
        <v>#N/A</v>
      </c>
      <c r="DB261" s="138" t="e">
        <f>IF(VLOOKUP(CONCATENATE(H261,F261,DB$2),Español!$A:$H,7,FALSE)=P261,1,0)</f>
        <v>#N/A</v>
      </c>
      <c r="DC261" s="138" t="e">
        <f>IF(VLOOKUP(CONCATENATE(H261,F261,DC$2),Español!$A:$H,7,FALSE)=Q261,1,0)</f>
        <v>#N/A</v>
      </c>
      <c r="DD261" s="138" t="e">
        <f>IF(VLOOKUP(CONCATENATE(H261,F261,DD$2),Español!$A:$H,7,FALSE)=R261,1,0)</f>
        <v>#N/A</v>
      </c>
      <c r="DE261" s="138" t="e">
        <f>IF(VLOOKUP(CONCATENATE(H261,F261,DE$2),Español!$A:$H,7,FALSE)=S261,1,0)</f>
        <v>#N/A</v>
      </c>
      <c r="DF261" s="138" t="e">
        <f>IF(VLOOKUP(CONCATENATE(H261,F261,DF$2),Español!$A:$H,7,FALSE)=T261,1,0)</f>
        <v>#N/A</v>
      </c>
      <c r="DG261" s="138" t="e">
        <f>IF(VLOOKUP(CONCATENATE(H261,F261,DG$2),Español!$A:$H,7,FALSE)=U261,1,0)</f>
        <v>#N/A</v>
      </c>
      <c r="DH261" s="138" t="e">
        <f>IF(VLOOKUP(CONCATENATE(H261,F261,DH$2),Español!$A:$H,7,FALSE)=V261,1,0)</f>
        <v>#N/A</v>
      </c>
      <c r="DI261" s="138" t="e">
        <f>IF(VLOOKUP(CONCATENATE(H261,F261,DI$2),Español!$A:$H,7,FALSE)=W261,1,0)</f>
        <v>#N/A</v>
      </c>
      <c r="DJ261" s="138" t="e">
        <f>IF(VLOOKUP(CONCATENATE(H261,F261,DJ$2),Español!$A:$H,7,FALSE)=X261,1,0)</f>
        <v>#N/A</v>
      </c>
      <c r="DK261" s="138" t="e">
        <f>IF(VLOOKUP(CONCATENATE(H261,F261,DK$2),Español!$A:$H,7,FALSE)=Y261,1,0)</f>
        <v>#N/A</v>
      </c>
      <c r="DL261" s="138" t="e">
        <f>IF(VLOOKUP(CONCATENATE(H261,F261,DL$2),Español!$A:$H,7,FALSE)=Z261,1,0)</f>
        <v>#N/A</v>
      </c>
      <c r="DM261" s="138" t="e">
        <f>IF(VLOOKUP(CONCATENATE(H261,F261,DM$2),Español!$A:$H,7,FALSE)=AA261,1,0)</f>
        <v>#N/A</v>
      </c>
      <c r="DN261" s="138" t="e">
        <f>IF(VLOOKUP(CONCATENATE(H261,F261,DN$2),Español!$A:$H,7,FALSE)=AB261,1,0)</f>
        <v>#N/A</v>
      </c>
      <c r="DO261" s="138" t="e">
        <f>IF(VLOOKUP(CONCATENATE(H261,F261,DO$2),Español!$A:$H,7,FALSE)=AC261,1,0)</f>
        <v>#N/A</v>
      </c>
      <c r="DP261" s="138" t="e">
        <f>IF(VLOOKUP(CONCATENATE(H261,F261,DP$2),Español!$A:$H,7,FALSE)=AD261,1,0)</f>
        <v>#N/A</v>
      </c>
      <c r="DQ261" s="138" t="e">
        <f>IF(VLOOKUP(CONCATENATE(H261,F261,DQ$2),Español!$A:$H,7,FALSE)=AE261,1,0)</f>
        <v>#N/A</v>
      </c>
      <c r="DR261" s="138" t="e">
        <f>IF(VLOOKUP(CONCATENATE(H261,F261,DR$2),Inglés!$A:$H,7,FALSE)=AF261,1,0)</f>
        <v>#N/A</v>
      </c>
      <c r="DS261" s="138" t="e">
        <f>IF(VLOOKUP(CONCATENATE(H261,F261,DS$2),Inglés!$A:$H,7,FALSE)=AG261,1,0)</f>
        <v>#N/A</v>
      </c>
      <c r="DT261" s="138" t="e">
        <f>IF(VLOOKUP(CONCATENATE(H261,F261,DT$2),Inglés!$A:$H,7,FALSE)=AH261,1,0)</f>
        <v>#N/A</v>
      </c>
      <c r="DU261" s="138" t="e">
        <f>IF(VLOOKUP(CONCATENATE(H261,F261,DU$2),Inglés!$A:$H,7,FALSE)=AI261,1,0)</f>
        <v>#N/A</v>
      </c>
      <c r="DV261" s="138" t="e">
        <f>IF(VLOOKUP(CONCATENATE(H261,F261,DV$2),Inglés!$A:$H,7,FALSE)=AJ261,1,0)</f>
        <v>#N/A</v>
      </c>
      <c r="DW261" s="138" t="e">
        <f>IF(VLOOKUP(CONCATENATE(H261,F261,DW$2),Inglés!$A:$H,7,FALSE)=AK261,1,0)</f>
        <v>#N/A</v>
      </c>
      <c r="DX261" s="138" t="e">
        <f>IF(VLOOKUP(CONCATENATE(H261,F261,DX$2),Inglés!$A:$H,7,FALSE)=AL261,1,0)</f>
        <v>#N/A</v>
      </c>
      <c r="DY261" s="138" t="e">
        <f>IF(VLOOKUP(CONCATENATE(H261,F261,DY$2),Inglés!$A:$H,7,FALSE)=AM261,1,0)</f>
        <v>#N/A</v>
      </c>
      <c r="DZ261" s="138" t="e">
        <f>IF(VLOOKUP(CONCATENATE(H261,F261,DZ$2),Inglés!$A:$H,7,FALSE)=AN261,1,0)</f>
        <v>#N/A</v>
      </c>
      <c r="EA261" s="138" t="e">
        <f>IF(VLOOKUP(CONCATENATE(H261,F261,EA$2),Inglés!$A:$H,7,FALSE)=AO261,1,0)</f>
        <v>#N/A</v>
      </c>
      <c r="EB261" s="138" t="e">
        <f>IF(VLOOKUP(CONCATENATE(H261,F261,EB$2),Matemáticas!$A:$H,7,FALSE)=AP261,1,0)</f>
        <v>#N/A</v>
      </c>
      <c r="EC261" s="138" t="e">
        <f>IF(VLOOKUP(CONCATENATE(H261,F261,EC$2),Matemáticas!$A:$H,7,FALSE)=AQ261,1,0)</f>
        <v>#N/A</v>
      </c>
      <c r="ED261" s="138" t="e">
        <f>IF(VLOOKUP(CONCATENATE(H261,F261,ED$2),Matemáticas!$A:$H,7,FALSE)=AR261,1,0)</f>
        <v>#N/A</v>
      </c>
      <c r="EE261" s="138" t="e">
        <f>IF(VLOOKUP(CONCATENATE(H261,F261,EE$2),Matemáticas!$A:$H,7,FALSE)=AS261,1,0)</f>
        <v>#N/A</v>
      </c>
      <c r="EF261" s="138" t="e">
        <f>IF(VLOOKUP(CONCATENATE(H261,F261,EF$2),Matemáticas!$A:$H,7,FALSE)=AT261,1,0)</f>
        <v>#N/A</v>
      </c>
      <c r="EG261" s="138" t="e">
        <f>IF(VLOOKUP(CONCATENATE(H261,F261,EG$2),Matemáticas!$A:$H,7,FALSE)=AU261,1,0)</f>
        <v>#N/A</v>
      </c>
      <c r="EH261" s="138" t="e">
        <f>IF(VLOOKUP(CONCATENATE(H261,F261,EH$2),Matemáticas!$A:$H,7,FALSE)=AV261,1,0)</f>
        <v>#N/A</v>
      </c>
      <c r="EI261" s="138" t="e">
        <f>IF(VLOOKUP(CONCATENATE(H261,F261,EI$2),Matemáticas!$A:$H,7,FALSE)=AW261,1,0)</f>
        <v>#N/A</v>
      </c>
      <c r="EJ261" s="138" t="e">
        <f>IF(VLOOKUP(CONCATENATE(H261,F261,EJ$2),Matemáticas!$A:$H,7,FALSE)=AX261,1,0)</f>
        <v>#N/A</v>
      </c>
      <c r="EK261" s="138" t="e">
        <f>IF(VLOOKUP(CONCATENATE(H261,F261,EK$2),Matemáticas!$A:$H,7,FALSE)=AY261,1,0)</f>
        <v>#N/A</v>
      </c>
      <c r="EL261" s="138" t="e">
        <f>IF(VLOOKUP(CONCATENATE(H261,F261,EL$2),Matemáticas!$A:$H,7,FALSE)=AZ261,1,0)</f>
        <v>#N/A</v>
      </c>
      <c r="EM261" s="138" t="e">
        <f>IF(VLOOKUP(CONCATENATE(H261,F261,EM$2),Matemáticas!$A:$H,7,FALSE)=BA261,1,0)</f>
        <v>#N/A</v>
      </c>
      <c r="EN261" s="138" t="e">
        <f>IF(VLOOKUP(CONCATENATE(H261,F261,EN$2),Matemáticas!$A:$H,7,FALSE)=BB261,1,0)</f>
        <v>#N/A</v>
      </c>
      <c r="EO261" s="138" t="e">
        <f>IF(VLOOKUP(CONCATENATE(H261,F261,EO$2),Matemáticas!$A:$H,7,FALSE)=BC261,1,0)</f>
        <v>#N/A</v>
      </c>
      <c r="EP261" s="138" t="e">
        <f>IF(VLOOKUP(CONCATENATE(H261,F261,EP$2),Matemáticas!$A:$H,7,FALSE)=BD261,1,0)</f>
        <v>#N/A</v>
      </c>
      <c r="EQ261" s="138" t="e">
        <f>IF(VLOOKUP(CONCATENATE(H261,F261,EQ$2),Matemáticas!$A:$H,7,FALSE)=BE261,1,0)</f>
        <v>#N/A</v>
      </c>
      <c r="ER261" s="138" t="e">
        <f>IF(VLOOKUP(CONCATENATE(H261,F261,ER$2),Matemáticas!$A:$H,7,FALSE)=BF261,1,0)</f>
        <v>#N/A</v>
      </c>
      <c r="ES261" s="138" t="e">
        <f>IF(VLOOKUP(CONCATENATE(H261,F261,ES$2),Matemáticas!$A:$H,7,FALSE)=BG261,1,0)</f>
        <v>#N/A</v>
      </c>
      <c r="ET261" s="138" t="e">
        <f>IF(VLOOKUP(CONCATENATE(H261,F261,ET$2),Matemáticas!$A:$H,7,FALSE)=BH261,1,0)</f>
        <v>#N/A</v>
      </c>
      <c r="EU261" s="138" t="e">
        <f>IF(VLOOKUP(CONCATENATE(H261,F261,EU$2),Matemáticas!$A:$H,7,FALSE)=BI261,1,0)</f>
        <v>#N/A</v>
      </c>
      <c r="EV261" s="138" t="e">
        <f>IF(VLOOKUP(CONCATENATE(H261,F261,EV$2),Ciencias!$A:$H,7,FALSE)=BJ261,1,0)</f>
        <v>#N/A</v>
      </c>
      <c r="EW261" s="138" t="e">
        <f>IF(VLOOKUP(CONCATENATE(H261,F261,EW$2),Ciencias!$A:$H,7,FALSE)=BK261,1,0)</f>
        <v>#N/A</v>
      </c>
      <c r="EX261" s="138" t="e">
        <f>IF(VLOOKUP(CONCATENATE(H261,F261,EX$2),Ciencias!$A:$H,7,FALSE)=BL261,1,0)</f>
        <v>#N/A</v>
      </c>
      <c r="EY261" s="138" t="e">
        <f>IF(VLOOKUP(CONCATENATE(H261,F261,EY$2),Ciencias!$A:$H,7,FALSE)=BM261,1,0)</f>
        <v>#N/A</v>
      </c>
      <c r="EZ261" s="138" t="e">
        <f>IF(VLOOKUP(CONCATENATE(H261,F261,EZ$2),Ciencias!$A:$H,7,FALSE)=BN261,1,0)</f>
        <v>#N/A</v>
      </c>
      <c r="FA261" s="138" t="e">
        <f>IF(VLOOKUP(CONCATENATE(H261,F261,FA$2),Ciencias!$A:$H,7,FALSE)=BO261,1,0)</f>
        <v>#N/A</v>
      </c>
      <c r="FB261" s="138" t="e">
        <f>IF(VLOOKUP(CONCATENATE(H261,F261,FB$2),Ciencias!$A:$H,7,FALSE)=BP261,1,0)</f>
        <v>#N/A</v>
      </c>
      <c r="FC261" s="138" t="e">
        <f>IF(VLOOKUP(CONCATENATE(H261,F261,FC$2),Ciencias!$A:$H,7,FALSE)=BQ261,1,0)</f>
        <v>#N/A</v>
      </c>
      <c r="FD261" s="138" t="e">
        <f>IF(VLOOKUP(CONCATENATE(H261,F261,FD$2),Ciencias!$A:$H,7,FALSE)=BR261,1,0)</f>
        <v>#N/A</v>
      </c>
      <c r="FE261" s="138" t="e">
        <f>IF(VLOOKUP(CONCATENATE(H261,F261,FE$2),Ciencias!$A:$H,7,FALSE)=BS261,1,0)</f>
        <v>#N/A</v>
      </c>
      <c r="FF261" s="138" t="e">
        <f>IF(VLOOKUP(CONCATENATE(H261,F261,FF$2),Ciencias!$A:$H,7,FALSE)=BT261,1,0)</f>
        <v>#N/A</v>
      </c>
      <c r="FG261" s="138" t="e">
        <f>IF(VLOOKUP(CONCATENATE(H261,F261,FG$2),Ciencias!$A:$H,7,FALSE)=BU261,1,0)</f>
        <v>#N/A</v>
      </c>
      <c r="FH261" s="138" t="e">
        <f>IF(VLOOKUP(CONCATENATE(H261,F261,FH$2),Ciencias!$A:$H,7,FALSE)=BV261,1,0)</f>
        <v>#N/A</v>
      </c>
      <c r="FI261" s="138" t="e">
        <f>IF(VLOOKUP(CONCATENATE(H261,F261,FI$2),Ciencias!$A:$H,7,FALSE)=BW261,1,0)</f>
        <v>#N/A</v>
      </c>
      <c r="FJ261" s="138" t="e">
        <f>IF(VLOOKUP(CONCATENATE(H261,F261,FJ$2),Ciencias!$A:$H,7,FALSE)=BX261,1,0)</f>
        <v>#N/A</v>
      </c>
      <c r="FK261" s="138" t="e">
        <f>IF(VLOOKUP(CONCATENATE(H261,F261,FK$2),Ciencias!$A:$H,7,FALSE)=BY261,1,0)</f>
        <v>#N/A</v>
      </c>
      <c r="FL261" s="138" t="e">
        <f>IF(VLOOKUP(CONCATENATE(H261,F261,FL$2),Ciencias!$A:$H,7,FALSE)=BZ261,1,0)</f>
        <v>#N/A</v>
      </c>
      <c r="FM261" s="138" t="e">
        <f>IF(VLOOKUP(CONCATENATE(H261,F261,FM$2),Ciencias!$A:$H,7,FALSE)=CA261,1,0)</f>
        <v>#N/A</v>
      </c>
      <c r="FN261" s="138" t="e">
        <f>IF(VLOOKUP(CONCATENATE(H261,F261,FN$2),Ciencias!$A:$H,7,FALSE)=CB261,1,0)</f>
        <v>#N/A</v>
      </c>
      <c r="FO261" s="138" t="e">
        <f>IF(VLOOKUP(CONCATENATE(H261,F261,FO$2),Ciencias!$A:$H,7,FALSE)=CC261,1,0)</f>
        <v>#N/A</v>
      </c>
      <c r="FP261" s="138" t="e">
        <f>IF(VLOOKUP(CONCATENATE(H261,F261,FP$2),GeoHis!$A:$H,7,FALSE)=CD261,1,0)</f>
        <v>#N/A</v>
      </c>
      <c r="FQ261" s="138" t="e">
        <f>IF(VLOOKUP(CONCATENATE(H261,F261,FQ$2),GeoHis!$A:$H,7,FALSE)=CE261,1,0)</f>
        <v>#N/A</v>
      </c>
      <c r="FR261" s="138" t="e">
        <f>IF(VLOOKUP(CONCATENATE(H261,F261,FR$2),GeoHis!$A:$H,7,FALSE)=CF261,1,0)</f>
        <v>#N/A</v>
      </c>
      <c r="FS261" s="138" t="e">
        <f>IF(VLOOKUP(CONCATENATE(H261,F261,FS$2),GeoHis!$A:$H,7,FALSE)=CG261,1,0)</f>
        <v>#N/A</v>
      </c>
      <c r="FT261" s="138" t="e">
        <f>IF(VLOOKUP(CONCATENATE(H261,F261,FT$2),GeoHis!$A:$H,7,FALSE)=CH261,1,0)</f>
        <v>#N/A</v>
      </c>
      <c r="FU261" s="138" t="e">
        <f>IF(VLOOKUP(CONCATENATE(H261,F261,FU$2),GeoHis!$A:$H,7,FALSE)=CI261,1,0)</f>
        <v>#N/A</v>
      </c>
      <c r="FV261" s="138" t="e">
        <f>IF(VLOOKUP(CONCATENATE(H261,F261,FV$2),GeoHis!$A:$H,7,FALSE)=CJ261,1,0)</f>
        <v>#N/A</v>
      </c>
      <c r="FW261" s="138" t="e">
        <f>IF(VLOOKUP(CONCATENATE(H261,F261,FW$2),GeoHis!$A:$H,7,FALSE)=CK261,1,0)</f>
        <v>#N/A</v>
      </c>
      <c r="FX261" s="138" t="e">
        <f>IF(VLOOKUP(CONCATENATE(H261,F261,FX$2),GeoHis!$A:$H,7,FALSE)=CL261,1,0)</f>
        <v>#N/A</v>
      </c>
      <c r="FY261" s="138" t="e">
        <f>IF(VLOOKUP(CONCATENATE(H261,F261,FY$2),GeoHis!$A:$H,7,FALSE)=CM261,1,0)</f>
        <v>#N/A</v>
      </c>
      <c r="FZ261" s="138" t="e">
        <f>IF(VLOOKUP(CONCATENATE(H261,F261,FZ$2),GeoHis!$A:$H,7,FALSE)=CN261,1,0)</f>
        <v>#N/A</v>
      </c>
      <c r="GA261" s="138" t="e">
        <f>IF(VLOOKUP(CONCATENATE(H261,F261,GA$2),GeoHis!$A:$H,7,FALSE)=CO261,1,0)</f>
        <v>#N/A</v>
      </c>
      <c r="GB261" s="138" t="e">
        <f>IF(VLOOKUP(CONCATENATE(H261,F261,GB$2),GeoHis!$A:$H,7,FALSE)=CP261,1,0)</f>
        <v>#N/A</v>
      </c>
      <c r="GC261" s="138" t="e">
        <f>IF(VLOOKUP(CONCATENATE(H261,F261,GC$2),GeoHis!$A:$H,7,FALSE)=CQ261,1,0)</f>
        <v>#N/A</v>
      </c>
      <c r="GD261" s="138" t="e">
        <f>IF(VLOOKUP(CONCATENATE(H261,F261,GD$2),GeoHis!$A:$H,7,FALSE)=CR261,1,0)</f>
        <v>#N/A</v>
      </c>
      <c r="GE261" s="135" t="str">
        <f t="shared" si="39"/>
        <v/>
      </c>
    </row>
    <row r="262" spans="1:187" x14ac:dyDescent="0.25">
      <c r="A262" s="127" t="str">
        <f>IF(C262="","",'Datos Generales'!$A$25)</f>
        <v/>
      </c>
      <c r="D262" s="126" t="str">
        <f t="shared" si="32"/>
        <v/>
      </c>
      <c r="E262" s="126">
        <f t="shared" si="33"/>
        <v>0</v>
      </c>
      <c r="F262" s="126" t="str">
        <f t="shared" si="34"/>
        <v/>
      </c>
      <c r="G262" s="126" t="str">
        <f>IF(C262="","",'Datos Generales'!$D$19)</f>
        <v/>
      </c>
      <c r="H262" s="21" t="str">
        <f>IF(C262="","",'Datos Generales'!$A$19)</f>
        <v/>
      </c>
      <c r="I262" s="126" t="str">
        <f>IF(C262="","",'Datos Generales'!$A$7)</f>
        <v/>
      </c>
      <c r="J262" s="21" t="str">
        <f>IF(C262="","",'Datos Generales'!$A$13)</f>
        <v/>
      </c>
      <c r="K262" s="21" t="str">
        <f>IF(C262="","",'Datos Generales'!$A$10)</f>
        <v/>
      </c>
      <c r="CS262" s="142" t="str">
        <f t="shared" si="35"/>
        <v/>
      </c>
      <c r="CT262" s="142" t="str">
        <f t="shared" si="36"/>
        <v/>
      </c>
      <c r="CU262" s="142" t="str">
        <f t="shared" si="37"/>
        <v/>
      </c>
      <c r="CV262" s="142" t="str">
        <f t="shared" si="38"/>
        <v/>
      </c>
      <c r="CW262" s="142" t="str">
        <f>IF(C262="","",IF('Datos Generales'!$A$19=1,AVERAGE(FP262:GD262),AVERAGE(Captura!FP262:FY262)))</f>
        <v/>
      </c>
      <c r="CX262" s="138" t="e">
        <f>IF(VLOOKUP(CONCATENATE($H$4,$F$4,CX$2),Español!$A:$H,7,FALSE)=L262,1,0)</f>
        <v>#N/A</v>
      </c>
      <c r="CY262" s="138" t="e">
        <f>IF(VLOOKUP(CONCATENATE(H262,F262,CY$2),Español!$A:$H,7,FALSE)=M262,1,0)</f>
        <v>#N/A</v>
      </c>
      <c r="CZ262" s="138" t="e">
        <f>IF(VLOOKUP(CONCATENATE(H262,F262,CZ$2),Español!$A:$H,7,FALSE)=N262,1,0)</f>
        <v>#N/A</v>
      </c>
      <c r="DA262" s="138" t="e">
        <f>IF(VLOOKUP(CONCATENATE(H262,F262,DA$2),Español!$A:$H,7,FALSE)=O262,1,0)</f>
        <v>#N/A</v>
      </c>
      <c r="DB262" s="138" t="e">
        <f>IF(VLOOKUP(CONCATENATE(H262,F262,DB$2),Español!$A:$H,7,FALSE)=P262,1,0)</f>
        <v>#N/A</v>
      </c>
      <c r="DC262" s="138" t="e">
        <f>IF(VLOOKUP(CONCATENATE(H262,F262,DC$2),Español!$A:$H,7,FALSE)=Q262,1,0)</f>
        <v>#N/A</v>
      </c>
      <c r="DD262" s="138" t="e">
        <f>IF(VLOOKUP(CONCATENATE(H262,F262,DD$2),Español!$A:$H,7,FALSE)=R262,1,0)</f>
        <v>#N/A</v>
      </c>
      <c r="DE262" s="138" t="e">
        <f>IF(VLOOKUP(CONCATENATE(H262,F262,DE$2),Español!$A:$H,7,FALSE)=S262,1,0)</f>
        <v>#N/A</v>
      </c>
      <c r="DF262" s="138" t="e">
        <f>IF(VLOOKUP(CONCATENATE(H262,F262,DF$2),Español!$A:$H,7,FALSE)=T262,1,0)</f>
        <v>#N/A</v>
      </c>
      <c r="DG262" s="138" t="e">
        <f>IF(VLOOKUP(CONCATENATE(H262,F262,DG$2),Español!$A:$H,7,FALSE)=U262,1,0)</f>
        <v>#N/A</v>
      </c>
      <c r="DH262" s="138" t="e">
        <f>IF(VLOOKUP(CONCATENATE(H262,F262,DH$2),Español!$A:$H,7,FALSE)=V262,1,0)</f>
        <v>#N/A</v>
      </c>
      <c r="DI262" s="138" t="e">
        <f>IF(VLOOKUP(CONCATENATE(H262,F262,DI$2),Español!$A:$H,7,FALSE)=W262,1,0)</f>
        <v>#N/A</v>
      </c>
      <c r="DJ262" s="138" t="e">
        <f>IF(VLOOKUP(CONCATENATE(H262,F262,DJ$2),Español!$A:$H,7,FALSE)=X262,1,0)</f>
        <v>#N/A</v>
      </c>
      <c r="DK262" s="138" t="e">
        <f>IF(VLOOKUP(CONCATENATE(H262,F262,DK$2),Español!$A:$H,7,FALSE)=Y262,1,0)</f>
        <v>#N/A</v>
      </c>
      <c r="DL262" s="138" t="e">
        <f>IF(VLOOKUP(CONCATENATE(H262,F262,DL$2),Español!$A:$H,7,FALSE)=Z262,1,0)</f>
        <v>#N/A</v>
      </c>
      <c r="DM262" s="138" t="e">
        <f>IF(VLOOKUP(CONCATENATE(H262,F262,DM$2),Español!$A:$H,7,FALSE)=AA262,1,0)</f>
        <v>#N/A</v>
      </c>
      <c r="DN262" s="138" t="e">
        <f>IF(VLOOKUP(CONCATENATE(H262,F262,DN$2),Español!$A:$H,7,FALSE)=AB262,1,0)</f>
        <v>#N/A</v>
      </c>
      <c r="DO262" s="138" t="e">
        <f>IF(VLOOKUP(CONCATENATE(H262,F262,DO$2),Español!$A:$H,7,FALSE)=AC262,1,0)</f>
        <v>#N/A</v>
      </c>
      <c r="DP262" s="138" t="e">
        <f>IF(VLOOKUP(CONCATENATE(H262,F262,DP$2),Español!$A:$H,7,FALSE)=AD262,1,0)</f>
        <v>#N/A</v>
      </c>
      <c r="DQ262" s="138" t="e">
        <f>IF(VLOOKUP(CONCATENATE(H262,F262,DQ$2),Español!$A:$H,7,FALSE)=AE262,1,0)</f>
        <v>#N/A</v>
      </c>
      <c r="DR262" s="138" t="e">
        <f>IF(VLOOKUP(CONCATENATE(H262,F262,DR$2),Inglés!$A:$H,7,FALSE)=AF262,1,0)</f>
        <v>#N/A</v>
      </c>
      <c r="DS262" s="138" t="e">
        <f>IF(VLOOKUP(CONCATENATE(H262,F262,DS$2),Inglés!$A:$H,7,FALSE)=AG262,1,0)</f>
        <v>#N/A</v>
      </c>
      <c r="DT262" s="138" t="e">
        <f>IF(VLOOKUP(CONCATENATE(H262,F262,DT$2),Inglés!$A:$H,7,FALSE)=AH262,1,0)</f>
        <v>#N/A</v>
      </c>
      <c r="DU262" s="138" t="e">
        <f>IF(VLOOKUP(CONCATENATE(H262,F262,DU$2),Inglés!$A:$H,7,FALSE)=AI262,1,0)</f>
        <v>#N/A</v>
      </c>
      <c r="DV262" s="138" t="e">
        <f>IF(VLOOKUP(CONCATENATE(H262,F262,DV$2),Inglés!$A:$H,7,FALSE)=AJ262,1,0)</f>
        <v>#N/A</v>
      </c>
      <c r="DW262" s="138" t="e">
        <f>IF(VLOOKUP(CONCATENATE(H262,F262,DW$2),Inglés!$A:$H,7,FALSE)=AK262,1,0)</f>
        <v>#N/A</v>
      </c>
      <c r="DX262" s="138" t="e">
        <f>IF(VLOOKUP(CONCATENATE(H262,F262,DX$2),Inglés!$A:$H,7,FALSE)=AL262,1,0)</f>
        <v>#N/A</v>
      </c>
      <c r="DY262" s="138" t="e">
        <f>IF(VLOOKUP(CONCATENATE(H262,F262,DY$2),Inglés!$A:$H,7,FALSE)=AM262,1,0)</f>
        <v>#N/A</v>
      </c>
      <c r="DZ262" s="138" t="e">
        <f>IF(VLOOKUP(CONCATENATE(H262,F262,DZ$2),Inglés!$A:$H,7,FALSE)=AN262,1,0)</f>
        <v>#N/A</v>
      </c>
      <c r="EA262" s="138" t="e">
        <f>IF(VLOOKUP(CONCATENATE(H262,F262,EA$2),Inglés!$A:$H,7,FALSE)=AO262,1,0)</f>
        <v>#N/A</v>
      </c>
      <c r="EB262" s="138" t="e">
        <f>IF(VLOOKUP(CONCATENATE(H262,F262,EB$2),Matemáticas!$A:$H,7,FALSE)=AP262,1,0)</f>
        <v>#N/A</v>
      </c>
      <c r="EC262" s="138" t="e">
        <f>IF(VLOOKUP(CONCATENATE(H262,F262,EC$2),Matemáticas!$A:$H,7,FALSE)=AQ262,1,0)</f>
        <v>#N/A</v>
      </c>
      <c r="ED262" s="138" t="e">
        <f>IF(VLOOKUP(CONCATENATE(H262,F262,ED$2),Matemáticas!$A:$H,7,FALSE)=AR262,1,0)</f>
        <v>#N/A</v>
      </c>
      <c r="EE262" s="138" t="e">
        <f>IF(VLOOKUP(CONCATENATE(H262,F262,EE$2),Matemáticas!$A:$H,7,FALSE)=AS262,1,0)</f>
        <v>#N/A</v>
      </c>
      <c r="EF262" s="138" t="e">
        <f>IF(VLOOKUP(CONCATENATE(H262,F262,EF$2),Matemáticas!$A:$H,7,FALSE)=AT262,1,0)</f>
        <v>#N/A</v>
      </c>
      <c r="EG262" s="138" t="e">
        <f>IF(VLOOKUP(CONCATENATE(H262,F262,EG$2),Matemáticas!$A:$H,7,FALSE)=AU262,1,0)</f>
        <v>#N/A</v>
      </c>
      <c r="EH262" s="138" t="e">
        <f>IF(VLOOKUP(CONCATENATE(H262,F262,EH$2),Matemáticas!$A:$H,7,FALSE)=AV262,1,0)</f>
        <v>#N/A</v>
      </c>
      <c r="EI262" s="138" t="e">
        <f>IF(VLOOKUP(CONCATENATE(H262,F262,EI$2),Matemáticas!$A:$H,7,FALSE)=AW262,1,0)</f>
        <v>#N/A</v>
      </c>
      <c r="EJ262" s="138" t="e">
        <f>IF(VLOOKUP(CONCATENATE(H262,F262,EJ$2),Matemáticas!$A:$H,7,FALSE)=AX262,1,0)</f>
        <v>#N/A</v>
      </c>
      <c r="EK262" s="138" t="e">
        <f>IF(VLOOKUP(CONCATENATE(H262,F262,EK$2),Matemáticas!$A:$H,7,FALSE)=AY262,1,0)</f>
        <v>#N/A</v>
      </c>
      <c r="EL262" s="138" t="e">
        <f>IF(VLOOKUP(CONCATENATE(H262,F262,EL$2),Matemáticas!$A:$H,7,FALSE)=AZ262,1,0)</f>
        <v>#N/A</v>
      </c>
      <c r="EM262" s="138" t="e">
        <f>IF(VLOOKUP(CONCATENATE(H262,F262,EM$2),Matemáticas!$A:$H,7,FALSE)=BA262,1,0)</f>
        <v>#N/A</v>
      </c>
      <c r="EN262" s="138" t="e">
        <f>IF(VLOOKUP(CONCATENATE(H262,F262,EN$2),Matemáticas!$A:$H,7,FALSE)=BB262,1,0)</f>
        <v>#N/A</v>
      </c>
      <c r="EO262" s="138" t="e">
        <f>IF(VLOOKUP(CONCATENATE(H262,F262,EO$2),Matemáticas!$A:$H,7,FALSE)=BC262,1,0)</f>
        <v>#N/A</v>
      </c>
      <c r="EP262" s="138" t="e">
        <f>IF(VLOOKUP(CONCATENATE(H262,F262,EP$2),Matemáticas!$A:$H,7,FALSE)=BD262,1,0)</f>
        <v>#N/A</v>
      </c>
      <c r="EQ262" s="138" t="e">
        <f>IF(VLOOKUP(CONCATENATE(H262,F262,EQ$2),Matemáticas!$A:$H,7,FALSE)=BE262,1,0)</f>
        <v>#N/A</v>
      </c>
      <c r="ER262" s="138" t="e">
        <f>IF(VLOOKUP(CONCATENATE(H262,F262,ER$2),Matemáticas!$A:$H,7,FALSE)=BF262,1,0)</f>
        <v>#N/A</v>
      </c>
      <c r="ES262" s="138" t="e">
        <f>IF(VLOOKUP(CONCATENATE(H262,F262,ES$2),Matemáticas!$A:$H,7,FALSE)=BG262,1,0)</f>
        <v>#N/A</v>
      </c>
      <c r="ET262" s="138" t="e">
        <f>IF(VLOOKUP(CONCATENATE(H262,F262,ET$2),Matemáticas!$A:$H,7,FALSE)=BH262,1,0)</f>
        <v>#N/A</v>
      </c>
      <c r="EU262" s="138" t="e">
        <f>IF(VLOOKUP(CONCATENATE(H262,F262,EU$2),Matemáticas!$A:$H,7,FALSE)=BI262,1,0)</f>
        <v>#N/A</v>
      </c>
      <c r="EV262" s="138" t="e">
        <f>IF(VLOOKUP(CONCATENATE(H262,F262,EV$2),Ciencias!$A:$H,7,FALSE)=BJ262,1,0)</f>
        <v>#N/A</v>
      </c>
      <c r="EW262" s="138" t="e">
        <f>IF(VLOOKUP(CONCATENATE(H262,F262,EW$2),Ciencias!$A:$H,7,FALSE)=BK262,1,0)</f>
        <v>#N/A</v>
      </c>
      <c r="EX262" s="138" t="e">
        <f>IF(VLOOKUP(CONCATENATE(H262,F262,EX$2),Ciencias!$A:$H,7,FALSE)=BL262,1,0)</f>
        <v>#N/A</v>
      </c>
      <c r="EY262" s="138" t="e">
        <f>IF(VLOOKUP(CONCATENATE(H262,F262,EY$2),Ciencias!$A:$H,7,FALSE)=BM262,1,0)</f>
        <v>#N/A</v>
      </c>
      <c r="EZ262" s="138" t="e">
        <f>IF(VLOOKUP(CONCATENATE(H262,F262,EZ$2),Ciencias!$A:$H,7,FALSE)=BN262,1,0)</f>
        <v>#N/A</v>
      </c>
      <c r="FA262" s="138" t="e">
        <f>IF(VLOOKUP(CONCATENATE(H262,F262,FA$2),Ciencias!$A:$H,7,FALSE)=BO262,1,0)</f>
        <v>#N/A</v>
      </c>
      <c r="FB262" s="138" t="e">
        <f>IF(VLOOKUP(CONCATENATE(H262,F262,FB$2),Ciencias!$A:$H,7,FALSE)=BP262,1,0)</f>
        <v>#N/A</v>
      </c>
      <c r="FC262" s="138" t="e">
        <f>IF(VLOOKUP(CONCATENATE(H262,F262,FC$2),Ciencias!$A:$H,7,FALSE)=BQ262,1,0)</f>
        <v>#N/A</v>
      </c>
      <c r="FD262" s="138" t="e">
        <f>IF(VLOOKUP(CONCATENATE(H262,F262,FD$2),Ciencias!$A:$H,7,FALSE)=BR262,1,0)</f>
        <v>#N/A</v>
      </c>
      <c r="FE262" s="138" t="e">
        <f>IF(VLOOKUP(CONCATENATE(H262,F262,FE$2),Ciencias!$A:$H,7,FALSE)=BS262,1,0)</f>
        <v>#N/A</v>
      </c>
      <c r="FF262" s="138" t="e">
        <f>IF(VLOOKUP(CONCATENATE(H262,F262,FF$2),Ciencias!$A:$H,7,FALSE)=BT262,1,0)</f>
        <v>#N/A</v>
      </c>
      <c r="FG262" s="138" t="e">
        <f>IF(VLOOKUP(CONCATENATE(H262,F262,FG$2),Ciencias!$A:$H,7,FALSE)=BU262,1,0)</f>
        <v>#N/A</v>
      </c>
      <c r="FH262" s="138" t="e">
        <f>IF(VLOOKUP(CONCATENATE(H262,F262,FH$2),Ciencias!$A:$H,7,FALSE)=BV262,1,0)</f>
        <v>#N/A</v>
      </c>
      <c r="FI262" s="138" t="e">
        <f>IF(VLOOKUP(CONCATENATE(H262,F262,FI$2),Ciencias!$A:$H,7,FALSE)=BW262,1,0)</f>
        <v>#N/A</v>
      </c>
      <c r="FJ262" s="138" t="e">
        <f>IF(VLOOKUP(CONCATENATE(H262,F262,FJ$2),Ciencias!$A:$H,7,FALSE)=BX262,1,0)</f>
        <v>#N/A</v>
      </c>
      <c r="FK262" s="138" t="e">
        <f>IF(VLOOKUP(CONCATENATE(H262,F262,FK$2),Ciencias!$A:$H,7,FALSE)=BY262,1,0)</f>
        <v>#N/A</v>
      </c>
      <c r="FL262" s="138" t="e">
        <f>IF(VLOOKUP(CONCATENATE(H262,F262,FL$2),Ciencias!$A:$H,7,FALSE)=BZ262,1,0)</f>
        <v>#N/A</v>
      </c>
      <c r="FM262" s="138" t="e">
        <f>IF(VLOOKUP(CONCATENATE(H262,F262,FM$2),Ciencias!$A:$H,7,FALSE)=CA262,1,0)</f>
        <v>#N/A</v>
      </c>
      <c r="FN262" s="138" t="e">
        <f>IF(VLOOKUP(CONCATENATE(H262,F262,FN$2),Ciencias!$A:$H,7,FALSE)=CB262,1,0)</f>
        <v>#N/A</v>
      </c>
      <c r="FO262" s="138" t="e">
        <f>IF(VLOOKUP(CONCATENATE(H262,F262,FO$2),Ciencias!$A:$H,7,FALSE)=CC262,1,0)</f>
        <v>#N/A</v>
      </c>
      <c r="FP262" s="138" t="e">
        <f>IF(VLOOKUP(CONCATENATE(H262,F262,FP$2),GeoHis!$A:$H,7,FALSE)=CD262,1,0)</f>
        <v>#N/A</v>
      </c>
      <c r="FQ262" s="138" t="e">
        <f>IF(VLOOKUP(CONCATENATE(H262,F262,FQ$2),GeoHis!$A:$H,7,FALSE)=CE262,1,0)</f>
        <v>#N/A</v>
      </c>
      <c r="FR262" s="138" t="e">
        <f>IF(VLOOKUP(CONCATENATE(H262,F262,FR$2),GeoHis!$A:$H,7,FALSE)=CF262,1,0)</f>
        <v>#N/A</v>
      </c>
      <c r="FS262" s="138" t="e">
        <f>IF(VLOOKUP(CONCATENATE(H262,F262,FS$2),GeoHis!$A:$H,7,FALSE)=CG262,1,0)</f>
        <v>#N/A</v>
      </c>
      <c r="FT262" s="138" t="e">
        <f>IF(VLOOKUP(CONCATENATE(H262,F262,FT$2),GeoHis!$A:$H,7,FALSE)=CH262,1,0)</f>
        <v>#N/A</v>
      </c>
      <c r="FU262" s="138" t="e">
        <f>IF(VLOOKUP(CONCATENATE(H262,F262,FU$2),GeoHis!$A:$H,7,FALSE)=CI262,1,0)</f>
        <v>#N/A</v>
      </c>
      <c r="FV262" s="138" t="e">
        <f>IF(VLOOKUP(CONCATENATE(H262,F262,FV$2),GeoHis!$A:$H,7,FALSE)=CJ262,1,0)</f>
        <v>#N/A</v>
      </c>
      <c r="FW262" s="138" t="e">
        <f>IF(VLOOKUP(CONCATENATE(H262,F262,FW$2),GeoHis!$A:$H,7,FALSE)=CK262,1,0)</f>
        <v>#N/A</v>
      </c>
      <c r="FX262" s="138" t="e">
        <f>IF(VLOOKUP(CONCATENATE(H262,F262,FX$2),GeoHis!$A:$H,7,FALSE)=CL262,1,0)</f>
        <v>#N/A</v>
      </c>
      <c r="FY262" s="138" t="e">
        <f>IF(VLOOKUP(CONCATENATE(H262,F262,FY$2),GeoHis!$A:$H,7,FALSE)=CM262,1,0)</f>
        <v>#N/A</v>
      </c>
      <c r="FZ262" s="138" t="e">
        <f>IF(VLOOKUP(CONCATENATE(H262,F262,FZ$2),GeoHis!$A:$H,7,FALSE)=CN262,1,0)</f>
        <v>#N/A</v>
      </c>
      <c r="GA262" s="138" t="e">
        <f>IF(VLOOKUP(CONCATENATE(H262,F262,GA$2),GeoHis!$A:$H,7,FALSE)=CO262,1,0)</f>
        <v>#N/A</v>
      </c>
      <c r="GB262" s="138" t="e">
        <f>IF(VLOOKUP(CONCATENATE(H262,F262,GB$2),GeoHis!$A:$H,7,FALSE)=CP262,1,0)</f>
        <v>#N/A</v>
      </c>
      <c r="GC262" s="138" t="e">
        <f>IF(VLOOKUP(CONCATENATE(H262,F262,GC$2),GeoHis!$A:$H,7,FALSE)=CQ262,1,0)</f>
        <v>#N/A</v>
      </c>
      <c r="GD262" s="138" t="e">
        <f>IF(VLOOKUP(CONCATENATE(H262,F262,GD$2),GeoHis!$A:$H,7,FALSE)=CR262,1,0)</f>
        <v>#N/A</v>
      </c>
      <c r="GE262" s="135" t="str">
        <f t="shared" si="39"/>
        <v/>
      </c>
    </row>
    <row r="263" spans="1:187" x14ac:dyDescent="0.25">
      <c r="A263" s="127" t="str">
        <f>IF(C263="","",'Datos Generales'!$A$25)</f>
        <v/>
      </c>
      <c r="D263" s="126" t="str">
        <f t="shared" si="32"/>
        <v/>
      </c>
      <c r="E263" s="126">
        <f t="shared" si="33"/>
        <v>0</v>
      </c>
      <c r="F263" s="126" t="str">
        <f t="shared" si="34"/>
        <v/>
      </c>
      <c r="G263" s="126" t="str">
        <f>IF(C263="","",'Datos Generales'!$D$19)</f>
        <v/>
      </c>
      <c r="H263" s="21" t="str">
        <f>IF(C263="","",'Datos Generales'!$A$19)</f>
        <v/>
      </c>
      <c r="I263" s="126" t="str">
        <f>IF(C263="","",'Datos Generales'!$A$7)</f>
        <v/>
      </c>
      <c r="J263" s="21" t="str">
        <f>IF(C263="","",'Datos Generales'!$A$13)</f>
        <v/>
      </c>
      <c r="K263" s="21" t="str">
        <f>IF(C263="","",'Datos Generales'!$A$10)</f>
        <v/>
      </c>
      <c r="CS263" s="142" t="str">
        <f t="shared" si="35"/>
        <v/>
      </c>
      <c r="CT263" s="142" t="str">
        <f t="shared" si="36"/>
        <v/>
      </c>
      <c r="CU263" s="142" t="str">
        <f t="shared" si="37"/>
        <v/>
      </c>
      <c r="CV263" s="142" t="str">
        <f t="shared" si="38"/>
        <v/>
      </c>
      <c r="CW263" s="142" t="str">
        <f>IF(C263="","",IF('Datos Generales'!$A$19=1,AVERAGE(FP263:GD263),AVERAGE(Captura!FP263:FY263)))</f>
        <v/>
      </c>
      <c r="CX263" s="138" t="e">
        <f>IF(VLOOKUP(CONCATENATE($H$4,$F$4,CX$2),Español!$A:$H,7,FALSE)=L263,1,0)</f>
        <v>#N/A</v>
      </c>
      <c r="CY263" s="138" t="e">
        <f>IF(VLOOKUP(CONCATENATE(H263,F263,CY$2),Español!$A:$H,7,FALSE)=M263,1,0)</f>
        <v>#N/A</v>
      </c>
      <c r="CZ263" s="138" t="e">
        <f>IF(VLOOKUP(CONCATENATE(H263,F263,CZ$2),Español!$A:$H,7,FALSE)=N263,1,0)</f>
        <v>#N/A</v>
      </c>
      <c r="DA263" s="138" t="e">
        <f>IF(VLOOKUP(CONCATENATE(H263,F263,DA$2),Español!$A:$H,7,FALSE)=O263,1,0)</f>
        <v>#N/A</v>
      </c>
      <c r="DB263" s="138" t="e">
        <f>IF(VLOOKUP(CONCATENATE(H263,F263,DB$2),Español!$A:$H,7,FALSE)=P263,1,0)</f>
        <v>#N/A</v>
      </c>
      <c r="DC263" s="138" t="e">
        <f>IF(VLOOKUP(CONCATENATE(H263,F263,DC$2),Español!$A:$H,7,FALSE)=Q263,1,0)</f>
        <v>#N/A</v>
      </c>
      <c r="DD263" s="138" t="e">
        <f>IF(VLOOKUP(CONCATENATE(H263,F263,DD$2),Español!$A:$H,7,FALSE)=R263,1,0)</f>
        <v>#N/A</v>
      </c>
      <c r="DE263" s="138" t="e">
        <f>IF(VLOOKUP(CONCATENATE(H263,F263,DE$2),Español!$A:$H,7,FALSE)=S263,1,0)</f>
        <v>#N/A</v>
      </c>
      <c r="DF263" s="138" t="e">
        <f>IF(VLOOKUP(CONCATENATE(H263,F263,DF$2),Español!$A:$H,7,FALSE)=T263,1,0)</f>
        <v>#N/A</v>
      </c>
      <c r="DG263" s="138" t="e">
        <f>IF(VLOOKUP(CONCATENATE(H263,F263,DG$2),Español!$A:$H,7,FALSE)=U263,1,0)</f>
        <v>#N/A</v>
      </c>
      <c r="DH263" s="138" t="e">
        <f>IF(VLOOKUP(CONCATENATE(H263,F263,DH$2),Español!$A:$H,7,FALSE)=V263,1,0)</f>
        <v>#N/A</v>
      </c>
      <c r="DI263" s="138" t="e">
        <f>IF(VLOOKUP(CONCATENATE(H263,F263,DI$2),Español!$A:$H,7,FALSE)=W263,1,0)</f>
        <v>#N/A</v>
      </c>
      <c r="DJ263" s="138" t="e">
        <f>IF(VLOOKUP(CONCATENATE(H263,F263,DJ$2),Español!$A:$H,7,FALSE)=X263,1,0)</f>
        <v>#N/A</v>
      </c>
      <c r="DK263" s="138" t="e">
        <f>IF(VLOOKUP(CONCATENATE(H263,F263,DK$2),Español!$A:$H,7,FALSE)=Y263,1,0)</f>
        <v>#N/A</v>
      </c>
      <c r="DL263" s="138" t="e">
        <f>IF(VLOOKUP(CONCATENATE(H263,F263,DL$2),Español!$A:$H,7,FALSE)=Z263,1,0)</f>
        <v>#N/A</v>
      </c>
      <c r="DM263" s="138" t="e">
        <f>IF(VLOOKUP(CONCATENATE(H263,F263,DM$2),Español!$A:$H,7,FALSE)=AA263,1,0)</f>
        <v>#N/A</v>
      </c>
      <c r="DN263" s="138" t="e">
        <f>IF(VLOOKUP(CONCATENATE(H263,F263,DN$2),Español!$A:$H,7,FALSE)=AB263,1,0)</f>
        <v>#N/A</v>
      </c>
      <c r="DO263" s="138" t="e">
        <f>IF(VLOOKUP(CONCATENATE(H263,F263,DO$2),Español!$A:$H,7,FALSE)=AC263,1,0)</f>
        <v>#N/A</v>
      </c>
      <c r="DP263" s="138" t="e">
        <f>IF(VLOOKUP(CONCATENATE(H263,F263,DP$2),Español!$A:$H,7,FALSE)=AD263,1,0)</f>
        <v>#N/A</v>
      </c>
      <c r="DQ263" s="138" t="e">
        <f>IF(VLOOKUP(CONCATENATE(H263,F263,DQ$2),Español!$A:$H,7,FALSE)=AE263,1,0)</f>
        <v>#N/A</v>
      </c>
      <c r="DR263" s="138" t="e">
        <f>IF(VLOOKUP(CONCATENATE(H263,F263,DR$2),Inglés!$A:$H,7,FALSE)=AF263,1,0)</f>
        <v>#N/A</v>
      </c>
      <c r="DS263" s="138" t="e">
        <f>IF(VLOOKUP(CONCATENATE(H263,F263,DS$2),Inglés!$A:$H,7,FALSE)=AG263,1,0)</f>
        <v>#N/A</v>
      </c>
      <c r="DT263" s="138" t="e">
        <f>IF(VLOOKUP(CONCATENATE(H263,F263,DT$2),Inglés!$A:$H,7,FALSE)=AH263,1,0)</f>
        <v>#N/A</v>
      </c>
      <c r="DU263" s="138" t="e">
        <f>IF(VLOOKUP(CONCATENATE(H263,F263,DU$2),Inglés!$A:$H,7,FALSE)=AI263,1,0)</f>
        <v>#N/A</v>
      </c>
      <c r="DV263" s="138" t="e">
        <f>IF(VLOOKUP(CONCATENATE(H263,F263,DV$2),Inglés!$A:$H,7,FALSE)=AJ263,1,0)</f>
        <v>#N/A</v>
      </c>
      <c r="DW263" s="138" t="e">
        <f>IF(VLOOKUP(CONCATENATE(H263,F263,DW$2),Inglés!$A:$H,7,FALSE)=AK263,1,0)</f>
        <v>#N/A</v>
      </c>
      <c r="DX263" s="138" t="e">
        <f>IF(VLOOKUP(CONCATENATE(H263,F263,DX$2),Inglés!$A:$H,7,FALSE)=AL263,1,0)</f>
        <v>#N/A</v>
      </c>
      <c r="DY263" s="138" t="e">
        <f>IF(VLOOKUP(CONCATENATE(H263,F263,DY$2),Inglés!$A:$H,7,FALSE)=AM263,1,0)</f>
        <v>#N/A</v>
      </c>
      <c r="DZ263" s="138" t="e">
        <f>IF(VLOOKUP(CONCATENATE(H263,F263,DZ$2),Inglés!$A:$H,7,FALSE)=AN263,1,0)</f>
        <v>#N/A</v>
      </c>
      <c r="EA263" s="138" t="e">
        <f>IF(VLOOKUP(CONCATENATE(H263,F263,EA$2),Inglés!$A:$H,7,FALSE)=AO263,1,0)</f>
        <v>#N/A</v>
      </c>
      <c r="EB263" s="138" t="e">
        <f>IF(VLOOKUP(CONCATENATE(H263,F263,EB$2),Matemáticas!$A:$H,7,FALSE)=AP263,1,0)</f>
        <v>#N/A</v>
      </c>
      <c r="EC263" s="138" t="e">
        <f>IF(VLOOKUP(CONCATENATE(H263,F263,EC$2),Matemáticas!$A:$H,7,FALSE)=AQ263,1,0)</f>
        <v>#N/A</v>
      </c>
      <c r="ED263" s="138" t="e">
        <f>IF(VLOOKUP(CONCATENATE(H263,F263,ED$2),Matemáticas!$A:$H,7,FALSE)=AR263,1,0)</f>
        <v>#N/A</v>
      </c>
      <c r="EE263" s="138" t="e">
        <f>IF(VLOOKUP(CONCATENATE(H263,F263,EE$2),Matemáticas!$A:$H,7,FALSE)=AS263,1,0)</f>
        <v>#N/A</v>
      </c>
      <c r="EF263" s="138" t="e">
        <f>IF(VLOOKUP(CONCATENATE(H263,F263,EF$2),Matemáticas!$A:$H,7,FALSE)=AT263,1,0)</f>
        <v>#N/A</v>
      </c>
      <c r="EG263" s="138" t="e">
        <f>IF(VLOOKUP(CONCATENATE(H263,F263,EG$2),Matemáticas!$A:$H,7,FALSE)=AU263,1,0)</f>
        <v>#N/A</v>
      </c>
      <c r="EH263" s="138" t="e">
        <f>IF(VLOOKUP(CONCATENATE(H263,F263,EH$2),Matemáticas!$A:$H,7,FALSE)=AV263,1,0)</f>
        <v>#N/A</v>
      </c>
      <c r="EI263" s="138" t="e">
        <f>IF(VLOOKUP(CONCATENATE(H263,F263,EI$2),Matemáticas!$A:$H,7,FALSE)=AW263,1,0)</f>
        <v>#N/A</v>
      </c>
      <c r="EJ263" s="138" t="e">
        <f>IF(VLOOKUP(CONCATENATE(H263,F263,EJ$2),Matemáticas!$A:$H,7,FALSE)=AX263,1,0)</f>
        <v>#N/A</v>
      </c>
      <c r="EK263" s="138" t="e">
        <f>IF(VLOOKUP(CONCATENATE(H263,F263,EK$2),Matemáticas!$A:$H,7,FALSE)=AY263,1,0)</f>
        <v>#N/A</v>
      </c>
      <c r="EL263" s="138" t="e">
        <f>IF(VLOOKUP(CONCATENATE(H263,F263,EL$2),Matemáticas!$A:$H,7,FALSE)=AZ263,1,0)</f>
        <v>#N/A</v>
      </c>
      <c r="EM263" s="138" t="e">
        <f>IF(VLOOKUP(CONCATENATE(H263,F263,EM$2),Matemáticas!$A:$H,7,FALSE)=BA263,1,0)</f>
        <v>#N/A</v>
      </c>
      <c r="EN263" s="138" t="e">
        <f>IF(VLOOKUP(CONCATENATE(H263,F263,EN$2),Matemáticas!$A:$H,7,FALSE)=BB263,1,0)</f>
        <v>#N/A</v>
      </c>
      <c r="EO263" s="138" t="e">
        <f>IF(VLOOKUP(CONCATENATE(H263,F263,EO$2),Matemáticas!$A:$H,7,FALSE)=BC263,1,0)</f>
        <v>#N/A</v>
      </c>
      <c r="EP263" s="138" t="e">
        <f>IF(VLOOKUP(CONCATENATE(H263,F263,EP$2),Matemáticas!$A:$H,7,FALSE)=BD263,1,0)</f>
        <v>#N/A</v>
      </c>
      <c r="EQ263" s="138" t="e">
        <f>IF(VLOOKUP(CONCATENATE(H263,F263,EQ$2),Matemáticas!$A:$H,7,FALSE)=BE263,1,0)</f>
        <v>#N/A</v>
      </c>
      <c r="ER263" s="138" t="e">
        <f>IF(VLOOKUP(CONCATENATE(H263,F263,ER$2),Matemáticas!$A:$H,7,FALSE)=BF263,1,0)</f>
        <v>#N/A</v>
      </c>
      <c r="ES263" s="138" t="e">
        <f>IF(VLOOKUP(CONCATENATE(H263,F263,ES$2),Matemáticas!$A:$H,7,FALSE)=BG263,1,0)</f>
        <v>#N/A</v>
      </c>
      <c r="ET263" s="138" t="e">
        <f>IF(VLOOKUP(CONCATENATE(H263,F263,ET$2),Matemáticas!$A:$H,7,FALSE)=BH263,1,0)</f>
        <v>#N/A</v>
      </c>
      <c r="EU263" s="138" t="e">
        <f>IF(VLOOKUP(CONCATENATE(H263,F263,EU$2),Matemáticas!$A:$H,7,FALSE)=BI263,1,0)</f>
        <v>#N/A</v>
      </c>
      <c r="EV263" s="138" t="e">
        <f>IF(VLOOKUP(CONCATENATE(H263,F263,EV$2),Ciencias!$A:$H,7,FALSE)=BJ263,1,0)</f>
        <v>#N/A</v>
      </c>
      <c r="EW263" s="138" t="e">
        <f>IF(VLOOKUP(CONCATENATE(H263,F263,EW$2),Ciencias!$A:$H,7,FALSE)=BK263,1,0)</f>
        <v>#N/A</v>
      </c>
      <c r="EX263" s="138" t="e">
        <f>IF(VLOOKUP(CONCATENATE(H263,F263,EX$2),Ciencias!$A:$H,7,FALSE)=BL263,1,0)</f>
        <v>#N/A</v>
      </c>
      <c r="EY263" s="138" t="e">
        <f>IF(VLOOKUP(CONCATENATE(H263,F263,EY$2),Ciencias!$A:$H,7,FALSE)=BM263,1,0)</f>
        <v>#N/A</v>
      </c>
      <c r="EZ263" s="138" t="e">
        <f>IF(VLOOKUP(CONCATENATE(H263,F263,EZ$2),Ciencias!$A:$H,7,FALSE)=BN263,1,0)</f>
        <v>#N/A</v>
      </c>
      <c r="FA263" s="138" t="e">
        <f>IF(VLOOKUP(CONCATENATE(H263,F263,FA$2),Ciencias!$A:$H,7,FALSE)=BO263,1,0)</f>
        <v>#N/A</v>
      </c>
      <c r="FB263" s="138" t="e">
        <f>IF(VLOOKUP(CONCATENATE(H263,F263,FB$2),Ciencias!$A:$H,7,FALSE)=BP263,1,0)</f>
        <v>#N/A</v>
      </c>
      <c r="FC263" s="138" t="e">
        <f>IF(VLOOKUP(CONCATENATE(H263,F263,FC$2),Ciencias!$A:$H,7,FALSE)=BQ263,1,0)</f>
        <v>#N/A</v>
      </c>
      <c r="FD263" s="138" t="e">
        <f>IF(VLOOKUP(CONCATENATE(H263,F263,FD$2),Ciencias!$A:$H,7,FALSE)=BR263,1,0)</f>
        <v>#N/A</v>
      </c>
      <c r="FE263" s="138" t="e">
        <f>IF(VLOOKUP(CONCATENATE(H263,F263,FE$2),Ciencias!$A:$H,7,FALSE)=BS263,1,0)</f>
        <v>#N/A</v>
      </c>
      <c r="FF263" s="138" t="e">
        <f>IF(VLOOKUP(CONCATENATE(H263,F263,FF$2),Ciencias!$A:$H,7,FALSE)=BT263,1,0)</f>
        <v>#N/A</v>
      </c>
      <c r="FG263" s="138" t="e">
        <f>IF(VLOOKUP(CONCATENATE(H263,F263,FG$2),Ciencias!$A:$H,7,FALSE)=BU263,1,0)</f>
        <v>#N/A</v>
      </c>
      <c r="FH263" s="138" t="e">
        <f>IF(VLOOKUP(CONCATENATE(H263,F263,FH$2),Ciencias!$A:$H,7,FALSE)=BV263,1,0)</f>
        <v>#N/A</v>
      </c>
      <c r="FI263" s="138" t="e">
        <f>IF(VLOOKUP(CONCATENATE(H263,F263,FI$2),Ciencias!$A:$H,7,FALSE)=BW263,1,0)</f>
        <v>#N/A</v>
      </c>
      <c r="FJ263" s="138" t="e">
        <f>IF(VLOOKUP(CONCATENATE(H263,F263,FJ$2),Ciencias!$A:$H,7,FALSE)=BX263,1,0)</f>
        <v>#N/A</v>
      </c>
      <c r="FK263" s="138" t="e">
        <f>IF(VLOOKUP(CONCATENATE(H263,F263,FK$2),Ciencias!$A:$H,7,FALSE)=BY263,1,0)</f>
        <v>#N/A</v>
      </c>
      <c r="FL263" s="138" t="e">
        <f>IF(VLOOKUP(CONCATENATE(H263,F263,FL$2),Ciencias!$A:$H,7,FALSE)=BZ263,1,0)</f>
        <v>#N/A</v>
      </c>
      <c r="FM263" s="138" t="e">
        <f>IF(VLOOKUP(CONCATENATE(H263,F263,FM$2),Ciencias!$A:$H,7,FALSE)=CA263,1,0)</f>
        <v>#N/A</v>
      </c>
      <c r="FN263" s="138" t="e">
        <f>IF(VLOOKUP(CONCATENATE(H263,F263,FN$2),Ciencias!$A:$H,7,FALSE)=CB263,1,0)</f>
        <v>#N/A</v>
      </c>
      <c r="FO263" s="138" t="e">
        <f>IF(VLOOKUP(CONCATENATE(H263,F263,FO$2),Ciencias!$A:$H,7,FALSE)=CC263,1,0)</f>
        <v>#N/A</v>
      </c>
      <c r="FP263" s="138" t="e">
        <f>IF(VLOOKUP(CONCATENATE(H263,F263,FP$2),GeoHis!$A:$H,7,FALSE)=CD263,1,0)</f>
        <v>#N/A</v>
      </c>
      <c r="FQ263" s="138" t="e">
        <f>IF(VLOOKUP(CONCATENATE(H263,F263,FQ$2),GeoHis!$A:$H,7,FALSE)=CE263,1,0)</f>
        <v>#N/A</v>
      </c>
      <c r="FR263" s="138" t="e">
        <f>IF(VLOOKUP(CONCATENATE(H263,F263,FR$2),GeoHis!$A:$H,7,FALSE)=CF263,1,0)</f>
        <v>#N/A</v>
      </c>
      <c r="FS263" s="138" t="e">
        <f>IF(VLOOKUP(CONCATENATE(H263,F263,FS$2),GeoHis!$A:$H,7,FALSE)=CG263,1,0)</f>
        <v>#N/A</v>
      </c>
      <c r="FT263" s="138" t="e">
        <f>IF(VLOOKUP(CONCATENATE(H263,F263,FT$2),GeoHis!$A:$H,7,FALSE)=CH263,1,0)</f>
        <v>#N/A</v>
      </c>
      <c r="FU263" s="138" t="e">
        <f>IF(VLOOKUP(CONCATENATE(H263,F263,FU$2),GeoHis!$A:$H,7,FALSE)=CI263,1,0)</f>
        <v>#N/A</v>
      </c>
      <c r="FV263" s="138" t="e">
        <f>IF(VLOOKUP(CONCATENATE(H263,F263,FV$2),GeoHis!$A:$H,7,FALSE)=CJ263,1,0)</f>
        <v>#N/A</v>
      </c>
      <c r="FW263" s="138" t="e">
        <f>IF(VLOOKUP(CONCATENATE(H263,F263,FW$2),GeoHis!$A:$H,7,FALSE)=CK263,1,0)</f>
        <v>#N/A</v>
      </c>
      <c r="FX263" s="138" t="e">
        <f>IF(VLOOKUP(CONCATENATE(H263,F263,FX$2),GeoHis!$A:$H,7,FALSE)=CL263,1,0)</f>
        <v>#N/A</v>
      </c>
      <c r="FY263" s="138" t="e">
        <f>IF(VLOOKUP(CONCATENATE(H263,F263,FY$2),GeoHis!$A:$H,7,FALSE)=CM263,1,0)</f>
        <v>#N/A</v>
      </c>
      <c r="FZ263" s="138" t="e">
        <f>IF(VLOOKUP(CONCATENATE(H263,F263,FZ$2),GeoHis!$A:$H,7,FALSE)=CN263,1,0)</f>
        <v>#N/A</v>
      </c>
      <c r="GA263" s="138" t="e">
        <f>IF(VLOOKUP(CONCATENATE(H263,F263,GA$2),GeoHis!$A:$H,7,FALSE)=CO263,1,0)</f>
        <v>#N/A</v>
      </c>
      <c r="GB263" s="138" t="e">
        <f>IF(VLOOKUP(CONCATENATE(H263,F263,GB$2),GeoHis!$A:$H,7,FALSE)=CP263,1,0)</f>
        <v>#N/A</v>
      </c>
      <c r="GC263" s="138" t="e">
        <f>IF(VLOOKUP(CONCATENATE(H263,F263,GC$2),GeoHis!$A:$H,7,FALSE)=CQ263,1,0)</f>
        <v>#N/A</v>
      </c>
      <c r="GD263" s="138" t="e">
        <f>IF(VLOOKUP(CONCATENATE(H263,F263,GD$2),GeoHis!$A:$H,7,FALSE)=CR263,1,0)</f>
        <v>#N/A</v>
      </c>
      <c r="GE263" s="135" t="str">
        <f t="shared" si="39"/>
        <v/>
      </c>
    </row>
    <row r="264" spans="1:187" x14ac:dyDescent="0.25">
      <c r="A264" s="127" t="str">
        <f>IF(C264="","",'Datos Generales'!$A$25)</f>
        <v/>
      </c>
      <c r="D264" s="126" t="str">
        <f t="shared" si="32"/>
        <v/>
      </c>
      <c r="E264" s="126">
        <f t="shared" si="33"/>
        <v>0</v>
      </c>
      <c r="F264" s="126" t="str">
        <f t="shared" si="34"/>
        <v/>
      </c>
      <c r="G264" s="126" t="str">
        <f>IF(C264="","",'Datos Generales'!$D$19)</f>
        <v/>
      </c>
      <c r="H264" s="21" t="str">
        <f>IF(C264="","",'Datos Generales'!$A$19)</f>
        <v/>
      </c>
      <c r="I264" s="126" t="str">
        <f>IF(C264="","",'Datos Generales'!$A$7)</f>
        <v/>
      </c>
      <c r="J264" s="21" t="str">
        <f>IF(C264="","",'Datos Generales'!$A$13)</f>
        <v/>
      </c>
      <c r="K264" s="21" t="str">
        <f>IF(C264="","",'Datos Generales'!$A$10)</f>
        <v/>
      </c>
      <c r="CS264" s="142" t="str">
        <f t="shared" si="35"/>
        <v/>
      </c>
      <c r="CT264" s="142" t="str">
        <f t="shared" si="36"/>
        <v/>
      </c>
      <c r="CU264" s="142" t="str">
        <f t="shared" si="37"/>
        <v/>
      </c>
      <c r="CV264" s="142" t="str">
        <f t="shared" si="38"/>
        <v/>
      </c>
      <c r="CW264" s="142" t="str">
        <f>IF(C264="","",IF('Datos Generales'!$A$19=1,AVERAGE(FP264:GD264),AVERAGE(Captura!FP264:FY264)))</f>
        <v/>
      </c>
      <c r="CX264" s="138" t="e">
        <f>IF(VLOOKUP(CONCATENATE($H$4,$F$4,CX$2),Español!$A:$H,7,FALSE)=L264,1,0)</f>
        <v>#N/A</v>
      </c>
      <c r="CY264" s="138" t="e">
        <f>IF(VLOOKUP(CONCATENATE(H264,F264,CY$2),Español!$A:$H,7,FALSE)=M264,1,0)</f>
        <v>#N/A</v>
      </c>
      <c r="CZ264" s="138" t="e">
        <f>IF(VLOOKUP(CONCATENATE(H264,F264,CZ$2),Español!$A:$H,7,FALSE)=N264,1,0)</f>
        <v>#N/A</v>
      </c>
      <c r="DA264" s="138" t="e">
        <f>IF(VLOOKUP(CONCATENATE(H264,F264,DA$2),Español!$A:$H,7,FALSE)=O264,1,0)</f>
        <v>#N/A</v>
      </c>
      <c r="DB264" s="138" t="e">
        <f>IF(VLOOKUP(CONCATENATE(H264,F264,DB$2),Español!$A:$H,7,FALSE)=P264,1,0)</f>
        <v>#N/A</v>
      </c>
      <c r="DC264" s="138" t="e">
        <f>IF(VLOOKUP(CONCATENATE(H264,F264,DC$2),Español!$A:$H,7,FALSE)=Q264,1,0)</f>
        <v>#N/A</v>
      </c>
      <c r="DD264" s="138" t="e">
        <f>IF(VLOOKUP(CONCATENATE(H264,F264,DD$2),Español!$A:$H,7,FALSE)=R264,1,0)</f>
        <v>#N/A</v>
      </c>
      <c r="DE264" s="138" t="e">
        <f>IF(VLOOKUP(CONCATENATE(H264,F264,DE$2),Español!$A:$H,7,FALSE)=S264,1,0)</f>
        <v>#N/A</v>
      </c>
      <c r="DF264" s="138" t="e">
        <f>IF(VLOOKUP(CONCATENATE(H264,F264,DF$2),Español!$A:$H,7,FALSE)=T264,1,0)</f>
        <v>#N/A</v>
      </c>
      <c r="DG264" s="138" t="e">
        <f>IF(VLOOKUP(CONCATENATE(H264,F264,DG$2),Español!$A:$H,7,FALSE)=U264,1,0)</f>
        <v>#N/A</v>
      </c>
      <c r="DH264" s="138" t="e">
        <f>IF(VLOOKUP(CONCATENATE(H264,F264,DH$2),Español!$A:$H,7,FALSE)=V264,1,0)</f>
        <v>#N/A</v>
      </c>
      <c r="DI264" s="138" t="e">
        <f>IF(VLOOKUP(CONCATENATE(H264,F264,DI$2),Español!$A:$H,7,FALSE)=W264,1,0)</f>
        <v>#N/A</v>
      </c>
      <c r="DJ264" s="138" t="e">
        <f>IF(VLOOKUP(CONCATENATE(H264,F264,DJ$2),Español!$A:$H,7,FALSE)=X264,1,0)</f>
        <v>#N/A</v>
      </c>
      <c r="DK264" s="138" t="e">
        <f>IF(VLOOKUP(CONCATENATE(H264,F264,DK$2),Español!$A:$H,7,FALSE)=Y264,1,0)</f>
        <v>#N/A</v>
      </c>
      <c r="DL264" s="138" t="e">
        <f>IF(VLOOKUP(CONCATENATE(H264,F264,DL$2),Español!$A:$H,7,FALSE)=Z264,1,0)</f>
        <v>#N/A</v>
      </c>
      <c r="DM264" s="138" t="e">
        <f>IF(VLOOKUP(CONCATENATE(H264,F264,DM$2),Español!$A:$H,7,FALSE)=AA264,1,0)</f>
        <v>#N/A</v>
      </c>
      <c r="DN264" s="138" t="e">
        <f>IF(VLOOKUP(CONCATENATE(H264,F264,DN$2),Español!$A:$H,7,FALSE)=AB264,1,0)</f>
        <v>#N/A</v>
      </c>
      <c r="DO264" s="138" t="e">
        <f>IF(VLOOKUP(CONCATENATE(H264,F264,DO$2),Español!$A:$H,7,FALSE)=AC264,1,0)</f>
        <v>#N/A</v>
      </c>
      <c r="DP264" s="138" t="e">
        <f>IF(VLOOKUP(CONCATENATE(H264,F264,DP$2),Español!$A:$H,7,FALSE)=AD264,1,0)</f>
        <v>#N/A</v>
      </c>
      <c r="DQ264" s="138" t="e">
        <f>IF(VLOOKUP(CONCATENATE(H264,F264,DQ$2),Español!$A:$H,7,FALSE)=AE264,1,0)</f>
        <v>#N/A</v>
      </c>
      <c r="DR264" s="138" t="e">
        <f>IF(VLOOKUP(CONCATENATE(H264,F264,DR$2),Inglés!$A:$H,7,FALSE)=AF264,1,0)</f>
        <v>#N/A</v>
      </c>
      <c r="DS264" s="138" t="e">
        <f>IF(VLOOKUP(CONCATENATE(H264,F264,DS$2),Inglés!$A:$H,7,FALSE)=AG264,1,0)</f>
        <v>#N/A</v>
      </c>
      <c r="DT264" s="138" t="e">
        <f>IF(VLOOKUP(CONCATENATE(H264,F264,DT$2),Inglés!$A:$H,7,FALSE)=AH264,1,0)</f>
        <v>#N/A</v>
      </c>
      <c r="DU264" s="138" t="e">
        <f>IF(VLOOKUP(CONCATENATE(H264,F264,DU$2),Inglés!$A:$H,7,FALSE)=AI264,1,0)</f>
        <v>#N/A</v>
      </c>
      <c r="DV264" s="138" t="e">
        <f>IF(VLOOKUP(CONCATENATE(H264,F264,DV$2),Inglés!$A:$H,7,FALSE)=AJ264,1,0)</f>
        <v>#N/A</v>
      </c>
      <c r="DW264" s="138" t="e">
        <f>IF(VLOOKUP(CONCATENATE(H264,F264,DW$2),Inglés!$A:$H,7,FALSE)=AK264,1,0)</f>
        <v>#N/A</v>
      </c>
      <c r="DX264" s="138" t="e">
        <f>IF(VLOOKUP(CONCATENATE(H264,F264,DX$2),Inglés!$A:$H,7,FALSE)=AL264,1,0)</f>
        <v>#N/A</v>
      </c>
      <c r="DY264" s="138" t="e">
        <f>IF(VLOOKUP(CONCATENATE(H264,F264,DY$2),Inglés!$A:$H,7,FALSE)=AM264,1,0)</f>
        <v>#N/A</v>
      </c>
      <c r="DZ264" s="138" t="e">
        <f>IF(VLOOKUP(CONCATENATE(H264,F264,DZ$2),Inglés!$A:$H,7,FALSE)=AN264,1,0)</f>
        <v>#N/A</v>
      </c>
      <c r="EA264" s="138" t="e">
        <f>IF(VLOOKUP(CONCATENATE(H264,F264,EA$2),Inglés!$A:$H,7,FALSE)=AO264,1,0)</f>
        <v>#N/A</v>
      </c>
      <c r="EB264" s="138" t="e">
        <f>IF(VLOOKUP(CONCATENATE(H264,F264,EB$2),Matemáticas!$A:$H,7,FALSE)=AP264,1,0)</f>
        <v>#N/A</v>
      </c>
      <c r="EC264" s="138" t="e">
        <f>IF(VLOOKUP(CONCATENATE(H264,F264,EC$2),Matemáticas!$A:$H,7,FALSE)=AQ264,1,0)</f>
        <v>#N/A</v>
      </c>
      <c r="ED264" s="138" t="e">
        <f>IF(VLOOKUP(CONCATENATE(H264,F264,ED$2),Matemáticas!$A:$H,7,FALSE)=AR264,1,0)</f>
        <v>#N/A</v>
      </c>
      <c r="EE264" s="138" t="e">
        <f>IF(VLOOKUP(CONCATENATE(H264,F264,EE$2),Matemáticas!$A:$H,7,FALSE)=AS264,1,0)</f>
        <v>#N/A</v>
      </c>
      <c r="EF264" s="138" t="e">
        <f>IF(VLOOKUP(CONCATENATE(H264,F264,EF$2),Matemáticas!$A:$H,7,FALSE)=AT264,1,0)</f>
        <v>#N/A</v>
      </c>
      <c r="EG264" s="138" t="e">
        <f>IF(VLOOKUP(CONCATENATE(H264,F264,EG$2),Matemáticas!$A:$H,7,FALSE)=AU264,1,0)</f>
        <v>#N/A</v>
      </c>
      <c r="EH264" s="138" t="e">
        <f>IF(VLOOKUP(CONCATENATE(H264,F264,EH$2),Matemáticas!$A:$H,7,FALSE)=AV264,1,0)</f>
        <v>#N/A</v>
      </c>
      <c r="EI264" s="138" t="e">
        <f>IF(VLOOKUP(CONCATENATE(H264,F264,EI$2),Matemáticas!$A:$H,7,FALSE)=AW264,1,0)</f>
        <v>#N/A</v>
      </c>
      <c r="EJ264" s="138" t="e">
        <f>IF(VLOOKUP(CONCATENATE(H264,F264,EJ$2),Matemáticas!$A:$H,7,FALSE)=AX264,1,0)</f>
        <v>#N/A</v>
      </c>
      <c r="EK264" s="138" t="e">
        <f>IF(VLOOKUP(CONCATENATE(H264,F264,EK$2),Matemáticas!$A:$H,7,FALSE)=AY264,1,0)</f>
        <v>#N/A</v>
      </c>
      <c r="EL264" s="138" t="e">
        <f>IF(VLOOKUP(CONCATENATE(H264,F264,EL$2),Matemáticas!$A:$H,7,FALSE)=AZ264,1,0)</f>
        <v>#N/A</v>
      </c>
      <c r="EM264" s="138" t="e">
        <f>IF(VLOOKUP(CONCATENATE(H264,F264,EM$2),Matemáticas!$A:$H,7,FALSE)=BA264,1,0)</f>
        <v>#N/A</v>
      </c>
      <c r="EN264" s="138" t="e">
        <f>IF(VLOOKUP(CONCATENATE(H264,F264,EN$2),Matemáticas!$A:$H,7,FALSE)=BB264,1,0)</f>
        <v>#N/A</v>
      </c>
      <c r="EO264" s="138" t="e">
        <f>IF(VLOOKUP(CONCATENATE(H264,F264,EO$2),Matemáticas!$A:$H,7,FALSE)=BC264,1,0)</f>
        <v>#N/A</v>
      </c>
      <c r="EP264" s="138" t="e">
        <f>IF(VLOOKUP(CONCATENATE(H264,F264,EP$2),Matemáticas!$A:$H,7,FALSE)=BD264,1,0)</f>
        <v>#N/A</v>
      </c>
      <c r="EQ264" s="138" t="e">
        <f>IF(VLOOKUP(CONCATENATE(H264,F264,EQ$2),Matemáticas!$A:$H,7,FALSE)=BE264,1,0)</f>
        <v>#N/A</v>
      </c>
      <c r="ER264" s="138" t="e">
        <f>IF(VLOOKUP(CONCATENATE(H264,F264,ER$2),Matemáticas!$A:$H,7,FALSE)=BF264,1,0)</f>
        <v>#N/A</v>
      </c>
      <c r="ES264" s="138" t="e">
        <f>IF(VLOOKUP(CONCATENATE(H264,F264,ES$2),Matemáticas!$A:$H,7,FALSE)=BG264,1,0)</f>
        <v>#N/A</v>
      </c>
      <c r="ET264" s="138" t="e">
        <f>IF(VLOOKUP(CONCATENATE(H264,F264,ET$2),Matemáticas!$A:$H,7,FALSE)=BH264,1,0)</f>
        <v>#N/A</v>
      </c>
      <c r="EU264" s="138" t="e">
        <f>IF(VLOOKUP(CONCATENATE(H264,F264,EU$2),Matemáticas!$A:$H,7,FALSE)=BI264,1,0)</f>
        <v>#N/A</v>
      </c>
      <c r="EV264" s="138" t="e">
        <f>IF(VLOOKUP(CONCATENATE(H264,F264,EV$2),Ciencias!$A:$H,7,FALSE)=BJ264,1,0)</f>
        <v>#N/A</v>
      </c>
      <c r="EW264" s="138" t="e">
        <f>IF(VLOOKUP(CONCATENATE(H264,F264,EW$2),Ciencias!$A:$H,7,FALSE)=BK264,1,0)</f>
        <v>#N/A</v>
      </c>
      <c r="EX264" s="138" t="e">
        <f>IF(VLOOKUP(CONCATENATE(H264,F264,EX$2),Ciencias!$A:$H,7,FALSE)=BL264,1,0)</f>
        <v>#N/A</v>
      </c>
      <c r="EY264" s="138" t="e">
        <f>IF(VLOOKUP(CONCATENATE(H264,F264,EY$2),Ciencias!$A:$H,7,FALSE)=BM264,1,0)</f>
        <v>#N/A</v>
      </c>
      <c r="EZ264" s="138" t="e">
        <f>IF(VLOOKUP(CONCATENATE(H264,F264,EZ$2),Ciencias!$A:$H,7,FALSE)=BN264,1,0)</f>
        <v>#N/A</v>
      </c>
      <c r="FA264" s="138" t="e">
        <f>IF(VLOOKUP(CONCATENATE(H264,F264,FA$2),Ciencias!$A:$H,7,FALSE)=BO264,1,0)</f>
        <v>#N/A</v>
      </c>
      <c r="FB264" s="138" t="e">
        <f>IF(VLOOKUP(CONCATENATE(H264,F264,FB$2),Ciencias!$A:$H,7,FALSE)=BP264,1,0)</f>
        <v>#N/A</v>
      </c>
      <c r="FC264" s="138" t="e">
        <f>IF(VLOOKUP(CONCATENATE(H264,F264,FC$2),Ciencias!$A:$H,7,FALSE)=BQ264,1,0)</f>
        <v>#N/A</v>
      </c>
      <c r="FD264" s="138" t="e">
        <f>IF(VLOOKUP(CONCATENATE(H264,F264,FD$2),Ciencias!$A:$H,7,FALSE)=BR264,1,0)</f>
        <v>#N/A</v>
      </c>
      <c r="FE264" s="138" t="e">
        <f>IF(VLOOKUP(CONCATENATE(H264,F264,FE$2),Ciencias!$A:$H,7,FALSE)=BS264,1,0)</f>
        <v>#N/A</v>
      </c>
      <c r="FF264" s="138" t="e">
        <f>IF(VLOOKUP(CONCATENATE(H264,F264,FF$2),Ciencias!$A:$H,7,FALSE)=BT264,1,0)</f>
        <v>#N/A</v>
      </c>
      <c r="FG264" s="138" t="e">
        <f>IF(VLOOKUP(CONCATENATE(H264,F264,FG$2),Ciencias!$A:$H,7,FALSE)=BU264,1,0)</f>
        <v>#N/A</v>
      </c>
      <c r="FH264" s="138" t="e">
        <f>IF(VLOOKUP(CONCATENATE(H264,F264,FH$2),Ciencias!$A:$H,7,FALSE)=BV264,1,0)</f>
        <v>#N/A</v>
      </c>
      <c r="FI264" s="138" t="e">
        <f>IF(VLOOKUP(CONCATENATE(H264,F264,FI$2),Ciencias!$A:$H,7,FALSE)=BW264,1,0)</f>
        <v>#N/A</v>
      </c>
      <c r="FJ264" s="138" t="e">
        <f>IF(VLOOKUP(CONCATENATE(H264,F264,FJ$2),Ciencias!$A:$H,7,FALSE)=BX264,1,0)</f>
        <v>#N/A</v>
      </c>
      <c r="FK264" s="138" t="e">
        <f>IF(VLOOKUP(CONCATENATE(H264,F264,FK$2),Ciencias!$A:$H,7,FALSE)=BY264,1,0)</f>
        <v>#N/A</v>
      </c>
      <c r="FL264" s="138" t="e">
        <f>IF(VLOOKUP(CONCATENATE(H264,F264,FL$2),Ciencias!$A:$H,7,FALSE)=BZ264,1,0)</f>
        <v>#N/A</v>
      </c>
      <c r="FM264" s="138" t="e">
        <f>IF(VLOOKUP(CONCATENATE(H264,F264,FM$2),Ciencias!$A:$H,7,FALSE)=CA264,1,0)</f>
        <v>#N/A</v>
      </c>
      <c r="FN264" s="138" t="e">
        <f>IF(VLOOKUP(CONCATENATE(H264,F264,FN$2),Ciencias!$A:$H,7,FALSE)=CB264,1,0)</f>
        <v>#N/A</v>
      </c>
      <c r="FO264" s="138" t="e">
        <f>IF(VLOOKUP(CONCATENATE(H264,F264,FO$2),Ciencias!$A:$H,7,FALSE)=CC264,1,0)</f>
        <v>#N/A</v>
      </c>
      <c r="FP264" s="138" t="e">
        <f>IF(VLOOKUP(CONCATENATE(H264,F264,FP$2),GeoHis!$A:$H,7,FALSE)=CD264,1,0)</f>
        <v>#N/A</v>
      </c>
      <c r="FQ264" s="138" t="e">
        <f>IF(VLOOKUP(CONCATENATE(H264,F264,FQ$2),GeoHis!$A:$H,7,FALSE)=CE264,1,0)</f>
        <v>#N/A</v>
      </c>
      <c r="FR264" s="138" t="e">
        <f>IF(VLOOKUP(CONCATENATE(H264,F264,FR$2),GeoHis!$A:$H,7,FALSE)=CF264,1,0)</f>
        <v>#N/A</v>
      </c>
      <c r="FS264" s="138" t="e">
        <f>IF(VLOOKUP(CONCATENATE(H264,F264,FS$2),GeoHis!$A:$H,7,FALSE)=CG264,1,0)</f>
        <v>#N/A</v>
      </c>
      <c r="FT264" s="138" t="e">
        <f>IF(VLOOKUP(CONCATENATE(H264,F264,FT$2),GeoHis!$A:$H,7,FALSE)=CH264,1,0)</f>
        <v>#N/A</v>
      </c>
      <c r="FU264" s="138" t="e">
        <f>IF(VLOOKUP(CONCATENATE(H264,F264,FU$2),GeoHis!$A:$H,7,FALSE)=CI264,1,0)</f>
        <v>#N/A</v>
      </c>
      <c r="FV264" s="138" t="e">
        <f>IF(VLOOKUP(CONCATENATE(H264,F264,FV$2),GeoHis!$A:$H,7,FALSE)=CJ264,1,0)</f>
        <v>#N/A</v>
      </c>
      <c r="FW264" s="138" t="e">
        <f>IF(VLOOKUP(CONCATENATE(H264,F264,FW$2),GeoHis!$A:$H,7,FALSE)=CK264,1,0)</f>
        <v>#N/A</v>
      </c>
      <c r="FX264" s="138" t="e">
        <f>IF(VLOOKUP(CONCATENATE(H264,F264,FX$2),GeoHis!$A:$H,7,FALSE)=CL264,1,0)</f>
        <v>#N/A</v>
      </c>
      <c r="FY264" s="138" t="e">
        <f>IF(VLOOKUP(CONCATENATE(H264,F264,FY$2),GeoHis!$A:$H,7,FALSE)=CM264,1,0)</f>
        <v>#N/A</v>
      </c>
      <c r="FZ264" s="138" t="e">
        <f>IF(VLOOKUP(CONCATENATE(H264,F264,FZ$2),GeoHis!$A:$H,7,FALSE)=CN264,1,0)</f>
        <v>#N/A</v>
      </c>
      <c r="GA264" s="138" t="e">
        <f>IF(VLOOKUP(CONCATENATE(H264,F264,GA$2),GeoHis!$A:$H,7,FALSE)=CO264,1,0)</f>
        <v>#N/A</v>
      </c>
      <c r="GB264" s="138" t="e">
        <f>IF(VLOOKUP(CONCATENATE(H264,F264,GB$2),GeoHis!$A:$H,7,FALSE)=CP264,1,0)</f>
        <v>#N/A</v>
      </c>
      <c r="GC264" s="138" t="e">
        <f>IF(VLOOKUP(CONCATENATE(H264,F264,GC$2),GeoHis!$A:$H,7,FALSE)=CQ264,1,0)</f>
        <v>#N/A</v>
      </c>
      <c r="GD264" s="138" t="e">
        <f>IF(VLOOKUP(CONCATENATE(H264,F264,GD$2),GeoHis!$A:$H,7,FALSE)=CR264,1,0)</f>
        <v>#N/A</v>
      </c>
      <c r="GE264" s="135" t="str">
        <f t="shared" si="39"/>
        <v/>
      </c>
    </row>
    <row r="265" spans="1:187" x14ac:dyDescent="0.25">
      <c r="A265" s="127" t="str">
        <f>IF(C265="","",'Datos Generales'!$A$25)</f>
        <v/>
      </c>
      <c r="D265" s="126" t="str">
        <f t="shared" si="32"/>
        <v/>
      </c>
      <c r="E265" s="126">
        <f t="shared" si="33"/>
        <v>0</v>
      </c>
      <c r="F265" s="126" t="str">
        <f t="shared" si="34"/>
        <v/>
      </c>
      <c r="G265" s="126" t="str">
        <f>IF(C265="","",'Datos Generales'!$D$19)</f>
        <v/>
      </c>
      <c r="H265" s="21" t="str">
        <f>IF(C265="","",'Datos Generales'!$A$19)</f>
        <v/>
      </c>
      <c r="I265" s="126" t="str">
        <f>IF(C265="","",'Datos Generales'!$A$7)</f>
        <v/>
      </c>
      <c r="J265" s="21" t="str">
        <f>IF(C265="","",'Datos Generales'!$A$13)</f>
        <v/>
      </c>
      <c r="K265" s="21" t="str">
        <f>IF(C265="","",'Datos Generales'!$A$10)</f>
        <v/>
      </c>
      <c r="CS265" s="142" t="str">
        <f t="shared" si="35"/>
        <v/>
      </c>
      <c r="CT265" s="142" t="str">
        <f t="shared" si="36"/>
        <v/>
      </c>
      <c r="CU265" s="142" t="str">
        <f t="shared" si="37"/>
        <v/>
      </c>
      <c r="CV265" s="142" t="str">
        <f t="shared" si="38"/>
        <v/>
      </c>
      <c r="CW265" s="142" t="str">
        <f>IF(C265="","",IF('Datos Generales'!$A$19=1,AVERAGE(FP265:GD265),AVERAGE(Captura!FP265:FY265)))</f>
        <v/>
      </c>
      <c r="CX265" s="138" t="e">
        <f>IF(VLOOKUP(CONCATENATE($H$4,$F$4,CX$2),Español!$A:$H,7,FALSE)=L265,1,0)</f>
        <v>#N/A</v>
      </c>
      <c r="CY265" s="138" t="e">
        <f>IF(VLOOKUP(CONCATENATE(H265,F265,CY$2),Español!$A:$H,7,FALSE)=M265,1,0)</f>
        <v>#N/A</v>
      </c>
      <c r="CZ265" s="138" t="e">
        <f>IF(VLOOKUP(CONCATENATE(H265,F265,CZ$2),Español!$A:$H,7,FALSE)=N265,1,0)</f>
        <v>#N/A</v>
      </c>
      <c r="DA265" s="138" t="e">
        <f>IF(VLOOKUP(CONCATENATE(H265,F265,DA$2),Español!$A:$H,7,FALSE)=O265,1,0)</f>
        <v>#N/A</v>
      </c>
      <c r="DB265" s="138" t="e">
        <f>IF(VLOOKUP(CONCATENATE(H265,F265,DB$2),Español!$A:$H,7,FALSE)=P265,1,0)</f>
        <v>#N/A</v>
      </c>
      <c r="DC265" s="138" t="e">
        <f>IF(VLOOKUP(CONCATENATE(H265,F265,DC$2),Español!$A:$H,7,FALSE)=Q265,1,0)</f>
        <v>#N/A</v>
      </c>
      <c r="DD265" s="138" t="e">
        <f>IF(VLOOKUP(CONCATENATE(H265,F265,DD$2),Español!$A:$H,7,FALSE)=R265,1,0)</f>
        <v>#N/A</v>
      </c>
      <c r="DE265" s="138" t="e">
        <f>IF(VLOOKUP(CONCATENATE(H265,F265,DE$2),Español!$A:$H,7,FALSE)=S265,1,0)</f>
        <v>#N/A</v>
      </c>
      <c r="DF265" s="138" t="e">
        <f>IF(VLOOKUP(CONCATENATE(H265,F265,DF$2),Español!$A:$H,7,FALSE)=T265,1,0)</f>
        <v>#N/A</v>
      </c>
      <c r="DG265" s="138" t="e">
        <f>IF(VLOOKUP(CONCATENATE(H265,F265,DG$2),Español!$A:$H,7,FALSE)=U265,1,0)</f>
        <v>#N/A</v>
      </c>
      <c r="DH265" s="138" t="e">
        <f>IF(VLOOKUP(CONCATENATE(H265,F265,DH$2),Español!$A:$H,7,FALSE)=V265,1,0)</f>
        <v>#N/A</v>
      </c>
      <c r="DI265" s="138" t="e">
        <f>IF(VLOOKUP(CONCATENATE(H265,F265,DI$2),Español!$A:$H,7,FALSE)=W265,1,0)</f>
        <v>#N/A</v>
      </c>
      <c r="DJ265" s="138" t="e">
        <f>IF(VLOOKUP(CONCATENATE(H265,F265,DJ$2),Español!$A:$H,7,FALSE)=X265,1,0)</f>
        <v>#N/A</v>
      </c>
      <c r="DK265" s="138" t="e">
        <f>IF(VLOOKUP(CONCATENATE(H265,F265,DK$2),Español!$A:$H,7,FALSE)=Y265,1,0)</f>
        <v>#N/A</v>
      </c>
      <c r="DL265" s="138" t="e">
        <f>IF(VLOOKUP(CONCATENATE(H265,F265,DL$2),Español!$A:$H,7,FALSE)=Z265,1,0)</f>
        <v>#N/A</v>
      </c>
      <c r="DM265" s="138" t="e">
        <f>IF(VLOOKUP(CONCATENATE(H265,F265,DM$2),Español!$A:$H,7,FALSE)=AA265,1,0)</f>
        <v>#N/A</v>
      </c>
      <c r="DN265" s="138" t="e">
        <f>IF(VLOOKUP(CONCATENATE(H265,F265,DN$2),Español!$A:$H,7,FALSE)=AB265,1,0)</f>
        <v>#N/A</v>
      </c>
      <c r="DO265" s="138" t="e">
        <f>IF(VLOOKUP(CONCATENATE(H265,F265,DO$2),Español!$A:$H,7,FALSE)=AC265,1,0)</f>
        <v>#N/A</v>
      </c>
      <c r="DP265" s="138" t="e">
        <f>IF(VLOOKUP(CONCATENATE(H265,F265,DP$2),Español!$A:$H,7,FALSE)=AD265,1,0)</f>
        <v>#N/A</v>
      </c>
      <c r="DQ265" s="138" t="e">
        <f>IF(VLOOKUP(CONCATENATE(H265,F265,DQ$2),Español!$A:$H,7,FALSE)=AE265,1,0)</f>
        <v>#N/A</v>
      </c>
      <c r="DR265" s="138" t="e">
        <f>IF(VLOOKUP(CONCATENATE(H265,F265,DR$2),Inglés!$A:$H,7,FALSE)=AF265,1,0)</f>
        <v>#N/A</v>
      </c>
      <c r="DS265" s="138" t="e">
        <f>IF(VLOOKUP(CONCATENATE(H265,F265,DS$2),Inglés!$A:$H,7,FALSE)=AG265,1,0)</f>
        <v>#N/A</v>
      </c>
      <c r="DT265" s="138" t="e">
        <f>IF(VLOOKUP(CONCATENATE(H265,F265,DT$2),Inglés!$A:$H,7,FALSE)=AH265,1,0)</f>
        <v>#N/A</v>
      </c>
      <c r="DU265" s="138" t="e">
        <f>IF(VLOOKUP(CONCATENATE(H265,F265,DU$2),Inglés!$A:$H,7,FALSE)=AI265,1,0)</f>
        <v>#N/A</v>
      </c>
      <c r="DV265" s="138" t="e">
        <f>IF(VLOOKUP(CONCATENATE(H265,F265,DV$2),Inglés!$A:$H,7,FALSE)=AJ265,1,0)</f>
        <v>#N/A</v>
      </c>
      <c r="DW265" s="138" t="e">
        <f>IF(VLOOKUP(CONCATENATE(H265,F265,DW$2),Inglés!$A:$H,7,FALSE)=AK265,1,0)</f>
        <v>#N/A</v>
      </c>
      <c r="DX265" s="138" t="e">
        <f>IF(VLOOKUP(CONCATENATE(H265,F265,DX$2),Inglés!$A:$H,7,FALSE)=AL265,1,0)</f>
        <v>#N/A</v>
      </c>
      <c r="DY265" s="138" t="e">
        <f>IF(VLOOKUP(CONCATENATE(H265,F265,DY$2),Inglés!$A:$H,7,FALSE)=AM265,1,0)</f>
        <v>#N/A</v>
      </c>
      <c r="DZ265" s="138" t="e">
        <f>IF(VLOOKUP(CONCATENATE(H265,F265,DZ$2),Inglés!$A:$H,7,FALSE)=AN265,1,0)</f>
        <v>#N/A</v>
      </c>
      <c r="EA265" s="138" t="e">
        <f>IF(VLOOKUP(CONCATENATE(H265,F265,EA$2),Inglés!$A:$H,7,FALSE)=AO265,1,0)</f>
        <v>#N/A</v>
      </c>
      <c r="EB265" s="138" t="e">
        <f>IF(VLOOKUP(CONCATENATE(H265,F265,EB$2),Matemáticas!$A:$H,7,FALSE)=AP265,1,0)</f>
        <v>#N/A</v>
      </c>
      <c r="EC265" s="138" t="e">
        <f>IF(VLOOKUP(CONCATENATE(H265,F265,EC$2),Matemáticas!$A:$H,7,FALSE)=AQ265,1,0)</f>
        <v>#N/A</v>
      </c>
      <c r="ED265" s="138" t="e">
        <f>IF(VLOOKUP(CONCATENATE(H265,F265,ED$2),Matemáticas!$A:$H,7,FALSE)=AR265,1,0)</f>
        <v>#N/A</v>
      </c>
      <c r="EE265" s="138" t="e">
        <f>IF(VLOOKUP(CONCATENATE(H265,F265,EE$2),Matemáticas!$A:$H,7,FALSE)=AS265,1,0)</f>
        <v>#N/A</v>
      </c>
      <c r="EF265" s="138" t="e">
        <f>IF(VLOOKUP(CONCATENATE(H265,F265,EF$2),Matemáticas!$A:$H,7,FALSE)=AT265,1,0)</f>
        <v>#N/A</v>
      </c>
      <c r="EG265" s="138" t="e">
        <f>IF(VLOOKUP(CONCATENATE(H265,F265,EG$2),Matemáticas!$A:$H,7,FALSE)=AU265,1,0)</f>
        <v>#N/A</v>
      </c>
      <c r="EH265" s="138" t="e">
        <f>IF(VLOOKUP(CONCATENATE(H265,F265,EH$2),Matemáticas!$A:$H,7,FALSE)=AV265,1,0)</f>
        <v>#N/A</v>
      </c>
      <c r="EI265" s="138" t="e">
        <f>IF(VLOOKUP(CONCATENATE(H265,F265,EI$2),Matemáticas!$A:$H,7,FALSE)=AW265,1,0)</f>
        <v>#N/A</v>
      </c>
      <c r="EJ265" s="138" t="e">
        <f>IF(VLOOKUP(CONCATENATE(H265,F265,EJ$2),Matemáticas!$A:$H,7,FALSE)=AX265,1,0)</f>
        <v>#N/A</v>
      </c>
      <c r="EK265" s="138" t="e">
        <f>IF(VLOOKUP(CONCATENATE(H265,F265,EK$2),Matemáticas!$A:$H,7,FALSE)=AY265,1,0)</f>
        <v>#N/A</v>
      </c>
      <c r="EL265" s="138" t="e">
        <f>IF(VLOOKUP(CONCATENATE(H265,F265,EL$2),Matemáticas!$A:$H,7,FALSE)=AZ265,1,0)</f>
        <v>#N/A</v>
      </c>
      <c r="EM265" s="138" t="e">
        <f>IF(VLOOKUP(CONCATENATE(H265,F265,EM$2),Matemáticas!$A:$H,7,FALSE)=BA265,1,0)</f>
        <v>#N/A</v>
      </c>
      <c r="EN265" s="138" t="e">
        <f>IF(VLOOKUP(CONCATENATE(H265,F265,EN$2),Matemáticas!$A:$H,7,FALSE)=BB265,1,0)</f>
        <v>#N/A</v>
      </c>
      <c r="EO265" s="138" t="e">
        <f>IF(VLOOKUP(CONCATENATE(H265,F265,EO$2),Matemáticas!$A:$H,7,FALSE)=BC265,1,0)</f>
        <v>#N/A</v>
      </c>
      <c r="EP265" s="138" t="e">
        <f>IF(VLOOKUP(CONCATENATE(H265,F265,EP$2),Matemáticas!$A:$H,7,FALSE)=BD265,1,0)</f>
        <v>#N/A</v>
      </c>
      <c r="EQ265" s="138" t="e">
        <f>IF(VLOOKUP(CONCATENATE(H265,F265,EQ$2),Matemáticas!$A:$H,7,FALSE)=BE265,1,0)</f>
        <v>#N/A</v>
      </c>
      <c r="ER265" s="138" t="e">
        <f>IF(VLOOKUP(CONCATENATE(H265,F265,ER$2),Matemáticas!$A:$H,7,FALSE)=BF265,1,0)</f>
        <v>#N/A</v>
      </c>
      <c r="ES265" s="138" t="e">
        <f>IF(VLOOKUP(CONCATENATE(H265,F265,ES$2),Matemáticas!$A:$H,7,FALSE)=BG265,1,0)</f>
        <v>#N/A</v>
      </c>
      <c r="ET265" s="138" t="e">
        <f>IF(VLOOKUP(CONCATENATE(H265,F265,ET$2),Matemáticas!$A:$H,7,FALSE)=BH265,1,0)</f>
        <v>#N/A</v>
      </c>
      <c r="EU265" s="138" t="e">
        <f>IF(VLOOKUP(CONCATENATE(H265,F265,EU$2),Matemáticas!$A:$H,7,FALSE)=BI265,1,0)</f>
        <v>#N/A</v>
      </c>
      <c r="EV265" s="138" t="e">
        <f>IF(VLOOKUP(CONCATENATE(H265,F265,EV$2),Ciencias!$A:$H,7,FALSE)=BJ265,1,0)</f>
        <v>#N/A</v>
      </c>
      <c r="EW265" s="138" t="e">
        <f>IF(VLOOKUP(CONCATENATE(H265,F265,EW$2),Ciencias!$A:$H,7,FALSE)=BK265,1,0)</f>
        <v>#N/A</v>
      </c>
      <c r="EX265" s="138" t="e">
        <f>IF(VLOOKUP(CONCATENATE(H265,F265,EX$2),Ciencias!$A:$H,7,FALSE)=BL265,1,0)</f>
        <v>#N/A</v>
      </c>
      <c r="EY265" s="138" t="e">
        <f>IF(VLOOKUP(CONCATENATE(H265,F265,EY$2),Ciencias!$A:$H,7,FALSE)=BM265,1,0)</f>
        <v>#N/A</v>
      </c>
      <c r="EZ265" s="138" t="e">
        <f>IF(VLOOKUP(CONCATENATE(H265,F265,EZ$2),Ciencias!$A:$H,7,FALSE)=BN265,1,0)</f>
        <v>#N/A</v>
      </c>
      <c r="FA265" s="138" t="e">
        <f>IF(VLOOKUP(CONCATENATE(H265,F265,FA$2),Ciencias!$A:$H,7,FALSE)=BO265,1,0)</f>
        <v>#N/A</v>
      </c>
      <c r="FB265" s="138" t="e">
        <f>IF(VLOOKUP(CONCATENATE(H265,F265,FB$2),Ciencias!$A:$H,7,FALSE)=BP265,1,0)</f>
        <v>#N/A</v>
      </c>
      <c r="FC265" s="138" t="e">
        <f>IF(VLOOKUP(CONCATENATE(H265,F265,FC$2),Ciencias!$A:$H,7,FALSE)=BQ265,1,0)</f>
        <v>#N/A</v>
      </c>
      <c r="FD265" s="138" t="e">
        <f>IF(VLOOKUP(CONCATENATE(H265,F265,FD$2),Ciencias!$A:$H,7,FALSE)=BR265,1,0)</f>
        <v>#N/A</v>
      </c>
      <c r="FE265" s="138" t="e">
        <f>IF(VLOOKUP(CONCATENATE(H265,F265,FE$2),Ciencias!$A:$H,7,FALSE)=BS265,1,0)</f>
        <v>#N/A</v>
      </c>
      <c r="FF265" s="138" t="e">
        <f>IF(VLOOKUP(CONCATENATE(H265,F265,FF$2),Ciencias!$A:$H,7,FALSE)=BT265,1,0)</f>
        <v>#N/A</v>
      </c>
      <c r="FG265" s="138" t="e">
        <f>IF(VLOOKUP(CONCATENATE(H265,F265,FG$2),Ciencias!$A:$H,7,FALSE)=BU265,1,0)</f>
        <v>#N/A</v>
      </c>
      <c r="FH265" s="138" t="e">
        <f>IF(VLOOKUP(CONCATENATE(H265,F265,FH$2),Ciencias!$A:$H,7,FALSE)=BV265,1,0)</f>
        <v>#N/A</v>
      </c>
      <c r="FI265" s="138" t="e">
        <f>IF(VLOOKUP(CONCATENATE(H265,F265,FI$2),Ciencias!$A:$H,7,FALSE)=BW265,1,0)</f>
        <v>#N/A</v>
      </c>
      <c r="FJ265" s="138" t="e">
        <f>IF(VLOOKUP(CONCATENATE(H265,F265,FJ$2),Ciencias!$A:$H,7,FALSE)=BX265,1,0)</f>
        <v>#N/A</v>
      </c>
      <c r="FK265" s="138" t="e">
        <f>IF(VLOOKUP(CONCATENATE(H265,F265,FK$2),Ciencias!$A:$H,7,FALSE)=BY265,1,0)</f>
        <v>#N/A</v>
      </c>
      <c r="FL265" s="138" t="e">
        <f>IF(VLOOKUP(CONCATENATE(H265,F265,FL$2),Ciencias!$A:$H,7,FALSE)=BZ265,1,0)</f>
        <v>#N/A</v>
      </c>
      <c r="FM265" s="138" t="e">
        <f>IF(VLOOKUP(CONCATENATE(H265,F265,FM$2),Ciencias!$A:$H,7,FALSE)=CA265,1,0)</f>
        <v>#N/A</v>
      </c>
      <c r="FN265" s="138" t="e">
        <f>IF(VLOOKUP(CONCATENATE(H265,F265,FN$2),Ciencias!$A:$H,7,FALSE)=CB265,1,0)</f>
        <v>#N/A</v>
      </c>
      <c r="FO265" s="138" t="e">
        <f>IF(VLOOKUP(CONCATENATE(H265,F265,FO$2),Ciencias!$A:$H,7,FALSE)=CC265,1,0)</f>
        <v>#N/A</v>
      </c>
      <c r="FP265" s="138" t="e">
        <f>IF(VLOOKUP(CONCATENATE(H265,F265,FP$2),GeoHis!$A:$H,7,FALSE)=CD265,1,0)</f>
        <v>#N/A</v>
      </c>
      <c r="FQ265" s="138" t="e">
        <f>IF(VLOOKUP(CONCATENATE(H265,F265,FQ$2),GeoHis!$A:$H,7,FALSE)=CE265,1,0)</f>
        <v>#N/A</v>
      </c>
      <c r="FR265" s="138" t="e">
        <f>IF(VLOOKUP(CONCATENATE(H265,F265,FR$2),GeoHis!$A:$H,7,FALSE)=CF265,1,0)</f>
        <v>#N/A</v>
      </c>
      <c r="FS265" s="138" t="e">
        <f>IF(VLOOKUP(CONCATENATE(H265,F265,FS$2),GeoHis!$A:$H,7,FALSE)=CG265,1,0)</f>
        <v>#N/A</v>
      </c>
      <c r="FT265" s="138" t="e">
        <f>IF(VLOOKUP(CONCATENATE(H265,F265,FT$2),GeoHis!$A:$H,7,FALSE)=CH265,1,0)</f>
        <v>#N/A</v>
      </c>
      <c r="FU265" s="138" t="e">
        <f>IF(VLOOKUP(CONCATENATE(H265,F265,FU$2),GeoHis!$A:$H,7,FALSE)=CI265,1,0)</f>
        <v>#N/A</v>
      </c>
      <c r="FV265" s="138" t="e">
        <f>IF(VLOOKUP(CONCATENATE(H265,F265,FV$2),GeoHis!$A:$H,7,FALSE)=CJ265,1,0)</f>
        <v>#N/A</v>
      </c>
      <c r="FW265" s="138" t="e">
        <f>IF(VLOOKUP(CONCATENATE(H265,F265,FW$2),GeoHis!$A:$H,7,FALSE)=CK265,1,0)</f>
        <v>#N/A</v>
      </c>
      <c r="FX265" s="138" t="e">
        <f>IF(VLOOKUP(CONCATENATE(H265,F265,FX$2),GeoHis!$A:$H,7,FALSE)=CL265,1,0)</f>
        <v>#N/A</v>
      </c>
      <c r="FY265" s="138" t="e">
        <f>IF(VLOOKUP(CONCATENATE(H265,F265,FY$2),GeoHis!$A:$H,7,FALSE)=CM265,1,0)</f>
        <v>#N/A</v>
      </c>
      <c r="FZ265" s="138" t="e">
        <f>IF(VLOOKUP(CONCATENATE(H265,F265,FZ$2),GeoHis!$A:$H,7,FALSE)=CN265,1,0)</f>
        <v>#N/A</v>
      </c>
      <c r="GA265" s="138" t="e">
        <f>IF(VLOOKUP(CONCATENATE(H265,F265,GA$2),GeoHis!$A:$H,7,FALSE)=CO265,1,0)</f>
        <v>#N/A</v>
      </c>
      <c r="GB265" s="138" t="e">
        <f>IF(VLOOKUP(CONCATENATE(H265,F265,GB$2),GeoHis!$A:$H,7,FALSE)=CP265,1,0)</f>
        <v>#N/A</v>
      </c>
      <c r="GC265" s="138" t="e">
        <f>IF(VLOOKUP(CONCATENATE(H265,F265,GC$2),GeoHis!$A:$H,7,FALSE)=CQ265,1,0)</f>
        <v>#N/A</v>
      </c>
      <c r="GD265" s="138" t="e">
        <f>IF(VLOOKUP(CONCATENATE(H265,F265,GD$2),GeoHis!$A:$H,7,FALSE)=CR265,1,0)</f>
        <v>#N/A</v>
      </c>
      <c r="GE265" s="135" t="str">
        <f t="shared" si="39"/>
        <v/>
      </c>
    </row>
    <row r="266" spans="1:187" x14ac:dyDescent="0.25">
      <c r="A266" s="127" t="str">
        <f>IF(C266="","",'Datos Generales'!$A$25)</f>
        <v/>
      </c>
      <c r="D266" s="126" t="str">
        <f t="shared" si="32"/>
        <v/>
      </c>
      <c r="E266" s="126">
        <f t="shared" si="33"/>
        <v>0</v>
      </c>
      <c r="F266" s="126" t="str">
        <f t="shared" si="34"/>
        <v/>
      </c>
      <c r="G266" s="126" t="str">
        <f>IF(C266="","",'Datos Generales'!$D$19)</f>
        <v/>
      </c>
      <c r="H266" s="21" t="str">
        <f>IF(C266="","",'Datos Generales'!$A$19)</f>
        <v/>
      </c>
      <c r="I266" s="126" t="str">
        <f>IF(C266="","",'Datos Generales'!$A$7)</f>
        <v/>
      </c>
      <c r="J266" s="21" t="str">
        <f>IF(C266="","",'Datos Generales'!$A$13)</f>
        <v/>
      </c>
      <c r="K266" s="21" t="str">
        <f>IF(C266="","",'Datos Generales'!$A$10)</f>
        <v/>
      </c>
      <c r="CS266" s="142" t="str">
        <f t="shared" si="35"/>
        <v/>
      </c>
      <c r="CT266" s="142" t="str">
        <f t="shared" si="36"/>
        <v/>
      </c>
      <c r="CU266" s="142" t="str">
        <f t="shared" si="37"/>
        <v/>
      </c>
      <c r="CV266" s="142" t="str">
        <f t="shared" si="38"/>
        <v/>
      </c>
      <c r="CW266" s="142" t="str">
        <f>IF(C266="","",IF('Datos Generales'!$A$19=1,AVERAGE(FP266:GD266),AVERAGE(Captura!FP266:FY266)))</f>
        <v/>
      </c>
      <c r="CX266" s="138" t="e">
        <f>IF(VLOOKUP(CONCATENATE($H$4,$F$4,CX$2),Español!$A:$H,7,FALSE)=L266,1,0)</f>
        <v>#N/A</v>
      </c>
      <c r="CY266" s="138" t="e">
        <f>IF(VLOOKUP(CONCATENATE(H266,F266,CY$2),Español!$A:$H,7,FALSE)=M266,1,0)</f>
        <v>#N/A</v>
      </c>
      <c r="CZ266" s="138" t="e">
        <f>IF(VLOOKUP(CONCATENATE(H266,F266,CZ$2),Español!$A:$H,7,FALSE)=N266,1,0)</f>
        <v>#N/A</v>
      </c>
      <c r="DA266" s="138" t="e">
        <f>IF(VLOOKUP(CONCATENATE(H266,F266,DA$2),Español!$A:$H,7,FALSE)=O266,1,0)</f>
        <v>#N/A</v>
      </c>
      <c r="DB266" s="138" t="e">
        <f>IF(VLOOKUP(CONCATENATE(H266,F266,DB$2),Español!$A:$H,7,FALSE)=P266,1,0)</f>
        <v>#N/A</v>
      </c>
      <c r="DC266" s="138" t="e">
        <f>IF(VLOOKUP(CONCATENATE(H266,F266,DC$2),Español!$A:$H,7,FALSE)=Q266,1,0)</f>
        <v>#N/A</v>
      </c>
      <c r="DD266" s="138" t="e">
        <f>IF(VLOOKUP(CONCATENATE(H266,F266,DD$2),Español!$A:$H,7,FALSE)=R266,1,0)</f>
        <v>#N/A</v>
      </c>
      <c r="DE266" s="138" t="e">
        <f>IF(VLOOKUP(CONCATENATE(H266,F266,DE$2),Español!$A:$H,7,FALSE)=S266,1,0)</f>
        <v>#N/A</v>
      </c>
      <c r="DF266" s="138" t="e">
        <f>IF(VLOOKUP(CONCATENATE(H266,F266,DF$2),Español!$A:$H,7,FALSE)=T266,1,0)</f>
        <v>#N/A</v>
      </c>
      <c r="DG266" s="138" t="e">
        <f>IF(VLOOKUP(CONCATENATE(H266,F266,DG$2),Español!$A:$H,7,FALSE)=U266,1,0)</f>
        <v>#N/A</v>
      </c>
      <c r="DH266" s="138" t="e">
        <f>IF(VLOOKUP(CONCATENATE(H266,F266,DH$2),Español!$A:$H,7,FALSE)=V266,1,0)</f>
        <v>#N/A</v>
      </c>
      <c r="DI266" s="138" t="e">
        <f>IF(VLOOKUP(CONCATENATE(H266,F266,DI$2),Español!$A:$H,7,FALSE)=W266,1,0)</f>
        <v>#N/A</v>
      </c>
      <c r="DJ266" s="138" t="e">
        <f>IF(VLOOKUP(CONCATENATE(H266,F266,DJ$2),Español!$A:$H,7,FALSE)=X266,1,0)</f>
        <v>#N/A</v>
      </c>
      <c r="DK266" s="138" t="e">
        <f>IF(VLOOKUP(CONCATENATE(H266,F266,DK$2),Español!$A:$H,7,FALSE)=Y266,1,0)</f>
        <v>#N/A</v>
      </c>
      <c r="DL266" s="138" t="e">
        <f>IF(VLOOKUP(CONCATENATE(H266,F266,DL$2),Español!$A:$H,7,FALSE)=Z266,1,0)</f>
        <v>#N/A</v>
      </c>
      <c r="DM266" s="138" t="e">
        <f>IF(VLOOKUP(CONCATENATE(H266,F266,DM$2),Español!$A:$H,7,FALSE)=AA266,1,0)</f>
        <v>#N/A</v>
      </c>
      <c r="DN266" s="138" t="e">
        <f>IF(VLOOKUP(CONCATENATE(H266,F266,DN$2),Español!$A:$H,7,FALSE)=AB266,1,0)</f>
        <v>#N/A</v>
      </c>
      <c r="DO266" s="138" t="e">
        <f>IF(VLOOKUP(CONCATENATE(H266,F266,DO$2),Español!$A:$H,7,FALSE)=AC266,1,0)</f>
        <v>#N/A</v>
      </c>
      <c r="DP266" s="138" t="e">
        <f>IF(VLOOKUP(CONCATENATE(H266,F266,DP$2),Español!$A:$H,7,FALSE)=AD266,1,0)</f>
        <v>#N/A</v>
      </c>
      <c r="DQ266" s="138" t="e">
        <f>IF(VLOOKUP(CONCATENATE(H266,F266,DQ$2),Español!$A:$H,7,FALSE)=AE266,1,0)</f>
        <v>#N/A</v>
      </c>
      <c r="DR266" s="138" t="e">
        <f>IF(VLOOKUP(CONCATENATE(H266,F266,DR$2),Inglés!$A:$H,7,FALSE)=AF266,1,0)</f>
        <v>#N/A</v>
      </c>
      <c r="DS266" s="138" t="e">
        <f>IF(VLOOKUP(CONCATENATE(H266,F266,DS$2),Inglés!$A:$H,7,FALSE)=AG266,1,0)</f>
        <v>#N/A</v>
      </c>
      <c r="DT266" s="138" t="e">
        <f>IF(VLOOKUP(CONCATENATE(H266,F266,DT$2),Inglés!$A:$H,7,FALSE)=AH266,1,0)</f>
        <v>#N/A</v>
      </c>
      <c r="DU266" s="138" t="e">
        <f>IF(VLOOKUP(CONCATENATE(H266,F266,DU$2),Inglés!$A:$H,7,FALSE)=AI266,1,0)</f>
        <v>#N/A</v>
      </c>
      <c r="DV266" s="138" t="e">
        <f>IF(VLOOKUP(CONCATENATE(H266,F266,DV$2),Inglés!$A:$H,7,FALSE)=AJ266,1,0)</f>
        <v>#N/A</v>
      </c>
      <c r="DW266" s="138" t="e">
        <f>IF(VLOOKUP(CONCATENATE(H266,F266,DW$2),Inglés!$A:$H,7,FALSE)=AK266,1,0)</f>
        <v>#N/A</v>
      </c>
      <c r="DX266" s="138" t="e">
        <f>IF(VLOOKUP(CONCATENATE(H266,F266,DX$2),Inglés!$A:$H,7,FALSE)=AL266,1,0)</f>
        <v>#N/A</v>
      </c>
      <c r="DY266" s="138" t="e">
        <f>IF(VLOOKUP(CONCATENATE(H266,F266,DY$2),Inglés!$A:$H,7,FALSE)=AM266,1,0)</f>
        <v>#N/A</v>
      </c>
      <c r="DZ266" s="138" t="e">
        <f>IF(VLOOKUP(CONCATENATE(H266,F266,DZ$2),Inglés!$A:$H,7,FALSE)=AN266,1,0)</f>
        <v>#N/A</v>
      </c>
      <c r="EA266" s="138" t="e">
        <f>IF(VLOOKUP(CONCATENATE(H266,F266,EA$2),Inglés!$A:$H,7,FALSE)=AO266,1,0)</f>
        <v>#N/A</v>
      </c>
      <c r="EB266" s="138" t="e">
        <f>IF(VLOOKUP(CONCATENATE(H266,F266,EB$2),Matemáticas!$A:$H,7,FALSE)=AP266,1,0)</f>
        <v>#N/A</v>
      </c>
      <c r="EC266" s="138" t="e">
        <f>IF(VLOOKUP(CONCATENATE(H266,F266,EC$2),Matemáticas!$A:$H,7,FALSE)=AQ266,1,0)</f>
        <v>#N/A</v>
      </c>
      <c r="ED266" s="138" t="e">
        <f>IF(VLOOKUP(CONCATENATE(H266,F266,ED$2),Matemáticas!$A:$H,7,FALSE)=AR266,1,0)</f>
        <v>#N/A</v>
      </c>
      <c r="EE266" s="138" t="e">
        <f>IF(VLOOKUP(CONCATENATE(H266,F266,EE$2),Matemáticas!$A:$H,7,FALSE)=AS266,1,0)</f>
        <v>#N/A</v>
      </c>
      <c r="EF266" s="138" t="e">
        <f>IF(VLOOKUP(CONCATENATE(H266,F266,EF$2),Matemáticas!$A:$H,7,FALSE)=AT266,1,0)</f>
        <v>#N/A</v>
      </c>
      <c r="EG266" s="138" t="e">
        <f>IF(VLOOKUP(CONCATENATE(H266,F266,EG$2),Matemáticas!$A:$H,7,FALSE)=AU266,1,0)</f>
        <v>#N/A</v>
      </c>
      <c r="EH266" s="138" t="e">
        <f>IF(VLOOKUP(CONCATENATE(H266,F266,EH$2),Matemáticas!$A:$H,7,FALSE)=AV266,1,0)</f>
        <v>#N/A</v>
      </c>
      <c r="EI266" s="138" t="e">
        <f>IF(VLOOKUP(CONCATENATE(H266,F266,EI$2),Matemáticas!$A:$H,7,FALSE)=AW266,1,0)</f>
        <v>#N/A</v>
      </c>
      <c r="EJ266" s="138" t="e">
        <f>IF(VLOOKUP(CONCATENATE(H266,F266,EJ$2),Matemáticas!$A:$H,7,FALSE)=AX266,1,0)</f>
        <v>#N/A</v>
      </c>
      <c r="EK266" s="138" t="e">
        <f>IF(VLOOKUP(CONCATENATE(H266,F266,EK$2),Matemáticas!$A:$H,7,FALSE)=AY266,1,0)</f>
        <v>#N/A</v>
      </c>
      <c r="EL266" s="138" t="e">
        <f>IF(VLOOKUP(CONCATENATE(H266,F266,EL$2),Matemáticas!$A:$H,7,FALSE)=AZ266,1,0)</f>
        <v>#N/A</v>
      </c>
      <c r="EM266" s="138" t="e">
        <f>IF(VLOOKUP(CONCATENATE(H266,F266,EM$2),Matemáticas!$A:$H,7,FALSE)=BA266,1,0)</f>
        <v>#N/A</v>
      </c>
      <c r="EN266" s="138" t="e">
        <f>IF(VLOOKUP(CONCATENATE(H266,F266,EN$2),Matemáticas!$A:$H,7,FALSE)=BB266,1,0)</f>
        <v>#N/A</v>
      </c>
      <c r="EO266" s="138" t="e">
        <f>IF(VLOOKUP(CONCATENATE(H266,F266,EO$2),Matemáticas!$A:$H,7,FALSE)=BC266,1,0)</f>
        <v>#N/A</v>
      </c>
      <c r="EP266" s="138" t="e">
        <f>IF(VLOOKUP(CONCATENATE(H266,F266,EP$2),Matemáticas!$A:$H,7,FALSE)=BD266,1,0)</f>
        <v>#N/A</v>
      </c>
      <c r="EQ266" s="138" t="e">
        <f>IF(VLOOKUP(CONCATENATE(H266,F266,EQ$2),Matemáticas!$A:$H,7,FALSE)=BE266,1,0)</f>
        <v>#N/A</v>
      </c>
      <c r="ER266" s="138" t="e">
        <f>IF(VLOOKUP(CONCATENATE(H266,F266,ER$2),Matemáticas!$A:$H,7,FALSE)=BF266,1,0)</f>
        <v>#N/A</v>
      </c>
      <c r="ES266" s="138" t="e">
        <f>IF(VLOOKUP(CONCATENATE(H266,F266,ES$2),Matemáticas!$A:$H,7,FALSE)=BG266,1,0)</f>
        <v>#N/A</v>
      </c>
      <c r="ET266" s="138" t="e">
        <f>IF(VLOOKUP(CONCATENATE(H266,F266,ET$2),Matemáticas!$A:$H,7,FALSE)=BH266,1,0)</f>
        <v>#N/A</v>
      </c>
      <c r="EU266" s="138" t="e">
        <f>IF(VLOOKUP(CONCATENATE(H266,F266,EU$2),Matemáticas!$A:$H,7,FALSE)=BI266,1,0)</f>
        <v>#N/A</v>
      </c>
      <c r="EV266" s="138" t="e">
        <f>IF(VLOOKUP(CONCATENATE(H266,F266,EV$2),Ciencias!$A:$H,7,FALSE)=BJ266,1,0)</f>
        <v>#N/A</v>
      </c>
      <c r="EW266" s="138" t="e">
        <f>IF(VLOOKUP(CONCATENATE(H266,F266,EW$2),Ciencias!$A:$H,7,FALSE)=BK266,1,0)</f>
        <v>#N/A</v>
      </c>
      <c r="EX266" s="138" t="e">
        <f>IF(VLOOKUP(CONCATENATE(H266,F266,EX$2),Ciencias!$A:$H,7,FALSE)=BL266,1,0)</f>
        <v>#N/A</v>
      </c>
      <c r="EY266" s="138" t="e">
        <f>IF(VLOOKUP(CONCATENATE(H266,F266,EY$2),Ciencias!$A:$H,7,FALSE)=BM266,1,0)</f>
        <v>#N/A</v>
      </c>
      <c r="EZ266" s="138" t="e">
        <f>IF(VLOOKUP(CONCATENATE(H266,F266,EZ$2),Ciencias!$A:$H,7,FALSE)=BN266,1,0)</f>
        <v>#N/A</v>
      </c>
      <c r="FA266" s="138" t="e">
        <f>IF(VLOOKUP(CONCATENATE(H266,F266,FA$2),Ciencias!$A:$H,7,FALSE)=BO266,1,0)</f>
        <v>#N/A</v>
      </c>
      <c r="FB266" s="138" t="e">
        <f>IF(VLOOKUP(CONCATENATE(H266,F266,FB$2),Ciencias!$A:$H,7,FALSE)=BP266,1,0)</f>
        <v>#N/A</v>
      </c>
      <c r="FC266" s="138" t="e">
        <f>IF(VLOOKUP(CONCATENATE(H266,F266,FC$2),Ciencias!$A:$H,7,FALSE)=BQ266,1,0)</f>
        <v>#N/A</v>
      </c>
      <c r="FD266" s="138" t="e">
        <f>IF(VLOOKUP(CONCATENATE(H266,F266,FD$2),Ciencias!$A:$H,7,FALSE)=BR266,1,0)</f>
        <v>#N/A</v>
      </c>
      <c r="FE266" s="138" t="e">
        <f>IF(VLOOKUP(CONCATENATE(H266,F266,FE$2),Ciencias!$A:$H,7,FALSE)=BS266,1,0)</f>
        <v>#N/A</v>
      </c>
      <c r="FF266" s="138" t="e">
        <f>IF(VLOOKUP(CONCATENATE(H266,F266,FF$2),Ciencias!$A:$H,7,FALSE)=BT266,1,0)</f>
        <v>#N/A</v>
      </c>
      <c r="FG266" s="138" t="e">
        <f>IF(VLOOKUP(CONCATENATE(H266,F266,FG$2),Ciencias!$A:$H,7,FALSE)=BU266,1,0)</f>
        <v>#N/A</v>
      </c>
      <c r="FH266" s="138" t="e">
        <f>IF(VLOOKUP(CONCATENATE(H266,F266,FH$2),Ciencias!$A:$H,7,FALSE)=BV266,1,0)</f>
        <v>#N/A</v>
      </c>
      <c r="FI266" s="138" t="e">
        <f>IF(VLOOKUP(CONCATENATE(H266,F266,FI$2),Ciencias!$A:$H,7,FALSE)=BW266,1,0)</f>
        <v>#N/A</v>
      </c>
      <c r="FJ266" s="138" t="e">
        <f>IF(VLOOKUP(CONCATENATE(H266,F266,FJ$2),Ciencias!$A:$H,7,FALSE)=BX266,1,0)</f>
        <v>#N/A</v>
      </c>
      <c r="FK266" s="138" t="e">
        <f>IF(VLOOKUP(CONCATENATE(H266,F266,FK$2),Ciencias!$A:$H,7,FALSE)=BY266,1,0)</f>
        <v>#N/A</v>
      </c>
      <c r="FL266" s="138" t="e">
        <f>IF(VLOOKUP(CONCATENATE(H266,F266,FL$2),Ciencias!$A:$H,7,FALSE)=BZ266,1,0)</f>
        <v>#N/A</v>
      </c>
      <c r="FM266" s="138" t="e">
        <f>IF(VLOOKUP(CONCATENATE(H266,F266,FM$2),Ciencias!$A:$H,7,FALSE)=CA266,1,0)</f>
        <v>#N/A</v>
      </c>
      <c r="FN266" s="138" t="e">
        <f>IF(VLOOKUP(CONCATENATE(H266,F266,FN$2),Ciencias!$A:$H,7,FALSE)=CB266,1,0)</f>
        <v>#N/A</v>
      </c>
      <c r="FO266" s="138" t="e">
        <f>IF(VLOOKUP(CONCATENATE(H266,F266,FO$2),Ciencias!$A:$H,7,FALSE)=CC266,1,0)</f>
        <v>#N/A</v>
      </c>
      <c r="FP266" s="138" t="e">
        <f>IF(VLOOKUP(CONCATENATE(H266,F266,FP$2),GeoHis!$A:$H,7,FALSE)=CD266,1,0)</f>
        <v>#N/A</v>
      </c>
      <c r="FQ266" s="138" t="e">
        <f>IF(VLOOKUP(CONCATENATE(H266,F266,FQ$2),GeoHis!$A:$H,7,FALSE)=CE266,1,0)</f>
        <v>#N/A</v>
      </c>
      <c r="FR266" s="138" t="e">
        <f>IF(VLOOKUP(CONCATENATE(H266,F266,FR$2),GeoHis!$A:$H,7,FALSE)=CF266,1,0)</f>
        <v>#N/A</v>
      </c>
      <c r="FS266" s="138" t="e">
        <f>IF(VLOOKUP(CONCATENATE(H266,F266,FS$2),GeoHis!$A:$H,7,FALSE)=CG266,1,0)</f>
        <v>#N/A</v>
      </c>
      <c r="FT266" s="138" t="e">
        <f>IF(VLOOKUP(CONCATENATE(H266,F266,FT$2),GeoHis!$A:$H,7,FALSE)=CH266,1,0)</f>
        <v>#N/A</v>
      </c>
      <c r="FU266" s="138" t="e">
        <f>IF(VLOOKUP(CONCATENATE(H266,F266,FU$2),GeoHis!$A:$H,7,FALSE)=CI266,1,0)</f>
        <v>#N/A</v>
      </c>
      <c r="FV266" s="138" t="e">
        <f>IF(VLOOKUP(CONCATENATE(H266,F266,FV$2),GeoHis!$A:$H,7,FALSE)=CJ266,1,0)</f>
        <v>#N/A</v>
      </c>
      <c r="FW266" s="138" t="e">
        <f>IF(VLOOKUP(CONCATENATE(H266,F266,FW$2),GeoHis!$A:$H,7,FALSE)=CK266,1,0)</f>
        <v>#N/A</v>
      </c>
      <c r="FX266" s="138" t="e">
        <f>IF(VLOOKUP(CONCATENATE(H266,F266,FX$2),GeoHis!$A:$H,7,FALSE)=CL266,1,0)</f>
        <v>#N/A</v>
      </c>
      <c r="FY266" s="138" t="e">
        <f>IF(VLOOKUP(CONCATENATE(H266,F266,FY$2),GeoHis!$A:$H,7,FALSE)=CM266,1,0)</f>
        <v>#N/A</v>
      </c>
      <c r="FZ266" s="138" t="e">
        <f>IF(VLOOKUP(CONCATENATE(H266,F266,FZ$2),GeoHis!$A:$H,7,FALSE)=CN266,1,0)</f>
        <v>#N/A</v>
      </c>
      <c r="GA266" s="138" t="e">
        <f>IF(VLOOKUP(CONCATENATE(H266,F266,GA$2),GeoHis!$A:$H,7,FALSE)=CO266,1,0)</f>
        <v>#N/A</v>
      </c>
      <c r="GB266" s="138" t="e">
        <f>IF(VLOOKUP(CONCATENATE(H266,F266,GB$2),GeoHis!$A:$H,7,FALSE)=CP266,1,0)</f>
        <v>#N/A</v>
      </c>
      <c r="GC266" s="138" t="e">
        <f>IF(VLOOKUP(CONCATENATE(H266,F266,GC$2),GeoHis!$A:$H,7,FALSE)=CQ266,1,0)</f>
        <v>#N/A</v>
      </c>
      <c r="GD266" s="138" t="e">
        <f>IF(VLOOKUP(CONCATENATE(H266,F266,GD$2),GeoHis!$A:$H,7,FALSE)=CR266,1,0)</f>
        <v>#N/A</v>
      </c>
      <c r="GE266" s="135" t="str">
        <f t="shared" si="39"/>
        <v/>
      </c>
    </row>
    <row r="267" spans="1:187" x14ac:dyDescent="0.25">
      <c r="A267" s="127" t="str">
        <f>IF(C267="","",'Datos Generales'!$A$25)</f>
        <v/>
      </c>
      <c r="D267" s="126" t="str">
        <f t="shared" si="32"/>
        <v/>
      </c>
      <c r="E267" s="126">
        <f t="shared" si="33"/>
        <v>0</v>
      </c>
      <c r="F267" s="126" t="str">
        <f t="shared" si="34"/>
        <v/>
      </c>
      <c r="G267" s="126" t="str">
        <f>IF(C267="","",'Datos Generales'!$D$19)</f>
        <v/>
      </c>
      <c r="H267" s="21" t="str">
        <f>IF(C267="","",'Datos Generales'!$A$19)</f>
        <v/>
      </c>
      <c r="I267" s="126" t="str">
        <f>IF(C267="","",'Datos Generales'!$A$7)</f>
        <v/>
      </c>
      <c r="J267" s="21" t="str">
        <f>IF(C267="","",'Datos Generales'!$A$13)</f>
        <v/>
      </c>
      <c r="K267" s="21" t="str">
        <f>IF(C267="","",'Datos Generales'!$A$10)</f>
        <v/>
      </c>
      <c r="CS267" s="142" t="str">
        <f t="shared" si="35"/>
        <v/>
      </c>
      <c r="CT267" s="142" t="str">
        <f t="shared" si="36"/>
        <v/>
      </c>
      <c r="CU267" s="142" t="str">
        <f t="shared" si="37"/>
        <v/>
      </c>
      <c r="CV267" s="142" t="str">
        <f t="shared" si="38"/>
        <v/>
      </c>
      <c r="CW267" s="142" t="str">
        <f>IF(C267="","",IF('Datos Generales'!$A$19=1,AVERAGE(FP267:GD267),AVERAGE(Captura!FP267:FY267)))</f>
        <v/>
      </c>
      <c r="CX267" s="138" t="e">
        <f>IF(VLOOKUP(CONCATENATE($H$4,$F$4,CX$2),Español!$A:$H,7,FALSE)=L267,1,0)</f>
        <v>#N/A</v>
      </c>
      <c r="CY267" s="138" t="e">
        <f>IF(VLOOKUP(CONCATENATE(H267,F267,CY$2),Español!$A:$H,7,FALSE)=M267,1,0)</f>
        <v>#N/A</v>
      </c>
      <c r="CZ267" s="138" t="e">
        <f>IF(VLOOKUP(CONCATENATE(H267,F267,CZ$2),Español!$A:$H,7,FALSE)=N267,1,0)</f>
        <v>#N/A</v>
      </c>
      <c r="DA267" s="138" t="e">
        <f>IF(VLOOKUP(CONCATENATE(H267,F267,DA$2),Español!$A:$H,7,FALSE)=O267,1,0)</f>
        <v>#N/A</v>
      </c>
      <c r="DB267" s="138" t="e">
        <f>IF(VLOOKUP(CONCATENATE(H267,F267,DB$2),Español!$A:$H,7,FALSE)=P267,1,0)</f>
        <v>#N/A</v>
      </c>
      <c r="DC267" s="138" t="e">
        <f>IF(VLOOKUP(CONCATENATE(H267,F267,DC$2),Español!$A:$H,7,FALSE)=Q267,1,0)</f>
        <v>#N/A</v>
      </c>
      <c r="DD267" s="138" t="e">
        <f>IF(VLOOKUP(CONCATENATE(H267,F267,DD$2),Español!$A:$H,7,FALSE)=R267,1,0)</f>
        <v>#N/A</v>
      </c>
      <c r="DE267" s="138" t="e">
        <f>IF(VLOOKUP(CONCATENATE(H267,F267,DE$2),Español!$A:$H,7,FALSE)=S267,1,0)</f>
        <v>#N/A</v>
      </c>
      <c r="DF267" s="138" t="e">
        <f>IF(VLOOKUP(CONCATENATE(H267,F267,DF$2),Español!$A:$H,7,FALSE)=T267,1,0)</f>
        <v>#N/A</v>
      </c>
      <c r="DG267" s="138" t="e">
        <f>IF(VLOOKUP(CONCATENATE(H267,F267,DG$2),Español!$A:$H,7,FALSE)=U267,1,0)</f>
        <v>#N/A</v>
      </c>
      <c r="DH267" s="138" t="e">
        <f>IF(VLOOKUP(CONCATENATE(H267,F267,DH$2),Español!$A:$H,7,FALSE)=V267,1,0)</f>
        <v>#N/A</v>
      </c>
      <c r="DI267" s="138" t="e">
        <f>IF(VLOOKUP(CONCATENATE(H267,F267,DI$2),Español!$A:$H,7,FALSE)=W267,1,0)</f>
        <v>#N/A</v>
      </c>
      <c r="DJ267" s="138" t="e">
        <f>IF(VLOOKUP(CONCATENATE(H267,F267,DJ$2),Español!$A:$H,7,FALSE)=X267,1,0)</f>
        <v>#N/A</v>
      </c>
      <c r="DK267" s="138" t="e">
        <f>IF(VLOOKUP(CONCATENATE(H267,F267,DK$2),Español!$A:$H,7,FALSE)=Y267,1,0)</f>
        <v>#N/A</v>
      </c>
      <c r="DL267" s="138" t="e">
        <f>IF(VLOOKUP(CONCATENATE(H267,F267,DL$2),Español!$A:$H,7,FALSE)=Z267,1,0)</f>
        <v>#N/A</v>
      </c>
      <c r="DM267" s="138" t="e">
        <f>IF(VLOOKUP(CONCATENATE(H267,F267,DM$2),Español!$A:$H,7,FALSE)=AA267,1,0)</f>
        <v>#N/A</v>
      </c>
      <c r="DN267" s="138" t="e">
        <f>IF(VLOOKUP(CONCATENATE(H267,F267,DN$2),Español!$A:$H,7,FALSE)=AB267,1,0)</f>
        <v>#N/A</v>
      </c>
      <c r="DO267" s="138" t="e">
        <f>IF(VLOOKUP(CONCATENATE(H267,F267,DO$2),Español!$A:$H,7,FALSE)=AC267,1,0)</f>
        <v>#N/A</v>
      </c>
      <c r="DP267" s="138" t="e">
        <f>IF(VLOOKUP(CONCATENATE(H267,F267,DP$2),Español!$A:$H,7,FALSE)=AD267,1,0)</f>
        <v>#N/A</v>
      </c>
      <c r="DQ267" s="138" t="e">
        <f>IF(VLOOKUP(CONCATENATE(H267,F267,DQ$2),Español!$A:$H,7,FALSE)=AE267,1,0)</f>
        <v>#N/A</v>
      </c>
      <c r="DR267" s="138" t="e">
        <f>IF(VLOOKUP(CONCATENATE(H267,F267,DR$2),Inglés!$A:$H,7,FALSE)=AF267,1,0)</f>
        <v>#N/A</v>
      </c>
      <c r="DS267" s="138" t="e">
        <f>IF(VLOOKUP(CONCATENATE(H267,F267,DS$2),Inglés!$A:$H,7,FALSE)=AG267,1,0)</f>
        <v>#N/A</v>
      </c>
      <c r="DT267" s="138" t="e">
        <f>IF(VLOOKUP(CONCATENATE(H267,F267,DT$2),Inglés!$A:$H,7,FALSE)=AH267,1,0)</f>
        <v>#N/A</v>
      </c>
      <c r="DU267" s="138" t="e">
        <f>IF(VLOOKUP(CONCATENATE(H267,F267,DU$2),Inglés!$A:$H,7,FALSE)=AI267,1,0)</f>
        <v>#N/A</v>
      </c>
      <c r="DV267" s="138" t="e">
        <f>IF(VLOOKUP(CONCATENATE(H267,F267,DV$2),Inglés!$A:$H,7,FALSE)=AJ267,1,0)</f>
        <v>#N/A</v>
      </c>
      <c r="DW267" s="138" t="e">
        <f>IF(VLOOKUP(CONCATENATE(H267,F267,DW$2),Inglés!$A:$H,7,FALSE)=AK267,1,0)</f>
        <v>#N/A</v>
      </c>
      <c r="DX267" s="138" t="e">
        <f>IF(VLOOKUP(CONCATENATE(H267,F267,DX$2),Inglés!$A:$H,7,FALSE)=AL267,1,0)</f>
        <v>#N/A</v>
      </c>
      <c r="DY267" s="138" t="e">
        <f>IF(VLOOKUP(CONCATENATE(H267,F267,DY$2),Inglés!$A:$H,7,FALSE)=AM267,1,0)</f>
        <v>#N/A</v>
      </c>
      <c r="DZ267" s="138" t="e">
        <f>IF(VLOOKUP(CONCATENATE(H267,F267,DZ$2),Inglés!$A:$H,7,FALSE)=AN267,1,0)</f>
        <v>#N/A</v>
      </c>
      <c r="EA267" s="138" t="e">
        <f>IF(VLOOKUP(CONCATENATE(H267,F267,EA$2),Inglés!$A:$H,7,FALSE)=AO267,1,0)</f>
        <v>#N/A</v>
      </c>
      <c r="EB267" s="138" t="e">
        <f>IF(VLOOKUP(CONCATENATE(H267,F267,EB$2),Matemáticas!$A:$H,7,FALSE)=AP267,1,0)</f>
        <v>#N/A</v>
      </c>
      <c r="EC267" s="138" t="e">
        <f>IF(VLOOKUP(CONCATENATE(H267,F267,EC$2),Matemáticas!$A:$H,7,FALSE)=AQ267,1,0)</f>
        <v>#N/A</v>
      </c>
      <c r="ED267" s="138" t="e">
        <f>IF(VLOOKUP(CONCATENATE(H267,F267,ED$2),Matemáticas!$A:$H,7,FALSE)=AR267,1,0)</f>
        <v>#N/A</v>
      </c>
      <c r="EE267" s="138" t="e">
        <f>IF(VLOOKUP(CONCATENATE(H267,F267,EE$2),Matemáticas!$A:$H,7,FALSE)=AS267,1,0)</f>
        <v>#N/A</v>
      </c>
      <c r="EF267" s="138" t="e">
        <f>IF(VLOOKUP(CONCATENATE(H267,F267,EF$2),Matemáticas!$A:$H,7,FALSE)=AT267,1,0)</f>
        <v>#N/A</v>
      </c>
      <c r="EG267" s="138" t="e">
        <f>IF(VLOOKUP(CONCATENATE(H267,F267,EG$2),Matemáticas!$A:$H,7,FALSE)=AU267,1,0)</f>
        <v>#N/A</v>
      </c>
      <c r="EH267" s="138" t="e">
        <f>IF(VLOOKUP(CONCATENATE(H267,F267,EH$2),Matemáticas!$A:$H,7,FALSE)=AV267,1,0)</f>
        <v>#N/A</v>
      </c>
      <c r="EI267" s="138" t="e">
        <f>IF(VLOOKUP(CONCATENATE(H267,F267,EI$2),Matemáticas!$A:$H,7,FALSE)=AW267,1,0)</f>
        <v>#N/A</v>
      </c>
      <c r="EJ267" s="138" t="e">
        <f>IF(VLOOKUP(CONCATENATE(H267,F267,EJ$2),Matemáticas!$A:$H,7,FALSE)=AX267,1,0)</f>
        <v>#N/A</v>
      </c>
      <c r="EK267" s="138" t="e">
        <f>IF(VLOOKUP(CONCATENATE(H267,F267,EK$2),Matemáticas!$A:$H,7,FALSE)=AY267,1,0)</f>
        <v>#N/A</v>
      </c>
      <c r="EL267" s="138" t="e">
        <f>IF(VLOOKUP(CONCATENATE(H267,F267,EL$2),Matemáticas!$A:$H,7,FALSE)=AZ267,1,0)</f>
        <v>#N/A</v>
      </c>
      <c r="EM267" s="138" t="e">
        <f>IF(VLOOKUP(CONCATENATE(H267,F267,EM$2),Matemáticas!$A:$H,7,FALSE)=BA267,1,0)</f>
        <v>#N/A</v>
      </c>
      <c r="EN267" s="138" t="e">
        <f>IF(VLOOKUP(CONCATENATE(H267,F267,EN$2),Matemáticas!$A:$H,7,FALSE)=BB267,1,0)</f>
        <v>#N/A</v>
      </c>
      <c r="EO267" s="138" t="e">
        <f>IF(VLOOKUP(CONCATENATE(H267,F267,EO$2),Matemáticas!$A:$H,7,FALSE)=BC267,1,0)</f>
        <v>#N/A</v>
      </c>
      <c r="EP267" s="138" t="e">
        <f>IF(VLOOKUP(CONCATENATE(H267,F267,EP$2),Matemáticas!$A:$H,7,FALSE)=BD267,1,0)</f>
        <v>#N/A</v>
      </c>
      <c r="EQ267" s="138" t="e">
        <f>IF(VLOOKUP(CONCATENATE(H267,F267,EQ$2),Matemáticas!$A:$H,7,FALSE)=BE267,1,0)</f>
        <v>#N/A</v>
      </c>
      <c r="ER267" s="138" t="e">
        <f>IF(VLOOKUP(CONCATENATE(H267,F267,ER$2),Matemáticas!$A:$H,7,FALSE)=BF267,1,0)</f>
        <v>#N/A</v>
      </c>
      <c r="ES267" s="138" t="e">
        <f>IF(VLOOKUP(CONCATENATE(H267,F267,ES$2),Matemáticas!$A:$H,7,FALSE)=BG267,1,0)</f>
        <v>#N/A</v>
      </c>
      <c r="ET267" s="138" t="e">
        <f>IF(VLOOKUP(CONCATENATE(H267,F267,ET$2),Matemáticas!$A:$H,7,FALSE)=BH267,1,0)</f>
        <v>#N/A</v>
      </c>
      <c r="EU267" s="138" t="e">
        <f>IF(VLOOKUP(CONCATENATE(H267,F267,EU$2),Matemáticas!$A:$H,7,FALSE)=BI267,1,0)</f>
        <v>#N/A</v>
      </c>
      <c r="EV267" s="138" t="e">
        <f>IF(VLOOKUP(CONCATENATE(H267,F267,EV$2),Ciencias!$A:$H,7,FALSE)=BJ267,1,0)</f>
        <v>#N/A</v>
      </c>
      <c r="EW267" s="138" t="e">
        <f>IF(VLOOKUP(CONCATENATE(H267,F267,EW$2),Ciencias!$A:$H,7,FALSE)=BK267,1,0)</f>
        <v>#N/A</v>
      </c>
      <c r="EX267" s="138" t="e">
        <f>IF(VLOOKUP(CONCATENATE(H267,F267,EX$2),Ciencias!$A:$H,7,FALSE)=BL267,1,0)</f>
        <v>#N/A</v>
      </c>
      <c r="EY267" s="138" t="e">
        <f>IF(VLOOKUP(CONCATENATE(H267,F267,EY$2),Ciencias!$A:$H,7,FALSE)=BM267,1,0)</f>
        <v>#N/A</v>
      </c>
      <c r="EZ267" s="138" t="e">
        <f>IF(VLOOKUP(CONCATENATE(H267,F267,EZ$2),Ciencias!$A:$H,7,FALSE)=BN267,1,0)</f>
        <v>#N/A</v>
      </c>
      <c r="FA267" s="138" t="e">
        <f>IF(VLOOKUP(CONCATENATE(H267,F267,FA$2),Ciencias!$A:$H,7,FALSE)=BO267,1,0)</f>
        <v>#N/A</v>
      </c>
      <c r="FB267" s="138" t="e">
        <f>IF(VLOOKUP(CONCATENATE(H267,F267,FB$2),Ciencias!$A:$H,7,FALSE)=BP267,1,0)</f>
        <v>#N/A</v>
      </c>
      <c r="FC267" s="138" t="e">
        <f>IF(VLOOKUP(CONCATENATE(H267,F267,FC$2),Ciencias!$A:$H,7,FALSE)=BQ267,1,0)</f>
        <v>#N/A</v>
      </c>
      <c r="FD267" s="138" t="e">
        <f>IF(VLOOKUP(CONCATENATE(H267,F267,FD$2),Ciencias!$A:$H,7,FALSE)=BR267,1,0)</f>
        <v>#N/A</v>
      </c>
      <c r="FE267" s="138" t="e">
        <f>IF(VLOOKUP(CONCATENATE(H267,F267,FE$2),Ciencias!$A:$H,7,FALSE)=BS267,1,0)</f>
        <v>#N/A</v>
      </c>
      <c r="FF267" s="138" t="e">
        <f>IF(VLOOKUP(CONCATENATE(H267,F267,FF$2),Ciencias!$A:$H,7,FALSE)=BT267,1,0)</f>
        <v>#N/A</v>
      </c>
      <c r="FG267" s="138" t="e">
        <f>IF(VLOOKUP(CONCATENATE(H267,F267,FG$2),Ciencias!$A:$H,7,FALSE)=BU267,1,0)</f>
        <v>#N/A</v>
      </c>
      <c r="FH267" s="138" t="e">
        <f>IF(VLOOKUP(CONCATENATE(H267,F267,FH$2),Ciencias!$A:$H,7,FALSE)=BV267,1,0)</f>
        <v>#N/A</v>
      </c>
      <c r="FI267" s="138" t="e">
        <f>IF(VLOOKUP(CONCATENATE(H267,F267,FI$2),Ciencias!$A:$H,7,FALSE)=BW267,1,0)</f>
        <v>#N/A</v>
      </c>
      <c r="FJ267" s="138" t="e">
        <f>IF(VLOOKUP(CONCATENATE(H267,F267,FJ$2),Ciencias!$A:$H,7,FALSE)=BX267,1,0)</f>
        <v>#N/A</v>
      </c>
      <c r="FK267" s="138" t="e">
        <f>IF(VLOOKUP(CONCATENATE(H267,F267,FK$2),Ciencias!$A:$H,7,FALSE)=BY267,1,0)</f>
        <v>#N/A</v>
      </c>
      <c r="FL267" s="138" t="e">
        <f>IF(VLOOKUP(CONCATENATE(H267,F267,FL$2),Ciencias!$A:$H,7,FALSE)=BZ267,1,0)</f>
        <v>#N/A</v>
      </c>
      <c r="FM267" s="138" t="e">
        <f>IF(VLOOKUP(CONCATENATE(H267,F267,FM$2),Ciencias!$A:$H,7,FALSE)=CA267,1,0)</f>
        <v>#N/A</v>
      </c>
      <c r="FN267" s="138" t="e">
        <f>IF(VLOOKUP(CONCATENATE(H267,F267,FN$2),Ciencias!$A:$H,7,FALSE)=CB267,1,0)</f>
        <v>#N/A</v>
      </c>
      <c r="FO267" s="138" t="e">
        <f>IF(VLOOKUP(CONCATENATE(H267,F267,FO$2),Ciencias!$A:$H,7,FALSE)=CC267,1,0)</f>
        <v>#N/A</v>
      </c>
      <c r="FP267" s="138" t="e">
        <f>IF(VLOOKUP(CONCATENATE(H267,F267,FP$2),GeoHis!$A:$H,7,FALSE)=CD267,1,0)</f>
        <v>#N/A</v>
      </c>
      <c r="FQ267" s="138" t="e">
        <f>IF(VLOOKUP(CONCATENATE(H267,F267,FQ$2),GeoHis!$A:$H,7,FALSE)=CE267,1,0)</f>
        <v>#N/A</v>
      </c>
      <c r="FR267" s="138" t="e">
        <f>IF(VLOOKUP(CONCATENATE(H267,F267,FR$2),GeoHis!$A:$H,7,FALSE)=CF267,1,0)</f>
        <v>#N/A</v>
      </c>
      <c r="FS267" s="138" t="e">
        <f>IF(VLOOKUP(CONCATENATE(H267,F267,FS$2),GeoHis!$A:$H,7,FALSE)=CG267,1,0)</f>
        <v>#N/A</v>
      </c>
      <c r="FT267" s="138" t="e">
        <f>IF(VLOOKUP(CONCATENATE(H267,F267,FT$2),GeoHis!$A:$H,7,FALSE)=CH267,1,0)</f>
        <v>#N/A</v>
      </c>
      <c r="FU267" s="138" t="e">
        <f>IF(VLOOKUP(CONCATENATE(H267,F267,FU$2),GeoHis!$A:$H,7,FALSE)=CI267,1,0)</f>
        <v>#N/A</v>
      </c>
      <c r="FV267" s="138" t="e">
        <f>IF(VLOOKUP(CONCATENATE(H267,F267,FV$2),GeoHis!$A:$H,7,FALSE)=CJ267,1,0)</f>
        <v>#N/A</v>
      </c>
      <c r="FW267" s="138" t="e">
        <f>IF(VLOOKUP(CONCATENATE(H267,F267,FW$2),GeoHis!$A:$H,7,FALSE)=CK267,1,0)</f>
        <v>#N/A</v>
      </c>
      <c r="FX267" s="138" t="e">
        <f>IF(VLOOKUP(CONCATENATE(H267,F267,FX$2),GeoHis!$A:$H,7,FALSE)=CL267,1,0)</f>
        <v>#N/A</v>
      </c>
      <c r="FY267" s="138" t="e">
        <f>IF(VLOOKUP(CONCATENATE(H267,F267,FY$2),GeoHis!$A:$H,7,FALSE)=CM267,1,0)</f>
        <v>#N/A</v>
      </c>
      <c r="FZ267" s="138" t="e">
        <f>IF(VLOOKUP(CONCATENATE(H267,F267,FZ$2),GeoHis!$A:$H,7,FALSE)=CN267,1,0)</f>
        <v>#N/A</v>
      </c>
      <c r="GA267" s="138" t="e">
        <f>IF(VLOOKUP(CONCATENATE(H267,F267,GA$2),GeoHis!$A:$H,7,FALSE)=CO267,1,0)</f>
        <v>#N/A</v>
      </c>
      <c r="GB267" s="138" t="e">
        <f>IF(VLOOKUP(CONCATENATE(H267,F267,GB$2),GeoHis!$A:$H,7,FALSE)=CP267,1,0)</f>
        <v>#N/A</v>
      </c>
      <c r="GC267" s="138" t="e">
        <f>IF(VLOOKUP(CONCATENATE(H267,F267,GC$2),GeoHis!$A:$H,7,FALSE)=CQ267,1,0)</f>
        <v>#N/A</v>
      </c>
      <c r="GD267" s="138" t="e">
        <f>IF(VLOOKUP(CONCATENATE(H267,F267,GD$2),GeoHis!$A:$H,7,FALSE)=CR267,1,0)</f>
        <v>#N/A</v>
      </c>
      <c r="GE267" s="135" t="str">
        <f t="shared" si="39"/>
        <v/>
      </c>
    </row>
    <row r="268" spans="1:187" x14ac:dyDescent="0.25">
      <c r="A268" s="127" t="str">
        <f>IF(C268="","",'Datos Generales'!$A$25)</f>
        <v/>
      </c>
      <c r="D268" s="126" t="str">
        <f t="shared" si="32"/>
        <v/>
      </c>
      <c r="E268" s="126">
        <f t="shared" si="33"/>
        <v>0</v>
      </c>
      <c r="F268" s="126" t="str">
        <f t="shared" si="34"/>
        <v/>
      </c>
      <c r="G268" s="126" t="str">
        <f>IF(C268="","",'Datos Generales'!$D$19)</f>
        <v/>
      </c>
      <c r="H268" s="21" t="str">
        <f>IF(C268="","",'Datos Generales'!$A$19)</f>
        <v/>
      </c>
      <c r="I268" s="126" t="str">
        <f>IF(C268="","",'Datos Generales'!$A$7)</f>
        <v/>
      </c>
      <c r="J268" s="21" t="str">
        <f>IF(C268="","",'Datos Generales'!$A$13)</f>
        <v/>
      </c>
      <c r="K268" s="21" t="str">
        <f>IF(C268="","",'Datos Generales'!$A$10)</f>
        <v/>
      </c>
      <c r="CS268" s="142" t="str">
        <f t="shared" si="35"/>
        <v/>
      </c>
      <c r="CT268" s="142" t="str">
        <f t="shared" si="36"/>
        <v/>
      </c>
      <c r="CU268" s="142" t="str">
        <f t="shared" si="37"/>
        <v/>
      </c>
      <c r="CV268" s="142" t="str">
        <f t="shared" si="38"/>
        <v/>
      </c>
      <c r="CW268" s="142" t="str">
        <f>IF(C268="","",IF('Datos Generales'!$A$19=1,AVERAGE(FP268:GD268),AVERAGE(Captura!FP268:FY268)))</f>
        <v/>
      </c>
      <c r="CX268" s="138" t="e">
        <f>IF(VLOOKUP(CONCATENATE($H$4,$F$4,CX$2),Español!$A:$H,7,FALSE)=L268,1,0)</f>
        <v>#N/A</v>
      </c>
      <c r="CY268" s="138" t="e">
        <f>IF(VLOOKUP(CONCATENATE(H268,F268,CY$2),Español!$A:$H,7,FALSE)=M268,1,0)</f>
        <v>#N/A</v>
      </c>
      <c r="CZ268" s="138" t="e">
        <f>IF(VLOOKUP(CONCATENATE(H268,F268,CZ$2),Español!$A:$H,7,FALSE)=N268,1,0)</f>
        <v>#N/A</v>
      </c>
      <c r="DA268" s="138" t="e">
        <f>IF(VLOOKUP(CONCATENATE(H268,F268,DA$2),Español!$A:$H,7,FALSE)=O268,1,0)</f>
        <v>#N/A</v>
      </c>
      <c r="DB268" s="138" t="e">
        <f>IF(VLOOKUP(CONCATENATE(H268,F268,DB$2),Español!$A:$H,7,FALSE)=P268,1,0)</f>
        <v>#N/A</v>
      </c>
      <c r="DC268" s="138" t="e">
        <f>IF(VLOOKUP(CONCATENATE(H268,F268,DC$2),Español!$A:$H,7,FALSE)=Q268,1,0)</f>
        <v>#N/A</v>
      </c>
      <c r="DD268" s="138" t="e">
        <f>IF(VLOOKUP(CONCATENATE(H268,F268,DD$2),Español!$A:$H,7,FALSE)=R268,1,0)</f>
        <v>#N/A</v>
      </c>
      <c r="DE268" s="138" t="e">
        <f>IF(VLOOKUP(CONCATENATE(H268,F268,DE$2),Español!$A:$H,7,FALSE)=S268,1,0)</f>
        <v>#N/A</v>
      </c>
      <c r="DF268" s="138" t="e">
        <f>IF(VLOOKUP(CONCATENATE(H268,F268,DF$2),Español!$A:$H,7,FALSE)=T268,1,0)</f>
        <v>#N/A</v>
      </c>
      <c r="DG268" s="138" t="e">
        <f>IF(VLOOKUP(CONCATENATE(H268,F268,DG$2),Español!$A:$H,7,FALSE)=U268,1,0)</f>
        <v>#N/A</v>
      </c>
      <c r="DH268" s="138" t="e">
        <f>IF(VLOOKUP(CONCATENATE(H268,F268,DH$2),Español!$A:$H,7,FALSE)=V268,1,0)</f>
        <v>#N/A</v>
      </c>
      <c r="DI268" s="138" t="e">
        <f>IF(VLOOKUP(CONCATENATE(H268,F268,DI$2),Español!$A:$H,7,FALSE)=W268,1,0)</f>
        <v>#N/A</v>
      </c>
      <c r="DJ268" s="138" t="e">
        <f>IF(VLOOKUP(CONCATENATE(H268,F268,DJ$2),Español!$A:$H,7,FALSE)=X268,1,0)</f>
        <v>#N/A</v>
      </c>
      <c r="DK268" s="138" t="e">
        <f>IF(VLOOKUP(CONCATENATE(H268,F268,DK$2),Español!$A:$H,7,FALSE)=Y268,1,0)</f>
        <v>#N/A</v>
      </c>
      <c r="DL268" s="138" t="e">
        <f>IF(VLOOKUP(CONCATENATE(H268,F268,DL$2),Español!$A:$H,7,FALSE)=Z268,1,0)</f>
        <v>#N/A</v>
      </c>
      <c r="DM268" s="138" t="e">
        <f>IF(VLOOKUP(CONCATENATE(H268,F268,DM$2),Español!$A:$H,7,FALSE)=AA268,1,0)</f>
        <v>#N/A</v>
      </c>
      <c r="DN268" s="138" t="e">
        <f>IF(VLOOKUP(CONCATENATE(H268,F268,DN$2),Español!$A:$H,7,FALSE)=AB268,1,0)</f>
        <v>#N/A</v>
      </c>
      <c r="DO268" s="138" t="e">
        <f>IF(VLOOKUP(CONCATENATE(H268,F268,DO$2),Español!$A:$H,7,FALSE)=AC268,1,0)</f>
        <v>#N/A</v>
      </c>
      <c r="DP268" s="138" t="e">
        <f>IF(VLOOKUP(CONCATENATE(H268,F268,DP$2),Español!$A:$H,7,FALSE)=AD268,1,0)</f>
        <v>#N/A</v>
      </c>
      <c r="DQ268" s="138" t="e">
        <f>IF(VLOOKUP(CONCATENATE(H268,F268,DQ$2),Español!$A:$H,7,FALSE)=AE268,1,0)</f>
        <v>#N/A</v>
      </c>
      <c r="DR268" s="138" t="e">
        <f>IF(VLOOKUP(CONCATENATE(H268,F268,DR$2),Inglés!$A:$H,7,FALSE)=AF268,1,0)</f>
        <v>#N/A</v>
      </c>
      <c r="DS268" s="138" t="e">
        <f>IF(VLOOKUP(CONCATENATE(H268,F268,DS$2),Inglés!$A:$H,7,FALSE)=AG268,1,0)</f>
        <v>#N/A</v>
      </c>
      <c r="DT268" s="138" t="e">
        <f>IF(VLOOKUP(CONCATENATE(H268,F268,DT$2),Inglés!$A:$H,7,FALSE)=AH268,1,0)</f>
        <v>#N/A</v>
      </c>
      <c r="DU268" s="138" t="e">
        <f>IF(VLOOKUP(CONCATENATE(H268,F268,DU$2),Inglés!$A:$H,7,FALSE)=AI268,1,0)</f>
        <v>#N/A</v>
      </c>
      <c r="DV268" s="138" t="e">
        <f>IF(VLOOKUP(CONCATENATE(H268,F268,DV$2),Inglés!$A:$H,7,FALSE)=AJ268,1,0)</f>
        <v>#N/A</v>
      </c>
      <c r="DW268" s="138" t="e">
        <f>IF(VLOOKUP(CONCATENATE(H268,F268,DW$2),Inglés!$A:$H,7,FALSE)=AK268,1,0)</f>
        <v>#N/A</v>
      </c>
      <c r="DX268" s="138" t="e">
        <f>IF(VLOOKUP(CONCATENATE(H268,F268,DX$2),Inglés!$A:$H,7,FALSE)=AL268,1,0)</f>
        <v>#N/A</v>
      </c>
      <c r="DY268" s="138" t="e">
        <f>IF(VLOOKUP(CONCATENATE(H268,F268,DY$2),Inglés!$A:$H,7,FALSE)=AM268,1,0)</f>
        <v>#N/A</v>
      </c>
      <c r="DZ268" s="138" t="e">
        <f>IF(VLOOKUP(CONCATENATE(H268,F268,DZ$2),Inglés!$A:$H,7,FALSE)=AN268,1,0)</f>
        <v>#N/A</v>
      </c>
      <c r="EA268" s="138" t="e">
        <f>IF(VLOOKUP(CONCATENATE(H268,F268,EA$2),Inglés!$A:$H,7,FALSE)=AO268,1,0)</f>
        <v>#N/A</v>
      </c>
      <c r="EB268" s="138" t="e">
        <f>IF(VLOOKUP(CONCATENATE(H268,F268,EB$2),Matemáticas!$A:$H,7,FALSE)=AP268,1,0)</f>
        <v>#N/A</v>
      </c>
      <c r="EC268" s="138" t="e">
        <f>IF(VLOOKUP(CONCATENATE(H268,F268,EC$2),Matemáticas!$A:$H,7,FALSE)=AQ268,1,0)</f>
        <v>#N/A</v>
      </c>
      <c r="ED268" s="138" t="e">
        <f>IF(VLOOKUP(CONCATENATE(H268,F268,ED$2),Matemáticas!$A:$H,7,FALSE)=AR268,1,0)</f>
        <v>#N/A</v>
      </c>
      <c r="EE268" s="138" t="e">
        <f>IF(VLOOKUP(CONCATENATE(H268,F268,EE$2),Matemáticas!$A:$H,7,FALSE)=AS268,1,0)</f>
        <v>#N/A</v>
      </c>
      <c r="EF268" s="138" t="e">
        <f>IF(VLOOKUP(CONCATENATE(H268,F268,EF$2),Matemáticas!$A:$H,7,FALSE)=AT268,1,0)</f>
        <v>#N/A</v>
      </c>
      <c r="EG268" s="138" t="e">
        <f>IF(VLOOKUP(CONCATENATE(H268,F268,EG$2),Matemáticas!$A:$H,7,FALSE)=AU268,1,0)</f>
        <v>#N/A</v>
      </c>
      <c r="EH268" s="138" t="e">
        <f>IF(VLOOKUP(CONCATENATE(H268,F268,EH$2),Matemáticas!$A:$H,7,FALSE)=AV268,1,0)</f>
        <v>#N/A</v>
      </c>
      <c r="EI268" s="138" t="e">
        <f>IF(VLOOKUP(CONCATENATE(H268,F268,EI$2),Matemáticas!$A:$H,7,FALSE)=AW268,1,0)</f>
        <v>#N/A</v>
      </c>
      <c r="EJ268" s="138" t="e">
        <f>IF(VLOOKUP(CONCATENATE(H268,F268,EJ$2),Matemáticas!$A:$H,7,FALSE)=AX268,1,0)</f>
        <v>#N/A</v>
      </c>
      <c r="EK268" s="138" t="e">
        <f>IF(VLOOKUP(CONCATENATE(H268,F268,EK$2),Matemáticas!$A:$H,7,FALSE)=AY268,1,0)</f>
        <v>#N/A</v>
      </c>
      <c r="EL268" s="138" t="e">
        <f>IF(VLOOKUP(CONCATENATE(H268,F268,EL$2),Matemáticas!$A:$H,7,FALSE)=AZ268,1,0)</f>
        <v>#N/A</v>
      </c>
      <c r="EM268" s="138" t="e">
        <f>IF(VLOOKUP(CONCATENATE(H268,F268,EM$2),Matemáticas!$A:$H,7,FALSE)=BA268,1,0)</f>
        <v>#N/A</v>
      </c>
      <c r="EN268" s="138" t="e">
        <f>IF(VLOOKUP(CONCATENATE(H268,F268,EN$2),Matemáticas!$A:$H,7,FALSE)=BB268,1,0)</f>
        <v>#N/A</v>
      </c>
      <c r="EO268" s="138" t="e">
        <f>IF(VLOOKUP(CONCATENATE(H268,F268,EO$2),Matemáticas!$A:$H,7,FALSE)=BC268,1,0)</f>
        <v>#N/A</v>
      </c>
      <c r="EP268" s="138" t="e">
        <f>IF(VLOOKUP(CONCATENATE(H268,F268,EP$2),Matemáticas!$A:$H,7,FALSE)=BD268,1,0)</f>
        <v>#N/A</v>
      </c>
      <c r="EQ268" s="138" t="e">
        <f>IF(VLOOKUP(CONCATENATE(H268,F268,EQ$2),Matemáticas!$A:$H,7,FALSE)=BE268,1,0)</f>
        <v>#N/A</v>
      </c>
      <c r="ER268" s="138" t="e">
        <f>IF(VLOOKUP(CONCATENATE(H268,F268,ER$2),Matemáticas!$A:$H,7,FALSE)=BF268,1,0)</f>
        <v>#N/A</v>
      </c>
      <c r="ES268" s="138" t="e">
        <f>IF(VLOOKUP(CONCATENATE(H268,F268,ES$2),Matemáticas!$A:$H,7,FALSE)=BG268,1,0)</f>
        <v>#N/A</v>
      </c>
      <c r="ET268" s="138" t="e">
        <f>IF(VLOOKUP(CONCATENATE(H268,F268,ET$2),Matemáticas!$A:$H,7,FALSE)=BH268,1,0)</f>
        <v>#N/A</v>
      </c>
      <c r="EU268" s="138" t="e">
        <f>IF(VLOOKUP(CONCATENATE(H268,F268,EU$2),Matemáticas!$A:$H,7,FALSE)=BI268,1,0)</f>
        <v>#N/A</v>
      </c>
      <c r="EV268" s="138" t="e">
        <f>IF(VLOOKUP(CONCATENATE(H268,F268,EV$2),Ciencias!$A:$H,7,FALSE)=BJ268,1,0)</f>
        <v>#N/A</v>
      </c>
      <c r="EW268" s="138" t="e">
        <f>IF(VLOOKUP(CONCATENATE(H268,F268,EW$2),Ciencias!$A:$H,7,FALSE)=BK268,1,0)</f>
        <v>#N/A</v>
      </c>
      <c r="EX268" s="138" t="e">
        <f>IF(VLOOKUP(CONCATENATE(H268,F268,EX$2),Ciencias!$A:$H,7,FALSE)=BL268,1,0)</f>
        <v>#N/A</v>
      </c>
      <c r="EY268" s="138" t="e">
        <f>IF(VLOOKUP(CONCATENATE(H268,F268,EY$2),Ciencias!$A:$H,7,FALSE)=BM268,1,0)</f>
        <v>#N/A</v>
      </c>
      <c r="EZ268" s="138" t="e">
        <f>IF(VLOOKUP(CONCATENATE(H268,F268,EZ$2),Ciencias!$A:$H,7,FALSE)=BN268,1,0)</f>
        <v>#N/A</v>
      </c>
      <c r="FA268" s="138" t="e">
        <f>IF(VLOOKUP(CONCATENATE(H268,F268,FA$2),Ciencias!$A:$H,7,FALSE)=BO268,1,0)</f>
        <v>#N/A</v>
      </c>
      <c r="FB268" s="138" t="e">
        <f>IF(VLOOKUP(CONCATENATE(H268,F268,FB$2),Ciencias!$A:$H,7,FALSE)=BP268,1,0)</f>
        <v>#N/A</v>
      </c>
      <c r="FC268" s="138" t="e">
        <f>IF(VLOOKUP(CONCATENATE(H268,F268,FC$2),Ciencias!$A:$H,7,FALSE)=BQ268,1,0)</f>
        <v>#N/A</v>
      </c>
      <c r="FD268" s="138" t="e">
        <f>IF(VLOOKUP(CONCATENATE(H268,F268,FD$2),Ciencias!$A:$H,7,FALSE)=BR268,1,0)</f>
        <v>#N/A</v>
      </c>
      <c r="FE268" s="138" t="e">
        <f>IF(VLOOKUP(CONCATENATE(H268,F268,FE$2),Ciencias!$A:$H,7,FALSE)=BS268,1,0)</f>
        <v>#N/A</v>
      </c>
      <c r="FF268" s="138" t="e">
        <f>IF(VLOOKUP(CONCATENATE(H268,F268,FF$2),Ciencias!$A:$H,7,FALSE)=BT268,1,0)</f>
        <v>#N/A</v>
      </c>
      <c r="FG268" s="138" t="e">
        <f>IF(VLOOKUP(CONCATENATE(H268,F268,FG$2),Ciencias!$A:$H,7,FALSE)=BU268,1,0)</f>
        <v>#N/A</v>
      </c>
      <c r="FH268" s="138" t="e">
        <f>IF(VLOOKUP(CONCATENATE(H268,F268,FH$2),Ciencias!$A:$H,7,FALSE)=BV268,1,0)</f>
        <v>#N/A</v>
      </c>
      <c r="FI268" s="138" t="e">
        <f>IF(VLOOKUP(CONCATENATE(H268,F268,FI$2),Ciencias!$A:$H,7,FALSE)=BW268,1,0)</f>
        <v>#N/A</v>
      </c>
      <c r="FJ268" s="138" t="e">
        <f>IF(VLOOKUP(CONCATENATE(H268,F268,FJ$2),Ciencias!$A:$H,7,FALSE)=BX268,1,0)</f>
        <v>#N/A</v>
      </c>
      <c r="FK268" s="138" t="e">
        <f>IF(VLOOKUP(CONCATENATE(H268,F268,FK$2),Ciencias!$A:$H,7,FALSE)=BY268,1,0)</f>
        <v>#N/A</v>
      </c>
      <c r="FL268" s="138" t="e">
        <f>IF(VLOOKUP(CONCATENATE(H268,F268,FL$2),Ciencias!$A:$H,7,FALSE)=BZ268,1,0)</f>
        <v>#N/A</v>
      </c>
      <c r="FM268" s="138" t="e">
        <f>IF(VLOOKUP(CONCATENATE(H268,F268,FM$2),Ciencias!$A:$H,7,FALSE)=CA268,1,0)</f>
        <v>#N/A</v>
      </c>
      <c r="FN268" s="138" t="e">
        <f>IF(VLOOKUP(CONCATENATE(H268,F268,FN$2),Ciencias!$A:$H,7,FALSE)=CB268,1,0)</f>
        <v>#N/A</v>
      </c>
      <c r="FO268" s="138" t="e">
        <f>IF(VLOOKUP(CONCATENATE(H268,F268,FO$2),Ciencias!$A:$H,7,FALSE)=CC268,1,0)</f>
        <v>#N/A</v>
      </c>
      <c r="FP268" s="138" t="e">
        <f>IF(VLOOKUP(CONCATENATE(H268,F268,FP$2),GeoHis!$A:$H,7,FALSE)=CD268,1,0)</f>
        <v>#N/A</v>
      </c>
      <c r="FQ268" s="138" t="e">
        <f>IF(VLOOKUP(CONCATENATE(H268,F268,FQ$2),GeoHis!$A:$H,7,FALSE)=CE268,1,0)</f>
        <v>#N/A</v>
      </c>
      <c r="FR268" s="138" t="e">
        <f>IF(VLOOKUP(CONCATENATE(H268,F268,FR$2),GeoHis!$A:$H,7,FALSE)=CF268,1,0)</f>
        <v>#N/A</v>
      </c>
      <c r="FS268" s="138" t="e">
        <f>IF(VLOOKUP(CONCATENATE(H268,F268,FS$2),GeoHis!$A:$H,7,FALSE)=CG268,1,0)</f>
        <v>#N/A</v>
      </c>
      <c r="FT268" s="138" t="e">
        <f>IF(VLOOKUP(CONCATENATE(H268,F268,FT$2),GeoHis!$A:$H,7,FALSE)=CH268,1,0)</f>
        <v>#N/A</v>
      </c>
      <c r="FU268" s="138" t="e">
        <f>IF(VLOOKUP(CONCATENATE(H268,F268,FU$2),GeoHis!$A:$H,7,FALSE)=CI268,1,0)</f>
        <v>#N/A</v>
      </c>
      <c r="FV268" s="138" t="e">
        <f>IF(VLOOKUP(CONCATENATE(H268,F268,FV$2),GeoHis!$A:$H,7,FALSE)=CJ268,1,0)</f>
        <v>#N/A</v>
      </c>
      <c r="FW268" s="138" t="e">
        <f>IF(VLOOKUP(CONCATENATE(H268,F268,FW$2),GeoHis!$A:$H,7,FALSE)=CK268,1,0)</f>
        <v>#N/A</v>
      </c>
      <c r="FX268" s="138" t="e">
        <f>IF(VLOOKUP(CONCATENATE(H268,F268,FX$2),GeoHis!$A:$H,7,FALSE)=CL268,1,0)</f>
        <v>#N/A</v>
      </c>
      <c r="FY268" s="138" t="e">
        <f>IF(VLOOKUP(CONCATENATE(H268,F268,FY$2),GeoHis!$A:$H,7,FALSE)=CM268,1,0)</f>
        <v>#N/A</v>
      </c>
      <c r="FZ268" s="138" t="e">
        <f>IF(VLOOKUP(CONCATENATE(H268,F268,FZ$2),GeoHis!$A:$H,7,FALSE)=CN268,1,0)</f>
        <v>#N/A</v>
      </c>
      <c r="GA268" s="138" t="e">
        <f>IF(VLOOKUP(CONCATENATE(H268,F268,GA$2),GeoHis!$A:$H,7,FALSE)=CO268,1,0)</f>
        <v>#N/A</v>
      </c>
      <c r="GB268" s="138" t="e">
        <f>IF(VLOOKUP(CONCATENATE(H268,F268,GB$2),GeoHis!$A:$H,7,FALSE)=CP268,1,0)</f>
        <v>#N/A</v>
      </c>
      <c r="GC268" s="138" t="e">
        <f>IF(VLOOKUP(CONCATENATE(H268,F268,GC$2),GeoHis!$A:$H,7,FALSE)=CQ268,1,0)</f>
        <v>#N/A</v>
      </c>
      <c r="GD268" s="138" t="e">
        <f>IF(VLOOKUP(CONCATENATE(H268,F268,GD$2),GeoHis!$A:$H,7,FALSE)=CR268,1,0)</f>
        <v>#N/A</v>
      </c>
      <c r="GE268" s="135" t="str">
        <f t="shared" si="39"/>
        <v/>
      </c>
    </row>
    <row r="269" spans="1:187" x14ac:dyDescent="0.25">
      <c r="A269" s="127" t="str">
        <f>IF(C269="","",'Datos Generales'!$A$25)</f>
        <v/>
      </c>
      <c r="D269" s="126" t="str">
        <f t="shared" si="32"/>
        <v/>
      </c>
      <c r="E269" s="126">
        <f t="shared" si="33"/>
        <v>0</v>
      </c>
      <c r="F269" s="126" t="str">
        <f t="shared" si="34"/>
        <v/>
      </c>
      <c r="G269" s="126" t="str">
        <f>IF(C269="","",'Datos Generales'!$D$19)</f>
        <v/>
      </c>
      <c r="H269" s="21" t="str">
        <f>IF(C269="","",'Datos Generales'!$A$19)</f>
        <v/>
      </c>
      <c r="I269" s="126" t="str">
        <f>IF(C269="","",'Datos Generales'!$A$7)</f>
        <v/>
      </c>
      <c r="J269" s="21" t="str">
        <f>IF(C269="","",'Datos Generales'!$A$13)</f>
        <v/>
      </c>
      <c r="K269" s="21" t="str">
        <f>IF(C269="","",'Datos Generales'!$A$10)</f>
        <v/>
      </c>
      <c r="CS269" s="142" t="str">
        <f t="shared" si="35"/>
        <v/>
      </c>
      <c r="CT269" s="142" t="str">
        <f t="shared" si="36"/>
        <v/>
      </c>
      <c r="CU269" s="142" t="str">
        <f t="shared" si="37"/>
        <v/>
      </c>
      <c r="CV269" s="142" t="str">
        <f t="shared" si="38"/>
        <v/>
      </c>
      <c r="CW269" s="142" t="str">
        <f>IF(C269="","",IF('Datos Generales'!$A$19=1,AVERAGE(FP269:GD269),AVERAGE(Captura!FP269:FY269)))</f>
        <v/>
      </c>
      <c r="CX269" s="138" t="e">
        <f>IF(VLOOKUP(CONCATENATE($H$4,$F$4,CX$2),Español!$A:$H,7,FALSE)=L269,1,0)</f>
        <v>#N/A</v>
      </c>
      <c r="CY269" s="138" t="e">
        <f>IF(VLOOKUP(CONCATENATE(H269,F269,CY$2),Español!$A:$H,7,FALSE)=M269,1,0)</f>
        <v>#N/A</v>
      </c>
      <c r="CZ269" s="138" t="e">
        <f>IF(VLOOKUP(CONCATENATE(H269,F269,CZ$2),Español!$A:$H,7,FALSE)=N269,1,0)</f>
        <v>#N/A</v>
      </c>
      <c r="DA269" s="138" t="e">
        <f>IF(VLOOKUP(CONCATENATE(H269,F269,DA$2),Español!$A:$H,7,FALSE)=O269,1,0)</f>
        <v>#N/A</v>
      </c>
      <c r="DB269" s="138" t="e">
        <f>IF(VLOOKUP(CONCATENATE(H269,F269,DB$2),Español!$A:$H,7,FALSE)=P269,1,0)</f>
        <v>#N/A</v>
      </c>
      <c r="DC269" s="138" t="e">
        <f>IF(VLOOKUP(CONCATENATE(H269,F269,DC$2),Español!$A:$H,7,FALSE)=Q269,1,0)</f>
        <v>#N/A</v>
      </c>
      <c r="DD269" s="138" t="e">
        <f>IF(VLOOKUP(CONCATENATE(H269,F269,DD$2),Español!$A:$H,7,FALSE)=R269,1,0)</f>
        <v>#N/A</v>
      </c>
      <c r="DE269" s="138" t="e">
        <f>IF(VLOOKUP(CONCATENATE(H269,F269,DE$2),Español!$A:$H,7,FALSE)=S269,1,0)</f>
        <v>#N/A</v>
      </c>
      <c r="DF269" s="138" t="e">
        <f>IF(VLOOKUP(CONCATENATE(H269,F269,DF$2),Español!$A:$H,7,FALSE)=T269,1,0)</f>
        <v>#N/A</v>
      </c>
      <c r="DG269" s="138" t="e">
        <f>IF(VLOOKUP(CONCATENATE(H269,F269,DG$2),Español!$A:$H,7,FALSE)=U269,1,0)</f>
        <v>#N/A</v>
      </c>
      <c r="DH269" s="138" t="e">
        <f>IF(VLOOKUP(CONCATENATE(H269,F269,DH$2),Español!$A:$H,7,FALSE)=V269,1,0)</f>
        <v>#N/A</v>
      </c>
      <c r="DI269" s="138" t="e">
        <f>IF(VLOOKUP(CONCATENATE(H269,F269,DI$2),Español!$A:$H,7,FALSE)=W269,1,0)</f>
        <v>#N/A</v>
      </c>
      <c r="DJ269" s="138" t="e">
        <f>IF(VLOOKUP(CONCATENATE(H269,F269,DJ$2),Español!$A:$H,7,FALSE)=X269,1,0)</f>
        <v>#N/A</v>
      </c>
      <c r="DK269" s="138" t="e">
        <f>IF(VLOOKUP(CONCATENATE(H269,F269,DK$2),Español!$A:$H,7,FALSE)=Y269,1,0)</f>
        <v>#N/A</v>
      </c>
      <c r="DL269" s="138" t="e">
        <f>IF(VLOOKUP(CONCATENATE(H269,F269,DL$2),Español!$A:$H,7,FALSE)=Z269,1,0)</f>
        <v>#N/A</v>
      </c>
      <c r="DM269" s="138" t="e">
        <f>IF(VLOOKUP(CONCATENATE(H269,F269,DM$2),Español!$A:$H,7,FALSE)=AA269,1,0)</f>
        <v>#N/A</v>
      </c>
      <c r="DN269" s="138" t="e">
        <f>IF(VLOOKUP(CONCATENATE(H269,F269,DN$2),Español!$A:$H,7,FALSE)=AB269,1,0)</f>
        <v>#N/A</v>
      </c>
      <c r="DO269" s="138" t="e">
        <f>IF(VLOOKUP(CONCATENATE(H269,F269,DO$2),Español!$A:$H,7,FALSE)=AC269,1,0)</f>
        <v>#N/A</v>
      </c>
      <c r="DP269" s="138" t="e">
        <f>IF(VLOOKUP(CONCATENATE(H269,F269,DP$2),Español!$A:$H,7,FALSE)=AD269,1,0)</f>
        <v>#N/A</v>
      </c>
      <c r="DQ269" s="138" t="e">
        <f>IF(VLOOKUP(CONCATENATE(H269,F269,DQ$2),Español!$A:$H,7,FALSE)=AE269,1,0)</f>
        <v>#N/A</v>
      </c>
      <c r="DR269" s="138" t="e">
        <f>IF(VLOOKUP(CONCATENATE(H269,F269,DR$2),Inglés!$A:$H,7,FALSE)=AF269,1,0)</f>
        <v>#N/A</v>
      </c>
      <c r="DS269" s="138" t="e">
        <f>IF(VLOOKUP(CONCATENATE(H269,F269,DS$2),Inglés!$A:$H,7,FALSE)=AG269,1,0)</f>
        <v>#N/A</v>
      </c>
      <c r="DT269" s="138" t="e">
        <f>IF(VLOOKUP(CONCATENATE(H269,F269,DT$2),Inglés!$A:$H,7,FALSE)=AH269,1,0)</f>
        <v>#N/A</v>
      </c>
      <c r="DU269" s="138" t="e">
        <f>IF(VLOOKUP(CONCATENATE(H269,F269,DU$2),Inglés!$A:$H,7,FALSE)=AI269,1,0)</f>
        <v>#N/A</v>
      </c>
      <c r="DV269" s="138" t="e">
        <f>IF(VLOOKUP(CONCATENATE(H269,F269,DV$2),Inglés!$A:$H,7,FALSE)=AJ269,1,0)</f>
        <v>#N/A</v>
      </c>
      <c r="DW269" s="138" t="e">
        <f>IF(VLOOKUP(CONCATENATE(H269,F269,DW$2),Inglés!$A:$H,7,FALSE)=AK269,1,0)</f>
        <v>#N/A</v>
      </c>
      <c r="DX269" s="138" t="e">
        <f>IF(VLOOKUP(CONCATENATE(H269,F269,DX$2),Inglés!$A:$H,7,FALSE)=AL269,1,0)</f>
        <v>#N/A</v>
      </c>
      <c r="DY269" s="138" t="e">
        <f>IF(VLOOKUP(CONCATENATE(H269,F269,DY$2),Inglés!$A:$H,7,FALSE)=AM269,1,0)</f>
        <v>#N/A</v>
      </c>
      <c r="DZ269" s="138" t="e">
        <f>IF(VLOOKUP(CONCATENATE(H269,F269,DZ$2),Inglés!$A:$H,7,FALSE)=AN269,1,0)</f>
        <v>#N/A</v>
      </c>
      <c r="EA269" s="138" t="e">
        <f>IF(VLOOKUP(CONCATENATE(H269,F269,EA$2),Inglés!$A:$H,7,FALSE)=AO269,1,0)</f>
        <v>#N/A</v>
      </c>
      <c r="EB269" s="138" t="e">
        <f>IF(VLOOKUP(CONCATENATE(H269,F269,EB$2),Matemáticas!$A:$H,7,FALSE)=AP269,1,0)</f>
        <v>#N/A</v>
      </c>
      <c r="EC269" s="138" t="e">
        <f>IF(VLOOKUP(CONCATENATE(H269,F269,EC$2),Matemáticas!$A:$H,7,FALSE)=AQ269,1,0)</f>
        <v>#N/A</v>
      </c>
      <c r="ED269" s="138" t="e">
        <f>IF(VLOOKUP(CONCATENATE(H269,F269,ED$2),Matemáticas!$A:$H,7,FALSE)=AR269,1,0)</f>
        <v>#N/A</v>
      </c>
      <c r="EE269" s="138" t="e">
        <f>IF(VLOOKUP(CONCATENATE(H269,F269,EE$2),Matemáticas!$A:$H,7,FALSE)=AS269,1,0)</f>
        <v>#N/A</v>
      </c>
      <c r="EF269" s="138" t="e">
        <f>IF(VLOOKUP(CONCATENATE(H269,F269,EF$2),Matemáticas!$A:$H,7,FALSE)=AT269,1,0)</f>
        <v>#N/A</v>
      </c>
      <c r="EG269" s="138" t="e">
        <f>IF(VLOOKUP(CONCATENATE(H269,F269,EG$2),Matemáticas!$A:$H,7,FALSE)=AU269,1,0)</f>
        <v>#N/A</v>
      </c>
      <c r="EH269" s="138" t="e">
        <f>IF(VLOOKUP(CONCATENATE(H269,F269,EH$2),Matemáticas!$A:$H,7,FALSE)=AV269,1,0)</f>
        <v>#N/A</v>
      </c>
      <c r="EI269" s="138" t="e">
        <f>IF(VLOOKUP(CONCATENATE(H269,F269,EI$2),Matemáticas!$A:$H,7,FALSE)=AW269,1,0)</f>
        <v>#N/A</v>
      </c>
      <c r="EJ269" s="138" t="e">
        <f>IF(VLOOKUP(CONCATENATE(H269,F269,EJ$2),Matemáticas!$A:$H,7,FALSE)=AX269,1,0)</f>
        <v>#N/A</v>
      </c>
      <c r="EK269" s="138" t="e">
        <f>IF(VLOOKUP(CONCATENATE(H269,F269,EK$2),Matemáticas!$A:$H,7,FALSE)=AY269,1,0)</f>
        <v>#N/A</v>
      </c>
      <c r="EL269" s="138" t="e">
        <f>IF(VLOOKUP(CONCATENATE(H269,F269,EL$2),Matemáticas!$A:$H,7,FALSE)=AZ269,1,0)</f>
        <v>#N/A</v>
      </c>
      <c r="EM269" s="138" t="e">
        <f>IF(VLOOKUP(CONCATENATE(H269,F269,EM$2),Matemáticas!$A:$H,7,FALSE)=BA269,1,0)</f>
        <v>#N/A</v>
      </c>
      <c r="EN269" s="138" t="e">
        <f>IF(VLOOKUP(CONCATENATE(H269,F269,EN$2),Matemáticas!$A:$H,7,FALSE)=BB269,1,0)</f>
        <v>#N/A</v>
      </c>
      <c r="EO269" s="138" t="e">
        <f>IF(VLOOKUP(CONCATENATE(H269,F269,EO$2),Matemáticas!$A:$H,7,FALSE)=BC269,1,0)</f>
        <v>#N/A</v>
      </c>
      <c r="EP269" s="138" t="e">
        <f>IF(VLOOKUP(CONCATENATE(H269,F269,EP$2),Matemáticas!$A:$H,7,FALSE)=BD269,1,0)</f>
        <v>#N/A</v>
      </c>
      <c r="EQ269" s="138" t="e">
        <f>IF(VLOOKUP(CONCATENATE(H269,F269,EQ$2),Matemáticas!$A:$H,7,FALSE)=BE269,1,0)</f>
        <v>#N/A</v>
      </c>
      <c r="ER269" s="138" t="e">
        <f>IF(VLOOKUP(CONCATENATE(H269,F269,ER$2),Matemáticas!$A:$H,7,FALSE)=BF269,1,0)</f>
        <v>#N/A</v>
      </c>
      <c r="ES269" s="138" t="e">
        <f>IF(VLOOKUP(CONCATENATE(H269,F269,ES$2),Matemáticas!$A:$H,7,FALSE)=BG269,1,0)</f>
        <v>#N/A</v>
      </c>
      <c r="ET269" s="138" t="e">
        <f>IF(VLOOKUP(CONCATENATE(H269,F269,ET$2),Matemáticas!$A:$H,7,FALSE)=BH269,1,0)</f>
        <v>#N/A</v>
      </c>
      <c r="EU269" s="138" t="e">
        <f>IF(VLOOKUP(CONCATENATE(H269,F269,EU$2),Matemáticas!$A:$H,7,FALSE)=BI269,1,0)</f>
        <v>#N/A</v>
      </c>
      <c r="EV269" s="138" t="e">
        <f>IF(VLOOKUP(CONCATENATE(H269,F269,EV$2),Ciencias!$A:$H,7,FALSE)=BJ269,1,0)</f>
        <v>#N/A</v>
      </c>
      <c r="EW269" s="138" t="e">
        <f>IF(VLOOKUP(CONCATENATE(H269,F269,EW$2),Ciencias!$A:$H,7,FALSE)=BK269,1,0)</f>
        <v>#N/A</v>
      </c>
      <c r="EX269" s="138" t="e">
        <f>IF(VLOOKUP(CONCATENATE(H269,F269,EX$2),Ciencias!$A:$H,7,FALSE)=BL269,1,0)</f>
        <v>#N/A</v>
      </c>
      <c r="EY269" s="138" t="e">
        <f>IF(VLOOKUP(CONCATENATE(H269,F269,EY$2),Ciencias!$A:$H,7,FALSE)=BM269,1,0)</f>
        <v>#N/A</v>
      </c>
      <c r="EZ269" s="138" t="e">
        <f>IF(VLOOKUP(CONCATENATE(H269,F269,EZ$2),Ciencias!$A:$H,7,FALSE)=BN269,1,0)</f>
        <v>#N/A</v>
      </c>
      <c r="FA269" s="138" t="e">
        <f>IF(VLOOKUP(CONCATENATE(H269,F269,FA$2),Ciencias!$A:$H,7,FALSE)=BO269,1,0)</f>
        <v>#N/A</v>
      </c>
      <c r="FB269" s="138" t="e">
        <f>IF(VLOOKUP(CONCATENATE(H269,F269,FB$2),Ciencias!$A:$H,7,FALSE)=BP269,1,0)</f>
        <v>#N/A</v>
      </c>
      <c r="FC269" s="138" t="e">
        <f>IF(VLOOKUP(CONCATENATE(H269,F269,FC$2),Ciencias!$A:$H,7,FALSE)=BQ269,1,0)</f>
        <v>#N/A</v>
      </c>
      <c r="FD269" s="138" t="e">
        <f>IF(VLOOKUP(CONCATENATE(H269,F269,FD$2),Ciencias!$A:$H,7,FALSE)=BR269,1,0)</f>
        <v>#N/A</v>
      </c>
      <c r="FE269" s="138" t="e">
        <f>IF(VLOOKUP(CONCATENATE(H269,F269,FE$2),Ciencias!$A:$H,7,FALSE)=BS269,1,0)</f>
        <v>#N/A</v>
      </c>
      <c r="FF269" s="138" t="e">
        <f>IF(VLOOKUP(CONCATENATE(H269,F269,FF$2),Ciencias!$A:$H,7,FALSE)=BT269,1,0)</f>
        <v>#N/A</v>
      </c>
      <c r="FG269" s="138" t="e">
        <f>IF(VLOOKUP(CONCATENATE(H269,F269,FG$2),Ciencias!$A:$H,7,FALSE)=BU269,1,0)</f>
        <v>#N/A</v>
      </c>
      <c r="FH269" s="138" t="e">
        <f>IF(VLOOKUP(CONCATENATE(H269,F269,FH$2),Ciencias!$A:$H,7,FALSE)=BV269,1,0)</f>
        <v>#N/A</v>
      </c>
      <c r="FI269" s="138" t="e">
        <f>IF(VLOOKUP(CONCATENATE(H269,F269,FI$2),Ciencias!$A:$H,7,FALSE)=BW269,1,0)</f>
        <v>#N/A</v>
      </c>
      <c r="FJ269" s="138" t="e">
        <f>IF(VLOOKUP(CONCATENATE(H269,F269,FJ$2),Ciencias!$A:$H,7,FALSE)=BX269,1,0)</f>
        <v>#N/A</v>
      </c>
      <c r="FK269" s="138" t="e">
        <f>IF(VLOOKUP(CONCATENATE(H269,F269,FK$2),Ciencias!$A:$H,7,FALSE)=BY269,1,0)</f>
        <v>#N/A</v>
      </c>
      <c r="FL269" s="138" t="e">
        <f>IF(VLOOKUP(CONCATENATE(H269,F269,FL$2),Ciencias!$A:$H,7,FALSE)=BZ269,1,0)</f>
        <v>#N/A</v>
      </c>
      <c r="FM269" s="138" t="e">
        <f>IF(VLOOKUP(CONCATENATE(H269,F269,FM$2),Ciencias!$A:$H,7,FALSE)=CA269,1,0)</f>
        <v>#N/A</v>
      </c>
      <c r="FN269" s="138" t="e">
        <f>IF(VLOOKUP(CONCATENATE(H269,F269,FN$2),Ciencias!$A:$H,7,FALSE)=CB269,1,0)</f>
        <v>#N/A</v>
      </c>
      <c r="FO269" s="138" t="e">
        <f>IF(VLOOKUP(CONCATENATE(H269,F269,FO$2),Ciencias!$A:$H,7,FALSE)=CC269,1,0)</f>
        <v>#N/A</v>
      </c>
      <c r="FP269" s="138" t="e">
        <f>IF(VLOOKUP(CONCATENATE(H269,F269,FP$2),GeoHis!$A:$H,7,FALSE)=CD269,1,0)</f>
        <v>#N/A</v>
      </c>
      <c r="FQ269" s="138" t="e">
        <f>IF(VLOOKUP(CONCATENATE(H269,F269,FQ$2),GeoHis!$A:$H,7,FALSE)=CE269,1,0)</f>
        <v>#N/A</v>
      </c>
      <c r="FR269" s="138" t="e">
        <f>IF(VLOOKUP(CONCATENATE(H269,F269,FR$2),GeoHis!$A:$H,7,FALSE)=CF269,1,0)</f>
        <v>#N/A</v>
      </c>
      <c r="FS269" s="138" t="e">
        <f>IF(VLOOKUP(CONCATENATE(H269,F269,FS$2),GeoHis!$A:$H,7,FALSE)=CG269,1,0)</f>
        <v>#N/A</v>
      </c>
      <c r="FT269" s="138" t="e">
        <f>IF(VLOOKUP(CONCATENATE(H269,F269,FT$2),GeoHis!$A:$H,7,FALSE)=CH269,1,0)</f>
        <v>#N/A</v>
      </c>
      <c r="FU269" s="138" t="e">
        <f>IF(VLOOKUP(CONCATENATE(H269,F269,FU$2),GeoHis!$A:$H,7,FALSE)=CI269,1,0)</f>
        <v>#N/A</v>
      </c>
      <c r="FV269" s="138" t="e">
        <f>IF(VLOOKUP(CONCATENATE(H269,F269,FV$2),GeoHis!$A:$H,7,FALSE)=CJ269,1,0)</f>
        <v>#N/A</v>
      </c>
      <c r="FW269" s="138" t="e">
        <f>IF(VLOOKUP(CONCATENATE(H269,F269,FW$2),GeoHis!$A:$H,7,FALSE)=CK269,1,0)</f>
        <v>#N/A</v>
      </c>
      <c r="FX269" s="138" t="e">
        <f>IF(VLOOKUP(CONCATENATE(H269,F269,FX$2),GeoHis!$A:$H,7,FALSE)=CL269,1,0)</f>
        <v>#N/A</v>
      </c>
      <c r="FY269" s="138" t="e">
        <f>IF(VLOOKUP(CONCATENATE(H269,F269,FY$2),GeoHis!$A:$H,7,FALSE)=CM269,1,0)</f>
        <v>#N/A</v>
      </c>
      <c r="FZ269" s="138" t="e">
        <f>IF(VLOOKUP(CONCATENATE(H269,F269,FZ$2),GeoHis!$A:$H,7,FALSE)=CN269,1,0)</f>
        <v>#N/A</v>
      </c>
      <c r="GA269" s="138" t="e">
        <f>IF(VLOOKUP(CONCATENATE(H269,F269,GA$2),GeoHis!$A:$H,7,FALSE)=CO269,1,0)</f>
        <v>#N/A</v>
      </c>
      <c r="GB269" s="138" t="e">
        <f>IF(VLOOKUP(CONCATENATE(H269,F269,GB$2),GeoHis!$A:$H,7,FALSE)=CP269,1,0)</f>
        <v>#N/A</v>
      </c>
      <c r="GC269" s="138" t="e">
        <f>IF(VLOOKUP(CONCATENATE(H269,F269,GC$2),GeoHis!$A:$H,7,FALSE)=CQ269,1,0)</f>
        <v>#N/A</v>
      </c>
      <c r="GD269" s="138" t="e">
        <f>IF(VLOOKUP(CONCATENATE(H269,F269,GD$2),GeoHis!$A:$H,7,FALSE)=CR269,1,0)</f>
        <v>#N/A</v>
      </c>
      <c r="GE269" s="135" t="str">
        <f t="shared" si="39"/>
        <v/>
      </c>
    </row>
    <row r="270" spans="1:187" x14ac:dyDescent="0.25">
      <c r="A270" s="127" t="str">
        <f>IF(C270="","",'Datos Generales'!$A$25)</f>
        <v/>
      </c>
      <c r="D270" s="126" t="str">
        <f t="shared" si="32"/>
        <v/>
      </c>
      <c r="E270" s="126">
        <f t="shared" si="33"/>
        <v>0</v>
      </c>
      <c r="F270" s="126" t="str">
        <f t="shared" si="34"/>
        <v/>
      </c>
      <c r="G270" s="126" t="str">
        <f>IF(C270="","",'Datos Generales'!$D$19)</f>
        <v/>
      </c>
      <c r="H270" s="21" t="str">
        <f>IF(C270="","",'Datos Generales'!$A$19)</f>
        <v/>
      </c>
      <c r="I270" s="126" t="str">
        <f>IF(C270="","",'Datos Generales'!$A$7)</f>
        <v/>
      </c>
      <c r="J270" s="21" t="str">
        <f>IF(C270="","",'Datos Generales'!$A$13)</f>
        <v/>
      </c>
      <c r="K270" s="21" t="str">
        <f>IF(C270="","",'Datos Generales'!$A$10)</f>
        <v/>
      </c>
      <c r="CS270" s="142" t="str">
        <f t="shared" si="35"/>
        <v/>
      </c>
      <c r="CT270" s="142" t="str">
        <f t="shared" si="36"/>
        <v/>
      </c>
      <c r="CU270" s="142" t="str">
        <f t="shared" si="37"/>
        <v/>
      </c>
      <c r="CV270" s="142" t="str">
        <f t="shared" si="38"/>
        <v/>
      </c>
      <c r="CW270" s="142" t="str">
        <f>IF(C270="","",IF('Datos Generales'!$A$19=1,AVERAGE(FP270:GD270),AVERAGE(Captura!FP270:FY270)))</f>
        <v/>
      </c>
      <c r="CX270" s="138" t="e">
        <f>IF(VLOOKUP(CONCATENATE($H$4,$F$4,CX$2),Español!$A:$H,7,FALSE)=L270,1,0)</f>
        <v>#N/A</v>
      </c>
      <c r="CY270" s="138" t="e">
        <f>IF(VLOOKUP(CONCATENATE(H270,F270,CY$2),Español!$A:$H,7,FALSE)=M270,1,0)</f>
        <v>#N/A</v>
      </c>
      <c r="CZ270" s="138" t="e">
        <f>IF(VLOOKUP(CONCATENATE(H270,F270,CZ$2),Español!$A:$H,7,FALSE)=N270,1,0)</f>
        <v>#N/A</v>
      </c>
      <c r="DA270" s="138" t="e">
        <f>IF(VLOOKUP(CONCATENATE(H270,F270,DA$2),Español!$A:$H,7,FALSE)=O270,1,0)</f>
        <v>#N/A</v>
      </c>
      <c r="DB270" s="138" t="e">
        <f>IF(VLOOKUP(CONCATENATE(H270,F270,DB$2),Español!$A:$H,7,FALSE)=P270,1,0)</f>
        <v>#N/A</v>
      </c>
      <c r="DC270" s="138" t="e">
        <f>IF(VLOOKUP(CONCATENATE(H270,F270,DC$2),Español!$A:$H,7,FALSE)=Q270,1,0)</f>
        <v>#N/A</v>
      </c>
      <c r="DD270" s="138" t="e">
        <f>IF(VLOOKUP(CONCATENATE(H270,F270,DD$2),Español!$A:$H,7,FALSE)=R270,1,0)</f>
        <v>#N/A</v>
      </c>
      <c r="DE270" s="138" t="e">
        <f>IF(VLOOKUP(CONCATENATE(H270,F270,DE$2),Español!$A:$H,7,FALSE)=S270,1,0)</f>
        <v>#N/A</v>
      </c>
      <c r="DF270" s="138" t="e">
        <f>IF(VLOOKUP(CONCATENATE(H270,F270,DF$2),Español!$A:$H,7,FALSE)=T270,1,0)</f>
        <v>#N/A</v>
      </c>
      <c r="DG270" s="138" t="e">
        <f>IF(VLOOKUP(CONCATENATE(H270,F270,DG$2),Español!$A:$H,7,FALSE)=U270,1,0)</f>
        <v>#N/A</v>
      </c>
      <c r="DH270" s="138" t="e">
        <f>IF(VLOOKUP(CONCATENATE(H270,F270,DH$2),Español!$A:$H,7,FALSE)=V270,1,0)</f>
        <v>#N/A</v>
      </c>
      <c r="DI270" s="138" t="e">
        <f>IF(VLOOKUP(CONCATENATE(H270,F270,DI$2),Español!$A:$H,7,FALSE)=W270,1,0)</f>
        <v>#N/A</v>
      </c>
      <c r="DJ270" s="138" t="e">
        <f>IF(VLOOKUP(CONCATENATE(H270,F270,DJ$2),Español!$A:$H,7,FALSE)=X270,1,0)</f>
        <v>#N/A</v>
      </c>
      <c r="DK270" s="138" t="e">
        <f>IF(VLOOKUP(CONCATENATE(H270,F270,DK$2),Español!$A:$H,7,FALSE)=Y270,1,0)</f>
        <v>#N/A</v>
      </c>
      <c r="DL270" s="138" t="e">
        <f>IF(VLOOKUP(CONCATENATE(H270,F270,DL$2),Español!$A:$H,7,FALSE)=Z270,1,0)</f>
        <v>#N/A</v>
      </c>
      <c r="DM270" s="138" t="e">
        <f>IF(VLOOKUP(CONCATENATE(H270,F270,DM$2),Español!$A:$H,7,FALSE)=AA270,1,0)</f>
        <v>#N/A</v>
      </c>
      <c r="DN270" s="138" t="e">
        <f>IF(VLOOKUP(CONCATENATE(H270,F270,DN$2),Español!$A:$H,7,FALSE)=AB270,1,0)</f>
        <v>#N/A</v>
      </c>
      <c r="DO270" s="138" t="e">
        <f>IF(VLOOKUP(CONCATENATE(H270,F270,DO$2),Español!$A:$H,7,FALSE)=AC270,1,0)</f>
        <v>#N/A</v>
      </c>
      <c r="DP270" s="138" t="e">
        <f>IF(VLOOKUP(CONCATENATE(H270,F270,DP$2),Español!$A:$H,7,FALSE)=AD270,1,0)</f>
        <v>#N/A</v>
      </c>
      <c r="DQ270" s="138" t="e">
        <f>IF(VLOOKUP(CONCATENATE(H270,F270,DQ$2),Español!$A:$H,7,FALSE)=AE270,1,0)</f>
        <v>#N/A</v>
      </c>
      <c r="DR270" s="138" t="e">
        <f>IF(VLOOKUP(CONCATENATE(H270,F270,DR$2),Inglés!$A:$H,7,FALSE)=AF270,1,0)</f>
        <v>#N/A</v>
      </c>
      <c r="DS270" s="138" t="e">
        <f>IF(VLOOKUP(CONCATENATE(H270,F270,DS$2),Inglés!$A:$H,7,FALSE)=AG270,1,0)</f>
        <v>#N/A</v>
      </c>
      <c r="DT270" s="138" t="e">
        <f>IF(VLOOKUP(CONCATENATE(H270,F270,DT$2),Inglés!$A:$H,7,FALSE)=AH270,1,0)</f>
        <v>#N/A</v>
      </c>
      <c r="DU270" s="138" t="e">
        <f>IF(VLOOKUP(CONCATENATE(H270,F270,DU$2),Inglés!$A:$H,7,FALSE)=AI270,1,0)</f>
        <v>#N/A</v>
      </c>
      <c r="DV270" s="138" t="e">
        <f>IF(VLOOKUP(CONCATENATE(H270,F270,DV$2),Inglés!$A:$H,7,FALSE)=AJ270,1,0)</f>
        <v>#N/A</v>
      </c>
      <c r="DW270" s="138" t="e">
        <f>IF(VLOOKUP(CONCATENATE(H270,F270,DW$2),Inglés!$A:$H,7,FALSE)=AK270,1,0)</f>
        <v>#N/A</v>
      </c>
      <c r="DX270" s="138" t="e">
        <f>IF(VLOOKUP(CONCATENATE(H270,F270,DX$2),Inglés!$A:$H,7,FALSE)=AL270,1,0)</f>
        <v>#N/A</v>
      </c>
      <c r="DY270" s="138" t="e">
        <f>IF(VLOOKUP(CONCATENATE(H270,F270,DY$2),Inglés!$A:$H,7,FALSE)=AM270,1,0)</f>
        <v>#N/A</v>
      </c>
      <c r="DZ270" s="138" t="e">
        <f>IF(VLOOKUP(CONCATENATE(H270,F270,DZ$2),Inglés!$A:$H,7,FALSE)=AN270,1,0)</f>
        <v>#N/A</v>
      </c>
      <c r="EA270" s="138" t="e">
        <f>IF(VLOOKUP(CONCATENATE(H270,F270,EA$2),Inglés!$A:$H,7,FALSE)=AO270,1,0)</f>
        <v>#N/A</v>
      </c>
      <c r="EB270" s="138" t="e">
        <f>IF(VLOOKUP(CONCATENATE(H270,F270,EB$2),Matemáticas!$A:$H,7,FALSE)=AP270,1,0)</f>
        <v>#N/A</v>
      </c>
      <c r="EC270" s="138" t="e">
        <f>IF(VLOOKUP(CONCATENATE(H270,F270,EC$2),Matemáticas!$A:$H,7,FALSE)=AQ270,1,0)</f>
        <v>#N/A</v>
      </c>
      <c r="ED270" s="138" t="e">
        <f>IF(VLOOKUP(CONCATENATE(H270,F270,ED$2),Matemáticas!$A:$H,7,FALSE)=AR270,1,0)</f>
        <v>#N/A</v>
      </c>
      <c r="EE270" s="138" t="e">
        <f>IF(VLOOKUP(CONCATENATE(H270,F270,EE$2),Matemáticas!$A:$H,7,FALSE)=AS270,1,0)</f>
        <v>#N/A</v>
      </c>
      <c r="EF270" s="138" t="e">
        <f>IF(VLOOKUP(CONCATENATE(H270,F270,EF$2),Matemáticas!$A:$H,7,FALSE)=AT270,1,0)</f>
        <v>#N/A</v>
      </c>
      <c r="EG270" s="138" t="e">
        <f>IF(VLOOKUP(CONCATENATE(H270,F270,EG$2),Matemáticas!$A:$H,7,FALSE)=AU270,1,0)</f>
        <v>#N/A</v>
      </c>
      <c r="EH270" s="138" t="e">
        <f>IF(VLOOKUP(CONCATENATE(H270,F270,EH$2),Matemáticas!$A:$H,7,FALSE)=AV270,1,0)</f>
        <v>#N/A</v>
      </c>
      <c r="EI270" s="138" t="e">
        <f>IF(VLOOKUP(CONCATENATE(H270,F270,EI$2),Matemáticas!$A:$H,7,FALSE)=AW270,1,0)</f>
        <v>#N/A</v>
      </c>
      <c r="EJ270" s="138" t="e">
        <f>IF(VLOOKUP(CONCATENATE(H270,F270,EJ$2),Matemáticas!$A:$H,7,FALSE)=AX270,1,0)</f>
        <v>#N/A</v>
      </c>
      <c r="EK270" s="138" t="e">
        <f>IF(VLOOKUP(CONCATENATE(H270,F270,EK$2),Matemáticas!$A:$H,7,FALSE)=AY270,1,0)</f>
        <v>#N/A</v>
      </c>
      <c r="EL270" s="138" t="e">
        <f>IF(VLOOKUP(CONCATENATE(H270,F270,EL$2),Matemáticas!$A:$H,7,FALSE)=AZ270,1,0)</f>
        <v>#N/A</v>
      </c>
      <c r="EM270" s="138" t="e">
        <f>IF(VLOOKUP(CONCATENATE(H270,F270,EM$2),Matemáticas!$A:$H,7,FALSE)=BA270,1,0)</f>
        <v>#N/A</v>
      </c>
      <c r="EN270" s="138" t="e">
        <f>IF(VLOOKUP(CONCATENATE(H270,F270,EN$2),Matemáticas!$A:$H,7,FALSE)=BB270,1,0)</f>
        <v>#N/A</v>
      </c>
      <c r="EO270" s="138" t="e">
        <f>IF(VLOOKUP(CONCATENATE(H270,F270,EO$2),Matemáticas!$A:$H,7,FALSE)=BC270,1,0)</f>
        <v>#N/A</v>
      </c>
      <c r="EP270" s="138" t="e">
        <f>IF(VLOOKUP(CONCATENATE(H270,F270,EP$2),Matemáticas!$A:$H,7,FALSE)=BD270,1,0)</f>
        <v>#N/A</v>
      </c>
      <c r="EQ270" s="138" t="e">
        <f>IF(VLOOKUP(CONCATENATE(H270,F270,EQ$2),Matemáticas!$A:$H,7,FALSE)=BE270,1,0)</f>
        <v>#N/A</v>
      </c>
      <c r="ER270" s="138" t="e">
        <f>IF(VLOOKUP(CONCATENATE(H270,F270,ER$2),Matemáticas!$A:$H,7,FALSE)=BF270,1,0)</f>
        <v>#N/A</v>
      </c>
      <c r="ES270" s="138" t="e">
        <f>IF(VLOOKUP(CONCATENATE(H270,F270,ES$2),Matemáticas!$A:$H,7,FALSE)=BG270,1,0)</f>
        <v>#N/A</v>
      </c>
      <c r="ET270" s="138" t="e">
        <f>IF(VLOOKUP(CONCATENATE(H270,F270,ET$2),Matemáticas!$A:$H,7,FALSE)=BH270,1,0)</f>
        <v>#N/A</v>
      </c>
      <c r="EU270" s="138" t="e">
        <f>IF(VLOOKUP(CONCATENATE(H270,F270,EU$2),Matemáticas!$A:$H,7,FALSE)=BI270,1,0)</f>
        <v>#N/A</v>
      </c>
      <c r="EV270" s="138" t="e">
        <f>IF(VLOOKUP(CONCATENATE(H270,F270,EV$2),Ciencias!$A:$H,7,FALSE)=BJ270,1,0)</f>
        <v>#N/A</v>
      </c>
      <c r="EW270" s="138" t="e">
        <f>IF(VLOOKUP(CONCATENATE(H270,F270,EW$2),Ciencias!$A:$H,7,FALSE)=BK270,1,0)</f>
        <v>#N/A</v>
      </c>
      <c r="EX270" s="138" t="e">
        <f>IF(VLOOKUP(CONCATENATE(H270,F270,EX$2),Ciencias!$A:$H,7,FALSE)=BL270,1,0)</f>
        <v>#N/A</v>
      </c>
      <c r="EY270" s="138" t="e">
        <f>IF(VLOOKUP(CONCATENATE(H270,F270,EY$2),Ciencias!$A:$H,7,FALSE)=BM270,1,0)</f>
        <v>#N/A</v>
      </c>
      <c r="EZ270" s="138" t="e">
        <f>IF(VLOOKUP(CONCATENATE(H270,F270,EZ$2),Ciencias!$A:$H,7,FALSE)=BN270,1,0)</f>
        <v>#N/A</v>
      </c>
      <c r="FA270" s="138" t="e">
        <f>IF(VLOOKUP(CONCATENATE(H270,F270,FA$2),Ciencias!$A:$H,7,FALSE)=BO270,1,0)</f>
        <v>#N/A</v>
      </c>
      <c r="FB270" s="138" t="e">
        <f>IF(VLOOKUP(CONCATENATE(H270,F270,FB$2),Ciencias!$A:$H,7,FALSE)=BP270,1,0)</f>
        <v>#N/A</v>
      </c>
      <c r="FC270" s="138" t="e">
        <f>IF(VLOOKUP(CONCATENATE(H270,F270,FC$2),Ciencias!$A:$H,7,FALSE)=BQ270,1,0)</f>
        <v>#N/A</v>
      </c>
      <c r="FD270" s="138" t="e">
        <f>IF(VLOOKUP(CONCATENATE(H270,F270,FD$2),Ciencias!$A:$H,7,FALSE)=BR270,1,0)</f>
        <v>#N/A</v>
      </c>
      <c r="FE270" s="138" t="e">
        <f>IF(VLOOKUP(CONCATENATE(H270,F270,FE$2),Ciencias!$A:$H,7,FALSE)=BS270,1,0)</f>
        <v>#N/A</v>
      </c>
      <c r="FF270" s="138" t="e">
        <f>IF(VLOOKUP(CONCATENATE(H270,F270,FF$2),Ciencias!$A:$H,7,FALSE)=BT270,1,0)</f>
        <v>#N/A</v>
      </c>
      <c r="FG270" s="138" t="e">
        <f>IF(VLOOKUP(CONCATENATE(H270,F270,FG$2),Ciencias!$A:$H,7,FALSE)=BU270,1,0)</f>
        <v>#N/A</v>
      </c>
      <c r="FH270" s="138" t="e">
        <f>IF(VLOOKUP(CONCATENATE(H270,F270,FH$2),Ciencias!$A:$H,7,FALSE)=BV270,1,0)</f>
        <v>#N/A</v>
      </c>
      <c r="FI270" s="138" t="e">
        <f>IF(VLOOKUP(CONCATENATE(H270,F270,FI$2),Ciencias!$A:$H,7,FALSE)=BW270,1,0)</f>
        <v>#N/A</v>
      </c>
      <c r="FJ270" s="138" t="e">
        <f>IF(VLOOKUP(CONCATENATE(H270,F270,FJ$2),Ciencias!$A:$H,7,FALSE)=BX270,1,0)</f>
        <v>#N/A</v>
      </c>
      <c r="FK270" s="138" t="e">
        <f>IF(VLOOKUP(CONCATENATE(H270,F270,FK$2),Ciencias!$A:$H,7,FALSE)=BY270,1,0)</f>
        <v>#N/A</v>
      </c>
      <c r="FL270" s="138" t="e">
        <f>IF(VLOOKUP(CONCATENATE(H270,F270,FL$2),Ciencias!$A:$H,7,FALSE)=BZ270,1,0)</f>
        <v>#N/A</v>
      </c>
      <c r="FM270" s="138" t="e">
        <f>IF(VLOOKUP(CONCATENATE(H270,F270,FM$2),Ciencias!$A:$H,7,FALSE)=CA270,1,0)</f>
        <v>#N/A</v>
      </c>
      <c r="FN270" s="138" t="e">
        <f>IF(VLOOKUP(CONCATENATE(H270,F270,FN$2),Ciencias!$A:$H,7,FALSE)=CB270,1,0)</f>
        <v>#N/A</v>
      </c>
      <c r="FO270" s="138" t="e">
        <f>IF(VLOOKUP(CONCATENATE(H270,F270,FO$2),Ciencias!$A:$H,7,FALSE)=CC270,1,0)</f>
        <v>#N/A</v>
      </c>
      <c r="FP270" s="138" t="e">
        <f>IF(VLOOKUP(CONCATENATE(H270,F270,FP$2),GeoHis!$A:$H,7,FALSE)=CD270,1,0)</f>
        <v>#N/A</v>
      </c>
      <c r="FQ270" s="138" t="e">
        <f>IF(VLOOKUP(CONCATENATE(H270,F270,FQ$2),GeoHis!$A:$H,7,FALSE)=CE270,1,0)</f>
        <v>#N/A</v>
      </c>
      <c r="FR270" s="138" t="e">
        <f>IF(VLOOKUP(CONCATENATE(H270,F270,FR$2),GeoHis!$A:$H,7,FALSE)=CF270,1,0)</f>
        <v>#N/A</v>
      </c>
      <c r="FS270" s="138" t="e">
        <f>IF(VLOOKUP(CONCATENATE(H270,F270,FS$2),GeoHis!$A:$H,7,FALSE)=CG270,1,0)</f>
        <v>#N/A</v>
      </c>
      <c r="FT270" s="138" t="e">
        <f>IF(VLOOKUP(CONCATENATE(H270,F270,FT$2),GeoHis!$A:$H,7,FALSE)=CH270,1,0)</f>
        <v>#N/A</v>
      </c>
      <c r="FU270" s="138" t="e">
        <f>IF(VLOOKUP(CONCATENATE(H270,F270,FU$2),GeoHis!$A:$H,7,FALSE)=CI270,1,0)</f>
        <v>#N/A</v>
      </c>
      <c r="FV270" s="138" t="e">
        <f>IF(VLOOKUP(CONCATENATE(H270,F270,FV$2),GeoHis!$A:$H,7,FALSE)=CJ270,1,0)</f>
        <v>#N/A</v>
      </c>
      <c r="FW270" s="138" t="e">
        <f>IF(VLOOKUP(CONCATENATE(H270,F270,FW$2),GeoHis!$A:$H,7,FALSE)=CK270,1,0)</f>
        <v>#N/A</v>
      </c>
      <c r="FX270" s="138" t="e">
        <f>IF(VLOOKUP(CONCATENATE(H270,F270,FX$2),GeoHis!$A:$H,7,FALSE)=CL270,1,0)</f>
        <v>#N/A</v>
      </c>
      <c r="FY270" s="138" t="e">
        <f>IF(VLOOKUP(CONCATENATE(H270,F270,FY$2),GeoHis!$A:$H,7,FALSE)=CM270,1,0)</f>
        <v>#N/A</v>
      </c>
      <c r="FZ270" s="138" t="e">
        <f>IF(VLOOKUP(CONCATENATE(H270,F270,FZ$2),GeoHis!$A:$H,7,FALSE)=CN270,1,0)</f>
        <v>#N/A</v>
      </c>
      <c r="GA270" s="138" t="e">
        <f>IF(VLOOKUP(CONCATENATE(H270,F270,GA$2),GeoHis!$A:$H,7,FALSE)=CO270,1,0)</f>
        <v>#N/A</v>
      </c>
      <c r="GB270" s="138" t="e">
        <f>IF(VLOOKUP(CONCATENATE(H270,F270,GB$2),GeoHis!$A:$H,7,FALSE)=CP270,1,0)</f>
        <v>#N/A</v>
      </c>
      <c r="GC270" s="138" t="e">
        <f>IF(VLOOKUP(CONCATENATE(H270,F270,GC$2),GeoHis!$A:$H,7,FALSE)=CQ270,1,0)</f>
        <v>#N/A</v>
      </c>
      <c r="GD270" s="138" t="e">
        <f>IF(VLOOKUP(CONCATENATE(H270,F270,GD$2),GeoHis!$A:$H,7,FALSE)=CR270,1,0)</f>
        <v>#N/A</v>
      </c>
      <c r="GE270" s="135" t="str">
        <f t="shared" si="39"/>
        <v/>
      </c>
    </row>
    <row r="271" spans="1:187" x14ac:dyDescent="0.25">
      <c r="A271" s="127" t="str">
        <f>IF(C271="","",'Datos Generales'!$A$25)</f>
        <v/>
      </c>
      <c r="D271" s="126" t="str">
        <f t="shared" si="32"/>
        <v/>
      </c>
      <c r="E271" s="126">
        <f t="shared" si="33"/>
        <v>0</v>
      </c>
      <c r="F271" s="126" t="str">
        <f t="shared" si="34"/>
        <v/>
      </c>
      <c r="G271" s="126" t="str">
        <f>IF(C271="","",'Datos Generales'!$D$19)</f>
        <v/>
      </c>
      <c r="H271" s="21" t="str">
        <f>IF(C271="","",'Datos Generales'!$A$19)</f>
        <v/>
      </c>
      <c r="I271" s="126" t="str">
        <f>IF(C271="","",'Datos Generales'!$A$7)</f>
        <v/>
      </c>
      <c r="J271" s="21" t="str">
        <f>IF(C271="","",'Datos Generales'!$A$13)</f>
        <v/>
      </c>
      <c r="K271" s="21" t="str">
        <f>IF(C271="","",'Datos Generales'!$A$10)</f>
        <v/>
      </c>
      <c r="CS271" s="142" t="str">
        <f t="shared" si="35"/>
        <v/>
      </c>
      <c r="CT271" s="142" t="str">
        <f t="shared" si="36"/>
        <v/>
      </c>
      <c r="CU271" s="142" t="str">
        <f t="shared" si="37"/>
        <v/>
      </c>
      <c r="CV271" s="142" t="str">
        <f t="shared" si="38"/>
        <v/>
      </c>
      <c r="CW271" s="142" t="str">
        <f>IF(C271="","",IF('Datos Generales'!$A$19=1,AVERAGE(FP271:GD271),AVERAGE(Captura!FP271:FY271)))</f>
        <v/>
      </c>
      <c r="CX271" s="138" t="e">
        <f>IF(VLOOKUP(CONCATENATE($H$4,$F$4,CX$2),Español!$A:$H,7,FALSE)=L271,1,0)</f>
        <v>#N/A</v>
      </c>
      <c r="CY271" s="138" t="e">
        <f>IF(VLOOKUP(CONCATENATE(H271,F271,CY$2),Español!$A:$H,7,FALSE)=M271,1,0)</f>
        <v>#N/A</v>
      </c>
      <c r="CZ271" s="138" t="e">
        <f>IF(VLOOKUP(CONCATENATE(H271,F271,CZ$2),Español!$A:$H,7,FALSE)=N271,1,0)</f>
        <v>#N/A</v>
      </c>
      <c r="DA271" s="138" t="e">
        <f>IF(VLOOKUP(CONCATENATE(H271,F271,DA$2),Español!$A:$H,7,FALSE)=O271,1,0)</f>
        <v>#N/A</v>
      </c>
      <c r="DB271" s="138" t="e">
        <f>IF(VLOOKUP(CONCATENATE(H271,F271,DB$2),Español!$A:$H,7,FALSE)=P271,1,0)</f>
        <v>#N/A</v>
      </c>
      <c r="DC271" s="138" t="e">
        <f>IF(VLOOKUP(CONCATENATE(H271,F271,DC$2),Español!$A:$H,7,FALSE)=Q271,1,0)</f>
        <v>#N/A</v>
      </c>
      <c r="DD271" s="138" t="e">
        <f>IF(VLOOKUP(CONCATENATE(H271,F271,DD$2),Español!$A:$H,7,FALSE)=R271,1,0)</f>
        <v>#N/A</v>
      </c>
      <c r="DE271" s="138" t="e">
        <f>IF(VLOOKUP(CONCATENATE(H271,F271,DE$2),Español!$A:$H,7,FALSE)=S271,1,0)</f>
        <v>#N/A</v>
      </c>
      <c r="DF271" s="138" t="e">
        <f>IF(VLOOKUP(CONCATENATE(H271,F271,DF$2),Español!$A:$H,7,FALSE)=T271,1,0)</f>
        <v>#N/A</v>
      </c>
      <c r="DG271" s="138" t="e">
        <f>IF(VLOOKUP(CONCATENATE(H271,F271,DG$2),Español!$A:$H,7,FALSE)=U271,1,0)</f>
        <v>#N/A</v>
      </c>
      <c r="DH271" s="138" t="e">
        <f>IF(VLOOKUP(CONCATENATE(H271,F271,DH$2),Español!$A:$H,7,FALSE)=V271,1,0)</f>
        <v>#N/A</v>
      </c>
      <c r="DI271" s="138" t="e">
        <f>IF(VLOOKUP(CONCATENATE(H271,F271,DI$2),Español!$A:$H,7,FALSE)=W271,1,0)</f>
        <v>#N/A</v>
      </c>
      <c r="DJ271" s="138" t="e">
        <f>IF(VLOOKUP(CONCATENATE(H271,F271,DJ$2),Español!$A:$H,7,FALSE)=X271,1,0)</f>
        <v>#N/A</v>
      </c>
      <c r="DK271" s="138" t="e">
        <f>IF(VLOOKUP(CONCATENATE(H271,F271,DK$2),Español!$A:$H,7,FALSE)=Y271,1,0)</f>
        <v>#N/A</v>
      </c>
      <c r="DL271" s="138" t="e">
        <f>IF(VLOOKUP(CONCATENATE(H271,F271,DL$2),Español!$A:$H,7,FALSE)=Z271,1,0)</f>
        <v>#N/A</v>
      </c>
      <c r="DM271" s="138" t="e">
        <f>IF(VLOOKUP(CONCATENATE(H271,F271,DM$2),Español!$A:$H,7,FALSE)=AA271,1,0)</f>
        <v>#N/A</v>
      </c>
      <c r="DN271" s="138" t="e">
        <f>IF(VLOOKUP(CONCATENATE(H271,F271,DN$2),Español!$A:$H,7,FALSE)=AB271,1,0)</f>
        <v>#N/A</v>
      </c>
      <c r="DO271" s="138" t="e">
        <f>IF(VLOOKUP(CONCATENATE(H271,F271,DO$2),Español!$A:$H,7,FALSE)=AC271,1,0)</f>
        <v>#N/A</v>
      </c>
      <c r="DP271" s="138" t="e">
        <f>IF(VLOOKUP(CONCATENATE(H271,F271,DP$2),Español!$A:$H,7,FALSE)=AD271,1,0)</f>
        <v>#N/A</v>
      </c>
      <c r="DQ271" s="138" t="e">
        <f>IF(VLOOKUP(CONCATENATE(H271,F271,DQ$2),Español!$A:$H,7,FALSE)=AE271,1,0)</f>
        <v>#N/A</v>
      </c>
      <c r="DR271" s="138" t="e">
        <f>IF(VLOOKUP(CONCATENATE(H271,F271,DR$2),Inglés!$A:$H,7,FALSE)=AF271,1,0)</f>
        <v>#N/A</v>
      </c>
      <c r="DS271" s="138" t="e">
        <f>IF(VLOOKUP(CONCATENATE(H271,F271,DS$2),Inglés!$A:$H,7,FALSE)=AG271,1,0)</f>
        <v>#N/A</v>
      </c>
      <c r="DT271" s="138" t="e">
        <f>IF(VLOOKUP(CONCATENATE(H271,F271,DT$2),Inglés!$A:$H,7,FALSE)=AH271,1,0)</f>
        <v>#N/A</v>
      </c>
      <c r="DU271" s="138" t="e">
        <f>IF(VLOOKUP(CONCATENATE(H271,F271,DU$2),Inglés!$A:$H,7,FALSE)=AI271,1,0)</f>
        <v>#N/A</v>
      </c>
      <c r="DV271" s="138" t="e">
        <f>IF(VLOOKUP(CONCATENATE(H271,F271,DV$2),Inglés!$A:$H,7,FALSE)=AJ271,1,0)</f>
        <v>#N/A</v>
      </c>
      <c r="DW271" s="138" t="e">
        <f>IF(VLOOKUP(CONCATENATE(H271,F271,DW$2),Inglés!$A:$H,7,FALSE)=AK271,1,0)</f>
        <v>#N/A</v>
      </c>
      <c r="DX271" s="138" t="e">
        <f>IF(VLOOKUP(CONCATENATE(H271,F271,DX$2),Inglés!$A:$H,7,FALSE)=AL271,1,0)</f>
        <v>#N/A</v>
      </c>
      <c r="DY271" s="138" t="e">
        <f>IF(VLOOKUP(CONCATENATE(H271,F271,DY$2),Inglés!$A:$H,7,FALSE)=AM271,1,0)</f>
        <v>#N/A</v>
      </c>
      <c r="DZ271" s="138" t="e">
        <f>IF(VLOOKUP(CONCATENATE(H271,F271,DZ$2),Inglés!$A:$H,7,FALSE)=AN271,1,0)</f>
        <v>#N/A</v>
      </c>
      <c r="EA271" s="138" t="e">
        <f>IF(VLOOKUP(CONCATENATE(H271,F271,EA$2),Inglés!$A:$H,7,FALSE)=AO271,1,0)</f>
        <v>#N/A</v>
      </c>
      <c r="EB271" s="138" t="e">
        <f>IF(VLOOKUP(CONCATENATE(H271,F271,EB$2),Matemáticas!$A:$H,7,FALSE)=AP271,1,0)</f>
        <v>#N/A</v>
      </c>
      <c r="EC271" s="138" t="e">
        <f>IF(VLOOKUP(CONCATENATE(H271,F271,EC$2),Matemáticas!$A:$H,7,FALSE)=AQ271,1,0)</f>
        <v>#N/A</v>
      </c>
      <c r="ED271" s="138" t="e">
        <f>IF(VLOOKUP(CONCATENATE(H271,F271,ED$2),Matemáticas!$A:$H,7,FALSE)=AR271,1,0)</f>
        <v>#N/A</v>
      </c>
      <c r="EE271" s="138" t="e">
        <f>IF(VLOOKUP(CONCATENATE(H271,F271,EE$2),Matemáticas!$A:$H,7,FALSE)=AS271,1,0)</f>
        <v>#N/A</v>
      </c>
      <c r="EF271" s="138" t="e">
        <f>IF(VLOOKUP(CONCATENATE(H271,F271,EF$2),Matemáticas!$A:$H,7,FALSE)=AT271,1,0)</f>
        <v>#N/A</v>
      </c>
      <c r="EG271" s="138" t="e">
        <f>IF(VLOOKUP(CONCATENATE(H271,F271,EG$2),Matemáticas!$A:$H,7,FALSE)=AU271,1,0)</f>
        <v>#N/A</v>
      </c>
      <c r="EH271" s="138" t="e">
        <f>IF(VLOOKUP(CONCATENATE(H271,F271,EH$2),Matemáticas!$A:$H,7,FALSE)=AV271,1,0)</f>
        <v>#N/A</v>
      </c>
      <c r="EI271" s="138" t="e">
        <f>IF(VLOOKUP(CONCATENATE(H271,F271,EI$2),Matemáticas!$A:$H,7,FALSE)=AW271,1,0)</f>
        <v>#N/A</v>
      </c>
      <c r="EJ271" s="138" t="e">
        <f>IF(VLOOKUP(CONCATENATE(H271,F271,EJ$2),Matemáticas!$A:$H,7,FALSE)=AX271,1,0)</f>
        <v>#N/A</v>
      </c>
      <c r="EK271" s="138" t="e">
        <f>IF(VLOOKUP(CONCATENATE(H271,F271,EK$2),Matemáticas!$A:$H,7,FALSE)=AY271,1,0)</f>
        <v>#N/A</v>
      </c>
      <c r="EL271" s="138" t="e">
        <f>IF(VLOOKUP(CONCATENATE(H271,F271,EL$2),Matemáticas!$A:$H,7,FALSE)=AZ271,1,0)</f>
        <v>#N/A</v>
      </c>
      <c r="EM271" s="138" t="e">
        <f>IF(VLOOKUP(CONCATENATE(H271,F271,EM$2),Matemáticas!$A:$H,7,FALSE)=BA271,1,0)</f>
        <v>#N/A</v>
      </c>
      <c r="EN271" s="138" t="e">
        <f>IF(VLOOKUP(CONCATENATE(H271,F271,EN$2),Matemáticas!$A:$H,7,FALSE)=BB271,1,0)</f>
        <v>#N/A</v>
      </c>
      <c r="EO271" s="138" t="e">
        <f>IF(VLOOKUP(CONCATENATE(H271,F271,EO$2),Matemáticas!$A:$H,7,FALSE)=BC271,1,0)</f>
        <v>#N/A</v>
      </c>
      <c r="EP271" s="138" t="e">
        <f>IF(VLOOKUP(CONCATENATE(H271,F271,EP$2),Matemáticas!$A:$H,7,FALSE)=BD271,1,0)</f>
        <v>#N/A</v>
      </c>
      <c r="EQ271" s="138" t="e">
        <f>IF(VLOOKUP(CONCATENATE(H271,F271,EQ$2),Matemáticas!$A:$H,7,FALSE)=BE271,1,0)</f>
        <v>#N/A</v>
      </c>
      <c r="ER271" s="138" t="e">
        <f>IF(VLOOKUP(CONCATENATE(H271,F271,ER$2),Matemáticas!$A:$H,7,FALSE)=BF271,1,0)</f>
        <v>#N/A</v>
      </c>
      <c r="ES271" s="138" t="e">
        <f>IF(VLOOKUP(CONCATENATE(H271,F271,ES$2),Matemáticas!$A:$H,7,FALSE)=BG271,1,0)</f>
        <v>#N/A</v>
      </c>
      <c r="ET271" s="138" t="e">
        <f>IF(VLOOKUP(CONCATENATE(H271,F271,ET$2),Matemáticas!$A:$H,7,FALSE)=BH271,1,0)</f>
        <v>#N/A</v>
      </c>
      <c r="EU271" s="138" t="e">
        <f>IF(VLOOKUP(CONCATENATE(H271,F271,EU$2),Matemáticas!$A:$H,7,FALSE)=BI271,1,0)</f>
        <v>#N/A</v>
      </c>
      <c r="EV271" s="138" t="e">
        <f>IF(VLOOKUP(CONCATENATE(H271,F271,EV$2),Ciencias!$A:$H,7,FALSE)=BJ271,1,0)</f>
        <v>#N/A</v>
      </c>
      <c r="EW271" s="138" t="e">
        <f>IF(VLOOKUP(CONCATENATE(H271,F271,EW$2),Ciencias!$A:$H,7,FALSE)=BK271,1,0)</f>
        <v>#N/A</v>
      </c>
      <c r="EX271" s="138" t="e">
        <f>IF(VLOOKUP(CONCATENATE(H271,F271,EX$2),Ciencias!$A:$H,7,FALSE)=BL271,1,0)</f>
        <v>#N/A</v>
      </c>
      <c r="EY271" s="138" t="e">
        <f>IF(VLOOKUP(CONCATENATE(H271,F271,EY$2),Ciencias!$A:$H,7,FALSE)=BM271,1,0)</f>
        <v>#N/A</v>
      </c>
      <c r="EZ271" s="138" t="e">
        <f>IF(VLOOKUP(CONCATENATE(H271,F271,EZ$2),Ciencias!$A:$H,7,FALSE)=BN271,1,0)</f>
        <v>#N/A</v>
      </c>
      <c r="FA271" s="138" t="e">
        <f>IF(VLOOKUP(CONCATENATE(H271,F271,FA$2),Ciencias!$A:$H,7,FALSE)=BO271,1,0)</f>
        <v>#N/A</v>
      </c>
      <c r="FB271" s="138" t="e">
        <f>IF(VLOOKUP(CONCATENATE(H271,F271,FB$2),Ciencias!$A:$H,7,FALSE)=BP271,1,0)</f>
        <v>#N/A</v>
      </c>
      <c r="FC271" s="138" t="e">
        <f>IF(VLOOKUP(CONCATENATE(H271,F271,FC$2),Ciencias!$A:$H,7,FALSE)=BQ271,1,0)</f>
        <v>#N/A</v>
      </c>
      <c r="FD271" s="138" t="e">
        <f>IF(VLOOKUP(CONCATENATE(H271,F271,FD$2),Ciencias!$A:$H,7,FALSE)=BR271,1,0)</f>
        <v>#N/A</v>
      </c>
      <c r="FE271" s="138" t="e">
        <f>IF(VLOOKUP(CONCATENATE(H271,F271,FE$2),Ciencias!$A:$H,7,FALSE)=BS271,1,0)</f>
        <v>#N/A</v>
      </c>
      <c r="FF271" s="138" t="e">
        <f>IF(VLOOKUP(CONCATENATE(H271,F271,FF$2),Ciencias!$A:$H,7,FALSE)=BT271,1,0)</f>
        <v>#N/A</v>
      </c>
      <c r="FG271" s="138" t="e">
        <f>IF(VLOOKUP(CONCATENATE(H271,F271,FG$2),Ciencias!$A:$H,7,FALSE)=BU271,1,0)</f>
        <v>#N/A</v>
      </c>
      <c r="FH271" s="138" t="e">
        <f>IF(VLOOKUP(CONCATENATE(H271,F271,FH$2),Ciencias!$A:$H,7,FALSE)=BV271,1,0)</f>
        <v>#N/A</v>
      </c>
      <c r="FI271" s="138" t="e">
        <f>IF(VLOOKUP(CONCATENATE(H271,F271,FI$2),Ciencias!$A:$H,7,FALSE)=BW271,1,0)</f>
        <v>#N/A</v>
      </c>
      <c r="FJ271" s="138" t="e">
        <f>IF(VLOOKUP(CONCATENATE(H271,F271,FJ$2),Ciencias!$A:$H,7,FALSE)=BX271,1,0)</f>
        <v>#N/A</v>
      </c>
      <c r="FK271" s="138" t="e">
        <f>IF(VLOOKUP(CONCATENATE(H271,F271,FK$2),Ciencias!$A:$H,7,FALSE)=BY271,1,0)</f>
        <v>#N/A</v>
      </c>
      <c r="FL271" s="138" t="e">
        <f>IF(VLOOKUP(CONCATENATE(H271,F271,FL$2),Ciencias!$A:$H,7,FALSE)=BZ271,1,0)</f>
        <v>#N/A</v>
      </c>
      <c r="FM271" s="138" t="e">
        <f>IF(VLOOKUP(CONCATENATE(H271,F271,FM$2),Ciencias!$A:$H,7,FALSE)=CA271,1,0)</f>
        <v>#N/A</v>
      </c>
      <c r="FN271" s="138" t="e">
        <f>IF(VLOOKUP(CONCATENATE(H271,F271,FN$2),Ciencias!$A:$H,7,FALSE)=CB271,1,0)</f>
        <v>#N/A</v>
      </c>
      <c r="FO271" s="138" t="e">
        <f>IF(VLOOKUP(CONCATENATE(H271,F271,FO$2),Ciencias!$A:$H,7,FALSE)=CC271,1,0)</f>
        <v>#N/A</v>
      </c>
      <c r="FP271" s="138" t="e">
        <f>IF(VLOOKUP(CONCATENATE(H271,F271,FP$2),GeoHis!$A:$H,7,FALSE)=CD271,1,0)</f>
        <v>#N/A</v>
      </c>
      <c r="FQ271" s="138" t="e">
        <f>IF(VLOOKUP(CONCATENATE(H271,F271,FQ$2),GeoHis!$A:$H,7,FALSE)=CE271,1,0)</f>
        <v>#N/A</v>
      </c>
      <c r="FR271" s="138" t="e">
        <f>IF(VLOOKUP(CONCATENATE(H271,F271,FR$2),GeoHis!$A:$H,7,FALSE)=CF271,1,0)</f>
        <v>#N/A</v>
      </c>
      <c r="FS271" s="138" t="e">
        <f>IF(VLOOKUP(CONCATENATE(H271,F271,FS$2),GeoHis!$A:$H,7,FALSE)=CG271,1,0)</f>
        <v>#N/A</v>
      </c>
      <c r="FT271" s="138" t="e">
        <f>IF(VLOOKUP(CONCATENATE(H271,F271,FT$2),GeoHis!$A:$H,7,FALSE)=CH271,1,0)</f>
        <v>#N/A</v>
      </c>
      <c r="FU271" s="138" t="e">
        <f>IF(VLOOKUP(CONCATENATE(H271,F271,FU$2),GeoHis!$A:$H,7,FALSE)=CI271,1,0)</f>
        <v>#N/A</v>
      </c>
      <c r="FV271" s="138" t="e">
        <f>IF(VLOOKUP(CONCATENATE(H271,F271,FV$2),GeoHis!$A:$H,7,FALSE)=CJ271,1,0)</f>
        <v>#N/A</v>
      </c>
      <c r="FW271" s="138" t="e">
        <f>IF(VLOOKUP(CONCATENATE(H271,F271,FW$2),GeoHis!$A:$H,7,FALSE)=CK271,1,0)</f>
        <v>#N/A</v>
      </c>
      <c r="FX271" s="138" t="e">
        <f>IF(VLOOKUP(CONCATENATE(H271,F271,FX$2),GeoHis!$A:$H,7,FALSE)=CL271,1,0)</f>
        <v>#N/A</v>
      </c>
      <c r="FY271" s="138" t="e">
        <f>IF(VLOOKUP(CONCATENATE(H271,F271,FY$2),GeoHis!$A:$H,7,FALSE)=CM271,1,0)</f>
        <v>#N/A</v>
      </c>
      <c r="FZ271" s="138" t="e">
        <f>IF(VLOOKUP(CONCATENATE(H271,F271,FZ$2),GeoHis!$A:$H,7,FALSE)=CN271,1,0)</f>
        <v>#N/A</v>
      </c>
      <c r="GA271" s="138" t="e">
        <f>IF(VLOOKUP(CONCATENATE(H271,F271,GA$2),GeoHis!$A:$H,7,FALSE)=CO271,1,0)</f>
        <v>#N/A</v>
      </c>
      <c r="GB271" s="138" t="e">
        <f>IF(VLOOKUP(CONCATENATE(H271,F271,GB$2),GeoHis!$A:$H,7,FALSE)=CP271,1,0)</f>
        <v>#N/A</v>
      </c>
      <c r="GC271" s="138" t="e">
        <f>IF(VLOOKUP(CONCATENATE(H271,F271,GC$2),GeoHis!$A:$H,7,FALSE)=CQ271,1,0)</f>
        <v>#N/A</v>
      </c>
      <c r="GD271" s="138" t="e">
        <f>IF(VLOOKUP(CONCATENATE(H271,F271,GD$2),GeoHis!$A:$H,7,FALSE)=CR271,1,0)</f>
        <v>#N/A</v>
      </c>
      <c r="GE271" s="135" t="str">
        <f t="shared" si="39"/>
        <v/>
      </c>
    </row>
    <row r="272" spans="1:187" x14ac:dyDescent="0.25">
      <c r="A272" s="127" t="str">
        <f>IF(C272="","",'Datos Generales'!$A$25)</f>
        <v/>
      </c>
      <c r="D272" s="126" t="str">
        <f t="shared" si="32"/>
        <v/>
      </c>
      <c r="E272" s="126">
        <f t="shared" si="33"/>
        <v>0</v>
      </c>
      <c r="F272" s="126" t="str">
        <f t="shared" si="34"/>
        <v/>
      </c>
      <c r="G272" s="126" t="str">
        <f>IF(C272="","",'Datos Generales'!$D$19)</f>
        <v/>
      </c>
      <c r="H272" s="21" t="str">
        <f>IF(C272="","",'Datos Generales'!$A$19)</f>
        <v/>
      </c>
      <c r="I272" s="126" t="str">
        <f>IF(C272="","",'Datos Generales'!$A$7)</f>
        <v/>
      </c>
      <c r="J272" s="21" t="str">
        <f>IF(C272="","",'Datos Generales'!$A$13)</f>
        <v/>
      </c>
      <c r="K272" s="21" t="str">
        <f>IF(C272="","",'Datos Generales'!$A$10)</f>
        <v/>
      </c>
      <c r="CS272" s="142" t="str">
        <f t="shared" si="35"/>
        <v/>
      </c>
      <c r="CT272" s="142" t="str">
        <f t="shared" si="36"/>
        <v/>
      </c>
      <c r="CU272" s="142" t="str">
        <f t="shared" si="37"/>
        <v/>
      </c>
      <c r="CV272" s="142" t="str">
        <f t="shared" si="38"/>
        <v/>
      </c>
      <c r="CW272" s="142" t="str">
        <f>IF(C272="","",IF('Datos Generales'!$A$19=1,AVERAGE(FP272:GD272),AVERAGE(Captura!FP272:FY272)))</f>
        <v/>
      </c>
      <c r="CX272" s="138" t="e">
        <f>IF(VLOOKUP(CONCATENATE($H$4,$F$4,CX$2),Español!$A:$H,7,FALSE)=L272,1,0)</f>
        <v>#N/A</v>
      </c>
      <c r="CY272" s="138" t="e">
        <f>IF(VLOOKUP(CONCATENATE(H272,F272,CY$2),Español!$A:$H,7,FALSE)=M272,1,0)</f>
        <v>#N/A</v>
      </c>
      <c r="CZ272" s="138" t="e">
        <f>IF(VLOOKUP(CONCATENATE(H272,F272,CZ$2),Español!$A:$H,7,FALSE)=N272,1,0)</f>
        <v>#N/A</v>
      </c>
      <c r="DA272" s="138" t="e">
        <f>IF(VLOOKUP(CONCATENATE(H272,F272,DA$2),Español!$A:$H,7,FALSE)=O272,1,0)</f>
        <v>#N/A</v>
      </c>
      <c r="DB272" s="138" t="e">
        <f>IF(VLOOKUP(CONCATENATE(H272,F272,DB$2),Español!$A:$H,7,FALSE)=P272,1,0)</f>
        <v>#N/A</v>
      </c>
      <c r="DC272" s="138" t="e">
        <f>IF(VLOOKUP(CONCATENATE(H272,F272,DC$2),Español!$A:$H,7,FALSE)=Q272,1,0)</f>
        <v>#N/A</v>
      </c>
      <c r="DD272" s="138" t="e">
        <f>IF(VLOOKUP(CONCATENATE(H272,F272,DD$2),Español!$A:$H,7,FALSE)=R272,1,0)</f>
        <v>#N/A</v>
      </c>
      <c r="DE272" s="138" t="e">
        <f>IF(VLOOKUP(CONCATENATE(H272,F272,DE$2),Español!$A:$H,7,FALSE)=S272,1,0)</f>
        <v>#N/A</v>
      </c>
      <c r="DF272" s="138" t="e">
        <f>IF(VLOOKUP(CONCATENATE(H272,F272,DF$2),Español!$A:$H,7,FALSE)=T272,1,0)</f>
        <v>#N/A</v>
      </c>
      <c r="DG272" s="138" t="e">
        <f>IF(VLOOKUP(CONCATENATE(H272,F272,DG$2),Español!$A:$H,7,FALSE)=U272,1,0)</f>
        <v>#N/A</v>
      </c>
      <c r="DH272" s="138" t="e">
        <f>IF(VLOOKUP(CONCATENATE(H272,F272,DH$2),Español!$A:$H,7,FALSE)=V272,1,0)</f>
        <v>#N/A</v>
      </c>
      <c r="DI272" s="138" t="e">
        <f>IF(VLOOKUP(CONCATENATE(H272,F272,DI$2),Español!$A:$H,7,FALSE)=W272,1,0)</f>
        <v>#N/A</v>
      </c>
      <c r="DJ272" s="138" t="e">
        <f>IF(VLOOKUP(CONCATENATE(H272,F272,DJ$2),Español!$A:$H,7,FALSE)=X272,1,0)</f>
        <v>#N/A</v>
      </c>
      <c r="DK272" s="138" t="e">
        <f>IF(VLOOKUP(CONCATENATE(H272,F272,DK$2),Español!$A:$H,7,FALSE)=Y272,1,0)</f>
        <v>#N/A</v>
      </c>
      <c r="DL272" s="138" t="e">
        <f>IF(VLOOKUP(CONCATENATE(H272,F272,DL$2),Español!$A:$H,7,FALSE)=Z272,1,0)</f>
        <v>#N/A</v>
      </c>
      <c r="DM272" s="138" t="e">
        <f>IF(VLOOKUP(CONCATENATE(H272,F272,DM$2),Español!$A:$H,7,FALSE)=AA272,1,0)</f>
        <v>#N/A</v>
      </c>
      <c r="DN272" s="138" t="e">
        <f>IF(VLOOKUP(CONCATENATE(H272,F272,DN$2),Español!$A:$H,7,FALSE)=AB272,1,0)</f>
        <v>#N/A</v>
      </c>
      <c r="DO272" s="138" t="e">
        <f>IF(VLOOKUP(CONCATENATE(H272,F272,DO$2),Español!$A:$H,7,FALSE)=AC272,1,0)</f>
        <v>#N/A</v>
      </c>
      <c r="DP272" s="138" t="e">
        <f>IF(VLOOKUP(CONCATENATE(H272,F272,DP$2),Español!$A:$H,7,FALSE)=AD272,1,0)</f>
        <v>#N/A</v>
      </c>
      <c r="DQ272" s="138" t="e">
        <f>IF(VLOOKUP(CONCATENATE(H272,F272,DQ$2),Español!$A:$H,7,FALSE)=AE272,1,0)</f>
        <v>#N/A</v>
      </c>
      <c r="DR272" s="138" t="e">
        <f>IF(VLOOKUP(CONCATENATE(H272,F272,DR$2),Inglés!$A:$H,7,FALSE)=AF272,1,0)</f>
        <v>#N/A</v>
      </c>
      <c r="DS272" s="138" t="e">
        <f>IF(VLOOKUP(CONCATENATE(H272,F272,DS$2),Inglés!$A:$H,7,FALSE)=AG272,1,0)</f>
        <v>#N/A</v>
      </c>
      <c r="DT272" s="138" t="e">
        <f>IF(VLOOKUP(CONCATENATE(H272,F272,DT$2),Inglés!$A:$H,7,FALSE)=AH272,1,0)</f>
        <v>#N/A</v>
      </c>
      <c r="DU272" s="138" t="e">
        <f>IF(VLOOKUP(CONCATENATE(H272,F272,DU$2),Inglés!$A:$H,7,FALSE)=AI272,1,0)</f>
        <v>#N/A</v>
      </c>
      <c r="DV272" s="138" t="e">
        <f>IF(VLOOKUP(CONCATENATE(H272,F272,DV$2),Inglés!$A:$H,7,FALSE)=AJ272,1,0)</f>
        <v>#N/A</v>
      </c>
      <c r="DW272" s="138" t="e">
        <f>IF(VLOOKUP(CONCATENATE(H272,F272,DW$2),Inglés!$A:$H,7,FALSE)=AK272,1,0)</f>
        <v>#N/A</v>
      </c>
      <c r="DX272" s="138" t="e">
        <f>IF(VLOOKUP(CONCATENATE(H272,F272,DX$2),Inglés!$A:$H,7,FALSE)=AL272,1,0)</f>
        <v>#N/A</v>
      </c>
      <c r="DY272" s="138" t="e">
        <f>IF(VLOOKUP(CONCATENATE(H272,F272,DY$2),Inglés!$A:$H,7,FALSE)=AM272,1,0)</f>
        <v>#N/A</v>
      </c>
      <c r="DZ272" s="138" t="e">
        <f>IF(VLOOKUP(CONCATENATE(H272,F272,DZ$2),Inglés!$A:$H,7,FALSE)=AN272,1,0)</f>
        <v>#N/A</v>
      </c>
      <c r="EA272" s="138" t="e">
        <f>IF(VLOOKUP(CONCATENATE(H272,F272,EA$2),Inglés!$A:$H,7,FALSE)=AO272,1,0)</f>
        <v>#N/A</v>
      </c>
      <c r="EB272" s="138" t="e">
        <f>IF(VLOOKUP(CONCATENATE(H272,F272,EB$2),Matemáticas!$A:$H,7,FALSE)=AP272,1,0)</f>
        <v>#N/A</v>
      </c>
      <c r="EC272" s="138" t="e">
        <f>IF(VLOOKUP(CONCATENATE(H272,F272,EC$2),Matemáticas!$A:$H,7,FALSE)=AQ272,1,0)</f>
        <v>#N/A</v>
      </c>
      <c r="ED272" s="138" t="e">
        <f>IF(VLOOKUP(CONCATENATE(H272,F272,ED$2),Matemáticas!$A:$H,7,FALSE)=AR272,1,0)</f>
        <v>#N/A</v>
      </c>
      <c r="EE272" s="138" t="e">
        <f>IF(VLOOKUP(CONCATENATE(H272,F272,EE$2),Matemáticas!$A:$H,7,FALSE)=AS272,1,0)</f>
        <v>#N/A</v>
      </c>
      <c r="EF272" s="138" t="e">
        <f>IF(VLOOKUP(CONCATENATE(H272,F272,EF$2),Matemáticas!$A:$H,7,FALSE)=AT272,1,0)</f>
        <v>#N/A</v>
      </c>
      <c r="EG272" s="138" t="e">
        <f>IF(VLOOKUP(CONCATENATE(H272,F272,EG$2),Matemáticas!$A:$H,7,FALSE)=AU272,1,0)</f>
        <v>#N/A</v>
      </c>
      <c r="EH272" s="138" t="e">
        <f>IF(VLOOKUP(CONCATENATE(H272,F272,EH$2),Matemáticas!$A:$H,7,FALSE)=AV272,1,0)</f>
        <v>#N/A</v>
      </c>
      <c r="EI272" s="138" t="e">
        <f>IF(VLOOKUP(CONCATENATE(H272,F272,EI$2),Matemáticas!$A:$H,7,FALSE)=AW272,1,0)</f>
        <v>#N/A</v>
      </c>
      <c r="EJ272" s="138" t="e">
        <f>IF(VLOOKUP(CONCATENATE(H272,F272,EJ$2),Matemáticas!$A:$H,7,FALSE)=AX272,1,0)</f>
        <v>#N/A</v>
      </c>
      <c r="EK272" s="138" t="e">
        <f>IF(VLOOKUP(CONCATENATE(H272,F272,EK$2),Matemáticas!$A:$H,7,FALSE)=AY272,1,0)</f>
        <v>#N/A</v>
      </c>
      <c r="EL272" s="138" t="e">
        <f>IF(VLOOKUP(CONCATENATE(H272,F272,EL$2),Matemáticas!$A:$H,7,FALSE)=AZ272,1,0)</f>
        <v>#N/A</v>
      </c>
      <c r="EM272" s="138" t="e">
        <f>IF(VLOOKUP(CONCATENATE(H272,F272,EM$2),Matemáticas!$A:$H,7,FALSE)=BA272,1,0)</f>
        <v>#N/A</v>
      </c>
      <c r="EN272" s="138" t="e">
        <f>IF(VLOOKUP(CONCATENATE(H272,F272,EN$2),Matemáticas!$A:$H,7,FALSE)=BB272,1,0)</f>
        <v>#N/A</v>
      </c>
      <c r="EO272" s="138" t="e">
        <f>IF(VLOOKUP(CONCATENATE(H272,F272,EO$2),Matemáticas!$A:$H,7,FALSE)=BC272,1,0)</f>
        <v>#N/A</v>
      </c>
      <c r="EP272" s="138" t="e">
        <f>IF(VLOOKUP(CONCATENATE(H272,F272,EP$2),Matemáticas!$A:$H,7,FALSE)=BD272,1,0)</f>
        <v>#N/A</v>
      </c>
      <c r="EQ272" s="138" t="e">
        <f>IF(VLOOKUP(CONCATENATE(H272,F272,EQ$2),Matemáticas!$A:$H,7,FALSE)=BE272,1,0)</f>
        <v>#N/A</v>
      </c>
      <c r="ER272" s="138" t="e">
        <f>IF(VLOOKUP(CONCATENATE(H272,F272,ER$2),Matemáticas!$A:$H,7,FALSE)=BF272,1,0)</f>
        <v>#N/A</v>
      </c>
      <c r="ES272" s="138" t="e">
        <f>IF(VLOOKUP(CONCATENATE(H272,F272,ES$2),Matemáticas!$A:$H,7,FALSE)=BG272,1,0)</f>
        <v>#N/A</v>
      </c>
      <c r="ET272" s="138" t="e">
        <f>IF(VLOOKUP(CONCATENATE(H272,F272,ET$2),Matemáticas!$A:$H,7,FALSE)=BH272,1,0)</f>
        <v>#N/A</v>
      </c>
      <c r="EU272" s="138" t="e">
        <f>IF(VLOOKUP(CONCATENATE(H272,F272,EU$2),Matemáticas!$A:$H,7,FALSE)=BI272,1,0)</f>
        <v>#N/A</v>
      </c>
      <c r="EV272" s="138" t="e">
        <f>IF(VLOOKUP(CONCATENATE(H272,F272,EV$2),Ciencias!$A:$H,7,FALSE)=BJ272,1,0)</f>
        <v>#N/A</v>
      </c>
      <c r="EW272" s="138" t="e">
        <f>IF(VLOOKUP(CONCATENATE(H272,F272,EW$2),Ciencias!$A:$H,7,FALSE)=BK272,1,0)</f>
        <v>#N/A</v>
      </c>
      <c r="EX272" s="138" t="e">
        <f>IF(VLOOKUP(CONCATENATE(H272,F272,EX$2),Ciencias!$A:$H,7,FALSE)=BL272,1,0)</f>
        <v>#N/A</v>
      </c>
      <c r="EY272" s="138" t="e">
        <f>IF(VLOOKUP(CONCATENATE(H272,F272,EY$2),Ciencias!$A:$H,7,FALSE)=BM272,1,0)</f>
        <v>#N/A</v>
      </c>
      <c r="EZ272" s="138" t="e">
        <f>IF(VLOOKUP(CONCATENATE(H272,F272,EZ$2),Ciencias!$A:$H,7,FALSE)=BN272,1,0)</f>
        <v>#N/A</v>
      </c>
      <c r="FA272" s="138" t="e">
        <f>IF(VLOOKUP(CONCATENATE(H272,F272,FA$2),Ciencias!$A:$H,7,FALSE)=BO272,1,0)</f>
        <v>#N/A</v>
      </c>
      <c r="FB272" s="138" t="e">
        <f>IF(VLOOKUP(CONCATENATE(H272,F272,FB$2),Ciencias!$A:$H,7,FALSE)=BP272,1,0)</f>
        <v>#N/A</v>
      </c>
      <c r="FC272" s="138" t="e">
        <f>IF(VLOOKUP(CONCATENATE(H272,F272,FC$2),Ciencias!$A:$H,7,FALSE)=BQ272,1,0)</f>
        <v>#N/A</v>
      </c>
      <c r="FD272" s="138" t="e">
        <f>IF(VLOOKUP(CONCATENATE(H272,F272,FD$2),Ciencias!$A:$H,7,FALSE)=BR272,1,0)</f>
        <v>#N/A</v>
      </c>
      <c r="FE272" s="138" t="e">
        <f>IF(VLOOKUP(CONCATENATE(H272,F272,FE$2),Ciencias!$A:$H,7,FALSE)=BS272,1,0)</f>
        <v>#N/A</v>
      </c>
      <c r="FF272" s="138" t="e">
        <f>IF(VLOOKUP(CONCATENATE(H272,F272,FF$2),Ciencias!$A:$H,7,FALSE)=BT272,1,0)</f>
        <v>#N/A</v>
      </c>
      <c r="FG272" s="138" t="e">
        <f>IF(VLOOKUP(CONCATENATE(H272,F272,FG$2),Ciencias!$A:$H,7,FALSE)=BU272,1,0)</f>
        <v>#N/A</v>
      </c>
      <c r="FH272" s="138" t="e">
        <f>IF(VLOOKUP(CONCATENATE(H272,F272,FH$2),Ciencias!$A:$H,7,FALSE)=BV272,1,0)</f>
        <v>#N/A</v>
      </c>
      <c r="FI272" s="138" t="e">
        <f>IF(VLOOKUP(CONCATENATE(H272,F272,FI$2),Ciencias!$A:$H,7,FALSE)=BW272,1,0)</f>
        <v>#N/A</v>
      </c>
      <c r="FJ272" s="138" t="e">
        <f>IF(VLOOKUP(CONCATENATE(H272,F272,FJ$2),Ciencias!$A:$H,7,FALSE)=BX272,1,0)</f>
        <v>#N/A</v>
      </c>
      <c r="FK272" s="138" t="e">
        <f>IF(VLOOKUP(CONCATENATE(H272,F272,FK$2),Ciencias!$A:$H,7,FALSE)=BY272,1,0)</f>
        <v>#N/A</v>
      </c>
      <c r="FL272" s="138" t="e">
        <f>IF(VLOOKUP(CONCATENATE(H272,F272,FL$2),Ciencias!$A:$H,7,FALSE)=BZ272,1,0)</f>
        <v>#N/A</v>
      </c>
      <c r="FM272" s="138" t="e">
        <f>IF(VLOOKUP(CONCATENATE(H272,F272,FM$2),Ciencias!$A:$H,7,FALSE)=CA272,1,0)</f>
        <v>#N/A</v>
      </c>
      <c r="FN272" s="138" t="e">
        <f>IF(VLOOKUP(CONCATENATE(H272,F272,FN$2),Ciencias!$A:$H,7,FALSE)=CB272,1,0)</f>
        <v>#N/A</v>
      </c>
      <c r="FO272" s="138" t="e">
        <f>IF(VLOOKUP(CONCATENATE(H272,F272,FO$2),Ciencias!$A:$H,7,FALSE)=CC272,1,0)</f>
        <v>#N/A</v>
      </c>
      <c r="FP272" s="138" t="e">
        <f>IF(VLOOKUP(CONCATENATE(H272,F272,FP$2),GeoHis!$A:$H,7,FALSE)=CD272,1,0)</f>
        <v>#N/A</v>
      </c>
      <c r="FQ272" s="138" t="e">
        <f>IF(VLOOKUP(CONCATENATE(H272,F272,FQ$2),GeoHis!$A:$H,7,FALSE)=CE272,1,0)</f>
        <v>#N/A</v>
      </c>
      <c r="FR272" s="138" t="e">
        <f>IF(VLOOKUP(CONCATENATE(H272,F272,FR$2),GeoHis!$A:$H,7,FALSE)=CF272,1,0)</f>
        <v>#N/A</v>
      </c>
      <c r="FS272" s="138" t="e">
        <f>IF(VLOOKUP(CONCATENATE(H272,F272,FS$2),GeoHis!$A:$H,7,FALSE)=CG272,1,0)</f>
        <v>#N/A</v>
      </c>
      <c r="FT272" s="138" t="e">
        <f>IF(VLOOKUP(CONCATENATE(H272,F272,FT$2),GeoHis!$A:$H,7,FALSE)=CH272,1,0)</f>
        <v>#N/A</v>
      </c>
      <c r="FU272" s="138" t="e">
        <f>IF(VLOOKUP(CONCATENATE(H272,F272,FU$2),GeoHis!$A:$H,7,FALSE)=CI272,1,0)</f>
        <v>#N/A</v>
      </c>
      <c r="FV272" s="138" t="e">
        <f>IF(VLOOKUP(CONCATENATE(H272,F272,FV$2),GeoHis!$A:$H,7,FALSE)=CJ272,1,0)</f>
        <v>#N/A</v>
      </c>
      <c r="FW272" s="138" t="e">
        <f>IF(VLOOKUP(CONCATENATE(H272,F272,FW$2),GeoHis!$A:$H,7,FALSE)=CK272,1,0)</f>
        <v>#N/A</v>
      </c>
      <c r="FX272" s="138" t="e">
        <f>IF(VLOOKUP(CONCATENATE(H272,F272,FX$2),GeoHis!$A:$H,7,FALSE)=CL272,1,0)</f>
        <v>#N/A</v>
      </c>
      <c r="FY272" s="138" t="e">
        <f>IF(VLOOKUP(CONCATENATE(H272,F272,FY$2),GeoHis!$A:$H,7,FALSE)=CM272,1,0)</f>
        <v>#N/A</v>
      </c>
      <c r="FZ272" s="138" t="e">
        <f>IF(VLOOKUP(CONCATENATE(H272,F272,FZ$2),GeoHis!$A:$H,7,FALSE)=CN272,1,0)</f>
        <v>#N/A</v>
      </c>
      <c r="GA272" s="138" t="e">
        <f>IF(VLOOKUP(CONCATENATE(H272,F272,GA$2),GeoHis!$A:$H,7,FALSE)=CO272,1,0)</f>
        <v>#N/A</v>
      </c>
      <c r="GB272" s="138" t="e">
        <f>IF(VLOOKUP(CONCATENATE(H272,F272,GB$2),GeoHis!$A:$H,7,FALSE)=CP272,1,0)</f>
        <v>#N/A</v>
      </c>
      <c r="GC272" s="138" t="e">
        <f>IF(VLOOKUP(CONCATENATE(H272,F272,GC$2),GeoHis!$A:$H,7,FALSE)=CQ272,1,0)</f>
        <v>#N/A</v>
      </c>
      <c r="GD272" s="138" t="e">
        <f>IF(VLOOKUP(CONCATENATE(H272,F272,GD$2),GeoHis!$A:$H,7,FALSE)=CR272,1,0)</f>
        <v>#N/A</v>
      </c>
      <c r="GE272" s="135" t="str">
        <f t="shared" si="39"/>
        <v/>
      </c>
    </row>
    <row r="273" spans="1:187" x14ac:dyDescent="0.25">
      <c r="A273" s="127" t="str">
        <f>IF(C273="","",'Datos Generales'!$A$25)</f>
        <v/>
      </c>
      <c r="D273" s="126" t="str">
        <f t="shared" si="32"/>
        <v/>
      </c>
      <c r="E273" s="126">
        <f t="shared" si="33"/>
        <v>0</v>
      </c>
      <c r="F273" s="126" t="str">
        <f t="shared" si="34"/>
        <v/>
      </c>
      <c r="G273" s="126" t="str">
        <f>IF(C273="","",'Datos Generales'!$D$19)</f>
        <v/>
      </c>
      <c r="H273" s="21" t="str">
        <f>IF(C273="","",'Datos Generales'!$A$19)</f>
        <v/>
      </c>
      <c r="I273" s="126" t="str">
        <f>IF(C273="","",'Datos Generales'!$A$7)</f>
        <v/>
      </c>
      <c r="J273" s="21" t="str">
        <f>IF(C273="","",'Datos Generales'!$A$13)</f>
        <v/>
      </c>
      <c r="K273" s="21" t="str">
        <f>IF(C273="","",'Datos Generales'!$A$10)</f>
        <v/>
      </c>
      <c r="CS273" s="142" t="str">
        <f t="shared" si="35"/>
        <v/>
      </c>
      <c r="CT273" s="142" t="str">
        <f t="shared" si="36"/>
        <v/>
      </c>
      <c r="CU273" s="142" t="str">
        <f t="shared" si="37"/>
        <v/>
      </c>
      <c r="CV273" s="142" t="str">
        <f t="shared" si="38"/>
        <v/>
      </c>
      <c r="CW273" s="142" t="str">
        <f>IF(C273="","",IF('Datos Generales'!$A$19=1,AVERAGE(FP273:GD273),AVERAGE(Captura!FP273:FY273)))</f>
        <v/>
      </c>
      <c r="CX273" s="138" t="e">
        <f>IF(VLOOKUP(CONCATENATE($H$4,$F$4,CX$2),Español!$A:$H,7,FALSE)=L273,1,0)</f>
        <v>#N/A</v>
      </c>
      <c r="CY273" s="138" t="e">
        <f>IF(VLOOKUP(CONCATENATE(H273,F273,CY$2),Español!$A:$H,7,FALSE)=M273,1,0)</f>
        <v>#N/A</v>
      </c>
      <c r="CZ273" s="138" t="e">
        <f>IF(VLOOKUP(CONCATENATE(H273,F273,CZ$2),Español!$A:$H,7,FALSE)=N273,1,0)</f>
        <v>#N/A</v>
      </c>
      <c r="DA273" s="138" t="e">
        <f>IF(VLOOKUP(CONCATENATE(H273,F273,DA$2),Español!$A:$H,7,FALSE)=O273,1,0)</f>
        <v>#N/A</v>
      </c>
      <c r="DB273" s="138" t="e">
        <f>IF(VLOOKUP(CONCATENATE(H273,F273,DB$2),Español!$A:$H,7,FALSE)=P273,1,0)</f>
        <v>#N/A</v>
      </c>
      <c r="DC273" s="138" t="e">
        <f>IF(VLOOKUP(CONCATENATE(H273,F273,DC$2),Español!$A:$H,7,FALSE)=Q273,1,0)</f>
        <v>#N/A</v>
      </c>
      <c r="DD273" s="138" t="e">
        <f>IF(VLOOKUP(CONCATENATE(H273,F273,DD$2),Español!$A:$H,7,FALSE)=R273,1,0)</f>
        <v>#N/A</v>
      </c>
      <c r="DE273" s="138" t="e">
        <f>IF(VLOOKUP(CONCATENATE(H273,F273,DE$2),Español!$A:$H,7,FALSE)=S273,1,0)</f>
        <v>#N/A</v>
      </c>
      <c r="DF273" s="138" t="e">
        <f>IF(VLOOKUP(CONCATENATE(H273,F273,DF$2),Español!$A:$H,7,FALSE)=T273,1,0)</f>
        <v>#N/A</v>
      </c>
      <c r="DG273" s="138" t="e">
        <f>IF(VLOOKUP(CONCATENATE(H273,F273,DG$2),Español!$A:$H,7,FALSE)=U273,1,0)</f>
        <v>#N/A</v>
      </c>
      <c r="DH273" s="138" t="e">
        <f>IF(VLOOKUP(CONCATENATE(H273,F273,DH$2),Español!$A:$H,7,FALSE)=V273,1,0)</f>
        <v>#N/A</v>
      </c>
      <c r="DI273" s="138" t="e">
        <f>IF(VLOOKUP(CONCATENATE(H273,F273,DI$2),Español!$A:$H,7,FALSE)=W273,1,0)</f>
        <v>#N/A</v>
      </c>
      <c r="DJ273" s="138" t="e">
        <f>IF(VLOOKUP(CONCATENATE(H273,F273,DJ$2),Español!$A:$H,7,FALSE)=X273,1,0)</f>
        <v>#N/A</v>
      </c>
      <c r="DK273" s="138" t="e">
        <f>IF(VLOOKUP(CONCATENATE(H273,F273,DK$2),Español!$A:$H,7,FALSE)=Y273,1,0)</f>
        <v>#N/A</v>
      </c>
      <c r="DL273" s="138" t="e">
        <f>IF(VLOOKUP(CONCATENATE(H273,F273,DL$2),Español!$A:$H,7,FALSE)=Z273,1,0)</f>
        <v>#N/A</v>
      </c>
      <c r="DM273" s="138" t="e">
        <f>IF(VLOOKUP(CONCATENATE(H273,F273,DM$2),Español!$A:$H,7,FALSE)=AA273,1,0)</f>
        <v>#N/A</v>
      </c>
      <c r="DN273" s="138" t="e">
        <f>IF(VLOOKUP(CONCATENATE(H273,F273,DN$2),Español!$A:$H,7,FALSE)=AB273,1,0)</f>
        <v>#N/A</v>
      </c>
      <c r="DO273" s="138" t="e">
        <f>IF(VLOOKUP(CONCATENATE(H273,F273,DO$2),Español!$A:$H,7,FALSE)=AC273,1,0)</f>
        <v>#N/A</v>
      </c>
      <c r="DP273" s="138" t="e">
        <f>IF(VLOOKUP(CONCATENATE(H273,F273,DP$2),Español!$A:$H,7,FALSE)=AD273,1,0)</f>
        <v>#N/A</v>
      </c>
      <c r="DQ273" s="138" t="e">
        <f>IF(VLOOKUP(CONCATENATE(H273,F273,DQ$2),Español!$A:$H,7,FALSE)=AE273,1,0)</f>
        <v>#N/A</v>
      </c>
      <c r="DR273" s="138" t="e">
        <f>IF(VLOOKUP(CONCATENATE(H273,F273,DR$2),Inglés!$A:$H,7,FALSE)=AF273,1,0)</f>
        <v>#N/A</v>
      </c>
      <c r="DS273" s="138" t="e">
        <f>IF(VLOOKUP(CONCATENATE(H273,F273,DS$2),Inglés!$A:$H,7,FALSE)=AG273,1,0)</f>
        <v>#N/A</v>
      </c>
      <c r="DT273" s="138" t="e">
        <f>IF(VLOOKUP(CONCATENATE(H273,F273,DT$2),Inglés!$A:$H,7,FALSE)=AH273,1,0)</f>
        <v>#N/A</v>
      </c>
      <c r="DU273" s="138" t="e">
        <f>IF(VLOOKUP(CONCATENATE(H273,F273,DU$2),Inglés!$A:$H,7,FALSE)=AI273,1,0)</f>
        <v>#N/A</v>
      </c>
      <c r="DV273" s="138" t="e">
        <f>IF(VLOOKUP(CONCATENATE(H273,F273,DV$2),Inglés!$A:$H,7,FALSE)=AJ273,1,0)</f>
        <v>#N/A</v>
      </c>
      <c r="DW273" s="138" t="e">
        <f>IF(VLOOKUP(CONCATENATE(H273,F273,DW$2),Inglés!$A:$H,7,FALSE)=AK273,1,0)</f>
        <v>#N/A</v>
      </c>
      <c r="DX273" s="138" t="e">
        <f>IF(VLOOKUP(CONCATENATE(H273,F273,DX$2),Inglés!$A:$H,7,FALSE)=AL273,1,0)</f>
        <v>#N/A</v>
      </c>
      <c r="DY273" s="138" t="e">
        <f>IF(VLOOKUP(CONCATENATE(H273,F273,DY$2),Inglés!$A:$H,7,FALSE)=AM273,1,0)</f>
        <v>#N/A</v>
      </c>
      <c r="DZ273" s="138" t="e">
        <f>IF(VLOOKUP(CONCATENATE(H273,F273,DZ$2),Inglés!$A:$H,7,FALSE)=AN273,1,0)</f>
        <v>#N/A</v>
      </c>
      <c r="EA273" s="138" t="e">
        <f>IF(VLOOKUP(CONCATENATE(H273,F273,EA$2),Inglés!$A:$H,7,FALSE)=AO273,1,0)</f>
        <v>#N/A</v>
      </c>
      <c r="EB273" s="138" t="e">
        <f>IF(VLOOKUP(CONCATENATE(H273,F273,EB$2),Matemáticas!$A:$H,7,FALSE)=AP273,1,0)</f>
        <v>#N/A</v>
      </c>
      <c r="EC273" s="138" t="e">
        <f>IF(VLOOKUP(CONCATENATE(H273,F273,EC$2),Matemáticas!$A:$H,7,FALSE)=AQ273,1,0)</f>
        <v>#N/A</v>
      </c>
      <c r="ED273" s="138" t="e">
        <f>IF(VLOOKUP(CONCATENATE(H273,F273,ED$2),Matemáticas!$A:$H,7,FALSE)=AR273,1,0)</f>
        <v>#N/A</v>
      </c>
      <c r="EE273" s="138" t="e">
        <f>IF(VLOOKUP(CONCATENATE(H273,F273,EE$2),Matemáticas!$A:$H,7,FALSE)=AS273,1,0)</f>
        <v>#N/A</v>
      </c>
      <c r="EF273" s="138" t="e">
        <f>IF(VLOOKUP(CONCATENATE(H273,F273,EF$2),Matemáticas!$A:$H,7,FALSE)=AT273,1,0)</f>
        <v>#N/A</v>
      </c>
      <c r="EG273" s="138" t="e">
        <f>IF(VLOOKUP(CONCATENATE(H273,F273,EG$2),Matemáticas!$A:$H,7,FALSE)=AU273,1,0)</f>
        <v>#N/A</v>
      </c>
      <c r="EH273" s="138" t="e">
        <f>IF(VLOOKUP(CONCATENATE(H273,F273,EH$2),Matemáticas!$A:$H,7,FALSE)=AV273,1,0)</f>
        <v>#N/A</v>
      </c>
      <c r="EI273" s="138" t="e">
        <f>IF(VLOOKUP(CONCATENATE(H273,F273,EI$2),Matemáticas!$A:$H,7,FALSE)=AW273,1,0)</f>
        <v>#N/A</v>
      </c>
      <c r="EJ273" s="138" t="e">
        <f>IF(VLOOKUP(CONCATENATE(H273,F273,EJ$2),Matemáticas!$A:$H,7,FALSE)=AX273,1,0)</f>
        <v>#N/A</v>
      </c>
      <c r="EK273" s="138" t="e">
        <f>IF(VLOOKUP(CONCATENATE(H273,F273,EK$2),Matemáticas!$A:$H,7,FALSE)=AY273,1,0)</f>
        <v>#N/A</v>
      </c>
      <c r="EL273" s="138" t="e">
        <f>IF(VLOOKUP(CONCATENATE(H273,F273,EL$2),Matemáticas!$A:$H,7,FALSE)=AZ273,1,0)</f>
        <v>#N/A</v>
      </c>
      <c r="EM273" s="138" t="e">
        <f>IF(VLOOKUP(CONCATENATE(H273,F273,EM$2),Matemáticas!$A:$H,7,FALSE)=BA273,1,0)</f>
        <v>#N/A</v>
      </c>
      <c r="EN273" s="138" t="e">
        <f>IF(VLOOKUP(CONCATENATE(H273,F273,EN$2),Matemáticas!$A:$H,7,FALSE)=BB273,1,0)</f>
        <v>#N/A</v>
      </c>
      <c r="EO273" s="138" t="e">
        <f>IF(VLOOKUP(CONCATENATE(H273,F273,EO$2),Matemáticas!$A:$H,7,FALSE)=BC273,1,0)</f>
        <v>#N/A</v>
      </c>
      <c r="EP273" s="138" t="e">
        <f>IF(VLOOKUP(CONCATENATE(H273,F273,EP$2),Matemáticas!$A:$H,7,FALSE)=BD273,1,0)</f>
        <v>#N/A</v>
      </c>
      <c r="EQ273" s="138" t="e">
        <f>IF(VLOOKUP(CONCATENATE(H273,F273,EQ$2),Matemáticas!$A:$H,7,FALSE)=BE273,1,0)</f>
        <v>#N/A</v>
      </c>
      <c r="ER273" s="138" t="e">
        <f>IF(VLOOKUP(CONCATENATE(H273,F273,ER$2),Matemáticas!$A:$H,7,FALSE)=BF273,1,0)</f>
        <v>#N/A</v>
      </c>
      <c r="ES273" s="138" t="e">
        <f>IF(VLOOKUP(CONCATENATE(H273,F273,ES$2),Matemáticas!$A:$H,7,FALSE)=BG273,1,0)</f>
        <v>#N/A</v>
      </c>
      <c r="ET273" s="138" t="e">
        <f>IF(VLOOKUP(CONCATENATE(H273,F273,ET$2),Matemáticas!$A:$H,7,FALSE)=BH273,1,0)</f>
        <v>#N/A</v>
      </c>
      <c r="EU273" s="138" t="e">
        <f>IF(VLOOKUP(CONCATENATE(H273,F273,EU$2),Matemáticas!$A:$H,7,FALSE)=BI273,1,0)</f>
        <v>#N/A</v>
      </c>
      <c r="EV273" s="138" t="e">
        <f>IF(VLOOKUP(CONCATENATE(H273,F273,EV$2),Ciencias!$A:$H,7,FALSE)=BJ273,1,0)</f>
        <v>#N/A</v>
      </c>
      <c r="EW273" s="138" t="e">
        <f>IF(VLOOKUP(CONCATENATE(H273,F273,EW$2),Ciencias!$A:$H,7,FALSE)=BK273,1,0)</f>
        <v>#N/A</v>
      </c>
      <c r="EX273" s="138" t="e">
        <f>IF(VLOOKUP(CONCATENATE(H273,F273,EX$2),Ciencias!$A:$H,7,FALSE)=BL273,1,0)</f>
        <v>#N/A</v>
      </c>
      <c r="EY273" s="138" t="e">
        <f>IF(VLOOKUP(CONCATENATE(H273,F273,EY$2),Ciencias!$A:$H,7,FALSE)=BM273,1,0)</f>
        <v>#N/A</v>
      </c>
      <c r="EZ273" s="138" t="e">
        <f>IF(VLOOKUP(CONCATENATE(H273,F273,EZ$2),Ciencias!$A:$H,7,FALSE)=BN273,1,0)</f>
        <v>#N/A</v>
      </c>
      <c r="FA273" s="138" t="e">
        <f>IF(VLOOKUP(CONCATENATE(H273,F273,FA$2),Ciencias!$A:$H,7,FALSE)=BO273,1,0)</f>
        <v>#N/A</v>
      </c>
      <c r="FB273" s="138" t="e">
        <f>IF(VLOOKUP(CONCATENATE(H273,F273,FB$2),Ciencias!$A:$H,7,FALSE)=BP273,1,0)</f>
        <v>#N/A</v>
      </c>
      <c r="FC273" s="138" t="e">
        <f>IF(VLOOKUP(CONCATENATE(H273,F273,FC$2),Ciencias!$A:$H,7,FALSE)=BQ273,1,0)</f>
        <v>#N/A</v>
      </c>
      <c r="FD273" s="138" t="e">
        <f>IF(VLOOKUP(CONCATENATE(H273,F273,FD$2),Ciencias!$A:$H,7,FALSE)=BR273,1,0)</f>
        <v>#N/A</v>
      </c>
      <c r="FE273" s="138" t="e">
        <f>IF(VLOOKUP(CONCATENATE(H273,F273,FE$2),Ciencias!$A:$H,7,FALSE)=BS273,1,0)</f>
        <v>#N/A</v>
      </c>
      <c r="FF273" s="138" t="e">
        <f>IF(VLOOKUP(CONCATENATE(H273,F273,FF$2),Ciencias!$A:$H,7,FALSE)=BT273,1,0)</f>
        <v>#N/A</v>
      </c>
      <c r="FG273" s="138" t="e">
        <f>IF(VLOOKUP(CONCATENATE(H273,F273,FG$2),Ciencias!$A:$H,7,FALSE)=BU273,1,0)</f>
        <v>#N/A</v>
      </c>
      <c r="FH273" s="138" t="e">
        <f>IF(VLOOKUP(CONCATENATE(H273,F273,FH$2),Ciencias!$A:$H,7,FALSE)=BV273,1,0)</f>
        <v>#N/A</v>
      </c>
      <c r="FI273" s="138" t="e">
        <f>IF(VLOOKUP(CONCATENATE(H273,F273,FI$2),Ciencias!$A:$H,7,FALSE)=BW273,1,0)</f>
        <v>#N/A</v>
      </c>
      <c r="FJ273" s="138" t="e">
        <f>IF(VLOOKUP(CONCATENATE(H273,F273,FJ$2),Ciencias!$A:$H,7,FALSE)=BX273,1,0)</f>
        <v>#N/A</v>
      </c>
      <c r="FK273" s="138" t="e">
        <f>IF(VLOOKUP(CONCATENATE(H273,F273,FK$2),Ciencias!$A:$H,7,FALSE)=BY273,1,0)</f>
        <v>#N/A</v>
      </c>
      <c r="FL273" s="138" t="e">
        <f>IF(VLOOKUP(CONCATENATE(H273,F273,FL$2),Ciencias!$A:$H,7,FALSE)=BZ273,1,0)</f>
        <v>#N/A</v>
      </c>
      <c r="FM273" s="138" t="e">
        <f>IF(VLOOKUP(CONCATENATE(H273,F273,FM$2),Ciencias!$A:$H,7,FALSE)=CA273,1,0)</f>
        <v>#N/A</v>
      </c>
      <c r="FN273" s="138" t="e">
        <f>IF(VLOOKUP(CONCATENATE(H273,F273,FN$2),Ciencias!$A:$H,7,FALSE)=CB273,1,0)</f>
        <v>#N/A</v>
      </c>
      <c r="FO273" s="138" t="e">
        <f>IF(VLOOKUP(CONCATENATE(H273,F273,FO$2),Ciencias!$A:$H,7,FALSE)=CC273,1,0)</f>
        <v>#N/A</v>
      </c>
      <c r="FP273" s="138" t="e">
        <f>IF(VLOOKUP(CONCATENATE(H273,F273,FP$2),GeoHis!$A:$H,7,FALSE)=CD273,1,0)</f>
        <v>#N/A</v>
      </c>
      <c r="FQ273" s="138" t="e">
        <f>IF(VLOOKUP(CONCATENATE(H273,F273,FQ$2),GeoHis!$A:$H,7,FALSE)=CE273,1,0)</f>
        <v>#N/A</v>
      </c>
      <c r="FR273" s="138" t="e">
        <f>IF(VLOOKUP(CONCATENATE(H273,F273,FR$2),GeoHis!$A:$H,7,FALSE)=CF273,1,0)</f>
        <v>#N/A</v>
      </c>
      <c r="FS273" s="138" t="e">
        <f>IF(VLOOKUP(CONCATENATE(H273,F273,FS$2),GeoHis!$A:$H,7,FALSE)=CG273,1,0)</f>
        <v>#N/A</v>
      </c>
      <c r="FT273" s="138" t="e">
        <f>IF(VLOOKUP(CONCATENATE(H273,F273,FT$2),GeoHis!$A:$H,7,FALSE)=CH273,1,0)</f>
        <v>#N/A</v>
      </c>
      <c r="FU273" s="138" t="e">
        <f>IF(VLOOKUP(CONCATENATE(H273,F273,FU$2),GeoHis!$A:$H,7,FALSE)=CI273,1,0)</f>
        <v>#N/A</v>
      </c>
      <c r="FV273" s="138" t="e">
        <f>IF(VLOOKUP(CONCATENATE(H273,F273,FV$2),GeoHis!$A:$H,7,FALSE)=CJ273,1,0)</f>
        <v>#N/A</v>
      </c>
      <c r="FW273" s="138" t="e">
        <f>IF(VLOOKUP(CONCATENATE(H273,F273,FW$2),GeoHis!$A:$H,7,FALSE)=CK273,1,0)</f>
        <v>#N/A</v>
      </c>
      <c r="FX273" s="138" t="e">
        <f>IF(VLOOKUP(CONCATENATE(H273,F273,FX$2),GeoHis!$A:$H,7,FALSE)=CL273,1,0)</f>
        <v>#N/A</v>
      </c>
      <c r="FY273" s="138" t="e">
        <f>IF(VLOOKUP(CONCATENATE(H273,F273,FY$2),GeoHis!$A:$H,7,FALSE)=CM273,1,0)</f>
        <v>#N/A</v>
      </c>
      <c r="FZ273" s="138" t="e">
        <f>IF(VLOOKUP(CONCATENATE(H273,F273,FZ$2),GeoHis!$A:$H,7,FALSE)=CN273,1,0)</f>
        <v>#N/A</v>
      </c>
      <c r="GA273" s="138" t="e">
        <f>IF(VLOOKUP(CONCATENATE(H273,F273,GA$2),GeoHis!$A:$H,7,FALSE)=CO273,1,0)</f>
        <v>#N/A</v>
      </c>
      <c r="GB273" s="138" t="e">
        <f>IF(VLOOKUP(CONCATENATE(H273,F273,GB$2),GeoHis!$A:$H,7,FALSE)=CP273,1,0)</f>
        <v>#N/A</v>
      </c>
      <c r="GC273" s="138" t="e">
        <f>IF(VLOOKUP(CONCATENATE(H273,F273,GC$2),GeoHis!$A:$H,7,FALSE)=CQ273,1,0)</f>
        <v>#N/A</v>
      </c>
      <c r="GD273" s="138" t="e">
        <f>IF(VLOOKUP(CONCATENATE(H273,F273,GD$2),GeoHis!$A:$H,7,FALSE)=CR273,1,0)</f>
        <v>#N/A</v>
      </c>
      <c r="GE273" s="135" t="str">
        <f t="shared" si="39"/>
        <v/>
      </c>
    </row>
    <row r="274" spans="1:187" x14ac:dyDescent="0.25">
      <c r="A274" s="127" t="str">
        <f>IF(C274="","",'Datos Generales'!$A$25)</f>
        <v/>
      </c>
      <c r="D274" s="126" t="str">
        <f t="shared" si="32"/>
        <v/>
      </c>
      <c r="E274" s="126">
        <f t="shared" si="33"/>
        <v>0</v>
      </c>
      <c r="F274" s="126" t="str">
        <f t="shared" si="34"/>
        <v/>
      </c>
      <c r="G274" s="126" t="str">
        <f>IF(C274="","",'Datos Generales'!$D$19)</f>
        <v/>
      </c>
      <c r="H274" s="21" t="str">
        <f>IF(C274="","",'Datos Generales'!$A$19)</f>
        <v/>
      </c>
      <c r="I274" s="126" t="str">
        <f>IF(C274="","",'Datos Generales'!$A$7)</f>
        <v/>
      </c>
      <c r="J274" s="21" t="str">
        <f>IF(C274="","",'Datos Generales'!$A$13)</f>
        <v/>
      </c>
      <c r="K274" s="21" t="str">
        <f>IF(C274="","",'Datos Generales'!$A$10)</f>
        <v/>
      </c>
      <c r="CS274" s="142" t="str">
        <f t="shared" si="35"/>
        <v/>
      </c>
      <c r="CT274" s="142" t="str">
        <f t="shared" si="36"/>
        <v/>
      </c>
      <c r="CU274" s="142" t="str">
        <f t="shared" si="37"/>
        <v/>
      </c>
      <c r="CV274" s="142" t="str">
        <f t="shared" si="38"/>
        <v/>
      </c>
      <c r="CW274" s="142" t="str">
        <f>IF(C274="","",IF('Datos Generales'!$A$19=1,AVERAGE(FP274:GD274),AVERAGE(Captura!FP274:FY274)))</f>
        <v/>
      </c>
      <c r="CX274" s="138" t="e">
        <f>IF(VLOOKUP(CONCATENATE($H$4,$F$4,CX$2),Español!$A:$H,7,FALSE)=L274,1,0)</f>
        <v>#N/A</v>
      </c>
      <c r="CY274" s="138" t="e">
        <f>IF(VLOOKUP(CONCATENATE(H274,F274,CY$2),Español!$A:$H,7,FALSE)=M274,1,0)</f>
        <v>#N/A</v>
      </c>
      <c r="CZ274" s="138" t="e">
        <f>IF(VLOOKUP(CONCATENATE(H274,F274,CZ$2),Español!$A:$H,7,FALSE)=N274,1,0)</f>
        <v>#N/A</v>
      </c>
      <c r="DA274" s="138" t="e">
        <f>IF(VLOOKUP(CONCATENATE(H274,F274,DA$2),Español!$A:$H,7,FALSE)=O274,1,0)</f>
        <v>#N/A</v>
      </c>
      <c r="DB274" s="138" t="e">
        <f>IF(VLOOKUP(CONCATENATE(H274,F274,DB$2),Español!$A:$H,7,FALSE)=P274,1,0)</f>
        <v>#N/A</v>
      </c>
      <c r="DC274" s="138" t="e">
        <f>IF(VLOOKUP(CONCATENATE(H274,F274,DC$2),Español!$A:$H,7,FALSE)=Q274,1,0)</f>
        <v>#N/A</v>
      </c>
      <c r="DD274" s="138" t="e">
        <f>IF(VLOOKUP(CONCATENATE(H274,F274,DD$2),Español!$A:$H,7,FALSE)=R274,1,0)</f>
        <v>#N/A</v>
      </c>
      <c r="DE274" s="138" t="e">
        <f>IF(VLOOKUP(CONCATENATE(H274,F274,DE$2),Español!$A:$H,7,FALSE)=S274,1,0)</f>
        <v>#N/A</v>
      </c>
      <c r="DF274" s="138" t="e">
        <f>IF(VLOOKUP(CONCATENATE(H274,F274,DF$2),Español!$A:$H,7,FALSE)=T274,1,0)</f>
        <v>#N/A</v>
      </c>
      <c r="DG274" s="138" t="e">
        <f>IF(VLOOKUP(CONCATENATE(H274,F274,DG$2),Español!$A:$H,7,FALSE)=U274,1,0)</f>
        <v>#N/A</v>
      </c>
      <c r="DH274" s="138" t="e">
        <f>IF(VLOOKUP(CONCATENATE(H274,F274,DH$2),Español!$A:$H,7,FALSE)=V274,1,0)</f>
        <v>#N/A</v>
      </c>
      <c r="DI274" s="138" t="e">
        <f>IF(VLOOKUP(CONCATENATE(H274,F274,DI$2),Español!$A:$H,7,FALSE)=W274,1,0)</f>
        <v>#N/A</v>
      </c>
      <c r="DJ274" s="138" t="e">
        <f>IF(VLOOKUP(CONCATENATE(H274,F274,DJ$2),Español!$A:$H,7,FALSE)=X274,1,0)</f>
        <v>#N/A</v>
      </c>
      <c r="DK274" s="138" t="e">
        <f>IF(VLOOKUP(CONCATENATE(H274,F274,DK$2),Español!$A:$H,7,FALSE)=Y274,1,0)</f>
        <v>#N/A</v>
      </c>
      <c r="DL274" s="138" t="e">
        <f>IF(VLOOKUP(CONCATENATE(H274,F274,DL$2),Español!$A:$H,7,FALSE)=Z274,1,0)</f>
        <v>#N/A</v>
      </c>
      <c r="DM274" s="138" t="e">
        <f>IF(VLOOKUP(CONCATENATE(H274,F274,DM$2),Español!$A:$H,7,FALSE)=AA274,1,0)</f>
        <v>#N/A</v>
      </c>
      <c r="DN274" s="138" t="e">
        <f>IF(VLOOKUP(CONCATENATE(H274,F274,DN$2),Español!$A:$H,7,FALSE)=AB274,1,0)</f>
        <v>#N/A</v>
      </c>
      <c r="DO274" s="138" t="e">
        <f>IF(VLOOKUP(CONCATENATE(H274,F274,DO$2),Español!$A:$H,7,FALSE)=AC274,1,0)</f>
        <v>#N/A</v>
      </c>
      <c r="DP274" s="138" t="e">
        <f>IF(VLOOKUP(CONCATENATE(H274,F274,DP$2),Español!$A:$H,7,FALSE)=AD274,1,0)</f>
        <v>#N/A</v>
      </c>
      <c r="DQ274" s="138" t="e">
        <f>IF(VLOOKUP(CONCATENATE(H274,F274,DQ$2),Español!$A:$H,7,FALSE)=AE274,1,0)</f>
        <v>#N/A</v>
      </c>
      <c r="DR274" s="138" t="e">
        <f>IF(VLOOKUP(CONCATENATE(H274,F274,DR$2),Inglés!$A:$H,7,FALSE)=AF274,1,0)</f>
        <v>#N/A</v>
      </c>
      <c r="DS274" s="138" t="e">
        <f>IF(VLOOKUP(CONCATENATE(H274,F274,DS$2),Inglés!$A:$H,7,FALSE)=AG274,1,0)</f>
        <v>#N/A</v>
      </c>
      <c r="DT274" s="138" t="e">
        <f>IF(VLOOKUP(CONCATENATE(H274,F274,DT$2),Inglés!$A:$H,7,FALSE)=AH274,1,0)</f>
        <v>#N/A</v>
      </c>
      <c r="DU274" s="138" t="e">
        <f>IF(VLOOKUP(CONCATENATE(H274,F274,DU$2),Inglés!$A:$H,7,FALSE)=AI274,1,0)</f>
        <v>#N/A</v>
      </c>
      <c r="DV274" s="138" t="e">
        <f>IF(VLOOKUP(CONCATENATE(H274,F274,DV$2),Inglés!$A:$H,7,FALSE)=AJ274,1,0)</f>
        <v>#N/A</v>
      </c>
      <c r="DW274" s="138" t="e">
        <f>IF(VLOOKUP(CONCATENATE(H274,F274,DW$2),Inglés!$A:$H,7,FALSE)=AK274,1,0)</f>
        <v>#N/A</v>
      </c>
      <c r="DX274" s="138" t="e">
        <f>IF(VLOOKUP(CONCATENATE(H274,F274,DX$2),Inglés!$A:$H,7,FALSE)=AL274,1,0)</f>
        <v>#N/A</v>
      </c>
      <c r="DY274" s="138" t="e">
        <f>IF(VLOOKUP(CONCATENATE(H274,F274,DY$2),Inglés!$A:$H,7,FALSE)=AM274,1,0)</f>
        <v>#N/A</v>
      </c>
      <c r="DZ274" s="138" t="e">
        <f>IF(VLOOKUP(CONCATENATE(H274,F274,DZ$2),Inglés!$A:$H,7,FALSE)=AN274,1,0)</f>
        <v>#N/A</v>
      </c>
      <c r="EA274" s="138" t="e">
        <f>IF(VLOOKUP(CONCATENATE(H274,F274,EA$2),Inglés!$A:$H,7,FALSE)=AO274,1,0)</f>
        <v>#N/A</v>
      </c>
      <c r="EB274" s="138" t="e">
        <f>IF(VLOOKUP(CONCATENATE(H274,F274,EB$2),Matemáticas!$A:$H,7,FALSE)=AP274,1,0)</f>
        <v>#N/A</v>
      </c>
      <c r="EC274" s="138" t="e">
        <f>IF(VLOOKUP(CONCATENATE(H274,F274,EC$2),Matemáticas!$A:$H,7,FALSE)=AQ274,1,0)</f>
        <v>#N/A</v>
      </c>
      <c r="ED274" s="138" t="e">
        <f>IF(VLOOKUP(CONCATENATE(H274,F274,ED$2),Matemáticas!$A:$H,7,FALSE)=AR274,1,0)</f>
        <v>#N/A</v>
      </c>
      <c r="EE274" s="138" t="e">
        <f>IF(VLOOKUP(CONCATENATE(H274,F274,EE$2),Matemáticas!$A:$H,7,FALSE)=AS274,1,0)</f>
        <v>#N/A</v>
      </c>
      <c r="EF274" s="138" t="e">
        <f>IF(VLOOKUP(CONCATENATE(H274,F274,EF$2),Matemáticas!$A:$H,7,FALSE)=AT274,1,0)</f>
        <v>#N/A</v>
      </c>
      <c r="EG274" s="138" t="e">
        <f>IF(VLOOKUP(CONCATENATE(H274,F274,EG$2),Matemáticas!$A:$H,7,FALSE)=AU274,1,0)</f>
        <v>#N/A</v>
      </c>
      <c r="EH274" s="138" t="e">
        <f>IF(VLOOKUP(CONCATENATE(H274,F274,EH$2),Matemáticas!$A:$H,7,FALSE)=AV274,1,0)</f>
        <v>#N/A</v>
      </c>
      <c r="EI274" s="138" t="e">
        <f>IF(VLOOKUP(CONCATENATE(H274,F274,EI$2),Matemáticas!$A:$H,7,FALSE)=AW274,1,0)</f>
        <v>#N/A</v>
      </c>
      <c r="EJ274" s="138" t="e">
        <f>IF(VLOOKUP(CONCATENATE(H274,F274,EJ$2),Matemáticas!$A:$H,7,FALSE)=AX274,1,0)</f>
        <v>#N/A</v>
      </c>
      <c r="EK274" s="138" t="e">
        <f>IF(VLOOKUP(CONCATENATE(H274,F274,EK$2),Matemáticas!$A:$H,7,FALSE)=AY274,1,0)</f>
        <v>#N/A</v>
      </c>
      <c r="EL274" s="138" t="e">
        <f>IF(VLOOKUP(CONCATENATE(H274,F274,EL$2),Matemáticas!$A:$H,7,FALSE)=AZ274,1,0)</f>
        <v>#N/A</v>
      </c>
      <c r="EM274" s="138" t="e">
        <f>IF(VLOOKUP(CONCATENATE(H274,F274,EM$2),Matemáticas!$A:$H,7,FALSE)=BA274,1,0)</f>
        <v>#N/A</v>
      </c>
      <c r="EN274" s="138" t="e">
        <f>IF(VLOOKUP(CONCATENATE(H274,F274,EN$2),Matemáticas!$A:$H,7,FALSE)=BB274,1,0)</f>
        <v>#N/A</v>
      </c>
      <c r="EO274" s="138" t="e">
        <f>IF(VLOOKUP(CONCATENATE(H274,F274,EO$2),Matemáticas!$A:$H,7,FALSE)=BC274,1,0)</f>
        <v>#N/A</v>
      </c>
      <c r="EP274" s="138" t="e">
        <f>IF(VLOOKUP(CONCATENATE(H274,F274,EP$2),Matemáticas!$A:$H,7,FALSE)=BD274,1,0)</f>
        <v>#N/A</v>
      </c>
      <c r="EQ274" s="138" t="e">
        <f>IF(VLOOKUP(CONCATENATE(H274,F274,EQ$2),Matemáticas!$A:$H,7,FALSE)=BE274,1,0)</f>
        <v>#N/A</v>
      </c>
      <c r="ER274" s="138" t="e">
        <f>IF(VLOOKUP(CONCATENATE(H274,F274,ER$2),Matemáticas!$A:$H,7,FALSE)=BF274,1,0)</f>
        <v>#N/A</v>
      </c>
      <c r="ES274" s="138" t="e">
        <f>IF(VLOOKUP(CONCATENATE(H274,F274,ES$2),Matemáticas!$A:$H,7,FALSE)=BG274,1,0)</f>
        <v>#N/A</v>
      </c>
      <c r="ET274" s="138" t="e">
        <f>IF(VLOOKUP(CONCATENATE(H274,F274,ET$2),Matemáticas!$A:$H,7,FALSE)=BH274,1,0)</f>
        <v>#N/A</v>
      </c>
      <c r="EU274" s="138" t="e">
        <f>IF(VLOOKUP(CONCATENATE(H274,F274,EU$2),Matemáticas!$A:$H,7,FALSE)=BI274,1,0)</f>
        <v>#N/A</v>
      </c>
      <c r="EV274" s="138" t="e">
        <f>IF(VLOOKUP(CONCATENATE(H274,F274,EV$2),Ciencias!$A:$H,7,FALSE)=BJ274,1,0)</f>
        <v>#N/A</v>
      </c>
      <c r="EW274" s="138" t="e">
        <f>IF(VLOOKUP(CONCATENATE(H274,F274,EW$2),Ciencias!$A:$H,7,FALSE)=BK274,1,0)</f>
        <v>#N/A</v>
      </c>
      <c r="EX274" s="138" t="e">
        <f>IF(VLOOKUP(CONCATENATE(H274,F274,EX$2),Ciencias!$A:$H,7,FALSE)=BL274,1,0)</f>
        <v>#N/A</v>
      </c>
      <c r="EY274" s="138" t="e">
        <f>IF(VLOOKUP(CONCATENATE(H274,F274,EY$2),Ciencias!$A:$H,7,FALSE)=BM274,1,0)</f>
        <v>#N/A</v>
      </c>
      <c r="EZ274" s="138" t="e">
        <f>IF(VLOOKUP(CONCATENATE(H274,F274,EZ$2),Ciencias!$A:$H,7,FALSE)=BN274,1,0)</f>
        <v>#N/A</v>
      </c>
      <c r="FA274" s="138" t="e">
        <f>IF(VLOOKUP(CONCATENATE(H274,F274,FA$2),Ciencias!$A:$H,7,FALSE)=BO274,1,0)</f>
        <v>#N/A</v>
      </c>
      <c r="FB274" s="138" t="e">
        <f>IF(VLOOKUP(CONCATENATE(H274,F274,FB$2),Ciencias!$A:$H,7,FALSE)=BP274,1,0)</f>
        <v>#N/A</v>
      </c>
      <c r="FC274" s="138" t="e">
        <f>IF(VLOOKUP(CONCATENATE(H274,F274,FC$2),Ciencias!$A:$H,7,FALSE)=BQ274,1,0)</f>
        <v>#N/A</v>
      </c>
      <c r="FD274" s="138" t="e">
        <f>IF(VLOOKUP(CONCATENATE(H274,F274,FD$2),Ciencias!$A:$H,7,FALSE)=BR274,1,0)</f>
        <v>#N/A</v>
      </c>
      <c r="FE274" s="138" t="e">
        <f>IF(VLOOKUP(CONCATENATE(H274,F274,FE$2),Ciencias!$A:$H,7,FALSE)=BS274,1,0)</f>
        <v>#N/A</v>
      </c>
      <c r="FF274" s="138" t="e">
        <f>IF(VLOOKUP(CONCATENATE(H274,F274,FF$2),Ciencias!$A:$H,7,FALSE)=BT274,1,0)</f>
        <v>#N/A</v>
      </c>
      <c r="FG274" s="138" t="e">
        <f>IF(VLOOKUP(CONCATENATE(H274,F274,FG$2),Ciencias!$A:$H,7,FALSE)=BU274,1,0)</f>
        <v>#N/A</v>
      </c>
      <c r="FH274" s="138" t="e">
        <f>IF(VLOOKUP(CONCATENATE(H274,F274,FH$2),Ciencias!$A:$H,7,FALSE)=BV274,1,0)</f>
        <v>#N/A</v>
      </c>
      <c r="FI274" s="138" t="e">
        <f>IF(VLOOKUP(CONCATENATE(H274,F274,FI$2),Ciencias!$A:$H,7,FALSE)=BW274,1,0)</f>
        <v>#N/A</v>
      </c>
      <c r="FJ274" s="138" t="e">
        <f>IF(VLOOKUP(CONCATENATE(H274,F274,FJ$2),Ciencias!$A:$H,7,FALSE)=BX274,1,0)</f>
        <v>#N/A</v>
      </c>
      <c r="FK274" s="138" t="e">
        <f>IF(VLOOKUP(CONCATENATE(H274,F274,FK$2),Ciencias!$A:$H,7,FALSE)=BY274,1,0)</f>
        <v>#N/A</v>
      </c>
      <c r="FL274" s="138" t="e">
        <f>IF(VLOOKUP(CONCATENATE(H274,F274,FL$2),Ciencias!$A:$H,7,FALSE)=BZ274,1,0)</f>
        <v>#N/A</v>
      </c>
      <c r="FM274" s="138" t="e">
        <f>IF(VLOOKUP(CONCATENATE(H274,F274,FM$2),Ciencias!$A:$H,7,FALSE)=CA274,1,0)</f>
        <v>#N/A</v>
      </c>
      <c r="FN274" s="138" t="e">
        <f>IF(VLOOKUP(CONCATENATE(H274,F274,FN$2),Ciencias!$A:$H,7,FALSE)=CB274,1,0)</f>
        <v>#N/A</v>
      </c>
      <c r="FO274" s="138" t="e">
        <f>IF(VLOOKUP(CONCATENATE(H274,F274,FO$2),Ciencias!$A:$H,7,FALSE)=CC274,1,0)</f>
        <v>#N/A</v>
      </c>
      <c r="FP274" s="138" t="e">
        <f>IF(VLOOKUP(CONCATENATE(H274,F274,FP$2),GeoHis!$A:$H,7,FALSE)=CD274,1,0)</f>
        <v>#N/A</v>
      </c>
      <c r="FQ274" s="138" t="e">
        <f>IF(VLOOKUP(CONCATENATE(H274,F274,FQ$2),GeoHis!$A:$H,7,FALSE)=CE274,1,0)</f>
        <v>#N/A</v>
      </c>
      <c r="FR274" s="138" t="e">
        <f>IF(VLOOKUP(CONCATENATE(H274,F274,FR$2),GeoHis!$A:$H,7,FALSE)=CF274,1,0)</f>
        <v>#N/A</v>
      </c>
      <c r="FS274" s="138" t="e">
        <f>IF(VLOOKUP(CONCATENATE(H274,F274,FS$2),GeoHis!$A:$H,7,FALSE)=CG274,1,0)</f>
        <v>#N/A</v>
      </c>
      <c r="FT274" s="138" t="e">
        <f>IF(VLOOKUP(CONCATENATE(H274,F274,FT$2),GeoHis!$A:$H,7,FALSE)=CH274,1,0)</f>
        <v>#N/A</v>
      </c>
      <c r="FU274" s="138" t="e">
        <f>IF(VLOOKUP(CONCATENATE(H274,F274,FU$2),GeoHis!$A:$H,7,FALSE)=CI274,1,0)</f>
        <v>#N/A</v>
      </c>
      <c r="FV274" s="138" t="e">
        <f>IF(VLOOKUP(CONCATENATE(H274,F274,FV$2),GeoHis!$A:$H,7,FALSE)=CJ274,1,0)</f>
        <v>#N/A</v>
      </c>
      <c r="FW274" s="138" t="e">
        <f>IF(VLOOKUP(CONCATENATE(H274,F274,FW$2),GeoHis!$A:$H,7,FALSE)=CK274,1,0)</f>
        <v>#N/A</v>
      </c>
      <c r="FX274" s="138" t="e">
        <f>IF(VLOOKUP(CONCATENATE(H274,F274,FX$2),GeoHis!$A:$H,7,FALSE)=CL274,1,0)</f>
        <v>#N/A</v>
      </c>
      <c r="FY274" s="138" t="e">
        <f>IF(VLOOKUP(CONCATENATE(H274,F274,FY$2),GeoHis!$A:$H,7,FALSE)=CM274,1,0)</f>
        <v>#N/A</v>
      </c>
      <c r="FZ274" s="138" t="e">
        <f>IF(VLOOKUP(CONCATENATE(H274,F274,FZ$2),GeoHis!$A:$H,7,FALSE)=CN274,1,0)</f>
        <v>#N/A</v>
      </c>
      <c r="GA274" s="138" t="e">
        <f>IF(VLOOKUP(CONCATENATE(H274,F274,GA$2),GeoHis!$A:$H,7,FALSE)=CO274,1,0)</f>
        <v>#N/A</v>
      </c>
      <c r="GB274" s="138" t="e">
        <f>IF(VLOOKUP(CONCATENATE(H274,F274,GB$2),GeoHis!$A:$H,7,FALSE)=CP274,1,0)</f>
        <v>#N/A</v>
      </c>
      <c r="GC274" s="138" t="e">
        <f>IF(VLOOKUP(CONCATENATE(H274,F274,GC$2),GeoHis!$A:$H,7,FALSE)=CQ274,1,0)</f>
        <v>#N/A</v>
      </c>
      <c r="GD274" s="138" t="e">
        <f>IF(VLOOKUP(CONCATENATE(H274,F274,GD$2),GeoHis!$A:$H,7,FALSE)=CR274,1,0)</f>
        <v>#N/A</v>
      </c>
      <c r="GE274" s="135" t="str">
        <f t="shared" si="39"/>
        <v/>
      </c>
    </row>
    <row r="275" spans="1:187" x14ac:dyDescent="0.25">
      <c r="A275" s="127" t="str">
        <f>IF(C275="","",'Datos Generales'!$A$25)</f>
        <v/>
      </c>
      <c r="D275" s="126" t="str">
        <f t="shared" si="32"/>
        <v/>
      </c>
      <c r="E275" s="126">
        <f t="shared" si="33"/>
        <v>0</v>
      </c>
      <c r="F275" s="126" t="str">
        <f t="shared" si="34"/>
        <v/>
      </c>
      <c r="G275" s="126" t="str">
        <f>IF(C275="","",'Datos Generales'!$D$19)</f>
        <v/>
      </c>
      <c r="H275" s="21" t="str">
        <f>IF(C275="","",'Datos Generales'!$A$19)</f>
        <v/>
      </c>
      <c r="I275" s="126" t="str">
        <f>IF(C275="","",'Datos Generales'!$A$7)</f>
        <v/>
      </c>
      <c r="J275" s="21" t="str">
        <f>IF(C275="","",'Datos Generales'!$A$13)</f>
        <v/>
      </c>
      <c r="K275" s="21" t="str">
        <f>IF(C275="","",'Datos Generales'!$A$10)</f>
        <v/>
      </c>
      <c r="CS275" s="142" t="str">
        <f t="shared" si="35"/>
        <v/>
      </c>
      <c r="CT275" s="142" t="str">
        <f t="shared" si="36"/>
        <v/>
      </c>
      <c r="CU275" s="142" t="str">
        <f t="shared" si="37"/>
        <v/>
      </c>
      <c r="CV275" s="142" t="str">
        <f t="shared" si="38"/>
        <v/>
      </c>
      <c r="CW275" s="142" t="str">
        <f>IF(C275="","",IF('Datos Generales'!$A$19=1,AVERAGE(FP275:GD275),AVERAGE(Captura!FP275:FY275)))</f>
        <v/>
      </c>
      <c r="CX275" s="138" t="e">
        <f>IF(VLOOKUP(CONCATENATE($H$4,$F$4,CX$2),Español!$A:$H,7,FALSE)=L275,1,0)</f>
        <v>#N/A</v>
      </c>
      <c r="CY275" s="138" t="e">
        <f>IF(VLOOKUP(CONCATENATE(H275,F275,CY$2),Español!$A:$H,7,FALSE)=M275,1,0)</f>
        <v>#N/A</v>
      </c>
      <c r="CZ275" s="138" t="e">
        <f>IF(VLOOKUP(CONCATENATE(H275,F275,CZ$2),Español!$A:$H,7,FALSE)=N275,1,0)</f>
        <v>#N/A</v>
      </c>
      <c r="DA275" s="138" t="e">
        <f>IF(VLOOKUP(CONCATENATE(H275,F275,DA$2),Español!$A:$H,7,FALSE)=O275,1,0)</f>
        <v>#N/A</v>
      </c>
      <c r="DB275" s="138" t="e">
        <f>IF(VLOOKUP(CONCATENATE(H275,F275,DB$2),Español!$A:$H,7,FALSE)=P275,1,0)</f>
        <v>#N/A</v>
      </c>
      <c r="DC275" s="138" t="e">
        <f>IF(VLOOKUP(CONCATENATE(H275,F275,DC$2),Español!$A:$H,7,FALSE)=Q275,1,0)</f>
        <v>#N/A</v>
      </c>
      <c r="DD275" s="138" t="e">
        <f>IF(VLOOKUP(CONCATENATE(H275,F275,DD$2),Español!$A:$H,7,FALSE)=R275,1,0)</f>
        <v>#N/A</v>
      </c>
      <c r="DE275" s="138" t="e">
        <f>IF(VLOOKUP(CONCATENATE(H275,F275,DE$2),Español!$A:$H,7,FALSE)=S275,1,0)</f>
        <v>#N/A</v>
      </c>
      <c r="DF275" s="138" t="e">
        <f>IF(VLOOKUP(CONCATENATE(H275,F275,DF$2),Español!$A:$H,7,FALSE)=T275,1,0)</f>
        <v>#N/A</v>
      </c>
      <c r="DG275" s="138" t="e">
        <f>IF(VLOOKUP(CONCATENATE(H275,F275,DG$2),Español!$A:$H,7,FALSE)=U275,1,0)</f>
        <v>#N/A</v>
      </c>
      <c r="DH275" s="138" t="e">
        <f>IF(VLOOKUP(CONCATENATE(H275,F275,DH$2),Español!$A:$H,7,FALSE)=V275,1,0)</f>
        <v>#N/A</v>
      </c>
      <c r="DI275" s="138" t="e">
        <f>IF(VLOOKUP(CONCATENATE(H275,F275,DI$2),Español!$A:$H,7,FALSE)=W275,1,0)</f>
        <v>#N/A</v>
      </c>
      <c r="DJ275" s="138" t="e">
        <f>IF(VLOOKUP(CONCATENATE(H275,F275,DJ$2),Español!$A:$H,7,FALSE)=X275,1,0)</f>
        <v>#N/A</v>
      </c>
      <c r="DK275" s="138" t="e">
        <f>IF(VLOOKUP(CONCATENATE(H275,F275,DK$2),Español!$A:$H,7,FALSE)=Y275,1,0)</f>
        <v>#N/A</v>
      </c>
      <c r="DL275" s="138" t="e">
        <f>IF(VLOOKUP(CONCATENATE(H275,F275,DL$2),Español!$A:$H,7,FALSE)=Z275,1,0)</f>
        <v>#N/A</v>
      </c>
      <c r="DM275" s="138" t="e">
        <f>IF(VLOOKUP(CONCATENATE(H275,F275,DM$2),Español!$A:$H,7,FALSE)=AA275,1,0)</f>
        <v>#N/A</v>
      </c>
      <c r="DN275" s="138" t="e">
        <f>IF(VLOOKUP(CONCATENATE(H275,F275,DN$2),Español!$A:$H,7,FALSE)=AB275,1,0)</f>
        <v>#N/A</v>
      </c>
      <c r="DO275" s="138" t="e">
        <f>IF(VLOOKUP(CONCATENATE(H275,F275,DO$2),Español!$A:$H,7,FALSE)=AC275,1,0)</f>
        <v>#N/A</v>
      </c>
      <c r="DP275" s="138" t="e">
        <f>IF(VLOOKUP(CONCATENATE(H275,F275,DP$2),Español!$A:$H,7,FALSE)=AD275,1,0)</f>
        <v>#N/A</v>
      </c>
      <c r="DQ275" s="138" t="e">
        <f>IF(VLOOKUP(CONCATENATE(H275,F275,DQ$2),Español!$A:$H,7,FALSE)=AE275,1,0)</f>
        <v>#N/A</v>
      </c>
      <c r="DR275" s="138" t="e">
        <f>IF(VLOOKUP(CONCATENATE(H275,F275,DR$2),Inglés!$A:$H,7,FALSE)=AF275,1,0)</f>
        <v>#N/A</v>
      </c>
      <c r="DS275" s="138" t="e">
        <f>IF(VLOOKUP(CONCATENATE(H275,F275,DS$2),Inglés!$A:$H,7,FALSE)=AG275,1,0)</f>
        <v>#N/A</v>
      </c>
      <c r="DT275" s="138" t="e">
        <f>IF(VLOOKUP(CONCATENATE(H275,F275,DT$2),Inglés!$A:$H,7,FALSE)=AH275,1,0)</f>
        <v>#N/A</v>
      </c>
      <c r="DU275" s="138" t="e">
        <f>IF(VLOOKUP(CONCATENATE(H275,F275,DU$2),Inglés!$A:$H,7,FALSE)=AI275,1,0)</f>
        <v>#N/A</v>
      </c>
      <c r="DV275" s="138" t="e">
        <f>IF(VLOOKUP(CONCATENATE(H275,F275,DV$2),Inglés!$A:$H,7,FALSE)=AJ275,1,0)</f>
        <v>#N/A</v>
      </c>
      <c r="DW275" s="138" t="e">
        <f>IF(VLOOKUP(CONCATENATE(H275,F275,DW$2),Inglés!$A:$H,7,FALSE)=AK275,1,0)</f>
        <v>#N/A</v>
      </c>
      <c r="DX275" s="138" t="e">
        <f>IF(VLOOKUP(CONCATENATE(H275,F275,DX$2),Inglés!$A:$H,7,FALSE)=AL275,1,0)</f>
        <v>#N/A</v>
      </c>
      <c r="DY275" s="138" t="e">
        <f>IF(VLOOKUP(CONCATENATE(H275,F275,DY$2),Inglés!$A:$H,7,FALSE)=AM275,1,0)</f>
        <v>#N/A</v>
      </c>
      <c r="DZ275" s="138" t="e">
        <f>IF(VLOOKUP(CONCATENATE(H275,F275,DZ$2),Inglés!$A:$H,7,FALSE)=AN275,1,0)</f>
        <v>#N/A</v>
      </c>
      <c r="EA275" s="138" t="e">
        <f>IF(VLOOKUP(CONCATENATE(H275,F275,EA$2),Inglés!$A:$H,7,FALSE)=AO275,1,0)</f>
        <v>#N/A</v>
      </c>
      <c r="EB275" s="138" t="e">
        <f>IF(VLOOKUP(CONCATENATE(H275,F275,EB$2),Matemáticas!$A:$H,7,FALSE)=AP275,1,0)</f>
        <v>#N/A</v>
      </c>
      <c r="EC275" s="138" t="e">
        <f>IF(VLOOKUP(CONCATENATE(H275,F275,EC$2),Matemáticas!$A:$H,7,FALSE)=AQ275,1,0)</f>
        <v>#N/A</v>
      </c>
      <c r="ED275" s="138" t="e">
        <f>IF(VLOOKUP(CONCATENATE(H275,F275,ED$2),Matemáticas!$A:$H,7,FALSE)=AR275,1,0)</f>
        <v>#N/A</v>
      </c>
      <c r="EE275" s="138" t="e">
        <f>IF(VLOOKUP(CONCATENATE(H275,F275,EE$2),Matemáticas!$A:$H,7,FALSE)=AS275,1,0)</f>
        <v>#N/A</v>
      </c>
      <c r="EF275" s="138" t="e">
        <f>IF(VLOOKUP(CONCATENATE(H275,F275,EF$2),Matemáticas!$A:$H,7,FALSE)=AT275,1,0)</f>
        <v>#N/A</v>
      </c>
      <c r="EG275" s="138" t="e">
        <f>IF(VLOOKUP(CONCATENATE(H275,F275,EG$2),Matemáticas!$A:$H,7,FALSE)=AU275,1,0)</f>
        <v>#N/A</v>
      </c>
      <c r="EH275" s="138" t="e">
        <f>IF(VLOOKUP(CONCATENATE(H275,F275,EH$2),Matemáticas!$A:$H,7,FALSE)=AV275,1,0)</f>
        <v>#N/A</v>
      </c>
      <c r="EI275" s="138" t="e">
        <f>IF(VLOOKUP(CONCATENATE(H275,F275,EI$2),Matemáticas!$A:$H,7,FALSE)=AW275,1,0)</f>
        <v>#N/A</v>
      </c>
      <c r="EJ275" s="138" t="e">
        <f>IF(VLOOKUP(CONCATENATE(H275,F275,EJ$2),Matemáticas!$A:$H,7,FALSE)=AX275,1,0)</f>
        <v>#N/A</v>
      </c>
      <c r="EK275" s="138" t="e">
        <f>IF(VLOOKUP(CONCATENATE(H275,F275,EK$2),Matemáticas!$A:$H,7,FALSE)=AY275,1,0)</f>
        <v>#N/A</v>
      </c>
      <c r="EL275" s="138" t="e">
        <f>IF(VLOOKUP(CONCATENATE(H275,F275,EL$2),Matemáticas!$A:$H,7,FALSE)=AZ275,1,0)</f>
        <v>#N/A</v>
      </c>
      <c r="EM275" s="138" t="e">
        <f>IF(VLOOKUP(CONCATENATE(H275,F275,EM$2),Matemáticas!$A:$H,7,FALSE)=BA275,1,0)</f>
        <v>#N/A</v>
      </c>
      <c r="EN275" s="138" t="e">
        <f>IF(VLOOKUP(CONCATENATE(H275,F275,EN$2),Matemáticas!$A:$H,7,FALSE)=BB275,1,0)</f>
        <v>#N/A</v>
      </c>
      <c r="EO275" s="138" t="e">
        <f>IF(VLOOKUP(CONCATENATE(H275,F275,EO$2),Matemáticas!$A:$H,7,FALSE)=BC275,1,0)</f>
        <v>#N/A</v>
      </c>
      <c r="EP275" s="138" t="e">
        <f>IF(VLOOKUP(CONCATENATE(H275,F275,EP$2),Matemáticas!$A:$H,7,FALSE)=BD275,1,0)</f>
        <v>#N/A</v>
      </c>
      <c r="EQ275" s="138" t="e">
        <f>IF(VLOOKUP(CONCATENATE(H275,F275,EQ$2),Matemáticas!$A:$H,7,FALSE)=BE275,1,0)</f>
        <v>#N/A</v>
      </c>
      <c r="ER275" s="138" t="e">
        <f>IF(VLOOKUP(CONCATENATE(H275,F275,ER$2),Matemáticas!$A:$H,7,FALSE)=BF275,1,0)</f>
        <v>#N/A</v>
      </c>
      <c r="ES275" s="138" t="e">
        <f>IF(VLOOKUP(CONCATENATE(H275,F275,ES$2),Matemáticas!$A:$H,7,FALSE)=BG275,1,0)</f>
        <v>#N/A</v>
      </c>
      <c r="ET275" s="138" t="e">
        <f>IF(VLOOKUP(CONCATENATE(H275,F275,ET$2),Matemáticas!$A:$H,7,FALSE)=BH275,1,0)</f>
        <v>#N/A</v>
      </c>
      <c r="EU275" s="138" t="e">
        <f>IF(VLOOKUP(CONCATENATE(H275,F275,EU$2),Matemáticas!$A:$H,7,FALSE)=BI275,1,0)</f>
        <v>#N/A</v>
      </c>
      <c r="EV275" s="138" t="e">
        <f>IF(VLOOKUP(CONCATENATE(H275,F275,EV$2),Ciencias!$A:$H,7,FALSE)=BJ275,1,0)</f>
        <v>#N/A</v>
      </c>
      <c r="EW275" s="138" t="e">
        <f>IF(VLOOKUP(CONCATENATE(H275,F275,EW$2),Ciencias!$A:$H,7,FALSE)=BK275,1,0)</f>
        <v>#N/A</v>
      </c>
      <c r="EX275" s="138" t="e">
        <f>IF(VLOOKUP(CONCATENATE(H275,F275,EX$2),Ciencias!$A:$H,7,FALSE)=BL275,1,0)</f>
        <v>#N/A</v>
      </c>
      <c r="EY275" s="138" t="e">
        <f>IF(VLOOKUP(CONCATENATE(H275,F275,EY$2),Ciencias!$A:$H,7,FALSE)=BM275,1,0)</f>
        <v>#N/A</v>
      </c>
      <c r="EZ275" s="138" t="e">
        <f>IF(VLOOKUP(CONCATENATE(H275,F275,EZ$2),Ciencias!$A:$H,7,FALSE)=BN275,1,0)</f>
        <v>#N/A</v>
      </c>
      <c r="FA275" s="138" t="e">
        <f>IF(VLOOKUP(CONCATENATE(H275,F275,FA$2),Ciencias!$A:$H,7,FALSE)=BO275,1,0)</f>
        <v>#N/A</v>
      </c>
      <c r="FB275" s="138" t="e">
        <f>IF(VLOOKUP(CONCATENATE(H275,F275,FB$2),Ciencias!$A:$H,7,FALSE)=BP275,1,0)</f>
        <v>#N/A</v>
      </c>
      <c r="FC275" s="138" t="e">
        <f>IF(VLOOKUP(CONCATENATE(H275,F275,FC$2),Ciencias!$A:$H,7,FALSE)=BQ275,1,0)</f>
        <v>#N/A</v>
      </c>
      <c r="FD275" s="138" t="e">
        <f>IF(VLOOKUP(CONCATENATE(H275,F275,FD$2),Ciencias!$A:$H,7,FALSE)=BR275,1,0)</f>
        <v>#N/A</v>
      </c>
      <c r="FE275" s="138" t="e">
        <f>IF(VLOOKUP(CONCATENATE(H275,F275,FE$2),Ciencias!$A:$H,7,FALSE)=BS275,1,0)</f>
        <v>#N/A</v>
      </c>
      <c r="FF275" s="138" t="e">
        <f>IF(VLOOKUP(CONCATENATE(H275,F275,FF$2),Ciencias!$A:$H,7,FALSE)=BT275,1,0)</f>
        <v>#N/A</v>
      </c>
      <c r="FG275" s="138" t="e">
        <f>IF(VLOOKUP(CONCATENATE(H275,F275,FG$2),Ciencias!$A:$H,7,FALSE)=BU275,1,0)</f>
        <v>#N/A</v>
      </c>
      <c r="FH275" s="138" t="e">
        <f>IF(VLOOKUP(CONCATENATE(H275,F275,FH$2),Ciencias!$A:$H,7,FALSE)=BV275,1,0)</f>
        <v>#N/A</v>
      </c>
      <c r="FI275" s="138" t="e">
        <f>IF(VLOOKUP(CONCATENATE(H275,F275,FI$2),Ciencias!$A:$H,7,FALSE)=BW275,1,0)</f>
        <v>#N/A</v>
      </c>
      <c r="FJ275" s="138" t="e">
        <f>IF(VLOOKUP(CONCATENATE(H275,F275,FJ$2),Ciencias!$A:$H,7,FALSE)=BX275,1,0)</f>
        <v>#N/A</v>
      </c>
      <c r="FK275" s="138" t="e">
        <f>IF(VLOOKUP(CONCATENATE(H275,F275,FK$2),Ciencias!$A:$H,7,FALSE)=BY275,1,0)</f>
        <v>#N/A</v>
      </c>
      <c r="FL275" s="138" t="e">
        <f>IF(VLOOKUP(CONCATENATE(H275,F275,FL$2),Ciencias!$A:$H,7,FALSE)=BZ275,1,0)</f>
        <v>#N/A</v>
      </c>
      <c r="FM275" s="138" t="e">
        <f>IF(VLOOKUP(CONCATENATE(H275,F275,FM$2),Ciencias!$A:$H,7,FALSE)=CA275,1,0)</f>
        <v>#N/A</v>
      </c>
      <c r="FN275" s="138" t="e">
        <f>IF(VLOOKUP(CONCATENATE(H275,F275,FN$2),Ciencias!$A:$H,7,FALSE)=CB275,1,0)</f>
        <v>#N/A</v>
      </c>
      <c r="FO275" s="138" t="e">
        <f>IF(VLOOKUP(CONCATENATE(H275,F275,FO$2),Ciencias!$A:$H,7,FALSE)=CC275,1,0)</f>
        <v>#N/A</v>
      </c>
      <c r="FP275" s="138" t="e">
        <f>IF(VLOOKUP(CONCATENATE(H275,F275,FP$2),GeoHis!$A:$H,7,FALSE)=CD275,1,0)</f>
        <v>#N/A</v>
      </c>
      <c r="FQ275" s="138" t="e">
        <f>IF(VLOOKUP(CONCATENATE(H275,F275,FQ$2),GeoHis!$A:$H,7,FALSE)=CE275,1,0)</f>
        <v>#N/A</v>
      </c>
      <c r="FR275" s="138" t="e">
        <f>IF(VLOOKUP(CONCATENATE(H275,F275,FR$2),GeoHis!$A:$H,7,FALSE)=CF275,1,0)</f>
        <v>#N/A</v>
      </c>
      <c r="FS275" s="138" t="e">
        <f>IF(VLOOKUP(CONCATENATE(H275,F275,FS$2),GeoHis!$A:$H,7,FALSE)=CG275,1,0)</f>
        <v>#N/A</v>
      </c>
      <c r="FT275" s="138" t="e">
        <f>IF(VLOOKUP(CONCATENATE(H275,F275,FT$2),GeoHis!$A:$H,7,FALSE)=CH275,1,0)</f>
        <v>#N/A</v>
      </c>
      <c r="FU275" s="138" t="e">
        <f>IF(VLOOKUP(CONCATENATE(H275,F275,FU$2),GeoHis!$A:$H,7,FALSE)=CI275,1,0)</f>
        <v>#N/A</v>
      </c>
      <c r="FV275" s="138" t="e">
        <f>IF(VLOOKUP(CONCATENATE(H275,F275,FV$2),GeoHis!$A:$H,7,FALSE)=CJ275,1,0)</f>
        <v>#N/A</v>
      </c>
      <c r="FW275" s="138" t="e">
        <f>IF(VLOOKUP(CONCATENATE(H275,F275,FW$2),GeoHis!$A:$H,7,FALSE)=CK275,1,0)</f>
        <v>#N/A</v>
      </c>
      <c r="FX275" s="138" t="e">
        <f>IF(VLOOKUP(CONCATENATE(H275,F275,FX$2),GeoHis!$A:$H,7,FALSE)=CL275,1,0)</f>
        <v>#N/A</v>
      </c>
      <c r="FY275" s="138" t="e">
        <f>IF(VLOOKUP(CONCATENATE(H275,F275,FY$2),GeoHis!$A:$H,7,FALSE)=CM275,1,0)</f>
        <v>#N/A</v>
      </c>
      <c r="FZ275" s="138" t="e">
        <f>IF(VLOOKUP(CONCATENATE(H275,F275,FZ$2),GeoHis!$A:$H,7,FALSE)=CN275,1,0)</f>
        <v>#N/A</v>
      </c>
      <c r="GA275" s="138" t="e">
        <f>IF(VLOOKUP(CONCATENATE(H275,F275,GA$2),GeoHis!$A:$H,7,FALSE)=CO275,1,0)</f>
        <v>#N/A</v>
      </c>
      <c r="GB275" s="138" t="e">
        <f>IF(VLOOKUP(CONCATENATE(H275,F275,GB$2),GeoHis!$A:$H,7,FALSE)=CP275,1,0)</f>
        <v>#N/A</v>
      </c>
      <c r="GC275" s="138" t="e">
        <f>IF(VLOOKUP(CONCATENATE(H275,F275,GC$2),GeoHis!$A:$H,7,FALSE)=CQ275,1,0)</f>
        <v>#N/A</v>
      </c>
      <c r="GD275" s="138" t="e">
        <f>IF(VLOOKUP(CONCATENATE(H275,F275,GD$2),GeoHis!$A:$H,7,FALSE)=CR275,1,0)</f>
        <v>#N/A</v>
      </c>
      <c r="GE275" s="135" t="str">
        <f t="shared" si="39"/>
        <v/>
      </c>
    </row>
    <row r="276" spans="1:187" x14ac:dyDescent="0.25">
      <c r="A276" s="127" t="str">
        <f>IF(C276="","",'Datos Generales'!$A$25)</f>
        <v/>
      </c>
      <c r="D276" s="126" t="str">
        <f t="shared" si="32"/>
        <v/>
      </c>
      <c r="E276" s="126">
        <f t="shared" si="33"/>
        <v>0</v>
      </c>
      <c r="F276" s="126" t="str">
        <f t="shared" si="34"/>
        <v/>
      </c>
      <c r="G276" s="126" t="str">
        <f>IF(C276="","",'Datos Generales'!$D$19)</f>
        <v/>
      </c>
      <c r="H276" s="21" t="str">
        <f>IF(C276="","",'Datos Generales'!$A$19)</f>
        <v/>
      </c>
      <c r="I276" s="126" t="str">
        <f>IF(C276="","",'Datos Generales'!$A$7)</f>
        <v/>
      </c>
      <c r="J276" s="21" t="str">
        <f>IF(C276="","",'Datos Generales'!$A$13)</f>
        <v/>
      </c>
      <c r="K276" s="21" t="str">
        <f>IF(C276="","",'Datos Generales'!$A$10)</f>
        <v/>
      </c>
      <c r="CS276" s="142" t="str">
        <f t="shared" si="35"/>
        <v/>
      </c>
      <c r="CT276" s="142" t="str">
        <f t="shared" si="36"/>
        <v/>
      </c>
      <c r="CU276" s="142" t="str">
        <f t="shared" si="37"/>
        <v/>
      </c>
      <c r="CV276" s="142" t="str">
        <f t="shared" si="38"/>
        <v/>
      </c>
      <c r="CW276" s="142" t="str">
        <f>IF(C276="","",IF('Datos Generales'!$A$19=1,AVERAGE(FP276:GD276),AVERAGE(Captura!FP276:FY276)))</f>
        <v/>
      </c>
      <c r="CX276" s="138" t="e">
        <f>IF(VLOOKUP(CONCATENATE($H$4,$F$4,CX$2),Español!$A:$H,7,FALSE)=L276,1,0)</f>
        <v>#N/A</v>
      </c>
      <c r="CY276" s="138" t="e">
        <f>IF(VLOOKUP(CONCATENATE(H276,F276,CY$2),Español!$A:$H,7,FALSE)=M276,1,0)</f>
        <v>#N/A</v>
      </c>
      <c r="CZ276" s="138" t="e">
        <f>IF(VLOOKUP(CONCATENATE(H276,F276,CZ$2),Español!$A:$H,7,FALSE)=N276,1,0)</f>
        <v>#N/A</v>
      </c>
      <c r="DA276" s="138" t="e">
        <f>IF(VLOOKUP(CONCATENATE(H276,F276,DA$2),Español!$A:$H,7,FALSE)=O276,1,0)</f>
        <v>#N/A</v>
      </c>
      <c r="DB276" s="138" t="e">
        <f>IF(VLOOKUP(CONCATENATE(H276,F276,DB$2),Español!$A:$H,7,FALSE)=P276,1,0)</f>
        <v>#N/A</v>
      </c>
      <c r="DC276" s="138" t="e">
        <f>IF(VLOOKUP(CONCATENATE(H276,F276,DC$2),Español!$A:$H,7,FALSE)=Q276,1,0)</f>
        <v>#N/A</v>
      </c>
      <c r="DD276" s="138" t="e">
        <f>IF(VLOOKUP(CONCATENATE(H276,F276,DD$2),Español!$A:$H,7,FALSE)=R276,1,0)</f>
        <v>#N/A</v>
      </c>
      <c r="DE276" s="138" t="e">
        <f>IF(VLOOKUP(CONCATENATE(H276,F276,DE$2),Español!$A:$H,7,FALSE)=S276,1,0)</f>
        <v>#N/A</v>
      </c>
      <c r="DF276" s="138" t="e">
        <f>IF(VLOOKUP(CONCATENATE(H276,F276,DF$2),Español!$A:$H,7,FALSE)=T276,1,0)</f>
        <v>#N/A</v>
      </c>
      <c r="DG276" s="138" t="e">
        <f>IF(VLOOKUP(CONCATENATE(H276,F276,DG$2),Español!$A:$H,7,FALSE)=U276,1,0)</f>
        <v>#N/A</v>
      </c>
      <c r="DH276" s="138" t="e">
        <f>IF(VLOOKUP(CONCATENATE(H276,F276,DH$2),Español!$A:$H,7,FALSE)=V276,1,0)</f>
        <v>#N/A</v>
      </c>
      <c r="DI276" s="138" t="e">
        <f>IF(VLOOKUP(CONCATENATE(H276,F276,DI$2),Español!$A:$H,7,FALSE)=W276,1,0)</f>
        <v>#N/A</v>
      </c>
      <c r="DJ276" s="138" t="e">
        <f>IF(VLOOKUP(CONCATENATE(H276,F276,DJ$2),Español!$A:$H,7,FALSE)=X276,1,0)</f>
        <v>#N/A</v>
      </c>
      <c r="DK276" s="138" t="e">
        <f>IF(VLOOKUP(CONCATENATE(H276,F276,DK$2),Español!$A:$H,7,FALSE)=Y276,1,0)</f>
        <v>#N/A</v>
      </c>
      <c r="DL276" s="138" t="e">
        <f>IF(VLOOKUP(CONCATENATE(H276,F276,DL$2),Español!$A:$H,7,FALSE)=Z276,1,0)</f>
        <v>#N/A</v>
      </c>
      <c r="DM276" s="138" t="e">
        <f>IF(VLOOKUP(CONCATENATE(H276,F276,DM$2),Español!$A:$H,7,FALSE)=AA276,1,0)</f>
        <v>#N/A</v>
      </c>
      <c r="DN276" s="138" t="e">
        <f>IF(VLOOKUP(CONCATENATE(H276,F276,DN$2),Español!$A:$H,7,FALSE)=AB276,1,0)</f>
        <v>#N/A</v>
      </c>
      <c r="DO276" s="138" t="e">
        <f>IF(VLOOKUP(CONCATENATE(H276,F276,DO$2),Español!$A:$H,7,FALSE)=AC276,1,0)</f>
        <v>#N/A</v>
      </c>
      <c r="DP276" s="138" t="e">
        <f>IF(VLOOKUP(CONCATENATE(H276,F276,DP$2),Español!$A:$H,7,FALSE)=AD276,1,0)</f>
        <v>#N/A</v>
      </c>
      <c r="DQ276" s="138" t="e">
        <f>IF(VLOOKUP(CONCATENATE(H276,F276,DQ$2),Español!$A:$H,7,FALSE)=AE276,1,0)</f>
        <v>#N/A</v>
      </c>
      <c r="DR276" s="138" t="e">
        <f>IF(VLOOKUP(CONCATENATE(H276,F276,DR$2),Inglés!$A:$H,7,FALSE)=AF276,1,0)</f>
        <v>#N/A</v>
      </c>
      <c r="DS276" s="138" t="e">
        <f>IF(VLOOKUP(CONCATENATE(H276,F276,DS$2),Inglés!$A:$H,7,FALSE)=AG276,1,0)</f>
        <v>#N/A</v>
      </c>
      <c r="DT276" s="138" t="e">
        <f>IF(VLOOKUP(CONCATENATE(H276,F276,DT$2),Inglés!$A:$H,7,FALSE)=AH276,1,0)</f>
        <v>#N/A</v>
      </c>
      <c r="DU276" s="138" t="e">
        <f>IF(VLOOKUP(CONCATENATE(H276,F276,DU$2),Inglés!$A:$H,7,FALSE)=AI276,1,0)</f>
        <v>#N/A</v>
      </c>
      <c r="DV276" s="138" t="e">
        <f>IF(VLOOKUP(CONCATENATE(H276,F276,DV$2),Inglés!$A:$H,7,FALSE)=AJ276,1,0)</f>
        <v>#N/A</v>
      </c>
      <c r="DW276" s="138" t="e">
        <f>IF(VLOOKUP(CONCATENATE(H276,F276,DW$2),Inglés!$A:$H,7,FALSE)=AK276,1,0)</f>
        <v>#N/A</v>
      </c>
      <c r="DX276" s="138" t="e">
        <f>IF(VLOOKUP(CONCATENATE(H276,F276,DX$2),Inglés!$A:$H,7,FALSE)=AL276,1,0)</f>
        <v>#N/A</v>
      </c>
      <c r="DY276" s="138" t="e">
        <f>IF(VLOOKUP(CONCATENATE(H276,F276,DY$2),Inglés!$A:$H,7,FALSE)=AM276,1,0)</f>
        <v>#N/A</v>
      </c>
      <c r="DZ276" s="138" t="e">
        <f>IF(VLOOKUP(CONCATENATE(H276,F276,DZ$2),Inglés!$A:$H,7,FALSE)=AN276,1,0)</f>
        <v>#N/A</v>
      </c>
      <c r="EA276" s="138" t="e">
        <f>IF(VLOOKUP(CONCATENATE(H276,F276,EA$2),Inglés!$A:$H,7,FALSE)=AO276,1,0)</f>
        <v>#N/A</v>
      </c>
      <c r="EB276" s="138" t="e">
        <f>IF(VLOOKUP(CONCATENATE(H276,F276,EB$2),Matemáticas!$A:$H,7,FALSE)=AP276,1,0)</f>
        <v>#N/A</v>
      </c>
      <c r="EC276" s="138" t="e">
        <f>IF(VLOOKUP(CONCATENATE(H276,F276,EC$2),Matemáticas!$A:$H,7,FALSE)=AQ276,1,0)</f>
        <v>#N/A</v>
      </c>
      <c r="ED276" s="138" t="e">
        <f>IF(VLOOKUP(CONCATENATE(H276,F276,ED$2),Matemáticas!$A:$H,7,FALSE)=AR276,1,0)</f>
        <v>#N/A</v>
      </c>
      <c r="EE276" s="138" t="e">
        <f>IF(VLOOKUP(CONCATENATE(H276,F276,EE$2),Matemáticas!$A:$H,7,FALSE)=AS276,1,0)</f>
        <v>#N/A</v>
      </c>
      <c r="EF276" s="138" t="e">
        <f>IF(VLOOKUP(CONCATENATE(H276,F276,EF$2),Matemáticas!$A:$H,7,FALSE)=AT276,1,0)</f>
        <v>#N/A</v>
      </c>
      <c r="EG276" s="138" t="e">
        <f>IF(VLOOKUP(CONCATENATE(H276,F276,EG$2),Matemáticas!$A:$H,7,FALSE)=AU276,1,0)</f>
        <v>#N/A</v>
      </c>
      <c r="EH276" s="138" t="e">
        <f>IF(VLOOKUP(CONCATENATE(H276,F276,EH$2),Matemáticas!$A:$H,7,FALSE)=AV276,1,0)</f>
        <v>#N/A</v>
      </c>
      <c r="EI276" s="138" t="e">
        <f>IF(VLOOKUP(CONCATENATE(H276,F276,EI$2),Matemáticas!$A:$H,7,FALSE)=AW276,1,0)</f>
        <v>#N/A</v>
      </c>
      <c r="EJ276" s="138" t="e">
        <f>IF(VLOOKUP(CONCATENATE(H276,F276,EJ$2),Matemáticas!$A:$H,7,FALSE)=AX276,1,0)</f>
        <v>#N/A</v>
      </c>
      <c r="EK276" s="138" t="e">
        <f>IF(VLOOKUP(CONCATENATE(H276,F276,EK$2),Matemáticas!$A:$H,7,FALSE)=AY276,1,0)</f>
        <v>#N/A</v>
      </c>
      <c r="EL276" s="138" t="e">
        <f>IF(VLOOKUP(CONCATENATE(H276,F276,EL$2),Matemáticas!$A:$H,7,FALSE)=AZ276,1,0)</f>
        <v>#N/A</v>
      </c>
      <c r="EM276" s="138" t="e">
        <f>IF(VLOOKUP(CONCATENATE(H276,F276,EM$2),Matemáticas!$A:$H,7,FALSE)=BA276,1,0)</f>
        <v>#N/A</v>
      </c>
      <c r="EN276" s="138" t="e">
        <f>IF(VLOOKUP(CONCATENATE(H276,F276,EN$2),Matemáticas!$A:$H,7,FALSE)=BB276,1,0)</f>
        <v>#N/A</v>
      </c>
      <c r="EO276" s="138" t="e">
        <f>IF(VLOOKUP(CONCATENATE(H276,F276,EO$2),Matemáticas!$A:$H,7,FALSE)=BC276,1,0)</f>
        <v>#N/A</v>
      </c>
      <c r="EP276" s="138" t="e">
        <f>IF(VLOOKUP(CONCATENATE(H276,F276,EP$2),Matemáticas!$A:$H,7,FALSE)=BD276,1,0)</f>
        <v>#N/A</v>
      </c>
      <c r="EQ276" s="138" t="e">
        <f>IF(VLOOKUP(CONCATENATE(H276,F276,EQ$2),Matemáticas!$A:$H,7,FALSE)=BE276,1,0)</f>
        <v>#N/A</v>
      </c>
      <c r="ER276" s="138" t="e">
        <f>IF(VLOOKUP(CONCATENATE(H276,F276,ER$2),Matemáticas!$A:$H,7,FALSE)=BF276,1,0)</f>
        <v>#N/A</v>
      </c>
      <c r="ES276" s="138" t="e">
        <f>IF(VLOOKUP(CONCATENATE(H276,F276,ES$2),Matemáticas!$A:$H,7,FALSE)=BG276,1,0)</f>
        <v>#N/A</v>
      </c>
      <c r="ET276" s="138" t="e">
        <f>IF(VLOOKUP(CONCATENATE(H276,F276,ET$2),Matemáticas!$A:$H,7,FALSE)=BH276,1,0)</f>
        <v>#N/A</v>
      </c>
      <c r="EU276" s="138" t="e">
        <f>IF(VLOOKUP(CONCATENATE(H276,F276,EU$2),Matemáticas!$A:$H,7,FALSE)=BI276,1,0)</f>
        <v>#N/A</v>
      </c>
      <c r="EV276" s="138" t="e">
        <f>IF(VLOOKUP(CONCATENATE(H276,F276,EV$2),Ciencias!$A:$H,7,FALSE)=BJ276,1,0)</f>
        <v>#N/A</v>
      </c>
      <c r="EW276" s="138" t="e">
        <f>IF(VLOOKUP(CONCATENATE(H276,F276,EW$2),Ciencias!$A:$H,7,FALSE)=BK276,1,0)</f>
        <v>#N/A</v>
      </c>
      <c r="EX276" s="138" t="e">
        <f>IF(VLOOKUP(CONCATENATE(H276,F276,EX$2),Ciencias!$A:$H,7,FALSE)=BL276,1,0)</f>
        <v>#N/A</v>
      </c>
      <c r="EY276" s="138" t="e">
        <f>IF(VLOOKUP(CONCATENATE(H276,F276,EY$2),Ciencias!$A:$H,7,FALSE)=BM276,1,0)</f>
        <v>#N/A</v>
      </c>
      <c r="EZ276" s="138" t="e">
        <f>IF(VLOOKUP(CONCATENATE(H276,F276,EZ$2),Ciencias!$A:$H,7,FALSE)=BN276,1,0)</f>
        <v>#N/A</v>
      </c>
      <c r="FA276" s="138" t="e">
        <f>IF(VLOOKUP(CONCATENATE(H276,F276,FA$2),Ciencias!$A:$H,7,FALSE)=BO276,1,0)</f>
        <v>#N/A</v>
      </c>
      <c r="FB276" s="138" t="e">
        <f>IF(VLOOKUP(CONCATENATE(H276,F276,FB$2),Ciencias!$A:$H,7,FALSE)=BP276,1,0)</f>
        <v>#N/A</v>
      </c>
      <c r="FC276" s="138" t="e">
        <f>IF(VLOOKUP(CONCATENATE(H276,F276,FC$2),Ciencias!$A:$H,7,FALSE)=BQ276,1,0)</f>
        <v>#N/A</v>
      </c>
      <c r="FD276" s="138" t="e">
        <f>IF(VLOOKUP(CONCATENATE(H276,F276,FD$2),Ciencias!$A:$H,7,FALSE)=BR276,1,0)</f>
        <v>#N/A</v>
      </c>
      <c r="FE276" s="138" t="e">
        <f>IF(VLOOKUP(CONCATENATE(H276,F276,FE$2),Ciencias!$A:$H,7,FALSE)=BS276,1,0)</f>
        <v>#N/A</v>
      </c>
      <c r="FF276" s="138" t="e">
        <f>IF(VLOOKUP(CONCATENATE(H276,F276,FF$2),Ciencias!$A:$H,7,FALSE)=BT276,1,0)</f>
        <v>#N/A</v>
      </c>
      <c r="FG276" s="138" t="e">
        <f>IF(VLOOKUP(CONCATENATE(H276,F276,FG$2),Ciencias!$A:$H,7,FALSE)=BU276,1,0)</f>
        <v>#N/A</v>
      </c>
      <c r="FH276" s="138" t="e">
        <f>IF(VLOOKUP(CONCATENATE(H276,F276,FH$2),Ciencias!$A:$H,7,FALSE)=BV276,1,0)</f>
        <v>#N/A</v>
      </c>
      <c r="FI276" s="138" t="e">
        <f>IF(VLOOKUP(CONCATENATE(H276,F276,FI$2),Ciencias!$A:$H,7,FALSE)=BW276,1,0)</f>
        <v>#N/A</v>
      </c>
      <c r="FJ276" s="138" t="e">
        <f>IF(VLOOKUP(CONCATENATE(H276,F276,FJ$2),Ciencias!$A:$H,7,FALSE)=BX276,1,0)</f>
        <v>#N/A</v>
      </c>
      <c r="FK276" s="138" t="e">
        <f>IF(VLOOKUP(CONCATENATE(H276,F276,FK$2),Ciencias!$A:$H,7,FALSE)=BY276,1,0)</f>
        <v>#N/A</v>
      </c>
      <c r="FL276" s="138" t="e">
        <f>IF(VLOOKUP(CONCATENATE(H276,F276,FL$2),Ciencias!$A:$H,7,FALSE)=BZ276,1,0)</f>
        <v>#N/A</v>
      </c>
      <c r="FM276" s="138" t="e">
        <f>IF(VLOOKUP(CONCATENATE(H276,F276,FM$2),Ciencias!$A:$H,7,FALSE)=CA276,1,0)</f>
        <v>#N/A</v>
      </c>
      <c r="FN276" s="138" t="e">
        <f>IF(VLOOKUP(CONCATENATE(H276,F276,FN$2),Ciencias!$A:$H,7,FALSE)=CB276,1,0)</f>
        <v>#N/A</v>
      </c>
      <c r="FO276" s="138" t="e">
        <f>IF(VLOOKUP(CONCATENATE(H276,F276,FO$2),Ciencias!$A:$H,7,FALSE)=CC276,1,0)</f>
        <v>#N/A</v>
      </c>
      <c r="FP276" s="138" t="e">
        <f>IF(VLOOKUP(CONCATENATE(H276,F276,FP$2),GeoHis!$A:$H,7,FALSE)=CD276,1,0)</f>
        <v>#N/A</v>
      </c>
      <c r="FQ276" s="138" t="e">
        <f>IF(VLOOKUP(CONCATENATE(H276,F276,FQ$2),GeoHis!$A:$H,7,FALSE)=CE276,1,0)</f>
        <v>#N/A</v>
      </c>
      <c r="FR276" s="138" t="e">
        <f>IF(VLOOKUP(CONCATENATE(H276,F276,FR$2),GeoHis!$A:$H,7,FALSE)=CF276,1,0)</f>
        <v>#N/A</v>
      </c>
      <c r="FS276" s="138" t="e">
        <f>IF(VLOOKUP(CONCATENATE(H276,F276,FS$2),GeoHis!$A:$H,7,FALSE)=CG276,1,0)</f>
        <v>#N/A</v>
      </c>
      <c r="FT276" s="138" t="e">
        <f>IF(VLOOKUP(CONCATENATE(H276,F276,FT$2),GeoHis!$A:$H,7,FALSE)=CH276,1,0)</f>
        <v>#N/A</v>
      </c>
      <c r="FU276" s="138" t="e">
        <f>IF(VLOOKUP(CONCATENATE(H276,F276,FU$2),GeoHis!$A:$H,7,FALSE)=CI276,1,0)</f>
        <v>#N/A</v>
      </c>
      <c r="FV276" s="138" t="e">
        <f>IF(VLOOKUP(CONCATENATE(H276,F276,FV$2),GeoHis!$A:$H,7,FALSE)=CJ276,1,0)</f>
        <v>#N/A</v>
      </c>
      <c r="FW276" s="138" t="e">
        <f>IF(VLOOKUP(CONCATENATE(H276,F276,FW$2),GeoHis!$A:$H,7,FALSE)=CK276,1,0)</f>
        <v>#N/A</v>
      </c>
      <c r="FX276" s="138" t="e">
        <f>IF(VLOOKUP(CONCATENATE(H276,F276,FX$2),GeoHis!$A:$H,7,FALSE)=CL276,1,0)</f>
        <v>#N/A</v>
      </c>
      <c r="FY276" s="138" t="e">
        <f>IF(VLOOKUP(CONCATENATE(H276,F276,FY$2),GeoHis!$A:$H,7,FALSE)=CM276,1,0)</f>
        <v>#N/A</v>
      </c>
      <c r="FZ276" s="138" t="e">
        <f>IF(VLOOKUP(CONCATENATE(H276,F276,FZ$2),GeoHis!$A:$H,7,FALSE)=CN276,1,0)</f>
        <v>#N/A</v>
      </c>
      <c r="GA276" s="138" t="e">
        <f>IF(VLOOKUP(CONCATENATE(H276,F276,GA$2),GeoHis!$A:$H,7,FALSE)=CO276,1,0)</f>
        <v>#N/A</v>
      </c>
      <c r="GB276" s="138" t="e">
        <f>IF(VLOOKUP(CONCATENATE(H276,F276,GB$2),GeoHis!$A:$H,7,FALSE)=CP276,1,0)</f>
        <v>#N/A</v>
      </c>
      <c r="GC276" s="138" t="e">
        <f>IF(VLOOKUP(CONCATENATE(H276,F276,GC$2),GeoHis!$A:$H,7,FALSE)=CQ276,1,0)</f>
        <v>#N/A</v>
      </c>
      <c r="GD276" s="138" t="e">
        <f>IF(VLOOKUP(CONCATENATE(H276,F276,GD$2),GeoHis!$A:$H,7,FALSE)=CR276,1,0)</f>
        <v>#N/A</v>
      </c>
      <c r="GE276" s="135" t="str">
        <f t="shared" si="39"/>
        <v/>
      </c>
    </row>
    <row r="277" spans="1:187" x14ac:dyDescent="0.25">
      <c r="A277" s="127" t="str">
        <f>IF(C277="","",'Datos Generales'!$A$25)</f>
        <v/>
      </c>
      <c r="D277" s="126" t="str">
        <f t="shared" si="32"/>
        <v/>
      </c>
      <c r="E277" s="126">
        <f t="shared" si="33"/>
        <v>0</v>
      </c>
      <c r="F277" s="126" t="str">
        <f t="shared" si="34"/>
        <v/>
      </c>
      <c r="G277" s="126" t="str">
        <f>IF(C277="","",'Datos Generales'!$D$19)</f>
        <v/>
      </c>
      <c r="H277" s="21" t="str">
        <f>IF(C277="","",'Datos Generales'!$A$19)</f>
        <v/>
      </c>
      <c r="I277" s="126" t="str">
        <f>IF(C277="","",'Datos Generales'!$A$7)</f>
        <v/>
      </c>
      <c r="J277" s="21" t="str">
        <f>IF(C277="","",'Datos Generales'!$A$13)</f>
        <v/>
      </c>
      <c r="K277" s="21" t="str">
        <f>IF(C277="","",'Datos Generales'!$A$10)</f>
        <v/>
      </c>
      <c r="CS277" s="142" t="str">
        <f t="shared" si="35"/>
        <v/>
      </c>
      <c r="CT277" s="142" t="str">
        <f t="shared" si="36"/>
        <v/>
      </c>
      <c r="CU277" s="142" t="str">
        <f t="shared" si="37"/>
        <v/>
      </c>
      <c r="CV277" s="142" t="str">
        <f t="shared" si="38"/>
        <v/>
      </c>
      <c r="CW277" s="142" t="str">
        <f>IF(C277="","",IF('Datos Generales'!$A$19=1,AVERAGE(FP277:GD277),AVERAGE(Captura!FP277:FY277)))</f>
        <v/>
      </c>
      <c r="CX277" s="138" t="e">
        <f>IF(VLOOKUP(CONCATENATE($H$4,$F$4,CX$2),Español!$A:$H,7,FALSE)=L277,1,0)</f>
        <v>#N/A</v>
      </c>
      <c r="CY277" s="138" t="e">
        <f>IF(VLOOKUP(CONCATENATE(H277,F277,CY$2),Español!$A:$H,7,FALSE)=M277,1,0)</f>
        <v>#N/A</v>
      </c>
      <c r="CZ277" s="138" t="e">
        <f>IF(VLOOKUP(CONCATENATE(H277,F277,CZ$2),Español!$A:$H,7,FALSE)=N277,1,0)</f>
        <v>#N/A</v>
      </c>
      <c r="DA277" s="138" t="e">
        <f>IF(VLOOKUP(CONCATENATE(H277,F277,DA$2),Español!$A:$H,7,FALSE)=O277,1,0)</f>
        <v>#N/A</v>
      </c>
      <c r="DB277" s="138" t="e">
        <f>IF(VLOOKUP(CONCATENATE(H277,F277,DB$2),Español!$A:$H,7,FALSE)=P277,1,0)</f>
        <v>#N/A</v>
      </c>
      <c r="DC277" s="138" t="e">
        <f>IF(VLOOKUP(CONCATENATE(H277,F277,DC$2),Español!$A:$H,7,FALSE)=Q277,1,0)</f>
        <v>#N/A</v>
      </c>
      <c r="DD277" s="138" t="e">
        <f>IF(VLOOKUP(CONCATENATE(H277,F277,DD$2),Español!$A:$H,7,FALSE)=R277,1,0)</f>
        <v>#N/A</v>
      </c>
      <c r="DE277" s="138" t="e">
        <f>IF(VLOOKUP(CONCATENATE(H277,F277,DE$2),Español!$A:$H,7,FALSE)=S277,1,0)</f>
        <v>#N/A</v>
      </c>
      <c r="DF277" s="138" t="e">
        <f>IF(VLOOKUP(CONCATENATE(H277,F277,DF$2),Español!$A:$H,7,FALSE)=T277,1,0)</f>
        <v>#N/A</v>
      </c>
      <c r="DG277" s="138" t="e">
        <f>IF(VLOOKUP(CONCATENATE(H277,F277,DG$2),Español!$A:$H,7,FALSE)=U277,1,0)</f>
        <v>#N/A</v>
      </c>
      <c r="DH277" s="138" t="e">
        <f>IF(VLOOKUP(CONCATENATE(H277,F277,DH$2),Español!$A:$H,7,FALSE)=V277,1,0)</f>
        <v>#N/A</v>
      </c>
      <c r="DI277" s="138" t="e">
        <f>IF(VLOOKUP(CONCATENATE(H277,F277,DI$2),Español!$A:$H,7,FALSE)=W277,1,0)</f>
        <v>#N/A</v>
      </c>
      <c r="DJ277" s="138" t="e">
        <f>IF(VLOOKUP(CONCATENATE(H277,F277,DJ$2),Español!$A:$H,7,FALSE)=X277,1,0)</f>
        <v>#N/A</v>
      </c>
      <c r="DK277" s="138" t="e">
        <f>IF(VLOOKUP(CONCATENATE(H277,F277,DK$2),Español!$A:$H,7,FALSE)=Y277,1,0)</f>
        <v>#N/A</v>
      </c>
      <c r="DL277" s="138" t="e">
        <f>IF(VLOOKUP(CONCATENATE(H277,F277,DL$2),Español!$A:$H,7,FALSE)=Z277,1,0)</f>
        <v>#N/A</v>
      </c>
      <c r="DM277" s="138" t="e">
        <f>IF(VLOOKUP(CONCATENATE(H277,F277,DM$2),Español!$A:$H,7,FALSE)=AA277,1,0)</f>
        <v>#N/A</v>
      </c>
      <c r="DN277" s="138" t="e">
        <f>IF(VLOOKUP(CONCATENATE(H277,F277,DN$2),Español!$A:$H,7,FALSE)=AB277,1,0)</f>
        <v>#N/A</v>
      </c>
      <c r="DO277" s="138" t="e">
        <f>IF(VLOOKUP(CONCATENATE(H277,F277,DO$2),Español!$A:$H,7,FALSE)=AC277,1,0)</f>
        <v>#N/A</v>
      </c>
      <c r="DP277" s="138" t="e">
        <f>IF(VLOOKUP(CONCATENATE(H277,F277,DP$2),Español!$A:$H,7,FALSE)=AD277,1,0)</f>
        <v>#N/A</v>
      </c>
      <c r="DQ277" s="138" t="e">
        <f>IF(VLOOKUP(CONCATENATE(H277,F277,DQ$2),Español!$A:$H,7,FALSE)=AE277,1,0)</f>
        <v>#N/A</v>
      </c>
      <c r="DR277" s="138" t="e">
        <f>IF(VLOOKUP(CONCATENATE(H277,F277,DR$2),Inglés!$A:$H,7,FALSE)=AF277,1,0)</f>
        <v>#N/A</v>
      </c>
      <c r="DS277" s="138" t="e">
        <f>IF(VLOOKUP(CONCATENATE(H277,F277,DS$2),Inglés!$A:$H,7,FALSE)=AG277,1,0)</f>
        <v>#N/A</v>
      </c>
      <c r="DT277" s="138" t="e">
        <f>IF(VLOOKUP(CONCATENATE(H277,F277,DT$2),Inglés!$A:$H,7,FALSE)=AH277,1,0)</f>
        <v>#N/A</v>
      </c>
      <c r="DU277" s="138" t="e">
        <f>IF(VLOOKUP(CONCATENATE(H277,F277,DU$2),Inglés!$A:$H,7,FALSE)=AI277,1,0)</f>
        <v>#N/A</v>
      </c>
      <c r="DV277" s="138" t="e">
        <f>IF(VLOOKUP(CONCATENATE(H277,F277,DV$2),Inglés!$A:$H,7,FALSE)=AJ277,1,0)</f>
        <v>#N/A</v>
      </c>
      <c r="DW277" s="138" t="e">
        <f>IF(VLOOKUP(CONCATENATE(H277,F277,DW$2),Inglés!$A:$H,7,FALSE)=AK277,1,0)</f>
        <v>#N/A</v>
      </c>
      <c r="DX277" s="138" t="e">
        <f>IF(VLOOKUP(CONCATENATE(H277,F277,DX$2),Inglés!$A:$H,7,FALSE)=AL277,1,0)</f>
        <v>#N/A</v>
      </c>
      <c r="DY277" s="138" t="e">
        <f>IF(VLOOKUP(CONCATENATE(H277,F277,DY$2),Inglés!$A:$H,7,FALSE)=AM277,1,0)</f>
        <v>#N/A</v>
      </c>
      <c r="DZ277" s="138" t="e">
        <f>IF(VLOOKUP(CONCATENATE(H277,F277,DZ$2),Inglés!$A:$H,7,FALSE)=AN277,1,0)</f>
        <v>#N/A</v>
      </c>
      <c r="EA277" s="138" t="e">
        <f>IF(VLOOKUP(CONCATENATE(H277,F277,EA$2),Inglés!$A:$H,7,FALSE)=AO277,1,0)</f>
        <v>#N/A</v>
      </c>
      <c r="EB277" s="138" t="e">
        <f>IF(VLOOKUP(CONCATENATE(H277,F277,EB$2),Matemáticas!$A:$H,7,FALSE)=AP277,1,0)</f>
        <v>#N/A</v>
      </c>
      <c r="EC277" s="138" t="e">
        <f>IF(VLOOKUP(CONCATENATE(H277,F277,EC$2),Matemáticas!$A:$H,7,FALSE)=AQ277,1,0)</f>
        <v>#N/A</v>
      </c>
      <c r="ED277" s="138" t="e">
        <f>IF(VLOOKUP(CONCATENATE(H277,F277,ED$2),Matemáticas!$A:$H,7,FALSE)=AR277,1,0)</f>
        <v>#N/A</v>
      </c>
      <c r="EE277" s="138" t="e">
        <f>IF(VLOOKUP(CONCATENATE(H277,F277,EE$2),Matemáticas!$A:$H,7,FALSE)=AS277,1,0)</f>
        <v>#N/A</v>
      </c>
      <c r="EF277" s="138" t="e">
        <f>IF(VLOOKUP(CONCATENATE(H277,F277,EF$2),Matemáticas!$A:$H,7,FALSE)=AT277,1,0)</f>
        <v>#N/A</v>
      </c>
      <c r="EG277" s="138" t="e">
        <f>IF(VLOOKUP(CONCATENATE(H277,F277,EG$2),Matemáticas!$A:$H,7,FALSE)=AU277,1,0)</f>
        <v>#N/A</v>
      </c>
      <c r="EH277" s="138" t="e">
        <f>IF(VLOOKUP(CONCATENATE(H277,F277,EH$2),Matemáticas!$A:$H,7,FALSE)=AV277,1,0)</f>
        <v>#N/A</v>
      </c>
      <c r="EI277" s="138" t="e">
        <f>IF(VLOOKUP(CONCATENATE(H277,F277,EI$2),Matemáticas!$A:$H,7,FALSE)=AW277,1,0)</f>
        <v>#N/A</v>
      </c>
      <c r="EJ277" s="138" t="e">
        <f>IF(VLOOKUP(CONCATENATE(H277,F277,EJ$2),Matemáticas!$A:$H,7,FALSE)=AX277,1,0)</f>
        <v>#N/A</v>
      </c>
      <c r="EK277" s="138" t="e">
        <f>IF(VLOOKUP(CONCATENATE(H277,F277,EK$2),Matemáticas!$A:$H,7,FALSE)=AY277,1,0)</f>
        <v>#N/A</v>
      </c>
      <c r="EL277" s="138" t="e">
        <f>IF(VLOOKUP(CONCATENATE(H277,F277,EL$2),Matemáticas!$A:$H,7,FALSE)=AZ277,1,0)</f>
        <v>#N/A</v>
      </c>
      <c r="EM277" s="138" t="e">
        <f>IF(VLOOKUP(CONCATENATE(H277,F277,EM$2),Matemáticas!$A:$H,7,FALSE)=BA277,1,0)</f>
        <v>#N/A</v>
      </c>
      <c r="EN277" s="138" t="e">
        <f>IF(VLOOKUP(CONCATENATE(H277,F277,EN$2),Matemáticas!$A:$H,7,FALSE)=BB277,1,0)</f>
        <v>#N/A</v>
      </c>
      <c r="EO277" s="138" t="e">
        <f>IF(VLOOKUP(CONCATENATE(H277,F277,EO$2),Matemáticas!$A:$H,7,FALSE)=BC277,1,0)</f>
        <v>#N/A</v>
      </c>
      <c r="EP277" s="138" t="e">
        <f>IF(VLOOKUP(CONCATENATE(H277,F277,EP$2),Matemáticas!$A:$H,7,FALSE)=BD277,1,0)</f>
        <v>#N/A</v>
      </c>
      <c r="EQ277" s="138" t="e">
        <f>IF(VLOOKUP(CONCATENATE(H277,F277,EQ$2),Matemáticas!$A:$H,7,FALSE)=BE277,1,0)</f>
        <v>#N/A</v>
      </c>
      <c r="ER277" s="138" t="e">
        <f>IF(VLOOKUP(CONCATENATE(H277,F277,ER$2),Matemáticas!$A:$H,7,FALSE)=BF277,1,0)</f>
        <v>#N/A</v>
      </c>
      <c r="ES277" s="138" t="e">
        <f>IF(VLOOKUP(CONCATENATE(H277,F277,ES$2),Matemáticas!$A:$H,7,FALSE)=BG277,1,0)</f>
        <v>#N/A</v>
      </c>
      <c r="ET277" s="138" t="e">
        <f>IF(VLOOKUP(CONCATENATE(H277,F277,ET$2),Matemáticas!$A:$H,7,FALSE)=BH277,1,0)</f>
        <v>#N/A</v>
      </c>
      <c r="EU277" s="138" t="e">
        <f>IF(VLOOKUP(CONCATENATE(H277,F277,EU$2),Matemáticas!$A:$H,7,FALSE)=BI277,1,0)</f>
        <v>#N/A</v>
      </c>
      <c r="EV277" s="138" t="e">
        <f>IF(VLOOKUP(CONCATENATE(H277,F277,EV$2),Ciencias!$A:$H,7,FALSE)=BJ277,1,0)</f>
        <v>#N/A</v>
      </c>
      <c r="EW277" s="138" t="e">
        <f>IF(VLOOKUP(CONCATENATE(H277,F277,EW$2),Ciencias!$A:$H,7,FALSE)=BK277,1,0)</f>
        <v>#N/A</v>
      </c>
      <c r="EX277" s="138" t="e">
        <f>IF(VLOOKUP(CONCATENATE(H277,F277,EX$2),Ciencias!$A:$H,7,FALSE)=BL277,1,0)</f>
        <v>#N/A</v>
      </c>
      <c r="EY277" s="138" t="e">
        <f>IF(VLOOKUP(CONCATENATE(H277,F277,EY$2),Ciencias!$A:$H,7,FALSE)=BM277,1,0)</f>
        <v>#N/A</v>
      </c>
      <c r="EZ277" s="138" t="e">
        <f>IF(VLOOKUP(CONCATENATE(H277,F277,EZ$2),Ciencias!$A:$H,7,FALSE)=BN277,1,0)</f>
        <v>#N/A</v>
      </c>
      <c r="FA277" s="138" t="e">
        <f>IF(VLOOKUP(CONCATENATE(H277,F277,FA$2),Ciencias!$A:$H,7,FALSE)=BO277,1,0)</f>
        <v>#N/A</v>
      </c>
      <c r="FB277" s="138" t="e">
        <f>IF(VLOOKUP(CONCATENATE(H277,F277,FB$2),Ciencias!$A:$H,7,FALSE)=BP277,1,0)</f>
        <v>#N/A</v>
      </c>
      <c r="FC277" s="138" t="e">
        <f>IF(VLOOKUP(CONCATENATE(H277,F277,FC$2),Ciencias!$A:$H,7,FALSE)=BQ277,1,0)</f>
        <v>#N/A</v>
      </c>
      <c r="FD277" s="138" t="e">
        <f>IF(VLOOKUP(CONCATENATE(H277,F277,FD$2),Ciencias!$A:$H,7,FALSE)=BR277,1,0)</f>
        <v>#N/A</v>
      </c>
      <c r="FE277" s="138" t="e">
        <f>IF(VLOOKUP(CONCATENATE(H277,F277,FE$2),Ciencias!$A:$H,7,FALSE)=BS277,1,0)</f>
        <v>#N/A</v>
      </c>
      <c r="FF277" s="138" t="e">
        <f>IF(VLOOKUP(CONCATENATE(H277,F277,FF$2),Ciencias!$A:$H,7,FALSE)=BT277,1,0)</f>
        <v>#N/A</v>
      </c>
      <c r="FG277" s="138" t="e">
        <f>IF(VLOOKUP(CONCATENATE(H277,F277,FG$2),Ciencias!$A:$H,7,FALSE)=BU277,1,0)</f>
        <v>#N/A</v>
      </c>
      <c r="FH277" s="138" t="e">
        <f>IF(VLOOKUP(CONCATENATE(H277,F277,FH$2),Ciencias!$A:$H,7,FALSE)=BV277,1,0)</f>
        <v>#N/A</v>
      </c>
      <c r="FI277" s="138" t="e">
        <f>IF(VLOOKUP(CONCATENATE(H277,F277,FI$2),Ciencias!$A:$H,7,FALSE)=BW277,1,0)</f>
        <v>#N/A</v>
      </c>
      <c r="FJ277" s="138" t="e">
        <f>IF(VLOOKUP(CONCATENATE(H277,F277,FJ$2),Ciencias!$A:$H,7,FALSE)=BX277,1,0)</f>
        <v>#N/A</v>
      </c>
      <c r="FK277" s="138" t="e">
        <f>IF(VLOOKUP(CONCATENATE(H277,F277,FK$2),Ciencias!$A:$H,7,FALSE)=BY277,1,0)</f>
        <v>#N/A</v>
      </c>
      <c r="FL277" s="138" t="e">
        <f>IF(VLOOKUP(CONCATENATE(H277,F277,FL$2),Ciencias!$A:$H,7,FALSE)=BZ277,1,0)</f>
        <v>#N/A</v>
      </c>
      <c r="FM277" s="138" t="e">
        <f>IF(VLOOKUP(CONCATENATE(H277,F277,FM$2),Ciencias!$A:$H,7,FALSE)=CA277,1,0)</f>
        <v>#N/A</v>
      </c>
      <c r="FN277" s="138" t="e">
        <f>IF(VLOOKUP(CONCATENATE(H277,F277,FN$2),Ciencias!$A:$H,7,FALSE)=CB277,1,0)</f>
        <v>#N/A</v>
      </c>
      <c r="FO277" s="138" t="e">
        <f>IF(VLOOKUP(CONCATENATE(H277,F277,FO$2),Ciencias!$A:$H,7,FALSE)=CC277,1,0)</f>
        <v>#N/A</v>
      </c>
      <c r="FP277" s="138" t="e">
        <f>IF(VLOOKUP(CONCATENATE(H277,F277,FP$2),GeoHis!$A:$H,7,FALSE)=CD277,1,0)</f>
        <v>#N/A</v>
      </c>
      <c r="FQ277" s="138" t="e">
        <f>IF(VLOOKUP(CONCATENATE(H277,F277,FQ$2),GeoHis!$A:$H,7,FALSE)=CE277,1,0)</f>
        <v>#N/A</v>
      </c>
      <c r="FR277" s="138" t="e">
        <f>IF(VLOOKUP(CONCATENATE(H277,F277,FR$2),GeoHis!$A:$H,7,FALSE)=CF277,1,0)</f>
        <v>#N/A</v>
      </c>
      <c r="FS277" s="138" t="e">
        <f>IF(VLOOKUP(CONCATENATE(H277,F277,FS$2),GeoHis!$A:$H,7,FALSE)=CG277,1,0)</f>
        <v>#N/A</v>
      </c>
      <c r="FT277" s="138" t="e">
        <f>IF(VLOOKUP(CONCATENATE(H277,F277,FT$2),GeoHis!$A:$H,7,FALSE)=CH277,1,0)</f>
        <v>#N/A</v>
      </c>
      <c r="FU277" s="138" t="e">
        <f>IF(VLOOKUP(CONCATENATE(H277,F277,FU$2),GeoHis!$A:$H,7,FALSE)=CI277,1,0)</f>
        <v>#N/A</v>
      </c>
      <c r="FV277" s="138" t="e">
        <f>IF(VLOOKUP(CONCATENATE(H277,F277,FV$2),GeoHis!$A:$H,7,FALSE)=CJ277,1,0)</f>
        <v>#N/A</v>
      </c>
      <c r="FW277" s="138" t="e">
        <f>IF(VLOOKUP(CONCATENATE(H277,F277,FW$2),GeoHis!$A:$H,7,FALSE)=CK277,1,0)</f>
        <v>#N/A</v>
      </c>
      <c r="FX277" s="138" t="e">
        <f>IF(VLOOKUP(CONCATENATE(H277,F277,FX$2),GeoHis!$A:$H,7,FALSE)=CL277,1,0)</f>
        <v>#N/A</v>
      </c>
      <c r="FY277" s="138" t="e">
        <f>IF(VLOOKUP(CONCATENATE(H277,F277,FY$2),GeoHis!$A:$H,7,FALSE)=CM277,1,0)</f>
        <v>#N/A</v>
      </c>
      <c r="FZ277" s="138" t="e">
        <f>IF(VLOOKUP(CONCATENATE(H277,F277,FZ$2),GeoHis!$A:$H,7,FALSE)=CN277,1,0)</f>
        <v>#N/A</v>
      </c>
      <c r="GA277" s="138" t="e">
        <f>IF(VLOOKUP(CONCATENATE(H277,F277,GA$2),GeoHis!$A:$H,7,FALSE)=CO277,1,0)</f>
        <v>#N/A</v>
      </c>
      <c r="GB277" s="138" t="e">
        <f>IF(VLOOKUP(CONCATENATE(H277,F277,GB$2),GeoHis!$A:$H,7,FALSE)=CP277,1,0)</f>
        <v>#N/A</v>
      </c>
      <c r="GC277" s="138" t="e">
        <f>IF(VLOOKUP(CONCATENATE(H277,F277,GC$2),GeoHis!$A:$H,7,FALSE)=CQ277,1,0)</f>
        <v>#N/A</v>
      </c>
      <c r="GD277" s="138" t="e">
        <f>IF(VLOOKUP(CONCATENATE(H277,F277,GD$2),GeoHis!$A:$H,7,FALSE)=CR277,1,0)</f>
        <v>#N/A</v>
      </c>
      <c r="GE277" s="135" t="str">
        <f t="shared" si="39"/>
        <v/>
      </c>
    </row>
    <row r="278" spans="1:187" x14ac:dyDescent="0.25">
      <c r="A278" s="127" t="str">
        <f>IF(C278="","",'Datos Generales'!$A$25)</f>
        <v/>
      </c>
      <c r="D278" s="126" t="str">
        <f t="shared" si="32"/>
        <v/>
      </c>
      <c r="E278" s="126">
        <f t="shared" si="33"/>
        <v>0</v>
      </c>
      <c r="F278" s="126" t="str">
        <f t="shared" si="34"/>
        <v/>
      </c>
      <c r="G278" s="126" t="str">
        <f>IF(C278="","",'Datos Generales'!$D$19)</f>
        <v/>
      </c>
      <c r="H278" s="21" t="str">
        <f>IF(C278="","",'Datos Generales'!$A$19)</f>
        <v/>
      </c>
      <c r="I278" s="126" t="str">
        <f>IF(C278="","",'Datos Generales'!$A$7)</f>
        <v/>
      </c>
      <c r="J278" s="21" t="str">
        <f>IF(C278="","",'Datos Generales'!$A$13)</f>
        <v/>
      </c>
      <c r="K278" s="21" t="str">
        <f>IF(C278="","",'Datos Generales'!$A$10)</f>
        <v/>
      </c>
      <c r="CS278" s="142" t="str">
        <f t="shared" si="35"/>
        <v/>
      </c>
      <c r="CT278" s="142" t="str">
        <f t="shared" si="36"/>
        <v/>
      </c>
      <c r="CU278" s="142" t="str">
        <f t="shared" si="37"/>
        <v/>
      </c>
      <c r="CV278" s="142" t="str">
        <f t="shared" si="38"/>
        <v/>
      </c>
      <c r="CW278" s="142" t="str">
        <f>IF(C278="","",IF('Datos Generales'!$A$19=1,AVERAGE(FP278:GD278),AVERAGE(Captura!FP278:FY278)))</f>
        <v/>
      </c>
      <c r="CX278" s="138" t="e">
        <f>IF(VLOOKUP(CONCATENATE($H$4,$F$4,CX$2),Español!$A:$H,7,FALSE)=L278,1,0)</f>
        <v>#N/A</v>
      </c>
      <c r="CY278" s="138" t="e">
        <f>IF(VLOOKUP(CONCATENATE(H278,F278,CY$2),Español!$A:$H,7,FALSE)=M278,1,0)</f>
        <v>#N/A</v>
      </c>
      <c r="CZ278" s="138" t="e">
        <f>IF(VLOOKUP(CONCATENATE(H278,F278,CZ$2),Español!$A:$H,7,FALSE)=N278,1,0)</f>
        <v>#N/A</v>
      </c>
      <c r="DA278" s="138" t="e">
        <f>IF(VLOOKUP(CONCATENATE(H278,F278,DA$2),Español!$A:$H,7,FALSE)=O278,1,0)</f>
        <v>#N/A</v>
      </c>
      <c r="DB278" s="138" t="e">
        <f>IF(VLOOKUP(CONCATENATE(H278,F278,DB$2),Español!$A:$H,7,FALSE)=P278,1,0)</f>
        <v>#N/A</v>
      </c>
      <c r="DC278" s="138" t="e">
        <f>IF(VLOOKUP(CONCATENATE(H278,F278,DC$2),Español!$A:$H,7,FALSE)=Q278,1,0)</f>
        <v>#N/A</v>
      </c>
      <c r="DD278" s="138" t="e">
        <f>IF(VLOOKUP(CONCATENATE(H278,F278,DD$2),Español!$A:$H,7,FALSE)=R278,1,0)</f>
        <v>#N/A</v>
      </c>
      <c r="DE278" s="138" t="e">
        <f>IF(VLOOKUP(CONCATENATE(H278,F278,DE$2),Español!$A:$H,7,FALSE)=S278,1,0)</f>
        <v>#N/A</v>
      </c>
      <c r="DF278" s="138" t="e">
        <f>IF(VLOOKUP(CONCATENATE(H278,F278,DF$2),Español!$A:$H,7,FALSE)=T278,1,0)</f>
        <v>#N/A</v>
      </c>
      <c r="DG278" s="138" t="e">
        <f>IF(VLOOKUP(CONCATENATE(H278,F278,DG$2),Español!$A:$H,7,FALSE)=U278,1,0)</f>
        <v>#N/A</v>
      </c>
      <c r="DH278" s="138" t="e">
        <f>IF(VLOOKUP(CONCATENATE(H278,F278,DH$2),Español!$A:$H,7,FALSE)=V278,1,0)</f>
        <v>#N/A</v>
      </c>
      <c r="DI278" s="138" t="e">
        <f>IF(VLOOKUP(CONCATENATE(H278,F278,DI$2),Español!$A:$H,7,FALSE)=W278,1,0)</f>
        <v>#N/A</v>
      </c>
      <c r="DJ278" s="138" t="e">
        <f>IF(VLOOKUP(CONCATENATE(H278,F278,DJ$2),Español!$A:$H,7,FALSE)=X278,1,0)</f>
        <v>#N/A</v>
      </c>
      <c r="DK278" s="138" t="e">
        <f>IF(VLOOKUP(CONCATENATE(H278,F278,DK$2),Español!$A:$H,7,FALSE)=Y278,1,0)</f>
        <v>#N/A</v>
      </c>
      <c r="DL278" s="138" t="e">
        <f>IF(VLOOKUP(CONCATENATE(H278,F278,DL$2),Español!$A:$H,7,FALSE)=Z278,1,0)</f>
        <v>#N/A</v>
      </c>
      <c r="DM278" s="138" t="e">
        <f>IF(VLOOKUP(CONCATENATE(H278,F278,DM$2),Español!$A:$H,7,FALSE)=AA278,1,0)</f>
        <v>#N/A</v>
      </c>
      <c r="DN278" s="138" t="e">
        <f>IF(VLOOKUP(CONCATENATE(H278,F278,DN$2),Español!$A:$H,7,FALSE)=AB278,1,0)</f>
        <v>#N/A</v>
      </c>
      <c r="DO278" s="138" t="e">
        <f>IF(VLOOKUP(CONCATENATE(H278,F278,DO$2),Español!$A:$H,7,FALSE)=AC278,1,0)</f>
        <v>#N/A</v>
      </c>
      <c r="DP278" s="138" t="e">
        <f>IF(VLOOKUP(CONCATENATE(H278,F278,DP$2),Español!$A:$H,7,FALSE)=AD278,1,0)</f>
        <v>#N/A</v>
      </c>
      <c r="DQ278" s="138" t="e">
        <f>IF(VLOOKUP(CONCATENATE(H278,F278,DQ$2),Español!$A:$H,7,FALSE)=AE278,1,0)</f>
        <v>#N/A</v>
      </c>
      <c r="DR278" s="138" t="e">
        <f>IF(VLOOKUP(CONCATENATE(H278,F278,DR$2),Inglés!$A:$H,7,FALSE)=AF278,1,0)</f>
        <v>#N/A</v>
      </c>
      <c r="DS278" s="138" t="e">
        <f>IF(VLOOKUP(CONCATENATE(H278,F278,DS$2),Inglés!$A:$H,7,FALSE)=AG278,1,0)</f>
        <v>#N/A</v>
      </c>
      <c r="DT278" s="138" t="e">
        <f>IF(VLOOKUP(CONCATENATE(H278,F278,DT$2),Inglés!$A:$H,7,FALSE)=AH278,1,0)</f>
        <v>#N/A</v>
      </c>
      <c r="DU278" s="138" t="e">
        <f>IF(VLOOKUP(CONCATENATE(H278,F278,DU$2),Inglés!$A:$H,7,FALSE)=AI278,1,0)</f>
        <v>#N/A</v>
      </c>
      <c r="DV278" s="138" t="e">
        <f>IF(VLOOKUP(CONCATENATE(H278,F278,DV$2),Inglés!$A:$H,7,FALSE)=AJ278,1,0)</f>
        <v>#N/A</v>
      </c>
      <c r="DW278" s="138" t="e">
        <f>IF(VLOOKUP(CONCATENATE(H278,F278,DW$2),Inglés!$A:$H,7,FALSE)=AK278,1,0)</f>
        <v>#N/A</v>
      </c>
      <c r="DX278" s="138" t="e">
        <f>IF(VLOOKUP(CONCATENATE(H278,F278,DX$2),Inglés!$A:$H,7,FALSE)=AL278,1,0)</f>
        <v>#N/A</v>
      </c>
      <c r="DY278" s="138" t="e">
        <f>IF(VLOOKUP(CONCATENATE(H278,F278,DY$2),Inglés!$A:$H,7,FALSE)=AM278,1,0)</f>
        <v>#N/A</v>
      </c>
      <c r="DZ278" s="138" t="e">
        <f>IF(VLOOKUP(CONCATENATE(H278,F278,DZ$2),Inglés!$A:$H,7,FALSE)=AN278,1,0)</f>
        <v>#N/A</v>
      </c>
      <c r="EA278" s="138" t="e">
        <f>IF(VLOOKUP(CONCATENATE(H278,F278,EA$2),Inglés!$A:$H,7,FALSE)=AO278,1,0)</f>
        <v>#N/A</v>
      </c>
      <c r="EB278" s="138" t="e">
        <f>IF(VLOOKUP(CONCATENATE(H278,F278,EB$2),Matemáticas!$A:$H,7,FALSE)=AP278,1,0)</f>
        <v>#N/A</v>
      </c>
      <c r="EC278" s="138" t="e">
        <f>IF(VLOOKUP(CONCATENATE(H278,F278,EC$2),Matemáticas!$A:$H,7,FALSE)=AQ278,1,0)</f>
        <v>#N/A</v>
      </c>
      <c r="ED278" s="138" t="e">
        <f>IF(VLOOKUP(CONCATENATE(H278,F278,ED$2),Matemáticas!$A:$H,7,FALSE)=AR278,1,0)</f>
        <v>#N/A</v>
      </c>
      <c r="EE278" s="138" t="e">
        <f>IF(VLOOKUP(CONCATENATE(H278,F278,EE$2),Matemáticas!$A:$H,7,FALSE)=AS278,1,0)</f>
        <v>#N/A</v>
      </c>
      <c r="EF278" s="138" t="e">
        <f>IF(VLOOKUP(CONCATENATE(H278,F278,EF$2),Matemáticas!$A:$H,7,FALSE)=AT278,1,0)</f>
        <v>#N/A</v>
      </c>
      <c r="EG278" s="138" t="e">
        <f>IF(VLOOKUP(CONCATENATE(H278,F278,EG$2),Matemáticas!$A:$H,7,FALSE)=AU278,1,0)</f>
        <v>#N/A</v>
      </c>
      <c r="EH278" s="138" t="e">
        <f>IF(VLOOKUP(CONCATENATE(H278,F278,EH$2),Matemáticas!$A:$H,7,FALSE)=AV278,1,0)</f>
        <v>#N/A</v>
      </c>
      <c r="EI278" s="138" t="e">
        <f>IF(VLOOKUP(CONCATENATE(H278,F278,EI$2),Matemáticas!$A:$H,7,FALSE)=AW278,1,0)</f>
        <v>#N/A</v>
      </c>
      <c r="EJ278" s="138" t="e">
        <f>IF(VLOOKUP(CONCATENATE(H278,F278,EJ$2),Matemáticas!$A:$H,7,FALSE)=AX278,1,0)</f>
        <v>#N/A</v>
      </c>
      <c r="EK278" s="138" t="e">
        <f>IF(VLOOKUP(CONCATENATE(H278,F278,EK$2),Matemáticas!$A:$H,7,FALSE)=AY278,1,0)</f>
        <v>#N/A</v>
      </c>
      <c r="EL278" s="138" t="e">
        <f>IF(VLOOKUP(CONCATENATE(H278,F278,EL$2),Matemáticas!$A:$H,7,FALSE)=AZ278,1,0)</f>
        <v>#N/A</v>
      </c>
      <c r="EM278" s="138" t="e">
        <f>IF(VLOOKUP(CONCATENATE(H278,F278,EM$2),Matemáticas!$A:$H,7,FALSE)=BA278,1,0)</f>
        <v>#N/A</v>
      </c>
      <c r="EN278" s="138" t="e">
        <f>IF(VLOOKUP(CONCATENATE(H278,F278,EN$2),Matemáticas!$A:$H,7,FALSE)=BB278,1,0)</f>
        <v>#N/A</v>
      </c>
      <c r="EO278" s="138" t="e">
        <f>IF(VLOOKUP(CONCATENATE(H278,F278,EO$2),Matemáticas!$A:$H,7,FALSE)=BC278,1,0)</f>
        <v>#N/A</v>
      </c>
      <c r="EP278" s="138" t="e">
        <f>IF(VLOOKUP(CONCATENATE(H278,F278,EP$2),Matemáticas!$A:$H,7,FALSE)=BD278,1,0)</f>
        <v>#N/A</v>
      </c>
      <c r="EQ278" s="138" t="e">
        <f>IF(VLOOKUP(CONCATENATE(H278,F278,EQ$2),Matemáticas!$A:$H,7,FALSE)=BE278,1,0)</f>
        <v>#N/A</v>
      </c>
      <c r="ER278" s="138" t="e">
        <f>IF(VLOOKUP(CONCATENATE(H278,F278,ER$2),Matemáticas!$A:$H,7,FALSE)=BF278,1,0)</f>
        <v>#N/A</v>
      </c>
      <c r="ES278" s="138" t="e">
        <f>IF(VLOOKUP(CONCATENATE(H278,F278,ES$2),Matemáticas!$A:$H,7,FALSE)=BG278,1,0)</f>
        <v>#N/A</v>
      </c>
      <c r="ET278" s="138" t="e">
        <f>IF(VLOOKUP(CONCATENATE(H278,F278,ET$2),Matemáticas!$A:$H,7,FALSE)=BH278,1,0)</f>
        <v>#N/A</v>
      </c>
      <c r="EU278" s="138" t="e">
        <f>IF(VLOOKUP(CONCATENATE(H278,F278,EU$2),Matemáticas!$A:$H,7,FALSE)=BI278,1,0)</f>
        <v>#N/A</v>
      </c>
      <c r="EV278" s="138" t="e">
        <f>IF(VLOOKUP(CONCATENATE(H278,F278,EV$2),Ciencias!$A:$H,7,FALSE)=BJ278,1,0)</f>
        <v>#N/A</v>
      </c>
      <c r="EW278" s="138" t="e">
        <f>IF(VLOOKUP(CONCATENATE(H278,F278,EW$2),Ciencias!$A:$H,7,FALSE)=BK278,1,0)</f>
        <v>#N/A</v>
      </c>
      <c r="EX278" s="138" t="e">
        <f>IF(VLOOKUP(CONCATENATE(H278,F278,EX$2),Ciencias!$A:$H,7,FALSE)=BL278,1,0)</f>
        <v>#N/A</v>
      </c>
      <c r="EY278" s="138" t="e">
        <f>IF(VLOOKUP(CONCATENATE(H278,F278,EY$2),Ciencias!$A:$H,7,FALSE)=BM278,1,0)</f>
        <v>#N/A</v>
      </c>
      <c r="EZ278" s="138" t="e">
        <f>IF(VLOOKUP(CONCATENATE(H278,F278,EZ$2),Ciencias!$A:$H,7,FALSE)=BN278,1,0)</f>
        <v>#N/A</v>
      </c>
      <c r="FA278" s="138" t="e">
        <f>IF(VLOOKUP(CONCATENATE(H278,F278,FA$2),Ciencias!$A:$H,7,FALSE)=BO278,1,0)</f>
        <v>#N/A</v>
      </c>
      <c r="FB278" s="138" t="e">
        <f>IF(VLOOKUP(CONCATENATE(H278,F278,FB$2),Ciencias!$A:$H,7,FALSE)=BP278,1,0)</f>
        <v>#N/A</v>
      </c>
      <c r="FC278" s="138" t="e">
        <f>IF(VLOOKUP(CONCATENATE(H278,F278,FC$2),Ciencias!$A:$H,7,FALSE)=BQ278,1,0)</f>
        <v>#N/A</v>
      </c>
      <c r="FD278" s="138" t="e">
        <f>IF(VLOOKUP(CONCATENATE(H278,F278,FD$2),Ciencias!$A:$H,7,FALSE)=BR278,1,0)</f>
        <v>#N/A</v>
      </c>
      <c r="FE278" s="138" t="e">
        <f>IF(VLOOKUP(CONCATENATE(H278,F278,FE$2),Ciencias!$A:$H,7,FALSE)=BS278,1,0)</f>
        <v>#N/A</v>
      </c>
      <c r="FF278" s="138" t="e">
        <f>IF(VLOOKUP(CONCATENATE(H278,F278,FF$2),Ciencias!$A:$H,7,FALSE)=BT278,1,0)</f>
        <v>#N/A</v>
      </c>
      <c r="FG278" s="138" t="e">
        <f>IF(VLOOKUP(CONCATENATE(H278,F278,FG$2),Ciencias!$A:$H,7,FALSE)=BU278,1,0)</f>
        <v>#N/A</v>
      </c>
      <c r="FH278" s="138" t="e">
        <f>IF(VLOOKUP(CONCATENATE(H278,F278,FH$2),Ciencias!$A:$H,7,FALSE)=BV278,1,0)</f>
        <v>#N/A</v>
      </c>
      <c r="FI278" s="138" t="e">
        <f>IF(VLOOKUP(CONCATENATE(H278,F278,FI$2),Ciencias!$A:$H,7,FALSE)=BW278,1,0)</f>
        <v>#N/A</v>
      </c>
      <c r="FJ278" s="138" t="e">
        <f>IF(VLOOKUP(CONCATENATE(H278,F278,FJ$2),Ciencias!$A:$H,7,FALSE)=BX278,1,0)</f>
        <v>#N/A</v>
      </c>
      <c r="FK278" s="138" t="e">
        <f>IF(VLOOKUP(CONCATENATE(H278,F278,FK$2),Ciencias!$A:$H,7,FALSE)=BY278,1,0)</f>
        <v>#N/A</v>
      </c>
      <c r="FL278" s="138" t="e">
        <f>IF(VLOOKUP(CONCATENATE(H278,F278,FL$2),Ciencias!$A:$H,7,FALSE)=BZ278,1,0)</f>
        <v>#N/A</v>
      </c>
      <c r="FM278" s="138" t="e">
        <f>IF(VLOOKUP(CONCATENATE(H278,F278,FM$2),Ciencias!$A:$H,7,FALSE)=CA278,1,0)</f>
        <v>#N/A</v>
      </c>
      <c r="FN278" s="138" t="e">
        <f>IF(VLOOKUP(CONCATENATE(H278,F278,FN$2),Ciencias!$A:$H,7,FALSE)=CB278,1,0)</f>
        <v>#N/A</v>
      </c>
      <c r="FO278" s="138" t="e">
        <f>IF(VLOOKUP(CONCATENATE(H278,F278,FO$2),Ciencias!$A:$H,7,FALSE)=CC278,1,0)</f>
        <v>#N/A</v>
      </c>
      <c r="FP278" s="138" t="e">
        <f>IF(VLOOKUP(CONCATENATE(H278,F278,FP$2),GeoHis!$A:$H,7,FALSE)=CD278,1,0)</f>
        <v>#N/A</v>
      </c>
      <c r="FQ278" s="138" t="e">
        <f>IF(VLOOKUP(CONCATENATE(H278,F278,FQ$2),GeoHis!$A:$H,7,FALSE)=CE278,1,0)</f>
        <v>#N/A</v>
      </c>
      <c r="FR278" s="138" t="e">
        <f>IF(VLOOKUP(CONCATENATE(H278,F278,FR$2),GeoHis!$A:$H,7,FALSE)=CF278,1,0)</f>
        <v>#N/A</v>
      </c>
      <c r="FS278" s="138" t="e">
        <f>IF(VLOOKUP(CONCATENATE(H278,F278,FS$2),GeoHis!$A:$H,7,FALSE)=CG278,1,0)</f>
        <v>#N/A</v>
      </c>
      <c r="FT278" s="138" t="e">
        <f>IF(VLOOKUP(CONCATENATE(H278,F278,FT$2),GeoHis!$A:$H,7,FALSE)=CH278,1,0)</f>
        <v>#N/A</v>
      </c>
      <c r="FU278" s="138" t="e">
        <f>IF(VLOOKUP(CONCATENATE(H278,F278,FU$2),GeoHis!$A:$H,7,FALSE)=CI278,1,0)</f>
        <v>#N/A</v>
      </c>
      <c r="FV278" s="138" t="e">
        <f>IF(VLOOKUP(CONCATENATE(H278,F278,FV$2),GeoHis!$A:$H,7,FALSE)=CJ278,1,0)</f>
        <v>#N/A</v>
      </c>
      <c r="FW278" s="138" t="e">
        <f>IF(VLOOKUP(CONCATENATE(H278,F278,FW$2),GeoHis!$A:$H,7,FALSE)=CK278,1,0)</f>
        <v>#N/A</v>
      </c>
      <c r="FX278" s="138" t="e">
        <f>IF(VLOOKUP(CONCATENATE(H278,F278,FX$2),GeoHis!$A:$H,7,FALSE)=CL278,1,0)</f>
        <v>#N/A</v>
      </c>
      <c r="FY278" s="138" t="e">
        <f>IF(VLOOKUP(CONCATENATE(H278,F278,FY$2),GeoHis!$A:$H,7,FALSE)=CM278,1,0)</f>
        <v>#N/A</v>
      </c>
      <c r="FZ278" s="138" t="e">
        <f>IF(VLOOKUP(CONCATENATE(H278,F278,FZ$2),GeoHis!$A:$H,7,FALSE)=CN278,1,0)</f>
        <v>#N/A</v>
      </c>
      <c r="GA278" s="138" t="e">
        <f>IF(VLOOKUP(CONCATENATE(H278,F278,GA$2),GeoHis!$A:$H,7,FALSE)=CO278,1,0)</f>
        <v>#N/A</v>
      </c>
      <c r="GB278" s="138" t="e">
        <f>IF(VLOOKUP(CONCATENATE(H278,F278,GB$2),GeoHis!$A:$H,7,FALSE)=CP278,1,0)</f>
        <v>#N/A</v>
      </c>
      <c r="GC278" s="138" t="e">
        <f>IF(VLOOKUP(CONCATENATE(H278,F278,GC$2),GeoHis!$A:$H,7,FALSE)=CQ278,1,0)</f>
        <v>#N/A</v>
      </c>
      <c r="GD278" s="138" t="e">
        <f>IF(VLOOKUP(CONCATENATE(H278,F278,GD$2),GeoHis!$A:$H,7,FALSE)=CR278,1,0)</f>
        <v>#N/A</v>
      </c>
      <c r="GE278" s="135" t="str">
        <f t="shared" si="39"/>
        <v/>
      </c>
    </row>
    <row r="279" spans="1:187" x14ac:dyDescent="0.25">
      <c r="A279" s="127" t="str">
        <f>IF(C279="","",'Datos Generales'!$A$25)</f>
        <v/>
      </c>
      <c r="D279" s="126" t="str">
        <f t="shared" si="32"/>
        <v/>
      </c>
      <c r="E279" s="126">
        <f t="shared" si="33"/>
        <v>0</v>
      </c>
      <c r="F279" s="126" t="str">
        <f t="shared" si="34"/>
        <v/>
      </c>
      <c r="G279" s="126" t="str">
        <f>IF(C279="","",'Datos Generales'!$D$19)</f>
        <v/>
      </c>
      <c r="H279" s="21" t="str">
        <f>IF(C279="","",'Datos Generales'!$A$19)</f>
        <v/>
      </c>
      <c r="I279" s="126" t="str">
        <f>IF(C279="","",'Datos Generales'!$A$7)</f>
        <v/>
      </c>
      <c r="J279" s="21" t="str">
        <f>IF(C279="","",'Datos Generales'!$A$13)</f>
        <v/>
      </c>
      <c r="K279" s="21" t="str">
        <f>IF(C279="","",'Datos Generales'!$A$10)</f>
        <v/>
      </c>
      <c r="CS279" s="142" t="str">
        <f t="shared" si="35"/>
        <v/>
      </c>
      <c r="CT279" s="142" t="str">
        <f t="shared" si="36"/>
        <v/>
      </c>
      <c r="CU279" s="142" t="str">
        <f t="shared" si="37"/>
        <v/>
      </c>
      <c r="CV279" s="142" t="str">
        <f t="shared" si="38"/>
        <v/>
      </c>
      <c r="CW279" s="142" t="str">
        <f>IF(C279="","",IF('Datos Generales'!$A$19=1,AVERAGE(FP279:GD279),AVERAGE(Captura!FP279:FY279)))</f>
        <v/>
      </c>
      <c r="CX279" s="138" t="e">
        <f>IF(VLOOKUP(CONCATENATE($H$4,$F$4,CX$2),Español!$A:$H,7,FALSE)=L279,1,0)</f>
        <v>#N/A</v>
      </c>
      <c r="CY279" s="138" t="e">
        <f>IF(VLOOKUP(CONCATENATE(H279,F279,CY$2),Español!$A:$H,7,FALSE)=M279,1,0)</f>
        <v>#N/A</v>
      </c>
      <c r="CZ279" s="138" t="e">
        <f>IF(VLOOKUP(CONCATENATE(H279,F279,CZ$2),Español!$A:$H,7,FALSE)=N279,1,0)</f>
        <v>#N/A</v>
      </c>
      <c r="DA279" s="138" t="e">
        <f>IF(VLOOKUP(CONCATENATE(H279,F279,DA$2),Español!$A:$H,7,FALSE)=O279,1,0)</f>
        <v>#N/A</v>
      </c>
      <c r="DB279" s="138" t="e">
        <f>IF(VLOOKUP(CONCATENATE(H279,F279,DB$2),Español!$A:$H,7,FALSE)=P279,1,0)</f>
        <v>#N/A</v>
      </c>
      <c r="DC279" s="138" t="e">
        <f>IF(VLOOKUP(CONCATENATE(H279,F279,DC$2),Español!$A:$H,7,FALSE)=Q279,1,0)</f>
        <v>#N/A</v>
      </c>
      <c r="DD279" s="138" t="e">
        <f>IF(VLOOKUP(CONCATENATE(H279,F279,DD$2),Español!$A:$H,7,FALSE)=R279,1,0)</f>
        <v>#N/A</v>
      </c>
      <c r="DE279" s="138" t="e">
        <f>IF(VLOOKUP(CONCATENATE(H279,F279,DE$2),Español!$A:$H,7,FALSE)=S279,1,0)</f>
        <v>#N/A</v>
      </c>
      <c r="DF279" s="138" t="e">
        <f>IF(VLOOKUP(CONCATENATE(H279,F279,DF$2),Español!$A:$H,7,FALSE)=T279,1,0)</f>
        <v>#N/A</v>
      </c>
      <c r="DG279" s="138" t="e">
        <f>IF(VLOOKUP(CONCATENATE(H279,F279,DG$2),Español!$A:$H,7,FALSE)=U279,1,0)</f>
        <v>#N/A</v>
      </c>
      <c r="DH279" s="138" t="e">
        <f>IF(VLOOKUP(CONCATENATE(H279,F279,DH$2),Español!$A:$H,7,FALSE)=V279,1,0)</f>
        <v>#N/A</v>
      </c>
      <c r="DI279" s="138" t="e">
        <f>IF(VLOOKUP(CONCATENATE(H279,F279,DI$2),Español!$A:$H,7,FALSE)=W279,1,0)</f>
        <v>#N/A</v>
      </c>
      <c r="DJ279" s="138" t="e">
        <f>IF(VLOOKUP(CONCATENATE(H279,F279,DJ$2),Español!$A:$H,7,FALSE)=X279,1,0)</f>
        <v>#N/A</v>
      </c>
      <c r="DK279" s="138" t="e">
        <f>IF(VLOOKUP(CONCATENATE(H279,F279,DK$2),Español!$A:$H,7,FALSE)=Y279,1,0)</f>
        <v>#N/A</v>
      </c>
      <c r="DL279" s="138" t="e">
        <f>IF(VLOOKUP(CONCATENATE(H279,F279,DL$2),Español!$A:$H,7,FALSE)=Z279,1,0)</f>
        <v>#N/A</v>
      </c>
      <c r="DM279" s="138" t="e">
        <f>IF(VLOOKUP(CONCATENATE(H279,F279,DM$2),Español!$A:$H,7,FALSE)=AA279,1,0)</f>
        <v>#N/A</v>
      </c>
      <c r="DN279" s="138" t="e">
        <f>IF(VLOOKUP(CONCATENATE(H279,F279,DN$2),Español!$A:$H,7,FALSE)=AB279,1,0)</f>
        <v>#N/A</v>
      </c>
      <c r="DO279" s="138" t="e">
        <f>IF(VLOOKUP(CONCATENATE(H279,F279,DO$2),Español!$A:$H,7,FALSE)=AC279,1,0)</f>
        <v>#N/A</v>
      </c>
      <c r="DP279" s="138" t="e">
        <f>IF(VLOOKUP(CONCATENATE(H279,F279,DP$2),Español!$A:$H,7,FALSE)=AD279,1,0)</f>
        <v>#N/A</v>
      </c>
      <c r="DQ279" s="138" t="e">
        <f>IF(VLOOKUP(CONCATENATE(H279,F279,DQ$2),Español!$A:$H,7,FALSE)=AE279,1,0)</f>
        <v>#N/A</v>
      </c>
      <c r="DR279" s="138" t="e">
        <f>IF(VLOOKUP(CONCATENATE(H279,F279,DR$2),Inglés!$A:$H,7,FALSE)=AF279,1,0)</f>
        <v>#N/A</v>
      </c>
      <c r="DS279" s="138" t="e">
        <f>IF(VLOOKUP(CONCATENATE(H279,F279,DS$2),Inglés!$A:$H,7,FALSE)=AG279,1,0)</f>
        <v>#N/A</v>
      </c>
      <c r="DT279" s="138" t="e">
        <f>IF(VLOOKUP(CONCATENATE(H279,F279,DT$2),Inglés!$A:$H,7,FALSE)=AH279,1,0)</f>
        <v>#N/A</v>
      </c>
      <c r="DU279" s="138" t="e">
        <f>IF(VLOOKUP(CONCATENATE(H279,F279,DU$2),Inglés!$A:$H,7,FALSE)=AI279,1,0)</f>
        <v>#N/A</v>
      </c>
      <c r="DV279" s="138" t="e">
        <f>IF(VLOOKUP(CONCATENATE(H279,F279,DV$2),Inglés!$A:$H,7,FALSE)=AJ279,1,0)</f>
        <v>#N/A</v>
      </c>
      <c r="DW279" s="138" t="e">
        <f>IF(VLOOKUP(CONCATENATE(H279,F279,DW$2),Inglés!$A:$H,7,FALSE)=AK279,1,0)</f>
        <v>#N/A</v>
      </c>
      <c r="DX279" s="138" t="e">
        <f>IF(VLOOKUP(CONCATENATE(H279,F279,DX$2),Inglés!$A:$H,7,FALSE)=AL279,1,0)</f>
        <v>#N/A</v>
      </c>
      <c r="DY279" s="138" t="e">
        <f>IF(VLOOKUP(CONCATENATE(H279,F279,DY$2),Inglés!$A:$H,7,FALSE)=AM279,1,0)</f>
        <v>#N/A</v>
      </c>
      <c r="DZ279" s="138" t="e">
        <f>IF(VLOOKUP(CONCATENATE(H279,F279,DZ$2),Inglés!$A:$H,7,FALSE)=AN279,1,0)</f>
        <v>#N/A</v>
      </c>
      <c r="EA279" s="138" t="e">
        <f>IF(VLOOKUP(CONCATENATE(H279,F279,EA$2),Inglés!$A:$H,7,FALSE)=AO279,1,0)</f>
        <v>#N/A</v>
      </c>
      <c r="EB279" s="138" t="e">
        <f>IF(VLOOKUP(CONCATENATE(H279,F279,EB$2),Matemáticas!$A:$H,7,FALSE)=AP279,1,0)</f>
        <v>#N/A</v>
      </c>
      <c r="EC279" s="138" t="e">
        <f>IF(VLOOKUP(CONCATENATE(H279,F279,EC$2),Matemáticas!$A:$H,7,FALSE)=AQ279,1,0)</f>
        <v>#N/A</v>
      </c>
      <c r="ED279" s="138" t="e">
        <f>IF(VLOOKUP(CONCATENATE(H279,F279,ED$2),Matemáticas!$A:$H,7,FALSE)=AR279,1,0)</f>
        <v>#N/A</v>
      </c>
      <c r="EE279" s="138" t="e">
        <f>IF(VLOOKUP(CONCATENATE(H279,F279,EE$2),Matemáticas!$A:$H,7,FALSE)=AS279,1,0)</f>
        <v>#N/A</v>
      </c>
      <c r="EF279" s="138" t="e">
        <f>IF(VLOOKUP(CONCATENATE(H279,F279,EF$2),Matemáticas!$A:$H,7,FALSE)=AT279,1,0)</f>
        <v>#N/A</v>
      </c>
      <c r="EG279" s="138" t="e">
        <f>IF(VLOOKUP(CONCATENATE(H279,F279,EG$2),Matemáticas!$A:$H,7,FALSE)=AU279,1,0)</f>
        <v>#N/A</v>
      </c>
      <c r="EH279" s="138" t="e">
        <f>IF(VLOOKUP(CONCATENATE(H279,F279,EH$2),Matemáticas!$A:$H,7,FALSE)=AV279,1,0)</f>
        <v>#N/A</v>
      </c>
      <c r="EI279" s="138" t="e">
        <f>IF(VLOOKUP(CONCATENATE(H279,F279,EI$2),Matemáticas!$A:$H,7,FALSE)=AW279,1,0)</f>
        <v>#N/A</v>
      </c>
      <c r="EJ279" s="138" t="e">
        <f>IF(VLOOKUP(CONCATENATE(H279,F279,EJ$2),Matemáticas!$A:$H,7,FALSE)=AX279,1,0)</f>
        <v>#N/A</v>
      </c>
      <c r="EK279" s="138" t="e">
        <f>IF(VLOOKUP(CONCATENATE(H279,F279,EK$2),Matemáticas!$A:$H,7,FALSE)=AY279,1,0)</f>
        <v>#N/A</v>
      </c>
      <c r="EL279" s="138" t="e">
        <f>IF(VLOOKUP(CONCATENATE(H279,F279,EL$2),Matemáticas!$A:$H,7,FALSE)=AZ279,1,0)</f>
        <v>#N/A</v>
      </c>
      <c r="EM279" s="138" t="e">
        <f>IF(VLOOKUP(CONCATENATE(H279,F279,EM$2),Matemáticas!$A:$H,7,FALSE)=BA279,1,0)</f>
        <v>#N/A</v>
      </c>
      <c r="EN279" s="138" t="e">
        <f>IF(VLOOKUP(CONCATENATE(H279,F279,EN$2),Matemáticas!$A:$H,7,FALSE)=BB279,1,0)</f>
        <v>#N/A</v>
      </c>
      <c r="EO279" s="138" t="e">
        <f>IF(VLOOKUP(CONCATENATE(H279,F279,EO$2),Matemáticas!$A:$H,7,FALSE)=BC279,1,0)</f>
        <v>#N/A</v>
      </c>
      <c r="EP279" s="138" t="e">
        <f>IF(VLOOKUP(CONCATENATE(H279,F279,EP$2),Matemáticas!$A:$H,7,FALSE)=BD279,1,0)</f>
        <v>#N/A</v>
      </c>
      <c r="EQ279" s="138" t="e">
        <f>IF(VLOOKUP(CONCATENATE(H279,F279,EQ$2),Matemáticas!$A:$H,7,FALSE)=BE279,1,0)</f>
        <v>#N/A</v>
      </c>
      <c r="ER279" s="138" t="e">
        <f>IF(VLOOKUP(CONCATENATE(H279,F279,ER$2),Matemáticas!$A:$H,7,FALSE)=BF279,1,0)</f>
        <v>#N/A</v>
      </c>
      <c r="ES279" s="138" t="e">
        <f>IF(VLOOKUP(CONCATENATE(H279,F279,ES$2),Matemáticas!$A:$H,7,FALSE)=BG279,1,0)</f>
        <v>#N/A</v>
      </c>
      <c r="ET279" s="138" t="e">
        <f>IF(VLOOKUP(CONCATENATE(H279,F279,ET$2),Matemáticas!$A:$H,7,FALSE)=BH279,1,0)</f>
        <v>#N/A</v>
      </c>
      <c r="EU279" s="138" t="e">
        <f>IF(VLOOKUP(CONCATENATE(H279,F279,EU$2),Matemáticas!$A:$H,7,FALSE)=BI279,1,0)</f>
        <v>#N/A</v>
      </c>
      <c r="EV279" s="138" t="e">
        <f>IF(VLOOKUP(CONCATENATE(H279,F279,EV$2),Ciencias!$A:$H,7,FALSE)=BJ279,1,0)</f>
        <v>#N/A</v>
      </c>
      <c r="EW279" s="138" t="e">
        <f>IF(VLOOKUP(CONCATENATE(H279,F279,EW$2),Ciencias!$A:$H,7,FALSE)=BK279,1,0)</f>
        <v>#N/A</v>
      </c>
      <c r="EX279" s="138" t="e">
        <f>IF(VLOOKUP(CONCATENATE(H279,F279,EX$2),Ciencias!$A:$H,7,FALSE)=BL279,1,0)</f>
        <v>#N/A</v>
      </c>
      <c r="EY279" s="138" t="e">
        <f>IF(VLOOKUP(CONCATENATE(H279,F279,EY$2),Ciencias!$A:$H,7,FALSE)=BM279,1,0)</f>
        <v>#N/A</v>
      </c>
      <c r="EZ279" s="138" t="e">
        <f>IF(VLOOKUP(CONCATENATE(H279,F279,EZ$2),Ciencias!$A:$H,7,FALSE)=BN279,1,0)</f>
        <v>#N/A</v>
      </c>
      <c r="FA279" s="138" t="e">
        <f>IF(VLOOKUP(CONCATENATE(H279,F279,FA$2),Ciencias!$A:$H,7,FALSE)=BO279,1,0)</f>
        <v>#N/A</v>
      </c>
      <c r="FB279" s="138" t="e">
        <f>IF(VLOOKUP(CONCATENATE(H279,F279,FB$2),Ciencias!$A:$H,7,FALSE)=BP279,1,0)</f>
        <v>#N/A</v>
      </c>
      <c r="FC279" s="138" t="e">
        <f>IF(VLOOKUP(CONCATENATE(H279,F279,FC$2),Ciencias!$A:$H,7,FALSE)=BQ279,1,0)</f>
        <v>#N/A</v>
      </c>
      <c r="FD279" s="138" t="e">
        <f>IF(VLOOKUP(CONCATENATE(H279,F279,FD$2),Ciencias!$A:$H,7,FALSE)=BR279,1,0)</f>
        <v>#N/A</v>
      </c>
      <c r="FE279" s="138" t="e">
        <f>IF(VLOOKUP(CONCATENATE(H279,F279,FE$2),Ciencias!$A:$H,7,FALSE)=BS279,1,0)</f>
        <v>#N/A</v>
      </c>
      <c r="FF279" s="138" t="e">
        <f>IF(VLOOKUP(CONCATENATE(H279,F279,FF$2),Ciencias!$A:$H,7,FALSE)=BT279,1,0)</f>
        <v>#N/A</v>
      </c>
      <c r="FG279" s="138" t="e">
        <f>IF(VLOOKUP(CONCATENATE(H279,F279,FG$2),Ciencias!$A:$H,7,FALSE)=BU279,1,0)</f>
        <v>#N/A</v>
      </c>
      <c r="FH279" s="138" t="e">
        <f>IF(VLOOKUP(CONCATENATE(H279,F279,FH$2),Ciencias!$A:$H,7,FALSE)=BV279,1,0)</f>
        <v>#N/A</v>
      </c>
      <c r="FI279" s="138" t="e">
        <f>IF(VLOOKUP(CONCATENATE(H279,F279,FI$2),Ciencias!$A:$H,7,FALSE)=BW279,1,0)</f>
        <v>#N/A</v>
      </c>
      <c r="FJ279" s="138" t="e">
        <f>IF(VLOOKUP(CONCATENATE(H279,F279,FJ$2),Ciencias!$A:$H,7,FALSE)=BX279,1,0)</f>
        <v>#N/A</v>
      </c>
      <c r="FK279" s="138" t="e">
        <f>IF(VLOOKUP(CONCATENATE(H279,F279,FK$2),Ciencias!$A:$H,7,FALSE)=BY279,1,0)</f>
        <v>#N/A</v>
      </c>
      <c r="FL279" s="138" t="e">
        <f>IF(VLOOKUP(CONCATENATE(H279,F279,FL$2),Ciencias!$A:$H,7,FALSE)=BZ279,1,0)</f>
        <v>#N/A</v>
      </c>
      <c r="FM279" s="138" t="e">
        <f>IF(VLOOKUP(CONCATENATE(H279,F279,FM$2),Ciencias!$A:$H,7,FALSE)=CA279,1,0)</f>
        <v>#N/A</v>
      </c>
      <c r="FN279" s="138" t="e">
        <f>IF(VLOOKUP(CONCATENATE(H279,F279,FN$2),Ciencias!$A:$H,7,FALSE)=CB279,1,0)</f>
        <v>#N/A</v>
      </c>
      <c r="FO279" s="138" t="e">
        <f>IF(VLOOKUP(CONCATENATE(H279,F279,FO$2),Ciencias!$A:$H,7,FALSE)=CC279,1,0)</f>
        <v>#N/A</v>
      </c>
      <c r="FP279" s="138" t="e">
        <f>IF(VLOOKUP(CONCATENATE(H279,F279,FP$2),GeoHis!$A:$H,7,FALSE)=CD279,1,0)</f>
        <v>#N/A</v>
      </c>
      <c r="FQ279" s="138" t="e">
        <f>IF(VLOOKUP(CONCATENATE(H279,F279,FQ$2),GeoHis!$A:$H,7,FALSE)=CE279,1,0)</f>
        <v>#N/A</v>
      </c>
      <c r="FR279" s="138" t="e">
        <f>IF(VLOOKUP(CONCATENATE(H279,F279,FR$2),GeoHis!$A:$H,7,FALSE)=CF279,1,0)</f>
        <v>#N/A</v>
      </c>
      <c r="FS279" s="138" t="e">
        <f>IF(VLOOKUP(CONCATENATE(H279,F279,FS$2),GeoHis!$A:$H,7,FALSE)=CG279,1,0)</f>
        <v>#N/A</v>
      </c>
      <c r="FT279" s="138" t="e">
        <f>IF(VLOOKUP(CONCATENATE(H279,F279,FT$2),GeoHis!$A:$H,7,FALSE)=CH279,1,0)</f>
        <v>#N/A</v>
      </c>
      <c r="FU279" s="138" t="e">
        <f>IF(VLOOKUP(CONCATENATE(H279,F279,FU$2),GeoHis!$A:$H,7,FALSE)=CI279,1,0)</f>
        <v>#N/A</v>
      </c>
      <c r="FV279" s="138" t="e">
        <f>IF(VLOOKUP(CONCATENATE(H279,F279,FV$2),GeoHis!$A:$H,7,FALSE)=CJ279,1,0)</f>
        <v>#N/A</v>
      </c>
      <c r="FW279" s="138" t="e">
        <f>IF(VLOOKUP(CONCATENATE(H279,F279,FW$2),GeoHis!$A:$H,7,FALSE)=CK279,1,0)</f>
        <v>#N/A</v>
      </c>
      <c r="FX279" s="138" t="e">
        <f>IF(VLOOKUP(CONCATENATE(H279,F279,FX$2),GeoHis!$A:$H,7,FALSE)=CL279,1,0)</f>
        <v>#N/A</v>
      </c>
      <c r="FY279" s="138" t="e">
        <f>IF(VLOOKUP(CONCATENATE(H279,F279,FY$2),GeoHis!$A:$H,7,FALSE)=CM279,1,0)</f>
        <v>#N/A</v>
      </c>
      <c r="FZ279" s="138" t="e">
        <f>IF(VLOOKUP(CONCATENATE(H279,F279,FZ$2),GeoHis!$A:$H,7,FALSE)=CN279,1,0)</f>
        <v>#N/A</v>
      </c>
      <c r="GA279" s="138" t="e">
        <f>IF(VLOOKUP(CONCATENATE(H279,F279,GA$2),GeoHis!$A:$H,7,FALSE)=CO279,1,0)</f>
        <v>#N/A</v>
      </c>
      <c r="GB279" s="138" t="e">
        <f>IF(VLOOKUP(CONCATENATE(H279,F279,GB$2),GeoHis!$A:$H,7,FALSE)=CP279,1,0)</f>
        <v>#N/A</v>
      </c>
      <c r="GC279" s="138" t="e">
        <f>IF(VLOOKUP(CONCATENATE(H279,F279,GC$2),GeoHis!$A:$H,7,FALSE)=CQ279,1,0)</f>
        <v>#N/A</v>
      </c>
      <c r="GD279" s="138" t="e">
        <f>IF(VLOOKUP(CONCATENATE(H279,F279,GD$2),GeoHis!$A:$H,7,FALSE)=CR279,1,0)</f>
        <v>#N/A</v>
      </c>
      <c r="GE279" s="135" t="str">
        <f t="shared" si="39"/>
        <v/>
      </c>
    </row>
    <row r="280" spans="1:187" x14ac:dyDescent="0.25">
      <c r="A280" s="127" t="str">
        <f>IF(C280="","",'Datos Generales'!$A$25)</f>
        <v/>
      </c>
      <c r="D280" s="126" t="str">
        <f t="shared" si="32"/>
        <v/>
      </c>
      <c r="E280" s="126">
        <f t="shared" si="33"/>
        <v>0</v>
      </c>
      <c r="F280" s="126" t="str">
        <f t="shared" si="34"/>
        <v/>
      </c>
      <c r="G280" s="126" t="str">
        <f>IF(C280="","",'Datos Generales'!$D$19)</f>
        <v/>
      </c>
      <c r="H280" s="21" t="str">
        <f>IF(C280="","",'Datos Generales'!$A$19)</f>
        <v/>
      </c>
      <c r="I280" s="126" t="str">
        <f>IF(C280="","",'Datos Generales'!$A$7)</f>
        <v/>
      </c>
      <c r="J280" s="21" t="str">
        <f>IF(C280="","",'Datos Generales'!$A$13)</f>
        <v/>
      </c>
      <c r="K280" s="21" t="str">
        <f>IF(C280="","",'Datos Generales'!$A$10)</f>
        <v/>
      </c>
      <c r="CS280" s="142" t="str">
        <f t="shared" si="35"/>
        <v/>
      </c>
      <c r="CT280" s="142" t="str">
        <f t="shared" si="36"/>
        <v/>
      </c>
      <c r="CU280" s="142" t="str">
        <f t="shared" si="37"/>
        <v/>
      </c>
      <c r="CV280" s="142" t="str">
        <f t="shared" si="38"/>
        <v/>
      </c>
      <c r="CW280" s="142" t="str">
        <f>IF(C280="","",IF('Datos Generales'!$A$19=1,AVERAGE(FP280:GD280),AVERAGE(Captura!FP280:FY280)))</f>
        <v/>
      </c>
      <c r="CX280" s="138" t="e">
        <f>IF(VLOOKUP(CONCATENATE($H$4,$F$4,CX$2),Español!$A:$H,7,FALSE)=L280,1,0)</f>
        <v>#N/A</v>
      </c>
      <c r="CY280" s="138" t="e">
        <f>IF(VLOOKUP(CONCATENATE(H280,F280,CY$2),Español!$A:$H,7,FALSE)=M280,1,0)</f>
        <v>#N/A</v>
      </c>
      <c r="CZ280" s="138" t="e">
        <f>IF(VLOOKUP(CONCATENATE(H280,F280,CZ$2),Español!$A:$H,7,FALSE)=N280,1,0)</f>
        <v>#N/A</v>
      </c>
      <c r="DA280" s="138" t="e">
        <f>IF(VLOOKUP(CONCATENATE(H280,F280,DA$2),Español!$A:$H,7,FALSE)=O280,1,0)</f>
        <v>#N/A</v>
      </c>
      <c r="DB280" s="138" t="e">
        <f>IF(VLOOKUP(CONCATENATE(H280,F280,DB$2),Español!$A:$H,7,FALSE)=P280,1,0)</f>
        <v>#N/A</v>
      </c>
      <c r="DC280" s="138" t="e">
        <f>IF(VLOOKUP(CONCATENATE(H280,F280,DC$2),Español!$A:$H,7,FALSE)=Q280,1,0)</f>
        <v>#N/A</v>
      </c>
      <c r="DD280" s="138" t="e">
        <f>IF(VLOOKUP(CONCATENATE(H280,F280,DD$2),Español!$A:$H,7,FALSE)=R280,1,0)</f>
        <v>#N/A</v>
      </c>
      <c r="DE280" s="138" t="e">
        <f>IF(VLOOKUP(CONCATENATE(H280,F280,DE$2),Español!$A:$H,7,FALSE)=S280,1,0)</f>
        <v>#N/A</v>
      </c>
      <c r="DF280" s="138" t="e">
        <f>IF(VLOOKUP(CONCATENATE(H280,F280,DF$2),Español!$A:$H,7,FALSE)=T280,1,0)</f>
        <v>#N/A</v>
      </c>
      <c r="DG280" s="138" t="e">
        <f>IF(VLOOKUP(CONCATENATE(H280,F280,DG$2),Español!$A:$H,7,FALSE)=U280,1,0)</f>
        <v>#N/A</v>
      </c>
      <c r="DH280" s="138" t="e">
        <f>IF(VLOOKUP(CONCATENATE(H280,F280,DH$2),Español!$A:$H,7,FALSE)=V280,1,0)</f>
        <v>#N/A</v>
      </c>
      <c r="DI280" s="138" t="e">
        <f>IF(VLOOKUP(CONCATENATE(H280,F280,DI$2),Español!$A:$H,7,FALSE)=W280,1,0)</f>
        <v>#N/A</v>
      </c>
      <c r="DJ280" s="138" t="e">
        <f>IF(VLOOKUP(CONCATENATE(H280,F280,DJ$2),Español!$A:$H,7,FALSE)=X280,1,0)</f>
        <v>#N/A</v>
      </c>
      <c r="DK280" s="138" t="e">
        <f>IF(VLOOKUP(CONCATENATE(H280,F280,DK$2),Español!$A:$H,7,FALSE)=Y280,1,0)</f>
        <v>#N/A</v>
      </c>
      <c r="DL280" s="138" t="e">
        <f>IF(VLOOKUP(CONCATENATE(H280,F280,DL$2),Español!$A:$H,7,FALSE)=Z280,1,0)</f>
        <v>#N/A</v>
      </c>
      <c r="DM280" s="138" t="e">
        <f>IF(VLOOKUP(CONCATENATE(H280,F280,DM$2),Español!$A:$H,7,FALSE)=AA280,1,0)</f>
        <v>#N/A</v>
      </c>
      <c r="DN280" s="138" t="e">
        <f>IF(VLOOKUP(CONCATENATE(H280,F280,DN$2),Español!$A:$H,7,FALSE)=AB280,1,0)</f>
        <v>#N/A</v>
      </c>
      <c r="DO280" s="138" t="e">
        <f>IF(VLOOKUP(CONCATENATE(H280,F280,DO$2),Español!$A:$H,7,FALSE)=AC280,1,0)</f>
        <v>#N/A</v>
      </c>
      <c r="DP280" s="138" t="e">
        <f>IF(VLOOKUP(CONCATENATE(H280,F280,DP$2),Español!$A:$H,7,FALSE)=AD280,1,0)</f>
        <v>#N/A</v>
      </c>
      <c r="DQ280" s="138" t="e">
        <f>IF(VLOOKUP(CONCATENATE(H280,F280,DQ$2),Español!$A:$H,7,FALSE)=AE280,1,0)</f>
        <v>#N/A</v>
      </c>
      <c r="DR280" s="138" t="e">
        <f>IF(VLOOKUP(CONCATENATE(H280,F280,DR$2),Inglés!$A:$H,7,FALSE)=AF280,1,0)</f>
        <v>#N/A</v>
      </c>
      <c r="DS280" s="138" t="e">
        <f>IF(VLOOKUP(CONCATENATE(H280,F280,DS$2),Inglés!$A:$H,7,FALSE)=AG280,1,0)</f>
        <v>#N/A</v>
      </c>
      <c r="DT280" s="138" t="e">
        <f>IF(VLOOKUP(CONCATENATE(H280,F280,DT$2),Inglés!$A:$H,7,FALSE)=AH280,1,0)</f>
        <v>#N/A</v>
      </c>
      <c r="DU280" s="138" t="e">
        <f>IF(VLOOKUP(CONCATENATE(H280,F280,DU$2),Inglés!$A:$H,7,FALSE)=AI280,1,0)</f>
        <v>#N/A</v>
      </c>
      <c r="DV280" s="138" t="e">
        <f>IF(VLOOKUP(CONCATENATE(H280,F280,DV$2),Inglés!$A:$H,7,FALSE)=AJ280,1,0)</f>
        <v>#N/A</v>
      </c>
      <c r="DW280" s="138" t="e">
        <f>IF(VLOOKUP(CONCATENATE(H280,F280,DW$2),Inglés!$A:$H,7,FALSE)=AK280,1,0)</f>
        <v>#N/A</v>
      </c>
      <c r="DX280" s="138" t="e">
        <f>IF(VLOOKUP(CONCATENATE(H280,F280,DX$2),Inglés!$A:$H,7,FALSE)=AL280,1,0)</f>
        <v>#N/A</v>
      </c>
      <c r="DY280" s="138" t="e">
        <f>IF(VLOOKUP(CONCATENATE(H280,F280,DY$2),Inglés!$A:$H,7,FALSE)=AM280,1,0)</f>
        <v>#N/A</v>
      </c>
      <c r="DZ280" s="138" t="e">
        <f>IF(VLOOKUP(CONCATENATE(H280,F280,DZ$2),Inglés!$A:$H,7,FALSE)=AN280,1,0)</f>
        <v>#N/A</v>
      </c>
      <c r="EA280" s="138" t="e">
        <f>IF(VLOOKUP(CONCATENATE(H280,F280,EA$2),Inglés!$A:$H,7,FALSE)=AO280,1,0)</f>
        <v>#N/A</v>
      </c>
      <c r="EB280" s="138" t="e">
        <f>IF(VLOOKUP(CONCATENATE(H280,F280,EB$2),Matemáticas!$A:$H,7,FALSE)=AP280,1,0)</f>
        <v>#N/A</v>
      </c>
      <c r="EC280" s="138" t="e">
        <f>IF(VLOOKUP(CONCATENATE(H280,F280,EC$2),Matemáticas!$A:$H,7,FALSE)=AQ280,1,0)</f>
        <v>#N/A</v>
      </c>
      <c r="ED280" s="138" t="e">
        <f>IF(VLOOKUP(CONCATENATE(H280,F280,ED$2),Matemáticas!$A:$H,7,FALSE)=AR280,1,0)</f>
        <v>#N/A</v>
      </c>
      <c r="EE280" s="138" t="e">
        <f>IF(VLOOKUP(CONCATENATE(H280,F280,EE$2),Matemáticas!$A:$H,7,FALSE)=AS280,1,0)</f>
        <v>#N/A</v>
      </c>
      <c r="EF280" s="138" t="e">
        <f>IF(VLOOKUP(CONCATENATE(H280,F280,EF$2),Matemáticas!$A:$H,7,FALSE)=AT280,1,0)</f>
        <v>#N/A</v>
      </c>
      <c r="EG280" s="138" t="e">
        <f>IF(VLOOKUP(CONCATENATE(H280,F280,EG$2),Matemáticas!$A:$H,7,FALSE)=AU280,1,0)</f>
        <v>#N/A</v>
      </c>
      <c r="EH280" s="138" t="e">
        <f>IF(VLOOKUP(CONCATENATE(H280,F280,EH$2),Matemáticas!$A:$H,7,FALSE)=AV280,1,0)</f>
        <v>#N/A</v>
      </c>
      <c r="EI280" s="138" t="e">
        <f>IF(VLOOKUP(CONCATENATE(H280,F280,EI$2),Matemáticas!$A:$H,7,FALSE)=AW280,1,0)</f>
        <v>#N/A</v>
      </c>
      <c r="EJ280" s="138" t="e">
        <f>IF(VLOOKUP(CONCATENATE(H280,F280,EJ$2),Matemáticas!$A:$H,7,FALSE)=AX280,1,0)</f>
        <v>#N/A</v>
      </c>
      <c r="EK280" s="138" t="e">
        <f>IF(VLOOKUP(CONCATENATE(H280,F280,EK$2),Matemáticas!$A:$H,7,FALSE)=AY280,1,0)</f>
        <v>#N/A</v>
      </c>
      <c r="EL280" s="138" t="e">
        <f>IF(VLOOKUP(CONCATENATE(H280,F280,EL$2),Matemáticas!$A:$H,7,FALSE)=AZ280,1,0)</f>
        <v>#N/A</v>
      </c>
      <c r="EM280" s="138" t="e">
        <f>IF(VLOOKUP(CONCATENATE(H280,F280,EM$2),Matemáticas!$A:$H,7,FALSE)=BA280,1,0)</f>
        <v>#N/A</v>
      </c>
      <c r="EN280" s="138" t="e">
        <f>IF(VLOOKUP(CONCATENATE(H280,F280,EN$2),Matemáticas!$A:$H,7,FALSE)=BB280,1,0)</f>
        <v>#N/A</v>
      </c>
      <c r="EO280" s="138" t="e">
        <f>IF(VLOOKUP(CONCATENATE(H280,F280,EO$2),Matemáticas!$A:$H,7,FALSE)=BC280,1,0)</f>
        <v>#N/A</v>
      </c>
      <c r="EP280" s="138" t="e">
        <f>IF(VLOOKUP(CONCATENATE(H280,F280,EP$2),Matemáticas!$A:$H,7,FALSE)=BD280,1,0)</f>
        <v>#N/A</v>
      </c>
      <c r="EQ280" s="138" t="e">
        <f>IF(VLOOKUP(CONCATENATE(H280,F280,EQ$2),Matemáticas!$A:$H,7,FALSE)=BE280,1,0)</f>
        <v>#N/A</v>
      </c>
      <c r="ER280" s="138" t="e">
        <f>IF(VLOOKUP(CONCATENATE(H280,F280,ER$2),Matemáticas!$A:$H,7,FALSE)=BF280,1,0)</f>
        <v>#N/A</v>
      </c>
      <c r="ES280" s="138" t="e">
        <f>IF(VLOOKUP(CONCATENATE(H280,F280,ES$2),Matemáticas!$A:$H,7,FALSE)=BG280,1,0)</f>
        <v>#N/A</v>
      </c>
      <c r="ET280" s="138" t="e">
        <f>IF(VLOOKUP(CONCATENATE(H280,F280,ET$2),Matemáticas!$A:$H,7,FALSE)=BH280,1,0)</f>
        <v>#N/A</v>
      </c>
      <c r="EU280" s="138" t="e">
        <f>IF(VLOOKUP(CONCATENATE(H280,F280,EU$2),Matemáticas!$A:$H,7,FALSE)=BI280,1,0)</f>
        <v>#N/A</v>
      </c>
      <c r="EV280" s="138" t="e">
        <f>IF(VLOOKUP(CONCATENATE(H280,F280,EV$2),Ciencias!$A:$H,7,FALSE)=BJ280,1,0)</f>
        <v>#N/A</v>
      </c>
      <c r="EW280" s="138" t="e">
        <f>IF(VLOOKUP(CONCATENATE(H280,F280,EW$2),Ciencias!$A:$H,7,FALSE)=BK280,1,0)</f>
        <v>#N/A</v>
      </c>
      <c r="EX280" s="138" t="e">
        <f>IF(VLOOKUP(CONCATENATE(H280,F280,EX$2),Ciencias!$A:$H,7,FALSE)=BL280,1,0)</f>
        <v>#N/A</v>
      </c>
      <c r="EY280" s="138" t="e">
        <f>IF(VLOOKUP(CONCATENATE(H280,F280,EY$2),Ciencias!$A:$H,7,FALSE)=BM280,1,0)</f>
        <v>#N/A</v>
      </c>
      <c r="EZ280" s="138" t="e">
        <f>IF(VLOOKUP(CONCATENATE(H280,F280,EZ$2),Ciencias!$A:$H,7,FALSE)=BN280,1,0)</f>
        <v>#N/A</v>
      </c>
      <c r="FA280" s="138" t="e">
        <f>IF(VLOOKUP(CONCATENATE(H280,F280,FA$2),Ciencias!$A:$H,7,FALSE)=BO280,1,0)</f>
        <v>#N/A</v>
      </c>
      <c r="FB280" s="138" t="e">
        <f>IF(VLOOKUP(CONCATENATE(H280,F280,FB$2),Ciencias!$A:$H,7,FALSE)=BP280,1,0)</f>
        <v>#N/A</v>
      </c>
      <c r="FC280" s="138" t="e">
        <f>IF(VLOOKUP(CONCATENATE(H280,F280,FC$2),Ciencias!$A:$H,7,FALSE)=BQ280,1,0)</f>
        <v>#N/A</v>
      </c>
      <c r="FD280" s="138" t="e">
        <f>IF(VLOOKUP(CONCATENATE(H280,F280,FD$2),Ciencias!$A:$H,7,FALSE)=BR280,1,0)</f>
        <v>#N/A</v>
      </c>
      <c r="FE280" s="138" t="e">
        <f>IF(VLOOKUP(CONCATENATE(H280,F280,FE$2),Ciencias!$A:$H,7,FALSE)=BS280,1,0)</f>
        <v>#N/A</v>
      </c>
      <c r="FF280" s="138" t="e">
        <f>IF(VLOOKUP(CONCATENATE(H280,F280,FF$2),Ciencias!$A:$H,7,FALSE)=BT280,1,0)</f>
        <v>#N/A</v>
      </c>
      <c r="FG280" s="138" t="e">
        <f>IF(VLOOKUP(CONCATENATE(H280,F280,FG$2),Ciencias!$A:$H,7,FALSE)=BU280,1,0)</f>
        <v>#N/A</v>
      </c>
      <c r="FH280" s="138" t="e">
        <f>IF(VLOOKUP(CONCATENATE(H280,F280,FH$2),Ciencias!$A:$H,7,FALSE)=BV280,1,0)</f>
        <v>#N/A</v>
      </c>
      <c r="FI280" s="138" t="e">
        <f>IF(VLOOKUP(CONCATENATE(H280,F280,FI$2),Ciencias!$A:$H,7,FALSE)=BW280,1,0)</f>
        <v>#N/A</v>
      </c>
      <c r="FJ280" s="138" t="e">
        <f>IF(VLOOKUP(CONCATENATE(H280,F280,FJ$2),Ciencias!$A:$H,7,FALSE)=BX280,1,0)</f>
        <v>#N/A</v>
      </c>
      <c r="FK280" s="138" t="e">
        <f>IF(VLOOKUP(CONCATENATE(H280,F280,FK$2),Ciencias!$A:$H,7,FALSE)=BY280,1,0)</f>
        <v>#N/A</v>
      </c>
      <c r="FL280" s="138" t="e">
        <f>IF(VLOOKUP(CONCATENATE(H280,F280,FL$2),Ciencias!$A:$H,7,FALSE)=BZ280,1,0)</f>
        <v>#N/A</v>
      </c>
      <c r="FM280" s="138" t="e">
        <f>IF(VLOOKUP(CONCATENATE(H280,F280,FM$2),Ciencias!$A:$H,7,FALSE)=CA280,1,0)</f>
        <v>#N/A</v>
      </c>
      <c r="FN280" s="138" t="e">
        <f>IF(VLOOKUP(CONCATENATE(H280,F280,FN$2),Ciencias!$A:$H,7,FALSE)=CB280,1,0)</f>
        <v>#N/A</v>
      </c>
      <c r="FO280" s="138" t="e">
        <f>IF(VLOOKUP(CONCATENATE(H280,F280,FO$2),Ciencias!$A:$H,7,FALSE)=CC280,1,0)</f>
        <v>#N/A</v>
      </c>
      <c r="FP280" s="138" t="e">
        <f>IF(VLOOKUP(CONCATENATE(H280,F280,FP$2),GeoHis!$A:$H,7,FALSE)=CD280,1,0)</f>
        <v>#N/A</v>
      </c>
      <c r="FQ280" s="138" t="e">
        <f>IF(VLOOKUP(CONCATENATE(H280,F280,FQ$2),GeoHis!$A:$H,7,FALSE)=CE280,1,0)</f>
        <v>#N/A</v>
      </c>
      <c r="FR280" s="138" t="e">
        <f>IF(VLOOKUP(CONCATENATE(H280,F280,FR$2),GeoHis!$A:$H,7,FALSE)=CF280,1,0)</f>
        <v>#N/A</v>
      </c>
      <c r="FS280" s="138" t="e">
        <f>IF(VLOOKUP(CONCATENATE(H280,F280,FS$2),GeoHis!$A:$H,7,FALSE)=CG280,1,0)</f>
        <v>#N/A</v>
      </c>
      <c r="FT280" s="138" t="e">
        <f>IF(VLOOKUP(CONCATENATE(H280,F280,FT$2),GeoHis!$A:$H,7,FALSE)=CH280,1,0)</f>
        <v>#N/A</v>
      </c>
      <c r="FU280" s="138" t="e">
        <f>IF(VLOOKUP(CONCATENATE(H280,F280,FU$2),GeoHis!$A:$H,7,FALSE)=CI280,1,0)</f>
        <v>#N/A</v>
      </c>
      <c r="FV280" s="138" t="e">
        <f>IF(VLOOKUP(CONCATENATE(H280,F280,FV$2),GeoHis!$A:$H,7,FALSE)=CJ280,1,0)</f>
        <v>#N/A</v>
      </c>
      <c r="FW280" s="138" t="e">
        <f>IF(VLOOKUP(CONCATENATE(H280,F280,FW$2),GeoHis!$A:$H,7,FALSE)=CK280,1,0)</f>
        <v>#N/A</v>
      </c>
      <c r="FX280" s="138" t="e">
        <f>IF(VLOOKUP(CONCATENATE(H280,F280,FX$2),GeoHis!$A:$H,7,FALSE)=CL280,1,0)</f>
        <v>#N/A</v>
      </c>
      <c r="FY280" s="138" t="e">
        <f>IF(VLOOKUP(CONCATENATE(H280,F280,FY$2),GeoHis!$A:$H,7,FALSE)=CM280,1,0)</f>
        <v>#N/A</v>
      </c>
      <c r="FZ280" s="138" t="e">
        <f>IF(VLOOKUP(CONCATENATE(H280,F280,FZ$2),GeoHis!$A:$H,7,FALSE)=CN280,1,0)</f>
        <v>#N/A</v>
      </c>
      <c r="GA280" s="138" t="e">
        <f>IF(VLOOKUP(CONCATENATE(H280,F280,GA$2),GeoHis!$A:$H,7,FALSE)=CO280,1,0)</f>
        <v>#N/A</v>
      </c>
      <c r="GB280" s="138" t="e">
        <f>IF(VLOOKUP(CONCATENATE(H280,F280,GB$2),GeoHis!$A:$H,7,FALSE)=CP280,1,0)</f>
        <v>#N/A</v>
      </c>
      <c r="GC280" s="138" t="e">
        <f>IF(VLOOKUP(CONCATENATE(H280,F280,GC$2),GeoHis!$A:$H,7,FALSE)=CQ280,1,0)</f>
        <v>#N/A</v>
      </c>
      <c r="GD280" s="138" t="e">
        <f>IF(VLOOKUP(CONCATENATE(H280,F280,GD$2),GeoHis!$A:$H,7,FALSE)=CR280,1,0)</f>
        <v>#N/A</v>
      </c>
      <c r="GE280" s="135" t="str">
        <f t="shared" si="39"/>
        <v/>
      </c>
    </row>
    <row r="281" spans="1:187" x14ac:dyDescent="0.25">
      <c r="A281" s="127" t="str">
        <f>IF(C281="","",'Datos Generales'!$A$25)</f>
        <v/>
      </c>
      <c r="D281" s="126" t="str">
        <f t="shared" si="32"/>
        <v/>
      </c>
      <c r="E281" s="126">
        <f t="shared" si="33"/>
        <v>0</v>
      </c>
      <c r="F281" s="126" t="str">
        <f t="shared" si="34"/>
        <v/>
      </c>
      <c r="G281" s="126" t="str">
        <f>IF(C281="","",'Datos Generales'!$D$19)</f>
        <v/>
      </c>
      <c r="H281" s="21" t="str">
        <f>IF(C281="","",'Datos Generales'!$A$19)</f>
        <v/>
      </c>
      <c r="I281" s="126" t="str">
        <f>IF(C281="","",'Datos Generales'!$A$7)</f>
        <v/>
      </c>
      <c r="J281" s="21" t="str">
        <f>IF(C281="","",'Datos Generales'!$A$13)</f>
        <v/>
      </c>
      <c r="K281" s="21" t="str">
        <f>IF(C281="","",'Datos Generales'!$A$10)</f>
        <v/>
      </c>
      <c r="CS281" s="142" t="str">
        <f t="shared" si="35"/>
        <v/>
      </c>
      <c r="CT281" s="142" t="str">
        <f t="shared" si="36"/>
        <v/>
      </c>
      <c r="CU281" s="142" t="str">
        <f t="shared" si="37"/>
        <v/>
      </c>
      <c r="CV281" s="142" t="str">
        <f t="shared" si="38"/>
        <v/>
      </c>
      <c r="CW281" s="142" t="str">
        <f>IF(C281="","",IF('Datos Generales'!$A$19=1,AVERAGE(FP281:GD281),AVERAGE(Captura!FP281:FY281)))</f>
        <v/>
      </c>
      <c r="CX281" s="138" t="e">
        <f>IF(VLOOKUP(CONCATENATE($H$4,$F$4,CX$2),Español!$A:$H,7,FALSE)=L281,1,0)</f>
        <v>#N/A</v>
      </c>
      <c r="CY281" s="138" t="e">
        <f>IF(VLOOKUP(CONCATENATE(H281,F281,CY$2),Español!$A:$H,7,FALSE)=M281,1,0)</f>
        <v>#N/A</v>
      </c>
      <c r="CZ281" s="138" t="e">
        <f>IF(VLOOKUP(CONCATENATE(H281,F281,CZ$2),Español!$A:$H,7,FALSE)=N281,1,0)</f>
        <v>#N/A</v>
      </c>
      <c r="DA281" s="138" t="e">
        <f>IF(VLOOKUP(CONCATENATE(H281,F281,DA$2),Español!$A:$H,7,FALSE)=O281,1,0)</f>
        <v>#N/A</v>
      </c>
      <c r="DB281" s="138" t="e">
        <f>IF(VLOOKUP(CONCATENATE(H281,F281,DB$2),Español!$A:$H,7,FALSE)=P281,1,0)</f>
        <v>#N/A</v>
      </c>
      <c r="DC281" s="138" t="e">
        <f>IF(VLOOKUP(CONCATENATE(H281,F281,DC$2),Español!$A:$H,7,FALSE)=Q281,1,0)</f>
        <v>#N/A</v>
      </c>
      <c r="DD281" s="138" t="e">
        <f>IF(VLOOKUP(CONCATENATE(H281,F281,DD$2),Español!$A:$H,7,FALSE)=R281,1,0)</f>
        <v>#N/A</v>
      </c>
      <c r="DE281" s="138" t="e">
        <f>IF(VLOOKUP(CONCATENATE(H281,F281,DE$2),Español!$A:$H,7,FALSE)=S281,1,0)</f>
        <v>#N/A</v>
      </c>
      <c r="DF281" s="138" t="e">
        <f>IF(VLOOKUP(CONCATENATE(H281,F281,DF$2),Español!$A:$H,7,FALSE)=T281,1,0)</f>
        <v>#N/A</v>
      </c>
      <c r="DG281" s="138" t="e">
        <f>IF(VLOOKUP(CONCATENATE(H281,F281,DG$2),Español!$A:$H,7,FALSE)=U281,1,0)</f>
        <v>#N/A</v>
      </c>
      <c r="DH281" s="138" t="e">
        <f>IF(VLOOKUP(CONCATENATE(H281,F281,DH$2),Español!$A:$H,7,FALSE)=V281,1,0)</f>
        <v>#N/A</v>
      </c>
      <c r="DI281" s="138" t="e">
        <f>IF(VLOOKUP(CONCATENATE(H281,F281,DI$2),Español!$A:$H,7,FALSE)=W281,1,0)</f>
        <v>#N/A</v>
      </c>
      <c r="DJ281" s="138" t="e">
        <f>IF(VLOOKUP(CONCATENATE(H281,F281,DJ$2),Español!$A:$H,7,FALSE)=X281,1,0)</f>
        <v>#N/A</v>
      </c>
      <c r="DK281" s="138" t="e">
        <f>IF(VLOOKUP(CONCATENATE(H281,F281,DK$2),Español!$A:$H,7,FALSE)=Y281,1,0)</f>
        <v>#N/A</v>
      </c>
      <c r="DL281" s="138" t="e">
        <f>IF(VLOOKUP(CONCATENATE(H281,F281,DL$2),Español!$A:$H,7,FALSE)=Z281,1,0)</f>
        <v>#N/A</v>
      </c>
      <c r="DM281" s="138" t="e">
        <f>IF(VLOOKUP(CONCATENATE(H281,F281,DM$2),Español!$A:$H,7,FALSE)=AA281,1,0)</f>
        <v>#N/A</v>
      </c>
      <c r="DN281" s="138" t="e">
        <f>IF(VLOOKUP(CONCATENATE(H281,F281,DN$2),Español!$A:$H,7,FALSE)=AB281,1,0)</f>
        <v>#N/A</v>
      </c>
      <c r="DO281" s="138" t="e">
        <f>IF(VLOOKUP(CONCATENATE(H281,F281,DO$2),Español!$A:$H,7,FALSE)=AC281,1,0)</f>
        <v>#N/A</v>
      </c>
      <c r="DP281" s="138" t="e">
        <f>IF(VLOOKUP(CONCATENATE(H281,F281,DP$2),Español!$A:$H,7,FALSE)=AD281,1,0)</f>
        <v>#N/A</v>
      </c>
      <c r="DQ281" s="138" t="e">
        <f>IF(VLOOKUP(CONCATENATE(H281,F281,DQ$2),Español!$A:$H,7,FALSE)=AE281,1,0)</f>
        <v>#N/A</v>
      </c>
      <c r="DR281" s="138" t="e">
        <f>IF(VLOOKUP(CONCATENATE(H281,F281,DR$2),Inglés!$A:$H,7,FALSE)=AF281,1,0)</f>
        <v>#N/A</v>
      </c>
      <c r="DS281" s="138" t="e">
        <f>IF(VLOOKUP(CONCATENATE(H281,F281,DS$2),Inglés!$A:$H,7,FALSE)=AG281,1,0)</f>
        <v>#N/A</v>
      </c>
      <c r="DT281" s="138" t="e">
        <f>IF(VLOOKUP(CONCATENATE(H281,F281,DT$2),Inglés!$A:$H,7,FALSE)=AH281,1,0)</f>
        <v>#N/A</v>
      </c>
      <c r="DU281" s="138" t="e">
        <f>IF(VLOOKUP(CONCATENATE(H281,F281,DU$2),Inglés!$A:$H,7,FALSE)=AI281,1,0)</f>
        <v>#N/A</v>
      </c>
      <c r="DV281" s="138" t="e">
        <f>IF(VLOOKUP(CONCATENATE(H281,F281,DV$2),Inglés!$A:$H,7,FALSE)=AJ281,1,0)</f>
        <v>#N/A</v>
      </c>
      <c r="DW281" s="138" t="e">
        <f>IF(VLOOKUP(CONCATENATE(H281,F281,DW$2),Inglés!$A:$H,7,FALSE)=AK281,1,0)</f>
        <v>#N/A</v>
      </c>
      <c r="DX281" s="138" t="e">
        <f>IF(VLOOKUP(CONCATENATE(H281,F281,DX$2),Inglés!$A:$H,7,FALSE)=AL281,1,0)</f>
        <v>#N/A</v>
      </c>
      <c r="DY281" s="138" t="e">
        <f>IF(VLOOKUP(CONCATENATE(H281,F281,DY$2),Inglés!$A:$H,7,FALSE)=AM281,1,0)</f>
        <v>#N/A</v>
      </c>
      <c r="DZ281" s="138" t="e">
        <f>IF(VLOOKUP(CONCATENATE(H281,F281,DZ$2),Inglés!$A:$H,7,FALSE)=AN281,1,0)</f>
        <v>#N/A</v>
      </c>
      <c r="EA281" s="138" t="e">
        <f>IF(VLOOKUP(CONCATENATE(H281,F281,EA$2),Inglés!$A:$H,7,FALSE)=AO281,1,0)</f>
        <v>#N/A</v>
      </c>
      <c r="EB281" s="138" t="e">
        <f>IF(VLOOKUP(CONCATENATE(H281,F281,EB$2),Matemáticas!$A:$H,7,FALSE)=AP281,1,0)</f>
        <v>#N/A</v>
      </c>
      <c r="EC281" s="138" t="e">
        <f>IF(VLOOKUP(CONCATENATE(H281,F281,EC$2),Matemáticas!$A:$H,7,FALSE)=AQ281,1,0)</f>
        <v>#N/A</v>
      </c>
      <c r="ED281" s="138" t="e">
        <f>IF(VLOOKUP(CONCATENATE(H281,F281,ED$2),Matemáticas!$A:$H,7,FALSE)=AR281,1,0)</f>
        <v>#N/A</v>
      </c>
      <c r="EE281" s="138" t="e">
        <f>IF(VLOOKUP(CONCATENATE(H281,F281,EE$2),Matemáticas!$A:$H,7,FALSE)=AS281,1,0)</f>
        <v>#N/A</v>
      </c>
      <c r="EF281" s="138" t="e">
        <f>IF(VLOOKUP(CONCATENATE(H281,F281,EF$2),Matemáticas!$A:$H,7,FALSE)=AT281,1,0)</f>
        <v>#N/A</v>
      </c>
      <c r="EG281" s="138" t="e">
        <f>IF(VLOOKUP(CONCATENATE(H281,F281,EG$2),Matemáticas!$A:$H,7,FALSE)=AU281,1,0)</f>
        <v>#N/A</v>
      </c>
      <c r="EH281" s="138" t="e">
        <f>IF(VLOOKUP(CONCATENATE(H281,F281,EH$2),Matemáticas!$A:$H,7,FALSE)=AV281,1,0)</f>
        <v>#N/A</v>
      </c>
      <c r="EI281" s="138" t="e">
        <f>IF(VLOOKUP(CONCATENATE(H281,F281,EI$2),Matemáticas!$A:$H,7,FALSE)=AW281,1,0)</f>
        <v>#N/A</v>
      </c>
      <c r="EJ281" s="138" t="e">
        <f>IF(VLOOKUP(CONCATENATE(H281,F281,EJ$2),Matemáticas!$A:$H,7,FALSE)=AX281,1,0)</f>
        <v>#N/A</v>
      </c>
      <c r="EK281" s="138" t="e">
        <f>IF(VLOOKUP(CONCATENATE(H281,F281,EK$2),Matemáticas!$A:$H,7,FALSE)=AY281,1,0)</f>
        <v>#N/A</v>
      </c>
      <c r="EL281" s="138" t="e">
        <f>IF(VLOOKUP(CONCATENATE(H281,F281,EL$2),Matemáticas!$A:$H,7,FALSE)=AZ281,1,0)</f>
        <v>#N/A</v>
      </c>
      <c r="EM281" s="138" t="e">
        <f>IF(VLOOKUP(CONCATENATE(H281,F281,EM$2),Matemáticas!$A:$H,7,FALSE)=BA281,1,0)</f>
        <v>#N/A</v>
      </c>
      <c r="EN281" s="138" t="e">
        <f>IF(VLOOKUP(CONCATENATE(H281,F281,EN$2),Matemáticas!$A:$H,7,FALSE)=BB281,1,0)</f>
        <v>#N/A</v>
      </c>
      <c r="EO281" s="138" t="e">
        <f>IF(VLOOKUP(CONCATENATE(H281,F281,EO$2),Matemáticas!$A:$H,7,FALSE)=BC281,1,0)</f>
        <v>#N/A</v>
      </c>
      <c r="EP281" s="138" t="e">
        <f>IF(VLOOKUP(CONCATENATE(H281,F281,EP$2),Matemáticas!$A:$H,7,FALSE)=BD281,1,0)</f>
        <v>#N/A</v>
      </c>
      <c r="EQ281" s="138" t="e">
        <f>IF(VLOOKUP(CONCATENATE(H281,F281,EQ$2),Matemáticas!$A:$H,7,FALSE)=BE281,1,0)</f>
        <v>#N/A</v>
      </c>
      <c r="ER281" s="138" t="e">
        <f>IF(VLOOKUP(CONCATENATE(H281,F281,ER$2),Matemáticas!$A:$H,7,FALSE)=BF281,1,0)</f>
        <v>#N/A</v>
      </c>
      <c r="ES281" s="138" t="e">
        <f>IF(VLOOKUP(CONCATENATE(H281,F281,ES$2),Matemáticas!$A:$H,7,FALSE)=BG281,1,0)</f>
        <v>#N/A</v>
      </c>
      <c r="ET281" s="138" t="e">
        <f>IF(VLOOKUP(CONCATENATE(H281,F281,ET$2),Matemáticas!$A:$H,7,FALSE)=BH281,1,0)</f>
        <v>#N/A</v>
      </c>
      <c r="EU281" s="138" t="e">
        <f>IF(VLOOKUP(CONCATENATE(H281,F281,EU$2),Matemáticas!$A:$H,7,FALSE)=BI281,1,0)</f>
        <v>#N/A</v>
      </c>
      <c r="EV281" s="138" t="e">
        <f>IF(VLOOKUP(CONCATENATE(H281,F281,EV$2),Ciencias!$A:$H,7,FALSE)=BJ281,1,0)</f>
        <v>#N/A</v>
      </c>
      <c r="EW281" s="138" t="e">
        <f>IF(VLOOKUP(CONCATENATE(H281,F281,EW$2),Ciencias!$A:$H,7,FALSE)=BK281,1,0)</f>
        <v>#N/A</v>
      </c>
      <c r="EX281" s="138" t="e">
        <f>IF(VLOOKUP(CONCATENATE(H281,F281,EX$2),Ciencias!$A:$H,7,FALSE)=BL281,1,0)</f>
        <v>#N/A</v>
      </c>
      <c r="EY281" s="138" t="e">
        <f>IF(VLOOKUP(CONCATENATE(H281,F281,EY$2),Ciencias!$A:$H,7,FALSE)=BM281,1,0)</f>
        <v>#N/A</v>
      </c>
      <c r="EZ281" s="138" t="e">
        <f>IF(VLOOKUP(CONCATENATE(H281,F281,EZ$2),Ciencias!$A:$H,7,FALSE)=BN281,1,0)</f>
        <v>#N/A</v>
      </c>
      <c r="FA281" s="138" t="e">
        <f>IF(VLOOKUP(CONCATENATE(H281,F281,FA$2),Ciencias!$A:$H,7,FALSE)=BO281,1,0)</f>
        <v>#N/A</v>
      </c>
      <c r="FB281" s="138" t="e">
        <f>IF(VLOOKUP(CONCATENATE(H281,F281,FB$2),Ciencias!$A:$H,7,FALSE)=BP281,1,0)</f>
        <v>#N/A</v>
      </c>
      <c r="FC281" s="138" t="e">
        <f>IF(VLOOKUP(CONCATENATE(H281,F281,FC$2),Ciencias!$A:$H,7,FALSE)=BQ281,1,0)</f>
        <v>#N/A</v>
      </c>
      <c r="FD281" s="138" t="e">
        <f>IF(VLOOKUP(CONCATENATE(H281,F281,FD$2),Ciencias!$A:$H,7,FALSE)=BR281,1,0)</f>
        <v>#N/A</v>
      </c>
      <c r="FE281" s="138" t="e">
        <f>IF(VLOOKUP(CONCATENATE(H281,F281,FE$2),Ciencias!$A:$H,7,FALSE)=BS281,1,0)</f>
        <v>#N/A</v>
      </c>
      <c r="FF281" s="138" t="e">
        <f>IF(VLOOKUP(CONCATENATE(H281,F281,FF$2),Ciencias!$A:$H,7,FALSE)=BT281,1,0)</f>
        <v>#N/A</v>
      </c>
      <c r="FG281" s="138" t="e">
        <f>IF(VLOOKUP(CONCATENATE(H281,F281,FG$2),Ciencias!$A:$H,7,FALSE)=BU281,1,0)</f>
        <v>#N/A</v>
      </c>
      <c r="FH281" s="138" t="e">
        <f>IF(VLOOKUP(CONCATENATE(H281,F281,FH$2),Ciencias!$A:$H,7,FALSE)=BV281,1,0)</f>
        <v>#N/A</v>
      </c>
      <c r="FI281" s="138" t="e">
        <f>IF(VLOOKUP(CONCATENATE(H281,F281,FI$2),Ciencias!$A:$H,7,FALSE)=BW281,1,0)</f>
        <v>#N/A</v>
      </c>
      <c r="FJ281" s="138" t="e">
        <f>IF(VLOOKUP(CONCATENATE(H281,F281,FJ$2),Ciencias!$A:$H,7,FALSE)=BX281,1,0)</f>
        <v>#N/A</v>
      </c>
      <c r="FK281" s="138" t="e">
        <f>IF(VLOOKUP(CONCATENATE(H281,F281,FK$2),Ciencias!$A:$H,7,FALSE)=BY281,1,0)</f>
        <v>#N/A</v>
      </c>
      <c r="FL281" s="138" t="e">
        <f>IF(VLOOKUP(CONCATENATE(H281,F281,FL$2),Ciencias!$A:$H,7,FALSE)=BZ281,1,0)</f>
        <v>#N/A</v>
      </c>
      <c r="FM281" s="138" t="e">
        <f>IF(VLOOKUP(CONCATENATE(H281,F281,FM$2),Ciencias!$A:$H,7,FALSE)=CA281,1,0)</f>
        <v>#N/A</v>
      </c>
      <c r="FN281" s="138" t="e">
        <f>IF(VLOOKUP(CONCATENATE(H281,F281,FN$2),Ciencias!$A:$H,7,FALSE)=CB281,1,0)</f>
        <v>#N/A</v>
      </c>
      <c r="FO281" s="138" t="e">
        <f>IF(VLOOKUP(CONCATENATE(H281,F281,FO$2),Ciencias!$A:$H,7,FALSE)=CC281,1,0)</f>
        <v>#N/A</v>
      </c>
      <c r="FP281" s="138" t="e">
        <f>IF(VLOOKUP(CONCATENATE(H281,F281,FP$2),GeoHis!$A:$H,7,FALSE)=CD281,1,0)</f>
        <v>#N/A</v>
      </c>
      <c r="FQ281" s="138" t="e">
        <f>IF(VLOOKUP(CONCATENATE(H281,F281,FQ$2),GeoHis!$A:$H,7,FALSE)=CE281,1,0)</f>
        <v>#N/A</v>
      </c>
      <c r="FR281" s="138" t="e">
        <f>IF(VLOOKUP(CONCATENATE(H281,F281,FR$2),GeoHis!$A:$H,7,FALSE)=CF281,1,0)</f>
        <v>#N/A</v>
      </c>
      <c r="FS281" s="138" t="e">
        <f>IF(VLOOKUP(CONCATENATE(H281,F281,FS$2),GeoHis!$A:$H,7,FALSE)=CG281,1,0)</f>
        <v>#N/A</v>
      </c>
      <c r="FT281" s="138" t="e">
        <f>IF(VLOOKUP(CONCATENATE(H281,F281,FT$2),GeoHis!$A:$H,7,FALSE)=CH281,1,0)</f>
        <v>#N/A</v>
      </c>
      <c r="FU281" s="138" t="e">
        <f>IF(VLOOKUP(CONCATENATE(H281,F281,FU$2),GeoHis!$A:$H,7,FALSE)=CI281,1,0)</f>
        <v>#N/A</v>
      </c>
      <c r="FV281" s="138" t="e">
        <f>IF(VLOOKUP(CONCATENATE(H281,F281,FV$2),GeoHis!$A:$H,7,FALSE)=CJ281,1,0)</f>
        <v>#N/A</v>
      </c>
      <c r="FW281" s="138" t="e">
        <f>IF(VLOOKUP(CONCATENATE(H281,F281,FW$2),GeoHis!$A:$H,7,FALSE)=CK281,1,0)</f>
        <v>#N/A</v>
      </c>
      <c r="FX281" s="138" t="e">
        <f>IF(VLOOKUP(CONCATENATE(H281,F281,FX$2),GeoHis!$A:$H,7,FALSE)=CL281,1,0)</f>
        <v>#N/A</v>
      </c>
      <c r="FY281" s="138" t="e">
        <f>IF(VLOOKUP(CONCATENATE(H281,F281,FY$2),GeoHis!$A:$H,7,FALSE)=CM281,1,0)</f>
        <v>#N/A</v>
      </c>
      <c r="FZ281" s="138" t="e">
        <f>IF(VLOOKUP(CONCATENATE(H281,F281,FZ$2),GeoHis!$A:$H,7,FALSE)=CN281,1,0)</f>
        <v>#N/A</v>
      </c>
      <c r="GA281" s="138" t="e">
        <f>IF(VLOOKUP(CONCATENATE(H281,F281,GA$2),GeoHis!$A:$H,7,FALSE)=CO281,1,0)</f>
        <v>#N/A</v>
      </c>
      <c r="GB281" s="138" t="e">
        <f>IF(VLOOKUP(CONCATENATE(H281,F281,GB$2),GeoHis!$A:$H,7,FALSE)=CP281,1,0)</f>
        <v>#N/A</v>
      </c>
      <c r="GC281" s="138" t="e">
        <f>IF(VLOOKUP(CONCATENATE(H281,F281,GC$2),GeoHis!$A:$H,7,FALSE)=CQ281,1,0)</f>
        <v>#N/A</v>
      </c>
      <c r="GD281" s="138" t="e">
        <f>IF(VLOOKUP(CONCATENATE(H281,F281,GD$2),GeoHis!$A:$H,7,FALSE)=CR281,1,0)</f>
        <v>#N/A</v>
      </c>
      <c r="GE281" s="135" t="str">
        <f t="shared" si="39"/>
        <v/>
      </c>
    </row>
    <row r="282" spans="1:187" x14ac:dyDescent="0.25">
      <c r="A282" s="127" t="str">
        <f>IF(C282="","",'Datos Generales'!$A$25)</f>
        <v/>
      </c>
      <c r="D282" s="126" t="str">
        <f t="shared" si="32"/>
        <v/>
      </c>
      <c r="E282" s="126">
        <f t="shared" si="33"/>
        <v>0</v>
      </c>
      <c r="F282" s="126" t="str">
        <f t="shared" si="34"/>
        <v/>
      </c>
      <c r="G282" s="126" t="str">
        <f>IF(C282="","",'Datos Generales'!$D$19)</f>
        <v/>
      </c>
      <c r="H282" s="21" t="str">
        <f>IF(C282="","",'Datos Generales'!$A$19)</f>
        <v/>
      </c>
      <c r="I282" s="126" t="str">
        <f>IF(C282="","",'Datos Generales'!$A$7)</f>
        <v/>
      </c>
      <c r="J282" s="21" t="str">
        <f>IF(C282="","",'Datos Generales'!$A$13)</f>
        <v/>
      </c>
      <c r="K282" s="21" t="str">
        <f>IF(C282="","",'Datos Generales'!$A$10)</f>
        <v/>
      </c>
      <c r="CS282" s="142" t="str">
        <f t="shared" si="35"/>
        <v/>
      </c>
      <c r="CT282" s="142" t="str">
        <f t="shared" si="36"/>
        <v/>
      </c>
      <c r="CU282" s="142" t="str">
        <f t="shared" si="37"/>
        <v/>
      </c>
      <c r="CV282" s="142" t="str">
        <f t="shared" si="38"/>
        <v/>
      </c>
      <c r="CW282" s="142" t="str">
        <f>IF(C282="","",IF('Datos Generales'!$A$19=1,AVERAGE(FP282:GD282),AVERAGE(Captura!FP282:FY282)))</f>
        <v/>
      </c>
      <c r="CX282" s="138" t="e">
        <f>IF(VLOOKUP(CONCATENATE($H$4,$F$4,CX$2),Español!$A:$H,7,FALSE)=L282,1,0)</f>
        <v>#N/A</v>
      </c>
      <c r="CY282" s="138" t="e">
        <f>IF(VLOOKUP(CONCATENATE(H282,F282,CY$2),Español!$A:$H,7,FALSE)=M282,1,0)</f>
        <v>#N/A</v>
      </c>
      <c r="CZ282" s="138" t="e">
        <f>IF(VLOOKUP(CONCATENATE(H282,F282,CZ$2),Español!$A:$H,7,FALSE)=N282,1,0)</f>
        <v>#N/A</v>
      </c>
      <c r="DA282" s="138" t="e">
        <f>IF(VLOOKUP(CONCATENATE(H282,F282,DA$2),Español!$A:$H,7,FALSE)=O282,1,0)</f>
        <v>#N/A</v>
      </c>
      <c r="DB282" s="138" t="e">
        <f>IF(VLOOKUP(CONCATENATE(H282,F282,DB$2),Español!$A:$H,7,FALSE)=P282,1,0)</f>
        <v>#N/A</v>
      </c>
      <c r="DC282" s="138" t="e">
        <f>IF(VLOOKUP(CONCATENATE(H282,F282,DC$2),Español!$A:$H,7,FALSE)=Q282,1,0)</f>
        <v>#N/A</v>
      </c>
      <c r="DD282" s="138" t="e">
        <f>IF(VLOOKUP(CONCATENATE(H282,F282,DD$2),Español!$A:$H,7,FALSE)=R282,1,0)</f>
        <v>#N/A</v>
      </c>
      <c r="DE282" s="138" t="e">
        <f>IF(VLOOKUP(CONCATENATE(H282,F282,DE$2),Español!$A:$H,7,FALSE)=S282,1,0)</f>
        <v>#N/A</v>
      </c>
      <c r="DF282" s="138" t="e">
        <f>IF(VLOOKUP(CONCATENATE(H282,F282,DF$2),Español!$A:$H,7,FALSE)=T282,1,0)</f>
        <v>#N/A</v>
      </c>
      <c r="DG282" s="138" t="e">
        <f>IF(VLOOKUP(CONCATENATE(H282,F282,DG$2),Español!$A:$H,7,FALSE)=U282,1,0)</f>
        <v>#N/A</v>
      </c>
      <c r="DH282" s="138" t="e">
        <f>IF(VLOOKUP(CONCATENATE(H282,F282,DH$2),Español!$A:$H,7,FALSE)=V282,1,0)</f>
        <v>#N/A</v>
      </c>
      <c r="DI282" s="138" t="e">
        <f>IF(VLOOKUP(CONCATENATE(H282,F282,DI$2),Español!$A:$H,7,FALSE)=W282,1,0)</f>
        <v>#N/A</v>
      </c>
      <c r="DJ282" s="138" t="e">
        <f>IF(VLOOKUP(CONCATENATE(H282,F282,DJ$2),Español!$A:$H,7,FALSE)=X282,1,0)</f>
        <v>#N/A</v>
      </c>
      <c r="DK282" s="138" t="e">
        <f>IF(VLOOKUP(CONCATENATE(H282,F282,DK$2),Español!$A:$H,7,FALSE)=Y282,1,0)</f>
        <v>#N/A</v>
      </c>
      <c r="DL282" s="138" t="e">
        <f>IF(VLOOKUP(CONCATENATE(H282,F282,DL$2),Español!$A:$H,7,FALSE)=Z282,1,0)</f>
        <v>#N/A</v>
      </c>
      <c r="DM282" s="138" t="e">
        <f>IF(VLOOKUP(CONCATENATE(H282,F282,DM$2),Español!$A:$H,7,FALSE)=AA282,1,0)</f>
        <v>#N/A</v>
      </c>
      <c r="DN282" s="138" t="e">
        <f>IF(VLOOKUP(CONCATENATE(H282,F282,DN$2),Español!$A:$H,7,FALSE)=AB282,1,0)</f>
        <v>#N/A</v>
      </c>
      <c r="DO282" s="138" t="e">
        <f>IF(VLOOKUP(CONCATENATE(H282,F282,DO$2),Español!$A:$H,7,FALSE)=AC282,1,0)</f>
        <v>#N/A</v>
      </c>
      <c r="DP282" s="138" t="e">
        <f>IF(VLOOKUP(CONCATENATE(H282,F282,DP$2),Español!$A:$H,7,FALSE)=AD282,1,0)</f>
        <v>#N/A</v>
      </c>
      <c r="DQ282" s="138" t="e">
        <f>IF(VLOOKUP(CONCATENATE(H282,F282,DQ$2),Español!$A:$H,7,FALSE)=AE282,1,0)</f>
        <v>#N/A</v>
      </c>
      <c r="DR282" s="138" t="e">
        <f>IF(VLOOKUP(CONCATENATE(H282,F282,DR$2),Inglés!$A:$H,7,FALSE)=AF282,1,0)</f>
        <v>#N/A</v>
      </c>
      <c r="DS282" s="138" t="e">
        <f>IF(VLOOKUP(CONCATENATE(H282,F282,DS$2),Inglés!$A:$H,7,FALSE)=AG282,1,0)</f>
        <v>#N/A</v>
      </c>
      <c r="DT282" s="138" t="e">
        <f>IF(VLOOKUP(CONCATENATE(H282,F282,DT$2),Inglés!$A:$H,7,FALSE)=AH282,1,0)</f>
        <v>#N/A</v>
      </c>
      <c r="DU282" s="138" t="e">
        <f>IF(VLOOKUP(CONCATENATE(H282,F282,DU$2),Inglés!$A:$H,7,FALSE)=AI282,1,0)</f>
        <v>#N/A</v>
      </c>
      <c r="DV282" s="138" t="e">
        <f>IF(VLOOKUP(CONCATENATE(H282,F282,DV$2),Inglés!$A:$H,7,FALSE)=AJ282,1,0)</f>
        <v>#N/A</v>
      </c>
      <c r="DW282" s="138" t="e">
        <f>IF(VLOOKUP(CONCATENATE(H282,F282,DW$2),Inglés!$A:$H,7,FALSE)=AK282,1,0)</f>
        <v>#N/A</v>
      </c>
      <c r="DX282" s="138" t="e">
        <f>IF(VLOOKUP(CONCATENATE(H282,F282,DX$2),Inglés!$A:$H,7,FALSE)=AL282,1,0)</f>
        <v>#N/A</v>
      </c>
      <c r="DY282" s="138" t="e">
        <f>IF(VLOOKUP(CONCATENATE(H282,F282,DY$2),Inglés!$A:$H,7,FALSE)=AM282,1,0)</f>
        <v>#N/A</v>
      </c>
      <c r="DZ282" s="138" t="e">
        <f>IF(VLOOKUP(CONCATENATE(H282,F282,DZ$2),Inglés!$A:$H,7,FALSE)=AN282,1,0)</f>
        <v>#N/A</v>
      </c>
      <c r="EA282" s="138" t="e">
        <f>IF(VLOOKUP(CONCATENATE(H282,F282,EA$2),Inglés!$A:$H,7,FALSE)=AO282,1,0)</f>
        <v>#N/A</v>
      </c>
      <c r="EB282" s="138" t="e">
        <f>IF(VLOOKUP(CONCATENATE(H282,F282,EB$2),Matemáticas!$A:$H,7,FALSE)=AP282,1,0)</f>
        <v>#N/A</v>
      </c>
      <c r="EC282" s="138" t="e">
        <f>IF(VLOOKUP(CONCATENATE(H282,F282,EC$2),Matemáticas!$A:$H,7,FALSE)=AQ282,1,0)</f>
        <v>#N/A</v>
      </c>
      <c r="ED282" s="138" t="e">
        <f>IF(VLOOKUP(CONCATENATE(H282,F282,ED$2),Matemáticas!$A:$H,7,FALSE)=AR282,1,0)</f>
        <v>#N/A</v>
      </c>
      <c r="EE282" s="138" t="e">
        <f>IF(VLOOKUP(CONCATENATE(H282,F282,EE$2),Matemáticas!$A:$H,7,FALSE)=AS282,1,0)</f>
        <v>#N/A</v>
      </c>
      <c r="EF282" s="138" t="e">
        <f>IF(VLOOKUP(CONCATENATE(H282,F282,EF$2),Matemáticas!$A:$H,7,FALSE)=AT282,1,0)</f>
        <v>#N/A</v>
      </c>
      <c r="EG282" s="138" t="e">
        <f>IF(VLOOKUP(CONCATENATE(H282,F282,EG$2),Matemáticas!$A:$H,7,FALSE)=AU282,1,0)</f>
        <v>#N/A</v>
      </c>
      <c r="EH282" s="138" t="e">
        <f>IF(VLOOKUP(CONCATENATE(H282,F282,EH$2),Matemáticas!$A:$H,7,FALSE)=AV282,1,0)</f>
        <v>#N/A</v>
      </c>
      <c r="EI282" s="138" t="e">
        <f>IF(VLOOKUP(CONCATENATE(H282,F282,EI$2),Matemáticas!$A:$H,7,FALSE)=AW282,1,0)</f>
        <v>#N/A</v>
      </c>
      <c r="EJ282" s="138" t="e">
        <f>IF(VLOOKUP(CONCATENATE(H282,F282,EJ$2),Matemáticas!$A:$H,7,FALSE)=AX282,1,0)</f>
        <v>#N/A</v>
      </c>
      <c r="EK282" s="138" t="e">
        <f>IF(VLOOKUP(CONCATENATE(H282,F282,EK$2),Matemáticas!$A:$H,7,FALSE)=AY282,1,0)</f>
        <v>#N/A</v>
      </c>
      <c r="EL282" s="138" t="e">
        <f>IF(VLOOKUP(CONCATENATE(H282,F282,EL$2),Matemáticas!$A:$H,7,FALSE)=AZ282,1,0)</f>
        <v>#N/A</v>
      </c>
      <c r="EM282" s="138" t="e">
        <f>IF(VLOOKUP(CONCATENATE(H282,F282,EM$2),Matemáticas!$A:$H,7,FALSE)=BA282,1,0)</f>
        <v>#N/A</v>
      </c>
      <c r="EN282" s="138" t="e">
        <f>IF(VLOOKUP(CONCATENATE(H282,F282,EN$2),Matemáticas!$A:$H,7,FALSE)=BB282,1,0)</f>
        <v>#N/A</v>
      </c>
      <c r="EO282" s="138" t="e">
        <f>IF(VLOOKUP(CONCATENATE(H282,F282,EO$2),Matemáticas!$A:$H,7,FALSE)=BC282,1,0)</f>
        <v>#N/A</v>
      </c>
      <c r="EP282" s="138" t="e">
        <f>IF(VLOOKUP(CONCATENATE(H282,F282,EP$2),Matemáticas!$A:$H,7,FALSE)=BD282,1,0)</f>
        <v>#N/A</v>
      </c>
      <c r="EQ282" s="138" t="e">
        <f>IF(VLOOKUP(CONCATENATE(H282,F282,EQ$2),Matemáticas!$A:$H,7,FALSE)=BE282,1,0)</f>
        <v>#N/A</v>
      </c>
      <c r="ER282" s="138" t="e">
        <f>IF(VLOOKUP(CONCATENATE(H282,F282,ER$2),Matemáticas!$A:$H,7,FALSE)=BF282,1,0)</f>
        <v>#N/A</v>
      </c>
      <c r="ES282" s="138" t="e">
        <f>IF(VLOOKUP(CONCATENATE(H282,F282,ES$2),Matemáticas!$A:$H,7,FALSE)=BG282,1,0)</f>
        <v>#N/A</v>
      </c>
      <c r="ET282" s="138" t="e">
        <f>IF(VLOOKUP(CONCATENATE(H282,F282,ET$2),Matemáticas!$A:$H,7,FALSE)=BH282,1,0)</f>
        <v>#N/A</v>
      </c>
      <c r="EU282" s="138" t="e">
        <f>IF(VLOOKUP(CONCATENATE(H282,F282,EU$2),Matemáticas!$A:$H,7,FALSE)=BI282,1,0)</f>
        <v>#N/A</v>
      </c>
      <c r="EV282" s="138" t="e">
        <f>IF(VLOOKUP(CONCATENATE(H282,F282,EV$2),Ciencias!$A:$H,7,FALSE)=BJ282,1,0)</f>
        <v>#N/A</v>
      </c>
      <c r="EW282" s="138" t="e">
        <f>IF(VLOOKUP(CONCATENATE(H282,F282,EW$2),Ciencias!$A:$H,7,FALSE)=BK282,1,0)</f>
        <v>#N/A</v>
      </c>
      <c r="EX282" s="138" t="e">
        <f>IF(VLOOKUP(CONCATENATE(H282,F282,EX$2),Ciencias!$A:$H,7,FALSE)=BL282,1,0)</f>
        <v>#N/A</v>
      </c>
      <c r="EY282" s="138" t="e">
        <f>IF(VLOOKUP(CONCATENATE(H282,F282,EY$2),Ciencias!$A:$H,7,FALSE)=BM282,1,0)</f>
        <v>#N/A</v>
      </c>
      <c r="EZ282" s="138" t="e">
        <f>IF(VLOOKUP(CONCATENATE(H282,F282,EZ$2),Ciencias!$A:$H,7,FALSE)=BN282,1,0)</f>
        <v>#N/A</v>
      </c>
      <c r="FA282" s="138" t="e">
        <f>IF(VLOOKUP(CONCATENATE(H282,F282,FA$2),Ciencias!$A:$H,7,FALSE)=BO282,1,0)</f>
        <v>#N/A</v>
      </c>
      <c r="FB282" s="138" t="e">
        <f>IF(VLOOKUP(CONCATENATE(H282,F282,FB$2),Ciencias!$A:$H,7,FALSE)=BP282,1,0)</f>
        <v>#N/A</v>
      </c>
      <c r="FC282" s="138" t="e">
        <f>IF(VLOOKUP(CONCATENATE(H282,F282,FC$2),Ciencias!$A:$H,7,FALSE)=BQ282,1,0)</f>
        <v>#N/A</v>
      </c>
      <c r="FD282" s="138" t="e">
        <f>IF(VLOOKUP(CONCATENATE(H282,F282,FD$2),Ciencias!$A:$H,7,FALSE)=BR282,1,0)</f>
        <v>#N/A</v>
      </c>
      <c r="FE282" s="138" t="e">
        <f>IF(VLOOKUP(CONCATENATE(H282,F282,FE$2),Ciencias!$A:$H,7,FALSE)=BS282,1,0)</f>
        <v>#N/A</v>
      </c>
      <c r="FF282" s="138" t="e">
        <f>IF(VLOOKUP(CONCATENATE(H282,F282,FF$2),Ciencias!$A:$H,7,FALSE)=BT282,1,0)</f>
        <v>#N/A</v>
      </c>
      <c r="FG282" s="138" t="e">
        <f>IF(VLOOKUP(CONCATENATE(H282,F282,FG$2),Ciencias!$A:$H,7,FALSE)=BU282,1,0)</f>
        <v>#N/A</v>
      </c>
      <c r="FH282" s="138" t="e">
        <f>IF(VLOOKUP(CONCATENATE(H282,F282,FH$2),Ciencias!$A:$H,7,FALSE)=BV282,1,0)</f>
        <v>#N/A</v>
      </c>
      <c r="FI282" s="138" t="e">
        <f>IF(VLOOKUP(CONCATENATE(H282,F282,FI$2),Ciencias!$A:$H,7,FALSE)=BW282,1,0)</f>
        <v>#N/A</v>
      </c>
      <c r="FJ282" s="138" t="e">
        <f>IF(VLOOKUP(CONCATENATE(H282,F282,FJ$2),Ciencias!$A:$H,7,FALSE)=BX282,1,0)</f>
        <v>#N/A</v>
      </c>
      <c r="FK282" s="138" t="e">
        <f>IF(VLOOKUP(CONCATENATE(H282,F282,FK$2),Ciencias!$A:$H,7,FALSE)=BY282,1,0)</f>
        <v>#N/A</v>
      </c>
      <c r="FL282" s="138" t="e">
        <f>IF(VLOOKUP(CONCATENATE(H282,F282,FL$2),Ciencias!$A:$H,7,FALSE)=BZ282,1,0)</f>
        <v>#N/A</v>
      </c>
      <c r="FM282" s="138" t="e">
        <f>IF(VLOOKUP(CONCATENATE(H282,F282,FM$2),Ciencias!$A:$H,7,FALSE)=CA282,1,0)</f>
        <v>#N/A</v>
      </c>
      <c r="FN282" s="138" t="e">
        <f>IF(VLOOKUP(CONCATENATE(H282,F282,FN$2),Ciencias!$A:$H,7,FALSE)=CB282,1,0)</f>
        <v>#N/A</v>
      </c>
      <c r="FO282" s="138" t="e">
        <f>IF(VLOOKUP(CONCATENATE(H282,F282,FO$2),Ciencias!$A:$H,7,FALSE)=CC282,1,0)</f>
        <v>#N/A</v>
      </c>
      <c r="FP282" s="138" t="e">
        <f>IF(VLOOKUP(CONCATENATE(H282,F282,FP$2),GeoHis!$A:$H,7,FALSE)=CD282,1,0)</f>
        <v>#N/A</v>
      </c>
      <c r="FQ282" s="138" t="e">
        <f>IF(VLOOKUP(CONCATENATE(H282,F282,FQ$2),GeoHis!$A:$H,7,FALSE)=CE282,1,0)</f>
        <v>#N/A</v>
      </c>
      <c r="FR282" s="138" t="e">
        <f>IF(VLOOKUP(CONCATENATE(H282,F282,FR$2),GeoHis!$A:$H,7,FALSE)=CF282,1,0)</f>
        <v>#N/A</v>
      </c>
      <c r="FS282" s="138" t="e">
        <f>IF(VLOOKUP(CONCATENATE(H282,F282,FS$2),GeoHis!$A:$H,7,FALSE)=CG282,1,0)</f>
        <v>#N/A</v>
      </c>
      <c r="FT282" s="138" t="e">
        <f>IF(VLOOKUP(CONCATENATE(H282,F282,FT$2),GeoHis!$A:$H,7,FALSE)=CH282,1,0)</f>
        <v>#N/A</v>
      </c>
      <c r="FU282" s="138" t="e">
        <f>IF(VLOOKUP(CONCATENATE(H282,F282,FU$2),GeoHis!$A:$H,7,FALSE)=CI282,1,0)</f>
        <v>#N/A</v>
      </c>
      <c r="FV282" s="138" t="e">
        <f>IF(VLOOKUP(CONCATENATE(H282,F282,FV$2),GeoHis!$A:$H,7,FALSE)=CJ282,1,0)</f>
        <v>#N/A</v>
      </c>
      <c r="FW282" s="138" t="e">
        <f>IF(VLOOKUP(CONCATENATE(H282,F282,FW$2),GeoHis!$A:$H,7,FALSE)=CK282,1,0)</f>
        <v>#N/A</v>
      </c>
      <c r="FX282" s="138" t="e">
        <f>IF(VLOOKUP(CONCATENATE(H282,F282,FX$2),GeoHis!$A:$H,7,FALSE)=CL282,1,0)</f>
        <v>#N/A</v>
      </c>
      <c r="FY282" s="138" t="e">
        <f>IF(VLOOKUP(CONCATENATE(H282,F282,FY$2),GeoHis!$A:$H,7,FALSE)=CM282,1,0)</f>
        <v>#N/A</v>
      </c>
      <c r="FZ282" s="138" t="e">
        <f>IF(VLOOKUP(CONCATENATE(H282,F282,FZ$2),GeoHis!$A:$H,7,FALSE)=CN282,1,0)</f>
        <v>#N/A</v>
      </c>
      <c r="GA282" s="138" t="e">
        <f>IF(VLOOKUP(CONCATENATE(H282,F282,GA$2),GeoHis!$A:$H,7,FALSE)=CO282,1,0)</f>
        <v>#N/A</v>
      </c>
      <c r="GB282" s="138" t="e">
        <f>IF(VLOOKUP(CONCATENATE(H282,F282,GB$2),GeoHis!$A:$H,7,FALSE)=CP282,1,0)</f>
        <v>#N/A</v>
      </c>
      <c r="GC282" s="138" t="e">
        <f>IF(VLOOKUP(CONCATENATE(H282,F282,GC$2),GeoHis!$A:$H,7,FALSE)=CQ282,1,0)</f>
        <v>#N/A</v>
      </c>
      <c r="GD282" s="138" t="e">
        <f>IF(VLOOKUP(CONCATENATE(H282,F282,GD$2),GeoHis!$A:$H,7,FALSE)=CR282,1,0)</f>
        <v>#N/A</v>
      </c>
      <c r="GE282" s="135" t="str">
        <f t="shared" si="39"/>
        <v/>
      </c>
    </row>
    <row r="283" spans="1:187" x14ac:dyDescent="0.25">
      <c r="A283" s="127" t="str">
        <f>IF(C283="","",'Datos Generales'!$A$25)</f>
        <v/>
      </c>
      <c r="D283" s="126" t="str">
        <f t="shared" si="32"/>
        <v/>
      </c>
      <c r="E283" s="126">
        <f t="shared" si="33"/>
        <v>0</v>
      </c>
      <c r="F283" s="126" t="str">
        <f t="shared" si="34"/>
        <v/>
      </c>
      <c r="G283" s="126" t="str">
        <f>IF(C283="","",'Datos Generales'!$D$19)</f>
        <v/>
      </c>
      <c r="H283" s="21" t="str">
        <f>IF(C283="","",'Datos Generales'!$A$19)</f>
        <v/>
      </c>
      <c r="I283" s="126" t="str">
        <f>IF(C283="","",'Datos Generales'!$A$7)</f>
        <v/>
      </c>
      <c r="J283" s="21" t="str">
        <f>IF(C283="","",'Datos Generales'!$A$13)</f>
        <v/>
      </c>
      <c r="K283" s="21" t="str">
        <f>IF(C283="","",'Datos Generales'!$A$10)</f>
        <v/>
      </c>
      <c r="CS283" s="142" t="str">
        <f t="shared" si="35"/>
        <v/>
      </c>
      <c r="CT283" s="142" t="str">
        <f t="shared" si="36"/>
        <v/>
      </c>
      <c r="CU283" s="142" t="str">
        <f t="shared" si="37"/>
        <v/>
      </c>
      <c r="CV283" s="142" t="str">
        <f t="shared" si="38"/>
        <v/>
      </c>
      <c r="CW283" s="142" t="str">
        <f>IF(C283="","",IF('Datos Generales'!$A$19=1,AVERAGE(FP283:GD283),AVERAGE(Captura!FP283:FY283)))</f>
        <v/>
      </c>
      <c r="CX283" s="138" t="e">
        <f>IF(VLOOKUP(CONCATENATE($H$4,$F$4,CX$2),Español!$A:$H,7,FALSE)=L283,1,0)</f>
        <v>#N/A</v>
      </c>
      <c r="CY283" s="138" t="e">
        <f>IF(VLOOKUP(CONCATENATE(H283,F283,CY$2),Español!$A:$H,7,FALSE)=M283,1,0)</f>
        <v>#N/A</v>
      </c>
      <c r="CZ283" s="138" t="e">
        <f>IF(VLOOKUP(CONCATENATE(H283,F283,CZ$2),Español!$A:$H,7,FALSE)=N283,1,0)</f>
        <v>#N/A</v>
      </c>
      <c r="DA283" s="138" t="e">
        <f>IF(VLOOKUP(CONCATENATE(H283,F283,DA$2),Español!$A:$H,7,FALSE)=O283,1,0)</f>
        <v>#N/A</v>
      </c>
      <c r="DB283" s="138" t="e">
        <f>IF(VLOOKUP(CONCATENATE(H283,F283,DB$2),Español!$A:$H,7,FALSE)=P283,1,0)</f>
        <v>#N/A</v>
      </c>
      <c r="DC283" s="138" t="e">
        <f>IF(VLOOKUP(CONCATENATE(H283,F283,DC$2),Español!$A:$H,7,FALSE)=Q283,1,0)</f>
        <v>#N/A</v>
      </c>
      <c r="DD283" s="138" t="e">
        <f>IF(VLOOKUP(CONCATENATE(H283,F283,DD$2),Español!$A:$H,7,FALSE)=R283,1,0)</f>
        <v>#N/A</v>
      </c>
      <c r="DE283" s="138" t="e">
        <f>IF(VLOOKUP(CONCATENATE(H283,F283,DE$2),Español!$A:$H,7,FALSE)=S283,1,0)</f>
        <v>#N/A</v>
      </c>
      <c r="DF283" s="138" t="e">
        <f>IF(VLOOKUP(CONCATENATE(H283,F283,DF$2),Español!$A:$H,7,FALSE)=T283,1,0)</f>
        <v>#N/A</v>
      </c>
      <c r="DG283" s="138" t="e">
        <f>IF(VLOOKUP(CONCATENATE(H283,F283,DG$2),Español!$A:$H,7,FALSE)=U283,1,0)</f>
        <v>#N/A</v>
      </c>
      <c r="DH283" s="138" t="e">
        <f>IF(VLOOKUP(CONCATENATE(H283,F283,DH$2),Español!$A:$H,7,FALSE)=V283,1,0)</f>
        <v>#N/A</v>
      </c>
      <c r="DI283" s="138" t="e">
        <f>IF(VLOOKUP(CONCATENATE(H283,F283,DI$2),Español!$A:$H,7,FALSE)=W283,1,0)</f>
        <v>#N/A</v>
      </c>
      <c r="DJ283" s="138" t="e">
        <f>IF(VLOOKUP(CONCATENATE(H283,F283,DJ$2),Español!$A:$H,7,FALSE)=X283,1,0)</f>
        <v>#N/A</v>
      </c>
      <c r="DK283" s="138" t="e">
        <f>IF(VLOOKUP(CONCATENATE(H283,F283,DK$2),Español!$A:$H,7,FALSE)=Y283,1,0)</f>
        <v>#N/A</v>
      </c>
      <c r="DL283" s="138" t="e">
        <f>IF(VLOOKUP(CONCATENATE(H283,F283,DL$2),Español!$A:$H,7,FALSE)=Z283,1,0)</f>
        <v>#N/A</v>
      </c>
      <c r="DM283" s="138" t="e">
        <f>IF(VLOOKUP(CONCATENATE(H283,F283,DM$2),Español!$A:$H,7,FALSE)=AA283,1,0)</f>
        <v>#N/A</v>
      </c>
      <c r="DN283" s="138" t="e">
        <f>IF(VLOOKUP(CONCATENATE(H283,F283,DN$2),Español!$A:$H,7,FALSE)=AB283,1,0)</f>
        <v>#N/A</v>
      </c>
      <c r="DO283" s="138" t="e">
        <f>IF(VLOOKUP(CONCATENATE(H283,F283,DO$2),Español!$A:$H,7,FALSE)=AC283,1,0)</f>
        <v>#N/A</v>
      </c>
      <c r="DP283" s="138" t="e">
        <f>IF(VLOOKUP(CONCATENATE(H283,F283,DP$2),Español!$A:$H,7,FALSE)=AD283,1,0)</f>
        <v>#N/A</v>
      </c>
      <c r="DQ283" s="138" t="e">
        <f>IF(VLOOKUP(CONCATENATE(H283,F283,DQ$2),Español!$A:$H,7,FALSE)=AE283,1,0)</f>
        <v>#N/A</v>
      </c>
      <c r="DR283" s="138" t="e">
        <f>IF(VLOOKUP(CONCATENATE(H283,F283,DR$2),Inglés!$A:$H,7,FALSE)=AF283,1,0)</f>
        <v>#N/A</v>
      </c>
      <c r="DS283" s="138" t="e">
        <f>IF(VLOOKUP(CONCATENATE(H283,F283,DS$2),Inglés!$A:$H,7,FALSE)=AG283,1,0)</f>
        <v>#N/A</v>
      </c>
      <c r="DT283" s="138" t="e">
        <f>IF(VLOOKUP(CONCATENATE(H283,F283,DT$2),Inglés!$A:$H,7,FALSE)=AH283,1,0)</f>
        <v>#N/A</v>
      </c>
      <c r="DU283" s="138" t="e">
        <f>IF(VLOOKUP(CONCATENATE(H283,F283,DU$2),Inglés!$A:$H,7,FALSE)=AI283,1,0)</f>
        <v>#N/A</v>
      </c>
      <c r="DV283" s="138" t="e">
        <f>IF(VLOOKUP(CONCATENATE(H283,F283,DV$2),Inglés!$A:$H,7,FALSE)=AJ283,1,0)</f>
        <v>#N/A</v>
      </c>
      <c r="DW283" s="138" t="e">
        <f>IF(VLOOKUP(CONCATENATE(H283,F283,DW$2),Inglés!$A:$H,7,FALSE)=AK283,1,0)</f>
        <v>#N/A</v>
      </c>
      <c r="DX283" s="138" t="e">
        <f>IF(VLOOKUP(CONCATENATE(H283,F283,DX$2),Inglés!$A:$H,7,FALSE)=AL283,1,0)</f>
        <v>#N/A</v>
      </c>
      <c r="DY283" s="138" t="e">
        <f>IF(VLOOKUP(CONCATENATE(H283,F283,DY$2),Inglés!$A:$H,7,FALSE)=AM283,1,0)</f>
        <v>#N/A</v>
      </c>
      <c r="DZ283" s="138" t="e">
        <f>IF(VLOOKUP(CONCATENATE(H283,F283,DZ$2),Inglés!$A:$H,7,FALSE)=AN283,1,0)</f>
        <v>#N/A</v>
      </c>
      <c r="EA283" s="138" t="e">
        <f>IF(VLOOKUP(CONCATENATE(H283,F283,EA$2),Inglés!$A:$H,7,FALSE)=AO283,1,0)</f>
        <v>#N/A</v>
      </c>
      <c r="EB283" s="138" t="e">
        <f>IF(VLOOKUP(CONCATENATE(H283,F283,EB$2),Matemáticas!$A:$H,7,FALSE)=AP283,1,0)</f>
        <v>#N/A</v>
      </c>
      <c r="EC283" s="138" t="e">
        <f>IF(VLOOKUP(CONCATENATE(H283,F283,EC$2),Matemáticas!$A:$H,7,FALSE)=AQ283,1,0)</f>
        <v>#N/A</v>
      </c>
      <c r="ED283" s="138" t="e">
        <f>IF(VLOOKUP(CONCATENATE(H283,F283,ED$2),Matemáticas!$A:$H,7,FALSE)=AR283,1,0)</f>
        <v>#N/A</v>
      </c>
      <c r="EE283" s="138" t="e">
        <f>IF(VLOOKUP(CONCATENATE(H283,F283,EE$2),Matemáticas!$A:$H,7,FALSE)=AS283,1,0)</f>
        <v>#N/A</v>
      </c>
      <c r="EF283" s="138" t="e">
        <f>IF(VLOOKUP(CONCATENATE(H283,F283,EF$2),Matemáticas!$A:$H,7,FALSE)=AT283,1,0)</f>
        <v>#N/A</v>
      </c>
      <c r="EG283" s="138" t="e">
        <f>IF(VLOOKUP(CONCATENATE(H283,F283,EG$2),Matemáticas!$A:$H,7,FALSE)=AU283,1,0)</f>
        <v>#N/A</v>
      </c>
      <c r="EH283" s="138" t="e">
        <f>IF(VLOOKUP(CONCATENATE(H283,F283,EH$2),Matemáticas!$A:$H,7,FALSE)=AV283,1,0)</f>
        <v>#N/A</v>
      </c>
      <c r="EI283" s="138" t="e">
        <f>IF(VLOOKUP(CONCATENATE(H283,F283,EI$2),Matemáticas!$A:$H,7,FALSE)=AW283,1,0)</f>
        <v>#N/A</v>
      </c>
      <c r="EJ283" s="138" t="e">
        <f>IF(VLOOKUP(CONCATENATE(H283,F283,EJ$2),Matemáticas!$A:$H,7,FALSE)=AX283,1,0)</f>
        <v>#N/A</v>
      </c>
      <c r="EK283" s="138" t="e">
        <f>IF(VLOOKUP(CONCATENATE(H283,F283,EK$2),Matemáticas!$A:$H,7,FALSE)=AY283,1,0)</f>
        <v>#N/A</v>
      </c>
      <c r="EL283" s="138" t="e">
        <f>IF(VLOOKUP(CONCATENATE(H283,F283,EL$2),Matemáticas!$A:$H,7,FALSE)=AZ283,1,0)</f>
        <v>#N/A</v>
      </c>
      <c r="EM283" s="138" t="e">
        <f>IF(VLOOKUP(CONCATENATE(H283,F283,EM$2),Matemáticas!$A:$H,7,FALSE)=BA283,1,0)</f>
        <v>#N/A</v>
      </c>
      <c r="EN283" s="138" t="e">
        <f>IF(VLOOKUP(CONCATENATE(H283,F283,EN$2),Matemáticas!$A:$H,7,FALSE)=BB283,1,0)</f>
        <v>#N/A</v>
      </c>
      <c r="EO283" s="138" t="e">
        <f>IF(VLOOKUP(CONCATENATE(H283,F283,EO$2),Matemáticas!$A:$H,7,FALSE)=BC283,1,0)</f>
        <v>#N/A</v>
      </c>
      <c r="EP283" s="138" t="e">
        <f>IF(VLOOKUP(CONCATENATE(H283,F283,EP$2),Matemáticas!$A:$H,7,FALSE)=BD283,1,0)</f>
        <v>#N/A</v>
      </c>
      <c r="EQ283" s="138" t="e">
        <f>IF(VLOOKUP(CONCATENATE(H283,F283,EQ$2),Matemáticas!$A:$H,7,FALSE)=BE283,1,0)</f>
        <v>#N/A</v>
      </c>
      <c r="ER283" s="138" t="e">
        <f>IF(VLOOKUP(CONCATENATE(H283,F283,ER$2),Matemáticas!$A:$H,7,FALSE)=BF283,1,0)</f>
        <v>#N/A</v>
      </c>
      <c r="ES283" s="138" t="e">
        <f>IF(VLOOKUP(CONCATENATE(H283,F283,ES$2),Matemáticas!$A:$H,7,FALSE)=BG283,1,0)</f>
        <v>#N/A</v>
      </c>
      <c r="ET283" s="138" t="e">
        <f>IF(VLOOKUP(CONCATENATE(H283,F283,ET$2),Matemáticas!$A:$H,7,FALSE)=BH283,1,0)</f>
        <v>#N/A</v>
      </c>
      <c r="EU283" s="138" t="e">
        <f>IF(VLOOKUP(CONCATENATE(H283,F283,EU$2),Matemáticas!$A:$H,7,FALSE)=BI283,1,0)</f>
        <v>#N/A</v>
      </c>
      <c r="EV283" s="138" t="e">
        <f>IF(VLOOKUP(CONCATENATE(H283,F283,EV$2),Ciencias!$A:$H,7,FALSE)=BJ283,1,0)</f>
        <v>#N/A</v>
      </c>
      <c r="EW283" s="138" t="e">
        <f>IF(VLOOKUP(CONCATENATE(H283,F283,EW$2),Ciencias!$A:$H,7,FALSE)=BK283,1,0)</f>
        <v>#N/A</v>
      </c>
      <c r="EX283" s="138" t="e">
        <f>IF(VLOOKUP(CONCATENATE(H283,F283,EX$2),Ciencias!$A:$H,7,FALSE)=BL283,1,0)</f>
        <v>#N/A</v>
      </c>
      <c r="EY283" s="138" t="e">
        <f>IF(VLOOKUP(CONCATENATE(H283,F283,EY$2),Ciencias!$A:$H,7,FALSE)=BM283,1,0)</f>
        <v>#N/A</v>
      </c>
      <c r="EZ283" s="138" t="e">
        <f>IF(VLOOKUP(CONCATENATE(H283,F283,EZ$2),Ciencias!$A:$H,7,FALSE)=BN283,1,0)</f>
        <v>#N/A</v>
      </c>
      <c r="FA283" s="138" t="e">
        <f>IF(VLOOKUP(CONCATENATE(H283,F283,FA$2),Ciencias!$A:$H,7,FALSE)=BO283,1,0)</f>
        <v>#N/A</v>
      </c>
      <c r="FB283" s="138" t="e">
        <f>IF(VLOOKUP(CONCATENATE(H283,F283,FB$2),Ciencias!$A:$H,7,FALSE)=BP283,1,0)</f>
        <v>#N/A</v>
      </c>
      <c r="FC283" s="138" t="e">
        <f>IF(VLOOKUP(CONCATENATE(H283,F283,FC$2),Ciencias!$A:$H,7,FALSE)=BQ283,1,0)</f>
        <v>#N/A</v>
      </c>
      <c r="FD283" s="138" t="e">
        <f>IF(VLOOKUP(CONCATENATE(H283,F283,FD$2),Ciencias!$A:$H,7,FALSE)=BR283,1,0)</f>
        <v>#N/A</v>
      </c>
      <c r="FE283" s="138" t="e">
        <f>IF(VLOOKUP(CONCATENATE(H283,F283,FE$2),Ciencias!$A:$H,7,FALSE)=BS283,1,0)</f>
        <v>#N/A</v>
      </c>
      <c r="FF283" s="138" t="e">
        <f>IF(VLOOKUP(CONCATENATE(H283,F283,FF$2),Ciencias!$A:$H,7,FALSE)=BT283,1,0)</f>
        <v>#N/A</v>
      </c>
      <c r="FG283" s="138" t="e">
        <f>IF(VLOOKUP(CONCATENATE(H283,F283,FG$2),Ciencias!$A:$H,7,FALSE)=BU283,1,0)</f>
        <v>#N/A</v>
      </c>
      <c r="FH283" s="138" t="e">
        <f>IF(VLOOKUP(CONCATENATE(H283,F283,FH$2),Ciencias!$A:$H,7,FALSE)=BV283,1,0)</f>
        <v>#N/A</v>
      </c>
      <c r="FI283" s="138" t="e">
        <f>IF(VLOOKUP(CONCATENATE(H283,F283,FI$2),Ciencias!$A:$H,7,FALSE)=BW283,1,0)</f>
        <v>#N/A</v>
      </c>
      <c r="FJ283" s="138" t="e">
        <f>IF(VLOOKUP(CONCATENATE(H283,F283,FJ$2),Ciencias!$A:$H,7,FALSE)=BX283,1,0)</f>
        <v>#N/A</v>
      </c>
      <c r="FK283" s="138" t="e">
        <f>IF(VLOOKUP(CONCATENATE(H283,F283,FK$2),Ciencias!$A:$H,7,FALSE)=BY283,1,0)</f>
        <v>#N/A</v>
      </c>
      <c r="FL283" s="138" t="e">
        <f>IF(VLOOKUP(CONCATENATE(H283,F283,FL$2),Ciencias!$A:$H,7,FALSE)=BZ283,1,0)</f>
        <v>#N/A</v>
      </c>
      <c r="FM283" s="138" t="e">
        <f>IF(VLOOKUP(CONCATENATE(H283,F283,FM$2),Ciencias!$A:$H,7,FALSE)=CA283,1,0)</f>
        <v>#N/A</v>
      </c>
      <c r="FN283" s="138" t="e">
        <f>IF(VLOOKUP(CONCATENATE(H283,F283,FN$2),Ciencias!$A:$H,7,FALSE)=CB283,1,0)</f>
        <v>#N/A</v>
      </c>
      <c r="FO283" s="138" t="e">
        <f>IF(VLOOKUP(CONCATENATE(H283,F283,FO$2),Ciencias!$A:$H,7,FALSE)=CC283,1,0)</f>
        <v>#N/A</v>
      </c>
      <c r="FP283" s="138" t="e">
        <f>IF(VLOOKUP(CONCATENATE(H283,F283,FP$2),GeoHis!$A:$H,7,FALSE)=CD283,1,0)</f>
        <v>#N/A</v>
      </c>
      <c r="FQ283" s="138" t="e">
        <f>IF(VLOOKUP(CONCATENATE(H283,F283,FQ$2),GeoHis!$A:$H,7,FALSE)=CE283,1,0)</f>
        <v>#N/A</v>
      </c>
      <c r="FR283" s="138" t="e">
        <f>IF(VLOOKUP(CONCATENATE(H283,F283,FR$2),GeoHis!$A:$H,7,FALSE)=CF283,1,0)</f>
        <v>#N/A</v>
      </c>
      <c r="FS283" s="138" t="e">
        <f>IF(VLOOKUP(CONCATENATE(H283,F283,FS$2),GeoHis!$A:$H,7,FALSE)=CG283,1,0)</f>
        <v>#N/A</v>
      </c>
      <c r="FT283" s="138" t="e">
        <f>IF(VLOOKUP(CONCATENATE(H283,F283,FT$2),GeoHis!$A:$H,7,FALSE)=CH283,1,0)</f>
        <v>#N/A</v>
      </c>
      <c r="FU283" s="138" t="e">
        <f>IF(VLOOKUP(CONCATENATE(H283,F283,FU$2),GeoHis!$A:$H,7,FALSE)=CI283,1,0)</f>
        <v>#N/A</v>
      </c>
      <c r="FV283" s="138" t="e">
        <f>IF(VLOOKUP(CONCATENATE(H283,F283,FV$2),GeoHis!$A:$H,7,FALSE)=CJ283,1,0)</f>
        <v>#N/A</v>
      </c>
      <c r="FW283" s="138" t="e">
        <f>IF(VLOOKUP(CONCATENATE(H283,F283,FW$2),GeoHis!$A:$H,7,FALSE)=CK283,1,0)</f>
        <v>#N/A</v>
      </c>
      <c r="FX283" s="138" t="e">
        <f>IF(VLOOKUP(CONCATENATE(H283,F283,FX$2),GeoHis!$A:$H,7,FALSE)=CL283,1,0)</f>
        <v>#N/A</v>
      </c>
      <c r="FY283" s="138" t="e">
        <f>IF(VLOOKUP(CONCATENATE(H283,F283,FY$2),GeoHis!$A:$H,7,FALSE)=CM283,1,0)</f>
        <v>#N/A</v>
      </c>
      <c r="FZ283" s="138" t="e">
        <f>IF(VLOOKUP(CONCATENATE(H283,F283,FZ$2),GeoHis!$A:$H,7,FALSE)=CN283,1,0)</f>
        <v>#N/A</v>
      </c>
      <c r="GA283" s="138" t="e">
        <f>IF(VLOOKUP(CONCATENATE(H283,F283,GA$2),GeoHis!$A:$H,7,FALSE)=CO283,1,0)</f>
        <v>#N/A</v>
      </c>
      <c r="GB283" s="138" t="e">
        <f>IF(VLOOKUP(CONCATENATE(H283,F283,GB$2),GeoHis!$A:$H,7,FALSE)=CP283,1,0)</f>
        <v>#N/A</v>
      </c>
      <c r="GC283" s="138" t="e">
        <f>IF(VLOOKUP(CONCATENATE(H283,F283,GC$2),GeoHis!$A:$H,7,FALSE)=CQ283,1,0)</f>
        <v>#N/A</v>
      </c>
      <c r="GD283" s="138" t="e">
        <f>IF(VLOOKUP(CONCATENATE(H283,F283,GD$2),GeoHis!$A:$H,7,FALSE)=CR283,1,0)</f>
        <v>#N/A</v>
      </c>
      <c r="GE283" s="135" t="str">
        <f t="shared" si="39"/>
        <v/>
      </c>
    </row>
    <row r="284" spans="1:187" x14ac:dyDescent="0.25">
      <c r="A284" s="127" t="str">
        <f>IF(C284="","",'Datos Generales'!$A$25)</f>
        <v/>
      </c>
      <c r="D284" s="126" t="str">
        <f t="shared" si="32"/>
        <v/>
      </c>
      <c r="E284" s="126">
        <f t="shared" si="33"/>
        <v>0</v>
      </c>
      <c r="F284" s="126" t="str">
        <f t="shared" si="34"/>
        <v/>
      </c>
      <c r="G284" s="126" t="str">
        <f>IF(C284="","",'Datos Generales'!$D$19)</f>
        <v/>
      </c>
      <c r="H284" s="21" t="str">
        <f>IF(C284="","",'Datos Generales'!$A$19)</f>
        <v/>
      </c>
      <c r="I284" s="126" t="str">
        <f>IF(C284="","",'Datos Generales'!$A$7)</f>
        <v/>
      </c>
      <c r="J284" s="21" t="str">
        <f>IF(C284="","",'Datos Generales'!$A$13)</f>
        <v/>
      </c>
      <c r="K284" s="21" t="str">
        <f>IF(C284="","",'Datos Generales'!$A$10)</f>
        <v/>
      </c>
      <c r="CS284" s="142" t="str">
        <f t="shared" si="35"/>
        <v/>
      </c>
      <c r="CT284" s="142" t="str">
        <f t="shared" si="36"/>
        <v/>
      </c>
      <c r="CU284" s="142" t="str">
        <f t="shared" si="37"/>
        <v/>
      </c>
      <c r="CV284" s="142" t="str">
        <f t="shared" si="38"/>
        <v/>
      </c>
      <c r="CW284" s="142" t="str">
        <f>IF(C284="","",IF('Datos Generales'!$A$19=1,AVERAGE(FP284:GD284),AVERAGE(Captura!FP284:FY284)))</f>
        <v/>
      </c>
      <c r="CX284" s="138" t="e">
        <f>IF(VLOOKUP(CONCATENATE($H$4,$F$4,CX$2),Español!$A:$H,7,FALSE)=L284,1,0)</f>
        <v>#N/A</v>
      </c>
      <c r="CY284" s="138" t="e">
        <f>IF(VLOOKUP(CONCATENATE(H284,F284,CY$2),Español!$A:$H,7,FALSE)=M284,1,0)</f>
        <v>#N/A</v>
      </c>
      <c r="CZ284" s="138" t="e">
        <f>IF(VLOOKUP(CONCATENATE(H284,F284,CZ$2),Español!$A:$H,7,FALSE)=N284,1,0)</f>
        <v>#N/A</v>
      </c>
      <c r="DA284" s="138" t="e">
        <f>IF(VLOOKUP(CONCATENATE(H284,F284,DA$2),Español!$A:$H,7,FALSE)=O284,1,0)</f>
        <v>#N/A</v>
      </c>
      <c r="DB284" s="138" t="e">
        <f>IF(VLOOKUP(CONCATENATE(H284,F284,DB$2),Español!$A:$H,7,FALSE)=P284,1,0)</f>
        <v>#N/A</v>
      </c>
      <c r="DC284" s="138" t="e">
        <f>IF(VLOOKUP(CONCATENATE(H284,F284,DC$2),Español!$A:$H,7,FALSE)=Q284,1,0)</f>
        <v>#N/A</v>
      </c>
      <c r="DD284" s="138" t="e">
        <f>IF(VLOOKUP(CONCATENATE(H284,F284,DD$2),Español!$A:$H,7,FALSE)=R284,1,0)</f>
        <v>#N/A</v>
      </c>
      <c r="DE284" s="138" t="e">
        <f>IF(VLOOKUP(CONCATENATE(H284,F284,DE$2),Español!$A:$H,7,FALSE)=S284,1,0)</f>
        <v>#N/A</v>
      </c>
      <c r="DF284" s="138" t="e">
        <f>IF(VLOOKUP(CONCATENATE(H284,F284,DF$2),Español!$A:$H,7,FALSE)=T284,1,0)</f>
        <v>#N/A</v>
      </c>
      <c r="DG284" s="138" t="e">
        <f>IF(VLOOKUP(CONCATENATE(H284,F284,DG$2),Español!$A:$H,7,FALSE)=U284,1,0)</f>
        <v>#N/A</v>
      </c>
      <c r="DH284" s="138" t="e">
        <f>IF(VLOOKUP(CONCATENATE(H284,F284,DH$2),Español!$A:$H,7,FALSE)=V284,1,0)</f>
        <v>#N/A</v>
      </c>
      <c r="DI284" s="138" t="e">
        <f>IF(VLOOKUP(CONCATENATE(H284,F284,DI$2),Español!$A:$H,7,FALSE)=W284,1,0)</f>
        <v>#N/A</v>
      </c>
      <c r="DJ284" s="138" t="e">
        <f>IF(VLOOKUP(CONCATENATE(H284,F284,DJ$2),Español!$A:$H,7,FALSE)=X284,1,0)</f>
        <v>#N/A</v>
      </c>
      <c r="DK284" s="138" t="e">
        <f>IF(VLOOKUP(CONCATENATE(H284,F284,DK$2),Español!$A:$H,7,FALSE)=Y284,1,0)</f>
        <v>#N/A</v>
      </c>
      <c r="DL284" s="138" t="e">
        <f>IF(VLOOKUP(CONCATENATE(H284,F284,DL$2),Español!$A:$H,7,FALSE)=Z284,1,0)</f>
        <v>#N/A</v>
      </c>
      <c r="DM284" s="138" t="e">
        <f>IF(VLOOKUP(CONCATENATE(H284,F284,DM$2),Español!$A:$H,7,FALSE)=AA284,1,0)</f>
        <v>#N/A</v>
      </c>
      <c r="DN284" s="138" t="e">
        <f>IF(VLOOKUP(CONCATENATE(H284,F284,DN$2),Español!$A:$H,7,FALSE)=AB284,1,0)</f>
        <v>#N/A</v>
      </c>
      <c r="DO284" s="138" t="e">
        <f>IF(VLOOKUP(CONCATENATE(H284,F284,DO$2),Español!$A:$H,7,FALSE)=AC284,1,0)</f>
        <v>#N/A</v>
      </c>
      <c r="DP284" s="138" t="e">
        <f>IF(VLOOKUP(CONCATENATE(H284,F284,DP$2),Español!$A:$H,7,FALSE)=AD284,1,0)</f>
        <v>#N/A</v>
      </c>
      <c r="DQ284" s="138" t="e">
        <f>IF(VLOOKUP(CONCATENATE(H284,F284,DQ$2),Español!$A:$H,7,FALSE)=AE284,1,0)</f>
        <v>#N/A</v>
      </c>
      <c r="DR284" s="138" t="e">
        <f>IF(VLOOKUP(CONCATENATE(H284,F284,DR$2),Inglés!$A:$H,7,FALSE)=AF284,1,0)</f>
        <v>#N/A</v>
      </c>
      <c r="DS284" s="138" t="e">
        <f>IF(VLOOKUP(CONCATENATE(H284,F284,DS$2),Inglés!$A:$H,7,FALSE)=AG284,1,0)</f>
        <v>#N/A</v>
      </c>
      <c r="DT284" s="138" t="e">
        <f>IF(VLOOKUP(CONCATENATE(H284,F284,DT$2),Inglés!$A:$H,7,FALSE)=AH284,1,0)</f>
        <v>#N/A</v>
      </c>
      <c r="DU284" s="138" t="e">
        <f>IF(VLOOKUP(CONCATENATE(H284,F284,DU$2),Inglés!$A:$H,7,FALSE)=AI284,1,0)</f>
        <v>#N/A</v>
      </c>
      <c r="DV284" s="138" t="e">
        <f>IF(VLOOKUP(CONCATENATE(H284,F284,DV$2),Inglés!$A:$H,7,FALSE)=AJ284,1,0)</f>
        <v>#N/A</v>
      </c>
      <c r="DW284" s="138" t="e">
        <f>IF(VLOOKUP(CONCATENATE(H284,F284,DW$2),Inglés!$A:$H,7,FALSE)=AK284,1,0)</f>
        <v>#N/A</v>
      </c>
      <c r="DX284" s="138" t="e">
        <f>IF(VLOOKUP(CONCATENATE(H284,F284,DX$2),Inglés!$A:$H,7,FALSE)=AL284,1,0)</f>
        <v>#N/A</v>
      </c>
      <c r="DY284" s="138" t="e">
        <f>IF(VLOOKUP(CONCATENATE(H284,F284,DY$2),Inglés!$A:$H,7,FALSE)=AM284,1,0)</f>
        <v>#N/A</v>
      </c>
      <c r="DZ284" s="138" t="e">
        <f>IF(VLOOKUP(CONCATENATE(H284,F284,DZ$2),Inglés!$A:$H,7,FALSE)=AN284,1,0)</f>
        <v>#N/A</v>
      </c>
      <c r="EA284" s="138" t="e">
        <f>IF(VLOOKUP(CONCATENATE(H284,F284,EA$2),Inglés!$A:$H,7,FALSE)=AO284,1,0)</f>
        <v>#N/A</v>
      </c>
      <c r="EB284" s="138" t="e">
        <f>IF(VLOOKUP(CONCATENATE(H284,F284,EB$2),Matemáticas!$A:$H,7,FALSE)=AP284,1,0)</f>
        <v>#N/A</v>
      </c>
      <c r="EC284" s="138" t="e">
        <f>IF(VLOOKUP(CONCATENATE(H284,F284,EC$2),Matemáticas!$A:$H,7,FALSE)=AQ284,1,0)</f>
        <v>#N/A</v>
      </c>
      <c r="ED284" s="138" t="e">
        <f>IF(VLOOKUP(CONCATENATE(H284,F284,ED$2),Matemáticas!$A:$H,7,FALSE)=AR284,1,0)</f>
        <v>#N/A</v>
      </c>
      <c r="EE284" s="138" t="e">
        <f>IF(VLOOKUP(CONCATENATE(H284,F284,EE$2),Matemáticas!$A:$H,7,FALSE)=AS284,1,0)</f>
        <v>#N/A</v>
      </c>
      <c r="EF284" s="138" t="e">
        <f>IF(VLOOKUP(CONCATENATE(H284,F284,EF$2),Matemáticas!$A:$H,7,FALSE)=AT284,1,0)</f>
        <v>#N/A</v>
      </c>
      <c r="EG284" s="138" t="e">
        <f>IF(VLOOKUP(CONCATENATE(H284,F284,EG$2),Matemáticas!$A:$H,7,FALSE)=AU284,1,0)</f>
        <v>#N/A</v>
      </c>
      <c r="EH284" s="138" t="e">
        <f>IF(VLOOKUP(CONCATENATE(H284,F284,EH$2),Matemáticas!$A:$H,7,FALSE)=AV284,1,0)</f>
        <v>#N/A</v>
      </c>
      <c r="EI284" s="138" t="e">
        <f>IF(VLOOKUP(CONCATENATE(H284,F284,EI$2),Matemáticas!$A:$H,7,FALSE)=AW284,1,0)</f>
        <v>#N/A</v>
      </c>
      <c r="EJ284" s="138" t="e">
        <f>IF(VLOOKUP(CONCATENATE(H284,F284,EJ$2),Matemáticas!$A:$H,7,FALSE)=AX284,1,0)</f>
        <v>#N/A</v>
      </c>
      <c r="EK284" s="138" t="e">
        <f>IF(VLOOKUP(CONCATENATE(H284,F284,EK$2),Matemáticas!$A:$H,7,FALSE)=AY284,1,0)</f>
        <v>#N/A</v>
      </c>
      <c r="EL284" s="138" t="e">
        <f>IF(VLOOKUP(CONCATENATE(H284,F284,EL$2),Matemáticas!$A:$H,7,FALSE)=AZ284,1,0)</f>
        <v>#N/A</v>
      </c>
      <c r="EM284" s="138" t="e">
        <f>IF(VLOOKUP(CONCATENATE(H284,F284,EM$2),Matemáticas!$A:$H,7,FALSE)=BA284,1,0)</f>
        <v>#N/A</v>
      </c>
      <c r="EN284" s="138" t="e">
        <f>IF(VLOOKUP(CONCATENATE(H284,F284,EN$2),Matemáticas!$A:$H,7,FALSE)=BB284,1,0)</f>
        <v>#N/A</v>
      </c>
      <c r="EO284" s="138" t="e">
        <f>IF(VLOOKUP(CONCATENATE(H284,F284,EO$2),Matemáticas!$A:$H,7,FALSE)=BC284,1,0)</f>
        <v>#N/A</v>
      </c>
      <c r="EP284" s="138" t="e">
        <f>IF(VLOOKUP(CONCATENATE(H284,F284,EP$2),Matemáticas!$A:$H,7,FALSE)=BD284,1,0)</f>
        <v>#N/A</v>
      </c>
      <c r="EQ284" s="138" t="e">
        <f>IF(VLOOKUP(CONCATENATE(H284,F284,EQ$2),Matemáticas!$A:$H,7,FALSE)=BE284,1,0)</f>
        <v>#N/A</v>
      </c>
      <c r="ER284" s="138" t="e">
        <f>IF(VLOOKUP(CONCATENATE(H284,F284,ER$2),Matemáticas!$A:$H,7,FALSE)=BF284,1,0)</f>
        <v>#N/A</v>
      </c>
      <c r="ES284" s="138" t="e">
        <f>IF(VLOOKUP(CONCATENATE(H284,F284,ES$2),Matemáticas!$A:$H,7,FALSE)=BG284,1,0)</f>
        <v>#N/A</v>
      </c>
      <c r="ET284" s="138" t="e">
        <f>IF(VLOOKUP(CONCATENATE(H284,F284,ET$2),Matemáticas!$A:$H,7,FALSE)=BH284,1,0)</f>
        <v>#N/A</v>
      </c>
      <c r="EU284" s="138" t="e">
        <f>IF(VLOOKUP(CONCATENATE(H284,F284,EU$2),Matemáticas!$A:$H,7,FALSE)=BI284,1,0)</f>
        <v>#N/A</v>
      </c>
      <c r="EV284" s="138" t="e">
        <f>IF(VLOOKUP(CONCATENATE(H284,F284,EV$2),Ciencias!$A:$H,7,FALSE)=BJ284,1,0)</f>
        <v>#N/A</v>
      </c>
      <c r="EW284" s="138" t="e">
        <f>IF(VLOOKUP(CONCATENATE(H284,F284,EW$2),Ciencias!$A:$H,7,FALSE)=BK284,1,0)</f>
        <v>#N/A</v>
      </c>
      <c r="EX284" s="138" t="e">
        <f>IF(VLOOKUP(CONCATENATE(H284,F284,EX$2),Ciencias!$A:$H,7,FALSE)=BL284,1,0)</f>
        <v>#N/A</v>
      </c>
      <c r="EY284" s="138" t="e">
        <f>IF(VLOOKUP(CONCATENATE(H284,F284,EY$2),Ciencias!$A:$H,7,FALSE)=BM284,1,0)</f>
        <v>#N/A</v>
      </c>
      <c r="EZ284" s="138" t="e">
        <f>IF(VLOOKUP(CONCATENATE(H284,F284,EZ$2),Ciencias!$A:$H,7,FALSE)=BN284,1,0)</f>
        <v>#N/A</v>
      </c>
      <c r="FA284" s="138" t="e">
        <f>IF(VLOOKUP(CONCATENATE(H284,F284,FA$2),Ciencias!$A:$H,7,FALSE)=BO284,1,0)</f>
        <v>#N/A</v>
      </c>
      <c r="FB284" s="138" t="e">
        <f>IF(VLOOKUP(CONCATENATE(H284,F284,FB$2),Ciencias!$A:$H,7,FALSE)=BP284,1,0)</f>
        <v>#N/A</v>
      </c>
      <c r="FC284" s="138" t="e">
        <f>IF(VLOOKUP(CONCATENATE(H284,F284,FC$2),Ciencias!$A:$H,7,FALSE)=BQ284,1,0)</f>
        <v>#N/A</v>
      </c>
      <c r="FD284" s="138" t="e">
        <f>IF(VLOOKUP(CONCATENATE(H284,F284,FD$2),Ciencias!$A:$H,7,FALSE)=BR284,1,0)</f>
        <v>#N/A</v>
      </c>
      <c r="FE284" s="138" t="e">
        <f>IF(VLOOKUP(CONCATENATE(H284,F284,FE$2),Ciencias!$A:$H,7,FALSE)=BS284,1,0)</f>
        <v>#N/A</v>
      </c>
      <c r="FF284" s="138" t="e">
        <f>IF(VLOOKUP(CONCATENATE(H284,F284,FF$2),Ciencias!$A:$H,7,FALSE)=BT284,1,0)</f>
        <v>#N/A</v>
      </c>
      <c r="FG284" s="138" t="e">
        <f>IF(VLOOKUP(CONCATENATE(H284,F284,FG$2),Ciencias!$A:$H,7,FALSE)=BU284,1,0)</f>
        <v>#N/A</v>
      </c>
      <c r="FH284" s="138" t="e">
        <f>IF(VLOOKUP(CONCATENATE(H284,F284,FH$2),Ciencias!$A:$H,7,FALSE)=BV284,1,0)</f>
        <v>#N/A</v>
      </c>
      <c r="FI284" s="138" t="e">
        <f>IF(VLOOKUP(CONCATENATE(H284,F284,FI$2),Ciencias!$A:$H,7,FALSE)=BW284,1,0)</f>
        <v>#N/A</v>
      </c>
      <c r="FJ284" s="138" t="e">
        <f>IF(VLOOKUP(CONCATENATE(H284,F284,FJ$2),Ciencias!$A:$H,7,FALSE)=BX284,1,0)</f>
        <v>#N/A</v>
      </c>
      <c r="FK284" s="138" t="e">
        <f>IF(VLOOKUP(CONCATENATE(H284,F284,FK$2),Ciencias!$A:$H,7,FALSE)=BY284,1,0)</f>
        <v>#N/A</v>
      </c>
      <c r="FL284" s="138" t="e">
        <f>IF(VLOOKUP(CONCATENATE(H284,F284,FL$2),Ciencias!$A:$H,7,FALSE)=BZ284,1,0)</f>
        <v>#N/A</v>
      </c>
      <c r="FM284" s="138" t="e">
        <f>IF(VLOOKUP(CONCATENATE(H284,F284,FM$2),Ciencias!$A:$H,7,FALSE)=CA284,1,0)</f>
        <v>#N/A</v>
      </c>
      <c r="FN284" s="138" t="e">
        <f>IF(VLOOKUP(CONCATENATE(H284,F284,FN$2),Ciencias!$A:$H,7,FALSE)=CB284,1,0)</f>
        <v>#N/A</v>
      </c>
      <c r="FO284" s="138" t="e">
        <f>IF(VLOOKUP(CONCATENATE(H284,F284,FO$2),Ciencias!$A:$H,7,FALSE)=CC284,1,0)</f>
        <v>#N/A</v>
      </c>
      <c r="FP284" s="138" t="e">
        <f>IF(VLOOKUP(CONCATENATE(H284,F284,FP$2),GeoHis!$A:$H,7,FALSE)=CD284,1,0)</f>
        <v>#N/A</v>
      </c>
      <c r="FQ284" s="138" t="e">
        <f>IF(VLOOKUP(CONCATENATE(H284,F284,FQ$2),GeoHis!$A:$H,7,FALSE)=CE284,1,0)</f>
        <v>#N/A</v>
      </c>
      <c r="FR284" s="138" t="e">
        <f>IF(VLOOKUP(CONCATENATE(H284,F284,FR$2),GeoHis!$A:$H,7,FALSE)=CF284,1,0)</f>
        <v>#N/A</v>
      </c>
      <c r="FS284" s="138" t="e">
        <f>IF(VLOOKUP(CONCATENATE(H284,F284,FS$2),GeoHis!$A:$H,7,FALSE)=CG284,1,0)</f>
        <v>#N/A</v>
      </c>
      <c r="FT284" s="138" t="e">
        <f>IF(VLOOKUP(CONCATENATE(H284,F284,FT$2),GeoHis!$A:$H,7,FALSE)=CH284,1,0)</f>
        <v>#N/A</v>
      </c>
      <c r="FU284" s="138" t="e">
        <f>IF(VLOOKUP(CONCATENATE(H284,F284,FU$2),GeoHis!$A:$H,7,FALSE)=CI284,1,0)</f>
        <v>#N/A</v>
      </c>
      <c r="FV284" s="138" t="e">
        <f>IF(VLOOKUP(CONCATENATE(H284,F284,FV$2),GeoHis!$A:$H,7,FALSE)=CJ284,1,0)</f>
        <v>#N/A</v>
      </c>
      <c r="FW284" s="138" t="e">
        <f>IF(VLOOKUP(CONCATENATE(H284,F284,FW$2),GeoHis!$A:$H,7,FALSE)=CK284,1,0)</f>
        <v>#N/A</v>
      </c>
      <c r="FX284" s="138" t="e">
        <f>IF(VLOOKUP(CONCATENATE(H284,F284,FX$2),GeoHis!$A:$H,7,FALSE)=CL284,1,0)</f>
        <v>#N/A</v>
      </c>
      <c r="FY284" s="138" t="e">
        <f>IF(VLOOKUP(CONCATENATE(H284,F284,FY$2),GeoHis!$A:$H,7,FALSE)=CM284,1,0)</f>
        <v>#N/A</v>
      </c>
      <c r="FZ284" s="138" t="e">
        <f>IF(VLOOKUP(CONCATENATE(H284,F284,FZ$2),GeoHis!$A:$H,7,FALSE)=CN284,1,0)</f>
        <v>#N/A</v>
      </c>
      <c r="GA284" s="138" t="e">
        <f>IF(VLOOKUP(CONCATENATE(H284,F284,GA$2),GeoHis!$A:$H,7,FALSE)=CO284,1,0)</f>
        <v>#N/A</v>
      </c>
      <c r="GB284" s="138" t="e">
        <f>IF(VLOOKUP(CONCATENATE(H284,F284,GB$2),GeoHis!$A:$H,7,FALSE)=CP284,1,0)</f>
        <v>#N/A</v>
      </c>
      <c r="GC284" s="138" t="e">
        <f>IF(VLOOKUP(CONCATENATE(H284,F284,GC$2),GeoHis!$A:$H,7,FALSE)=CQ284,1,0)</f>
        <v>#N/A</v>
      </c>
      <c r="GD284" s="138" t="e">
        <f>IF(VLOOKUP(CONCATENATE(H284,F284,GD$2),GeoHis!$A:$H,7,FALSE)=CR284,1,0)</f>
        <v>#N/A</v>
      </c>
      <c r="GE284" s="135" t="str">
        <f t="shared" si="39"/>
        <v/>
      </c>
    </row>
    <row r="285" spans="1:187" x14ac:dyDescent="0.25">
      <c r="A285" s="127" t="str">
        <f>IF(C285="","",'Datos Generales'!$A$25)</f>
        <v/>
      </c>
      <c r="D285" s="126" t="str">
        <f t="shared" si="32"/>
        <v/>
      </c>
      <c r="E285" s="126">
        <f t="shared" si="33"/>
        <v>0</v>
      </c>
      <c r="F285" s="126" t="str">
        <f t="shared" si="34"/>
        <v/>
      </c>
      <c r="G285" s="126" t="str">
        <f>IF(C285="","",'Datos Generales'!$D$19)</f>
        <v/>
      </c>
      <c r="H285" s="21" t="str">
        <f>IF(C285="","",'Datos Generales'!$A$19)</f>
        <v/>
      </c>
      <c r="I285" s="126" t="str">
        <f>IF(C285="","",'Datos Generales'!$A$7)</f>
        <v/>
      </c>
      <c r="J285" s="21" t="str">
        <f>IF(C285="","",'Datos Generales'!$A$13)</f>
        <v/>
      </c>
      <c r="K285" s="21" t="str">
        <f>IF(C285="","",'Datos Generales'!$A$10)</f>
        <v/>
      </c>
      <c r="CS285" s="142" t="str">
        <f t="shared" si="35"/>
        <v/>
      </c>
      <c r="CT285" s="142" t="str">
        <f t="shared" si="36"/>
        <v/>
      </c>
      <c r="CU285" s="142" t="str">
        <f t="shared" si="37"/>
        <v/>
      </c>
      <c r="CV285" s="142" t="str">
        <f t="shared" si="38"/>
        <v/>
      </c>
      <c r="CW285" s="142" t="str">
        <f>IF(C285="","",IF('Datos Generales'!$A$19=1,AVERAGE(FP285:GD285),AVERAGE(Captura!FP285:FY285)))</f>
        <v/>
      </c>
      <c r="CX285" s="138" t="e">
        <f>IF(VLOOKUP(CONCATENATE($H$4,$F$4,CX$2),Español!$A:$H,7,FALSE)=L285,1,0)</f>
        <v>#N/A</v>
      </c>
      <c r="CY285" s="138" t="e">
        <f>IF(VLOOKUP(CONCATENATE(H285,F285,CY$2),Español!$A:$H,7,FALSE)=M285,1,0)</f>
        <v>#N/A</v>
      </c>
      <c r="CZ285" s="138" t="e">
        <f>IF(VLOOKUP(CONCATENATE(H285,F285,CZ$2),Español!$A:$H,7,FALSE)=N285,1,0)</f>
        <v>#N/A</v>
      </c>
      <c r="DA285" s="138" t="e">
        <f>IF(VLOOKUP(CONCATENATE(H285,F285,DA$2),Español!$A:$H,7,FALSE)=O285,1,0)</f>
        <v>#N/A</v>
      </c>
      <c r="DB285" s="138" t="e">
        <f>IF(VLOOKUP(CONCATENATE(H285,F285,DB$2),Español!$A:$H,7,FALSE)=P285,1,0)</f>
        <v>#N/A</v>
      </c>
      <c r="DC285" s="138" t="e">
        <f>IF(VLOOKUP(CONCATENATE(H285,F285,DC$2),Español!$A:$H,7,FALSE)=Q285,1,0)</f>
        <v>#N/A</v>
      </c>
      <c r="DD285" s="138" t="e">
        <f>IF(VLOOKUP(CONCATENATE(H285,F285,DD$2),Español!$A:$H,7,FALSE)=R285,1,0)</f>
        <v>#N/A</v>
      </c>
      <c r="DE285" s="138" t="e">
        <f>IF(VLOOKUP(CONCATENATE(H285,F285,DE$2),Español!$A:$H,7,FALSE)=S285,1,0)</f>
        <v>#N/A</v>
      </c>
      <c r="DF285" s="138" t="e">
        <f>IF(VLOOKUP(CONCATENATE(H285,F285,DF$2),Español!$A:$H,7,FALSE)=T285,1,0)</f>
        <v>#N/A</v>
      </c>
      <c r="DG285" s="138" t="e">
        <f>IF(VLOOKUP(CONCATENATE(H285,F285,DG$2),Español!$A:$H,7,FALSE)=U285,1,0)</f>
        <v>#N/A</v>
      </c>
      <c r="DH285" s="138" t="e">
        <f>IF(VLOOKUP(CONCATENATE(H285,F285,DH$2),Español!$A:$H,7,FALSE)=V285,1,0)</f>
        <v>#N/A</v>
      </c>
      <c r="DI285" s="138" t="e">
        <f>IF(VLOOKUP(CONCATENATE(H285,F285,DI$2),Español!$A:$H,7,FALSE)=W285,1,0)</f>
        <v>#N/A</v>
      </c>
      <c r="DJ285" s="138" t="e">
        <f>IF(VLOOKUP(CONCATENATE(H285,F285,DJ$2),Español!$A:$H,7,FALSE)=X285,1,0)</f>
        <v>#N/A</v>
      </c>
      <c r="DK285" s="138" t="e">
        <f>IF(VLOOKUP(CONCATENATE(H285,F285,DK$2),Español!$A:$H,7,FALSE)=Y285,1,0)</f>
        <v>#N/A</v>
      </c>
      <c r="DL285" s="138" t="e">
        <f>IF(VLOOKUP(CONCATENATE(H285,F285,DL$2),Español!$A:$H,7,FALSE)=Z285,1,0)</f>
        <v>#N/A</v>
      </c>
      <c r="DM285" s="138" t="e">
        <f>IF(VLOOKUP(CONCATENATE(H285,F285,DM$2),Español!$A:$H,7,FALSE)=AA285,1,0)</f>
        <v>#N/A</v>
      </c>
      <c r="DN285" s="138" t="e">
        <f>IF(VLOOKUP(CONCATENATE(H285,F285,DN$2),Español!$A:$H,7,FALSE)=AB285,1,0)</f>
        <v>#N/A</v>
      </c>
      <c r="DO285" s="138" t="e">
        <f>IF(VLOOKUP(CONCATENATE(H285,F285,DO$2),Español!$A:$H,7,FALSE)=AC285,1,0)</f>
        <v>#N/A</v>
      </c>
      <c r="DP285" s="138" t="e">
        <f>IF(VLOOKUP(CONCATENATE(H285,F285,DP$2),Español!$A:$H,7,FALSE)=AD285,1,0)</f>
        <v>#N/A</v>
      </c>
      <c r="DQ285" s="138" t="e">
        <f>IF(VLOOKUP(CONCATENATE(H285,F285,DQ$2),Español!$A:$H,7,FALSE)=AE285,1,0)</f>
        <v>#N/A</v>
      </c>
      <c r="DR285" s="138" t="e">
        <f>IF(VLOOKUP(CONCATENATE(H285,F285,DR$2),Inglés!$A:$H,7,FALSE)=AF285,1,0)</f>
        <v>#N/A</v>
      </c>
      <c r="DS285" s="138" t="e">
        <f>IF(VLOOKUP(CONCATENATE(H285,F285,DS$2),Inglés!$A:$H,7,FALSE)=AG285,1,0)</f>
        <v>#N/A</v>
      </c>
      <c r="DT285" s="138" t="e">
        <f>IF(VLOOKUP(CONCATENATE(H285,F285,DT$2),Inglés!$A:$H,7,FALSE)=AH285,1,0)</f>
        <v>#N/A</v>
      </c>
      <c r="DU285" s="138" t="e">
        <f>IF(VLOOKUP(CONCATENATE(H285,F285,DU$2),Inglés!$A:$H,7,FALSE)=AI285,1,0)</f>
        <v>#N/A</v>
      </c>
      <c r="DV285" s="138" t="e">
        <f>IF(VLOOKUP(CONCATENATE(H285,F285,DV$2),Inglés!$A:$H,7,FALSE)=AJ285,1,0)</f>
        <v>#N/A</v>
      </c>
      <c r="DW285" s="138" t="e">
        <f>IF(VLOOKUP(CONCATENATE(H285,F285,DW$2),Inglés!$A:$H,7,FALSE)=AK285,1,0)</f>
        <v>#N/A</v>
      </c>
      <c r="DX285" s="138" t="e">
        <f>IF(VLOOKUP(CONCATENATE(H285,F285,DX$2),Inglés!$A:$H,7,FALSE)=AL285,1,0)</f>
        <v>#N/A</v>
      </c>
      <c r="DY285" s="138" t="e">
        <f>IF(VLOOKUP(CONCATENATE(H285,F285,DY$2),Inglés!$A:$H,7,FALSE)=AM285,1,0)</f>
        <v>#N/A</v>
      </c>
      <c r="DZ285" s="138" t="e">
        <f>IF(VLOOKUP(CONCATENATE(H285,F285,DZ$2),Inglés!$A:$H,7,FALSE)=AN285,1,0)</f>
        <v>#N/A</v>
      </c>
      <c r="EA285" s="138" t="e">
        <f>IF(VLOOKUP(CONCATENATE(H285,F285,EA$2),Inglés!$A:$H,7,FALSE)=AO285,1,0)</f>
        <v>#N/A</v>
      </c>
      <c r="EB285" s="138" t="e">
        <f>IF(VLOOKUP(CONCATENATE(H285,F285,EB$2),Matemáticas!$A:$H,7,FALSE)=AP285,1,0)</f>
        <v>#N/A</v>
      </c>
      <c r="EC285" s="138" t="e">
        <f>IF(VLOOKUP(CONCATENATE(H285,F285,EC$2),Matemáticas!$A:$H,7,FALSE)=AQ285,1,0)</f>
        <v>#N/A</v>
      </c>
      <c r="ED285" s="138" t="e">
        <f>IF(VLOOKUP(CONCATENATE(H285,F285,ED$2),Matemáticas!$A:$H,7,FALSE)=AR285,1,0)</f>
        <v>#N/A</v>
      </c>
      <c r="EE285" s="138" t="e">
        <f>IF(VLOOKUP(CONCATENATE(H285,F285,EE$2),Matemáticas!$A:$H,7,FALSE)=AS285,1,0)</f>
        <v>#N/A</v>
      </c>
      <c r="EF285" s="138" t="e">
        <f>IF(VLOOKUP(CONCATENATE(H285,F285,EF$2),Matemáticas!$A:$H,7,FALSE)=AT285,1,0)</f>
        <v>#N/A</v>
      </c>
      <c r="EG285" s="138" t="e">
        <f>IF(VLOOKUP(CONCATENATE(H285,F285,EG$2),Matemáticas!$A:$H,7,FALSE)=AU285,1,0)</f>
        <v>#N/A</v>
      </c>
      <c r="EH285" s="138" t="e">
        <f>IF(VLOOKUP(CONCATENATE(H285,F285,EH$2),Matemáticas!$A:$H,7,FALSE)=AV285,1,0)</f>
        <v>#N/A</v>
      </c>
      <c r="EI285" s="138" t="e">
        <f>IF(VLOOKUP(CONCATENATE(H285,F285,EI$2),Matemáticas!$A:$H,7,FALSE)=AW285,1,0)</f>
        <v>#N/A</v>
      </c>
      <c r="EJ285" s="138" t="e">
        <f>IF(VLOOKUP(CONCATENATE(H285,F285,EJ$2),Matemáticas!$A:$H,7,FALSE)=AX285,1,0)</f>
        <v>#N/A</v>
      </c>
      <c r="EK285" s="138" t="e">
        <f>IF(VLOOKUP(CONCATENATE(H285,F285,EK$2),Matemáticas!$A:$H,7,FALSE)=AY285,1,0)</f>
        <v>#N/A</v>
      </c>
      <c r="EL285" s="138" t="e">
        <f>IF(VLOOKUP(CONCATENATE(H285,F285,EL$2),Matemáticas!$A:$H,7,FALSE)=AZ285,1,0)</f>
        <v>#N/A</v>
      </c>
      <c r="EM285" s="138" t="e">
        <f>IF(VLOOKUP(CONCATENATE(H285,F285,EM$2),Matemáticas!$A:$H,7,FALSE)=BA285,1,0)</f>
        <v>#N/A</v>
      </c>
      <c r="EN285" s="138" t="e">
        <f>IF(VLOOKUP(CONCATENATE(H285,F285,EN$2),Matemáticas!$A:$H,7,FALSE)=BB285,1,0)</f>
        <v>#N/A</v>
      </c>
      <c r="EO285" s="138" t="e">
        <f>IF(VLOOKUP(CONCATENATE(H285,F285,EO$2),Matemáticas!$A:$H,7,FALSE)=BC285,1,0)</f>
        <v>#N/A</v>
      </c>
      <c r="EP285" s="138" t="e">
        <f>IF(VLOOKUP(CONCATENATE(H285,F285,EP$2),Matemáticas!$A:$H,7,FALSE)=BD285,1,0)</f>
        <v>#N/A</v>
      </c>
      <c r="EQ285" s="138" t="e">
        <f>IF(VLOOKUP(CONCATENATE(H285,F285,EQ$2),Matemáticas!$A:$H,7,FALSE)=BE285,1,0)</f>
        <v>#N/A</v>
      </c>
      <c r="ER285" s="138" t="e">
        <f>IF(VLOOKUP(CONCATENATE(H285,F285,ER$2),Matemáticas!$A:$H,7,FALSE)=BF285,1,0)</f>
        <v>#N/A</v>
      </c>
      <c r="ES285" s="138" t="e">
        <f>IF(VLOOKUP(CONCATENATE(H285,F285,ES$2),Matemáticas!$A:$H,7,FALSE)=BG285,1,0)</f>
        <v>#N/A</v>
      </c>
      <c r="ET285" s="138" t="e">
        <f>IF(VLOOKUP(CONCATENATE(H285,F285,ET$2),Matemáticas!$A:$H,7,FALSE)=BH285,1,0)</f>
        <v>#N/A</v>
      </c>
      <c r="EU285" s="138" t="e">
        <f>IF(VLOOKUP(CONCATENATE(H285,F285,EU$2),Matemáticas!$A:$H,7,FALSE)=BI285,1,0)</f>
        <v>#N/A</v>
      </c>
      <c r="EV285" s="138" t="e">
        <f>IF(VLOOKUP(CONCATENATE(H285,F285,EV$2),Ciencias!$A:$H,7,FALSE)=BJ285,1,0)</f>
        <v>#N/A</v>
      </c>
      <c r="EW285" s="138" t="e">
        <f>IF(VLOOKUP(CONCATENATE(H285,F285,EW$2),Ciencias!$A:$H,7,FALSE)=BK285,1,0)</f>
        <v>#N/A</v>
      </c>
      <c r="EX285" s="138" t="e">
        <f>IF(VLOOKUP(CONCATENATE(H285,F285,EX$2),Ciencias!$A:$H,7,FALSE)=BL285,1,0)</f>
        <v>#N/A</v>
      </c>
      <c r="EY285" s="138" t="e">
        <f>IF(VLOOKUP(CONCATENATE(H285,F285,EY$2),Ciencias!$A:$H,7,FALSE)=BM285,1,0)</f>
        <v>#N/A</v>
      </c>
      <c r="EZ285" s="138" t="e">
        <f>IF(VLOOKUP(CONCATENATE(H285,F285,EZ$2),Ciencias!$A:$H,7,FALSE)=BN285,1,0)</f>
        <v>#N/A</v>
      </c>
      <c r="FA285" s="138" t="e">
        <f>IF(VLOOKUP(CONCATENATE(H285,F285,FA$2),Ciencias!$A:$H,7,FALSE)=BO285,1,0)</f>
        <v>#N/A</v>
      </c>
      <c r="FB285" s="138" t="e">
        <f>IF(VLOOKUP(CONCATENATE(H285,F285,FB$2),Ciencias!$A:$H,7,FALSE)=BP285,1,0)</f>
        <v>#N/A</v>
      </c>
      <c r="FC285" s="138" t="e">
        <f>IF(VLOOKUP(CONCATENATE(H285,F285,FC$2),Ciencias!$A:$H,7,FALSE)=BQ285,1,0)</f>
        <v>#N/A</v>
      </c>
      <c r="FD285" s="138" t="e">
        <f>IF(VLOOKUP(CONCATENATE(H285,F285,FD$2),Ciencias!$A:$H,7,FALSE)=BR285,1,0)</f>
        <v>#N/A</v>
      </c>
      <c r="FE285" s="138" t="e">
        <f>IF(VLOOKUP(CONCATENATE(H285,F285,FE$2),Ciencias!$A:$H,7,FALSE)=BS285,1,0)</f>
        <v>#N/A</v>
      </c>
      <c r="FF285" s="138" t="e">
        <f>IF(VLOOKUP(CONCATENATE(H285,F285,FF$2),Ciencias!$A:$H,7,FALSE)=BT285,1,0)</f>
        <v>#N/A</v>
      </c>
      <c r="FG285" s="138" t="e">
        <f>IF(VLOOKUP(CONCATENATE(H285,F285,FG$2),Ciencias!$A:$H,7,FALSE)=BU285,1,0)</f>
        <v>#N/A</v>
      </c>
      <c r="FH285" s="138" t="e">
        <f>IF(VLOOKUP(CONCATENATE(H285,F285,FH$2),Ciencias!$A:$H,7,FALSE)=BV285,1,0)</f>
        <v>#N/A</v>
      </c>
      <c r="FI285" s="138" t="e">
        <f>IF(VLOOKUP(CONCATENATE(H285,F285,FI$2),Ciencias!$A:$H,7,FALSE)=BW285,1,0)</f>
        <v>#N/A</v>
      </c>
      <c r="FJ285" s="138" t="e">
        <f>IF(VLOOKUP(CONCATENATE(H285,F285,FJ$2),Ciencias!$A:$H,7,FALSE)=BX285,1,0)</f>
        <v>#N/A</v>
      </c>
      <c r="FK285" s="138" t="e">
        <f>IF(VLOOKUP(CONCATENATE(H285,F285,FK$2),Ciencias!$A:$H,7,FALSE)=BY285,1,0)</f>
        <v>#N/A</v>
      </c>
      <c r="FL285" s="138" t="e">
        <f>IF(VLOOKUP(CONCATENATE(H285,F285,FL$2),Ciencias!$A:$H,7,FALSE)=BZ285,1,0)</f>
        <v>#N/A</v>
      </c>
      <c r="FM285" s="138" t="e">
        <f>IF(VLOOKUP(CONCATENATE(H285,F285,FM$2),Ciencias!$A:$H,7,FALSE)=CA285,1,0)</f>
        <v>#N/A</v>
      </c>
      <c r="FN285" s="138" t="e">
        <f>IF(VLOOKUP(CONCATENATE(H285,F285,FN$2),Ciencias!$A:$H,7,FALSE)=CB285,1,0)</f>
        <v>#N/A</v>
      </c>
      <c r="FO285" s="138" t="e">
        <f>IF(VLOOKUP(CONCATENATE(H285,F285,FO$2),Ciencias!$A:$H,7,FALSE)=CC285,1,0)</f>
        <v>#N/A</v>
      </c>
      <c r="FP285" s="138" t="e">
        <f>IF(VLOOKUP(CONCATENATE(H285,F285,FP$2),GeoHis!$A:$H,7,FALSE)=CD285,1,0)</f>
        <v>#N/A</v>
      </c>
      <c r="FQ285" s="138" t="e">
        <f>IF(VLOOKUP(CONCATENATE(H285,F285,FQ$2),GeoHis!$A:$H,7,FALSE)=CE285,1,0)</f>
        <v>#N/A</v>
      </c>
      <c r="FR285" s="138" t="e">
        <f>IF(VLOOKUP(CONCATENATE(H285,F285,FR$2),GeoHis!$A:$H,7,FALSE)=CF285,1,0)</f>
        <v>#N/A</v>
      </c>
      <c r="FS285" s="138" t="e">
        <f>IF(VLOOKUP(CONCATENATE(H285,F285,FS$2),GeoHis!$A:$H,7,FALSE)=CG285,1,0)</f>
        <v>#N/A</v>
      </c>
      <c r="FT285" s="138" t="e">
        <f>IF(VLOOKUP(CONCATENATE(H285,F285,FT$2),GeoHis!$A:$H,7,FALSE)=CH285,1,0)</f>
        <v>#N/A</v>
      </c>
      <c r="FU285" s="138" t="e">
        <f>IF(VLOOKUP(CONCATENATE(H285,F285,FU$2),GeoHis!$A:$H,7,FALSE)=CI285,1,0)</f>
        <v>#N/A</v>
      </c>
      <c r="FV285" s="138" t="e">
        <f>IF(VLOOKUP(CONCATENATE(H285,F285,FV$2),GeoHis!$A:$H,7,FALSE)=CJ285,1,0)</f>
        <v>#N/A</v>
      </c>
      <c r="FW285" s="138" t="e">
        <f>IF(VLOOKUP(CONCATENATE(H285,F285,FW$2),GeoHis!$A:$H,7,FALSE)=CK285,1,0)</f>
        <v>#N/A</v>
      </c>
      <c r="FX285" s="138" t="e">
        <f>IF(VLOOKUP(CONCATENATE(H285,F285,FX$2),GeoHis!$A:$H,7,FALSE)=CL285,1,0)</f>
        <v>#N/A</v>
      </c>
      <c r="FY285" s="138" t="e">
        <f>IF(VLOOKUP(CONCATENATE(H285,F285,FY$2),GeoHis!$A:$H,7,FALSE)=CM285,1,0)</f>
        <v>#N/A</v>
      </c>
      <c r="FZ285" s="138" t="e">
        <f>IF(VLOOKUP(CONCATENATE(H285,F285,FZ$2),GeoHis!$A:$H,7,FALSE)=CN285,1,0)</f>
        <v>#N/A</v>
      </c>
      <c r="GA285" s="138" t="e">
        <f>IF(VLOOKUP(CONCATENATE(H285,F285,GA$2),GeoHis!$A:$H,7,FALSE)=CO285,1,0)</f>
        <v>#N/A</v>
      </c>
      <c r="GB285" s="138" t="e">
        <f>IF(VLOOKUP(CONCATENATE(H285,F285,GB$2),GeoHis!$A:$H,7,FALSE)=CP285,1,0)</f>
        <v>#N/A</v>
      </c>
      <c r="GC285" s="138" t="e">
        <f>IF(VLOOKUP(CONCATENATE(H285,F285,GC$2),GeoHis!$A:$H,7,FALSE)=CQ285,1,0)</f>
        <v>#N/A</v>
      </c>
      <c r="GD285" s="138" t="e">
        <f>IF(VLOOKUP(CONCATENATE(H285,F285,GD$2),GeoHis!$A:$H,7,FALSE)=CR285,1,0)</f>
        <v>#N/A</v>
      </c>
      <c r="GE285" s="135" t="str">
        <f t="shared" si="39"/>
        <v/>
      </c>
    </row>
    <row r="286" spans="1:187" x14ac:dyDescent="0.25">
      <c r="A286" s="127" t="str">
        <f>IF(C286="","",'Datos Generales'!$A$25)</f>
        <v/>
      </c>
      <c r="D286" s="126" t="str">
        <f t="shared" si="32"/>
        <v/>
      </c>
      <c r="E286" s="126">
        <f t="shared" si="33"/>
        <v>0</v>
      </c>
      <c r="F286" s="126" t="str">
        <f t="shared" si="34"/>
        <v/>
      </c>
      <c r="G286" s="126" t="str">
        <f>IF(C286="","",'Datos Generales'!$D$19)</f>
        <v/>
      </c>
      <c r="H286" s="21" t="str">
        <f>IF(C286="","",'Datos Generales'!$A$19)</f>
        <v/>
      </c>
      <c r="I286" s="126" t="str">
        <f>IF(C286="","",'Datos Generales'!$A$7)</f>
        <v/>
      </c>
      <c r="J286" s="21" t="str">
        <f>IF(C286="","",'Datos Generales'!$A$13)</f>
        <v/>
      </c>
      <c r="K286" s="21" t="str">
        <f>IF(C286="","",'Datos Generales'!$A$10)</f>
        <v/>
      </c>
      <c r="CS286" s="142" t="str">
        <f t="shared" si="35"/>
        <v/>
      </c>
      <c r="CT286" s="142" t="str">
        <f t="shared" si="36"/>
        <v/>
      </c>
      <c r="CU286" s="142" t="str">
        <f t="shared" si="37"/>
        <v/>
      </c>
      <c r="CV286" s="142" t="str">
        <f t="shared" si="38"/>
        <v/>
      </c>
      <c r="CW286" s="142" t="str">
        <f>IF(C286="","",IF('Datos Generales'!$A$19=1,AVERAGE(FP286:GD286),AVERAGE(Captura!FP286:FY286)))</f>
        <v/>
      </c>
      <c r="CX286" s="138" t="e">
        <f>IF(VLOOKUP(CONCATENATE($H$4,$F$4,CX$2),Español!$A:$H,7,FALSE)=L286,1,0)</f>
        <v>#N/A</v>
      </c>
      <c r="CY286" s="138" t="e">
        <f>IF(VLOOKUP(CONCATENATE(H286,F286,CY$2),Español!$A:$H,7,FALSE)=M286,1,0)</f>
        <v>#N/A</v>
      </c>
      <c r="CZ286" s="138" t="e">
        <f>IF(VLOOKUP(CONCATENATE(H286,F286,CZ$2),Español!$A:$H,7,FALSE)=N286,1,0)</f>
        <v>#N/A</v>
      </c>
      <c r="DA286" s="138" t="e">
        <f>IF(VLOOKUP(CONCATENATE(H286,F286,DA$2),Español!$A:$H,7,FALSE)=O286,1,0)</f>
        <v>#N/A</v>
      </c>
      <c r="DB286" s="138" t="e">
        <f>IF(VLOOKUP(CONCATENATE(H286,F286,DB$2),Español!$A:$H,7,FALSE)=P286,1,0)</f>
        <v>#N/A</v>
      </c>
      <c r="DC286" s="138" t="e">
        <f>IF(VLOOKUP(CONCATENATE(H286,F286,DC$2),Español!$A:$H,7,FALSE)=Q286,1,0)</f>
        <v>#N/A</v>
      </c>
      <c r="DD286" s="138" t="e">
        <f>IF(VLOOKUP(CONCATENATE(H286,F286,DD$2),Español!$A:$H,7,FALSE)=R286,1,0)</f>
        <v>#N/A</v>
      </c>
      <c r="DE286" s="138" t="e">
        <f>IF(VLOOKUP(CONCATENATE(H286,F286,DE$2),Español!$A:$H,7,FALSE)=S286,1,0)</f>
        <v>#N/A</v>
      </c>
      <c r="DF286" s="138" t="e">
        <f>IF(VLOOKUP(CONCATENATE(H286,F286,DF$2),Español!$A:$H,7,FALSE)=T286,1,0)</f>
        <v>#N/A</v>
      </c>
      <c r="DG286" s="138" t="e">
        <f>IF(VLOOKUP(CONCATENATE(H286,F286,DG$2),Español!$A:$H,7,FALSE)=U286,1,0)</f>
        <v>#N/A</v>
      </c>
      <c r="DH286" s="138" t="e">
        <f>IF(VLOOKUP(CONCATENATE(H286,F286,DH$2),Español!$A:$H,7,FALSE)=V286,1,0)</f>
        <v>#N/A</v>
      </c>
      <c r="DI286" s="138" t="e">
        <f>IF(VLOOKUP(CONCATENATE(H286,F286,DI$2),Español!$A:$H,7,FALSE)=W286,1,0)</f>
        <v>#N/A</v>
      </c>
      <c r="DJ286" s="138" t="e">
        <f>IF(VLOOKUP(CONCATENATE(H286,F286,DJ$2),Español!$A:$H,7,FALSE)=X286,1,0)</f>
        <v>#N/A</v>
      </c>
      <c r="DK286" s="138" t="e">
        <f>IF(VLOOKUP(CONCATENATE(H286,F286,DK$2),Español!$A:$H,7,FALSE)=Y286,1,0)</f>
        <v>#N/A</v>
      </c>
      <c r="DL286" s="138" t="e">
        <f>IF(VLOOKUP(CONCATENATE(H286,F286,DL$2),Español!$A:$H,7,FALSE)=Z286,1,0)</f>
        <v>#N/A</v>
      </c>
      <c r="DM286" s="138" t="e">
        <f>IF(VLOOKUP(CONCATENATE(H286,F286,DM$2),Español!$A:$H,7,FALSE)=AA286,1,0)</f>
        <v>#N/A</v>
      </c>
      <c r="DN286" s="138" t="e">
        <f>IF(VLOOKUP(CONCATENATE(H286,F286,DN$2),Español!$A:$H,7,FALSE)=AB286,1,0)</f>
        <v>#N/A</v>
      </c>
      <c r="DO286" s="138" t="e">
        <f>IF(VLOOKUP(CONCATENATE(H286,F286,DO$2),Español!$A:$H,7,FALSE)=AC286,1,0)</f>
        <v>#N/A</v>
      </c>
      <c r="DP286" s="138" t="e">
        <f>IF(VLOOKUP(CONCATENATE(H286,F286,DP$2),Español!$A:$H,7,FALSE)=AD286,1,0)</f>
        <v>#N/A</v>
      </c>
      <c r="DQ286" s="138" t="e">
        <f>IF(VLOOKUP(CONCATENATE(H286,F286,DQ$2),Español!$A:$H,7,FALSE)=AE286,1,0)</f>
        <v>#N/A</v>
      </c>
      <c r="DR286" s="138" t="e">
        <f>IF(VLOOKUP(CONCATENATE(H286,F286,DR$2),Inglés!$A:$H,7,FALSE)=AF286,1,0)</f>
        <v>#N/A</v>
      </c>
      <c r="DS286" s="138" t="e">
        <f>IF(VLOOKUP(CONCATENATE(H286,F286,DS$2),Inglés!$A:$H,7,FALSE)=AG286,1,0)</f>
        <v>#N/A</v>
      </c>
      <c r="DT286" s="138" t="e">
        <f>IF(VLOOKUP(CONCATENATE(H286,F286,DT$2),Inglés!$A:$H,7,FALSE)=AH286,1,0)</f>
        <v>#N/A</v>
      </c>
      <c r="DU286" s="138" t="e">
        <f>IF(VLOOKUP(CONCATENATE(H286,F286,DU$2),Inglés!$A:$H,7,FALSE)=AI286,1,0)</f>
        <v>#N/A</v>
      </c>
      <c r="DV286" s="138" t="e">
        <f>IF(VLOOKUP(CONCATENATE(H286,F286,DV$2),Inglés!$A:$H,7,FALSE)=AJ286,1,0)</f>
        <v>#N/A</v>
      </c>
      <c r="DW286" s="138" t="e">
        <f>IF(VLOOKUP(CONCATENATE(H286,F286,DW$2),Inglés!$A:$H,7,FALSE)=AK286,1,0)</f>
        <v>#N/A</v>
      </c>
      <c r="DX286" s="138" t="e">
        <f>IF(VLOOKUP(CONCATENATE(H286,F286,DX$2),Inglés!$A:$H,7,FALSE)=AL286,1,0)</f>
        <v>#N/A</v>
      </c>
      <c r="DY286" s="138" t="e">
        <f>IF(VLOOKUP(CONCATENATE(H286,F286,DY$2),Inglés!$A:$H,7,FALSE)=AM286,1,0)</f>
        <v>#N/A</v>
      </c>
      <c r="DZ286" s="138" t="e">
        <f>IF(VLOOKUP(CONCATENATE(H286,F286,DZ$2),Inglés!$A:$H,7,FALSE)=AN286,1,0)</f>
        <v>#N/A</v>
      </c>
      <c r="EA286" s="138" t="e">
        <f>IF(VLOOKUP(CONCATENATE(H286,F286,EA$2),Inglés!$A:$H,7,FALSE)=AO286,1,0)</f>
        <v>#N/A</v>
      </c>
      <c r="EB286" s="138" t="e">
        <f>IF(VLOOKUP(CONCATENATE(H286,F286,EB$2),Matemáticas!$A:$H,7,FALSE)=AP286,1,0)</f>
        <v>#N/A</v>
      </c>
      <c r="EC286" s="138" t="e">
        <f>IF(VLOOKUP(CONCATENATE(H286,F286,EC$2),Matemáticas!$A:$H,7,FALSE)=AQ286,1,0)</f>
        <v>#N/A</v>
      </c>
      <c r="ED286" s="138" t="e">
        <f>IF(VLOOKUP(CONCATENATE(H286,F286,ED$2),Matemáticas!$A:$H,7,FALSE)=AR286,1,0)</f>
        <v>#N/A</v>
      </c>
      <c r="EE286" s="138" t="e">
        <f>IF(VLOOKUP(CONCATENATE(H286,F286,EE$2),Matemáticas!$A:$H,7,FALSE)=AS286,1,0)</f>
        <v>#N/A</v>
      </c>
      <c r="EF286" s="138" t="e">
        <f>IF(VLOOKUP(CONCATENATE(H286,F286,EF$2),Matemáticas!$A:$H,7,FALSE)=AT286,1,0)</f>
        <v>#N/A</v>
      </c>
      <c r="EG286" s="138" t="e">
        <f>IF(VLOOKUP(CONCATENATE(H286,F286,EG$2),Matemáticas!$A:$H,7,FALSE)=AU286,1,0)</f>
        <v>#N/A</v>
      </c>
      <c r="EH286" s="138" t="e">
        <f>IF(VLOOKUP(CONCATENATE(H286,F286,EH$2),Matemáticas!$A:$H,7,FALSE)=AV286,1,0)</f>
        <v>#N/A</v>
      </c>
      <c r="EI286" s="138" t="e">
        <f>IF(VLOOKUP(CONCATENATE(H286,F286,EI$2),Matemáticas!$A:$H,7,FALSE)=AW286,1,0)</f>
        <v>#N/A</v>
      </c>
      <c r="EJ286" s="138" t="e">
        <f>IF(VLOOKUP(CONCATENATE(H286,F286,EJ$2),Matemáticas!$A:$H,7,FALSE)=AX286,1,0)</f>
        <v>#N/A</v>
      </c>
      <c r="EK286" s="138" t="e">
        <f>IF(VLOOKUP(CONCATENATE(H286,F286,EK$2),Matemáticas!$A:$H,7,FALSE)=AY286,1,0)</f>
        <v>#N/A</v>
      </c>
      <c r="EL286" s="138" t="e">
        <f>IF(VLOOKUP(CONCATENATE(H286,F286,EL$2),Matemáticas!$A:$H,7,FALSE)=AZ286,1,0)</f>
        <v>#N/A</v>
      </c>
      <c r="EM286" s="138" t="e">
        <f>IF(VLOOKUP(CONCATENATE(H286,F286,EM$2),Matemáticas!$A:$H,7,FALSE)=BA286,1,0)</f>
        <v>#N/A</v>
      </c>
      <c r="EN286" s="138" t="e">
        <f>IF(VLOOKUP(CONCATENATE(H286,F286,EN$2),Matemáticas!$A:$H,7,FALSE)=BB286,1,0)</f>
        <v>#N/A</v>
      </c>
      <c r="EO286" s="138" t="e">
        <f>IF(VLOOKUP(CONCATENATE(H286,F286,EO$2),Matemáticas!$A:$H,7,FALSE)=BC286,1,0)</f>
        <v>#N/A</v>
      </c>
      <c r="EP286" s="138" t="e">
        <f>IF(VLOOKUP(CONCATENATE(H286,F286,EP$2),Matemáticas!$A:$H,7,FALSE)=BD286,1,0)</f>
        <v>#N/A</v>
      </c>
      <c r="EQ286" s="138" t="e">
        <f>IF(VLOOKUP(CONCATENATE(H286,F286,EQ$2),Matemáticas!$A:$H,7,FALSE)=BE286,1,0)</f>
        <v>#N/A</v>
      </c>
      <c r="ER286" s="138" t="e">
        <f>IF(VLOOKUP(CONCATENATE(H286,F286,ER$2),Matemáticas!$A:$H,7,FALSE)=BF286,1,0)</f>
        <v>#N/A</v>
      </c>
      <c r="ES286" s="138" t="e">
        <f>IF(VLOOKUP(CONCATENATE(H286,F286,ES$2),Matemáticas!$A:$H,7,FALSE)=BG286,1,0)</f>
        <v>#N/A</v>
      </c>
      <c r="ET286" s="138" t="e">
        <f>IF(VLOOKUP(CONCATENATE(H286,F286,ET$2),Matemáticas!$A:$H,7,FALSE)=BH286,1,0)</f>
        <v>#N/A</v>
      </c>
      <c r="EU286" s="138" t="e">
        <f>IF(VLOOKUP(CONCATENATE(H286,F286,EU$2),Matemáticas!$A:$H,7,FALSE)=BI286,1,0)</f>
        <v>#N/A</v>
      </c>
      <c r="EV286" s="138" t="e">
        <f>IF(VLOOKUP(CONCATENATE(H286,F286,EV$2),Ciencias!$A:$H,7,FALSE)=BJ286,1,0)</f>
        <v>#N/A</v>
      </c>
      <c r="EW286" s="138" t="e">
        <f>IF(VLOOKUP(CONCATENATE(H286,F286,EW$2),Ciencias!$A:$H,7,FALSE)=BK286,1,0)</f>
        <v>#N/A</v>
      </c>
      <c r="EX286" s="138" t="e">
        <f>IF(VLOOKUP(CONCATENATE(H286,F286,EX$2),Ciencias!$A:$H,7,FALSE)=BL286,1,0)</f>
        <v>#N/A</v>
      </c>
      <c r="EY286" s="138" t="e">
        <f>IF(VLOOKUP(CONCATENATE(H286,F286,EY$2),Ciencias!$A:$H,7,FALSE)=BM286,1,0)</f>
        <v>#N/A</v>
      </c>
      <c r="EZ286" s="138" t="e">
        <f>IF(VLOOKUP(CONCATENATE(H286,F286,EZ$2),Ciencias!$A:$H,7,FALSE)=BN286,1,0)</f>
        <v>#N/A</v>
      </c>
      <c r="FA286" s="138" t="e">
        <f>IF(VLOOKUP(CONCATENATE(H286,F286,FA$2),Ciencias!$A:$H,7,FALSE)=BO286,1,0)</f>
        <v>#N/A</v>
      </c>
      <c r="FB286" s="138" t="e">
        <f>IF(VLOOKUP(CONCATENATE(H286,F286,FB$2),Ciencias!$A:$H,7,FALSE)=BP286,1,0)</f>
        <v>#N/A</v>
      </c>
      <c r="FC286" s="138" t="e">
        <f>IF(VLOOKUP(CONCATENATE(H286,F286,FC$2),Ciencias!$A:$H,7,FALSE)=BQ286,1,0)</f>
        <v>#N/A</v>
      </c>
      <c r="FD286" s="138" t="e">
        <f>IF(VLOOKUP(CONCATENATE(H286,F286,FD$2),Ciencias!$A:$H,7,FALSE)=BR286,1,0)</f>
        <v>#N/A</v>
      </c>
      <c r="FE286" s="138" t="e">
        <f>IF(VLOOKUP(CONCATENATE(H286,F286,FE$2),Ciencias!$A:$H,7,FALSE)=BS286,1,0)</f>
        <v>#N/A</v>
      </c>
      <c r="FF286" s="138" t="e">
        <f>IF(VLOOKUP(CONCATENATE(H286,F286,FF$2),Ciencias!$A:$H,7,FALSE)=BT286,1,0)</f>
        <v>#N/A</v>
      </c>
      <c r="FG286" s="138" t="e">
        <f>IF(VLOOKUP(CONCATENATE(H286,F286,FG$2),Ciencias!$A:$H,7,FALSE)=BU286,1,0)</f>
        <v>#N/A</v>
      </c>
      <c r="FH286" s="138" t="e">
        <f>IF(VLOOKUP(CONCATENATE(H286,F286,FH$2),Ciencias!$A:$H,7,FALSE)=BV286,1,0)</f>
        <v>#N/A</v>
      </c>
      <c r="FI286" s="138" t="e">
        <f>IF(VLOOKUP(CONCATENATE(H286,F286,FI$2),Ciencias!$A:$H,7,FALSE)=BW286,1,0)</f>
        <v>#N/A</v>
      </c>
      <c r="FJ286" s="138" t="e">
        <f>IF(VLOOKUP(CONCATENATE(H286,F286,FJ$2),Ciencias!$A:$H,7,FALSE)=BX286,1,0)</f>
        <v>#N/A</v>
      </c>
      <c r="FK286" s="138" t="e">
        <f>IF(VLOOKUP(CONCATENATE(H286,F286,FK$2),Ciencias!$A:$H,7,FALSE)=BY286,1,0)</f>
        <v>#N/A</v>
      </c>
      <c r="FL286" s="138" t="e">
        <f>IF(VLOOKUP(CONCATENATE(H286,F286,FL$2),Ciencias!$A:$H,7,FALSE)=BZ286,1,0)</f>
        <v>#N/A</v>
      </c>
      <c r="FM286" s="138" t="e">
        <f>IF(VLOOKUP(CONCATENATE(H286,F286,FM$2),Ciencias!$A:$H,7,FALSE)=CA286,1,0)</f>
        <v>#N/A</v>
      </c>
      <c r="FN286" s="138" t="e">
        <f>IF(VLOOKUP(CONCATENATE(H286,F286,FN$2),Ciencias!$A:$H,7,FALSE)=CB286,1,0)</f>
        <v>#N/A</v>
      </c>
      <c r="FO286" s="138" t="e">
        <f>IF(VLOOKUP(CONCATENATE(H286,F286,FO$2),Ciencias!$A:$H,7,FALSE)=CC286,1,0)</f>
        <v>#N/A</v>
      </c>
      <c r="FP286" s="138" t="e">
        <f>IF(VLOOKUP(CONCATENATE(H286,F286,FP$2),GeoHis!$A:$H,7,FALSE)=CD286,1,0)</f>
        <v>#N/A</v>
      </c>
      <c r="FQ286" s="138" t="e">
        <f>IF(VLOOKUP(CONCATENATE(H286,F286,FQ$2),GeoHis!$A:$H,7,FALSE)=CE286,1,0)</f>
        <v>#N/A</v>
      </c>
      <c r="FR286" s="138" t="e">
        <f>IF(VLOOKUP(CONCATENATE(H286,F286,FR$2),GeoHis!$A:$H,7,FALSE)=CF286,1,0)</f>
        <v>#N/A</v>
      </c>
      <c r="FS286" s="138" t="e">
        <f>IF(VLOOKUP(CONCATENATE(H286,F286,FS$2),GeoHis!$A:$H,7,FALSE)=CG286,1,0)</f>
        <v>#N/A</v>
      </c>
      <c r="FT286" s="138" t="e">
        <f>IF(VLOOKUP(CONCATENATE(H286,F286,FT$2),GeoHis!$A:$H,7,FALSE)=CH286,1,0)</f>
        <v>#N/A</v>
      </c>
      <c r="FU286" s="138" t="e">
        <f>IF(VLOOKUP(CONCATENATE(H286,F286,FU$2),GeoHis!$A:$H,7,FALSE)=CI286,1,0)</f>
        <v>#N/A</v>
      </c>
      <c r="FV286" s="138" t="e">
        <f>IF(VLOOKUP(CONCATENATE(H286,F286,FV$2),GeoHis!$A:$H,7,FALSE)=CJ286,1,0)</f>
        <v>#N/A</v>
      </c>
      <c r="FW286" s="138" t="e">
        <f>IF(VLOOKUP(CONCATENATE(H286,F286,FW$2),GeoHis!$A:$H,7,FALSE)=CK286,1,0)</f>
        <v>#N/A</v>
      </c>
      <c r="FX286" s="138" t="e">
        <f>IF(VLOOKUP(CONCATENATE(H286,F286,FX$2),GeoHis!$A:$H,7,FALSE)=CL286,1,0)</f>
        <v>#N/A</v>
      </c>
      <c r="FY286" s="138" t="e">
        <f>IF(VLOOKUP(CONCATENATE(H286,F286,FY$2),GeoHis!$A:$H,7,FALSE)=CM286,1,0)</f>
        <v>#N/A</v>
      </c>
      <c r="FZ286" s="138" t="e">
        <f>IF(VLOOKUP(CONCATENATE(H286,F286,FZ$2),GeoHis!$A:$H,7,FALSE)=CN286,1,0)</f>
        <v>#N/A</v>
      </c>
      <c r="GA286" s="138" t="e">
        <f>IF(VLOOKUP(CONCATENATE(H286,F286,GA$2),GeoHis!$A:$H,7,FALSE)=CO286,1,0)</f>
        <v>#N/A</v>
      </c>
      <c r="GB286" s="138" t="e">
        <f>IF(VLOOKUP(CONCATENATE(H286,F286,GB$2),GeoHis!$A:$H,7,FALSE)=CP286,1,0)</f>
        <v>#N/A</v>
      </c>
      <c r="GC286" s="138" t="e">
        <f>IF(VLOOKUP(CONCATENATE(H286,F286,GC$2),GeoHis!$A:$H,7,FALSE)=CQ286,1,0)</f>
        <v>#N/A</v>
      </c>
      <c r="GD286" s="138" t="e">
        <f>IF(VLOOKUP(CONCATENATE(H286,F286,GD$2),GeoHis!$A:$H,7,FALSE)=CR286,1,0)</f>
        <v>#N/A</v>
      </c>
      <c r="GE286" s="135" t="str">
        <f t="shared" si="39"/>
        <v/>
      </c>
    </row>
    <row r="287" spans="1:187" x14ac:dyDescent="0.25">
      <c r="A287" s="127" t="str">
        <f>IF(C287="","",'Datos Generales'!$A$25)</f>
        <v/>
      </c>
      <c r="D287" s="126" t="str">
        <f t="shared" si="32"/>
        <v/>
      </c>
      <c r="E287" s="126">
        <f t="shared" si="33"/>
        <v>0</v>
      </c>
      <c r="F287" s="126" t="str">
        <f t="shared" si="34"/>
        <v/>
      </c>
      <c r="G287" s="126" t="str">
        <f>IF(C287="","",'Datos Generales'!$D$19)</f>
        <v/>
      </c>
      <c r="H287" s="21" t="str">
        <f>IF(C287="","",'Datos Generales'!$A$19)</f>
        <v/>
      </c>
      <c r="I287" s="126" t="str">
        <f>IF(C287="","",'Datos Generales'!$A$7)</f>
        <v/>
      </c>
      <c r="J287" s="21" t="str">
        <f>IF(C287="","",'Datos Generales'!$A$13)</f>
        <v/>
      </c>
      <c r="K287" s="21" t="str">
        <f>IF(C287="","",'Datos Generales'!$A$10)</f>
        <v/>
      </c>
      <c r="CS287" s="142" t="str">
        <f t="shared" si="35"/>
        <v/>
      </c>
      <c r="CT287" s="142" t="str">
        <f t="shared" si="36"/>
        <v/>
      </c>
      <c r="CU287" s="142" t="str">
        <f t="shared" si="37"/>
        <v/>
      </c>
      <c r="CV287" s="142" t="str">
        <f t="shared" si="38"/>
        <v/>
      </c>
      <c r="CW287" s="142" t="str">
        <f>IF(C287="","",IF('Datos Generales'!$A$19=1,AVERAGE(FP287:GD287),AVERAGE(Captura!FP287:FY287)))</f>
        <v/>
      </c>
      <c r="CX287" s="138" t="e">
        <f>IF(VLOOKUP(CONCATENATE($H$4,$F$4,CX$2),Español!$A:$H,7,FALSE)=L287,1,0)</f>
        <v>#N/A</v>
      </c>
      <c r="CY287" s="138" t="e">
        <f>IF(VLOOKUP(CONCATENATE(H287,F287,CY$2),Español!$A:$H,7,FALSE)=M287,1,0)</f>
        <v>#N/A</v>
      </c>
      <c r="CZ287" s="138" t="e">
        <f>IF(VLOOKUP(CONCATENATE(H287,F287,CZ$2),Español!$A:$H,7,FALSE)=N287,1,0)</f>
        <v>#N/A</v>
      </c>
      <c r="DA287" s="138" t="e">
        <f>IF(VLOOKUP(CONCATENATE(H287,F287,DA$2),Español!$A:$H,7,FALSE)=O287,1,0)</f>
        <v>#N/A</v>
      </c>
      <c r="DB287" s="138" t="e">
        <f>IF(VLOOKUP(CONCATENATE(H287,F287,DB$2),Español!$A:$H,7,FALSE)=P287,1,0)</f>
        <v>#N/A</v>
      </c>
      <c r="DC287" s="138" t="e">
        <f>IF(VLOOKUP(CONCATENATE(H287,F287,DC$2),Español!$A:$H,7,FALSE)=Q287,1,0)</f>
        <v>#N/A</v>
      </c>
      <c r="DD287" s="138" t="e">
        <f>IF(VLOOKUP(CONCATENATE(H287,F287,DD$2),Español!$A:$H,7,FALSE)=R287,1,0)</f>
        <v>#N/A</v>
      </c>
      <c r="DE287" s="138" t="e">
        <f>IF(VLOOKUP(CONCATENATE(H287,F287,DE$2),Español!$A:$H,7,FALSE)=S287,1,0)</f>
        <v>#N/A</v>
      </c>
      <c r="DF287" s="138" t="e">
        <f>IF(VLOOKUP(CONCATENATE(H287,F287,DF$2),Español!$A:$H,7,FALSE)=T287,1,0)</f>
        <v>#N/A</v>
      </c>
      <c r="DG287" s="138" t="e">
        <f>IF(VLOOKUP(CONCATENATE(H287,F287,DG$2),Español!$A:$H,7,FALSE)=U287,1,0)</f>
        <v>#N/A</v>
      </c>
      <c r="DH287" s="138" t="e">
        <f>IF(VLOOKUP(CONCATENATE(H287,F287,DH$2),Español!$A:$H,7,FALSE)=V287,1,0)</f>
        <v>#N/A</v>
      </c>
      <c r="DI287" s="138" t="e">
        <f>IF(VLOOKUP(CONCATENATE(H287,F287,DI$2),Español!$A:$H,7,FALSE)=W287,1,0)</f>
        <v>#N/A</v>
      </c>
      <c r="DJ287" s="138" t="e">
        <f>IF(VLOOKUP(CONCATENATE(H287,F287,DJ$2),Español!$A:$H,7,FALSE)=X287,1,0)</f>
        <v>#N/A</v>
      </c>
      <c r="DK287" s="138" t="e">
        <f>IF(VLOOKUP(CONCATENATE(H287,F287,DK$2),Español!$A:$H,7,FALSE)=Y287,1,0)</f>
        <v>#N/A</v>
      </c>
      <c r="DL287" s="138" t="e">
        <f>IF(VLOOKUP(CONCATENATE(H287,F287,DL$2),Español!$A:$H,7,FALSE)=Z287,1,0)</f>
        <v>#N/A</v>
      </c>
      <c r="DM287" s="138" t="e">
        <f>IF(VLOOKUP(CONCATENATE(H287,F287,DM$2),Español!$A:$H,7,FALSE)=AA287,1,0)</f>
        <v>#N/A</v>
      </c>
      <c r="DN287" s="138" t="e">
        <f>IF(VLOOKUP(CONCATENATE(H287,F287,DN$2),Español!$A:$H,7,FALSE)=AB287,1,0)</f>
        <v>#N/A</v>
      </c>
      <c r="DO287" s="138" t="e">
        <f>IF(VLOOKUP(CONCATENATE(H287,F287,DO$2),Español!$A:$H,7,FALSE)=AC287,1,0)</f>
        <v>#N/A</v>
      </c>
      <c r="DP287" s="138" t="e">
        <f>IF(VLOOKUP(CONCATENATE(H287,F287,DP$2),Español!$A:$H,7,FALSE)=AD287,1,0)</f>
        <v>#N/A</v>
      </c>
      <c r="DQ287" s="138" t="e">
        <f>IF(VLOOKUP(CONCATENATE(H287,F287,DQ$2),Español!$A:$H,7,FALSE)=AE287,1,0)</f>
        <v>#N/A</v>
      </c>
      <c r="DR287" s="138" t="e">
        <f>IF(VLOOKUP(CONCATENATE(H287,F287,DR$2),Inglés!$A:$H,7,FALSE)=AF287,1,0)</f>
        <v>#N/A</v>
      </c>
      <c r="DS287" s="138" t="e">
        <f>IF(VLOOKUP(CONCATENATE(H287,F287,DS$2),Inglés!$A:$H,7,FALSE)=AG287,1,0)</f>
        <v>#N/A</v>
      </c>
      <c r="DT287" s="138" t="e">
        <f>IF(VLOOKUP(CONCATENATE(H287,F287,DT$2),Inglés!$A:$H,7,FALSE)=AH287,1,0)</f>
        <v>#N/A</v>
      </c>
      <c r="DU287" s="138" t="e">
        <f>IF(VLOOKUP(CONCATENATE(H287,F287,DU$2),Inglés!$A:$H,7,FALSE)=AI287,1,0)</f>
        <v>#N/A</v>
      </c>
      <c r="DV287" s="138" t="e">
        <f>IF(VLOOKUP(CONCATENATE(H287,F287,DV$2),Inglés!$A:$H,7,FALSE)=AJ287,1,0)</f>
        <v>#N/A</v>
      </c>
      <c r="DW287" s="138" t="e">
        <f>IF(VLOOKUP(CONCATENATE(H287,F287,DW$2),Inglés!$A:$H,7,FALSE)=AK287,1,0)</f>
        <v>#N/A</v>
      </c>
      <c r="DX287" s="138" t="e">
        <f>IF(VLOOKUP(CONCATENATE(H287,F287,DX$2),Inglés!$A:$H,7,FALSE)=AL287,1,0)</f>
        <v>#N/A</v>
      </c>
      <c r="DY287" s="138" t="e">
        <f>IF(VLOOKUP(CONCATENATE(H287,F287,DY$2),Inglés!$A:$H,7,FALSE)=AM287,1,0)</f>
        <v>#N/A</v>
      </c>
      <c r="DZ287" s="138" t="e">
        <f>IF(VLOOKUP(CONCATENATE(H287,F287,DZ$2),Inglés!$A:$H,7,FALSE)=AN287,1,0)</f>
        <v>#N/A</v>
      </c>
      <c r="EA287" s="138" t="e">
        <f>IF(VLOOKUP(CONCATENATE(H287,F287,EA$2),Inglés!$A:$H,7,FALSE)=AO287,1,0)</f>
        <v>#N/A</v>
      </c>
      <c r="EB287" s="138" t="e">
        <f>IF(VLOOKUP(CONCATENATE(H287,F287,EB$2),Matemáticas!$A:$H,7,FALSE)=AP287,1,0)</f>
        <v>#N/A</v>
      </c>
      <c r="EC287" s="138" t="e">
        <f>IF(VLOOKUP(CONCATENATE(H287,F287,EC$2),Matemáticas!$A:$H,7,FALSE)=AQ287,1,0)</f>
        <v>#N/A</v>
      </c>
      <c r="ED287" s="138" t="e">
        <f>IF(VLOOKUP(CONCATENATE(H287,F287,ED$2),Matemáticas!$A:$H,7,FALSE)=AR287,1,0)</f>
        <v>#N/A</v>
      </c>
      <c r="EE287" s="138" t="e">
        <f>IF(VLOOKUP(CONCATENATE(H287,F287,EE$2),Matemáticas!$A:$H,7,FALSE)=AS287,1,0)</f>
        <v>#N/A</v>
      </c>
      <c r="EF287" s="138" t="e">
        <f>IF(VLOOKUP(CONCATENATE(H287,F287,EF$2),Matemáticas!$A:$H,7,FALSE)=AT287,1,0)</f>
        <v>#N/A</v>
      </c>
      <c r="EG287" s="138" t="e">
        <f>IF(VLOOKUP(CONCATENATE(H287,F287,EG$2),Matemáticas!$A:$H,7,FALSE)=AU287,1,0)</f>
        <v>#N/A</v>
      </c>
      <c r="EH287" s="138" t="e">
        <f>IF(VLOOKUP(CONCATENATE(H287,F287,EH$2),Matemáticas!$A:$H,7,FALSE)=AV287,1,0)</f>
        <v>#N/A</v>
      </c>
      <c r="EI287" s="138" t="e">
        <f>IF(VLOOKUP(CONCATENATE(H287,F287,EI$2),Matemáticas!$A:$H,7,FALSE)=AW287,1,0)</f>
        <v>#N/A</v>
      </c>
      <c r="EJ287" s="138" t="e">
        <f>IF(VLOOKUP(CONCATENATE(H287,F287,EJ$2),Matemáticas!$A:$H,7,FALSE)=AX287,1,0)</f>
        <v>#N/A</v>
      </c>
      <c r="EK287" s="138" t="e">
        <f>IF(VLOOKUP(CONCATENATE(H287,F287,EK$2),Matemáticas!$A:$H,7,FALSE)=AY287,1,0)</f>
        <v>#N/A</v>
      </c>
      <c r="EL287" s="138" t="e">
        <f>IF(VLOOKUP(CONCATENATE(H287,F287,EL$2),Matemáticas!$A:$H,7,FALSE)=AZ287,1,0)</f>
        <v>#N/A</v>
      </c>
      <c r="EM287" s="138" t="e">
        <f>IF(VLOOKUP(CONCATENATE(H287,F287,EM$2),Matemáticas!$A:$H,7,FALSE)=BA287,1,0)</f>
        <v>#N/A</v>
      </c>
      <c r="EN287" s="138" t="e">
        <f>IF(VLOOKUP(CONCATENATE(H287,F287,EN$2),Matemáticas!$A:$H,7,FALSE)=BB287,1,0)</f>
        <v>#N/A</v>
      </c>
      <c r="EO287" s="138" t="e">
        <f>IF(VLOOKUP(CONCATENATE(H287,F287,EO$2),Matemáticas!$A:$H,7,FALSE)=BC287,1,0)</f>
        <v>#N/A</v>
      </c>
      <c r="EP287" s="138" t="e">
        <f>IF(VLOOKUP(CONCATENATE(H287,F287,EP$2),Matemáticas!$A:$H,7,FALSE)=BD287,1,0)</f>
        <v>#N/A</v>
      </c>
      <c r="EQ287" s="138" t="e">
        <f>IF(VLOOKUP(CONCATENATE(H287,F287,EQ$2),Matemáticas!$A:$H,7,FALSE)=BE287,1,0)</f>
        <v>#N/A</v>
      </c>
      <c r="ER287" s="138" t="e">
        <f>IF(VLOOKUP(CONCATENATE(H287,F287,ER$2),Matemáticas!$A:$H,7,FALSE)=BF287,1,0)</f>
        <v>#N/A</v>
      </c>
      <c r="ES287" s="138" t="e">
        <f>IF(VLOOKUP(CONCATENATE(H287,F287,ES$2),Matemáticas!$A:$H,7,FALSE)=BG287,1,0)</f>
        <v>#N/A</v>
      </c>
      <c r="ET287" s="138" t="e">
        <f>IF(VLOOKUP(CONCATENATE(H287,F287,ET$2),Matemáticas!$A:$H,7,FALSE)=BH287,1,0)</f>
        <v>#N/A</v>
      </c>
      <c r="EU287" s="138" t="e">
        <f>IF(VLOOKUP(CONCATENATE(H287,F287,EU$2),Matemáticas!$A:$H,7,FALSE)=BI287,1,0)</f>
        <v>#N/A</v>
      </c>
      <c r="EV287" s="138" t="e">
        <f>IF(VLOOKUP(CONCATENATE(H287,F287,EV$2),Ciencias!$A:$H,7,FALSE)=BJ287,1,0)</f>
        <v>#N/A</v>
      </c>
      <c r="EW287" s="138" t="e">
        <f>IF(VLOOKUP(CONCATENATE(H287,F287,EW$2),Ciencias!$A:$H,7,FALSE)=BK287,1,0)</f>
        <v>#N/A</v>
      </c>
      <c r="EX287" s="138" t="e">
        <f>IF(VLOOKUP(CONCATENATE(H287,F287,EX$2),Ciencias!$A:$H,7,FALSE)=BL287,1,0)</f>
        <v>#N/A</v>
      </c>
      <c r="EY287" s="138" t="e">
        <f>IF(VLOOKUP(CONCATENATE(H287,F287,EY$2),Ciencias!$A:$H,7,FALSE)=BM287,1,0)</f>
        <v>#N/A</v>
      </c>
      <c r="EZ287" s="138" t="e">
        <f>IF(VLOOKUP(CONCATENATE(H287,F287,EZ$2),Ciencias!$A:$H,7,FALSE)=BN287,1,0)</f>
        <v>#N/A</v>
      </c>
      <c r="FA287" s="138" t="e">
        <f>IF(VLOOKUP(CONCATENATE(H287,F287,FA$2),Ciencias!$A:$H,7,FALSE)=BO287,1,0)</f>
        <v>#N/A</v>
      </c>
      <c r="FB287" s="138" t="e">
        <f>IF(VLOOKUP(CONCATENATE(H287,F287,FB$2),Ciencias!$A:$H,7,FALSE)=BP287,1,0)</f>
        <v>#N/A</v>
      </c>
      <c r="FC287" s="138" t="e">
        <f>IF(VLOOKUP(CONCATENATE(H287,F287,FC$2),Ciencias!$A:$H,7,FALSE)=BQ287,1,0)</f>
        <v>#N/A</v>
      </c>
      <c r="FD287" s="138" t="e">
        <f>IF(VLOOKUP(CONCATENATE(H287,F287,FD$2),Ciencias!$A:$H,7,FALSE)=BR287,1,0)</f>
        <v>#N/A</v>
      </c>
      <c r="FE287" s="138" t="e">
        <f>IF(VLOOKUP(CONCATENATE(H287,F287,FE$2),Ciencias!$A:$H,7,FALSE)=BS287,1,0)</f>
        <v>#N/A</v>
      </c>
      <c r="FF287" s="138" t="e">
        <f>IF(VLOOKUP(CONCATENATE(H287,F287,FF$2),Ciencias!$A:$H,7,FALSE)=BT287,1,0)</f>
        <v>#N/A</v>
      </c>
      <c r="FG287" s="138" t="e">
        <f>IF(VLOOKUP(CONCATENATE(H287,F287,FG$2),Ciencias!$A:$H,7,FALSE)=BU287,1,0)</f>
        <v>#N/A</v>
      </c>
      <c r="FH287" s="138" t="e">
        <f>IF(VLOOKUP(CONCATENATE(H287,F287,FH$2),Ciencias!$A:$H,7,FALSE)=BV287,1,0)</f>
        <v>#N/A</v>
      </c>
      <c r="FI287" s="138" t="e">
        <f>IF(VLOOKUP(CONCATENATE(H287,F287,FI$2),Ciencias!$A:$H,7,FALSE)=BW287,1,0)</f>
        <v>#N/A</v>
      </c>
      <c r="FJ287" s="138" t="e">
        <f>IF(VLOOKUP(CONCATENATE(H287,F287,FJ$2),Ciencias!$A:$H,7,FALSE)=BX287,1,0)</f>
        <v>#N/A</v>
      </c>
      <c r="FK287" s="138" t="e">
        <f>IF(VLOOKUP(CONCATENATE(H287,F287,FK$2),Ciencias!$A:$H,7,FALSE)=BY287,1,0)</f>
        <v>#N/A</v>
      </c>
      <c r="FL287" s="138" t="e">
        <f>IF(VLOOKUP(CONCATENATE(H287,F287,FL$2),Ciencias!$A:$H,7,FALSE)=BZ287,1,0)</f>
        <v>#N/A</v>
      </c>
      <c r="FM287" s="138" t="e">
        <f>IF(VLOOKUP(CONCATENATE(H287,F287,FM$2),Ciencias!$A:$H,7,FALSE)=CA287,1,0)</f>
        <v>#N/A</v>
      </c>
      <c r="FN287" s="138" t="e">
        <f>IF(VLOOKUP(CONCATENATE(H287,F287,FN$2),Ciencias!$A:$H,7,FALSE)=CB287,1,0)</f>
        <v>#N/A</v>
      </c>
      <c r="FO287" s="138" t="e">
        <f>IF(VLOOKUP(CONCATENATE(H287,F287,FO$2),Ciencias!$A:$H,7,FALSE)=CC287,1,0)</f>
        <v>#N/A</v>
      </c>
      <c r="FP287" s="138" t="e">
        <f>IF(VLOOKUP(CONCATENATE(H287,F287,FP$2),GeoHis!$A:$H,7,FALSE)=CD287,1,0)</f>
        <v>#N/A</v>
      </c>
      <c r="FQ287" s="138" t="e">
        <f>IF(VLOOKUP(CONCATENATE(H287,F287,FQ$2),GeoHis!$A:$H,7,FALSE)=CE287,1,0)</f>
        <v>#N/A</v>
      </c>
      <c r="FR287" s="138" t="e">
        <f>IF(VLOOKUP(CONCATENATE(H287,F287,FR$2),GeoHis!$A:$H,7,FALSE)=CF287,1,0)</f>
        <v>#N/A</v>
      </c>
      <c r="FS287" s="138" t="e">
        <f>IF(VLOOKUP(CONCATENATE(H287,F287,FS$2),GeoHis!$A:$H,7,FALSE)=CG287,1,0)</f>
        <v>#N/A</v>
      </c>
      <c r="FT287" s="138" t="e">
        <f>IF(VLOOKUP(CONCATENATE(H287,F287,FT$2),GeoHis!$A:$H,7,FALSE)=CH287,1,0)</f>
        <v>#N/A</v>
      </c>
      <c r="FU287" s="138" t="e">
        <f>IF(VLOOKUP(CONCATENATE(H287,F287,FU$2),GeoHis!$A:$H,7,FALSE)=CI287,1,0)</f>
        <v>#N/A</v>
      </c>
      <c r="FV287" s="138" t="e">
        <f>IF(VLOOKUP(CONCATENATE(H287,F287,FV$2),GeoHis!$A:$H,7,FALSE)=CJ287,1,0)</f>
        <v>#N/A</v>
      </c>
      <c r="FW287" s="138" t="e">
        <f>IF(VLOOKUP(CONCATENATE(H287,F287,FW$2),GeoHis!$A:$H,7,FALSE)=CK287,1,0)</f>
        <v>#N/A</v>
      </c>
      <c r="FX287" s="138" t="e">
        <f>IF(VLOOKUP(CONCATENATE(H287,F287,FX$2),GeoHis!$A:$H,7,FALSE)=CL287,1,0)</f>
        <v>#N/A</v>
      </c>
      <c r="FY287" s="138" t="e">
        <f>IF(VLOOKUP(CONCATENATE(H287,F287,FY$2),GeoHis!$A:$H,7,FALSE)=CM287,1,0)</f>
        <v>#N/A</v>
      </c>
      <c r="FZ287" s="138" t="e">
        <f>IF(VLOOKUP(CONCATENATE(H287,F287,FZ$2),GeoHis!$A:$H,7,FALSE)=CN287,1,0)</f>
        <v>#N/A</v>
      </c>
      <c r="GA287" s="138" t="e">
        <f>IF(VLOOKUP(CONCATENATE(H287,F287,GA$2),GeoHis!$A:$H,7,FALSE)=CO287,1,0)</f>
        <v>#N/A</v>
      </c>
      <c r="GB287" s="138" t="e">
        <f>IF(VLOOKUP(CONCATENATE(H287,F287,GB$2),GeoHis!$A:$H,7,FALSE)=CP287,1,0)</f>
        <v>#N/A</v>
      </c>
      <c r="GC287" s="138" t="e">
        <f>IF(VLOOKUP(CONCATENATE(H287,F287,GC$2),GeoHis!$A:$H,7,FALSE)=CQ287,1,0)</f>
        <v>#N/A</v>
      </c>
      <c r="GD287" s="138" t="e">
        <f>IF(VLOOKUP(CONCATENATE(H287,F287,GD$2),GeoHis!$A:$H,7,FALSE)=CR287,1,0)</f>
        <v>#N/A</v>
      </c>
      <c r="GE287" s="135" t="str">
        <f t="shared" si="39"/>
        <v/>
      </c>
    </row>
    <row r="288" spans="1:187" x14ac:dyDescent="0.25">
      <c r="A288" s="127" t="str">
        <f>IF(C288="","",'Datos Generales'!$A$25)</f>
        <v/>
      </c>
      <c r="D288" s="126" t="str">
        <f t="shared" si="32"/>
        <v/>
      </c>
      <c r="E288" s="126">
        <f t="shared" si="33"/>
        <v>0</v>
      </c>
      <c r="F288" s="126" t="str">
        <f t="shared" si="34"/>
        <v/>
      </c>
      <c r="G288" s="126" t="str">
        <f>IF(C288="","",'Datos Generales'!$D$19)</f>
        <v/>
      </c>
      <c r="H288" s="21" t="str">
        <f>IF(C288="","",'Datos Generales'!$A$19)</f>
        <v/>
      </c>
      <c r="I288" s="126" t="str">
        <f>IF(C288="","",'Datos Generales'!$A$7)</f>
        <v/>
      </c>
      <c r="J288" s="21" t="str">
        <f>IF(C288="","",'Datos Generales'!$A$13)</f>
        <v/>
      </c>
      <c r="K288" s="21" t="str">
        <f>IF(C288="","",'Datos Generales'!$A$10)</f>
        <v/>
      </c>
      <c r="CS288" s="142" t="str">
        <f t="shared" si="35"/>
        <v/>
      </c>
      <c r="CT288" s="142" t="str">
        <f t="shared" si="36"/>
        <v/>
      </c>
      <c r="CU288" s="142" t="str">
        <f t="shared" si="37"/>
        <v/>
      </c>
      <c r="CV288" s="142" t="str">
        <f t="shared" si="38"/>
        <v/>
      </c>
      <c r="CW288" s="142" t="str">
        <f>IF(C288="","",IF('Datos Generales'!$A$19=1,AVERAGE(FP288:GD288),AVERAGE(Captura!FP288:FY288)))</f>
        <v/>
      </c>
      <c r="CX288" s="138" t="e">
        <f>IF(VLOOKUP(CONCATENATE($H$4,$F$4,CX$2),Español!$A:$H,7,FALSE)=L288,1,0)</f>
        <v>#N/A</v>
      </c>
      <c r="CY288" s="138" t="e">
        <f>IF(VLOOKUP(CONCATENATE(H288,F288,CY$2),Español!$A:$H,7,FALSE)=M288,1,0)</f>
        <v>#N/A</v>
      </c>
      <c r="CZ288" s="138" t="e">
        <f>IF(VLOOKUP(CONCATENATE(H288,F288,CZ$2),Español!$A:$H,7,FALSE)=N288,1,0)</f>
        <v>#N/A</v>
      </c>
      <c r="DA288" s="138" t="e">
        <f>IF(VLOOKUP(CONCATENATE(H288,F288,DA$2),Español!$A:$H,7,FALSE)=O288,1,0)</f>
        <v>#N/A</v>
      </c>
      <c r="DB288" s="138" t="e">
        <f>IF(VLOOKUP(CONCATENATE(H288,F288,DB$2),Español!$A:$H,7,FALSE)=P288,1,0)</f>
        <v>#N/A</v>
      </c>
      <c r="DC288" s="138" t="e">
        <f>IF(VLOOKUP(CONCATENATE(H288,F288,DC$2),Español!$A:$H,7,FALSE)=Q288,1,0)</f>
        <v>#N/A</v>
      </c>
      <c r="DD288" s="138" t="e">
        <f>IF(VLOOKUP(CONCATENATE(H288,F288,DD$2),Español!$A:$H,7,FALSE)=R288,1,0)</f>
        <v>#N/A</v>
      </c>
      <c r="DE288" s="138" t="e">
        <f>IF(VLOOKUP(CONCATENATE(H288,F288,DE$2),Español!$A:$H,7,FALSE)=S288,1,0)</f>
        <v>#N/A</v>
      </c>
      <c r="DF288" s="138" t="e">
        <f>IF(VLOOKUP(CONCATENATE(H288,F288,DF$2),Español!$A:$H,7,FALSE)=T288,1,0)</f>
        <v>#N/A</v>
      </c>
      <c r="DG288" s="138" t="e">
        <f>IF(VLOOKUP(CONCATENATE(H288,F288,DG$2),Español!$A:$H,7,FALSE)=U288,1,0)</f>
        <v>#N/A</v>
      </c>
      <c r="DH288" s="138" t="e">
        <f>IF(VLOOKUP(CONCATENATE(H288,F288,DH$2),Español!$A:$H,7,FALSE)=V288,1,0)</f>
        <v>#N/A</v>
      </c>
      <c r="DI288" s="138" t="e">
        <f>IF(VLOOKUP(CONCATENATE(H288,F288,DI$2),Español!$A:$H,7,FALSE)=W288,1,0)</f>
        <v>#N/A</v>
      </c>
      <c r="DJ288" s="138" t="e">
        <f>IF(VLOOKUP(CONCATENATE(H288,F288,DJ$2),Español!$A:$H,7,FALSE)=X288,1,0)</f>
        <v>#N/A</v>
      </c>
      <c r="DK288" s="138" t="e">
        <f>IF(VLOOKUP(CONCATENATE(H288,F288,DK$2),Español!$A:$H,7,FALSE)=Y288,1,0)</f>
        <v>#N/A</v>
      </c>
      <c r="DL288" s="138" t="e">
        <f>IF(VLOOKUP(CONCATENATE(H288,F288,DL$2),Español!$A:$H,7,FALSE)=Z288,1,0)</f>
        <v>#N/A</v>
      </c>
      <c r="DM288" s="138" t="e">
        <f>IF(VLOOKUP(CONCATENATE(H288,F288,DM$2),Español!$A:$H,7,FALSE)=AA288,1,0)</f>
        <v>#N/A</v>
      </c>
      <c r="DN288" s="138" t="e">
        <f>IF(VLOOKUP(CONCATENATE(H288,F288,DN$2),Español!$A:$H,7,FALSE)=AB288,1,0)</f>
        <v>#N/A</v>
      </c>
      <c r="DO288" s="138" t="e">
        <f>IF(VLOOKUP(CONCATENATE(H288,F288,DO$2),Español!$A:$H,7,FALSE)=AC288,1,0)</f>
        <v>#N/A</v>
      </c>
      <c r="DP288" s="138" t="e">
        <f>IF(VLOOKUP(CONCATENATE(H288,F288,DP$2),Español!$A:$H,7,FALSE)=AD288,1,0)</f>
        <v>#N/A</v>
      </c>
      <c r="DQ288" s="138" t="e">
        <f>IF(VLOOKUP(CONCATENATE(H288,F288,DQ$2),Español!$A:$H,7,FALSE)=AE288,1,0)</f>
        <v>#N/A</v>
      </c>
      <c r="DR288" s="138" t="e">
        <f>IF(VLOOKUP(CONCATENATE(H288,F288,DR$2),Inglés!$A:$H,7,FALSE)=AF288,1,0)</f>
        <v>#N/A</v>
      </c>
      <c r="DS288" s="138" t="e">
        <f>IF(VLOOKUP(CONCATENATE(H288,F288,DS$2),Inglés!$A:$H,7,FALSE)=AG288,1,0)</f>
        <v>#N/A</v>
      </c>
      <c r="DT288" s="138" t="e">
        <f>IF(VLOOKUP(CONCATENATE(H288,F288,DT$2),Inglés!$A:$H,7,FALSE)=AH288,1,0)</f>
        <v>#N/A</v>
      </c>
      <c r="DU288" s="138" t="e">
        <f>IF(VLOOKUP(CONCATENATE(H288,F288,DU$2),Inglés!$A:$H,7,FALSE)=AI288,1,0)</f>
        <v>#N/A</v>
      </c>
      <c r="DV288" s="138" t="e">
        <f>IF(VLOOKUP(CONCATENATE(H288,F288,DV$2),Inglés!$A:$H,7,FALSE)=AJ288,1,0)</f>
        <v>#N/A</v>
      </c>
      <c r="DW288" s="138" t="e">
        <f>IF(VLOOKUP(CONCATENATE(H288,F288,DW$2),Inglés!$A:$H,7,FALSE)=AK288,1,0)</f>
        <v>#N/A</v>
      </c>
      <c r="DX288" s="138" t="e">
        <f>IF(VLOOKUP(CONCATENATE(H288,F288,DX$2),Inglés!$A:$H,7,FALSE)=AL288,1,0)</f>
        <v>#N/A</v>
      </c>
      <c r="DY288" s="138" t="e">
        <f>IF(VLOOKUP(CONCATENATE(H288,F288,DY$2),Inglés!$A:$H,7,FALSE)=AM288,1,0)</f>
        <v>#N/A</v>
      </c>
      <c r="DZ288" s="138" t="e">
        <f>IF(VLOOKUP(CONCATENATE(H288,F288,DZ$2),Inglés!$A:$H,7,FALSE)=AN288,1,0)</f>
        <v>#N/A</v>
      </c>
      <c r="EA288" s="138" t="e">
        <f>IF(VLOOKUP(CONCATENATE(H288,F288,EA$2),Inglés!$A:$H,7,FALSE)=AO288,1,0)</f>
        <v>#N/A</v>
      </c>
      <c r="EB288" s="138" t="e">
        <f>IF(VLOOKUP(CONCATENATE(H288,F288,EB$2),Matemáticas!$A:$H,7,FALSE)=AP288,1,0)</f>
        <v>#N/A</v>
      </c>
      <c r="EC288" s="138" t="e">
        <f>IF(VLOOKUP(CONCATENATE(H288,F288,EC$2),Matemáticas!$A:$H,7,FALSE)=AQ288,1,0)</f>
        <v>#N/A</v>
      </c>
      <c r="ED288" s="138" t="e">
        <f>IF(VLOOKUP(CONCATENATE(H288,F288,ED$2),Matemáticas!$A:$H,7,FALSE)=AR288,1,0)</f>
        <v>#N/A</v>
      </c>
      <c r="EE288" s="138" t="e">
        <f>IF(VLOOKUP(CONCATENATE(H288,F288,EE$2),Matemáticas!$A:$H,7,FALSE)=AS288,1,0)</f>
        <v>#N/A</v>
      </c>
      <c r="EF288" s="138" t="e">
        <f>IF(VLOOKUP(CONCATENATE(H288,F288,EF$2),Matemáticas!$A:$H,7,FALSE)=AT288,1,0)</f>
        <v>#N/A</v>
      </c>
      <c r="EG288" s="138" t="e">
        <f>IF(VLOOKUP(CONCATENATE(H288,F288,EG$2),Matemáticas!$A:$H,7,FALSE)=AU288,1,0)</f>
        <v>#N/A</v>
      </c>
      <c r="EH288" s="138" t="e">
        <f>IF(VLOOKUP(CONCATENATE(H288,F288,EH$2),Matemáticas!$A:$H,7,FALSE)=AV288,1,0)</f>
        <v>#N/A</v>
      </c>
      <c r="EI288" s="138" t="e">
        <f>IF(VLOOKUP(CONCATENATE(H288,F288,EI$2),Matemáticas!$A:$H,7,FALSE)=AW288,1,0)</f>
        <v>#N/A</v>
      </c>
      <c r="EJ288" s="138" t="e">
        <f>IF(VLOOKUP(CONCATENATE(H288,F288,EJ$2),Matemáticas!$A:$H,7,FALSE)=AX288,1,0)</f>
        <v>#N/A</v>
      </c>
      <c r="EK288" s="138" t="e">
        <f>IF(VLOOKUP(CONCATENATE(H288,F288,EK$2),Matemáticas!$A:$H,7,FALSE)=AY288,1,0)</f>
        <v>#N/A</v>
      </c>
      <c r="EL288" s="138" t="e">
        <f>IF(VLOOKUP(CONCATENATE(H288,F288,EL$2),Matemáticas!$A:$H,7,FALSE)=AZ288,1,0)</f>
        <v>#N/A</v>
      </c>
      <c r="EM288" s="138" t="e">
        <f>IF(VLOOKUP(CONCATENATE(H288,F288,EM$2),Matemáticas!$A:$H,7,FALSE)=BA288,1,0)</f>
        <v>#N/A</v>
      </c>
      <c r="EN288" s="138" t="e">
        <f>IF(VLOOKUP(CONCATENATE(H288,F288,EN$2),Matemáticas!$A:$H,7,FALSE)=BB288,1,0)</f>
        <v>#N/A</v>
      </c>
      <c r="EO288" s="138" t="e">
        <f>IF(VLOOKUP(CONCATENATE(H288,F288,EO$2),Matemáticas!$A:$H,7,FALSE)=BC288,1,0)</f>
        <v>#N/A</v>
      </c>
      <c r="EP288" s="138" t="e">
        <f>IF(VLOOKUP(CONCATENATE(H288,F288,EP$2),Matemáticas!$A:$H,7,FALSE)=BD288,1,0)</f>
        <v>#N/A</v>
      </c>
      <c r="EQ288" s="138" t="e">
        <f>IF(VLOOKUP(CONCATENATE(H288,F288,EQ$2),Matemáticas!$A:$H,7,FALSE)=BE288,1,0)</f>
        <v>#N/A</v>
      </c>
      <c r="ER288" s="138" t="e">
        <f>IF(VLOOKUP(CONCATENATE(H288,F288,ER$2),Matemáticas!$A:$H,7,FALSE)=BF288,1,0)</f>
        <v>#N/A</v>
      </c>
      <c r="ES288" s="138" t="e">
        <f>IF(VLOOKUP(CONCATENATE(H288,F288,ES$2),Matemáticas!$A:$H,7,FALSE)=BG288,1,0)</f>
        <v>#N/A</v>
      </c>
      <c r="ET288" s="138" t="e">
        <f>IF(VLOOKUP(CONCATENATE(H288,F288,ET$2),Matemáticas!$A:$H,7,FALSE)=BH288,1,0)</f>
        <v>#N/A</v>
      </c>
      <c r="EU288" s="138" t="e">
        <f>IF(VLOOKUP(CONCATENATE(H288,F288,EU$2),Matemáticas!$A:$H,7,FALSE)=BI288,1,0)</f>
        <v>#N/A</v>
      </c>
      <c r="EV288" s="138" t="e">
        <f>IF(VLOOKUP(CONCATENATE(H288,F288,EV$2),Ciencias!$A:$H,7,FALSE)=BJ288,1,0)</f>
        <v>#N/A</v>
      </c>
      <c r="EW288" s="138" t="e">
        <f>IF(VLOOKUP(CONCATENATE(H288,F288,EW$2),Ciencias!$A:$H,7,FALSE)=BK288,1,0)</f>
        <v>#N/A</v>
      </c>
      <c r="EX288" s="138" t="e">
        <f>IF(VLOOKUP(CONCATENATE(H288,F288,EX$2),Ciencias!$A:$H,7,FALSE)=BL288,1,0)</f>
        <v>#N/A</v>
      </c>
      <c r="EY288" s="138" t="e">
        <f>IF(VLOOKUP(CONCATENATE(H288,F288,EY$2),Ciencias!$A:$H,7,FALSE)=BM288,1,0)</f>
        <v>#N/A</v>
      </c>
      <c r="EZ288" s="138" t="e">
        <f>IF(VLOOKUP(CONCATENATE(H288,F288,EZ$2),Ciencias!$A:$H,7,FALSE)=BN288,1,0)</f>
        <v>#N/A</v>
      </c>
      <c r="FA288" s="138" t="e">
        <f>IF(VLOOKUP(CONCATENATE(H288,F288,FA$2),Ciencias!$A:$H,7,FALSE)=BO288,1,0)</f>
        <v>#N/A</v>
      </c>
      <c r="FB288" s="138" t="e">
        <f>IF(VLOOKUP(CONCATENATE(H288,F288,FB$2),Ciencias!$A:$H,7,FALSE)=BP288,1,0)</f>
        <v>#N/A</v>
      </c>
      <c r="FC288" s="138" t="e">
        <f>IF(VLOOKUP(CONCATENATE(H288,F288,FC$2),Ciencias!$A:$H,7,FALSE)=BQ288,1,0)</f>
        <v>#N/A</v>
      </c>
      <c r="FD288" s="138" t="e">
        <f>IF(VLOOKUP(CONCATENATE(H288,F288,FD$2),Ciencias!$A:$H,7,FALSE)=BR288,1,0)</f>
        <v>#N/A</v>
      </c>
      <c r="FE288" s="138" t="e">
        <f>IF(VLOOKUP(CONCATENATE(H288,F288,FE$2),Ciencias!$A:$H,7,FALSE)=BS288,1,0)</f>
        <v>#N/A</v>
      </c>
      <c r="FF288" s="138" t="e">
        <f>IF(VLOOKUP(CONCATENATE(H288,F288,FF$2),Ciencias!$A:$H,7,FALSE)=BT288,1,0)</f>
        <v>#N/A</v>
      </c>
      <c r="FG288" s="138" t="e">
        <f>IF(VLOOKUP(CONCATENATE(H288,F288,FG$2),Ciencias!$A:$H,7,FALSE)=BU288,1,0)</f>
        <v>#N/A</v>
      </c>
      <c r="FH288" s="138" t="e">
        <f>IF(VLOOKUP(CONCATENATE(H288,F288,FH$2),Ciencias!$A:$H,7,FALSE)=BV288,1,0)</f>
        <v>#N/A</v>
      </c>
      <c r="FI288" s="138" t="e">
        <f>IF(VLOOKUP(CONCATENATE(H288,F288,FI$2),Ciencias!$A:$H,7,FALSE)=BW288,1,0)</f>
        <v>#N/A</v>
      </c>
      <c r="FJ288" s="138" t="e">
        <f>IF(VLOOKUP(CONCATENATE(H288,F288,FJ$2),Ciencias!$A:$H,7,FALSE)=BX288,1,0)</f>
        <v>#N/A</v>
      </c>
      <c r="FK288" s="138" t="e">
        <f>IF(VLOOKUP(CONCATENATE(H288,F288,FK$2),Ciencias!$A:$H,7,FALSE)=BY288,1,0)</f>
        <v>#N/A</v>
      </c>
      <c r="FL288" s="138" t="e">
        <f>IF(VLOOKUP(CONCATENATE(H288,F288,FL$2),Ciencias!$A:$H,7,FALSE)=BZ288,1,0)</f>
        <v>#N/A</v>
      </c>
      <c r="FM288" s="138" t="e">
        <f>IF(VLOOKUP(CONCATENATE(H288,F288,FM$2),Ciencias!$A:$H,7,FALSE)=CA288,1,0)</f>
        <v>#N/A</v>
      </c>
      <c r="FN288" s="138" t="e">
        <f>IF(VLOOKUP(CONCATENATE(H288,F288,FN$2),Ciencias!$A:$H,7,FALSE)=CB288,1,0)</f>
        <v>#N/A</v>
      </c>
      <c r="FO288" s="138" t="e">
        <f>IF(VLOOKUP(CONCATENATE(H288,F288,FO$2),Ciencias!$A:$H,7,FALSE)=CC288,1,0)</f>
        <v>#N/A</v>
      </c>
      <c r="FP288" s="138" t="e">
        <f>IF(VLOOKUP(CONCATENATE(H288,F288,FP$2),GeoHis!$A:$H,7,FALSE)=CD288,1,0)</f>
        <v>#N/A</v>
      </c>
      <c r="FQ288" s="138" t="e">
        <f>IF(VLOOKUP(CONCATENATE(H288,F288,FQ$2),GeoHis!$A:$H,7,FALSE)=CE288,1,0)</f>
        <v>#N/A</v>
      </c>
      <c r="FR288" s="138" t="e">
        <f>IF(VLOOKUP(CONCATENATE(H288,F288,FR$2),GeoHis!$A:$H,7,FALSE)=CF288,1,0)</f>
        <v>#N/A</v>
      </c>
      <c r="FS288" s="138" t="e">
        <f>IF(VLOOKUP(CONCATENATE(H288,F288,FS$2),GeoHis!$A:$H,7,FALSE)=CG288,1,0)</f>
        <v>#N/A</v>
      </c>
      <c r="FT288" s="138" t="e">
        <f>IF(VLOOKUP(CONCATENATE(H288,F288,FT$2),GeoHis!$A:$H,7,FALSE)=CH288,1,0)</f>
        <v>#N/A</v>
      </c>
      <c r="FU288" s="138" t="e">
        <f>IF(VLOOKUP(CONCATENATE(H288,F288,FU$2),GeoHis!$A:$H,7,FALSE)=CI288,1,0)</f>
        <v>#N/A</v>
      </c>
      <c r="FV288" s="138" t="e">
        <f>IF(VLOOKUP(CONCATENATE(H288,F288,FV$2),GeoHis!$A:$H,7,FALSE)=CJ288,1,0)</f>
        <v>#N/A</v>
      </c>
      <c r="FW288" s="138" t="e">
        <f>IF(VLOOKUP(CONCATENATE(H288,F288,FW$2),GeoHis!$A:$H,7,FALSE)=CK288,1,0)</f>
        <v>#N/A</v>
      </c>
      <c r="FX288" s="138" t="e">
        <f>IF(VLOOKUP(CONCATENATE(H288,F288,FX$2),GeoHis!$A:$H,7,FALSE)=CL288,1,0)</f>
        <v>#N/A</v>
      </c>
      <c r="FY288" s="138" t="e">
        <f>IF(VLOOKUP(CONCATENATE(H288,F288,FY$2),GeoHis!$A:$H,7,FALSE)=CM288,1,0)</f>
        <v>#N/A</v>
      </c>
      <c r="FZ288" s="138" t="e">
        <f>IF(VLOOKUP(CONCATENATE(H288,F288,FZ$2),GeoHis!$A:$H,7,FALSE)=CN288,1,0)</f>
        <v>#N/A</v>
      </c>
      <c r="GA288" s="138" t="e">
        <f>IF(VLOOKUP(CONCATENATE(H288,F288,GA$2),GeoHis!$A:$H,7,FALSE)=CO288,1,0)</f>
        <v>#N/A</v>
      </c>
      <c r="GB288" s="138" t="e">
        <f>IF(VLOOKUP(CONCATENATE(H288,F288,GB$2),GeoHis!$A:$H,7,FALSE)=CP288,1,0)</f>
        <v>#N/A</v>
      </c>
      <c r="GC288" s="138" t="e">
        <f>IF(VLOOKUP(CONCATENATE(H288,F288,GC$2),GeoHis!$A:$H,7,FALSE)=CQ288,1,0)</f>
        <v>#N/A</v>
      </c>
      <c r="GD288" s="138" t="e">
        <f>IF(VLOOKUP(CONCATENATE(H288,F288,GD$2),GeoHis!$A:$H,7,FALSE)=CR288,1,0)</f>
        <v>#N/A</v>
      </c>
      <c r="GE288" s="135" t="str">
        <f t="shared" si="39"/>
        <v/>
      </c>
    </row>
    <row r="289" spans="1:187" x14ac:dyDescent="0.25">
      <c r="A289" s="127" t="str">
        <f>IF(C289="","",'Datos Generales'!$A$25)</f>
        <v/>
      </c>
      <c r="D289" s="126" t="str">
        <f t="shared" si="32"/>
        <v/>
      </c>
      <c r="E289" s="126">
        <f t="shared" si="33"/>
        <v>0</v>
      </c>
      <c r="F289" s="126" t="str">
        <f t="shared" si="34"/>
        <v/>
      </c>
      <c r="G289" s="126" t="str">
        <f>IF(C289="","",'Datos Generales'!$D$19)</f>
        <v/>
      </c>
      <c r="H289" s="21" t="str">
        <f>IF(C289="","",'Datos Generales'!$A$19)</f>
        <v/>
      </c>
      <c r="I289" s="126" t="str">
        <f>IF(C289="","",'Datos Generales'!$A$7)</f>
        <v/>
      </c>
      <c r="J289" s="21" t="str">
        <f>IF(C289="","",'Datos Generales'!$A$13)</f>
        <v/>
      </c>
      <c r="K289" s="21" t="str">
        <f>IF(C289="","",'Datos Generales'!$A$10)</f>
        <v/>
      </c>
      <c r="CS289" s="142" t="str">
        <f t="shared" si="35"/>
        <v/>
      </c>
      <c r="CT289" s="142" t="str">
        <f t="shared" si="36"/>
        <v/>
      </c>
      <c r="CU289" s="142" t="str">
        <f t="shared" si="37"/>
        <v/>
      </c>
      <c r="CV289" s="142" t="str">
        <f t="shared" si="38"/>
        <v/>
      </c>
      <c r="CW289" s="142" t="str">
        <f>IF(C289="","",IF('Datos Generales'!$A$19=1,AVERAGE(FP289:GD289),AVERAGE(Captura!FP289:FY289)))</f>
        <v/>
      </c>
      <c r="CX289" s="138" t="e">
        <f>IF(VLOOKUP(CONCATENATE($H$4,$F$4,CX$2),Español!$A:$H,7,FALSE)=L289,1,0)</f>
        <v>#N/A</v>
      </c>
      <c r="CY289" s="138" t="e">
        <f>IF(VLOOKUP(CONCATENATE(H289,F289,CY$2),Español!$A:$H,7,FALSE)=M289,1,0)</f>
        <v>#N/A</v>
      </c>
      <c r="CZ289" s="138" t="e">
        <f>IF(VLOOKUP(CONCATENATE(H289,F289,CZ$2),Español!$A:$H,7,FALSE)=N289,1,0)</f>
        <v>#N/A</v>
      </c>
      <c r="DA289" s="138" t="e">
        <f>IF(VLOOKUP(CONCATENATE(H289,F289,DA$2),Español!$A:$H,7,FALSE)=O289,1,0)</f>
        <v>#N/A</v>
      </c>
      <c r="DB289" s="138" t="e">
        <f>IF(VLOOKUP(CONCATENATE(H289,F289,DB$2),Español!$A:$H,7,FALSE)=P289,1,0)</f>
        <v>#N/A</v>
      </c>
      <c r="DC289" s="138" t="e">
        <f>IF(VLOOKUP(CONCATENATE(H289,F289,DC$2),Español!$A:$H,7,FALSE)=Q289,1,0)</f>
        <v>#N/A</v>
      </c>
      <c r="DD289" s="138" t="e">
        <f>IF(VLOOKUP(CONCATENATE(H289,F289,DD$2),Español!$A:$H,7,FALSE)=R289,1,0)</f>
        <v>#N/A</v>
      </c>
      <c r="DE289" s="138" t="e">
        <f>IF(VLOOKUP(CONCATENATE(H289,F289,DE$2),Español!$A:$H,7,FALSE)=S289,1,0)</f>
        <v>#N/A</v>
      </c>
      <c r="DF289" s="138" t="e">
        <f>IF(VLOOKUP(CONCATENATE(H289,F289,DF$2),Español!$A:$H,7,FALSE)=T289,1,0)</f>
        <v>#N/A</v>
      </c>
      <c r="DG289" s="138" t="e">
        <f>IF(VLOOKUP(CONCATENATE(H289,F289,DG$2),Español!$A:$H,7,FALSE)=U289,1,0)</f>
        <v>#N/A</v>
      </c>
      <c r="DH289" s="138" t="e">
        <f>IF(VLOOKUP(CONCATENATE(H289,F289,DH$2),Español!$A:$H,7,FALSE)=V289,1,0)</f>
        <v>#N/A</v>
      </c>
      <c r="DI289" s="138" t="e">
        <f>IF(VLOOKUP(CONCATENATE(H289,F289,DI$2),Español!$A:$H,7,FALSE)=W289,1,0)</f>
        <v>#N/A</v>
      </c>
      <c r="DJ289" s="138" t="e">
        <f>IF(VLOOKUP(CONCATENATE(H289,F289,DJ$2),Español!$A:$H,7,FALSE)=X289,1,0)</f>
        <v>#N/A</v>
      </c>
      <c r="DK289" s="138" t="e">
        <f>IF(VLOOKUP(CONCATENATE(H289,F289,DK$2),Español!$A:$H,7,FALSE)=Y289,1,0)</f>
        <v>#N/A</v>
      </c>
      <c r="DL289" s="138" t="e">
        <f>IF(VLOOKUP(CONCATENATE(H289,F289,DL$2),Español!$A:$H,7,FALSE)=Z289,1,0)</f>
        <v>#N/A</v>
      </c>
      <c r="DM289" s="138" t="e">
        <f>IF(VLOOKUP(CONCATENATE(H289,F289,DM$2),Español!$A:$H,7,FALSE)=AA289,1,0)</f>
        <v>#N/A</v>
      </c>
      <c r="DN289" s="138" t="e">
        <f>IF(VLOOKUP(CONCATENATE(H289,F289,DN$2),Español!$A:$H,7,FALSE)=AB289,1,0)</f>
        <v>#N/A</v>
      </c>
      <c r="DO289" s="138" t="e">
        <f>IF(VLOOKUP(CONCATENATE(H289,F289,DO$2),Español!$A:$H,7,FALSE)=AC289,1,0)</f>
        <v>#N/A</v>
      </c>
      <c r="DP289" s="138" t="e">
        <f>IF(VLOOKUP(CONCATENATE(H289,F289,DP$2),Español!$A:$H,7,FALSE)=AD289,1,0)</f>
        <v>#N/A</v>
      </c>
      <c r="DQ289" s="138" t="e">
        <f>IF(VLOOKUP(CONCATENATE(H289,F289,DQ$2),Español!$A:$H,7,FALSE)=AE289,1,0)</f>
        <v>#N/A</v>
      </c>
      <c r="DR289" s="138" t="e">
        <f>IF(VLOOKUP(CONCATENATE(H289,F289,DR$2),Inglés!$A:$H,7,FALSE)=AF289,1,0)</f>
        <v>#N/A</v>
      </c>
      <c r="DS289" s="138" t="e">
        <f>IF(VLOOKUP(CONCATENATE(H289,F289,DS$2),Inglés!$A:$H,7,FALSE)=AG289,1,0)</f>
        <v>#N/A</v>
      </c>
      <c r="DT289" s="138" t="e">
        <f>IF(VLOOKUP(CONCATENATE(H289,F289,DT$2),Inglés!$A:$H,7,FALSE)=AH289,1,0)</f>
        <v>#N/A</v>
      </c>
      <c r="DU289" s="138" t="e">
        <f>IF(VLOOKUP(CONCATENATE(H289,F289,DU$2),Inglés!$A:$H,7,FALSE)=AI289,1,0)</f>
        <v>#N/A</v>
      </c>
      <c r="DV289" s="138" t="e">
        <f>IF(VLOOKUP(CONCATENATE(H289,F289,DV$2),Inglés!$A:$H,7,FALSE)=AJ289,1,0)</f>
        <v>#N/A</v>
      </c>
      <c r="DW289" s="138" t="e">
        <f>IF(VLOOKUP(CONCATENATE(H289,F289,DW$2),Inglés!$A:$H,7,FALSE)=AK289,1,0)</f>
        <v>#N/A</v>
      </c>
      <c r="DX289" s="138" t="e">
        <f>IF(VLOOKUP(CONCATENATE(H289,F289,DX$2),Inglés!$A:$H,7,FALSE)=AL289,1,0)</f>
        <v>#N/A</v>
      </c>
      <c r="DY289" s="138" t="e">
        <f>IF(VLOOKUP(CONCATENATE(H289,F289,DY$2),Inglés!$A:$H,7,FALSE)=AM289,1,0)</f>
        <v>#N/A</v>
      </c>
      <c r="DZ289" s="138" t="e">
        <f>IF(VLOOKUP(CONCATENATE(H289,F289,DZ$2),Inglés!$A:$H,7,FALSE)=AN289,1,0)</f>
        <v>#N/A</v>
      </c>
      <c r="EA289" s="138" t="e">
        <f>IF(VLOOKUP(CONCATENATE(H289,F289,EA$2),Inglés!$A:$H,7,FALSE)=AO289,1,0)</f>
        <v>#N/A</v>
      </c>
      <c r="EB289" s="138" t="e">
        <f>IF(VLOOKUP(CONCATENATE(H289,F289,EB$2),Matemáticas!$A:$H,7,FALSE)=AP289,1,0)</f>
        <v>#N/A</v>
      </c>
      <c r="EC289" s="138" t="e">
        <f>IF(VLOOKUP(CONCATENATE(H289,F289,EC$2),Matemáticas!$A:$H,7,FALSE)=AQ289,1,0)</f>
        <v>#N/A</v>
      </c>
      <c r="ED289" s="138" t="e">
        <f>IF(VLOOKUP(CONCATENATE(H289,F289,ED$2),Matemáticas!$A:$H,7,FALSE)=AR289,1,0)</f>
        <v>#N/A</v>
      </c>
      <c r="EE289" s="138" t="e">
        <f>IF(VLOOKUP(CONCATENATE(H289,F289,EE$2),Matemáticas!$A:$H,7,FALSE)=AS289,1,0)</f>
        <v>#N/A</v>
      </c>
      <c r="EF289" s="138" t="e">
        <f>IF(VLOOKUP(CONCATENATE(H289,F289,EF$2),Matemáticas!$A:$H,7,FALSE)=AT289,1,0)</f>
        <v>#N/A</v>
      </c>
      <c r="EG289" s="138" t="e">
        <f>IF(VLOOKUP(CONCATENATE(H289,F289,EG$2),Matemáticas!$A:$H,7,FALSE)=AU289,1,0)</f>
        <v>#N/A</v>
      </c>
      <c r="EH289" s="138" t="e">
        <f>IF(VLOOKUP(CONCATENATE(H289,F289,EH$2),Matemáticas!$A:$H,7,FALSE)=AV289,1,0)</f>
        <v>#N/A</v>
      </c>
      <c r="EI289" s="138" t="e">
        <f>IF(VLOOKUP(CONCATENATE(H289,F289,EI$2),Matemáticas!$A:$H,7,FALSE)=AW289,1,0)</f>
        <v>#N/A</v>
      </c>
      <c r="EJ289" s="138" t="e">
        <f>IF(VLOOKUP(CONCATENATE(H289,F289,EJ$2),Matemáticas!$A:$H,7,FALSE)=AX289,1,0)</f>
        <v>#N/A</v>
      </c>
      <c r="EK289" s="138" t="e">
        <f>IF(VLOOKUP(CONCATENATE(H289,F289,EK$2),Matemáticas!$A:$H,7,FALSE)=AY289,1,0)</f>
        <v>#N/A</v>
      </c>
      <c r="EL289" s="138" t="e">
        <f>IF(VLOOKUP(CONCATENATE(H289,F289,EL$2),Matemáticas!$A:$H,7,FALSE)=AZ289,1,0)</f>
        <v>#N/A</v>
      </c>
      <c r="EM289" s="138" t="e">
        <f>IF(VLOOKUP(CONCATENATE(H289,F289,EM$2),Matemáticas!$A:$H,7,FALSE)=BA289,1,0)</f>
        <v>#N/A</v>
      </c>
      <c r="EN289" s="138" t="e">
        <f>IF(VLOOKUP(CONCATENATE(H289,F289,EN$2),Matemáticas!$A:$H,7,FALSE)=BB289,1,0)</f>
        <v>#N/A</v>
      </c>
      <c r="EO289" s="138" t="e">
        <f>IF(VLOOKUP(CONCATENATE(H289,F289,EO$2),Matemáticas!$A:$H,7,FALSE)=BC289,1,0)</f>
        <v>#N/A</v>
      </c>
      <c r="EP289" s="138" t="e">
        <f>IF(VLOOKUP(CONCATENATE(H289,F289,EP$2),Matemáticas!$A:$H,7,FALSE)=BD289,1,0)</f>
        <v>#N/A</v>
      </c>
      <c r="EQ289" s="138" t="e">
        <f>IF(VLOOKUP(CONCATENATE(H289,F289,EQ$2),Matemáticas!$A:$H,7,FALSE)=BE289,1,0)</f>
        <v>#N/A</v>
      </c>
      <c r="ER289" s="138" t="e">
        <f>IF(VLOOKUP(CONCATENATE(H289,F289,ER$2),Matemáticas!$A:$H,7,FALSE)=BF289,1,0)</f>
        <v>#N/A</v>
      </c>
      <c r="ES289" s="138" t="e">
        <f>IF(VLOOKUP(CONCATENATE(H289,F289,ES$2),Matemáticas!$A:$H,7,FALSE)=BG289,1,0)</f>
        <v>#N/A</v>
      </c>
      <c r="ET289" s="138" t="e">
        <f>IF(VLOOKUP(CONCATENATE(H289,F289,ET$2),Matemáticas!$A:$H,7,FALSE)=BH289,1,0)</f>
        <v>#N/A</v>
      </c>
      <c r="EU289" s="138" t="e">
        <f>IF(VLOOKUP(CONCATENATE(H289,F289,EU$2),Matemáticas!$A:$H,7,FALSE)=BI289,1,0)</f>
        <v>#N/A</v>
      </c>
      <c r="EV289" s="138" t="e">
        <f>IF(VLOOKUP(CONCATENATE(H289,F289,EV$2),Ciencias!$A:$H,7,FALSE)=BJ289,1,0)</f>
        <v>#N/A</v>
      </c>
      <c r="EW289" s="138" t="e">
        <f>IF(VLOOKUP(CONCATENATE(H289,F289,EW$2),Ciencias!$A:$H,7,FALSE)=BK289,1,0)</f>
        <v>#N/A</v>
      </c>
      <c r="EX289" s="138" t="e">
        <f>IF(VLOOKUP(CONCATENATE(H289,F289,EX$2),Ciencias!$A:$H,7,FALSE)=BL289,1,0)</f>
        <v>#N/A</v>
      </c>
      <c r="EY289" s="138" t="e">
        <f>IF(VLOOKUP(CONCATENATE(H289,F289,EY$2),Ciencias!$A:$H,7,FALSE)=BM289,1,0)</f>
        <v>#N/A</v>
      </c>
      <c r="EZ289" s="138" t="e">
        <f>IF(VLOOKUP(CONCATENATE(H289,F289,EZ$2),Ciencias!$A:$H,7,FALSE)=BN289,1,0)</f>
        <v>#N/A</v>
      </c>
      <c r="FA289" s="138" t="e">
        <f>IF(VLOOKUP(CONCATENATE(H289,F289,FA$2),Ciencias!$A:$H,7,FALSE)=BO289,1,0)</f>
        <v>#N/A</v>
      </c>
      <c r="FB289" s="138" t="e">
        <f>IF(VLOOKUP(CONCATENATE(H289,F289,FB$2),Ciencias!$A:$H,7,FALSE)=BP289,1,0)</f>
        <v>#N/A</v>
      </c>
      <c r="FC289" s="138" t="e">
        <f>IF(VLOOKUP(CONCATENATE(H289,F289,FC$2),Ciencias!$A:$H,7,FALSE)=BQ289,1,0)</f>
        <v>#N/A</v>
      </c>
      <c r="FD289" s="138" t="e">
        <f>IF(VLOOKUP(CONCATENATE(H289,F289,FD$2),Ciencias!$A:$H,7,FALSE)=BR289,1,0)</f>
        <v>#N/A</v>
      </c>
      <c r="FE289" s="138" t="e">
        <f>IF(VLOOKUP(CONCATENATE(H289,F289,FE$2),Ciencias!$A:$H,7,FALSE)=BS289,1,0)</f>
        <v>#N/A</v>
      </c>
      <c r="FF289" s="138" t="e">
        <f>IF(VLOOKUP(CONCATENATE(H289,F289,FF$2),Ciencias!$A:$H,7,FALSE)=BT289,1,0)</f>
        <v>#N/A</v>
      </c>
      <c r="FG289" s="138" t="e">
        <f>IF(VLOOKUP(CONCATENATE(H289,F289,FG$2),Ciencias!$A:$H,7,FALSE)=BU289,1,0)</f>
        <v>#N/A</v>
      </c>
      <c r="FH289" s="138" t="e">
        <f>IF(VLOOKUP(CONCATENATE(H289,F289,FH$2),Ciencias!$A:$H,7,FALSE)=BV289,1,0)</f>
        <v>#N/A</v>
      </c>
      <c r="FI289" s="138" t="e">
        <f>IF(VLOOKUP(CONCATENATE(H289,F289,FI$2),Ciencias!$A:$H,7,FALSE)=BW289,1,0)</f>
        <v>#N/A</v>
      </c>
      <c r="FJ289" s="138" t="e">
        <f>IF(VLOOKUP(CONCATENATE(H289,F289,FJ$2),Ciencias!$A:$H,7,FALSE)=BX289,1,0)</f>
        <v>#N/A</v>
      </c>
      <c r="FK289" s="138" t="e">
        <f>IF(VLOOKUP(CONCATENATE(H289,F289,FK$2),Ciencias!$A:$H,7,FALSE)=BY289,1,0)</f>
        <v>#N/A</v>
      </c>
      <c r="FL289" s="138" t="e">
        <f>IF(VLOOKUP(CONCATENATE(H289,F289,FL$2),Ciencias!$A:$H,7,FALSE)=BZ289,1,0)</f>
        <v>#N/A</v>
      </c>
      <c r="FM289" s="138" t="e">
        <f>IF(VLOOKUP(CONCATENATE(H289,F289,FM$2),Ciencias!$A:$H,7,FALSE)=CA289,1,0)</f>
        <v>#N/A</v>
      </c>
      <c r="FN289" s="138" t="e">
        <f>IF(VLOOKUP(CONCATENATE(H289,F289,FN$2),Ciencias!$A:$H,7,FALSE)=CB289,1,0)</f>
        <v>#N/A</v>
      </c>
      <c r="FO289" s="138" t="e">
        <f>IF(VLOOKUP(CONCATENATE(H289,F289,FO$2),Ciencias!$A:$H,7,FALSE)=CC289,1,0)</f>
        <v>#N/A</v>
      </c>
      <c r="FP289" s="138" t="e">
        <f>IF(VLOOKUP(CONCATENATE(H289,F289,FP$2),GeoHis!$A:$H,7,FALSE)=CD289,1,0)</f>
        <v>#N/A</v>
      </c>
      <c r="FQ289" s="138" t="e">
        <f>IF(VLOOKUP(CONCATENATE(H289,F289,FQ$2),GeoHis!$A:$H,7,FALSE)=CE289,1,0)</f>
        <v>#N/A</v>
      </c>
      <c r="FR289" s="138" t="e">
        <f>IF(VLOOKUP(CONCATENATE(H289,F289,FR$2),GeoHis!$A:$H,7,FALSE)=CF289,1,0)</f>
        <v>#N/A</v>
      </c>
      <c r="FS289" s="138" t="e">
        <f>IF(VLOOKUP(CONCATENATE(H289,F289,FS$2),GeoHis!$A:$H,7,FALSE)=CG289,1,0)</f>
        <v>#N/A</v>
      </c>
      <c r="FT289" s="138" t="e">
        <f>IF(VLOOKUP(CONCATENATE(H289,F289,FT$2),GeoHis!$A:$H,7,FALSE)=CH289,1,0)</f>
        <v>#N/A</v>
      </c>
      <c r="FU289" s="138" t="e">
        <f>IF(VLOOKUP(CONCATENATE(H289,F289,FU$2),GeoHis!$A:$H,7,FALSE)=CI289,1,0)</f>
        <v>#N/A</v>
      </c>
      <c r="FV289" s="138" t="e">
        <f>IF(VLOOKUP(CONCATENATE(H289,F289,FV$2),GeoHis!$A:$H,7,FALSE)=CJ289,1,0)</f>
        <v>#N/A</v>
      </c>
      <c r="FW289" s="138" t="e">
        <f>IF(VLOOKUP(CONCATENATE(H289,F289,FW$2),GeoHis!$A:$H,7,FALSE)=CK289,1,0)</f>
        <v>#N/A</v>
      </c>
      <c r="FX289" s="138" t="e">
        <f>IF(VLOOKUP(CONCATENATE(H289,F289,FX$2),GeoHis!$A:$H,7,FALSE)=CL289,1,0)</f>
        <v>#N/A</v>
      </c>
      <c r="FY289" s="138" t="e">
        <f>IF(VLOOKUP(CONCATENATE(H289,F289,FY$2),GeoHis!$A:$H,7,FALSE)=CM289,1,0)</f>
        <v>#N/A</v>
      </c>
      <c r="FZ289" s="138" t="e">
        <f>IF(VLOOKUP(CONCATENATE(H289,F289,FZ$2),GeoHis!$A:$H,7,FALSE)=CN289,1,0)</f>
        <v>#N/A</v>
      </c>
      <c r="GA289" s="138" t="e">
        <f>IF(VLOOKUP(CONCATENATE(H289,F289,GA$2),GeoHis!$A:$H,7,FALSE)=CO289,1,0)</f>
        <v>#N/A</v>
      </c>
      <c r="GB289" s="138" t="e">
        <f>IF(VLOOKUP(CONCATENATE(H289,F289,GB$2),GeoHis!$A:$H,7,FALSE)=CP289,1,0)</f>
        <v>#N/A</v>
      </c>
      <c r="GC289" s="138" t="e">
        <f>IF(VLOOKUP(CONCATENATE(H289,F289,GC$2),GeoHis!$A:$H,7,FALSE)=CQ289,1,0)</f>
        <v>#N/A</v>
      </c>
      <c r="GD289" s="138" t="e">
        <f>IF(VLOOKUP(CONCATENATE(H289,F289,GD$2),GeoHis!$A:$H,7,FALSE)=CR289,1,0)</f>
        <v>#N/A</v>
      </c>
      <c r="GE289" s="135" t="str">
        <f t="shared" si="39"/>
        <v/>
      </c>
    </row>
    <row r="290" spans="1:187" x14ac:dyDescent="0.25">
      <c r="A290" s="127" t="str">
        <f>IF(C290="","",'Datos Generales'!$A$25)</f>
        <v/>
      </c>
      <c r="D290" s="126" t="str">
        <f t="shared" si="32"/>
        <v/>
      </c>
      <c r="E290" s="126">
        <f t="shared" si="33"/>
        <v>0</v>
      </c>
      <c r="F290" s="126" t="str">
        <f t="shared" si="34"/>
        <v/>
      </c>
      <c r="G290" s="126" t="str">
        <f>IF(C290="","",'Datos Generales'!$D$19)</f>
        <v/>
      </c>
      <c r="H290" s="21" t="str">
        <f>IF(C290="","",'Datos Generales'!$A$19)</f>
        <v/>
      </c>
      <c r="I290" s="126" t="str">
        <f>IF(C290="","",'Datos Generales'!$A$7)</f>
        <v/>
      </c>
      <c r="J290" s="21" t="str">
        <f>IF(C290="","",'Datos Generales'!$A$13)</f>
        <v/>
      </c>
      <c r="K290" s="21" t="str">
        <f>IF(C290="","",'Datos Generales'!$A$10)</f>
        <v/>
      </c>
      <c r="CS290" s="142" t="str">
        <f t="shared" si="35"/>
        <v/>
      </c>
      <c r="CT290" s="142" t="str">
        <f t="shared" si="36"/>
        <v/>
      </c>
      <c r="CU290" s="142" t="str">
        <f t="shared" si="37"/>
        <v/>
      </c>
      <c r="CV290" s="142" t="str">
        <f t="shared" si="38"/>
        <v/>
      </c>
      <c r="CW290" s="142" t="str">
        <f>IF(C290="","",IF('Datos Generales'!$A$19=1,AVERAGE(FP290:GD290),AVERAGE(Captura!FP290:FY290)))</f>
        <v/>
      </c>
      <c r="CX290" s="138" t="e">
        <f>IF(VLOOKUP(CONCATENATE($H$4,$F$4,CX$2),Español!$A:$H,7,FALSE)=L290,1,0)</f>
        <v>#N/A</v>
      </c>
      <c r="CY290" s="138" t="e">
        <f>IF(VLOOKUP(CONCATENATE(H290,F290,CY$2),Español!$A:$H,7,FALSE)=M290,1,0)</f>
        <v>#N/A</v>
      </c>
      <c r="CZ290" s="138" t="e">
        <f>IF(VLOOKUP(CONCATENATE(H290,F290,CZ$2),Español!$A:$H,7,FALSE)=N290,1,0)</f>
        <v>#N/A</v>
      </c>
      <c r="DA290" s="138" t="e">
        <f>IF(VLOOKUP(CONCATENATE(H290,F290,DA$2),Español!$A:$H,7,FALSE)=O290,1,0)</f>
        <v>#N/A</v>
      </c>
      <c r="DB290" s="138" t="e">
        <f>IF(VLOOKUP(CONCATENATE(H290,F290,DB$2),Español!$A:$H,7,FALSE)=P290,1,0)</f>
        <v>#N/A</v>
      </c>
      <c r="DC290" s="138" t="e">
        <f>IF(VLOOKUP(CONCATENATE(H290,F290,DC$2),Español!$A:$H,7,FALSE)=Q290,1,0)</f>
        <v>#N/A</v>
      </c>
      <c r="DD290" s="138" t="e">
        <f>IF(VLOOKUP(CONCATENATE(H290,F290,DD$2),Español!$A:$H,7,FALSE)=R290,1,0)</f>
        <v>#N/A</v>
      </c>
      <c r="DE290" s="138" t="e">
        <f>IF(VLOOKUP(CONCATENATE(H290,F290,DE$2),Español!$A:$H,7,FALSE)=S290,1,0)</f>
        <v>#N/A</v>
      </c>
      <c r="DF290" s="138" t="e">
        <f>IF(VLOOKUP(CONCATENATE(H290,F290,DF$2),Español!$A:$H,7,FALSE)=T290,1,0)</f>
        <v>#N/A</v>
      </c>
      <c r="DG290" s="138" t="e">
        <f>IF(VLOOKUP(CONCATENATE(H290,F290,DG$2),Español!$A:$H,7,FALSE)=U290,1,0)</f>
        <v>#N/A</v>
      </c>
      <c r="DH290" s="138" t="e">
        <f>IF(VLOOKUP(CONCATENATE(H290,F290,DH$2),Español!$A:$H,7,FALSE)=V290,1,0)</f>
        <v>#N/A</v>
      </c>
      <c r="DI290" s="138" t="e">
        <f>IF(VLOOKUP(CONCATENATE(H290,F290,DI$2),Español!$A:$H,7,FALSE)=W290,1,0)</f>
        <v>#N/A</v>
      </c>
      <c r="DJ290" s="138" t="e">
        <f>IF(VLOOKUP(CONCATENATE(H290,F290,DJ$2),Español!$A:$H,7,FALSE)=X290,1,0)</f>
        <v>#N/A</v>
      </c>
      <c r="DK290" s="138" t="e">
        <f>IF(VLOOKUP(CONCATENATE(H290,F290,DK$2),Español!$A:$H,7,FALSE)=Y290,1,0)</f>
        <v>#N/A</v>
      </c>
      <c r="DL290" s="138" t="e">
        <f>IF(VLOOKUP(CONCATENATE(H290,F290,DL$2),Español!$A:$H,7,FALSE)=Z290,1,0)</f>
        <v>#N/A</v>
      </c>
      <c r="DM290" s="138" t="e">
        <f>IF(VLOOKUP(CONCATENATE(H290,F290,DM$2),Español!$A:$H,7,FALSE)=AA290,1,0)</f>
        <v>#N/A</v>
      </c>
      <c r="DN290" s="138" t="e">
        <f>IF(VLOOKUP(CONCATENATE(H290,F290,DN$2),Español!$A:$H,7,FALSE)=AB290,1,0)</f>
        <v>#N/A</v>
      </c>
      <c r="DO290" s="138" t="e">
        <f>IF(VLOOKUP(CONCATENATE(H290,F290,DO$2),Español!$A:$H,7,FALSE)=AC290,1,0)</f>
        <v>#N/A</v>
      </c>
      <c r="DP290" s="138" t="e">
        <f>IF(VLOOKUP(CONCATENATE(H290,F290,DP$2),Español!$A:$H,7,FALSE)=AD290,1,0)</f>
        <v>#N/A</v>
      </c>
      <c r="DQ290" s="138" t="e">
        <f>IF(VLOOKUP(CONCATENATE(H290,F290,DQ$2),Español!$A:$H,7,FALSE)=AE290,1,0)</f>
        <v>#N/A</v>
      </c>
      <c r="DR290" s="138" t="e">
        <f>IF(VLOOKUP(CONCATENATE(H290,F290,DR$2),Inglés!$A:$H,7,FALSE)=AF290,1,0)</f>
        <v>#N/A</v>
      </c>
      <c r="DS290" s="138" t="e">
        <f>IF(VLOOKUP(CONCATENATE(H290,F290,DS$2),Inglés!$A:$H,7,FALSE)=AG290,1,0)</f>
        <v>#N/A</v>
      </c>
      <c r="DT290" s="138" t="e">
        <f>IF(VLOOKUP(CONCATENATE(H290,F290,DT$2),Inglés!$A:$H,7,FALSE)=AH290,1,0)</f>
        <v>#N/A</v>
      </c>
      <c r="DU290" s="138" t="e">
        <f>IF(VLOOKUP(CONCATENATE(H290,F290,DU$2),Inglés!$A:$H,7,FALSE)=AI290,1,0)</f>
        <v>#N/A</v>
      </c>
      <c r="DV290" s="138" t="e">
        <f>IF(VLOOKUP(CONCATENATE(H290,F290,DV$2),Inglés!$A:$H,7,FALSE)=AJ290,1,0)</f>
        <v>#N/A</v>
      </c>
      <c r="DW290" s="138" t="e">
        <f>IF(VLOOKUP(CONCATENATE(H290,F290,DW$2),Inglés!$A:$H,7,FALSE)=AK290,1,0)</f>
        <v>#N/A</v>
      </c>
      <c r="DX290" s="138" t="e">
        <f>IF(VLOOKUP(CONCATENATE(H290,F290,DX$2),Inglés!$A:$H,7,FALSE)=AL290,1,0)</f>
        <v>#N/A</v>
      </c>
      <c r="DY290" s="138" t="e">
        <f>IF(VLOOKUP(CONCATENATE(H290,F290,DY$2),Inglés!$A:$H,7,FALSE)=AM290,1,0)</f>
        <v>#N/A</v>
      </c>
      <c r="DZ290" s="138" t="e">
        <f>IF(VLOOKUP(CONCATENATE(H290,F290,DZ$2),Inglés!$A:$H,7,FALSE)=AN290,1,0)</f>
        <v>#N/A</v>
      </c>
      <c r="EA290" s="138" t="e">
        <f>IF(VLOOKUP(CONCATENATE(H290,F290,EA$2),Inglés!$A:$H,7,FALSE)=AO290,1,0)</f>
        <v>#N/A</v>
      </c>
      <c r="EB290" s="138" t="e">
        <f>IF(VLOOKUP(CONCATENATE(H290,F290,EB$2),Matemáticas!$A:$H,7,FALSE)=AP290,1,0)</f>
        <v>#N/A</v>
      </c>
      <c r="EC290" s="138" t="e">
        <f>IF(VLOOKUP(CONCATENATE(H290,F290,EC$2),Matemáticas!$A:$H,7,FALSE)=AQ290,1,0)</f>
        <v>#N/A</v>
      </c>
      <c r="ED290" s="138" t="e">
        <f>IF(VLOOKUP(CONCATENATE(H290,F290,ED$2),Matemáticas!$A:$H,7,FALSE)=AR290,1,0)</f>
        <v>#N/A</v>
      </c>
      <c r="EE290" s="138" t="e">
        <f>IF(VLOOKUP(CONCATENATE(H290,F290,EE$2),Matemáticas!$A:$H,7,FALSE)=AS290,1,0)</f>
        <v>#N/A</v>
      </c>
      <c r="EF290" s="138" t="e">
        <f>IF(VLOOKUP(CONCATENATE(H290,F290,EF$2),Matemáticas!$A:$H,7,FALSE)=AT290,1,0)</f>
        <v>#N/A</v>
      </c>
      <c r="EG290" s="138" t="e">
        <f>IF(VLOOKUP(CONCATENATE(H290,F290,EG$2),Matemáticas!$A:$H,7,FALSE)=AU290,1,0)</f>
        <v>#N/A</v>
      </c>
      <c r="EH290" s="138" t="e">
        <f>IF(VLOOKUP(CONCATENATE(H290,F290,EH$2),Matemáticas!$A:$H,7,FALSE)=AV290,1,0)</f>
        <v>#N/A</v>
      </c>
      <c r="EI290" s="138" t="e">
        <f>IF(VLOOKUP(CONCATENATE(H290,F290,EI$2),Matemáticas!$A:$H,7,FALSE)=AW290,1,0)</f>
        <v>#N/A</v>
      </c>
      <c r="EJ290" s="138" t="e">
        <f>IF(VLOOKUP(CONCATENATE(H290,F290,EJ$2),Matemáticas!$A:$H,7,FALSE)=AX290,1,0)</f>
        <v>#N/A</v>
      </c>
      <c r="EK290" s="138" t="e">
        <f>IF(VLOOKUP(CONCATENATE(H290,F290,EK$2),Matemáticas!$A:$H,7,FALSE)=AY290,1,0)</f>
        <v>#N/A</v>
      </c>
      <c r="EL290" s="138" t="e">
        <f>IF(VLOOKUP(CONCATENATE(H290,F290,EL$2),Matemáticas!$A:$H,7,FALSE)=AZ290,1,0)</f>
        <v>#N/A</v>
      </c>
      <c r="EM290" s="138" t="e">
        <f>IF(VLOOKUP(CONCATENATE(H290,F290,EM$2),Matemáticas!$A:$H,7,FALSE)=BA290,1,0)</f>
        <v>#N/A</v>
      </c>
      <c r="EN290" s="138" t="e">
        <f>IF(VLOOKUP(CONCATENATE(H290,F290,EN$2),Matemáticas!$A:$H,7,FALSE)=BB290,1,0)</f>
        <v>#N/A</v>
      </c>
      <c r="EO290" s="138" t="e">
        <f>IF(VLOOKUP(CONCATENATE(H290,F290,EO$2),Matemáticas!$A:$H,7,FALSE)=BC290,1,0)</f>
        <v>#N/A</v>
      </c>
      <c r="EP290" s="138" t="e">
        <f>IF(VLOOKUP(CONCATENATE(H290,F290,EP$2),Matemáticas!$A:$H,7,FALSE)=BD290,1,0)</f>
        <v>#N/A</v>
      </c>
      <c r="EQ290" s="138" t="e">
        <f>IF(VLOOKUP(CONCATENATE(H290,F290,EQ$2),Matemáticas!$A:$H,7,FALSE)=BE290,1,0)</f>
        <v>#N/A</v>
      </c>
      <c r="ER290" s="138" t="e">
        <f>IF(VLOOKUP(CONCATENATE(H290,F290,ER$2),Matemáticas!$A:$H,7,FALSE)=BF290,1,0)</f>
        <v>#N/A</v>
      </c>
      <c r="ES290" s="138" t="e">
        <f>IF(VLOOKUP(CONCATENATE(H290,F290,ES$2),Matemáticas!$A:$H,7,FALSE)=BG290,1,0)</f>
        <v>#N/A</v>
      </c>
      <c r="ET290" s="138" t="e">
        <f>IF(VLOOKUP(CONCATENATE(H290,F290,ET$2),Matemáticas!$A:$H,7,FALSE)=BH290,1,0)</f>
        <v>#N/A</v>
      </c>
      <c r="EU290" s="138" t="e">
        <f>IF(VLOOKUP(CONCATENATE(H290,F290,EU$2),Matemáticas!$A:$H,7,FALSE)=BI290,1,0)</f>
        <v>#N/A</v>
      </c>
      <c r="EV290" s="138" t="e">
        <f>IF(VLOOKUP(CONCATENATE(H290,F290,EV$2),Ciencias!$A:$H,7,FALSE)=BJ290,1,0)</f>
        <v>#N/A</v>
      </c>
      <c r="EW290" s="138" t="e">
        <f>IF(VLOOKUP(CONCATENATE(H290,F290,EW$2),Ciencias!$A:$H,7,FALSE)=BK290,1,0)</f>
        <v>#N/A</v>
      </c>
      <c r="EX290" s="138" t="e">
        <f>IF(VLOOKUP(CONCATENATE(H290,F290,EX$2),Ciencias!$A:$H,7,FALSE)=BL290,1,0)</f>
        <v>#N/A</v>
      </c>
      <c r="EY290" s="138" t="e">
        <f>IF(VLOOKUP(CONCATENATE(H290,F290,EY$2),Ciencias!$A:$H,7,FALSE)=BM290,1,0)</f>
        <v>#N/A</v>
      </c>
      <c r="EZ290" s="138" t="e">
        <f>IF(VLOOKUP(CONCATENATE(H290,F290,EZ$2),Ciencias!$A:$H,7,FALSE)=BN290,1,0)</f>
        <v>#N/A</v>
      </c>
      <c r="FA290" s="138" t="e">
        <f>IF(VLOOKUP(CONCATENATE(H290,F290,FA$2),Ciencias!$A:$H,7,FALSE)=BO290,1,0)</f>
        <v>#N/A</v>
      </c>
      <c r="FB290" s="138" t="e">
        <f>IF(VLOOKUP(CONCATENATE(H290,F290,FB$2),Ciencias!$A:$H,7,FALSE)=BP290,1,0)</f>
        <v>#N/A</v>
      </c>
      <c r="FC290" s="138" t="e">
        <f>IF(VLOOKUP(CONCATENATE(H290,F290,FC$2),Ciencias!$A:$H,7,FALSE)=BQ290,1,0)</f>
        <v>#N/A</v>
      </c>
      <c r="FD290" s="138" t="e">
        <f>IF(VLOOKUP(CONCATENATE(H290,F290,FD$2),Ciencias!$A:$H,7,FALSE)=BR290,1,0)</f>
        <v>#N/A</v>
      </c>
      <c r="FE290" s="138" t="e">
        <f>IF(VLOOKUP(CONCATENATE(H290,F290,FE$2),Ciencias!$A:$H,7,FALSE)=BS290,1,0)</f>
        <v>#N/A</v>
      </c>
      <c r="FF290" s="138" t="e">
        <f>IF(VLOOKUP(CONCATENATE(H290,F290,FF$2),Ciencias!$A:$H,7,FALSE)=BT290,1,0)</f>
        <v>#N/A</v>
      </c>
      <c r="FG290" s="138" t="e">
        <f>IF(VLOOKUP(CONCATENATE(H290,F290,FG$2),Ciencias!$A:$H,7,FALSE)=BU290,1,0)</f>
        <v>#N/A</v>
      </c>
      <c r="FH290" s="138" t="e">
        <f>IF(VLOOKUP(CONCATENATE(H290,F290,FH$2),Ciencias!$A:$H,7,FALSE)=BV290,1,0)</f>
        <v>#N/A</v>
      </c>
      <c r="FI290" s="138" t="e">
        <f>IF(VLOOKUP(CONCATENATE(H290,F290,FI$2),Ciencias!$A:$H,7,FALSE)=BW290,1,0)</f>
        <v>#N/A</v>
      </c>
      <c r="FJ290" s="138" t="e">
        <f>IF(VLOOKUP(CONCATENATE(H290,F290,FJ$2),Ciencias!$A:$H,7,FALSE)=BX290,1,0)</f>
        <v>#N/A</v>
      </c>
      <c r="FK290" s="138" t="e">
        <f>IF(VLOOKUP(CONCATENATE(H290,F290,FK$2),Ciencias!$A:$H,7,FALSE)=BY290,1,0)</f>
        <v>#N/A</v>
      </c>
      <c r="FL290" s="138" t="e">
        <f>IF(VLOOKUP(CONCATENATE(H290,F290,FL$2),Ciencias!$A:$H,7,FALSE)=BZ290,1,0)</f>
        <v>#N/A</v>
      </c>
      <c r="FM290" s="138" t="e">
        <f>IF(VLOOKUP(CONCATENATE(H290,F290,FM$2),Ciencias!$A:$H,7,FALSE)=CA290,1,0)</f>
        <v>#N/A</v>
      </c>
      <c r="FN290" s="138" t="e">
        <f>IF(VLOOKUP(CONCATENATE(H290,F290,FN$2),Ciencias!$A:$H,7,FALSE)=CB290,1,0)</f>
        <v>#N/A</v>
      </c>
      <c r="FO290" s="138" t="e">
        <f>IF(VLOOKUP(CONCATENATE(H290,F290,FO$2),Ciencias!$A:$H,7,FALSE)=CC290,1,0)</f>
        <v>#N/A</v>
      </c>
      <c r="FP290" s="138" t="e">
        <f>IF(VLOOKUP(CONCATENATE(H290,F290,FP$2),GeoHis!$A:$H,7,FALSE)=CD290,1,0)</f>
        <v>#N/A</v>
      </c>
      <c r="FQ290" s="138" t="e">
        <f>IF(VLOOKUP(CONCATENATE(H290,F290,FQ$2),GeoHis!$A:$H,7,FALSE)=CE290,1,0)</f>
        <v>#N/A</v>
      </c>
      <c r="FR290" s="138" t="e">
        <f>IF(VLOOKUP(CONCATENATE(H290,F290,FR$2),GeoHis!$A:$H,7,FALSE)=CF290,1,0)</f>
        <v>#N/A</v>
      </c>
      <c r="FS290" s="138" t="e">
        <f>IF(VLOOKUP(CONCATENATE(H290,F290,FS$2),GeoHis!$A:$H,7,FALSE)=CG290,1,0)</f>
        <v>#N/A</v>
      </c>
      <c r="FT290" s="138" t="e">
        <f>IF(VLOOKUP(CONCATENATE(H290,F290,FT$2),GeoHis!$A:$H,7,FALSE)=CH290,1,0)</f>
        <v>#N/A</v>
      </c>
      <c r="FU290" s="138" t="e">
        <f>IF(VLOOKUP(CONCATENATE(H290,F290,FU$2),GeoHis!$A:$H,7,FALSE)=CI290,1,0)</f>
        <v>#N/A</v>
      </c>
      <c r="FV290" s="138" t="e">
        <f>IF(VLOOKUP(CONCATENATE(H290,F290,FV$2),GeoHis!$A:$H,7,FALSE)=CJ290,1,0)</f>
        <v>#N/A</v>
      </c>
      <c r="FW290" s="138" t="e">
        <f>IF(VLOOKUP(CONCATENATE(H290,F290,FW$2),GeoHis!$A:$H,7,FALSE)=CK290,1,0)</f>
        <v>#N/A</v>
      </c>
      <c r="FX290" s="138" t="e">
        <f>IF(VLOOKUP(CONCATENATE(H290,F290,FX$2),GeoHis!$A:$H,7,FALSE)=CL290,1,0)</f>
        <v>#N/A</v>
      </c>
      <c r="FY290" s="138" t="e">
        <f>IF(VLOOKUP(CONCATENATE(H290,F290,FY$2),GeoHis!$A:$H,7,FALSE)=CM290,1,0)</f>
        <v>#N/A</v>
      </c>
      <c r="FZ290" s="138" t="e">
        <f>IF(VLOOKUP(CONCATENATE(H290,F290,FZ$2),GeoHis!$A:$H,7,FALSE)=CN290,1,0)</f>
        <v>#N/A</v>
      </c>
      <c r="GA290" s="138" t="e">
        <f>IF(VLOOKUP(CONCATENATE(H290,F290,GA$2),GeoHis!$A:$H,7,FALSE)=CO290,1,0)</f>
        <v>#N/A</v>
      </c>
      <c r="GB290" s="138" t="e">
        <f>IF(VLOOKUP(CONCATENATE(H290,F290,GB$2),GeoHis!$A:$H,7,FALSE)=CP290,1,0)</f>
        <v>#N/A</v>
      </c>
      <c r="GC290" s="138" t="e">
        <f>IF(VLOOKUP(CONCATENATE(H290,F290,GC$2),GeoHis!$A:$H,7,FALSE)=CQ290,1,0)</f>
        <v>#N/A</v>
      </c>
      <c r="GD290" s="138" t="e">
        <f>IF(VLOOKUP(CONCATENATE(H290,F290,GD$2),GeoHis!$A:$H,7,FALSE)=CR290,1,0)</f>
        <v>#N/A</v>
      </c>
      <c r="GE290" s="135" t="str">
        <f t="shared" si="39"/>
        <v/>
      </c>
    </row>
    <row r="291" spans="1:187" x14ac:dyDescent="0.25">
      <c r="A291" s="127" t="str">
        <f>IF(C291="","",'Datos Generales'!$A$25)</f>
        <v/>
      </c>
      <c r="D291" s="126" t="str">
        <f t="shared" si="32"/>
        <v/>
      </c>
      <c r="E291" s="126">
        <f t="shared" si="33"/>
        <v>0</v>
      </c>
      <c r="F291" s="126" t="str">
        <f t="shared" si="34"/>
        <v/>
      </c>
      <c r="G291" s="126" t="str">
        <f>IF(C291="","",'Datos Generales'!$D$19)</f>
        <v/>
      </c>
      <c r="H291" s="21" t="str">
        <f>IF(C291="","",'Datos Generales'!$A$19)</f>
        <v/>
      </c>
      <c r="I291" s="126" t="str">
        <f>IF(C291="","",'Datos Generales'!$A$7)</f>
        <v/>
      </c>
      <c r="J291" s="21" t="str">
        <f>IF(C291="","",'Datos Generales'!$A$13)</f>
        <v/>
      </c>
      <c r="K291" s="21" t="str">
        <f>IF(C291="","",'Datos Generales'!$A$10)</f>
        <v/>
      </c>
      <c r="CS291" s="142" t="str">
        <f t="shared" si="35"/>
        <v/>
      </c>
      <c r="CT291" s="142" t="str">
        <f t="shared" si="36"/>
        <v/>
      </c>
      <c r="CU291" s="142" t="str">
        <f t="shared" si="37"/>
        <v/>
      </c>
      <c r="CV291" s="142" t="str">
        <f t="shared" si="38"/>
        <v/>
      </c>
      <c r="CW291" s="142" t="str">
        <f>IF(C291="","",IF('Datos Generales'!$A$19=1,AVERAGE(FP291:GD291),AVERAGE(Captura!FP291:FY291)))</f>
        <v/>
      </c>
      <c r="CX291" s="138" t="e">
        <f>IF(VLOOKUP(CONCATENATE($H$4,$F$4,CX$2),Español!$A:$H,7,FALSE)=L291,1,0)</f>
        <v>#N/A</v>
      </c>
      <c r="CY291" s="138" t="e">
        <f>IF(VLOOKUP(CONCATENATE(H291,F291,CY$2),Español!$A:$H,7,FALSE)=M291,1,0)</f>
        <v>#N/A</v>
      </c>
      <c r="CZ291" s="138" t="e">
        <f>IF(VLOOKUP(CONCATENATE(H291,F291,CZ$2),Español!$A:$H,7,FALSE)=N291,1,0)</f>
        <v>#N/A</v>
      </c>
      <c r="DA291" s="138" t="e">
        <f>IF(VLOOKUP(CONCATENATE(H291,F291,DA$2),Español!$A:$H,7,FALSE)=O291,1,0)</f>
        <v>#N/A</v>
      </c>
      <c r="DB291" s="138" t="e">
        <f>IF(VLOOKUP(CONCATENATE(H291,F291,DB$2),Español!$A:$H,7,FALSE)=P291,1,0)</f>
        <v>#N/A</v>
      </c>
      <c r="DC291" s="138" t="e">
        <f>IF(VLOOKUP(CONCATENATE(H291,F291,DC$2),Español!$A:$H,7,FALSE)=Q291,1,0)</f>
        <v>#N/A</v>
      </c>
      <c r="DD291" s="138" t="e">
        <f>IF(VLOOKUP(CONCATENATE(H291,F291,DD$2),Español!$A:$H,7,FALSE)=R291,1,0)</f>
        <v>#N/A</v>
      </c>
      <c r="DE291" s="138" t="e">
        <f>IF(VLOOKUP(CONCATENATE(H291,F291,DE$2),Español!$A:$H,7,FALSE)=S291,1,0)</f>
        <v>#N/A</v>
      </c>
      <c r="DF291" s="138" t="e">
        <f>IF(VLOOKUP(CONCATENATE(H291,F291,DF$2),Español!$A:$H,7,FALSE)=T291,1,0)</f>
        <v>#N/A</v>
      </c>
      <c r="DG291" s="138" t="e">
        <f>IF(VLOOKUP(CONCATENATE(H291,F291,DG$2),Español!$A:$H,7,FALSE)=U291,1,0)</f>
        <v>#N/A</v>
      </c>
      <c r="DH291" s="138" t="e">
        <f>IF(VLOOKUP(CONCATENATE(H291,F291,DH$2),Español!$A:$H,7,FALSE)=V291,1,0)</f>
        <v>#N/A</v>
      </c>
      <c r="DI291" s="138" t="e">
        <f>IF(VLOOKUP(CONCATENATE(H291,F291,DI$2),Español!$A:$H,7,FALSE)=W291,1,0)</f>
        <v>#N/A</v>
      </c>
      <c r="DJ291" s="138" t="e">
        <f>IF(VLOOKUP(CONCATENATE(H291,F291,DJ$2),Español!$A:$H,7,FALSE)=X291,1,0)</f>
        <v>#N/A</v>
      </c>
      <c r="DK291" s="138" t="e">
        <f>IF(VLOOKUP(CONCATENATE(H291,F291,DK$2),Español!$A:$H,7,FALSE)=Y291,1,0)</f>
        <v>#N/A</v>
      </c>
      <c r="DL291" s="138" t="e">
        <f>IF(VLOOKUP(CONCATENATE(H291,F291,DL$2),Español!$A:$H,7,FALSE)=Z291,1,0)</f>
        <v>#N/A</v>
      </c>
      <c r="DM291" s="138" t="e">
        <f>IF(VLOOKUP(CONCATENATE(H291,F291,DM$2),Español!$A:$H,7,FALSE)=AA291,1,0)</f>
        <v>#N/A</v>
      </c>
      <c r="DN291" s="138" t="e">
        <f>IF(VLOOKUP(CONCATENATE(H291,F291,DN$2),Español!$A:$H,7,FALSE)=AB291,1,0)</f>
        <v>#N/A</v>
      </c>
      <c r="DO291" s="138" t="e">
        <f>IF(VLOOKUP(CONCATENATE(H291,F291,DO$2),Español!$A:$H,7,FALSE)=AC291,1,0)</f>
        <v>#N/A</v>
      </c>
      <c r="DP291" s="138" t="e">
        <f>IF(VLOOKUP(CONCATENATE(H291,F291,DP$2),Español!$A:$H,7,FALSE)=AD291,1,0)</f>
        <v>#N/A</v>
      </c>
      <c r="DQ291" s="138" t="e">
        <f>IF(VLOOKUP(CONCATENATE(H291,F291,DQ$2),Español!$A:$H,7,FALSE)=AE291,1,0)</f>
        <v>#N/A</v>
      </c>
      <c r="DR291" s="138" t="e">
        <f>IF(VLOOKUP(CONCATENATE(H291,F291,DR$2),Inglés!$A:$H,7,FALSE)=AF291,1,0)</f>
        <v>#N/A</v>
      </c>
      <c r="DS291" s="138" t="e">
        <f>IF(VLOOKUP(CONCATENATE(H291,F291,DS$2),Inglés!$A:$H,7,FALSE)=AG291,1,0)</f>
        <v>#N/A</v>
      </c>
      <c r="DT291" s="138" t="e">
        <f>IF(VLOOKUP(CONCATENATE(H291,F291,DT$2),Inglés!$A:$H,7,FALSE)=AH291,1,0)</f>
        <v>#N/A</v>
      </c>
      <c r="DU291" s="138" t="e">
        <f>IF(VLOOKUP(CONCATENATE(H291,F291,DU$2),Inglés!$A:$H,7,FALSE)=AI291,1,0)</f>
        <v>#N/A</v>
      </c>
      <c r="DV291" s="138" t="e">
        <f>IF(VLOOKUP(CONCATENATE(H291,F291,DV$2),Inglés!$A:$H,7,FALSE)=AJ291,1,0)</f>
        <v>#N/A</v>
      </c>
      <c r="DW291" s="138" t="e">
        <f>IF(VLOOKUP(CONCATENATE(H291,F291,DW$2),Inglés!$A:$H,7,FALSE)=AK291,1,0)</f>
        <v>#N/A</v>
      </c>
      <c r="DX291" s="138" t="e">
        <f>IF(VLOOKUP(CONCATENATE(H291,F291,DX$2),Inglés!$A:$H,7,FALSE)=AL291,1,0)</f>
        <v>#N/A</v>
      </c>
      <c r="DY291" s="138" t="e">
        <f>IF(VLOOKUP(CONCATENATE(H291,F291,DY$2),Inglés!$A:$H,7,FALSE)=AM291,1,0)</f>
        <v>#N/A</v>
      </c>
      <c r="DZ291" s="138" t="e">
        <f>IF(VLOOKUP(CONCATENATE(H291,F291,DZ$2),Inglés!$A:$H,7,FALSE)=AN291,1,0)</f>
        <v>#N/A</v>
      </c>
      <c r="EA291" s="138" t="e">
        <f>IF(VLOOKUP(CONCATENATE(H291,F291,EA$2),Inglés!$A:$H,7,FALSE)=AO291,1,0)</f>
        <v>#N/A</v>
      </c>
      <c r="EB291" s="138" t="e">
        <f>IF(VLOOKUP(CONCATENATE(H291,F291,EB$2),Matemáticas!$A:$H,7,FALSE)=AP291,1,0)</f>
        <v>#N/A</v>
      </c>
      <c r="EC291" s="138" t="e">
        <f>IF(VLOOKUP(CONCATENATE(H291,F291,EC$2),Matemáticas!$A:$H,7,FALSE)=AQ291,1,0)</f>
        <v>#N/A</v>
      </c>
      <c r="ED291" s="138" t="e">
        <f>IF(VLOOKUP(CONCATENATE(H291,F291,ED$2),Matemáticas!$A:$H,7,FALSE)=AR291,1,0)</f>
        <v>#N/A</v>
      </c>
      <c r="EE291" s="138" t="e">
        <f>IF(VLOOKUP(CONCATENATE(H291,F291,EE$2),Matemáticas!$A:$H,7,FALSE)=AS291,1,0)</f>
        <v>#N/A</v>
      </c>
      <c r="EF291" s="138" t="e">
        <f>IF(VLOOKUP(CONCATENATE(H291,F291,EF$2),Matemáticas!$A:$H,7,FALSE)=AT291,1,0)</f>
        <v>#N/A</v>
      </c>
      <c r="EG291" s="138" t="e">
        <f>IF(VLOOKUP(CONCATENATE(H291,F291,EG$2),Matemáticas!$A:$H,7,FALSE)=AU291,1,0)</f>
        <v>#N/A</v>
      </c>
      <c r="EH291" s="138" t="e">
        <f>IF(VLOOKUP(CONCATENATE(H291,F291,EH$2),Matemáticas!$A:$H,7,FALSE)=AV291,1,0)</f>
        <v>#N/A</v>
      </c>
      <c r="EI291" s="138" t="e">
        <f>IF(VLOOKUP(CONCATENATE(H291,F291,EI$2),Matemáticas!$A:$H,7,FALSE)=AW291,1,0)</f>
        <v>#N/A</v>
      </c>
      <c r="EJ291" s="138" t="e">
        <f>IF(VLOOKUP(CONCATENATE(H291,F291,EJ$2),Matemáticas!$A:$H,7,FALSE)=AX291,1,0)</f>
        <v>#N/A</v>
      </c>
      <c r="EK291" s="138" t="e">
        <f>IF(VLOOKUP(CONCATENATE(H291,F291,EK$2),Matemáticas!$A:$H,7,FALSE)=AY291,1,0)</f>
        <v>#N/A</v>
      </c>
      <c r="EL291" s="138" t="e">
        <f>IF(VLOOKUP(CONCATENATE(H291,F291,EL$2),Matemáticas!$A:$H,7,FALSE)=AZ291,1,0)</f>
        <v>#N/A</v>
      </c>
      <c r="EM291" s="138" t="e">
        <f>IF(VLOOKUP(CONCATENATE(H291,F291,EM$2),Matemáticas!$A:$H,7,FALSE)=BA291,1,0)</f>
        <v>#N/A</v>
      </c>
      <c r="EN291" s="138" t="e">
        <f>IF(VLOOKUP(CONCATENATE(H291,F291,EN$2),Matemáticas!$A:$H,7,FALSE)=BB291,1,0)</f>
        <v>#N/A</v>
      </c>
      <c r="EO291" s="138" t="e">
        <f>IF(VLOOKUP(CONCATENATE(H291,F291,EO$2),Matemáticas!$A:$H,7,FALSE)=BC291,1,0)</f>
        <v>#N/A</v>
      </c>
      <c r="EP291" s="138" t="e">
        <f>IF(VLOOKUP(CONCATENATE(H291,F291,EP$2),Matemáticas!$A:$H,7,FALSE)=BD291,1,0)</f>
        <v>#N/A</v>
      </c>
      <c r="EQ291" s="138" t="e">
        <f>IF(VLOOKUP(CONCATENATE(H291,F291,EQ$2),Matemáticas!$A:$H,7,FALSE)=BE291,1,0)</f>
        <v>#N/A</v>
      </c>
      <c r="ER291" s="138" t="e">
        <f>IF(VLOOKUP(CONCATENATE(H291,F291,ER$2),Matemáticas!$A:$H,7,FALSE)=BF291,1,0)</f>
        <v>#N/A</v>
      </c>
      <c r="ES291" s="138" t="e">
        <f>IF(VLOOKUP(CONCATENATE(H291,F291,ES$2),Matemáticas!$A:$H,7,FALSE)=BG291,1,0)</f>
        <v>#N/A</v>
      </c>
      <c r="ET291" s="138" t="e">
        <f>IF(VLOOKUP(CONCATENATE(H291,F291,ET$2),Matemáticas!$A:$H,7,FALSE)=BH291,1,0)</f>
        <v>#N/A</v>
      </c>
      <c r="EU291" s="138" t="e">
        <f>IF(VLOOKUP(CONCATENATE(H291,F291,EU$2),Matemáticas!$A:$H,7,FALSE)=BI291,1,0)</f>
        <v>#N/A</v>
      </c>
      <c r="EV291" s="138" t="e">
        <f>IF(VLOOKUP(CONCATENATE(H291,F291,EV$2),Ciencias!$A:$H,7,FALSE)=BJ291,1,0)</f>
        <v>#N/A</v>
      </c>
      <c r="EW291" s="138" t="e">
        <f>IF(VLOOKUP(CONCATENATE(H291,F291,EW$2),Ciencias!$A:$H,7,FALSE)=BK291,1,0)</f>
        <v>#N/A</v>
      </c>
      <c r="EX291" s="138" t="e">
        <f>IF(VLOOKUP(CONCATENATE(H291,F291,EX$2),Ciencias!$A:$H,7,FALSE)=BL291,1,0)</f>
        <v>#N/A</v>
      </c>
      <c r="EY291" s="138" t="e">
        <f>IF(VLOOKUP(CONCATENATE(H291,F291,EY$2),Ciencias!$A:$H,7,FALSE)=BM291,1,0)</f>
        <v>#N/A</v>
      </c>
      <c r="EZ291" s="138" t="e">
        <f>IF(VLOOKUP(CONCATENATE(H291,F291,EZ$2),Ciencias!$A:$H,7,FALSE)=BN291,1,0)</f>
        <v>#N/A</v>
      </c>
      <c r="FA291" s="138" t="e">
        <f>IF(VLOOKUP(CONCATENATE(H291,F291,FA$2),Ciencias!$A:$H,7,FALSE)=BO291,1,0)</f>
        <v>#N/A</v>
      </c>
      <c r="FB291" s="138" t="e">
        <f>IF(VLOOKUP(CONCATENATE(H291,F291,FB$2),Ciencias!$A:$H,7,FALSE)=BP291,1,0)</f>
        <v>#N/A</v>
      </c>
      <c r="FC291" s="138" t="e">
        <f>IF(VLOOKUP(CONCATENATE(H291,F291,FC$2),Ciencias!$A:$H,7,FALSE)=BQ291,1,0)</f>
        <v>#N/A</v>
      </c>
      <c r="FD291" s="138" t="e">
        <f>IF(VLOOKUP(CONCATENATE(H291,F291,FD$2),Ciencias!$A:$H,7,FALSE)=BR291,1,0)</f>
        <v>#N/A</v>
      </c>
      <c r="FE291" s="138" t="e">
        <f>IF(VLOOKUP(CONCATENATE(H291,F291,FE$2),Ciencias!$A:$H,7,FALSE)=BS291,1,0)</f>
        <v>#N/A</v>
      </c>
      <c r="FF291" s="138" t="e">
        <f>IF(VLOOKUP(CONCATENATE(H291,F291,FF$2),Ciencias!$A:$H,7,FALSE)=BT291,1,0)</f>
        <v>#N/A</v>
      </c>
      <c r="FG291" s="138" t="e">
        <f>IF(VLOOKUP(CONCATENATE(H291,F291,FG$2),Ciencias!$A:$H,7,FALSE)=BU291,1,0)</f>
        <v>#N/A</v>
      </c>
      <c r="FH291" s="138" t="e">
        <f>IF(VLOOKUP(CONCATENATE(H291,F291,FH$2),Ciencias!$A:$H,7,FALSE)=BV291,1,0)</f>
        <v>#N/A</v>
      </c>
      <c r="FI291" s="138" t="e">
        <f>IF(VLOOKUP(CONCATENATE(H291,F291,FI$2),Ciencias!$A:$H,7,FALSE)=BW291,1,0)</f>
        <v>#N/A</v>
      </c>
      <c r="FJ291" s="138" t="e">
        <f>IF(VLOOKUP(CONCATENATE(H291,F291,FJ$2),Ciencias!$A:$H,7,FALSE)=BX291,1,0)</f>
        <v>#N/A</v>
      </c>
      <c r="FK291" s="138" t="e">
        <f>IF(VLOOKUP(CONCATENATE(H291,F291,FK$2),Ciencias!$A:$H,7,FALSE)=BY291,1,0)</f>
        <v>#N/A</v>
      </c>
      <c r="FL291" s="138" t="e">
        <f>IF(VLOOKUP(CONCATENATE(H291,F291,FL$2),Ciencias!$A:$H,7,FALSE)=BZ291,1,0)</f>
        <v>#N/A</v>
      </c>
      <c r="FM291" s="138" t="e">
        <f>IF(VLOOKUP(CONCATENATE(H291,F291,FM$2),Ciencias!$A:$H,7,FALSE)=CA291,1,0)</f>
        <v>#N/A</v>
      </c>
      <c r="FN291" s="138" t="e">
        <f>IF(VLOOKUP(CONCATENATE(H291,F291,FN$2),Ciencias!$A:$H,7,FALSE)=CB291,1,0)</f>
        <v>#N/A</v>
      </c>
      <c r="FO291" s="138" t="e">
        <f>IF(VLOOKUP(CONCATENATE(H291,F291,FO$2),Ciencias!$A:$H,7,FALSE)=CC291,1,0)</f>
        <v>#N/A</v>
      </c>
      <c r="FP291" s="138" t="e">
        <f>IF(VLOOKUP(CONCATENATE(H291,F291,FP$2),GeoHis!$A:$H,7,FALSE)=CD291,1,0)</f>
        <v>#N/A</v>
      </c>
      <c r="FQ291" s="138" t="e">
        <f>IF(VLOOKUP(CONCATENATE(H291,F291,FQ$2),GeoHis!$A:$H,7,FALSE)=CE291,1,0)</f>
        <v>#N/A</v>
      </c>
      <c r="FR291" s="138" t="e">
        <f>IF(VLOOKUP(CONCATENATE(H291,F291,FR$2),GeoHis!$A:$H,7,FALSE)=CF291,1,0)</f>
        <v>#N/A</v>
      </c>
      <c r="FS291" s="138" t="e">
        <f>IF(VLOOKUP(CONCATENATE(H291,F291,FS$2),GeoHis!$A:$H,7,FALSE)=CG291,1,0)</f>
        <v>#N/A</v>
      </c>
      <c r="FT291" s="138" t="e">
        <f>IF(VLOOKUP(CONCATENATE(H291,F291,FT$2),GeoHis!$A:$H,7,FALSE)=CH291,1,0)</f>
        <v>#N/A</v>
      </c>
      <c r="FU291" s="138" t="e">
        <f>IF(VLOOKUP(CONCATENATE(H291,F291,FU$2),GeoHis!$A:$H,7,FALSE)=CI291,1,0)</f>
        <v>#N/A</v>
      </c>
      <c r="FV291" s="138" t="e">
        <f>IF(VLOOKUP(CONCATENATE(H291,F291,FV$2),GeoHis!$A:$H,7,FALSE)=CJ291,1,0)</f>
        <v>#N/A</v>
      </c>
      <c r="FW291" s="138" t="e">
        <f>IF(VLOOKUP(CONCATENATE(H291,F291,FW$2),GeoHis!$A:$H,7,FALSE)=CK291,1,0)</f>
        <v>#N/A</v>
      </c>
      <c r="FX291" s="138" t="e">
        <f>IF(VLOOKUP(CONCATENATE(H291,F291,FX$2),GeoHis!$A:$H,7,FALSE)=CL291,1,0)</f>
        <v>#N/A</v>
      </c>
      <c r="FY291" s="138" t="e">
        <f>IF(VLOOKUP(CONCATENATE(H291,F291,FY$2),GeoHis!$A:$H,7,FALSE)=CM291,1,0)</f>
        <v>#N/A</v>
      </c>
      <c r="FZ291" s="138" t="e">
        <f>IF(VLOOKUP(CONCATENATE(H291,F291,FZ$2),GeoHis!$A:$H,7,FALSE)=CN291,1,0)</f>
        <v>#N/A</v>
      </c>
      <c r="GA291" s="138" t="e">
        <f>IF(VLOOKUP(CONCATENATE(H291,F291,GA$2),GeoHis!$A:$H,7,FALSE)=CO291,1,0)</f>
        <v>#N/A</v>
      </c>
      <c r="GB291" s="138" t="e">
        <f>IF(VLOOKUP(CONCATENATE(H291,F291,GB$2),GeoHis!$A:$H,7,FALSE)=CP291,1,0)</f>
        <v>#N/A</v>
      </c>
      <c r="GC291" s="138" t="e">
        <f>IF(VLOOKUP(CONCATENATE(H291,F291,GC$2),GeoHis!$A:$H,7,FALSE)=CQ291,1,0)</f>
        <v>#N/A</v>
      </c>
      <c r="GD291" s="138" t="e">
        <f>IF(VLOOKUP(CONCATENATE(H291,F291,GD$2),GeoHis!$A:$H,7,FALSE)=CR291,1,0)</f>
        <v>#N/A</v>
      </c>
      <c r="GE291" s="135" t="str">
        <f t="shared" si="39"/>
        <v/>
      </c>
    </row>
    <row r="292" spans="1:187" x14ac:dyDescent="0.25">
      <c r="A292" s="127" t="str">
        <f>IF(C292="","",'Datos Generales'!$A$25)</f>
        <v/>
      </c>
      <c r="D292" s="126" t="str">
        <f t="shared" si="32"/>
        <v/>
      </c>
      <c r="E292" s="126">
        <f t="shared" si="33"/>
        <v>0</v>
      </c>
      <c r="F292" s="126" t="str">
        <f t="shared" si="34"/>
        <v/>
      </c>
      <c r="G292" s="126" t="str">
        <f>IF(C292="","",'Datos Generales'!$D$19)</f>
        <v/>
      </c>
      <c r="H292" s="21" t="str">
        <f>IF(C292="","",'Datos Generales'!$A$19)</f>
        <v/>
      </c>
      <c r="I292" s="126" t="str">
        <f>IF(C292="","",'Datos Generales'!$A$7)</f>
        <v/>
      </c>
      <c r="J292" s="21" t="str">
        <f>IF(C292="","",'Datos Generales'!$A$13)</f>
        <v/>
      </c>
      <c r="K292" s="21" t="str">
        <f>IF(C292="","",'Datos Generales'!$A$10)</f>
        <v/>
      </c>
      <c r="CS292" s="142" t="str">
        <f t="shared" si="35"/>
        <v/>
      </c>
      <c r="CT292" s="142" t="str">
        <f t="shared" si="36"/>
        <v/>
      </c>
      <c r="CU292" s="142" t="str">
        <f t="shared" si="37"/>
        <v/>
      </c>
      <c r="CV292" s="142" t="str">
        <f t="shared" si="38"/>
        <v/>
      </c>
      <c r="CW292" s="142" t="str">
        <f>IF(C292="","",IF('Datos Generales'!$A$19=1,AVERAGE(FP292:GD292),AVERAGE(Captura!FP292:FY292)))</f>
        <v/>
      </c>
      <c r="CX292" s="138" t="e">
        <f>IF(VLOOKUP(CONCATENATE($H$4,$F$4,CX$2),Español!$A:$H,7,FALSE)=L292,1,0)</f>
        <v>#N/A</v>
      </c>
      <c r="CY292" s="138" t="e">
        <f>IF(VLOOKUP(CONCATENATE(H292,F292,CY$2),Español!$A:$H,7,FALSE)=M292,1,0)</f>
        <v>#N/A</v>
      </c>
      <c r="CZ292" s="138" t="e">
        <f>IF(VLOOKUP(CONCATENATE(H292,F292,CZ$2),Español!$A:$H,7,FALSE)=N292,1,0)</f>
        <v>#N/A</v>
      </c>
      <c r="DA292" s="138" t="e">
        <f>IF(VLOOKUP(CONCATENATE(H292,F292,DA$2),Español!$A:$H,7,FALSE)=O292,1,0)</f>
        <v>#N/A</v>
      </c>
      <c r="DB292" s="138" t="e">
        <f>IF(VLOOKUP(CONCATENATE(H292,F292,DB$2),Español!$A:$H,7,FALSE)=P292,1,0)</f>
        <v>#N/A</v>
      </c>
      <c r="DC292" s="138" t="e">
        <f>IF(VLOOKUP(CONCATENATE(H292,F292,DC$2),Español!$A:$H,7,FALSE)=Q292,1,0)</f>
        <v>#N/A</v>
      </c>
      <c r="DD292" s="138" t="e">
        <f>IF(VLOOKUP(CONCATENATE(H292,F292,DD$2),Español!$A:$H,7,FALSE)=R292,1,0)</f>
        <v>#N/A</v>
      </c>
      <c r="DE292" s="138" t="e">
        <f>IF(VLOOKUP(CONCATENATE(H292,F292,DE$2),Español!$A:$H,7,FALSE)=S292,1,0)</f>
        <v>#N/A</v>
      </c>
      <c r="DF292" s="138" t="e">
        <f>IF(VLOOKUP(CONCATENATE(H292,F292,DF$2),Español!$A:$H,7,FALSE)=T292,1,0)</f>
        <v>#N/A</v>
      </c>
      <c r="DG292" s="138" t="e">
        <f>IF(VLOOKUP(CONCATENATE(H292,F292,DG$2),Español!$A:$H,7,FALSE)=U292,1,0)</f>
        <v>#N/A</v>
      </c>
      <c r="DH292" s="138" t="e">
        <f>IF(VLOOKUP(CONCATENATE(H292,F292,DH$2),Español!$A:$H,7,FALSE)=V292,1,0)</f>
        <v>#N/A</v>
      </c>
      <c r="DI292" s="138" t="e">
        <f>IF(VLOOKUP(CONCATENATE(H292,F292,DI$2),Español!$A:$H,7,FALSE)=W292,1,0)</f>
        <v>#N/A</v>
      </c>
      <c r="DJ292" s="138" t="e">
        <f>IF(VLOOKUP(CONCATENATE(H292,F292,DJ$2),Español!$A:$H,7,FALSE)=X292,1,0)</f>
        <v>#N/A</v>
      </c>
      <c r="DK292" s="138" t="e">
        <f>IF(VLOOKUP(CONCATENATE(H292,F292,DK$2),Español!$A:$H,7,FALSE)=Y292,1,0)</f>
        <v>#N/A</v>
      </c>
      <c r="DL292" s="138" t="e">
        <f>IF(VLOOKUP(CONCATENATE(H292,F292,DL$2),Español!$A:$H,7,FALSE)=Z292,1,0)</f>
        <v>#N/A</v>
      </c>
      <c r="DM292" s="138" t="e">
        <f>IF(VLOOKUP(CONCATENATE(H292,F292,DM$2),Español!$A:$H,7,FALSE)=AA292,1,0)</f>
        <v>#N/A</v>
      </c>
      <c r="DN292" s="138" t="e">
        <f>IF(VLOOKUP(CONCATENATE(H292,F292,DN$2),Español!$A:$H,7,FALSE)=AB292,1,0)</f>
        <v>#N/A</v>
      </c>
      <c r="DO292" s="138" t="e">
        <f>IF(VLOOKUP(CONCATENATE(H292,F292,DO$2),Español!$A:$H,7,FALSE)=AC292,1,0)</f>
        <v>#N/A</v>
      </c>
      <c r="DP292" s="138" t="e">
        <f>IF(VLOOKUP(CONCATENATE(H292,F292,DP$2),Español!$A:$H,7,FALSE)=AD292,1,0)</f>
        <v>#N/A</v>
      </c>
      <c r="DQ292" s="138" t="e">
        <f>IF(VLOOKUP(CONCATENATE(H292,F292,DQ$2),Español!$A:$H,7,FALSE)=AE292,1,0)</f>
        <v>#N/A</v>
      </c>
      <c r="DR292" s="138" t="e">
        <f>IF(VLOOKUP(CONCATENATE(H292,F292,DR$2),Inglés!$A:$H,7,FALSE)=AF292,1,0)</f>
        <v>#N/A</v>
      </c>
      <c r="DS292" s="138" t="e">
        <f>IF(VLOOKUP(CONCATENATE(H292,F292,DS$2),Inglés!$A:$H,7,FALSE)=AG292,1,0)</f>
        <v>#N/A</v>
      </c>
      <c r="DT292" s="138" t="e">
        <f>IF(VLOOKUP(CONCATENATE(H292,F292,DT$2),Inglés!$A:$H,7,FALSE)=AH292,1,0)</f>
        <v>#N/A</v>
      </c>
      <c r="DU292" s="138" t="e">
        <f>IF(VLOOKUP(CONCATENATE(H292,F292,DU$2),Inglés!$A:$H,7,FALSE)=AI292,1,0)</f>
        <v>#N/A</v>
      </c>
      <c r="DV292" s="138" t="e">
        <f>IF(VLOOKUP(CONCATENATE(H292,F292,DV$2),Inglés!$A:$H,7,FALSE)=AJ292,1,0)</f>
        <v>#N/A</v>
      </c>
      <c r="DW292" s="138" t="e">
        <f>IF(VLOOKUP(CONCATENATE(H292,F292,DW$2),Inglés!$A:$H,7,FALSE)=AK292,1,0)</f>
        <v>#N/A</v>
      </c>
      <c r="DX292" s="138" t="e">
        <f>IF(VLOOKUP(CONCATENATE(H292,F292,DX$2),Inglés!$A:$H,7,FALSE)=AL292,1,0)</f>
        <v>#N/A</v>
      </c>
      <c r="DY292" s="138" t="e">
        <f>IF(VLOOKUP(CONCATENATE(H292,F292,DY$2),Inglés!$A:$H,7,FALSE)=AM292,1,0)</f>
        <v>#N/A</v>
      </c>
      <c r="DZ292" s="138" t="e">
        <f>IF(VLOOKUP(CONCATENATE(H292,F292,DZ$2),Inglés!$A:$H,7,FALSE)=AN292,1,0)</f>
        <v>#N/A</v>
      </c>
      <c r="EA292" s="138" t="e">
        <f>IF(VLOOKUP(CONCATENATE(H292,F292,EA$2),Inglés!$A:$H,7,FALSE)=AO292,1,0)</f>
        <v>#N/A</v>
      </c>
      <c r="EB292" s="138" t="e">
        <f>IF(VLOOKUP(CONCATENATE(H292,F292,EB$2),Matemáticas!$A:$H,7,FALSE)=AP292,1,0)</f>
        <v>#N/A</v>
      </c>
      <c r="EC292" s="138" t="e">
        <f>IF(VLOOKUP(CONCATENATE(H292,F292,EC$2),Matemáticas!$A:$H,7,FALSE)=AQ292,1,0)</f>
        <v>#N/A</v>
      </c>
      <c r="ED292" s="138" t="e">
        <f>IF(VLOOKUP(CONCATENATE(H292,F292,ED$2),Matemáticas!$A:$H,7,FALSE)=AR292,1,0)</f>
        <v>#N/A</v>
      </c>
      <c r="EE292" s="138" t="e">
        <f>IF(VLOOKUP(CONCATENATE(H292,F292,EE$2),Matemáticas!$A:$H,7,FALSE)=AS292,1,0)</f>
        <v>#N/A</v>
      </c>
      <c r="EF292" s="138" t="e">
        <f>IF(VLOOKUP(CONCATENATE(H292,F292,EF$2),Matemáticas!$A:$H,7,FALSE)=AT292,1,0)</f>
        <v>#N/A</v>
      </c>
      <c r="EG292" s="138" t="e">
        <f>IF(VLOOKUP(CONCATENATE(H292,F292,EG$2),Matemáticas!$A:$H,7,FALSE)=AU292,1,0)</f>
        <v>#N/A</v>
      </c>
      <c r="EH292" s="138" t="e">
        <f>IF(VLOOKUP(CONCATENATE(H292,F292,EH$2),Matemáticas!$A:$H,7,FALSE)=AV292,1,0)</f>
        <v>#N/A</v>
      </c>
      <c r="EI292" s="138" t="e">
        <f>IF(VLOOKUP(CONCATENATE(H292,F292,EI$2),Matemáticas!$A:$H,7,FALSE)=AW292,1,0)</f>
        <v>#N/A</v>
      </c>
      <c r="EJ292" s="138" t="e">
        <f>IF(VLOOKUP(CONCATENATE(H292,F292,EJ$2),Matemáticas!$A:$H,7,FALSE)=AX292,1,0)</f>
        <v>#N/A</v>
      </c>
      <c r="EK292" s="138" t="e">
        <f>IF(VLOOKUP(CONCATENATE(H292,F292,EK$2),Matemáticas!$A:$H,7,FALSE)=AY292,1,0)</f>
        <v>#N/A</v>
      </c>
      <c r="EL292" s="138" t="e">
        <f>IF(VLOOKUP(CONCATENATE(H292,F292,EL$2),Matemáticas!$A:$H,7,FALSE)=AZ292,1,0)</f>
        <v>#N/A</v>
      </c>
      <c r="EM292" s="138" t="e">
        <f>IF(VLOOKUP(CONCATENATE(H292,F292,EM$2),Matemáticas!$A:$H,7,FALSE)=BA292,1,0)</f>
        <v>#N/A</v>
      </c>
      <c r="EN292" s="138" t="e">
        <f>IF(VLOOKUP(CONCATENATE(H292,F292,EN$2),Matemáticas!$A:$H,7,FALSE)=BB292,1,0)</f>
        <v>#N/A</v>
      </c>
      <c r="EO292" s="138" t="e">
        <f>IF(VLOOKUP(CONCATENATE(H292,F292,EO$2),Matemáticas!$A:$H,7,FALSE)=BC292,1,0)</f>
        <v>#N/A</v>
      </c>
      <c r="EP292" s="138" t="e">
        <f>IF(VLOOKUP(CONCATENATE(H292,F292,EP$2),Matemáticas!$A:$H,7,FALSE)=BD292,1,0)</f>
        <v>#N/A</v>
      </c>
      <c r="EQ292" s="138" t="e">
        <f>IF(VLOOKUP(CONCATENATE(H292,F292,EQ$2),Matemáticas!$A:$H,7,FALSE)=BE292,1,0)</f>
        <v>#N/A</v>
      </c>
      <c r="ER292" s="138" t="e">
        <f>IF(VLOOKUP(CONCATENATE(H292,F292,ER$2),Matemáticas!$A:$H,7,FALSE)=BF292,1,0)</f>
        <v>#N/A</v>
      </c>
      <c r="ES292" s="138" t="e">
        <f>IF(VLOOKUP(CONCATENATE(H292,F292,ES$2),Matemáticas!$A:$H,7,FALSE)=BG292,1,0)</f>
        <v>#N/A</v>
      </c>
      <c r="ET292" s="138" t="e">
        <f>IF(VLOOKUP(CONCATENATE(H292,F292,ET$2),Matemáticas!$A:$H,7,FALSE)=BH292,1,0)</f>
        <v>#N/A</v>
      </c>
      <c r="EU292" s="138" t="e">
        <f>IF(VLOOKUP(CONCATENATE(H292,F292,EU$2),Matemáticas!$A:$H,7,FALSE)=BI292,1,0)</f>
        <v>#N/A</v>
      </c>
      <c r="EV292" s="138" t="e">
        <f>IF(VLOOKUP(CONCATENATE(H292,F292,EV$2),Ciencias!$A:$H,7,FALSE)=BJ292,1,0)</f>
        <v>#N/A</v>
      </c>
      <c r="EW292" s="138" t="e">
        <f>IF(VLOOKUP(CONCATENATE(H292,F292,EW$2),Ciencias!$A:$H,7,FALSE)=BK292,1,0)</f>
        <v>#N/A</v>
      </c>
      <c r="EX292" s="138" t="e">
        <f>IF(VLOOKUP(CONCATENATE(H292,F292,EX$2),Ciencias!$A:$H,7,FALSE)=BL292,1,0)</f>
        <v>#N/A</v>
      </c>
      <c r="EY292" s="138" t="e">
        <f>IF(VLOOKUP(CONCATENATE(H292,F292,EY$2),Ciencias!$A:$H,7,FALSE)=BM292,1,0)</f>
        <v>#N/A</v>
      </c>
      <c r="EZ292" s="138" t="e">
        <f>IF(VLOOKUP(CONCATENATE(H292,F292,EZ$2),Ciencias!$A:$H,7,FALSE)=BN292,1,0)</f>
        <v>#N/A</v>
      </c>
      <c r="FA292" s="138" t="e">
        <f>IF(VLOOKUP(CONCATENATE(H292,F292,FA$2),Ciencias!$A:$H,7,FALSE)=BO292,1,0)</f>
        <v>#N/A</v>
      </c>
      <c r="FB292" s="138" t="e">
        <f>IF(VLOOKUP(CONCATENATE(H292,F292,FB$2),Ciencias!$A:$H,7,FALSE)=BP292,1,0)</f>
        <v>#N/A</v>
      </c>
      <c r="FC292" s="138" t="e">
        <f>IF(VLOOKUP(CONCATENATE(H292,F292,FC$2),Ciencias!$A:$H,7,FALSE)=BQ292,1,0)</f>
        <v>#N/A</v>
      </c>
      <c r="FD292" s="138" t="e">
        <f>IF(VLOOKUP(CONCATENATE(H292,F292,FD$2),Ciencias!$A:$H,7,FALSE)=BR292,1,0)</f>
        <v>#N/A</v>
      </c>
      <c r="FE292" s="138" t="e">
        <f>IF(VLOOKUP(CONCATENATE(H292,F292,FE$2),Ciencias!$A:$H,7,FALSE)=BS292,1,0)</f>
        <v>#N/A</v>
      </c>
      <c r="FF292" s="138" t="e">
        <f>IF(VLOOKUP(CONCATENATE(H292,F292,FF$2),Ciencias!$A:$H,7,FALSE)=BT292,1,0)</f>
        <v>#N/A</v>
      </c>
      <c r="FG292" s="138" t="e">
        <f>IF(VLOOKUP(CONCATENATE(H292,F292,FG$2),Ciencias!$A:$H,7,FALSE)=BU292,1,0)</f>
        <v>#N/A</v>
      </c>
      <c r="FH292" s="138" t="e">
        <f>IF(VLOOKUP(CONCATENATE(H292,F292,FH$2),Ciencias!$A:$H,7,FALSE)=BV292,1,0)</f>
        <v>#N/A</v>
      </c>
      <c r="FI292" s="138" t="e">
        <f>IF(VLOOKUP(CONCATENATE(H292,F292,FI$2),Ciencias!$A:$H,7,FALSE)=BW292,1,0)</f>
        <v>#N/A</v>
      </c>
      <c r="FJ292" s="138" t="e">
        <f>IF(VLOOKUP(CONCATENATE(H292,F292,FJ$2),Ciencias!$A:$H,7,FALSE)=BX292,1,0)</f>
        <v>#N/A</v>
      </c>
      <c r="FK292" s="138" t="e">
        <f>IF(VLOOKUP(CONCATENATE(H292,F292,FK$2),Ciencias!$A:$H,7,FALSE)=BY292,1,0)</f>
        <v>#N/A</v>
      </c>
      <c r="FL292" s="138" t="e">
        <f>IF(VLOOKUP(CONCATENATE(H292,F292,FL$2),Ciencias!$A:$H,7,FALSE)=BZ292,1,0)</f>
        <v>#N/A</v>
      </c>
      <c r="FM292" s="138" t="e">
        <f>IF(VLOOKUP(CONCATENATE(H292,F292,FM$2),Ciencias!$A:$H,7,FALSE)=CA292,1,0)</f>
        <v>#N/A</v>
      </c>
      <c r="FN292" s="138" t="e">
        <f>IF(VLOOKUP(CONCATENATE(H292,F292,FN$2),Ciencias!$A:$H,7,FALSE)=CB292,1,0)</f>
        <v>#N/A</v>
      </c>
      <c r="FO292" s="138" t="e">
        <f>IF(VLOOKUP(CONCATENATE(H292,F292,FO$2),Ciencias!$A:$H,7,FALSE)=CC292,1,0)</f>
        <v>#N/A</v>
      </c>
      <c r="FP292" s="138" t="e">
        <f>IF(VLOOKUP(CONCATENATE(H292,F292,FP$2),GeoHis!$A:$H,7,FALSE)=CD292,1,0)</f>
        <v>#N/A</v>
      </c>
      <c r="FQ292" s="138" t="e">
        <f>IF(VLOOKUP(CONCATENATE(H292,F292,FQ$2),GeoHis!$A:$H,7,FALSE)=CE292,1,0)</f>
        <v>#N/A</v>
      </c>
      <c r="FR292" s="138" t="e">
        <f>IF(VLOOKUP(CONCATENATE(H292,F292,FR$2),GeoHis!$A:$H,7,FALSE)=CF292,1,0)</f>
        <v>#N/A</v>
      </c>
      <c r="FS292" s="138" t="e">
        <f>IF(VLOOKUP(CONCATENATE(H292,F292,FS$2),GeoHis!$A:$H,7,FALSE)=CG292,1,0)</f>
        <v>#N/A</v>
      </c>
      <c r="FT292" s="138" t="e">
        <f>IF(VLOOKUP(CONCATENATE(H292,F292,FT$2),GeoHis!$A:$H,7,FALSE)=CH292,1,0)</f>
        <v>#N/A</v>
      </c>
      <c r="FU292" s="138" t="e">
        <f>IF(VLOOKUP(CONCATENATE(H292,F292,FU$2),GeoHis!$A:$H,7,FALSE)=CI292,1,0)</f>
        <v>#N/A</v>
      </c>
      <c r="FV292" s="138" t="e">
        <f>IF(VLOOKUP(CONCATENATE(H292,F292,FV$2),GeoHis!$A:$H,7,FALSE)=CJ292,1,0)</f>
        <v>#N/A</v>
      </c>
      <c r="FW292" s="138" t="e">
        <f>IF(VLOOKUP(CONCATENATE(H292,F292,FW$2),GeoHis!$A:$H,7,FALSE)=CK292,1,0)</f>
        <v>#N/A</v>
      </c>
      <c r="FX292" s="138" t="e">
        <f>IF(VLOOKUP(CONCATENATE(H292,F292,FX$2),GeoHis!$A:$H,7,FALSE)=CL292,1,0)</f>
        <v>#N/A</v>
      </c>
      <c r="FY292" s="138" t="e">
        <f>IF(VLOOKUP(CONCATENATE(H292,F292,FY$2),GeoHis!$A:$H,7,FALSE)=CM292,1,0)</f>
        <v>#N/A</v>
      </c>
      <c r="FZ292" s="138" t="e">
        <f>IF(VLOOKUP(CONCATENATE(H292,F292,FZ$2),GeoHis!$A:$H,7,FALSE)=CN292,1,0)</f>
        <v>#N/A</v>
      </c>
      <c r="GA292" s="138" t="e">
        <f>IF(VLOOKUP(CONCATENATE(H292,F292,GA$2),GeoHis!$A:$H,7,FALSE)=CO292,1,0)</f>
        <v>#N/A</v>
      </c>
      <c r="GB292" s="138" t="e">
        <f>IF(VLOOKUP(CONCATENATE(H292,F292,GB$2),GeoHis!$A:$H,7,FALSE)=CP292,1,0)</f>
        <v>#N/A</v>
      </c>
      <c r="GC292" s="138" t="e">
        <f>IF(VLOOKUP(CONCATENATE(H292,F292,GC$2),GeoHis!$A:$H,7,FALSE)=CQ292,1,0)</f>
        <v>#N/A</v>
      </c>
      <c r="GD292" s="138" t="e">
        <f>IF(VLOOKUP(CONCATENATE(H292,F292,GD$2),GeoHis!$A:$H,7,FALSE)=CR292,1,0)</f>
        <v>#N/A</v>
      </c>
      <c r="GE292" s="135" t="str">
        <f t="shared" si="39"/>
        <v/>
      </c>
    </row>
    <row r="293" spans="1:187" x14ac:dyDescent="0.25">
      <c r="A293" s="127" t="str">
        <f>IF(C293="","",'Datos Generales'!$A$25)</f>
        <v/>
      </c>
      <c r="D293" s="126" t="str">
        <f t="shared" si="32"/>
        <v/>
      </c>
      <c r="E293" s="126">
        <f t="shared" si="33"/>
        <v>0</v>
      </c>
      <c r="F293" s="126" t="str">
        <f t="shared" si="34"/>
        <v/>
      </c>
      <c r="G293" s="126" t="str">
        <f>IF(C293="","",'Datos Generales'!$D$19)</f>
        <v/>
      </c>
      <c r="H293" s="21" t="str">
        <f>IF(C293="","",'Datos Generales'!$A$19)</f>
        <v/>
      </c>
      <c r="I293" s="126" t="str">
        <f>IF(C293="","",'Datos Generales'!$A$7)</f>
        <v/>
      </c>
      <c r="J293" s="21" t="str">
        <f>IF(C293="","",'Datos Generales'!$A$13)</f>
        <v/>
      </c>
      <c r="K293" s="21" t="str">
        <f>IF(C293="","",'Datos Generales'!$A$10)</f>
        <v/>
      </c>
      <c r="CS293" s="142" t="str">
        <f t="shared" si="35"/>
        <v/>
      </c>
      <c r="CT293" s="142" t="str">
        <f t="shared" si="36"/>
        <v/>
      </c>
      <c r="CU293" s="142" t="str">
        <f t="shared" si="37"/>
        <v/>
      </c>
      <c r="CV293" s="142" t="str">
        <f t="shared" si="38"/>
        <v/>
      </c>
      <c r="CW293" s="142" t="str">
        <f>IF(C293="","",IF('Datos Generales'!$A$19=1,AVERAGE(FP293:GD293),AVERAGE(Captura!FP293:FY293)))</f>
        <v/>
      </c>
      <c r="CX293" s="138" t="e">
        <f>IF(VLOOKUP(CONCATENATE($H$4,$F$4,CX$2),Español!$A:$H,7,FALSE)=L293,1,0)</f>
        <v>#N/A</v>
      </c>
      <c r="CY293" s="138" t="e">
        <f>IF(VLOOKUP(CONCATENATE(H293,F293,CY$2),Español!$A:$H,7,FALSE)=M293,1,0)</f>
        <v>#N/A</v>
      </c>
      <c r="CZ293" s="138" t="e">
        <f>IF(VLOOKUP(CONCATENATE(H293,F293,CZ$2),Español!$A:$H,7,FALSE)=N293,1,0)</f>
        <v>#N/A</v>
      </c>
      <c r="DA293" s="138" t="e">
        <f>IF(VLOOKUP(CONCATENATE(H293,F293,DA$2),Español!$A:$H,7,FALSE)=O293,1,0)</f>
        <v>#N/A</v>
      </c>
      <c r="DB293" s="138" t="e">
        <f>IF(VLOOKUP(CONCATENATE(H293,F293,DB$2),Español!$A:$H,7,FALSE)=P293,1,0)</f>
        <v>#N/A</v>
      </c>
      <c r="DC293" s="138" t="e">
        <f>IF(VLOOKUP(CONCATENATE(H293,F293,DC$2),Español!$A:$H,7,FALSE)=Q293,1,0)</f>
        <v>#N/A</v>
      </c>
      <c r="DD293" s="138" t="e">
        <f>IF(VLOOKUP(CONCATENATE(H293,F293,DD$2),Español!$A:$H,7,FALSE)=R293,1,0)</f>
        <v>#N/A</v>
      </c>
      <c r="DE293" s="138" t="e">
        <f>IF(VLOOKUP(CONCATENATE(H293,F293,DE$2),Español!$A:$H,7,FALSE)=S293,1,0)</f>
        <v>#N/A</v>
      </c>
      <c r="DF293" s="138" t="e">
        <f>IF(VLOOKUP(CONCATENATE(H293,F293,DF$2),Español!$A:$H,7,FALSE)=T293,1,0)</f>
        <v>#N/A</v>
      </c>
      <c r="DG293" s="138" t="e">
        <f>IF(VLOOKUP(CONCATENATE(H293,F293,DG$2),Español!$A:$H,7,FALSE)=U293,1,0)</f>
        <v>#N/A</v>
      </c>
      <c r="DH293" s="138" t="e">
        <f>IF(VLOOKUP(CONCATENATE(H293,F293,DH$2),Español!$A:$H,7,FALSE)=V293,1,0)</f>
        <v>#N/A</v>
      </c>
      <c r="DI293" s="138" t="e">
        <f>IF(VLOOKUP(CONCATENATE(H293,F293,DI$2),Español!$A:$H,7,FALSE)=W293,1,0)</f>
        <v>#N/A</v>
      </c>
      <c r="DJ293" s="138" t="e">
        <f>IF(VLOOKUP(CONCATENATE(H293,F293,DJ$2),Español!$A:$H,7,FALSE)=X293,1,0)</f>
        <v>#N/A</v>
      </c>
      <c r="DK293" s="138" t="e">
        <f>IF(VLOOKUP(CONCATENATE(H293,F293,DK$2),Español!$A:$H,7,FALSE)=Y293,1,0)</f>
        <v>#N/A</v>
      </c>
      <c r="DL293" s="138" t="e">
        <f>IF(VLOOKUP(CONCATENATE(H293,F293,DL$2),Español!$A:$H,7,FALSE)=Z293,1,0)</f>
        <v>#N/A</v>
      </c>
      <c r="DM293" s="138" t="e">
        <f>IF(VLOOKUP(CONCATENATE(H293,F293,DM$2),Español!$A:$H,7,FALSE)=AA293,1,0)</f>
        <v>#N/A</v>
      </c>
      <c r="DN293" s="138" t="e">
        <f>IF(VLOOKUP(CONCATENATE(H293,F293,DN$2),Español!$A:$H,7,FALSE)=AB293,1,0)</f>
        <v>#N/A</v>
      </c>
      <c r="DO293" s="138" t="e">
        <f>IF(VLOOKUP(CONCATENATE(H293,F293,DO$2),Español!$A:$H,7,FALSE)=AC293,1,0)</f>
        <v>#N/A</v>
      </c>
      <c r="DP293" s="138" t="e">
        <f>IF(VLOOKUP(CONCATENATE(H293,F293,DP$2),Español!$A:$H,7,FALSE)=AD293,1,0)</f>
        <v>#N/A</v>
      </c>
      <c r="DQ293" s="138" t="e">
        <f>IF(VLOOKUP(CONCATENATE(H293,F293,DQ$2),Español!$A:$H,7,FALSE)=AE293,1,0)</f>
        <v>#N/A</v>
      </c>
      <c r="DR293" s="138" t="e">
        <f>IF(VLOOKUP(CONCATENATE(H293,F293,DR$2),Inglés!$A:$H,7,FALSE)=AF293,1,0)</f>
        <v>#N/A</v>
      </c>
      <c r="DS293" s="138" t="e">
        <f>IF(VLOOKUP(CONCATENATE(H293,F293,DS$2),Inglés!$A:$H,7,FALSE)=AG293,1,0)</f>
        <v>#N/A</v>
      </c>
      <c r="DT293" s="138" t="e">
        <f>IF(VLOOKUP(CONCATENATE(H293,F293,DT$2),Inglés!$A:$H,7,FALSE)=AH293,1,0)</f>
        <v>#N/A</v>
      </c>
      <c r="DU293" s="138" t="e">
        <f>IF(VLOOKUP(CONCATENATE(H293,F293,DU$2),Inglés!$A:$H,7,FALSE)=AI293,1,0)</f>
        <v>#N/A</v>
      </c>
      <c r="DV293" s="138" t="e">
        <f>IF(VLOOKUP(CONCATENATE(H293,F293,DV$2),Inglés!$A:$H,7,FALSE)=AJ293,1,0)</f>
        <v>#N/A</v>
      </c>
      <c r="DW293" s="138" t="e">
        <f>IF(VLOOKUP(CONCATENATE(H293,F293,DW$2),Inglés!$A:$H,7,FALSE)=AK293,1,0)</f>
        <v>#N/A</v>
      </c>
      <c r="DX293" s="138" t="e">
        <f>IF(VLOOKUP(CONCATENATE(H293,F293,DX$2),Inglés!$A:$H,7,FALSE)=AL293,1,0)</f>
        <v>#N/A</v>
      </c>
      <c r="DY293" s="138" t="e">
        <f>IF(VLOOKUP(CONCATENATE(H293,F293,DY$2),Inglés!$A:$H,7,FALSE)=AM293,1,0)</f>
        <v>#N/A</v>
      </c>
      <c r="DZ293" s="138" t="e">
        <f>IF(VLOOKUP(CONCATENATE(H293,F293,DZ$2),Inglés!$A:$H,7,FALSE)=AN293,1,0)</f>
        <v>#N/A</v>
      </c>
      <c r="EA293" s="138" t="e">
        <f>IF(VLOOKUP(CONCATENATE(H293,F293,EA$2),Inglés!$A:$H,7,FALSE)=AO293,1,0)</f>
        <v>#N/A</v>
      </c>
      <c r="EB293" s="138" t="e">
        <f>IF(VLOOKUP(CONCATENATE(H293,F293,EB$2),Matemáticas!$A:$H,7,FALSE)=AP293,1,0)</f>
        <v>#N/A</v>
      </c>
      <c r="EC293" s="138" t="e">
        <f>IF(VLOOKUP(CONCATENATE(H293,F293,EC$2),Matemáticas!$A:$H,7,FALSE)=AQ293,1,0)</f>
        <v>#N/A</v>
      </c>
      <c r="ED293" s="138" t="e">
        <f>IF(VLOOKUP(CONCATENATE(H293,F293,ED$2),Matemáticas!$A:$H,7,FALSE)=AR293,1,0)</f>
        <v>#N/A</v>
      </c>
      <c r="EE293" s="138" t="e">
        <f>IF(VLOOKUP(CONCATENATE(H293,F293,EE$2),Matemáticas!$A:$H,7,FALSE)=AS293,1,0)</f>
        <v>#N/A</v>
      </c>
      <c r="EF293" s="138" t="e">
        <f>IF(VLOOKUP(CONCATENATE(H293,F293,EF$2),Matemáticas!$A:$H,7,FALSE)=AT293,1,0)</f>
        <v>#N/A</v>
      </c>
      <c r="EG293" s="138" t="e">
        <f>IF(VLOOKUP(CONCATENATE(H293,F293,EG$2),Matemáticas!$A:$H,7,FALSE)=AU293,1,0)</f>
        <v>#N/A</v>
      </c>
      <c r="EH293" s="138" t="e">
        <f>IF(VLOOKUP(CONCATENATE(H293,F293,EH$2),Matemáticas!$A:$H,7,FALSE)=AV293,1,0)</f>
        <v>#N/A</v>
      </c>
      <c r="EI293" s="138" t="e">
        <f>IF(VLOOKUP(CONCATENATE(H293,F293,EI$2),Matemáticas!$A:$H,7,FALSE)=AW293,1,0)</f>
        <v>#N/A</v>
      </c>
      <c r="EJ293" s="138" t="e">
        <f>IF(VLOOKUP(CONCATENATE(H293,F293,EJ$2),Matemáticas!$A:$H,7,FALSE)=AX293,1,0)</f>
        <v>#N/A</v>
      </c>
      <c r="EK293" s="138" t="e">
        <f>IF(VLOOKUP(CONCATENATE(H293,F293,EK$2),Matemáticas!$A:$H,7,FALSE)=AY293,1,0)</f>
        <v>#N/A</v>
      </c>
      <c r="EL293" s="138" t="e">
        <f>IF(VLOOKUP(CONCATENATE(H293,F293,EL$2),Matemáticas!$A:$H,7,FALSE)=AZ293,1,0)</f>
        <v>#N/A</v>
      </c>
      <c r="EM293" s="138" t="e">
        <f>IF(VLOOKUP(CONCATENATE(H293,F293,EM$2),Matemáticas!$A:$H,7,FALSE)=BA293,1,0)</f>
        <v>#N/A</v>
      </c>
      <c r="EN293" s="138" t="e">
        <f>IF(VLOOKUP(CONCATENATE(H293,F293,EN$2),Matemáticas!$A:$H,7,FALSE)=BB293,1,0)</f>
        <v>#N/A</v>
      </c>
      <c r="EO293" s="138" t="e">
        <f>IF(VLOOKUP(CONCATENATE(H293,F293,EO$2),Matemáticas!$A:$H,7,FALSE)=BC293,1,0)</f>
        <v>#N/A</v>
      </c>
      <c r="EP293" s="138" t="e">
        <f>IF(VLOOKUP(CONCATENATE(H293,F293,EP$2),Matemáticas!$A:$H,7,FALSE)=BD293,1,0)</f>
        <v>#N/A</v>
      </c>
      <c r="EQ293" s="138" t="e">
        <f>IF(VLOOKUP(CONCATENATE(H293,F293,EQ$2),Matemáticas!$A:$H,7,FALSE)=BE293,1,0)</f>
        <v>#N/A</v>
      </c>
      <c r="ER293" s="138" t="e">
        <f>IF(VLOOKUP(CONCATENATE(H293,F293,ER$2),Matemáticas!$A:$H,7,FALSE)=BF293,1,0)</f>
        <v>#N/A</v>
      </c>
      <c r="ES293" s="138" t="e">
        <f>IF(VLOOKUP(CONCATENATE(H293,F293,ES$2),Matemáticas!$A:$H,7,FALSE)=BG293,1,0)</f>
        <v>#N/A</v>
      </c>
      <c r="ET293" s="138" t="e">
        <f>IF(VLOOKUP(CONCATENATE(H293,F293,ET$2),Matemáticas!$A:$H,7,FALSE)=BH293,1,0)</f>
        <v>#N/A</v>
      </c>
      <c r="EU293" s="138" t="e">
        <f>IF(VLOOKUP(CONCATENATE(H293,F293,EU$2),Matemáticas!$A:$H,7,FALSE)=BI293,1,0)</f>
        <v>#N/A</v>
      </c>
      <c r="EV293" s="138" t="e">
        <f>IF(VLOOKUP(CONCATENATE(H293,F293,EV$2),Ciencias!$A:$H,7,FALSE)=BJ293,1,0)</f>
        <v>#N/A</v>
      </c>
      <c r="EW293" s="138" t="e">
        <f>IF(VLOOKUP(CONCATENATE(H293,F293,EW$2),Ciencias!$A:$H,7,FALSE)=BK293,1,0)</f>
        <v>#N/A</v>
      </c>
      <c r="EX293" s="138" t="e">
        <f>IF(VLOOKUP(CONCATENATE(H293,F293,EX$2),Ciencias!$A:$H,7,FALSE)=BL293,1,0)</f>
        <v>#N/A</v>
      </c>
      <c r="EY293" s="138" t="e">
        <f>IF(VLOOKUP(CONCATENATE(H293,F293,EY$2),Ciencias!$A:$H,7,FALSE)=BM293,1,0)</f>
        <v>#N/A</v>
      </c>
      <c r="EZ293" s="138" t="e">
        <f>IF(VLOOKUP(CONCATENATE(H293,F293,EZ$2),Ciencias!$A:$H,7,FALSE)=BN293,1,0)</f>
        <v>#N/A</v>
      </c>
      <c r="FA293" s="138" t="e">
        <f>IF(VLOOKUP(CONCATENATE(H293,F293,FA$2),Ciencias!$A:$H,7,FALSE)=BO293,1,0)</f>
        <v>#N/A</v>
      </c>
      <c r="FB293" s="138" t="e">
        <f>IF(VLOOKUP(CONCATENATE(H293,F293,FB$2),Ciencias!$A:$H,7,FALSE)=BP293,1,0)</f>
        <v>#N/A</v>
      </c>
      <c r="FC293" s="138" t="e">
        <f>IF(VLOOKUP(CONCATENATE(H293,F293,FC$2),Ciencias!$A:$H,7,FALSE)=BQ293,1,0)</f>
        <v>#N/A</v>
      </c>
      <c r="FD293" s="138" t="e">
        <f>IF(VLOOKUP(CONCATENATE(H293,F293,FD$2),Ciencias!$A:$H,7,FALSE)=BR293,1,0)</f>
        <v>#N/A</v>
      </c>
      <c r="FE293" s="138" t="e">
        <f>IF(VLOOKUP(CONCATENATE(H293,F293,FE$2),Ciencias!$A:$H,7,FALSE)=BS293,1,0)</f>
        <v>#N/A</v>
      </c>
      <c r="FF293" s="138" t="e">
        <f>IF(VLOOKUP(CONCATENATE(H293,F293,FF$2),Ciencias!$A:$H,7,FALSE)=BT293,1,0)</f>
        <v>#N/A</v>
      </c>
      <c r="FG293" s="138" t="e">
        <f>IF(VLOOKUP(CONCATENATE(H293,F293,FG$2),Ciencias!$A:$H,7,FALSE)=BU293,1,0)</f>
        <v>#N/A</v>
      </c>
      <c r="FH293" s="138" t="e">
        <f>IF(VLOOKUP(CONCATENATE(H293,F293,FH$2),Ciencias!$A:$H,7,FALSE)=BV293,1,0)</f>
        <v>#N/A</v>
      </c>
      <c r="FI293" s="138" t="e">
        <f>IF(VLOOKUP(CONCATENATE(H293,F293,FI$2),Ciencias!$A:$H,7,FALSE)=BW293,1,0)</f>
        <v>#N/A</v>
      </c>
      <c r="FJ293" s="138" t="e">
        <f>IF(VLOOKUP(CONCATENATE(H293,F293,FJ$2),Ciencias!$A:$H,7,FALSE)=BX293,1,0)</f>
        <v>#N/A</v>
      </c>
      <c r="FK293" s="138" t="e">
        <f>IF(VLOOKUP(CONCATENATE(H293,F293,FK$2),Ciencias!$A:$H,7,FALSE)=BY293,1,0)</f>
        <v>#N/A</v>
      </c>
      <c r="FL293" s="138" t="e">
        <f>IF(VLOOKUP(CONCATENATE(H293,F293,FL$2),Ciencias!$A:$H,7,FALSE)=BZ293,1,0)</f>
        <v>#N/A</v>
      </c>
      <c r="FM293" s="138" t="e">
        <f>IF(VLOOKUP(CONCATENATE(H293,F293,FM$2),Ciencias!$A:$H,7,FALSE)=CA293,1,0)</f>
        <v>#N/A</v>
      </c>
      <c r="FN293" s="138" t="e">
        <f>IF(VLOOKUP(CONCATENATE(H293,F293,FN$2),Ciencias!$A:$H,7,FALSE)=CB293,1,0)</f>
        <v>#N/A</v>
      </c>
      <c r="FO293" s="138" t="e">
        <f>IF(VLOOKUP(CONCATENATE(H293,F293,FO$2),Ciencias!$A:$H,7,FALSE)=CC293,1,0)</f>
        <v>#N/A</v>
      </c>
      <c r="FP293" s="138" t="e">
        <f>IF(VLOOKUP(CONCATENATE(H293,F293,FP$2),GeoHis!$A:$H,7,FALSE)=CD293,1,0)</f>
        <v>#N/A</v>
      </c>
      <c r="FQ293" s="138" t="e">
        <f>IF(VLOOKUP(CONCATENATE(H293,F293,FQ$2),GeoHis!$A:$H,7,FALSE)=CE293,1,0)</f>
        <v>#N/A</v>
      </c>
      <c r="FR293" s="138" t="e">
        <f>IF(VLOOKUP(CONCATENATE(H293,F293,FR$2),GeoHis!$A:$H,7,FALSE)=CF293,1,0)</f>
        <v>#N/A</v>
      </c>
      <c r="FS293" s="138" t="e">
        <f>IF(VLOOKUP(CONCATENATE(H293,F293,FS$2),GeoHis!$A:$H,7,FALSE)=CG293,1,0)</f>
        <v>#N/A</v>
      </c>
      <c r="FT293" s="138" t="e">
        <f>IF(VLOOKUP(CONCATENATE(H293,F293,FT$2),GeoHis!$A:$H,7,FALSE)=CH293,1,0)</f>
        <v>#N/A</v>
      </c>
      <c r="FU293" s="138" t="e">
        <f>IF(VLOOKUP(CONCATENATE(H293,F293,FU$2),GeoHis!$A:$H,7,FALSE)=CI293,1,0)</f>
        <v>#N/A</v>
      </c>
      <c r="FV293" s="138" t="e">
        <f>IF(VLOOKUP(CONCATENATE(H293,F293,FV$2),GeoHis!$A:$H,7,FALSE)=CJ293,1,0)</f>
        <v>#N/A</v>
      </c>
      <c r="FW293" s="138" t="e">
        <f>IF(VLOOKUP(CONCATENATE(H293,F293,FW$2),GeoHis!$A:$H,7,FALSE)=CK293,1,0)</f>
        <v>#N/A</v>
      </c>
      <c r="FX293" s="138" t="e">
        <f>IF(VLOOKUP(CONCATENATE(H293,F293,FX$2),GeoHis!$A:$H,7,FALSE)=CL293,1,0)</f>
        <v>#N/A</v>
      </c>
      <c r="FY293" s="138" t="e">
        <f>IF(VLOOKUP(CONCATENATE(H293,F293,FY$2),GeoHis!$A:$H,7,FALSE)=CM293,1,0)</f>
        <v>#N/A</v>
      </c>
      <c r="FZ293" s="138" t="e">
        <f>IF(VLOOKUP(CONCATENATE(H293,F293,FZ$2),GeoHis!$A:$H,7,FALSE)=CN293,1,0)</f>
        <v>#N/A</v>
      </c>
      <c r="GA293" s="138" t="e">
        <f>IF(VLOOKUP(CONCATENATE(H293,F293,GA$2),GeoHis!$A:$H,7,FALSE)=CO293,1,0)</f>
        <v>#N/A</v>
      </c>
      <c r="GB293" s="138" t="e">
        <f>IF(VLOOKUP(CONCATENATE(H293,F293,GB$2),GeoHis!$A:$H,7,FALSE)=CP293,1,0)</f>
        <v>#N/A</v>
      </c>
      <c r="GC293" s="138" t="e">
        <f>IF(VLOOKUP(CONCATENATE(H293,F293,GC$2),GeoHis!$A:$H,7,FALSE)=CQ293,1,0)</f>
        <v>#N/A</v>
      </c>
      <c r="GD293" s="138" t="e">
        <f>IF(VLOOKUP(CONCATENATE(H293,F293,GD$2),GeoHis!$A:$H,7,FALSE)=CR293,1,0)</f>
        <v>#N/A</v>
      </c>
      <c r="GE293" s="135" t="str">
        <f t="shared" si="39"/>
        <v/>
      </c>
    </row>
    <row r="294" spans="1:187" x14ac:dyDescent="0.25">
      <c r="A294" s="127" t="str">
        <f>IF(C294="","",'Datos Generales'!$A$25)</f>
        <v/>
      </c>
      <c r="D294" s="126" t="str">
        <f t="shared" si="32"/>
        <v/>
      </c>
      <c r="E294" s="126">
        <f t="shared" si="33"/>
        <v>0</v>
      </c>
      <c r="F294" s="126" t="str">
        <f t="shared" si="34"/>
        <v/>
      </c>
      <c r="G294" s="126" t="str">
        <f>IF(C294="","",'Datos Generales'!$D$19)</f>
        <v/>
      </c>
      <c r="H294" s="21" t="str">
        <f>IF(C294="","",'Datos Generales'!$A$19)</f>
        <v/>
      </c>
      <c r="I294" s="126" t="str">
        <f>IF(C294="","",'Datos Generales'!$A$7)</f>
        <v/>
      </c>
      <c r="J294" s="21" t="str">
        <f>IF(C294="","",'Datos Generales'!$A$13)</f>
        <v/>
      </c>
      <c r="K294" s="21" t="str">
        <f>IF(C294="","",'Datos Generales'!$A$10)</f>
        <v/>
      </c>
      <c r="CS294" s="142" t="str">
        <f t="shared" si="35"/>
        <v/>
      </c>
      <c r="CT294" s="142" t="str">
        <f t="shared" si="36"/>
        <v/>
      </c>
      <c r="CU294" s="142" t="str">
        <f t="shared" si="37"/>
        <v/>
      </c>
      <c r="CV294" s="142" t="str">
        <f t="shared" si="38"/>
        <v/>
      </c>
      <c r="CW294" s="142" t="str">
        <f>IF(C294="","",IF('Datos Generales'!$A$19=1,AVERAGE(FP294:GD294),AVERAGE(Captura!FP294:FY294)))</f>
        <v/>
      </c>
      <c r="CX294" s="138" t="e">
        <f>IF(VLOOKUP(CONCATENATE($H$4,$F$4,CX$2),Español!$A:$H,7,FALSE)=L294,1,0)</f>
        <v>#N/A</v>
      </c>
      <c r="CY294" s="138" t="e">
        <f>IF(VLOOKUP(CONCATENATE(H294,F294,CY$2),Español!$A:$H,7,FALSE)=M294,1,0)</f>
        <v>#N/A</v>
      </c>
      <c r="CZ294" s="138" t="e">
        <f>IF(VLOOKUP(CONCATENATE(H294,F294,CZ$2),Español!$A:$H,7,FALSE)=N294,1,0)</f>
        <v>#N/A</v>
      </c>
      <c r="DA294" s="138" t="e">
        <f>IF(VLOOKUP(CONCATENATE(H294,F294,DA$2),Español!$A:$H,7,FALSE)=O294,1,0)</f>
        <v>#N/A</v>
      </c>
      <c r="DB294" s="138" t="e">
        <f>IF(VLOOKUP(CONCATENATE(H294,F294,DB$2),Español!$A:$H,7,FALSE)=P294,1,0)</f>
        <v>#N/A</v>
      </c>
      <c r="DC294" s="138" t="e">
        <f>IF(VLOOKUP(CONCATENATE(H294,F294,DC$2),Español!$A:$H,7,FALSE)=Q294,1,0)</f>
        <v>#N/A</v>
      </c>
      <c r="DD294" s="138" t="e">
        <f>IF(VLOOKUP(CONCATENATE(H294,F294,DD$2),Español!$A:$H,7,FALSE)=R294,1,0)</f>
        <v>#N/A</v>
      </c>
      <c r="DE294" s="138" t="e">
        <f>IF(VLOOKUP(CONCATENATE(H294,F294,DE$2),Español!$A:$H,7,FALSE)=S294,1,0)</f>
        <v>#N/A</v>
      </c>
      <c r="DF294" s="138" t="e">
        <f>IF(VLOOKUP(CONCATENATE(H294,F294,DF$2),Español!$A:$H,7,FALSE)=T294,1,0)</f>
        <v>#N/A</v>
      </c>
      <c r="DG294" s="138" t="e">
        <f>IF(VLOOKUP(CONCATENATE(H294,F294,DG$2),Español!$A:$H,7,FALSE)=U294,1,0)</f>
        <v>#N/A</v>
      </c>
      <c r="DH294" s="138" t="e">
        <f>IF(VLOOKUP(CONCATENATE(H294,F294,DH$2),Español!$A:$H,7,FALSE)=V294,1,0)</f>
        <v>#N/A</v>
      </c>
      <c r="DI294" s="138" t="e">
        <f>IF(VLOOKUP(CONCATENATE(H294,F294,DI$2),Español!$A:$H,7,FALSE)=W294,1,0)</f>
        <v>#N/A</v>
      </c>
      <c r="DJ294" s="138" t="e">
        <f>IF(VLOOKUP(CONCATENATE(H294,F294,DJ$2),Español!$A:$H,7,FALSE)=X294,1,0)</f>
        <v>#N/A</v>
      </c>
      <c r="DK294" s="138" t="e">
        <f>IF(VLOOKUP(CONCATENATE(H294,F294,DK$2),Español!$A:$H,7,FALSE)=Y294,1,0)</f>
        <v>#N/A</v>
      </c>
      <c r="DL294" s="138" t="e">
        <f>IF(VLOOKUP(CONCATENATE(H294,F294,DL$2),Español!$A:$H,7,FALSE)=Z294,1,0)</f>
        <v>#N/A</v>
      </c>
      <c r="DM294" s="138" t="e">
        <f>IF(VLOOKUP(CONCATENATE(H294,F294,DM$2),Español!$A:$H,7,FALSE)=AA294,1,0)</f>
        <v>#N/A</v>
      </c>
      <c r="DN294" s="138" t="e">
        <f>IF(VLOOKUP(CONCATENATE(H294,F294,DN$2),Español!$A:$H,7,FALSE)=AB294,1,0)</f>
        <v>#N/A</v>
      </c>
      <c r="DO294" s="138" t="e">
        <f>IF(VLOOKUP(CONCATENATE(H294,F294,DO$2),Español!$A:$H,7,FALSE)=AC294,1,0)</f>
        <v>#N/A</v>
      </c>
      <c r="DP294" s="138" t="e">
        <f>IF(VLOOKUP(CONCATENATE(H294,F294,DP$2),Español!$A:$H,7,FALSE)=AD294,1,0)</f>
        <v>#N/A</v>
      </c>
      <c r="DQ294" s="138" t="e">
        <f>IF(VLOOKUP(CONCATENATE(H294,F294,DQ$2),Español!$A:$H,7,FALSE)=AE294,1,0)</f>
        <v>#N/A</v>
      </c>
      <c r="DR294" s="138" t="e">
        <f>IF(VLOOKUP(CONCATENATE(H294,F294,DR$2),Inglés!$A:$H,7,FALSE)=AF294,1,0)</f>
        <v>#N/A</v>
      </c>
      <c r="DS294" s="138" t="e">
        <f>IF(VLOOKUP(CONCATENATE(H294,F294,DS$2),Inglés!$A:$H,7,FALSE)=AG294,1,0)</f>
        <v>#N/A</v>
      </c>
      <c r="DT294" s="138" t="e">
        <f>IF(VLOOKUP(CONCATENATE(H294,F294,DT$2),Inglés!$A:$H,7,FALSE)=AH294,1,0)</f>
        <v>#N/A</v>
      </c>
      <c r="DU294" s="138" t="e">
        <f>IF(VLOOKUP(CONCATENATE(H294,F294,DU$2),Inglés!$A:$H,7,FALSE)=AI294,1,0)</f>
        <v>#N/A</v>
      </c>
      <c r="DV294" s="138" t="e">
        <f>IF(VLOOKUP(CONCATENATE(H294,F294,DV$2),Inglés!$A:$H,7,FALSE)=AJ294,1,0)</f>
        <v>#N/A</v>
      </c>
      <c r="DW294" s="138" t="e">
        <f>IF(VLOOKUP(CONCATENATE(H294,F294,DW$2),Inglés!$A:$H,7,FALSE)=AK294,1,0)</f>
        <v>#N/A</v>
      </c>
      <c r="DX294" s="138" t="e">
        <f>IF(VLOOKUP(CONCATENATE(H294,F294,DX$2),Inglés!$A:$H,7,FALSE)=AL294,1,0)</f>
        <v>#N/A</v>
      </c>
      <c r="DY294" s="138" t="e">
        <f>IF(VLOOKUP(CONCATENATE(H294,F294,DY$2),Inglés!$A:$H,7,FALSE)=AM294,1,0)</f>
        <v>#N/A</v>
      </c>
      <c r="DZ294" s="138" t="e">
        <f>IF(VLOOKUP(CONCATENATE(H294,F294,DZ$2),Inglés!$A:$H,7,FALSE)=AN294,1,0)</f>
        <v>#N/A</v>
      </c>
      <c r="EA294" s="138" t="e">
        <f>IF(VLOOKUP(CONCATENATE(H294,F294,EA$2),Inglés!$A:$H,7,FALSE)=AO294,1,0)</f>
        <v>#N/A</v>
      </c>
      <c r="EB294" s="138" t="e">
        <f>IF(VLOOKUP(CONCATENATE(H294,F294,EB$2),Matemáticas!$A:$H,7,FALSE)=AP294,1,0)</f>
        <v>#N/A</v>
      </c>
      <c r="EC294" s="138" t="e">
        <f>IF(VLOOKUP(CONCATENATE(H294,F294,EC$2),Matemáticas!$A:$H,7,FALSE)=AQ294,1,0)</f>
        <v>#N/A</v>
      </c>
      <c r="ED294" s="138" t="e">
        <f>IF(VLOOKUP(CONCATENATE(H294,F294,ED$2),Matemáticas!$A:$H,7,FALSE)=AR294,1,0)</f>
        <v>#N/A</v>
      </c>
      <c r="EE294" s="138" t="e">
        <f>IF(VLOOKUP(CONCATENATE(H294,F294,EE$2),Matemáticas!$A:$H,7,FALSE)=AS294,1,0)</f>
        <v>#N/A</v>
      </c>
      <c r="EF294" s="138" t="e">
        <f>IF(VLOOKUP(CONCATENATE(H294,F294,EF$2),Matemáticas!$A:$H,7,FALSE)=AT294,1,0)</f>
        <v>#N/A</v>
      </c>
      <c r="EG294" s="138" t="e">
        <f>IF(VLOOKUP(CONCATENATE(H294,F294,EG$2),Matemáticas!$A:$H,7,FALSE)=AU294,1,0)</f>
        <v>#N/A</v>
      </c>
      <c r="EH294" s="138" t="e">
        <f>IF(VLOOKUP(CONCATENATE(H294,F294,EH$2),Matemáticas!$A:$H,7,FALSE)=AV294,1,0)</f>
        <v>#N/A</v>
      </c>
      <c r="EI294" s="138" t="e">
        <f>IF(VLOOKUP(CONCATENATE(H294,F294,EI$2),Matemáticas!$A:$H,7,FALSE)=AW294,1,0)</f>
        <v>#N/A</v>
      </c>
      <c r="EJ294" s="138" t="e">
        <f>IF(VLOOKUP(CONCATENATE(H294,F294,EJ$2),Matemáticas!$A:$H,7,FALSE)=AX294,1,0)</f>
        <v>#N/A</v>
      </c>
      <c r="EK294" s="138" t="e">
        <f>IF(VLOOKUP(CONCATENATE(H294,F294,EK$2),Matemáticas!$A:$H,7,FALSE)=AY294,1,0)</f>
        <v>#N/A</v>
      </c>
      <c r="EL294" s="138" t="e">
        <f>IF(VLOOKUP(CONCATENATE(H294,F294,EL$2),Matemáticas!$A:$H,7,FALSE)=AZ294,1,0)</f>
        <v>#N/A</v>
      </c>
      <c r="EM294" s="138" t="e">
        <f>IF(VLOOKUP(CONCATENATE(H294,F294,EM$2),Matemáticas!$A:$H,7,FALSE)=BA294,1,0)</f>
        <v>#N/A</v>
      </c>
      <c r="EN294" s="138" t="e">
        <f>IF(VLOOKUP(CONCATENATE(H294,F294,EN$2),Matemáticas!$A:$H,7,FALSE)=BB294,1,0)</f>
        <v>#N/A</v>
      </c>
      <c r="EO294" s="138" t="e">
        <f>IF(VLOOKUP(CONCATENATE(H294,F294,EO$2),Matemáticas!$A:$H,7,FALSE)=BC294,1,0)</f>
        <v>#N/A</v>
      </c>
      <c r="EP294" s="138" t="e">
        <f>IF(VLOOKUP(CONCATENATE(H294,F294,EP$2),Matemáticas!$A:$H,7,FALSE)=BD294,1,0)</f>
        <v>#N/A</v>
      </c>
      <c r="EQ294" s="138" t="e">
        <f>IF(VLOOKUP(CONCATENATE(H294,F294,EQ$2),Matemáticas!$A:$H,7,FALSE)=BE294,1,0)</f>
        <v>#N/A</v>
      </c>
      <c r="ER294" s="138" t="e">
        <f>IF(VLOOKUP(CONCATENATE(H294,F294,ER$2),Matemáticas!$A:$H,7,FALSE)=BF294,1,0)</f>
        <v>#N/A</v>
      </c>
      <c r="ES294" s="138" t="e">
        <f>IF(VLOOKUP(CONCATENATE(H294,F294,ES$2),Matemáticas!$A:$H,7,FALSE)=BG294,1,0)</f>
        <v>#N/A</v>
      </c>
      <c r="ET294" s="138" t="e">
        <f>IF(VLOOKUP(CONCATENATE(H294,F294,ET$2),Matemáticas!$A:$H,7,FALSE)=BH294,1,0)</f>
        <v>#N/A</v>
      </c>
      <c r="EU294" s="138" t="e">
        <f>IF(VLOOKUP(CONCATENATE(H294,F294,EU$2),Matemáticas!$A:$H,7,FALSE)=BI294,1,0)</f>
        <v>#N/A</v>
      </c>
      <c r="EV294" s="138" t="e">
        <f>IF(VLOOKUP(CONCATENATE(H294,F294,EV$2),Ciencias!$A:$H,7,FALSE)=BJ294,1,0)</f>
        <v>#N/A</v>
      </c>
      <c r="EW294" s="138" t="e">
        <f>IF(VLOOKUP(CONCATENATE(H294,F294,EW$2),Ciencias!$A:$H,7,FALSE)=BK294,1,0)</f>
        <v>#N/A</v>
      </c>
      <c r="EX294" s="138" t="e">
        <f>IF(VLOOKUP(CONCATENATE(H294,F294,EX$2),Ciencias!$A:$H,7,FALSE)=BL294,1,0)</f>
        <v>#N/A</v>
      </c>
      <c r="EY294" s="138" t="e">
        <f>IF(VLOOKUP(CONCATENATE(H294,F294,EY$2),Ciencias!$A:$H,7,FALSE)=BM294,1,0)</f>
        <v>#N/A</v>
      </c>
      <c r="EZ294" s="138" t="e">
        <f>IF(VLOOKUP(CONCATENATE(H294,F294,EZ$2),Ciencias!$A:$H,7,FALSE)=BN294,1,0)</f>
        <v>#N/A</v>
      </c>
      <c r="FA294" s="138" t="e">
        <f>IF(VLOOKUP(CONCATENATE(H294,F294,FA$2),Ciencias!$A:$H,7,FALSE)=BO294,1,0)</f>
        <v>#N/A</v>
      </c>
      <c r="FB294" s="138" t="e">
        <f>IF(VLOOKUP(CONCATENATE(H294,F294,FB$2),Ciencias!$A:$H,7,FALSE)=BP294,1,0)</f>
        <v>#N/A</v>
      </c>
      <c r="FC294" s="138" t="e">
        <f>IF(VLOOKUP(CONCATENATE(H294,F294,FC$2),Ciencias!$A:$H,7,FALSE)=BQ294,1,0)</f>
        <v>#N/A</v>
      </c>
      <c r="FD294" s="138" t="e">
        <f>IF(VLOOKUP(CONCATENATE(H294,F294,FD$2),Ciencias!$A:$H,7,FALSE)=BR294,1,0)</f>
        <v>#N/A</v>
      </c>
      <c r="FE294" s="138" t="e">
        <f>IF(VLOOKUP(CONCATENATE(H294,F294,FE$2),Ciencias!$A:$H,7,FALSE)=BS294,1,0)</f>
        <v>#N/A</v>
      </c>
      <c r="FF294" s="138" t="e">
        <f>IF(VLOOKUP(CONCATENATE(H294,F294,FF$2),Ciencias!$A:$H,7,FALSE)=BT294,1,0)</f>
        <v>#N/A</v>
      </c>
      <c r="FG294" s="138" t="e">
        <f>IF(VLOOKUP(CONCATENATE(H294,F294,FG$2),Ciencias!$A:$H,7,FALSE)=BU294,1,0)</f>
        <v>#N/A</v>
      </c>
      <c r="FH294" s="138" t="e">
        <f>IF(VLOOKUP(CONCATENATE(H294,F294,FH$2),Ciencias!$A:$H,7,FALSE)=BV294,1,0)</f>
        <v>#N/A</v>
      </c>
      <c r="FI294" s="138" t="e">
        <f>IF(VLOOKUP(CONCATENATE(H294,F294,FI$2),Ciencias!$A:$H,7,FALSE)=BW294,1,0)</f>
        <v>#N/A</v>
      </c>
      <c r="FJ294" s="138" t="e">
        <f>IF(VLOOKUP(CONCATENATE(H294,F294,FJ$2),Ciencias!$A:$H,7,FALSE)=BX294,1,0)</f>
        <v>#N/A</v>
      </c>
      <c r="FK294" s="138" t="e">
        <f>IF(VLOOKUP(CONCATENATE(H294,F294,FK$2),Ciencias!$A:$H,7,FALSE)=BY294,1,0)</f>
        <v>#N/A</v>
      </c>
      <c r="FL294" s="138" t="e">
        <f>IF(VLOOKUP(CONCATENATE(H294,F294,FL$2),Ciencias!$A:$H,7,FALSE)=BZ294,1,0)</f>
        <v>#N/A</v>
      </c>
      <c r="FM294" s="138" t="e">
        <f>IF(VLOOKUP(CONCATENATE(H294,F294,FM$2),Ciencias!$A:$H,7,FALSE)=CA294,1,0)</f>
        <v>#N/A</v>
      </c>
      <c r="FN294" s="138" t="e">
        <f>IF(VLOOKUP(CONCATENATE(H294,F294,FN$2),Ciencias!$A:$H,7,FALSE)=CB294,1,0)</f>
        <v>#N/A</v>
      </c>
      <c r="FO294" s="138" t="e">
        <f>IF(VLOOKUP(CONCATENATE(H294,F294,FO$2),Ciencias!$A:$H,7,FALSE)=CC294,1,0)</f>
        <v>#N/A</v>
      </c>
      <c r="FP294" s="138" t="e">
        <f>IF(VLOOKUP(CONCATENATE(H294,F294,FP$2),GeoHis!$A:$H,7,FALSE)=CD294,1,0)</f>
        <v>#N/A</v>
      </c>
      <c r="FQ294" s="138" t="e">
        <f>IF(VLOOKUP(CONCATENATE(H294,F294,FQ$2),GeoHis!$A:$H,7,FALSE)=CE294,1,0)</f>
        <v>#N/A</v>
      </c>
      <c r="FR294" s="138" t="e">
        <f>IF(VLOOKUP(CONCATENATE(H294,F294,FR$2),GeoHis!$A:$H,7,FALSE)=CF294,1,0)</f>
        <v>#N/A</v>
      </c>
      <c r="FS294" s="138" t="e">
        <f>IF(VLOOKUP(CONCATENATE(H294,F294,FS$2),GeoHis!$A:$H,7,FALSE)=CG294,1,0)</f>
        <v>#N/A</v>
      </c>
      <c r="FT294" s="138" t="e">
        <f>IF(VLOOKUP(CONCATENATE(H294,F294,FT$2),GeoHis!$A:$H,7,FALSE)=CH294,1,0)</f>
        <v>#N/A</v>
      </c>
      <c r="FU294" s="138" t="e">
        <f>IF(VLOOKUP(CONCATENATE(H294,F294,FU$2),GeoHis!$A:$H,7,FALSE)=CI294,1,0)</f>
        <v>#N/A</v>
      </c>
      <c r="FV294" s="138" t="e">
        <f>IF(VLOOKUP(CONCATENATE(H294,F294,FV$2),GeoHis!$A:$H,7,FALSE)=CJ294,1,0)</f>
        <v>#N/A</v>
      </c>
      <c r="FW294" s="138" t="e">
        <f>IF(VLOOKUP(CONCATENATE(H294,F294,FW$2),GeoHis!$A:$H,7,FALSE)=CK294,1,0)</f>
        <v>#N/A</v>
      </c>
      <c r="FX294" s="138" t="e">
        <f>IF(VLOOKUP(CONCATENATE(H294,F294,FX$2),GeoHis!$A:$H,7,FALSE)=CL294,1,0)</f>
        <v>#N/A</v>
      </c>
      <c r="FY294" s="138" t="e">
        <f>IF(VLOOKUP(CONCATENATE(H294,F294,FY$2),GeoHis!$A:$H,7,FALSE)=CM294,1,0)</f>
        <v>#N/A</v>
      </c>
      <c r="FZ294" s="138" t="e">
        <f>IF(VLOOKUP(CONCATENATE(H294,F294,FZ$2),GeoHis!$A:$H,7,FALSE)=CN294,1,0)</f>
        <v>#N/A</v>
      </c>
      <c r="GA294" s="138" t="e">
        <f>IF(VLOOKUP(CONCATENATE(H294,F294,GA$2),GeoHis!$A:$H,7,FALSE)=CO294,1,0)</f>
        <v>#N/A</v>
      </c>
      <c r="GB294" s="138" t="e">
        <f>IF(VLOOKUP(CONCATENATE(H294,F294,GB$2),GeoHis!$A:$H,7,FALSE)=CP294,1,0)</f>
        <v>#N/A</v>
      </c>
      <c r="GC294" s="138" t="e">
        <f>IF(VLOOKUP(CONCATENATE(H294,F294,GC$2),GeoHis!$A:$H,7,FALSE)=CQ294,1,0)</f>
        <v>#N/A</v>
      </c>
      <c r="GD294" s="138" t="e">
        <f>IF(VLOOKUP(CONCATENATE(H294,F294,GD$2),GeoHis!$A:$H,7,FALSE)=CR294,1,0)</f>
        <v>#N/A</v>
      </c>
      <c r="GE294" s="135" t="str">
        <f t="shared" si="39"/>
        <v/>
      </c>
    </row>
    <row r="295" spans="1:187" x14ac:dyDescent="0.25">
      <c r="A295" s="127" t="str">
        <f>IF(C295="","",'Datos Generales'!$A$25)</f>
        <v/>
      </c>
      <c r="D295" s="126" t="str">
        <f t="shared" si="32"/>
        <v/>
      </c>
      <c r="E295" s="126">
        <f t="shared" si="33"/>
        <v>0</v>
      </c>
      <c r="F295" s="126" t="str">
        <f t="shared" si="34"/>
        <v/>
      </c>
      <c r="G295" s="126" t="str">
        <f>IF(C295="","",'Datos Generales'!$D$19)</f>
        <v/>
      </c>
      <c r="H295" s="21" t="str">
        <f>IF(C295="","",'Datos Generales'!$A$19)</f>
        <v/>
      </c>
      <c r="I295" s="126" t="str">
        <f>IF(C295="","",'Datos Generales'!$A$7)</f>
        <v/>
      </c>
      <c r="J295" s="21" t="str">
        <f>IF(C295="","",'Datos Generales'!$A$13)</f>
        <v/>
      </c>
      <c r="K295" s="21" t="str">
        <f>IF(C295="","",'Datos Generales'!$A$10)</f>
        <v/>
      </c>
      <c r="CS295" s="142" t="str">
        <f t="shared" si="35"/>
        <v/>
      </c>
      <c r="CT295" s="142" t="str">
        <f t="shared" si="36"/>
        <v/>
      </c>
      <c r="CU295" s="142" t="str">
        <f t="shared" si="37"/>
        <v/>
      </c>
      <c r="CV295" s="142" t="str">
        <f t="shared" si="38"/>
        <v/>
      </c>
      <c r="CW295" s="142" t="str">
        <f>IF(C295="","",IF('Datos Generales'!$A$19=1,AVERAGE(FP295:GD295),AVERAGE(Captura!FP295:FY295)))</f>
        <v/>
      </c>
      <c r="CX295" s="138" t="e">
        <f>IF(VLOOKUP(CONCATENATE($H$4,$F$4,CX$2),Español!$A:$H,7,FALSE)=L295,1,0)</f>
        <v>#N/A</v>
      </c>
      <c r="CY295" s="138" t="e">
        <f>IF(VLOOKUP(CONCATENATE(H295,F295,CY$2),Español!$A:$H,7,FALSE)=M295,1,0)</f>
        <v>#N/A</v>
      </c>
      <c r="CZ295" s="138" t="e">
        <f>IF(VLOOKUP(CONCATENATE(H295,F295,CZ$2),Español!$A:$H,7,FALSE)=N295,1,0)</f>
        <v>#N/A</v>
      </c>
      <c r="DA295" s="138" t="e">
        <f>IF(VLOOKUP(CONCATENATE(H295,F295,DA$2),Español!$A:$H,7,FALSE)=O295,1,0)</f>
        <v>#N/A</v>
      </c>
      <c r="DB295" s="138" t="e">
        <f>IF(VLOOKUP(CONCATENATE(H295,F295,DB$2),Español!$A:$H,7,FALSE)=P295,1,0)</f>
        <v>#N/A</v>
      </c>
      <c r="DC295" s="138" t="e">
        <f>IF(VLOOKUP(CONCATENATE(H295,F295,DC$2),Español!$A:$H,7,FALSE)=Q295,1,0)</f>
        <v>#N/A</v>
      </c>
      <c r="DD295" s="138" t="e">
        <f>IF(VLOOKUP(CONCATENATE(H295,F295,DD$2),Español!$A:$H,7,FALSE)=R295,1,0)</f>
        <v>#N/A</v>
      </c>
      <c r="DE295" s="138" t="e">
        <f>IF(VLOOKUP(CONCATENATE(H295,F295,DE$2),Español!$A:$H,7,FALSE)=S295,1,0)</f>
        <v>#N/A</v>
      </c>
      <c r="DF295" s="138" t="e">
        <f>IF(VLOOKUP(CONCATENATE(H295,F295,DF$2),Español!$A:$H,7,FALSE)=T295,1,0)</f>
        <v>#N/A</v>
      </c>
      <c r="DG295" s="138" t="e">
        <f>IF(VLOOKUP(CONCATENATE(H295,F295,DG$2),Español!$A:$H,7,FALSE)=U295,1,0)</f>
        <v>#N/A</v>
      </c>
      <c r="DH295" s="138" t="e">
        <f>IF(VLOOKUP(CONCATENATE(H295,F295,DH$2),Español!$A:$H,7,FALSE)=V295,1,0)</f>
        <v>#N/A</v>
      </c>
      <c r="DI295" s="138" t="e">
        <f>IF(VLOOKUP(CONCATENATE(H295,F295,DI$2),Español!$A:$H,7,FALSE)=W295,1,0)</f>
        <v>#N/A</v>
      </c>
      <c r="DJ295" s="138" t="e">
        <f>IF(VLOOKUP(CONCATENATE(H295,F295,DJ$2),Español!$A:$H,7,FALSE)=X295,1,0)</f>
        <v>#N/A</v>
      </c>
      <c r="DK295" s="138" t="e">
        <f>IF(VLOOKUP(CONCATENATE(H295,F295,DK$2),Español!$A:$H,7,FALSE)=Y295,1,0)</f>
        <v>#N/A</v>
      </c>
      <c r="DL295" s="138" t="e">
        <f>IF(VLOOKUP(CONCATENATE(H295,F295,DL$2),Español!$A:$H,7,FALSE)=Z295,1,0)</f>
        <v>#N/A</v>
      </c>
      <c r="DM295" s="138" t="e">
        <f>IF(VLOOKUP(CONCATENATE(H295,F295,DM$2),Español!$A:$H,7,FALSE)=AA295,1,0)</f>
        <v>#N/A</v>
      </c>
      <c r="DN295" s="138" t="e">
        <f>IF(VLOOKUP(CONCATENATE(H295,F295,DN$2),Español!$A:$H,7,FALSE)=AB295,1,0)</f>
        <v>#N/A</v>
      </c>
      <c r="DO295" s="138" t="e">
        <f>IF(VLOOKUP(CONCATENATE(H295,F295,DO$2),Español!$A:$H,7,FALSE)=AC295,1,0)</f>
        <v>#N/A</v>
      </c>
      <c r="DP295" s="138" t="e">
        <f>IF(VLOOKUP(CONCATENATE(H295,F295,DP$2),Español!$A:$H,7,FALSE)=AD295,1,0)</f>
        <v>#N/A</v>
      </c>
      <c r="DQ295" s="138" t="e">
        <f>IF(VLOOKUP(CONCATENATE(H295,F295,DQ$2),Español!$A:$H,7,FALSE)=AE295,1,0)</f>
        <v>#N/A</v>
      </c>
      <c r="DR295" s="138" t="e">
        <f>IF(VLOOKUP(CONCATENATE(H295,F295,DR$2),Inglés!$A:$H,7,FALSE)=AF295,1,0)</f>
        <v>#N/A</v>
      </c>
      <c r="DS295" s="138" t="e">
        <f>IF(VLOOKUP(CONCATENATE(H295,F295,DS$2),Inglés!$A:$H,7,FALSE)=AG295,1,0)</f>
        <v>#N/A</v>
      </c>
      <c r="DT295" s="138" t="e">
        <f>IF(VLOOKUP(CONCATENATE(H295,F295,DT$2),Inglés!$A:$H,7,FALSE)=AH295,1,0)</f>
        <v>#N/A</v>
      </c>
      <c r="DU295" s="138" t="e">
        <f>IF(VLOOKUP(CONCATENATE(H295,F295,DU$2),Inglés!$A:$H,7,FALSE)=AI295,1,0)</f>
        <v>#N/A</v>
      </c>
      <c r="DV295" s="138" t="e">
        <f>IF(VLOOKUP(CONCATENATE(H295,F295,DV$2),Inglés!$A:$H,7,FALSE)=AJ295,1,0)</f>
        <v>#N/A</v>
      </c>
      <c r="DW295" s="138" t="e">
        <f>IF(VLOOKUP(CONCATENATE(H295,F295,DW$2),Inglés!$A:$H,7,FALSE)=AK295,1,0)</f>
        <v>#N/A</v>
      </c>
      <c r="DX295" s="138" t="e">
        <f>IF(VLOOKUP(CONCATENATE(H295,F295,DX$2),Inglés!$A:$H,7,FALSE)=AL295,1,0)</f>
        <v>#N/A</v>
      </c>
      <c r="DY295" s="138" t="e">
        <f>IF(VLOOKUP(CONCATENATE(H295,F295,DY$2),Inglés!$A:$H,7,FALSE)=AM295,1,0)</f>
        <v>#N/A</v>
      </c>
      <c r="DZ295" s="138" t="e">
        <f>IF(VLOOKUP(CONCATENATE(H295,F295,DZ$2),Inglés!$A:$H,7,FALSE)=AN295,1,0)</f>
        <v>#N/A</v>
      </c>
      <c r="EA295" s="138" t="e">
        <f>IF(VLOOKUP(CONCATENATE(H295,F295,EA$2),Inglés!$A:$H,7,FALSE)=AO295,1,0)</f>
        <v>#N/A</v>
      </c>
      <c r="EB295" s="138" t="e">
        <f>IF(VLOOKUP(CONCATENATE(H295,F295,EB$2),Matemáticas!$A:$H,7,FALSE)=AP295,1,0)</f>
        <v>#N/A</v>
      </c>
      <c r="EC295" s="138" t="e">
        <f>IF(VLOOKUP(CONCATENATE(H295,F295,EC$2),Matemáticas!$A:$H,7,FALSE)=AQ295,1,0)</f>
        <v>#N/A</v>
      </c>
      <c r="ED295" s="138" t="e">
        <f>IF(VLOOKUP(CONCATENATE(H295,F295,ED$2),Matemáticas!$A:$H,7,FALSE)=AR295,1,0)</f>
        <v>#N/A</v>
      </c>
      <c r="EE295" s="138" t="e">
        <f>IF(VLOOKUP(CONCATENATE(H295,F295,EE$2),Matemáticas!$A:$H,7,FALSE)=AS295,1,0)</f>
        <v>#N/A</v>
      </c>
      <c r="EF295" s="138" t="e">
        <f>IF(VLOOKUP(CONCATENATE(H295,F295,EF$2),Matemáticas!$A:$H,7,FALSE)=AT295,1,0)</f>
        <v>#N/A</v>
      </c>
      <c r="EG295" s="138" t="e">
        <f>IF(VLOOKUP(CONCATENATE(H295,F295,EG$2),Matemáticas!$A:$H,7,FALSE)=AU295,1,0)</f>
        <v>#N/A</v>
      </c>
      <c r="EH295" s="138" t="e">
        <f>IF(VLOOKUP(CONCATENATE(H295,F295,EH$2),Matemáticas!$A:$H,7,FALSE)=AV295,1,0)</f>
        <v>#N/A</v>
      </c>
      <c r="EI295" s="138" t="e">
        <f>IF(VLOOKUP(CONCATENATE(H295,F295,EI$2),Matemáticas!$A:$H,7,FALSE)=AW295,1,0)</f>
        <v>#N/A</v>
      </c>
      <c r="EJ295" s="138" t="e">
        <f>IF(VLOOKUP(CONCATENATE(H295,F295,EJ$2),Matemáticas!$A:$H,7,FALSE)=AX295,1,0)</f>
        <v>#N/A</v>
      </c>
      <c r="EK295" s="138" t="e">
        <f>IF(VLOOKUP(CONCATENATE(H295,F295,EK$2),Matemáticas!$A:$H,7,FALSE)=AY295,1,0)</f>
        <v>#N/A</v>
      </c>
      <c r="EL295" s="138" t="e">
        <f>IF(VLOOKUP(CONCATENATE(H295,F295,EL$2),Matemáticas!$A:$H,7,FALSE)=AZ295,1,0)</f>
        <v>#N/A</v>
      </c>
      <c r="EM295" s="138" t="e">
        <f>IF(VLOOKUP(CONCATENATE(H295,F295,EM$2),Matemáticas!$A:$H,7,FALSE)=BA295,1,0)</f>
        <v>#N/A</v>
      </c>
      <c r="EN295" s="138" t="e">
        <f>IF(VLOOKUP(CONCATENATE(H295,F295,EN$2),Matemáticas!$A:$H,7,FALSE)=BB295,1,0)</f>
        <v>#N/A</v>
      </c>
      <c r="EO295" s="138" t="e">
        <f>IF(VLOOKUP(CONCATENATE(H295,F295,EO$2),Matemáticas!$A:$H,7,FALSE)=BC295,1,0)</f>
        <v>#N/A</v>
      </c>
      <c r="EP295" s="138" t="e">
        <f>IF(VLOOKUP(CONCATENATE(H295,F295,EP$2),Matemáticas!$A:$H,7,FALSE)=BD295,1,0)</f>
        <v>#N/A</v>
      </c>
      <c r="EQ295" s="138" t="e">
        <f>IF(VLOOKUP(CONCATENATE(H295,F295,EQ$2),Matemáticas!$A:$H,7,FALSE)=BE295,1,0)</f>
        <v>#N/A</v>
      </c>
      <c r="ER295" s="138" t="e">
        <f>IF(VLOOKUP(CONCATENATE(H295,F295,ER$2),Matemáticas!$A:$H,7,FALSE)=BF295,1,0)</f>
        <v>#N/A</v>
      </c>
      <c r="ES295" s="138" t="e">
        <f>IF(VLOOKUP(CONCATENATE(H295,F295,ES$2),Matemáticas!$A:$H,7,FALSE)=BG295,1,0)</f>
        <v>#N/A</v>
      </c>
      <c r="ET295" s="138" t="e">
        <f>IF(VLOOKUP(CONCATENATE(H295,F295,ET$2),Matemáticas!$A:$H,7,FALSE)=BH295,1,0)</f>
        <v>#N/A</v>
      </c>
      <c r="EU295" s="138" t="e">
        <f>IF(VLOOKUP(CONCATENATE(H295,F295,EU$2),Matemáticas!$A:$H,7,FALSE)=BI295,1,0)</f>
        <v>#N/A</v>
      </c>
      <c r="EV295" s="138" t="e">
        <f>IF(VLOOKUP(CONCATENATE(H295,F295,EV$2),Ciencias!$A:$H,7,FALSE)=BJ295,1,0)</f>
        <v>#N/A</v>
      </c>
      <c r="EW295" s="138" t="e">
        <f>IF(VLOOKUP(CONCATENATE(H295,F295,EW$2),Ciencias!$A:$H,7,FALSE)=BK295,1,0)</f>
        <v>#N/A</v>
      </c>
      <c r="EX295" s="138" t="e">
        <f>IF(VLOOKUP(CONCATENATE(H295,F295,EX$2),Ciencias!$A:$H,7,FALSE)=BL295,1,0)</f>
        <v>#N/A</v>
      </c>
      <c r="EY295" s="138" t="e">
        <f>IF(VLOOKUP(CONCATENATE(H295,F295,EY$2),Ciencias!$A:$H,7,FALSE)=BM295,1,0)</f>
        <v>#N/A</v>
      </c>
      <c r="EZ295" s="138" t="e">
        <f>IF(VLOOKUP(CONCATENATE(H295,F295,EZ$2),Ciencias!$A:$H,7,FALSE)=BN295,1,0)</f>
        <v>#N/A</v>
      </c>
      <c r="FA295" s="138" t="e">
        <f>IF(VLOOKUP(CONCATENATE(H295,F295,FA$2),Ciencias!$A:$H,7,FALSE)=BO295,1,0)</f>
        <v>#N/A</v>
      </c>
      <c r="FB295" s="138" t="e">
        <f>IF(VLOOKUP(CONCATENATE(H295,F295,FB$2),Ciencias!$A:$H,7,FALSE)=BP295,1,0)</f>
        <v>#N/A</v>
      </c>
      <c r="FC295" s="138" t="e">
        <f>IF(VLOOKUP(CONCATENATE(H295,F295,FC$2),Ciencias!$A:$H,7,FALSE)=BQ295,1,0)</f>
        <v>#N/A</v>
      </c>
      <c r="FD295" s="138" t="e">
        <f>IF(VLOOKUP(CONCATENATE(H295,F295,FD$2),Ciencias!$A:$H,7,FALSE)=BR295,1,0)</f>
        <v>#N/A</v>
      </c>
      <c r="FE295" s="138" t="e">
        <f>IF(VLOOKUP(CONCATENATE(H295,F295,FE$2),Ciencias!$A:$H,7,FALSE)=BS295,1,0)</f>
        <v>#N/A</v>
      </c>
      <c r="FF295" s="138" t="e">
        <f>IF(VLOOKUP(CONCATENATE(H295,F295,FF$2),Ciencias!$A:$H,7,FALSE)=BT295,1,0)</f>
        <v>#N/A</v>
      </c>
      <c r="FG295" s="138" t="e">
        <f>IF(VLOOKUP(CONCATENATE(H295,F295,FG$2),Ciencias!$A:$H,7,FALSE)=BU295,1,0)</f>
        <v>#N/A</v>
      </c>
      <c r="FH295" s="138" t="e">
        <f>IF(VLOOKUP(CONCATENATE(H295,F295,FH$2),Ciencias!$A:$H,7,FALSE)=BV295,1,0)</f>
        <v>#N/A</v>
      </c>
      <c r="FI295" s="138" t="e">
        <f>IF(VLOOKUP(CONCATENATE(H295,F295,FI$2),Ciencias!$A:$H,7,FALSE)=BW295,1,0)</f>
        <v>#N/A</v>
      </c>
      <c r="FJ295" s="138" t="e">
        <f>IF(VLOOKUP(CONCATENATE(H295,F295,FJ$2),Ciencias!$A:$H,7,FALSE)=BX295,1,0)</f>
        <v>#N/A</v>
      </c>
      <c r="FK295" s="138" t="e">
        <f>IF(VLOOKUP(CONCATENATE(H295,F295,FK$2),Ciencias!$A:$H,7,FALSE)=BY295,1,0)</f>
        <v>#N/A</v>
      </c>
      <c r="FL295" s="138" t="e">
        <f>IF(VLOOKUP(CONCATENATE(H295,F295,FL$2),Ciencias!$A:$H,7,FALSE)=BZ295,1,0)</f>
        <v>#N/A</v>
      </c>
      <c r="FM295" s="138" t="e">
        <f>IF(VLOOKUP(CONCATENATE(H295,F295,FM$2),Ciencias!$A:$H,7,FALSE)=CA295,1,0)</f>
        <v>#N/A</v>
      </c>
      <c r="FN295" s="138" t="e">
        <f>IF(VLOOKUP(CONCATENATE(H295,F295,FN$2),Ciencias!$A:$H,7,FALSE)=CB295,1,0)</f>
        <v>#N/A</v>
      </c>
      <c r="FO295" s="138" t="e">
        <f>IF(VLOOKUP(CONCATENATE(H295,F295,FO$2),Ciencias!$A:$H,7,FALSE)=CC295,1,0)</f>
        <v>#N/A</v>
      </c>
      <c r="FP295" s="138" t="e">
        <f>IF(VLOOKUP(CONCATENATE(H295,F295,FP$2),GeoHis!$A:$H,7,FALSE)=CD295,1,0)</f>
        <v>#N/A</v>
      </c>
      <c r="FQ295" s="138" t="e">
        <f>IF(VLOOKUP(CONCATENATE(H295,F295,FQ$2),GeoHis!$A:$H,7,FALSE)=CE295,1,0)</f>
        <v>#N/A</v>
      </c>
      <c r="FR295" s="138" t="e">
        <f>IF(VLOOKUP(CONCATENATE(H295,F295,FR$2),GeoHis!$A:$H,7,FALSE)=CF295,1,0)</f>
        <v>#N/A</v>
      </c>
      <c r="FS295" s="138" t="e">
        <f>IF(VLOOKUP(CONCATENATE(H295,F295,FS$2),GeoHis!$A:$H,7,FALSE)=CG295,1,0)</f>
        <v>#N/A</v>
      </c>
      <c r="FT295" s="138" t="e">
        <f>IF(VLOOKUP(CONCATENATE(H295,F295,FT$2),GeoHis!$A:$H,7,FALSE)=CH295,1,0)</f>
        <v>#N/A</v>
      </c>
      <c r="FU295" s="138" t="e">
        <f>IF(VLOOKUP(CONCATENATE(H295,F295,FU$2),GeoHis!$A:$H,7,FALSE)=CI295,1,0)</f>
        <v>#N/A</v>
      </c>
      <c r="FV295" s="138" t="e">
        <f>IF(VLOOKUP(CONCATENATE(H295,F295,FV$2),GeoHis!$A:$H,7,FALSE)=CJ295,1,0)</f>
        <v>#N/A</v>
      </c>
      <c r="FW295" s="138" t="e">
        <f>IF(VLOOKUP(CONCATENATE(H295,F295,FW$2),GeoHis!$A:$H,7,FALSE)=CK295,1,0)</f>
        <v>#N/A</v>
      </c>
      <c r="FX295" s="138" t="e">
        <f>IF(VLOOKUP(CONCATENATE(H295,F295,FX$2),GeoHis!$A:$H,7,FALSE)=CL295,1,0)</f>
        <v>#N/A</v>
      </c>
      <c r="FY295" s="138" t="e">
        <f>IF(VLOOKUP(CONCATENATE(H295,F295,FY$2),GeoHis!$A:$H,7,FALSE)=CM295,1,0)</f>
        <v>#N/A</v>
      </c>
      <c r="FZ295" s="138" t="e">
        <f>IF(VLOOKUP(CONCATENATE(H295,F295,FZ$2),GeoHis!$A:$H,7,FALSE)=CN295,1,0)</f>
        <v>#N/A</v>
      </c>
      <c r="GA295" s="138" t="e">
        <f>IF(VLOOKUP(CONCATENATE(H295,F295,GA$2),GeoHis!$A:$H,7,FALSE)=CO295,1,0)</f>
        <v>#N/A</v>
      </c>
      <c r="GB295" s="138" t="e">
        <f>IF(VLOOKUP(CONCATENATE(H295,F295,GB$2),GeoHis!$A:$H,7,FALSE)=CP295,1,0)</f>
        <v>#N/A</v>
      </c>
      <c r="GC295" s="138" t="e">
        <f>IF(VLOOKUP(CONCATENATE(H295,F295,GC$2),GeoHis!$A:$H,7,FALSE)=CQ295,1,0)</f>
        <v>#N/A</v>
      </c>
      <c r="GD295" s="138" t="e">
        <f>IF(VLOOKUP(CONCATENATE(H295,F295,GD$2),GeoHis!$A:$H,7,FALSE)=CR295,1,0)</f>
        <v>#N/A</v>
      </c>
      <c r="GE295" s="135" t="str">
        <f t="shared" si="39"/>
        <v/>
      </c>
    </row>
    <row r="296" spans="1:187" x14ac:dyDescent="0.25">
      <c r="A296" s="127" t="str">
        <f>IF(C296="","",'Datos Generales'!$A$25)</f>
        <v/>
      </c>
      <c r="D296" s="126" t="str">
        <f t="shared" si="32"/>
        <v/>
      </c>
      <c r="E296" s="126">
        <f t="shared" si="33"/>
        <v>0</v>
      </c>
      <c r="F296" s="126" t="str">
        <f t="shared" si="34"/>
        <v/>
      </c>
      <c r="G296" s="126" t="str">
        <f>IF(C296="","",'Datos Generales'!$D$19)</f>
        <v/>
      </c>
      <c r="H296" s="21" t="str">
        <f>IF(C296="","",'Datos Generales'!$A$19)</f>
        <v/>
      </c>
      <c r="I296" s="126" t="str">
        <f>IF(C296="","",'Datos Generales'!$A$7)</f>
        <v/>
      </c>
      <c r="J296" s="21" t="str">
        <f>IF(C296="","",'Datos Generales'!$A$13)</f>
        <v/>
      </c>
      <c r="K296" s="21" t="str">
        <f>IF(C296="","",'Datos Generales'!$A$10)</f>
        <v/>
      </c>
      <c r="CS296" s="142" t="str">
        <f t="shared" si="35"/>
        <v/>
      </c>
      <c r="CT296" s="142" t="str">
        <f t="shared" si="36"/>
        <v/>
      </c>
      <c r="CU296" s="142" t="str">
        <f t="shared" si="37"/>
        <v/>
      </c>
      <c r="CV296" s="142" t="str">
        <f t="shared" si="38"/>
        <v/>
      </c>
      <c r="CW296" s="142" t="str">
        <f>IF(C296="","",IF('Datos Generales'!$A$19=1,AVERAGE(FP296:GD296),AVERAGE(Captura!FP296:FY296)))</f>
        <v/>
      </c>
      <c r="CX296" s="138" t="e">
        <f>IF(VLOOKUP(CONCATENATE($H$4,$F$4,CX$2),Español!$A:$H,7,FALSE)=L296,1,0)</f>
        <v>#N/A</v>
      </c>
      <c r="CY296" s="138" t="e">
        <f>IF(VLOOKUP(CONCATENATE(H296,F296,CY$2),Español!$A:$H,7,FALSE)=M296,1,0)</f>
        <v>#N/A</v>
      </c>
      <c r="CZ296" s="138" t="e">
        <f>IF(VLOOKUP(CONCATENATE(H296,F296,CZ$2),Español!$A:$H,7,FALSE)=N296,1,0)</f>
        <v>#N/A</v>
      </c>
      <c r="DA296" s="138" t="e">
        <f>IF(VLOOKUP(CONCATENATE(H296,F296,DA$2),Español!$A:$H,7,FALSE)=O296,1,0)</f>
        <v>#N/A</v>
      </c>
      <c r="DB296" s="138" t="e">
        <f>IF(VLOOKUP(CONCATENATE(H296,F296,DB$2),Español!$A:$H,7,FALSE)=P296,1,0)</f>
        <v>#N/A</v>
      </c>
      <c r="DC296" s="138" t="e">
        <f>IF(VLOOKUP(CONCATENATE(H296,F296,DC$2),Español!$A:$H,7,FALSE)=Q296,1,0)</f>
        <v>#N/A</v>
      </c>
      <c r="DD296" s="138" t="e">
        <f>IF(VLOOKUP(CONCATENATE(H296,F296,DD$2),Español!$A:$H,7,FALSE)=R296,1,0)</f>
        <v>#N/A</v>
      </c>
      <c r="DE296" s="138" t="e">
        <f>IF(VLOOKUP(CONCATENATE(H296,F296,DE$2),Español!$A:$H,7,FALSE)=S296,1,0)</f>
        <v>#N/A</v>
      </c>
      <c r="DF296" s="138" t="e">
        <f>IF(VLOOKUP(CONCATENATE(H296,F296,DF$2),Español!$A:$H,7,FALSE)=T296,1,0)</f>
        <v>#N/A</v>
      </c>
      <c r="DG296" s="138" t="e">
        <f>IF(VLOOKUP(CONCATENATE(H296,F296,DG$2),Español!$A:$H,7,FALSE)=U296,1,0)</f>
        <v>#N/A</v>
      </c>
      <c r="DH296" s="138" t="e">
        <f>IF(VLOOKUP(CONCATENATE(H296,F296,DH$2),Español!$A:$H,7,FALSE)=V296,1,0)</f>
        <v>#N/A</v>
      </c>
      <c r="DI296" s="138" t="e">
        <f>IF(VLOOKUP(CONCATENATE(H296,F296,DI$2),Español!$A:$H,7,FALSE)=W296,1,0)</f>
        <v>#N/A</v>
      </c>
      <c r="DJ296" s="138" t="e">
        <f>IF(VLOOKUP(CONCATENATE(H296,F296,DJ$2),Español!$A:$H,7,FALSE)=X296,1,0)</f>
        <v>#N/A</v>
      </c>
      <c r="DK296" s="138" t="e">
        <f>IF(VLOOKUP(CONCATENATE(H296,F296,DK$2),Español!$A:$H,7,FALSE)=Y296,1,0)</f>
        <v>#N/A</v>
      </c>
      <c r="DL296" s="138" t="e">
        <f>IF(VLOOKUP(CONCATENATE(H296,F296,DL$2),Español!$A:$H,7,FALSE)=Z296,1,0)</f>
        <v>#N/A</v>
      </c>
      <c r="DM296" s="138" t="e">
        <f>IF(VLOOKUP(CONCATENATE(H296,F296,DM$2),Español!$A:$H,7,FALSE)=AA296,1,0)</f>
        <v>#N/A</v>
      </c>
      <c r="DN296" s="138" t="e">
        <f>IF(VLOOKUP(CONCATENATE(H296,F296,DN$2),Español!$A:$H,7,FALSE)=AB296,1,0)</f>
        <v>#N/A</v>
      </c>
      <c r="DO296" s="138" t="e">
        <f>IF(VLOOKUP(CONCATENATE(H296,F296,DO$2),Español!$A:$H,7,FALSE)=AC296,1,0)</f>
        <v>#N/A</v>
      </c>
      <c r="DP296" s="138" t="e">
        <f>IF(VLOOKUP(CONCATENATE(H296,F296,DP$2),Español!$A:$H,7,FALSE)=AD296,1,0)</f>
        <v>#N/A</v>
      </c>
      <c r="DQ296" s="138" t="e">
        <f>IF(VLOOKUP(CONCATENATE(H296,F296,DQ$2),Español!$A:$H,7,FALSE)=AE296,1,0)</f>
        <v>#N/A</v>
      </c>
      <c r="DR296" s="138" t="e">
        <f>IF(VLOOKUP(CONCATENATE(H296,F296,DR$2),Inglés!$A:$H,7,FALSE)=AF296,1,0)</f>
        <v>#N/A</v>
      </c>
      <c r="DS296" s="138" t="e">
        <f>IF(VLOOKUP(CONCATENATE(H296,F296,DS$2),Inglés!$A:$H,7,FALSE)=AG296,1,0)</f>
        <v>#N/A</v>
      </c>
      <c r="DT296" s="138" t="e">
        <f>IF(VLOOKUP(CONCATENATE(H296,F296,DT$2),Inglés!$A:$H,7,FALSE)=AH296,1,0)</f>
        <v>#N/A</v>
      </c>
      <c r="DU296" s="138" t="e">
        <f>IF(VLOOKUP(CONCATENATE(H296,F296,DU$2),Inglés!$A:$H,7,FALSE)=AI296,1,0)</f>
        <v>#N/A</v>
      </c>
      <c r="DV296" s="138" t="e">
        <f>IF(VLOOKUP(CONCATENATE(H296,F296,DV$2),Inglés!$A:$H,7,FALSE)=AJ296,1,0)</f>
        <v>#N/A</v>
      </c>
      <c r="DW296" s="138" t="e">
        <f>IF(VLOOKUP(CONCATENATE(H296,F296,DW$2),Inglés!$A:$H,7,FALSE)=AK296,1,0)</f>
        <v>#N/A</v>
      </c>
      <c r="DX296" s="138" t="e">
        <f>IF(VLOOKUP(CONCATENATE(H296,F296,DX$2),Inglés!$A:$H,7,FALSE)=AL296,1,0)</f>
        <v>#N/A</v>
      </c>
      <c r="DY296" s="138" t="e">
        <f>IF(VLOOKUP(CONCATENATE(H296,F296,DY$2),Inglés!$A:$H,7,FALSE)=AM296,1,0)</f>
        <v>#N/A</v>
      </c>
      <c r="DZ296" s="138" t="e">
        <f>IF(VLOOKUP(CONCATENATE(H296,F296,DZ$2),Inglés!$A:$H,7,FALSE)=AN296,1,0)</f>
        <v>#N/A</v>
      </c>
      <c r="EA296" s="138" t="e">
        <f>IF(VLOOKUP(CONCATENATE(H296,F296,EA$2),Inglés!$A:$H,7,FALSE)=AO296,1,0)</f>
        <v>#N/A</v>
      </c>
      <c r="EB296" s="138" t="e">
        <f>IF(VLOOKUP(CONCATENATE(H296,F296,EB$2),Matemáticas!$A:$H,7,FALSE)=AP296,1,0)</f>
        <v>#N/A</v>
      </c>
      <c r="EC296" s="138" t="e">
        <f>IF(VLOOKUP(CONCATENATE(H296,F296,EC$2),Matemáticas!$A:$H,7,FALSE)=AQ296,1,0)</f>
        <v>#N/A</v>
      </c>
      <c r="ED296" s="138" t="e">
        <f>IF(VLOOKUP(CONCATENATE(H296,F296,ED$2),Matemáticas!$A:$H,7,FALSE)=AR296,1,0)</f>
        <v>#N/A</v>
      </c>
      <c r="EE296" s="138" t="e">
        <f>IF(VLOOKUP(CONCATENATE(H296,F296,EE$2),Matemáticas!$A:$H,7,FALSE)=AS296,1,0)</f>
        <v>#N/A</v>
      </c>
      <c r="EF296" s="138" t="e">
        <f>IF(VLOOKUP(CONCATENATE(H296,F296,EF$2),Matemáticas!$A:$H,7,FALSE)=AT296,1,0)</f>
        <v>#N/A</v>
      </c>
      <c r="EG296" s="138" t="e">
        <f>IF(VLOOKUP(CONCATENATE(H296,F296,EG$2),Matemáticas!$A:$H,7,FALSE)=AU296,1,0)</f>
        <v>#N/A</v>
      </c>
      <c r="EH296" s="138" t="e">
        <f>IF(VLOOKUP(CONCATENATE(H296,F296,EH$2),Matemáticas!$A:$H,7,FALSE)=AV296,1,0)</f>
        <v>#N/A</v>
      </c>
      <c r="EI296" s="138" t="e">
        <f>IF(VLOOKUP(CONCATENATE(H296,F296,EI$2),Matemáticas!$A:$H,7,FALSE)=AW296,1,0)</f>
        <v>#N/A</v>
      </c>
      <c r="EJ296" s="138" t="e">
        <f>IF(VLOOKUP(CONCATENATE(H296,F296,EJ$2),Matemáticas!$A:$H,7,FALSE)=AX296,1,0)</f>
        <v>#N/A</v>
      </c>
      <c r="EK296" s="138" t="e">
        <f>IF(VLOOKUP(CONCATENATE(H296,F296,EK$2),Matemáticas!$A:$H,7,FALSE)=AY296,1,0)</f>
        <v>#N/A</v>
      </c>
      <c r="EL296" s="138" t="e">
        <f>IF(VLOOKUP(CONCATENATE(H296,F296,EL$2),Matemáticas!$A:$H,7,FALSE)=AZ296,1,0)</f>
        <v>#N/A</v>
      </c>
      <c r="EM296" s="138" t="e">
        <f>IF(VLOOKUP(CONCATENATE(H296,F296,EM$2),Matemáticas!$A:$H,7,FALSE)=BA296,1,0)</f>
        <v>#N/A</v>
      </c>
      <c r="EN296" s="138" t="e">
        <f>IF(VLOOKUP(CONCATENATE(H296,F296,EN$2),Matemáticas!$A:$H,7,FALSE)=BB296,1,0)</f>
        <v>#N/A</v>
      </c>
      <c r="EO296" s="138" t="e">
        <f>IF(VLOOKUP(CONCATENATE(H296,F296,EO$2),Matemáticas!$A:$H,7,FALSE)=BC296,1,0)</f>
        <v>#N/A</v>
      </c>
      <c r="EP296" s="138" t="e">
        <f>IF(VLOOKUP(CONCATENATE(H296,F296,EP$2),Matemáticas!$A:$H,7,FALSE)=BD296,1,0)</f>
        <v>#N/A</v>
      </c>
      <c r="EQ296" s="138" t="e">
        <f>IF(VLOOKUP(CONCATENATE(H296,F296,EQ$2),Matemáticas!$A:$H,7,FALSE)=BE296,1,0)</f>
        <v>#N/A</v>
      </c>
      <c r="ER296" s="138" t="e">
        <f>IF(VLOOKUP(CONCATENATE(H296,F296,ER$2),Matemáticas!$A:$H,7,FALSE)=BF296,1,0)</f>
        <v>#N/A</v>
      </c>
      <c r="ES296" s="138" t="e">
        <f>IF(VLOOKUP(CONCATENATE(H296,F296,ES$2),Matemáticas!$A:$H,7,FALSE)=BG296,1,0)</f>
        <v>#N/A</v>
      </c>
      <c r="ET296" s="138" t="e">
        <f>IF(VLOOKUP(CONCATENATE(H296,F296,ET$2),Matemáticas!$A:$H,7,FALSE)=BH296,1,0)</f>
        <v>#N/A</v>
      </c>
      <c r="EU296" s="138" t="e">
        <f>IF(VLOOKUP(CONCATENATE(H296,F296,EU$2),Matemáticas!$A:$H,7,FALSE)=BI296,1,0)</f>
        <v>#N/A</v>
      </c>
      <c r="EV296" s="138" t="e">
        <f>IF(VLOOKUP(CONCATENATE(H296,F296,EV$2),Ciencias!$A:$H,7,FALSE)=BJ296,1,0)</f>
        <v>#N/A</v>
      </c>
      <c r="EW296" s="138" t="e">
        <f>IF(VLOOKUP(CONCATENATE(H296,F296,EW$2),Ciencias!$A:$H,7,FALSE)=BK296,1,0)</f>
        <v>#N/A</v>
      </c>
      <c r="EX296" s="138" t="e">
        <f>IF(VLOOKUP(CONCATENATE(H296,F296,EX$2),Ciencias!$A:$H,7,FALSE)=BL296,1,0)</f>
        <v>#N/A</v>
      </c>
      <c r="EY296" s="138" t="e">
        <f>IF(VLOOKUP(CONCATENATE(H296,F296,EY$2),Ciencias!$A:$H,7,FALSE)=BM296,1,0)</f>
        <v>#N/A</v>
      </c>
      <c r="EZ296" s="138" t="e">
        <f>IF(VLOOKUP(CONCATENATE(H296,F296,EZ$2),Ciencias!$A:$H,7,FALSE)=BN296,1,0)</f>
        <v>#N/A</v>
      </c>
      <c r="FA296" s="138" t="e">
        <f>IF(VLOOKUP(CONCATENATE(H296,F296,FA$2),Ciencias!$A:$H,7,FALSE)=BO296,1,0)</f>
        <v>#N/A</v>
      </c>
      <c r="FB296" s="138" t="e">
        <f>IF(VLOOKUP(CONCATENATE(H296,F296,FB$2),Ciencias!$A:$H,7,FALSE)=BP296,1,0)</f>
        <v>#N/A</v>
      </c>
      <c r="FC296" s="138" t="e">
        <f>IF(VLOOKUP(CONCATENATE(H296,F296,FC$2),Ciencias!$A:$H,7,FALSE)=BQ296,1,0)</f>
        <v>#N/A</v>
      </c>
      <c r="FD296" s="138" t="e">
        <f>IF(VLOOKUP(CONCATENATE(H296,F296,FD$2),Ciencias!$A:$H,7,FALSE)=BR296,1,0)</f>
        <v>#N/A</v>
      </c>
      <c r="FE296" s="138" t="e">
        <f>IF(VLOOKUP(CONCATENATE(H296,F296,FE$2),Ciencias!$A:$H,7,FALSE)=BS296,1,0)</f>
        <v>#N/A</v>
      </c>
      <c r="FF296" s="138" t="e">
        <f>IF(VLOOKUP(CONCATENATE(H296,F296,FF$2),Ciencias!$A:$H,7,FALSE)=BT296,1,0)</f>
        <v>#N/A</v>
      </c>
      <c r="FG296" s="138" t="e">
        <f>IF(VLOOKUP(CONCATENATE(H296,F296,FG$2),Ciencias!$A:$H,7,FALSE)=BU296,1,0)</f>
        <v>#N/A</v>
      </c>
      <c r="FH296" s="138" t="e">
        <f>IF(VLOOKUP(CONCATENATE(H296,F296,FH$2),Ciencias!$A:$H,7,FALSE)=BV296,1,0)</f>
        <v>#N/A</v>
      </c>
      <c r="FI296" s="138" t="e">
        <f>IF(VLOOKUP(CONCATENATE(H296,F296,FI$2),Ciencias!$A:$H,7,FALSE)=BW296,1,0)</f>
        <v>#N/A</v>
      </c>
      <c r="FJ296" s="138" t="e">
        <f>IF(VLOOKUP(CONCATENATE(H296,F296,FJ$2),Ciencias!$A:$H,7,FALSE)=BX296,1,0)</f>
        <v>#N/A</v>
      </c>
      <c r="FK296" s="138" t="e">
        <f>IF(VLOOKUP(CONCATENATE(H296,F296,FK$2),Ciencias!$A:$H,7,FALSE)=BY296,1,0)</f>
        <v>#N/A</v>
      </c>
      <c r="FL296" s="138" t="e">
        <f>IF(VLOOKUP(CONCATENATE(H296,F296,FL$2),Ciencias!$A:$H,7,FALSE)=BZ296,1,0)</f>
        <v>#N/A</v>
      </c>
      <c r="FM296" s="138" t="e">
        <f>IF(VLOOKUP(CONCATENATE(H296,F296,FM$2),Ciencias!$A:$H,7,FALSE)=CA296,1,0)</f>
        <v>#N/A</v>
      </c>
      <c r="FN296" s="138" t="e">
        <f>IF(VLOOKUP(CONCATENATE(H296,F296,FN$2),Ciencias!$A:$H,7,FALSE)=CB296,1,0)</f>
        <v>#N/A</v>
      </c>
      <c r="FO296" s="138" t="e">
        <f>IF(VLOOKUP(CONCATENATE(H296,F296,FO$2),Ciencias!$A:$H,7,FALSE)=CC296,1,0)</f>
        <v>#N/A</v>
      </c>
      <c r="FP296" s="138" t="e">
        <f>IF(VLOOKUP(CONCATENATE(H296,F296,FP$2),GeoHis!$A:$H,7,FALSE)=CD296,1,0)</f>
        <v>#N/A</v>
      </c>
      <c r="FQ296" s="138" t="e">
        <f>IF(VLOOKUP(CONCATENATE(H296,F296,FQ$2),GeoHis!$A:$H,7,FALSE)=CE296,1,0)</f>
        <v>#N/A</v>
      </c>
      <c r="FR296" s="138" t="e">
        <f>IF(VLOOKUP(CONCATENATE(H296,F296,FR$2),GeoHis!$A:$H,7,FALSE)=CF296,1,0)</f>
        <v>#N/A</v>
      </c>
      <c r="FS296" s="138" t="e">
        <f>IF(VLOOKUP(CONCATENATE(H296,F296,FS$2),GeoHis!$A:$H,7,FALSE)=CG296,1,0)</f>
        <v>#N/A</v>
      </c>
      <c r="FT296" s="138" t="e">
        <f>IF(VLOOKUP(CONCATENATE(H296,F296,FT$2),GeoHis!$A:$H,7,FALSE)=CH296,1,0)</f>
        <v>#N/A</v>
      </c>
      <c r="FU296" s="138" t="e">
        <f>IF(VLOOKUP(CONCATENATE(H296,F296,FU$2),GeoHis!$A:$H,7,FALSE)=CI296,1,0)</f>
        <v>#N/A</v>
      </c>
      <c r="FV296" s="138" t="e">
        <f>IF(VLOOKUP(CONCATENATE(H296,F296,FV$2),GeoHis!$A:$H,7,FALSE)=CJ296,1,0)</f>
        <v>#N/A</v>
      </c>
      <c r="FW296" s="138" t="e">
        <f>IF(VLOOKUP(CONCATENATE(H296,F296,FW$2),GeoHis!$A:$H,7,FALSE)=CK296,1,0)</f>
        <v>#N/A</v>
      </c>
      <c r="FX296" s="138" t="e">
        <f>IF(VLOOKUP(CONCATENATE(H296,F296,FX$2),GeoHis!$A:$H,7,FALSE)=CL296,1,0)</f>
        <v>#N/A</v>
      </c>
      <c r="FY296" s="138" t="e">
        <f>IF(VLOOKUP(CONCATENATE(H296,F296,FY$2),GeoHis!$A:$H,7,FALSE)=CM296,1,0)</f>
        <v>#N/A</v>
      </c>
      <c r="FZ296" s="138" t="e">
        <f>IF(VLOOKUP(CONCATENATE(H296,F296,FZ$2),GeoHis!$A:$H,7,FALSE)=CN296,1,0)</f>
        <v>#N/A</v>
      </c>
      <c r="GA296" s="138" t="e">
        <f>IF(VLOOKUP(CONCATENATE(H296,F296,GA$2),GeoHis!$A:$H,7,FALSE)=CO296,1,0)</f>
        <v>#N/A</v>
      </c>
      <c r="GB296" s="138" t="e">
        <f>IF(VLOOKUP(CONCATENATE(H296,F296,GB$2),GeoHis!$A:$H,7,FALSE)=CP296,1,0)</f>
        <v>#N/A</v>
      </c>
      <c r="GC296" s="138" t="e">
        <f>IF(VLOOKUP(CONCATENATE(H296,F296,GC$2),GeoHis!$A:$H,7,FALSE)=CQ296,1,0)</f>
        <v>#N/A</v>
      </c>
      <c r="GD296" s="138" t="e">
        <f>IF(VLOOKUP(CONCATENATE(H296,F296,GD$2),GeoHis!$A:$H,7,FALSE)=CR296,1,0)</f>
        <v>#N/A</v>
      </c>
      <c r="GE296" s="135" t="str">
        <f t="shared" si="39"/>
        <v/>
      </c>
    </row>
    <row r="297" spans="1:187" x14ac:dyDescent="0.25">
      <c r="A297" s="127" t="str">
        <f>IF(C297="","",'Datos Generales'!$A$25)</f>
        <v/>
      </c>
      <c r="D297" s="126" t="str">
        <f t="shared" si="32"/>
        <v/>
      </c>
      <c r="E297" s="126">
        <f t="shared" si="33"/>
        <v>0</v>
      </c>
      <c r="F297" s="126" t="str">
        <f t="shared" si="34"/>
        <v/>
      </c>
      <c r="G297" s="126" t="str">
        <f>IF(C297="","",'Datos Generales'!$D$19)</f>
        <v/>
      </c>
      <c r="H297" s="21" t="str">
        <f>IF(C297="","",'Datos Generales'!$A$19)</f>
        <v/>
      </c>
      <c r="I297" s="126" t="str">
        <f>IF(C297="","",'Datos Generales'!$A$7)</f>
        <v/>
      </c>
      <c r="J297" s="21" t="str">
        <f>IF(C297="","",'Datos Generales'!$A$13)</f>
        <v/>
      </c>
      <c r="K297" s="21" t="str">
        <f>IF(C297="","",'Datos Generales'!$A$10)</f>
        <v/>
      </c>
      <c r="CS297" s="142" t="str">
        <f t="shared" si="35"/>
        <v/>
      </c>
      <c r="CT297" s="142" t="str">
        <f t="shared" si="36"/>
        <v/>
      </c>
      <c r="CU297" s="142" t="str">
        <f t="shared" si="37"/>
        <v/>
      </c>
      <c r="CV297" s="142" t="str">
        <f t="shared" si="38"/>
        <v/>
      </c>
      <c r="CW297" s="142" t="str">
        <f>IF(C297="","",IF('Datos Generales'!$A$19=1,AVERAGE(FP297:GD297),AVERAGE(Captura!FP297:FY297)))</f>
        <v/>
      </c>
      <c r="CX297" s="138" t="e">
        <f>IF(VLOOKUP(CONCATENATE($H$4,$F$4,CX$2),Español!$A:$H,7,FALSE)=L297,1,0)</f>
        <v>#N/A</v>
      </c>
      <c r="CY297" s="138" t="e">
        <f>IF(VLOOKUP(CONCATENATE(H297,F297,CY$2),Español!$A:$H,7,FALSE)=M297,1,0)</f>
        <v>#N/A</v>
      </c>
      <c r="CZ297" s="138" t="e">
        <f>IF(VLOOKUP(CONCATENATE(H297,F297,CZ$2),Español!$A:$H,7,FALSE)=N297,1,0)</f>
        <v>#N/A</v>
      </c>
      <c r="DA297" s="138" t="e">
        <f>IF(VLOOKUP(CONCATENATE(H297,F297,DA$2),Español!$A:$H,7,FALSE)=O297,1,0)</f>
        <v>#N/A</v>
      </c>
      <c r="DB297" s="138" t="e">
        <f>IF(VLOOKUP(CONCATENATE(H297,F297,DB$2),Español!$A:$H,7,FALSE)=P297,1,0)</f>
        <v>#N/A</v>
      </c>
      <c r="DC297" s="138" t="e">
        <f>IF(VLOOKUP(CONCATENATE(H297,F297,DC$2),Español!$A:$H,7,FALSE)=Q297,1,0)</f>
        <v>#N/A</v>
      </c>
      <c r="DD297" s="138" t="e">
        <f>IF(VLOOKUP(CONCATENATE(H297,F297,DD$2),Español!$A:$H,7,FALSE)=R297,1,0)</f>
        <v>#N/A</v>
      </c>
      <c r="DE297" s="138" t="e">
        <f>IF(VLOOKUP(CONCATENATE(H297,F297,DE$2),Español!$A:$H,7,FALSE)=S297,1,0)</f>
        <v>#N/A</v>
      </c>
      <c r="DF297" s="138" t="e">
        <f>IF(VLOOKUP(CONCATENATE(H297,F297,DF$2),Español!$A:$H,7,FALSE)=T297,1,0)</f>
        <v>#N/A</v>
      </c>
      <c r="DG297" s="138" t="e">
        <f>IF(VLOOKUP(CONCATENATE(H297,F297,DG$2),Español!$A:$H,7,FALSE)=U297,1,0)</f>
        <v>#N/A</v>
      </c>
      <c r="DH297" s="138" t="e">
        <f>IF(VLOOKUP(CONCATENATE(H297,F297,DH$2),Español!$A:$H,7,FALSE)=V297,1,0)</f>
        <v>#N/A</v>
      </c>
      <c r="DI297" s="138" t="e">
        <f>IF(VLOOKUP(CONCATENATE(H297,F297,DI$2),Español!$A:$H,7,FALSE)=W297,1,0)</f>
        <v>#N/A</v>
      </c>
      <c r="DJ297" s="138" t="e">
        <f>IF(VLOOKUP(CONCATENATE(H297,F297,DJ$2),Español!$A:$H,7,FALSE)=X297,1,0)</f>
        <v>#N/A</v>
      </c>
      <c r="DK297" s="138" t="e">
        <f>IF(VLOOKUP(CONCATENATE(H297,F297,DK$2),Español!$A:$H,7,FALSE)=Y297,1,0)</f>
        <v>#N/A</v>
      </c>
      <c r="DL297" s="138" t="e">
        <f>IF(VLOOKUP(CONCATENATE(H297,F297,DL$2),Español!$A:$H,7,FALSE)=Z297,1,0)</f>
        <v>#N/A</v>
      </c>
      <c r="DM297" s="138" t="e">
        <f>IF(VLOOKUP(CONCATENATE(H297,F297,DM$2),Español!$A:$H,7,FALSE)=AA297,1,0)</f>
        <v>#N/A</v>
      </c>
      <c r="DN297" s="138" t="e">
        <f>IF(VLOOKUP(CONCATENATE(H297,F297,DN$2),Español!$A:$H,7,FALSE)=AB297,1,0)</f>
        <v>#N/A</v>
      </c>
      <c r="DO297" s="138" t="e">
        <f>IF(VLOOKUP(CONCATENATE(H297,F297,DO$2),Español!$A:$H,7,FALSE)=AC297,1,0)</f>
        <v>#N/A</v>
      </c>
      <c r="DP297" s="138" t="e">
        <f>IF(VLOOKUP(CONCATENATE(H297,F297,DP$2),Español!$A:$H,7,FALSE)=AD297,1,0)</f>
        <v>#N/A</v>
      </c>
      <c r="DQ297" s="138" t="e">
        <f>IF(VLOOKUP(CONCATENATE(H297,F297,DQ$2),Español!$A:$H,7,FALSE)=AE297,1,0)</f>
        <v>#N/A</v>
      </c>
      <c r="DR297" s="138" t="e">
        <f>IF(VLOOKUP(CONCATENATE(H297,F297,DR$2),Inglés!$A:$H,7,FALSE)=AF297,1,0)</f>
        <v>#N/A</v>
      </c>
      <c r="DS297" s="138" t="e">
        <f>IF(VLOOKUP(CONCATENATE(H297,F297,DS$2),Inglés!$A:$H,7,FALSE)=AG297,1,0)</f>
        <v>#N/A</v>
      </c>
      <c r="DT297" s="138" t="e">
        <f>IF(VLOOKUP(CONCATENATE(H297,F297,DT$2),Inglés!$A:$H,7,FALSE)=AH297,1,0)</f>
        <v>#N/A</v>
      </c>
      <c r="DU297" s="138" t="e">
        <f>IF(VLOOKUP(CONCATENATE(H297,F297,DU$2),Inglés!$A:$H,7,FALSE)=AI297,1,0)</f>
        <v>#N/A</v>
      </c>
      <c r="DV297" s="138" t="e">
        <f>IF(VLOOKUP(CONCATENATE(H297,F297,DV$2),Inglés!$A:$H,7,FALSE)=AJ297,1,0)</f>
        <v>#N/A</v>
      </c>
      <c r="DW297" s="138" t="e">
        <f>IF(VLOOKUP(CONCATENATE(H297,F297,DW$2),Inglés!$A:$H,7,FALSE)=AK297,1,0)</f>
        <v>#N/A</v>
      </c>
      <c r="DX297" s="138" t="e">
        <f>IF(VLOOKUP(CONCATENATE(H297,F297,DX$2),Inglés!$A:$H,7,FALSE)=AL297,1,0)</f>
        <v>#N/A</v>
      </c>
      <c r="DY297" s="138" t="e">
        <f>IF(VLOOKUP(CONCATENATE(H297,F297,DY$2),Inglés!$A:$H,7,FALSE)=AM297,1,0)</f>
        <v>#N/A</v>
      </c>
      <c r="DZ297" s="138" t="e">
        <f>IF(VLOOKUP(CONCATENATE(H297,F297,DZ$2),Inglés!$A:$H,7,FALSE)=AN297,1,0)</f>
        <v>#N/A</v>
      </c>
      <c r="EA297" s="138" t="e">
        <f>IF(VLOOKUP(CONCATENATE(H297,F297,EA$2),Inglés!$A:$H,7,FALSE)=AO297,1,0)</f>
        <v>#N/A</v>
      </c>
      <c r="EB297" s="138" t="e">
        <f>IF(VLOOKUP(CONCATENATE(H297,F297,EB$2),Matemáticas!$A:$H,7,FALSE)=AP297,1,0)</f>
        <v>#N/A</v>
      </c>
      <c r="EC297" s="138" t="e">
        <f>IF(VLOOKUP(CONCATENATE(H297,F297,EC$2),Matemáticas!$A:$H,7,FALSE)=AQ297,1,0)</f>
        <v>#N/A</v>
      </c>
      <c r="ED297" s="138" t="e">
        <f>IF(VLOOKUP(CONCATENATE(H297,F297,ED$2),Matemáticas!$A:$H,7,FALSE)=AR297,1,0)</f>
        <v>#N/A</v>
      </c>
      <c r="EE297" s="138" t="e">
        <f>IF(VLOOKUP(CONCATENATE(H297,F297,EE$2),Matemáticas!$A:$H,7,FALSE)=AS297,1,0)</f>
        <v>#N/A</v>
      </c>
      <c r="EF297" s="138" t="e">
        <f>IF(VLOOKUP(CONCATENATE(H297,F297,EF$2),Matemáticas!$A:$H,7,FALSE)=AT297,1,0)</f>
        <v>#N/A</v>
      </c>
      <c r="EG297" s="138" t="e">
        <f>IF(VLOOKUP(CONCATENATE(H297,F297,EG$2),Matemáticas!$A:$H,7,FALSE)=AU297,1,0)</f>
        <v>#N/A</v>
      </c>
      <c r="EH297" s="138" t="e">
        <f>IF(VLOOKUP(CONCATENATE(H297,F297,EH$2),Matemáticas!$A:$H,7,FALSE)=AV297,1,0)</f>
        <v>#N/A</v>
      </c>
      <c r="EI297" s="138" t="e">
        <f>IF(VLOOKUP(CONCATENATE(H297,F297,EI$2),Matemáticas!$A:$H,7,FALSE)=AW297,1,0)</f>
        <v>#N/A</v>
      </c>
      <c r="EJ297" s="138" t="e">
        <f>IF(VLOOKUP(CONCATENATE(H297,F297,EJ$2),Matemáticas!$A:$H,7,FALSE)=AX297,1,0)</f>
        <v>#N/A</v>
      </c>
      <c r="EK297" s="138" t="e">
        <f>IF(VLOOKUP(CONCATENATE(H297,F297,EK$2),Matemáticas!$A:$H,7,FALSE)=AY297,1,0)</f>
        <v>#N/A</v>
      </c>
      <c r="EL297" s="138" t="e">
        <f>IF(VLOOKUP(CONCATENATE(H297,F297,EL$2),Matemáticas!$A:$H,7,FALSE)=AZ297,1,0)</f>
        <v>#N/A</v>
      </c>
      <c r="EM297" s="138" t="e">
        <f>IF(VLOOKUP(CONCATENATE(H297,F297,EM$2),Matemáticas!$A:$H,7,FALSE)=BA297,1,0)</f>
        <v>#N/A</v>
      </c>
      <c r="EN297" s="138" t="e">
        <f>IF(VLOOKUP(CONCATENATE(H297,F297,EN$2),Matemáticas!$A:$H,7,FALSE)=BB297,1,0)</f>
        <v>#N/A</v>
      </c>
      <c r="EO297" s="138" t="e">
        <f>IF(VLOOKUP(CONCATENATE(H297,F297,EO$2),Matemáticas!$A:$H,7,FALSE)=BC297,1,0)</f>
        <v>#N/A</v>
      </c>
      <c r="EP297" s="138" t="e">
        <f>IF(VLOOKUP(CONCATENATE(H297,F297,EP$2),Matemáticas!$A:$H,7,FALSE)=BD297,1,0)</f>
        <v>#N/A</v>
      </c>
      <c r="EQ297" s="138" t="e">
        <f>IF(VLOOKUP(CONCATENATE(H297,F297,EQ$2),Matemáticas!$A:$H,7,FALSE)=BE297,1,0)</f>
        <v>#N/A</v>
      </c>
      <c r="ER297" s="138" t="e">
        <f>IF(VLOOKUP(CONCATENATE(H297,F297,ER$2),Matemáticas!$A:$H,7,FALSE)=BF297,1,0)</f>
        <v>#N/A</v>
      </c>
      <c r="ES297" s="138" t="e">
        <f>IF(VLOOKUP(CONCATENATE(H297,F297,ES$2),Matemáticas!$A:$H,7,FALSE)=BG297,1,0)</f>
        <v>#N/A</v>
      </c>
      <c r="ET297" s="138" t="e">
        <f>IF(VLOOKUP(CONCATENATE(H297,F297,ET$2),Matemáticas!$A:$H,7,FALSE)=BH297,1,0)</f>
        <v>#N/A</v>
      </c>
      <c r="EU297" s="138" t="e">
        <f>IF(VLOOKUP(CONCATENATE(H297,F297,EU$2),Matemáticas!$A:$H,7,FALSE)=BI297,1,0)</f>
        <v>#N/A</v>
      </c>
      <c r="EV297" s="138" t="e">
        <f>IF(VLOOKUP(CONCATENATE(H297,F297,EV$2),Ciencias!$A:$H,7,FALSE)=BJ297,1,0)</f>
        <v>#N/A</v>
      </c>
      <c r="EW297" s="138" t="e">
        <f>IF(VLOOKUP(CONCATENATE(H297,F297,EW$2),Ciencias!$A:$H,7,FALSE)=BK297,1,0)</f>
        <v>#N/A</v>
      </c>
      <c r="EX297" s="138" t="e">
        <f>IF(VLOOKUP(CONCATENATE(H297,F297,EX$2),Ciencias!$A:$H,7,FALSE)=BL297,1,0)</f>
        <v>#N/A</v>
      </c>
      <c r="EY297" s="138" t="e">
        <f>IF(VLOOKUP(CONCATENATE(H297,F297,EY$2),Ciencias!$A:$H,7,FALSE)=BM297,1,0)</f>
        <v>#N/A</v>
      </c>
      <c r="EZ297" s="138" t="e">
        <f>IF(VLOOKUP(CONCATENATE(H297,F297,EZ$2),Ciencias!$A:$H,7,FALSE)=BN297,1,0)</f>
        <v>#N/A</v>
      </c>
      <c r="FA297" s="138" t="e">
        <f>IF(VLOOKUP(CONCATENATE(H297,F297,FA$2),Ciencias!$A:$H,7,FALSE)=BO297,1,0)</f>
        <v>#N/A</v>
      </c>
      <c r="FB297" s="138" t="e">
        <f>IF(VLOOKUP(CONCATENATE(H297,F297,FB$2),Ciencias!$A:$H,7,FALSE)=BP297,1,0)</f>
        <v>#N/A</v>
      </c>
      <c r="FC297" s="138" t="e">
        <f>IF(VLOOKUP(CONCATENATE(H297,F297,FC$2),Ciencias!$A:$H,7,FALSE)=BQ297,1,0)</f>
        <v>#N/A</v>
      </c>
      <c r="FD297" s="138" t="e">
        <f>IF(VLOOKUP(CONCATENATE(H297,F297,FD$2),Ciencias!$A:$H,7,FALSE)=BR297,1,0)</f>
        <v>#N/A</v>
      </c>
      <c r="FE297" s="138" t="e">
        <f>IF(VLOOKUP(CONCATENATE(H297,F297,FE$2),Ciencias!$A:$H,7,FALSE)=BS297,1,0)</f>
        <v>#N/A</v>
      </c>
      <c r="FF297" s="138" t="e">
        <f>IF(VLOOKUP(CONCATENATE(H297,F297,FF$2),Ciencias!$A:$H,7,FALSE)=BT297,1,0)</f>
        <v>#N/A</v>
      </c>
      <c r="FG297" s="138" t="e">
        <f>IF(VLOOKUP(CONCATENATE(H297,F297,FG$2),Ciencias!$A:$H,7,FALSE)=BU297,1,0)</f>
        <v>#N/A</v>
      </c>
      <c r="FH297" s="138" t="e">
        <f>IF(VLOOKUP(CONCATENATE(H297,F297,FH$2),Ciencias!$A:$H,7,FALSE)=BV297,1,0)</f>
        <v>#N/A</v>
      </c>
      <c r="FI297" s="138" t="e">
        <f>IF(VLOOKUP(CONCATENATE(H297,F297,FI$2),Ciencias!$A:$H,7,FALSE)=BW297,1,0)</f>
        <v>#N/A</v>
      </c>
      <c r="FJ297" s="138" t="e">
        <f>IF(VLOOKUP(CONCATENATE(H297,F297,FJ$2),Ciencias!$A:$H,7,FALSE)=BX297,1,0)</f>
        <v>#N/A</v>
      </c>
      <c r="FK297" s="138" t="e">
        <f>IF(VLOOKUP(CONCATENATE(H297,F297,FK$2),Ciencias!$A:$H,7,FALSE)=BY297,1,0)</f>
        <v>#N/A</v>
      </c>
      <c r="FL297" s="138" t="e">
        <f>IF(VLOOKUP(CONCATENATE(H297,F297,FL$2),Ciencias!$A:$H,7,FALSE)=BZ297,1,0)</f>
        <v>#N/A</v>
      </c>
      <c r="FM297" s="138" t="e">
        <f>IF(VLOOKUP(CONCATENATE(H297,F297,FM$2),Ciencias!$A:$H,7,FALSE)=CA297,1,0)</f>
        <v>#N/A</v>
      </c>
      <c r="FN297" s="138" t="e">
        <f>IF(VLOOKUP(CONCATENATE(H297,F297,FN$2),Ciencias!$A:$H,7,FALSE)=CB297,1,0)</f>
        <v>#N/A</v>
      </c>
      <c r="FO297" s="138" t="e">
        <f>IF(VLOOKUP(CONCATENATE(H297,F297,FO$2),Ciencias!$A:$H,7,FALSE)=CC297,1,0)</f>
        <v>#N/A</v>
      </c>
      <c r="FP297" s="138" t="e">
        <f>IF(VLOOKUP(CONCATENATE(H297,F297,FP$2),GeoHis!$A:$H,7,FALSE)=CD297,1,0)</f>
        <v>#N/A</v>
      </c>
      <c r="FQ297" s="138" t="e">
        <f>IF(VLOOKUP(CONCATENATE(H297,F297,FQ$2),GeoHis!$A:$H,7,FALSE)=CE297,1,0)</f>
        <v>#N/A</v>
      </c>
      <c r="FR297" s="138" t="e">
        <f>IF(VLOOKUP(CONCATENATE(H297,F297,FR$2),GeoHis!$A:$H,7,FALSE)=CF297,1,0)</f>
        <v>#N/A</v>
      </c>
      <c r="FS297" s="138" t="e">
        <f>IF(VLOOKUP(CONCATENATE(H297,F297,FS$2),GeoHis!$A:$H,7,FALSE)=CG297,1,0)</f>
        <v>#N/A</v>
      </c>
      <c r="FT297" s="138" t="e">
        <f>IF(VLOOKUP(CONCATENATE(H297,F297,FT$2),GeoHis!$A:$H,7,FALSE)=CH297,1,0)</f>
        <v>#N/A</v>
      </c>
      <c r="FU297" s="138" t="e">
        <f>IF(VLOOKUP(CONCATENATE(H297,F297,FU$2),GeoHis!$A:$H,7,FALSE)=CI297,1,0)</f>
        <v>#N/A</v>
      </c>
      <c r="FV297" s="138" t="e">
        <f>IF(VLOOKUP(CONCATENATE(H297,F297,FV$2),GeoHis!$A:$H,7,FALSE)=CJ297,1,0)</f>
        <v>#N/A</v>
      </c>
      <c r="FW297" s="138" t="e">
        <f>IF(VLOOKUP(CONCATENATE(H297,F297,FW$2),GeoHis!$A:$H,7,FALSE)=CK297,1,0)</f>
        <v>#N/A</v>
      </c>
      <c r="FX297" s="138" t="e">
        <f>IF(VLOOKUP(CONCATENATE(H297,F297,FX$2),GeoHis!$A:$H,7,FALSE)=CL297,1,0)</f>
        <v>#N/A</v>
      </c>
      <c r="FY297" s="138" t="e">
        <f>IF(VLOOKUP(CONCATENATE(H297,F297,FY$2),GeoHis!$A:$H,7,FALSE)=CM297,1,0)</f>
        <v>#N/A</v>
      </c>
      <c r="FZ297" s="138" t="e">
        <f>IF(VLOOKUP(CONCATENATE(H297,F297,FZ$2),GeoHis!$A:$H,7,FALSE)=CN297,1,0)</f>
        <v>#N/A</v>
      </c>
      <c r="GA297" s="138" t="e">
        <f>IF(VLOOKUP(CONCATENATE(H297,F297,GA$2),GeoHis!$A:$H,7,FALSE)=CO297,1,0)</f>
        <v>#N/A</v>
      </c>
      <c r="GB297" s="138" t="e">
        <f>IF(VLOOKUP(CONCATENATE(H297,F297,GB$2),GeoHis!$A:$H,7,FALSE)=CP297,1,0)</f>
        <v>#N/A</v>
      </c>
      <c r="GC297" s="138" t="e">
        <f>IF(VLOOKUP(CONCATENATE(H297,F297,GC$2),GeoHis!$A:$H,7,FALSE)=CQ297,1,0)</f>
        <v>#N/A</v>
      </c>
      <c r="GD297" s="138" t="e">
        <f>IF(VLOOKUP(CONCATENATE(H297,F297,GD$2),GeoHis!$A:$H,7,FALSE)=CR297,1,0)</f>
        <v>#N/A</v>
      </c>
      <c r="GE297" s="135" t="str">
        <f t="shared" si="39"/>
        <v/>
      </c>
    </row>
    <row r="298" spans="1:187" x14ac:dyDescent="0.25">
      <c r="A298" s="127" t="str">
        <f>IF(C298="","",'Datos Generales'!$A$25)</f>
        <v/>
      </c>
      <c r="D298" s="126" t="str">
        <f t="shared" si="32"/>
        <v/>
      </c>
      <c r="E298" s="126">
        <f t="shared" si="33"/>
        <v>0</v>
      </c>
      <c r="F298" s="126" t="str">
        <f t="shared" si="34"/>
        <v/>
      </c>
      <c r="G298" s="126" t="str">
        <f>IF(C298="","",'Datos Generales'!$D$19)</f>
        <v/>
      </c>
      <c r="H298" s="21" t="str">
        <f>IF(C298="","",'Datos Generales'!$A$19)</f>
        <v/>
      </c>
      <c r="I298" s="126" t="str">
        <f>IF(C298="","",'Datos Generales'!$A$7)</f>
        <v/>
      </c>
      <c r="J298" s="21" t="str">
        <f>IF(C298="","",'Datos Generales'!$A$13)</f>
        <v/>
      </c>
      <c r="K298" s="21" t="str">
        <f>IF(C298="","",'Datos Generales'!$A$10)</f>
        <v/>
      </c>
      <c r="CS298" s="142" t="str">
        <f t="shared" si="35"/>
        <v/>
      </c>
      <c r="CT298" s="142" t="str">
        <f t="shared" si="36"/>
        <v/>
      </c>
      <c r="CU298" s="142" t="str">
        <f t="shared" si="37"/>
        <v/>
      </c>
      <c r="CV298" s="142" t="str">
        <f t="shared" si="38"/>
        <v/>
      </c>
      <c r="CW298" s="142" t="str">
        <f>IF(C298="","",IF('Datos Generales'!$A$19=1,AVERAGE(FP298:GD298),AVERAGE(Captura!FP298:FY298)))</f>
        <v/>
      </c>
      <c r="CX298" s="138" t="e">
        <f>IF(VLOOKUP(CONCATENATE($H$4,$F$4,CX$2),Español!$A:$H,7,FALSE)=L298,1,0)</f>
        <v>#N/A</v>
      </c>
      <c r="CY298" s="138" t="e">
        <f>IF(VLOOKUP(CONCATENATE(H298,F298,CY$2),Español!$A:$H,7,FALSE)=M298,1,0)</f>
        <v>#N/A</v>
      </c>
      <c r="CZ298" s="138" t="e">
        <f>IF(VLOOKUP(CONCATENATE(H298,F298,CZ$2),Español!$A:$H,7,FALSE)=N298,1,0)</f>
        <v>#N/A</v>
      </c>
      <c r="DA298" s="138" t="e">
        <f>IF(VLOOKUP(CONCATENATE(H298,F298,DA$2),Español!$A:$H,7,FALSE)=O298,1,0)</f>
        <v>#N/A</v>
      </c>
      <c r="DB298" s="138" t="e">
        <f>IF(VLOOKUP(CONCATENATE(H298,F298,DB$2),Español!$A:$H,7,FALSE)=P298,1,0)</f>
        <v>#N/A</v>
      </c>
      <c r="DC298" s="138" t="e">
        <f>IF(VLOOKUP(CONCATENATE(H298,F298,DC$2),Español!$A:$H,7,FALSE)=Q298,1,0)</f>
        <v>#N/A</v>
      </c>
      <c r="DD298" s="138" t="e">
        <f>IF(VLOOKUP(CONCATENATE(H298,F298,DD$2),Español!$A:$H,7,FALSE)=R298,1,0)</f>
        <v>#N/A</v>
      </c>
      <c r="DE298" s="138" t="e">
        <f>IF(VLOOKUP(CONCATENATE(H298,F298,DE$2),Español!$A:$H,7,FALSE)=S298,1,0)</f>
        <v>#N/A</v>
      </c>
      <c r="DF298" s="138" t="e">
        <f>IF(VLOOKUP(CONCATENATE(H298,F298,DF$2),Español!$A:$H,7,FALSE)=T298,1,0)</f>
        <v>#N/A</v>
      </c>
      <c r="DG298" s="138" t="e">
        <f>IF(VLOOKUP(CONCATENATE(H298,F298,DG$2),Español!$A:$H,7,FALSE)=U298,1,0)</f>
        <v>#N/A</v>
      </c>
      <c r="DH298" s="138" t="e">
        <f>IF(VLOOKUP(CONCATENATE(H298,F298,DH$2),Español!$A:$H,7,FALSE)=V298,1,0)</f>
        <v>#N/A</v>
      </c>
      <c r="DI298" s="138" t="e">
        <f>IF(VLOOKUP(CONCATENATE(H298,F298,DI$2),Español!$A:$H,7,FALSE)=W298,1,0)</f>
        <v>#N/A</v>
      </c>
      <c r="DJ298" s="138" t="e">
        <f>IF(VLOOKUP(CONCATENATE(H298,F298,DJ$2),Español!$A:$H,7,FALSE)=X298,1,0)</f>
        <v>#N/A</v>
      </c>
      <c r="DK298" s="138" t="e">
        <f>IF(VLOOKUP(CONCATENATE(H298,F298,DK$2),Español!$A:$H,7,FALSE)=Y298,1,0)</f>
        <v>#N/A</v>
      </c>
      <c r="DL298" s="138" t="e">
        <f>IF(VLOOKUP(CONCATENATE(H298,F298,DL$2),Español!$A:$H,7,FALSE)=Z298,1,0)</f>
        <v>#N/A</v>
      </c>
      <c r="DM298" s="138" t="e">
        <f>IF(VLOOKUP(CONCATENATE(H298,F298,DM$2),Español!$A:$H,7,FALSE)=AA298,1,0)</f>
        <v>#N/A</v>
      </c>
      <c r="DN298" s="138" t="e">
        <f>IF(VLOOKUP(CONCATENATE(H298,F298,DN$2),Español!$A:$H,7,FALSE)=AB298,1,0)</f>
        <v>#N/A</v>
      </c>
      <c r="DO298" s="138" t="e">
        <f>IF(VLOOKUP(CONCATENATE(H298,F298,DO$2),Español!$A:$H,7,FALSE)=AC298,1,0)</f>
        <v>#N/A</v>
      </c>
      <c r="DP298" s="138" t="e">
        <f>IF(VLOOKUP(CONCATENATE(H298,F298,DP$2),Español!$A:$H,7,FALSE)=AD298,1,0)</f>
        <v>#N/A</v>
      </c>
      <c r="DQ298" s="138" t="e">
        <f>IF(VLOOKUP(CONCATENATE(H298,F298,DQ$2),Español!$A:$H,7,FALSE)=AE298,1,0)</f>
        <v>#N/A</v>
      </c>
      <c r="DR298" s="138" t="e">
        <f>IF(VLOOKUP(CONCATENATE(H298,F298,DR$2),Inglés!$A:$H,7,FALSE)=AF298,1,0)</f>
        <v>#N/A</v>
      </c>
      <c r="DS298" s="138" t="e">
        <f>IF(VLOOKUP(CONCATENATE(H298,F298,DS$2),Inglés!$A:$H,7,FALSE)=AG298,1,0)</f>
        <v>#N/A</v>
      </c>
      <c r="DT298" s="138" t="e">
        <f>IF(VLOOKUP(CONCATENATE(H298,F298,DT$2),Inglés!$A:$H,7,FALSE)=AH298,1,0)</f>
        <v>#N/A</v>
      </c>
      <c r="DU298" s="138" t="e">
        <f>IF(VLOOKUP(CONCATENATE(H298,F298,DU$2),Inglés!$A:$H,7,FALSE)=AI298,1,0)</f>
        <v>#N/A</v>
      </c>
      <c r="DV298" s="138" t="e">
        <f>IF(VLOOKUP(CONCATENATE(H298,F298,DV$2),Inglés!$A:$H,7,FALSE)=AJ298,1,0)</f>
        <v>#N/A</v>
      </c>
      <c r="DW298" s="138" t="e">
        <f>IF(VLOOKUP(CONCATENATE(H298,F298,DW$2),Inglés!$A:$H,7,FALSE)=AK298,1,0)</f>
        <v>#N/A</v>
      </c>
      <c r="DX298" s="138" t="e">
        <f>IF(VLOOKUP(CONCATENATE(H298,F298,DX$2),Inglés!$A:$H,7,FALSE)=AL298,1,0)</f>
        <v>#N/A</v>
      </c>
      <c r="DY298" s="138" t="e">
        <f>IF(VLOOKUP(CONCATENATE(H298,F298,DY$2),Inglés!$A:$H,7,FALSE)=AM298,1,0)</f>
        <v>#N/A</v>
      </c>
      <c r="DZ298" s="138" t="e">
        <f>IF(VLOOKUP(CONCATENATE(H298,F298,DZ$2),Inglés!$A:$H,7,FALSE)=AN298,1,0)</f>
        <v>#N/A</v>
      </c>
      <c r="EA298" s="138" t="e">
        <f>IF(VLOOKUP(CONCATENATE(H298,F298,EA$2),Inglés!$A:$H,7,FALSE)=AO298,1,0)</f>
        <v>#N/A</v>
      </c>
      <c r="EB298" s="138" t="e">
        <f>IF(VLOOKUP(CONCATENATE(H298,F298,EB$2),Matemáticas!$A:$H,7,FALSE)=AP298,1,0)</f>
        <v>#N/A</v>
      </c>
      <c r="EC298" s="138" t="e">
        <f>IF(VLOOKUP(CONCATENATE(H298,F298,EC$2),Matemáticas!$A:$H,7,FALSE)=AQ298,1,0)</f>
        <v>#N/A</v>
      </c>
      <c r="ED298" s="138" t="e">
        <f>IF(VLOOKUP(CONCATENATE(H298,F298,ED$2),Matemáticas!$A:$H,7,FALSE)=AR298,1,0)</f>
        <v>#N/A</v>
      </c>
      <c r="EE298" s="138" t="e">
        <f>IF(VLOOKUP(CONCATENATE(H298,F298,EE$2),Matemáticas!$A:$H,7,FALSE)=AS298,1,0)</f>
        <v>#N/A</v>
      </c>
      <c r="EF298" s="138" t="e">
        <f>IF(VLOOKUP(CONCATENATE(H298,F298,EF$2),Matemáticas!$A:$H,7,FALSE)=AT298,1,0)</f>
        <v>#N/A</v>
      </c>
      <c r="EG298" s="138" t="e">
        <f>IF(VLOOKUP(CONCATENATE(H298,F298,EG$2),Matemáticas!$A:$H,7,FALSE)=AU298,1,0)</f>
        <v>#N/A</v>
      </c>
      <c r="EH298" s="138" t="e">
        <f>IF(VLOOKUP(CONCATENATE(H298,F298,EH$2),Matemáticas!$A:$H,7,FALSE)=AV298,1,0)</f>
        <v>#N/A</v>
      </c>
      <c r="EI298" s="138" t="e">
        <f>IF(VLOOKUP(CONCATENATE(H298,F298,EI$2),Matemáticas!$A:$H,7,FALSE)=AW298,1,0)</f>
        <v>#N/A</v>
      </c>
      <c r="EJ298" s="138" t="e">
        <f>IF(VLOOKUP(CONCATENATE(H298,F298,EJ$2),Matemáticas!$A:$H,7,FALSE)=AX298,1,0)</f>
        <v>#N/A</v>
      </c>
      <c r="EK298" s="138" t="e">
        <f>IF(VLOOKUP(CONCATENATE(H298,F298,EK$2),Matemáticas!$A:$H,7,FALSE)=AY298,1,0)</f>
        <v>#N/A</v>
      </c>
      <c r="EL298" s="138" t="e">
        <f>IF(VLOOKUP(CONCATENATE(H298,F298,EL$2),Matemáticas!$A:$H,7,FALSE)=AZ298,1,0)</f>
        <v>#N/A</v>
      </c>
      <c r="EM298" s="138" t="e">
        <f>IF(VLOOKUP(CONCATENATE(H298,F298,EM$2),Matemáticas!$A:$H,7,FALSE)=BA298,1,0)</f>
        <v>#N/A</v>
      </c>
      <c r="EN298" s="138" t="e">
        <f>IF(VLOOKUP(CONCATENATE(H298,F298,EN$2),Matemáticas!$A:$H,7,FALSE)=BB298,1,0)</f>
        <v>#N/A</v>
      </c>
      <c r="EO298" s="138" t="e">
        <f>IF(VLOOKUP(CONCATENATE(H298,F298,EO$2),Matemáticas!$A:$H,7,FALSE)=BC298,1,0)</f>
        <v>#N/A</v>
      </c>
      <c r="EP298" s="138" t="e">
        <f>IF(VLOOKUP(CONCATENATE(H298,F298,EP$2),Matemáticas!$A:$H,7,FALSE)=BD298,1,0)</f>
        <v>#N/A</v>
      </c>
      <c r="EQ298" s="138" t="e">
        <f>IF(VLOOKUP(CONCATENATE(H298,F298,EQ$2),Matemáticas!$A:$H,7,FALSE)=BE298,1,0)</f>
        <v>#N/A</v>
      </c>
      <c r="ER298" s="138" t="e">
        <f>IF(VLOOKUP(CONCATENATE(H298,F298,ER$2),Matemáticas!$A:$H,7,FALSE)=BF298,1,0)</f>
        <v>#N/A</v>
      </c>
      <c r="ES298" s="138" t="e">
        <f>IF(VLOOKUP(CONCATENATE(H298,F298,ES$2),Matemáticas!$A:$H,7,FALSE)=BG298,1,0)</f>
        <v>#N/A</v>
      </c>
      <c r="ET298" s="138" t="e">
        <f>IF(VLOOKUP(CONCATENATE(H298,F298,ET$2),Matemáticas!$A:$H,7,FALSE)=BH298,1,0)</f>
        <v>#N/A</v>
      </c>
      <c r="EU298" s="138" t="e">
        <f>IF(VLOOKUP(CONCATENATE(H298,F298,EU$2),Matemáticas!$A:$H,7,FALSE)=BI298,1,0)</f>
        <v>#N/A</v>
      </c>
      <c r="EV298" s="138" t="e">
        <f>IF(VLOOKUP(CONCATENATE(H298,F298,EV$2),Ciencias!$A:$H,7,FALSE)=BJ298,1,0)</f>
        <v>#N/A</v>
      </c>
      <c r="EW298" s="138" t="e">
        <f>IF(VLOOKUP(CONCATENATE(H298,F298,EW$2),Ciencias!$A:$H,7,FALSE)=BK298,1,0)</f>
        <v>#N/A</v>
      </c>
      <c r="EX298" s="138" t="e">
        <f>IF(VLOOKUP(CONCATENATE(H298,F298,EX$2),Ciencias!$A:$H,7,FALSE)=BL298,1,0)</f>
        <v>#N/A</v>
      </c>
      <c r="EY298" s="138" t="e">
        <f>IF(VLOOKUP(CONCATENATE(H298,F298,EY$2),Ciencias!$A:$H,7,FALSE)=BM298,1,0)</f>
        <v>#N/A</v>
      </c>
      <c r="EZ298" s="138" t="e">
        <f>IF(VLOOKUP(CONCATENATE(H298,F298,EZ$2),Ciencias!$A:$H,7,FALSE)=BN298,1,0)</f>
        <v>#N/A</v>
      </c>
      <c r="FA298" s="138" t="e">
        <f>IF(VLOOKUP(CONCATENATE(H298,F298,FA$2),Ciencias!$A:$H,7,FALSE)=BO298,1,0)</f>
        <v>#N/A</v>
      </c>
      <c r="FB298" s="138" t="e">
        <f>IF(VLOOKUP(CONCATENATE(H298,F298,FB$2),Ciencias!$A:$H,7,FALSE)=BP298,1,0)</f>
        <v>#N/A</v>
      </c>
      <c r="FC298" s="138" t="e">
        <f>IF(VLOOKUP(CONCATENATE(H298,F298,FC$2),Ciencias!$A:$H,7,FALSE)=BQ298,1,0)</f>
        <v>#N/A</v>
      </c>
      <c r="FD298" s="138" t="e">
        <f>IF(VLOOKUP(CONCATENATE(H298,F298,FD$2),Ciencias!$A:$H,7,FALSE)=BR298,1,0)</f>
        <v>#N/A</v>
      </c>
      <c r="FE298" s="138" t="e">
        <f>IF(VLOOKUP(CONCATENATE(H298,F298,FE$2),Ciencias!$A:$H,7,FALSE)=BS298,1,0)</f>
        <v>#N/A</v>
      </c>
      <c r="FF298" s="138" t="e">
        <f>IF(VLOOKUP(CONCATENATE(H298,F298,FF$2),Ciencias!$A:$H,7,FALSE)=BT298,1,0)</f>
        <v>#N/A</v>
      </c>
      <c r="FG298" s="138" t="e">
        <f>IF(VLOOKUP(CONCATENATE(H298,F298,FG$2),Ciencias!$A:$H,7,FALSE)=BU298,1,0)</f>
        <v>#N/A</v>
      </c>
      <c r="FH298" s="138" t="e">
        <f>IF(VLOOKUP(CONCATENATE(H298,F298,FH$2),Ciencias!$A:$H,7,FALSE)=BV298,1,0)</f>
        <v>#N/A</v>
      </c>
      <c r="FI298" s="138" t="e">
        <f>IF(VLOOKUP(CONCATENATE(H298,F298,FI$2),Ciencias!$A:$H,7,FALSE)=BW298,1,0)</f>
        <v>#N/A</v>
      </c>
      <c r="FJ298" s="138" t="e">
        <f>IF(VLOOKUP(CONCATENATE(H298,F298,FJ$2),Ciencias!$A:$H,7,FALSE)=BX298,1,0)</f>
        <v>#N/A</v>
      </c>
      <c r="FK298" s="138" t="e">
        <f>IF(VLOOKUP(CONCATENATE(H298,F298,FK$2),Ciencias!$A:$H,7,FALSE)=BY298,1,0)</f>
        <v>#N/A</v>
      </c>
      <c r="FL298" s="138" t="e">
        <f>IF(VLOOKUP(CONCATENATE(H298,F298,FL$2),Ciencias!$A:$H,7,FALSE)=BZ298,1,0)</f>
        <v>#N/A</v>
      </c>
      <c r="FM298" s="138" t="e">
        <f>IF(VLOOKUP(CONCATENATE(H298,F298,FM$2),Ciencias!$A:$H,7,FALSE)=CA298,1,0)</f>
        <v>#N/A</v>
      </c>
      <c r="FN298" s="138" t="e">
        <f>IF(VLOOKUP(CONCATENATE(H298,F298,FN$2),Ciencias!$A:$H,7,FALSE)=CB298,1,0)</f>
        <v>#N/A</v>
      </c>
      <c r="FO298" s="138" t="e">
        <f>IF(VLOOKUP(CONCATENATE(H298,F298,FO$2),Ciencias!$A:$H,7,FALSE)=CC298,1,0)</f>
        <v>#N/A</v>
      </c>
      <c r="FP298" s="138" t="e">
        <f>IF(VLOOKUP(CONCATENATE(H298,F298,FP$2),GeoHis!$A:$H,7,FALSE)=CD298,1,0)</f>
        <v>#N/A</v>
      </c>
      <c r="FQ298" s="138" t="e">
        <f>IF(VLOOKUP(CONCATENATE(H298,F298,FQ$2),GeoHis!$A:$H,7,FALSE)=CE298,1,0)</f>
        <v>#N/A</v>
      </c>
      <c r="FR298" s="138" t="e">
        <f>IF(VLOOKUP(CONCATENATE(H298,F298,FR$2),GeoHis!$A:$H,7,FALSE)=CF298,1,0)</f>
        <v>#N/A</v>
      </c>
      <c r="FS298" s="138" t="e">
        <f>IF(VLOOKUP(CONCATENATE(H298,F298,FS$2),GeoHis!$A:$H,7,FALSE)=CG298,1,0)</f>
        <v>#N/A</v>
      </c>
      <c r="FT298" s="138" t="e">
        <f>IF(VLOOKUP(CONCATENATE(H298,F298,FT$2),GeoHis!$A:$H,7,FALSE)=CH298,1,0)</f>
        <v>#N/A</v>
      </c>
      <c r="FU298" s="138" t="e">
        <f>IF(VLOOKUP(CONCATENATE(H298,F298,FU$2),GeoHis!$A:$H,7,FALSE)=CI298,1,0)</f>
        <v>#N/A</v>
      </c>
      <c r="FV298" s="138" t="e">
        <f>IF(VLOOKUP(CONCATENATE(H298,F298,FV$2),GeoHis!$A:$H,7,FALSE)=CJ298,1,0)</f>
        <v>#N/A</v>
      </c>
      <c r="FW298" s="138" t="e">
        <f>IF(VLOOKUP(CONCATENATE(H298,F298,FW$2),GeoHis!$A:$H,7,FALSE)=CK298,1,0)</f>
        <v>#N/A</v>
      </c>
      <c r="FX298" s="138" t="e">
        <f>IF(VLOOKUP(CONCATENATE(H298,F298,FX$2),GeoHis!$A:$H,7,FALSE)=CL298,1,0)</f>
        <v>#N/A</v>
      </c>
      <c r="FY298" s="138" t="e">
        <f>IF(VLOOKUP(CONCATENATE(H298,F298,FY$2),GeoHis!$A:$H,7,FALSE)=CM298,1,0)</f>
        <v>#N/A</v>
      </c>
      <c r="FZ298" s="138" t="e">
        <f>IF(VLOOKUP(CONCATENATE(H298,F298,FZ$2),GeoHis!$A:$H,7,FALSE)=CN298,1,0)</f>
        <v>#N/A</v>
      </c>
      <c r="GA298" s="138" t="e">
        <f>IF(VLOOKUP(CONCATENATE(H298,F298,GA$2),GeoHis!$A:$H,7,FALSE)=CO298,1,0)</f>
        <v>#N/A</v>
      </c>
      <c r="GB298" s="138" t="e">
        <f>IF(VLOOKUP(CONCATENATE(H298,F298,GB$2),GeoHis!$A:$H,7,FALSE)=CP298,1,0)</f>
        <v>#N/A</v>
      </c>
      <c r="GC298" s="138" t="e">
        <f>IF(VLOOKUP(CONCATENATE(H298,F298,GC$2),GeoHis!$A:$H,7,FALSE)=CQ298,1,0)</f>
        <v>#N/A</v>
      </c>
      <c r="GD298" s="138" t="e">
        <f>IF(VLOOKUP(CONCATENATE(H298,F298,GD$2),GeoHis!$A:$H,7,FALSE)=CR298,1,0)</f>
        <v>#N/A</v>
      </c>
      <c r="GE298" s="135" t="str">
        <f t="shared" si="39"/>
        <v/>
      </c>
    </row>
    <row r="299" spans="1:187" x14ac:dyDescent="0.25">
      <c r="A299" s="127" t="str">
        <f>IF(C299="","",'Datos Generales'!$A$25)</f>
        <v/>
      </c>
      <c r="D299" s="126" t="str">
        <f t="shared" si="32"/>
        <v/>
      </c>
      <c r="E299" s="126">
        <f t="shared" si="33"/>
        <v>0</v>
      </c>
      <c r="F299" s="126" t="str">
        <f t="shared" si="34"/>
        <v/>
      </c>
      <c r="G299" s="126" t="str">
        <f>IF(C299="","",'Datos Generales'!$D$19)</f>
        <v/>
      </c>
      <c r="H299" s="21" t="str">
        <f>IF(C299="","",'Datos Generales'!$A$19)</f>
        <v/>
      </c>
      <c r="I299" s="126" t="str">
        <f>IF(C299="","",'Datos Generales'!$A$7)</f>
        <v/>
      </c>
      <c r="J299" s="21" t="str">
        <f>IF(C299="","",'Datos Generales'!$A$13)</f>
        <v/>
      </c>
      <c r="K299" s="21" t="str">
        <f>IF(C299="","",'Datos Generales'!$A$10)</f>
        <v/>
      </c>
      <c r="CS299" s="142" t="str">
        <f t="shared" si="35"/>
        <v/>
      </c>
      <c r="CT299" s="142" t="str">
        <f t="shared" si="36"/>
        <v/>
      </c>
      <c r="CU299" s="142" t="str">
        <f t="shared" si="37"/>
        <v/>
      </c>
      <c r="CV299" s="142" t="str">
        <f t="shared" si="38"/>
        <v/>
      </c>
      <c r="CW299" s="142" t="str">
        <f>IF(C299="","",IF('Datos Generales'!$A$19=1,AVERAGE(FP299:GD299),AVERAGE(Captura!FP299:FY299)))</f>
        <v/>
      </c>
      <c r="CX299" s="138" t="e">
        <f>IF(VLOOKUP(CONCATENATE($H$4,$F$4,CX$2),Español!$A:$H,7,FALSE)=L299,1,0)</f>
        <v>#N/A</v>
      </c>
      <c r="CY299" s="138" t="e">
        <f>IF(VLOOKUP(CONCATENATE(H299,F299,CY$2),Español!$A:$H,7,FALSE)=M299,1,0)</f>
        <v>#N/A</v>
      </c>
      <c r="CZ299" s="138" t="e">
        <f>IF(VLOOKUP(CONCATENATE(H299,F299,CZ$2),Español!$A:$H,7,FALSE)=N299,1,0)</f>
        <v>#N/A</v>
      </c>
      <c r="DA299" s="138" t="e">
        <f>IF(VLOOKUP(CONCATENATE(H299,F299,DA$2),Español!$A:$H,7,FALSE)=O299,1,0)</f>
        <v>#N/A</v>
      </c>
      <c r="DB299" s="138" t="e">
        <f>IF(VLOOKUP(CONCATENATE(H299,F299,DB$2),Español!$A:$H,7,FALSE)=P299,1,0)</f>
        <v>#N/A</v>
      </c>
      <c r="DC299" s="138" t="e">
        <f>IF(VLOOKUP(CONCATENATE(H299,F299,DC$2),Español!$A:$H,7,FALSE)=Q299,1,0)</f>
        <v>#N/A</v>
      </c>
      <c r="DD299" s="138" t="e">
        <f>IF(VLOOKUP(CONCATENATE(H299,F299,DD$2),Español!$A:$H,7,FALSE)=R299,1,0)</f>
        <v>#N/A</v>
      </c>
      <c r="DE299" s="138" t="e">
        <f>IF(VLOOKUP(CONCATENATE(H299,F299,DE$2),Español!$A:$H,7,FALSE)=S299,1,0)</f>
        <v>#N/A</v>
      </c>
      <c r="DF299" s="138" t="e">
        <f>IF(VLOOKUP(CONCATENATE(H299,F299,DF$2),Español!$A:$H,7,FALSE)=T299,1,0)</f>
        <v>#N/A</v>
      </c>
      <c r="DG299" s="138" t="e">
        <f>IF(VLOOKUP(CONCATENATE(H299,F299,DG$2),Español!$A:$H,7,FALSE)=U299,1,0)</f>
        <v>#N/A</v>
      </c>
      <c r="DH299" s="138" t="e">
        <f>IF(VLOOKUP(CONCATENATE(H299,F299,DH$2),Español!$A:$H,7,FALSE)=V299,1,0)</f>
        <v>#N/A</v>
      </c>
      <c r="DI299" s="138" t="e">
        <f>IF(VLOOKUP(CONCATENATE(H299,F299,DI$2),Español!$A:$H,7,FALSE)=W299,1,0)</f>
        <v>#N/A</v>
      </c>
      <c r="DJ299" s="138" t="e">
        <f>IF(VLOOKUP(CONCATENATE(H299,F299,DJ$2),Español!$A:$H,7,FALSE)=X299,1,0)</f>
        <v>#N/A</v>
      </c>
      <c r="DK299" s="138" t="e">
        <f>IF(VLOOKUP(CONCATENATE(H299,F299,DK$2),Español!$A:$H,7,FALSE)=Y299,1,0)</f>
        <v>#N/A</v>
      </c>
      <c r="DL299" s="138" t="e">
        <f>IF(VLOOKUP(CONCATENATE(H299,F299,DL$2),Español!$A:$H,7,FALSE)=Z299,1,0)</f>
        <v>#N/A</v>
      </c>
      <c r="DM299" s="138" t="e">
        <f>IF(VLOOKUP(CONCATENATE(H299,F299,DM$2),Español!$A:$H,7,FALSE)=AA299,1,0)</f>
        <v>#N/A</v>
      </c>
      <c r="DN299" s="138" t="e">
        <f>IF(VLOOKUP(CONCATENATE(H299,F299,DN$2),Español!$A:$H,7,FALSE)=AB299,1,0)</f>
        <v>#N/A</v>
      </c>
      <c r="DO299" s="138" t="e">
        <f>IF(VLOOKUP(CONCATENATE(H299,F299,DO$2),Español!$A:$H,7,FALSE)=AC299,1,0)</f>
        <v>#N/A</v>
      </c>
      <c r="DP299" s="138" t="e">
        <f>IF(VLOOKUP(CONCATENATE(H299,F299,DP$2),Español!$A:$H,7,FALSE)=AD299,1,0)</f>
        <v>#N/A</v>
      </c>
      <c r="DQ299" s="138" t="e">
        <f>IF(VLOOKUP(CONCATENATE(H299,F299,DQ$2),Español!$A:$H,7,FALSE)=AE299,1,0)</f>
        <v>#N/A</v>
      </c>
      <c r="DR299" s="138" t="e">
        <f>IF(VLOOKUP(CONCATENATE(H299,F299,DR$2),Inglés!$A:$H,7,FALSE)=AF299,1,0)</f>
        <v>#N/A</v>
      </c>
      <c r="DS299" s="138" t="e">
        <f>IF(VLOOKUP(CONCATENATE(H299,F299,DS$2),Inglés!$A:$H,7,FALSE)=AG299,1,0)</f>
        <v>#N/A</v>
      </c>
      <c r="DT299" s="138" t="e">
        <f>IF(VLOOKUP(CONCATENATE(H299,F299,DT$2),Inglés!$A:$H,7,FALSE)=AH299,1,0)</f>
        <v>#N/A</v>
      </c>
      <c r="DU299" s="138" t="e">
        <f>IF(VLOOKUP(CONCATENATE(H299,F299,DU$2),Inglés!$A:$H,7,FALSE)=AI299,1,0)</f>
        <v>#N/A</v>
      </c>
      <c r="DV299" s="138" t="e">
        <f>IF(VLOOKUP(CONCATENATE(H299,F299,DV$2),Inglés!$A:$H,7,FALSE)=AJ299,1,0)</f>
        <v>#N/A</v>
      </c>
      <c r="DW299" s="138" t="e">
        <f>IF(VLOOKUP(CONCATENATE(H299,F299,DW$2),Inglés!$A:$H,7,FALSE)=AK299,1,0)</f>
        <v>#N/A</v>
      </c>
      <c r="DX299" s="138" t="e">
        <f>IF(VLOOKUP(CONCATENATE(H299,F299,DX$2),Inglés!$A:$H,7,FALSE)=AL299,1,0)</f>
        <v>#N/A</v>
      </c>
      <c r="DY299" s="138" t="e">
        <f>IF(VLOOKUP(CONCATENATE(H299,F299,DY$2),Inglés!$A:$H,7,FALSE)=AM299,1,0)</f>
        <v>#N/A</v>
      </c>
      <c r="DZ299" s="138" t="e">
        <f>IF(VLOOKUP(CONCATENATE(H299,F299,DZ$2),Inglés!$A:$H,7,FALSE)=AN299,1,0)</f>
        <v>#N/A</v>
      </c>
      <c r="EA299" s="138" t="e">
        <f>IF(VLOOKUP(CONCATENATE(H299,F299,EA$2),Inglés!$A:$H,7,FALSE)=AO299,1,0)</f>
        <v>#N/A</v>
      </c>
      <c r="EB299" s="138" t="e">
        <f>IF(VLOOKUP(CONCATENATE(H299,F299,EB$2),Matemáticas!$A:$H,7,FALSE)=AP299,1,0)</f>
        <v>#N/A</v>
      </c>
      <c r="EC299" s="138" t="e">
        <f>IF(VLOOKUP(CONCATENATE(H299,F299,EC$2),Matemáticas!$A:$H,7,FALSE)=AQ299,1,0)</f>
        <v>#N/A</v>
      </c>
      <c r="ED299" s="138" t="e">
        <f>IF(VLOOKUP(CONCATENATE(H299,F299,ED$2),Matemáticas!$A:$H,7,FALSE)=AR299,1,0)</f>
        <v>#N/A</v>
      </c>
      <c r="EE299" s="138" t="e">
        <f>IF(VLOOKUP(CONCATENATE(H299,F299,EE$2),Matemáticas!$A:$H,7,FALSE)=AS299,1,0)</f>
        <v>#N/A</v>
      </c>
      <c r="EF299" s="138" t="e">
        <f>IF(VLOOKUP(CONCATENATE(H299,F299,EF$2),Matemáticas!$A:$H,7,FALSE)=AT299,1,0)</f>
        <v>#N/A</v>
      </c>
      <c r="EG299" s="138" t="e">
        <f>IF(VLOOKUP(CONCATENATE(H299,F299,EG$2),Matemáticas!$A:$H,7,FALSE)=AU299,1,0)</f>
        <v>#N/A</v>
      </c>
      <c r="EH299" s="138" t="e">
        <f>IF(VLOOKUP(CONCATENATE(H299,F299,EH$2),Matemáticas!$A:$H,7,FALSE)=AV299,1,0)</f>
        <v>#N/A</v>
      </c>
      <c r="EI299" s="138" t="e">
        <f>IF(VLOOKUP(CONCATENATE(H299,F299,EI$2),Matemáticas!$A:$H,7,FALSE)=AW299,1,0)</f>
        <v>#N/A</v>
      </c>
      <c r="EJ299" s="138" t="e">
        <f>IF(VLOOKUP(CONCATENATE(H299,F299,EJ$2),Matemáticas!$A:$H,7,FALSE)=AX299,1,0)</f>
        <v>#N/A</v>
      </c>
      <c r="EK299" s="138" t="e">
        <f>IF(VLOOKUP(CONCATENATE(H299,F299,EK$2),Matemáticas!$A:$H,7,FALSE)=AY299,1,0)</f>
        <v>#N/A</v>
      </c>
      <c r="EL299" s="138" t="e">
        <f>IF(VLOOKUP(CONCATENATE(H299,F299,EL$2),Matemáticas!$A:$H,7,FALSE)=AZ299,1,0)</f>
        <v>#N/A</v>
      </c>
      <c r="EM299" s="138" t="e">
        <f>IF(VLOOKUP(CONCATENATE(H299,F299,EM$2),Matemáticas!$A:$H,7,FALSE)=BA299,1,0)</f>
        <v>#N/A</v>
      </c>
      <c r="EN299" s="138" t="e">
        <f>IF(VLOOKUP(CONCATENATE(H299,F299,EN$2),Matemáticas!$A:$H,7,FALSE)=BB299,1,0)</f>
        <v>#N/A</v>
      </c>
      <c r="EO299" s="138" t="e">
        <f>IF(VLOOKUP(CONCATENATE(H299,F299,EO$2),Matemáticas!$A:$H,7,FALSE)=BC299,1,0)</f>
        <v>#N/A</v>
      </c>
      <c r="EP299" s="138" t="e">
        <f>IF(VLOOKUP(CONCATENATE(H299,F299,EP$2),Matemáticas!$A:$H,7,FALSE)=BD299,1,0)</f>
        <v>#N/A</v>
      </c>
      <c r="EQ299" s="138" t="e">
        <f>IF(VLOOKUP(CONCATENATE(H299,F299,EQ$2),Matemáticas!$A:$H,7,FALSE)=BE299,1,0)</f>
        <v>#N/A</v>
      </c>
      <c r="ER299" s="138" t="e">
        <f>IF(VLOOKUP(CONCATENATE(H299,F299,ER$2),Matemáticas!$A:$H,7,FALSE)=BF299,1,0)</f>
        <v>#N/A</v>
      </c>
      <c r="ES299" s="138" t="e">
        <f>IF(VLOOKUP(CONCATENATE(H299,F299,ES$2),Matemáticas!$A:$H,7,FALSE)=BG299,1,0)</f>
        <v>#N/A</v>
      </c>
      <c r="ET299" s="138" t="e">
        <f>IF(VLOOKUP(CONCATENATE(H299,F299,ET$2),Matemáticas!$A:$H,7,FALSE)=BH299,1,0)</f>
        <v>#N/A</v>
      </c>
      <c r="EU299" s="138" t="e">
        <f>IF(VLOOKUP(CONCATENATE(H299,F299,EU$2),Matemáticas!$A:$H,7,FALSE)=BI299,1,0)</f>
        <v>#N/A</v>
      </c>
      <c r="EV299" s="138" t="e">
        <f>IF(VLOOKUP(CONCATENATE(H299,F299,EV$2),Ciencias!$A:$H,7,FALSE)=BJ299,1,0)</f>
        <v>#N/A</v>
      </c>
      <c r="EW299" s="138" t="e">
        <f>IF(VLOOKUP(CONCATENATE(H299,F299,EW$2),Ciencias!$A:$H,7,FALSE)=BK299,1,0)</f>
        <v>#N/A</v>
      </c>
      <c r="EX299" s="138" t="e">
        <f>IF(VLOOKUP(CONCATENATE(H299,F299,EX$2),Ciencias!$A:$H,7,FALSE)=BL299,1,0)</f>
        <v>#N/A</v>
      </c>
      <c r="EY299" s="138" t="e">
        <f>IF(VLOOKUP(CONCATENATE(H299,F299,EY$2),Ciencias!$A:$H,7,FALSE)=BM299,1,0)</f>
        <v>#N/A</v>
      </c>
      <c r="EZ299" s="138" t="e">
        <f>IF(VLOOKUP(CONCATENATE(H299,F299,EZ$2),Ciencias!$A:$H,7,FALSE)=BN299,1,0)</f>
        <v>#N/A</v>
      </c>
      <c r="FA299" s="138" t="e">
        <f>IF(VLOOKUP(CONCATENATE(H299,F299,FA$2),Ciencias!$A:$H,7,FALSE)=BO299,1,0)</f>
        <v>#N/A</v>
      </c>
      <c r="FB299" s="138" t="e">
        <f>IF(VLOOKUP(CONCATENATE(H299,F299,FB$2),Ciencias!$A:$H,7,FALSE)=BP299,1,0)</f>
        <v>#N/A</v>
      </c>
      <c r="FC299" s="138" t="e">
        <f>IF(VLOOKUP(CONCATENATE(H299,F299,FC$2),Ciencias!$A:$H,7,FALSE)=BQ299,1,0)</f>
        <v>#N/A</v>
      </c>
      <c r="FD299" s="138" t="e">
        <f>IF(VLOOKUP(CONCATENATE(H299,F299,FD$2),Ciencias!$A:$H,7,FALSE)=BR299,1,0)</f>
        <v>#N/A</v>
      </c>
      <c r="FE299" s="138" t="e">
        <f>IF(VLOOKUP(CONCATENATE(H299,F299,FE$2),Ciencias!$A:$H,7,FALSE)=BS299,1,0)</f>
        <v>#N/A</v>
      </c>
      <c r="FF299" s="138" t="e">
        <f>IF(VLOOKUP(CONCATENATE(H299,F299,FF$2),Ciencias!$A:$H,7,FALSE)=BT299,1,0)</f>
        <v>#N/A</v>
      </c>
      <c r="FG299" s="138" t="e">
        <f>IF(VLOOKUP(CONCATENATE(H299,F299,FG$2),Ciencias!$A:$H,7,FALSE)=BU299,1,0)</f>
        <v>#N/A</v>
      </c>
      <c r="FH299" s="138" t="e">
        <f>IF(VLOOKUP(CONCATENATE(H299,F299,FH$2),Ciencias!$A:$H,7,FALSE)=BV299,1,0)</f>
        <v>#N/A</v>
      </c>
      <c r="FI299" s="138" t="e">
        <f>IF(VLOOKUP(CONCATENATE(H299,F299,FI$2),Ciencias!$A:$H,7,FALSE)=BW299,1,0)</f>
        <v>#N/A</v>
      </c>
      <c r="FJ299" s="138" t="e">
        <f>IF(VLOOKUP(CONCATENATE(H299,F299,FJ$2),Ciencias!$A:$H,7,FALSE)=BX299,1,0)</f>
        <v>#N/A</v>
      </c>
      <c r="FK299" s="138" t="e">
        <f>IF(VLOOKUP(CONCATENATE(H299,F299,FK$2),Ciencias!$A:$H,7,FALSE)=BY299,1,0)</f>
        <v>#N/A</v>
      </c>
      <c r="FL299" s="138" t="e">
        <f>IF(VLOOKUP(CONCATENATE(H299,F299,FL$2),Ciencias!$A:$H,7,FALSE)=BZ299,1,0)</f>
        <v>#N/A</v>
      </c>
      <c r="FM299" s="138" t="e">
        <f>IF(VLOOKUP(CONCATENATE(H299,F299,FM$2),Ciencias!$A:$H,7,FALSE)=CA299,1,0)</f>
        <v>#N/A</v>
      </c>
      <c r="FN299" s="138" t="e">
        <f>IF(VLOOKUP(CONCATENATE(H299,F299,FN$2),Ciencias!$A:$H,7,FALSE)=CB299,1,0)</f>
        <v>#N/A</v>
      </c>
      <c r="FO299" s="138" t="e">
        <f>IF(VLOOKUP(CONCATENATE(H299,F299,FO$2),Ciencias!$A:$H,7,FALSE)=CC299,1,0)</f>
        <v>#N/A</v>
      </c>
      <c r="FP299" s="138" t="e">
        <f>IF(VLOOKUP(CONCATENATE(H299,F299,FP$2),GeoHis!$A:$H,7,FALSE)=CD299,1,0)</f>
        <v>#N/A</v>
      </c>
      <c r="FQ299" s="138" t="e">
        <f>IF(VLOOKUP(CONCATENATE(H299,F299,FQ$2),GeoHis!$A:$H,7,FALSE)=CE299,1,0)</f>
        <v>#N/A</v>
      </c>
      <c r="FR299" s="138" t="e">
        <f>IF(VLOOKUP(CONCATENATE(H299,F299,FR$2),GeoHis!$A:$H,7,FALSE)=CF299,1,0)</f>
        <v>#N/A</v>
      </c>
      <c r="FS299" s="138" t="e">
        <f>IF(VLOOKUP(CONCATENATE(H299,F299,FS$2),GeoHis!$A:$H,7,FALSE)=CG299,1,0)</f>
        <v>#N/A</v>
      </c>
      <c r="FT299" s="138" t="e">
        <f>IF(VLOOKUP(CONCATENATE(H299,F299,FT$2),GeoHis!$A:$H,7,FALSE)=CH299,1,0)</f>
        <v>#N/A</v>
      </c>
      <c r="FU299" s="138" t="e">
        <f>IF(VLOOKUP(CONCATENATE(H299,F299,FU$2),GeoHis!$A:$H,7,FALSE)=CI299,1,0)</f>
        <v>#N/A</v>
      </c>
      <c r="FV299" s="138" t="e">
        <f>IF(VLOOKUP(CONCATENATE(H299,F299,FV$2),GeoHis!$A:$H,7,FALSE)=CJ299,1,0)</f>
        <v>#N/A</v>
      </c>
      <c r="FW299" s="138" t="e">
        <f>IF(VLOOKUP(CONCATENATE(H299,F299,FW$2),GeoHis!$A:$H,7,FALSE)=CK299,1,0)</f>
        <v>#N/A</v>
      </c>
      <c r="FX299" s="138" t="e">
        <f>IF(VLOOKUP(CONCATENATE(H299,F299,FX$2),GeoHis!$A:$H,7,FALSE)=CL299,1,0)</f>
        <v>#N/A</v>
      </c>
      <c r="FY299" s="138" t="e">
        <f>IF(VLOOKUP(CONCATENATE(H299,F299,FY$2),GeoHis!$A:$H,7,FALSE)=CM299,1,0)</f>
        <v>#N/A</v>
      </c>
      <c r="FZ299" s="138" t="e">
        <f>IF(VLOOKUP(CONCATENATE(H299,F299,FZ$2),GeoHis!$A:$H,7,FALSE)=CN299,1,0)</f>
        <v>#N/A</v>
      </c>
      <c r="GA299" s="138" t="e">
        <f>IF(VLOOKUP(CONCATENATE(H299,F299,GA$2),GeoHis!$A:$H,7,FALSE)=CO299,1,0)</f>
        <v>#N/A</v>
      </c>
      <c r="GB299" s="138" t="e">
        <f>IF(VLOOKUP(CONCATENATE(H299,F299,GB$2),GeoHis!$A:$H,7,FALSE)=CP299,1,0)</f>
        <v>#N/A</v>
      </c>
      <c r="GC299" s="138" t="e">
        <f>IF(VLOOKUP(CONCATENATE(H299,F299,GC$2),GeoHis!$A:$H,7,FALSE)=CQ299,1,0)</f>
        <v>#N/A</v>
      </c>
      <c r="GD299" s="138" t="e">
        <f>IF(VLOOKUP(CONCATENATE(H299,F299,GD$2),GeoHis!$A:$H,7,FALSE)=CR299,1,0)</f>
        <v>#N/A</v>
      </c>
      <c r="GE299" s="135" t="str">
        <f t="shared" si="39"/>
        <v/>
      </c>
    </row>
    <row r="300" spans="1:187" x14ac:dyDescent="0.25">
      <c r="A300" s="127" t="str">
        <f>IF(C300="","",'Datos Generales'!$A$25)</f>
        <v/>
      </c>
      <c r="D300" s="126" t="str">
        <f t="shared" si="32"/>
        <v/>
      </c>
      <c r="E300" s="126">
        <f t="shared" si="33"/>
        <v>0</v>
      </c>
      <c r="F300" s="126" t="str">
        <f t="shared" si="34"/>
        <v/>
      </c>
      <c r="G300" s="126" t="str">
        <f>IF(C300="","",'Datos Generales'!$D$19)</f>
        <v/>
      </c>
      <c r="H300" s="21" t="str">
        <f>IF(C300="","",'Datos Generales'!$A$19)</f>
        <v/>
      </c>
      <c r="I300" s="126" t="str">
        <f>IF(C300="","",'Datos Generales'!$A$7)</f>
        <v/>
      </c>
      <c r="J300" s="21" t="str">
        <f>IF(C300="","",'Datos Generales'!$A$13)</f>
        <v/>
      </c>
      <c r="K300" s="21" t="str">
        <f>IF(C300="","",'Datos Generales'!$A$10)</f>
        <v/>
      </c>
      <c r="CS300" s="142" t="str">
        <f t="shared" si="35"/>
        <v/>
      </c>
      <c r="CT300" s="142" t="str">
        <f t="shared" si="36"/>
        <v/>
      </c>
      <c r="CU300" s="142" t="str">
        <f t="shared" si="37"/>
        <v/>
      </c>
      <c r="CV300" s="142" t="str">
        <f t="shared" si="38"/>
        <v/>
      </c>
      <c r="CW300" s="142" t="str">
        <f>IF(C300="","",IF('Datos Generales'!$A$19=1,AVERAGE(FP300:GD300),AVERAGE(Captura!FP300:FY300)))</f>
        <v/>
      </c>
      <c r="CX300" s="138" t="e">
        <f>IF(VLOOKUP(CONCATENATE($H$4,$F$4,CX$2),Español!$A:$H,7,FALSE)=L300,1,0)</f>
        <v>#N/A</v>
      </c>
      <c r="CY300" s="138" t="e">
        <f>IF(VLOOKUP(CONCATENATE(H300,F300,CY$2),Español!$A:$H,7,FALSE)=M300,1,0)</f>
        <v>#N/A</v>
      </c>
      <c r="CZ300" s="138" t="e">
        <f>IF(VLOOKUP(CONCATENATE(H300,F300,CZ$2),Español!$A:$H,7,FALSE)=N300,1,0)</f>
        <v>#N/A</v>
      </c>
      <c r="DA300" s="138" t="e">
        <f>IF(VLOOKUP(CONCATENATE(H300,F300,DA$2),Español!$A:$H,7,FALSE)=O300,1,0)</f>
        <v>#N/A</v>
      </c>
      <c r="DB300" s="138" t="e">
        <f>IF(VLOOKUP(CONCATENATE(H300,F300,DB$2),Español!$A:$H,7,FALSE)=P300,1,0)</f>
        <v>#N/A</v>
      </c>
      <c r="DC300" s="138" t="e">
        <f>IF(VLOOKUP(CONCATENATE(H300,F300,DC$2),Español!$A:$H,7,FALSE)=Q300,1,0)</f>
        <v>#N/A</v>
      </c>
      <c r="DD300" s="138" t="e">
        <f>IF(VLOOKUP(CONCATENATE(H300,F300,DD$2),Español!$A:$H,7,FALSE)=R300,1,0)</f>
        <v>#N/A</v>
      </c>
      <c r="DE300" s="138" t="e">
        <f>IF(VLOOKUP(CONCATENATE(H300,F300,DE$2),Español!$A:$H,7,FALSE)=S300,1,0)</f>
        <v>#N/A</v>
      </c>
      <c r="DF300" s="138" t="e">
        <f>IF(VLOOKUP(CONCATENATE(H300,F300,DF$2),Español!$A:$H,7,FALSE)=T300,1,0)</f>
        <v>#N/A</v>
      </c>
      <c r="DG300" s="138" t="e">
        <f>IF(VLOOKUP(CONCATENATE(H300,F300,DG$2),Español!$A:$H,7,FALSE)=U300,1,0)</f>
        <v>#N/A</v>
      </c>
      <c r="DH300" s="138" t="e">
        <f>IF(VLOOKUP(CONCATENATE(H300,F300,DH$2),Español!$A:$H,7,FALSE)=V300,1,0)</f>
        <v>#N/A</v>
      </c>
      <c r="DI300" s="138" t="e">
        <f>IF(VLOOKUP(CONCATENATE(H300,F300,DI$2),Español!$A:$H,7,FALSE)=W300,1,0)</f>
        <v>#N/A</v>
      </c>
      <c r="DJ300" s="138" t="e">
        <f>IF(VLOOKUP(CONCATENATE(H300,F300,DJ$2),Español!$A:$H,7,FALSE)=X300,1,0)</f>
        <v>#N/A</v>
      </c>
      <c r="DK300" s="138" t="e">
        <f>IF(VLOOKUP(CONCATENATE(H300,F300,DK$2),Español!$A:$H,7,FALSE)=Y300,1,0)</f>
        <v>#N/A</v>
      </c>
      <c r="DL300" s="138" t="e">
        <f>IF(VLOOKUP(CONCATENATE(H300,F300,DL$2),Español!$A:$H,7,FALSE)=Z300,1,0)</f>
        <v>#N/A</v>
      </c>
      <c r="DM300" s="138" t="e">
        <f>IF(VLOOKUP(CONCATENATE(H300,F300,DM$2),Español!$A:$H,7,FALSE)=AA300,1,0)</f>
        <v>#N/A</v>
      </c>
      <c r="DN300" s="138" t="e">
        <f>IF(VLOOKUP(CONCATENATE(H300,F300,DN$2),Español!$A:$H,7,FALSE)=AB300,1,0)</f>
        <v>#N/A</v>
      </c>
      <c r="DO300" s="138" t="e">
        <f>IF(VLOOKUP(CONCATENATE(H300,F300,DO$2),Español!$A:$H,7,FALSE)=AC300,1,0)</f>
        <v>#N/A</v>
      </c>
      <c r="DP300" s="138" t="e">
        <f>IF(VLOOKUP(CONCATENATE(H300,F300,DP$2),Español!$A:$H,7,FALSE)=AD300,1,0)</f>
        <v>#N/A</v>
      </c>
      <c r="DQ300" s="138" t="e">
        <f>IF(VLOOKUP(CONCATENATE(H300,F300,DQ$2),Español!$A:$H,7,FALSE)=AE300,1,0)</f>
        <v>#N/A</v>
      </c>
      <c r="DR300" s="138" t="e">
        <f>IF(VLOOKUP(CONCATENATE(H300,F300,DR$2),Inglés!$A:$H,7,FALSE)=AF300,1,0)</f>
        <v>#N/A</v>
      </c>
      <c r="DS300" s="138" t="e">
        <f>IF(VLOOKUP(CONCATENATE(H300,F300,DS$2),Inglés!$A:$H,7,FALSE)=AG300,1,0)</f>
        <v>#N/A</v>
      </c>
      <c r="DT300" s="138" t="e">
        <f>IF(VLOOKUP(CONCATENATE(H300,F300,DT$2),Inglés!$A:$H,7,FALSE)=AH300,1,0)</f>
        <v>#N/A</v>
      </c>
      <c r="DU300" s="138" t="e">
        <f>IF(VLOOKUP(CONCATENATE(H300,F300,DU$2),Inglés!$A:$H,7,FALSE)=AI300,1,0)</f>
        <v>#N/A</v>
      </c>
      <c r="DV300" s="138" t="e">
        <f>IF(VLOOKUP(CONCATENATE(H300,F300,DV$2),Inglés!$A:$H,7,FALSE)=AJ300,1,0)</f>
        <v>#N/A</v>
      </c>
      <c r="DW300" s="138" t="e">
        <f>IF(VLOOKUP(CONCATENATE(H300,F300,DW$2),Inglés!$A:$H,7,FALSE)=AK300,1,0)</f>
        <v>#N/A</v>
      </c>
      <c r="DX300" s="138" t="e">
        <f>IF(VLOOKUP(CONCATENATE(H300,F300,DX$2),Inglés!$A:$H,7,FALSE)=AL300,1,0)</f>
        <v>#N/A</v>
      </c>
      <c r="DY300" s="138" t="e">
        <f>IF(VLOOKUP(CONCATENATE(H300,F300,DY$2),Inglés!$A:$H,7,FALSE)=AM300,1,0)</f>
        <v>#N/A</v>
      </c>
      <c r="DZ300" s="138" t="e">
        <f>IF(VLOOKUP(CONCATENATE(H300,F300,DZ$2),Inglés!$A:$H,7,FALSE)=AN300,1,0)</f>
        <v>#N/A</v>
      </c>
      <c r="EA300" s="138" t="e">
        <f>IF(VLOOKUP(CONCATENATE(H300,F300,EA$2),Inglés!$A:$H,7,FALSE)=AO300,1,0)</f>
        <v>#N/A</v>
      </c>
      <c r="EB300" s="138" t="e">
        <f>IF(VLOOKUP(CONCATENATE(H300,F300,EB$2),Matemáticas!$A:$H,7,FALSE)=AP300,1,0)</f>
        <v>#N/A</v>
      </c>
      <c r="EC300" s="138" t="e">
        <f>IF(VLOOKUP(CONCATENATE(H300,F300,EC$2),Matemáticas!$A:$H,7,FALSE)=AQ300,1,0)</f>
        <v>#N/A</v>
      </c>
      <c r="ED300" s="138" t="e">
        <f>IF(VLOOKUP(CONCATENATE(H300,F300,ED$2),Matemáticas!$A:$H,7,FALSE)=AR300,1,0)</f>
        <v>#N/A</v>
      </c>
      <c r="EE300" s="138" t="e">
        <f>IF(VLOOKUP(CONCATENATE(H300,F300,EE$2),Matemáticas!$A:$H,7,FALSE)=AS300,1,0)</f>
        <v>#N/A</v>
      </c>
      <c r="EF300" s="138" t="e">
        <f>IF(VLOOKUP(CONCATENATE(H300,F300,EF$2),Matemáticas!$A:$H,7,FALSE)=AT300,1,0)</f>
        <v>#N/A</v>
      </c>
      <c r="EG300" s="138" t="e">
        <f>IF(VLOOKUP(CONCATENATE(H300,F300,EG$2),Matemáticas!$A:$H,7,FALSE)=AU300,1,0)</f>
        <v>#N/A</v>
      </c>
      <c r="EH300" s="138" t="e">
        <f>IF(VLOOKUP(CONCATENATE(H300,F300,EH$2),Matemáticas!$A:$H,7,FALSE)=AV300,1,0)</f>
        <v>#N/A</v>
      </c>
      <c r="EI300" s="138" t="e">
        <f>IF(VLOOKUP(CONCATENATE(H300,F300,EI$2),Matemáticas!$A:$H,7,FALSE)=AW300,1,0)</f>
        <v>#N/A</v>
      </c>
      <c r="EJ300" s="138" t="e">
        <f>IF(VLOOKUP(CONCATENATE(H300,F300,EJ$2),Matemáticas!$A:$H,7,FALSE)=AX300,1,0)</f>
        <v>#N/A</v>
      </c>
      <c r="EK300" s="138" t="e">
        <f>IF(VLOOKUP(CONCATENATE(H300,F300,EK$2),Matemáticas!$A:$H,7,FALSE)=AY300,1,0)</f>
        <v>#N/A</v>
      </c>
      <c r="EL300" s="138" t="e">
        <f>IF(VLOOKUP(CONCATENATE(H300,F300,EL$2),Matemáticas!$A:$H,7,FALSE)=AZ300,1,0)</f>
        <v>#N/A</v>
      </c>
      <c r="EM300" s="138" t="e">
        <f>IF(VLOOKUP(CONCATENATE(H300,F300,EM$2),Matemáticas!$A:$H,7,FALSE)=BA300,1,0)</f>
        <v>#N/A</v>
      </c>
      <c r="EN300" s="138" t="e">
        <f>IF(VLOOKUP(CONCATENATE(H300,F300,EN$2),Matemáticas!$A:$H,7,FALSE)=BB300,1,0)</f>
        <v>#N/A</v>
      </c>
      <c r="EO300" s="138" t="e">
        <f>IF(VLOOKUP(CONCATENATE(H300,F300,EO$2),Matemáticas!$A:$H,7,FALSE)=BC300,1,0)</f>
        <v>#N/A</v>
      </c>
      <c r="EP300" s="138" t="e">
        <f>IF(VLOOKUP(CONCATENATE(H300,F300,EP$2),Matemáticas!$A:$H,7,FALSE)=BD300,1,0)</f>
        <v>#N/A</v>
      </c>
      <c r="EQ300" s="138" t="e">
        <f>IF(VLOOKUP(CONCATENATE(H300,F300,EQ$2),Matemáticas!$A:$H,7,FALSE)=BE300,1,0)</f>
        <v>#N/A</v>
      </c>
      <c r="ER300" s="138" t="e">
        <f>IF(VLOOKUP(CONCATENATE(H300,F300,ER$2),Matemáticas!$A:$H,7,FALSE)=BF300,1,0)</f>
        <v>#N/A</v>
      </c>
      <c r="ES300" s="138" t="e">
        <f>IF(VLOOKUP(CONCATENATE(H300,F300,ES$2),Matemáticas!$A:$H,7,FALSE)=BG300,1,0)</f>
        <v>#N/A</v>
      </c>
      <c r="ET300" s="138" t="e">
        <f>IF(VLOOKUP(CONCATENATE(H300,F300,ET$2),Matemáticas!$A:$H,7,FALSE)=BH300,1,0)</f>
        <v>#N/A</v>
      </c>
      <c r="EU300" s="138" t="e">
        <f>IF(VLOOKUP(CONCATENATE(H300,F300,EU$2),Matemáticas!$A:$H,7,FALSE)=BI300,1,0)</f>
        <v>#N/A</v>
      </c>
      <c r="EV300" s="138" t="e">
        <f>IF(VLOOKUP(CONCATENATE(H300,F300,EV$2),Ciencias!$A:$H,7,FALSE)=BJ300,1,0)</f>
        <v>#N/A</v>
      </c>
      <c r="EW300" s="138" t="e">
        <f>IF(VLOOKUP(CONCATENATE(H300,F300,EW$2),Ciencias!$A:$H,7,FALSE)=BK300,1,0)</f>
        <v>#N/A</v>
      </c>
      <c r="EX300" s="138" t="e">
        <f>IF(VLOOKUP(CONCATENATE(H300,F300,EX$2),Ciencias!$A:$H,7,FALSE)=BL300,1,0)</f>
        <v>#N/A</v>
      </c>
      <c r="EY300" s="138" t="e">
        <f>IF(VLOOKUP(CONCATENATE(H300,F300,EY$2),Ciencias!$A:$H,7,FALSE)=BM300,1,0)</f>
        <v>#N/A</v>
      </c>
      <c r="EZ300" s="138" t="e">
        <f>IF(VLOOKUP(CONCATENATE(H300,F300,EZ$2),Ciencias!$A:$H,7,FALSE)=BN300,1,0)</f>
        <v>#N/A</v>
      </c>
      <c r="FA300" s="138" t="e">
        <f>IF(VLOOKUP(CONCATENATE(H300,F300,FA$2),Ciencias!$A:$H,7,FALSE)=BO300,1,0)</f>
        <v>#N/A</v>
      </c>
      <c r="FB300" s="138" t="e">
        <f>IF(VLOOKUP(CONCATENATE(H300,F300,FB$2),Ciencias!$A:$H,7,FALSE)=BP300,1,0)</f>
        <v>#N/A</v>
      </c>
      <c r="FC300" s="138" t="e">
        <f>IF(VLOOKUP(CONCATENATE(H300,F300,FC$2),Ciencias!$A:$H,7,FALSE)=BQ300,1,0)</f>
        <v>#N/A</v>
      </c>
      <c r="FD300" s="138" t="e">
        <f>IF(VLOOKUP(CONCATENATE(H300,F300,FD$2),Ciencias!$A:$H,7,FALSE)=BR300,1,0)</f>
        <v>#N/A</v>
      </c>
      <c r="FE300" s="138" t="e">
        <f>IF(VLOOKUP(CONCATENATE(H300,F300,FE$2),Ciencias!$A:$H,7,FALSE)=BS300,1,0)</f>
        <v>#N/A</v>
      </c>
      <c r="FF300" s="138" t="e">
        <f>IF(VLOOKUP(CONCATENATE(H300,F300,FF$2),Ciencias!$A:$H,7,FALSE)=BT300,1,0)</f>
        <v>#N/A</v>
      </c>
      <c r="FG300" s="138" t="e">
        <f>IF(VLOOKUP(CONCATENATE(H300,F300,FG$2),Ciencias!$A:$H,7,FALSE)=BU300,1,0)</f>
        <v>#N/A</v>
      </c>
      <c r="FH300" s="138" t="e">
        <f>IF(VLOOKUP(CONCATENATE(H300,F300,FH$2),Ciencias!$A:$H,7,FALSE)=BV300,1,0)</f>
        <v>#N/A</v>
      </c>
      <c r="FI300" s="138" t="e">
        <f>IF(VLOOKUP(CONCATENATE(H300,F300,FI$2),Ciencias!$A:$H,7,FALSE)=BW300,1,0)</f>
        <v>#N/A</v>
      </c>
      <c r="FJ300" s="138" t="e">
        <f>IF(VLOOKUP(CONCATENATE(H300,F300,FJ$2),Ciencias!$A:$H,7,FALSE)=BX300,1,0)</f>
        <v>#N/A</v>
      </c>
      <c r="FK300" s="138" t="e">
        <f>IF(VLOOKUP(CONCATENATE(H300,F300,FK$2),Ciencias!$A:$H,7,FALSE)=BY300,1,0)</f>
        <v>#N/A</v>
      </c>
      <c r="FL300" s="138" t="e">
        <f>IF(VLOOKUP(CONCATENATE(H300,F300,FL$2),Ciencias!$A:$H,7,FALSE)=BZ300,1,0)</f>
        <v>#N/A</v>
      </c>
      <c r="FM300" s="138" t="e">
        <f>IF(VLOOKUP(CONCATENATE(H300,F300,FM$2),Ciencias!$A:$H,7,FALSE)=CA300,1,0)</f>
        <v>#N/A</v>
      </c>
      <c r="FN300" s="138" t="e">
        <f>IF(VLOOKUP(CONCATENATE(H300,F300,FN$2),Ciencias!$A:$H,7,FALSE)=CB300,1,0)</f>
        <v>#N/A</v>
      </c>
      <c r="FO300" s="138" t="e">
        <f>IF(VLOOKUP(CONCATENATE(H300,F300,FO$2),Ciencias!$A:$H,7,FALSE)=CC300,1,0)</f>
        <v>#N/A</v>
      </c>
      <c r="FP300" s="138" t="e">
        <f>IF(VLOOKUP(CONCATENATE(H300,F300,FP$2),GeoHis!$A:$H,7,FALSE)=CD300,1,0)</f>
        <v>#N/A</v>
      </c>
      <c r="FQ300" s="138" t="e">
        <f>IF(VLOOKUP(CONCATENATE(H300,F300,FQ$2),GeoHis!$A:$H,7,FALSE)=CE300,1,0)</f>
        <v>#N/A</v>
      </c>
      <c r="FR300" s="138" t="e">
        <f>IF(VLOOKUP(CONCATENATE(H300,F300,FR$2),GeoHis!$A:$H,7,FALSE)=CF300,1,0)</f>
        <v>#N/A</v>
      </c>
      <c r="FS300" s="138" t="e">
        <f>IF(VLOOKUP(CONCATENATE(H300,F300,FS$2),GeoHis!$A:$H,7,FALSE)=CG300,1,0)</f>
        <v>#N/A</v>
      </c>
      <c r="FT300" s="138" t="e">
        <f>IF(VLOOKUP(CONCATENATE(H300,F300,FT$2),GeoHis!$A:$H,7,FALSE)=CH300,1,0)</f>
        <v>#N/A</v>
      </c>
      <c r="FU300" s="138" t="e">
        <f>IF(VLOOKUP(CONCATENATE(H300,F300,FU$2),GeoHis!$A:$H,7,FALSE)=CI300,1,0)</f>
        <v>#N/A</v>
      </c>
      <c r="FV300" s="138" t="e">
        <f>IF(VLOOKUP(CONCATENATE(H300,F300,FV$2),GeoHis!$A:$H,7,FALSE)=CJ300,1,0)</f>
        <v>#N/A</v>
      </c>
      <c r="FW300" s="138" t="e">
        <f>IF(VLOOKUP(CONCATENATE(H300,F300,FW$2),GeoHis!$A:$H,7,FALSE)=CK300,1,0)</f>
        <v>#N/A</v>
      </c>
      <c r="FX300" s="138" t="e">
        <f>IF(VLOOKUP(CONCATENATE(H300,F300,FX$2),GeoHis!$A:$H,7,FALSE)=CL300,1,0)</f>
        <v>#N/A</v>
      </c>
      <c r="FY300" s="138" t="e">
        <f>IF(VLOOKUP(CONCATENATE(H300,F300,FY$2),GeoHis!$A:$H,7,FALSE)=CM300,1,0)</f>
        <v>#N/A</v>
      </c>
      <c r="FZ300" s="138" t="e">
        <f>IF(VLOOKUP(CONCATENATE(H300,F300,FZ$2),GeoHis!$A:$H,7,FALSE)=CN300,1,0)</f>
        <v>#N/A</v>
      </c>
      <c r="GA300" s="138" t="e">
        <f>IF(VLOOKUP(CONCATENATE(H300,F300,GA$2),GeoHis!$A:$H,7,FALSE)=CO300,1,0)</f>
        <v>#N/A</v>
      </c>
      <c r="GB300" s="138" t="e">
        <f>IF(VLOOKUP(CONCATENATE(H300,F300,GB$2),GeoHis!$A:$H,7,FALSE)=CP300,1,0)</f>
        <v>#N/A</v>
      </c>
      <c r="GC300" s="138" t="e">
        <f>IF(VLOOKUP(CONCATENATE(H300,F300,GC$2),GeoHis!$A:$H,7,FALSE)=CQ300,1,0)</f>
        <v>#N/A</v>
      </c>
      <c r="GD300" s="138" t="e">
        <f>IF(VLOOKUP(CONCATENATE(H300,F300,GD$2),GeoHis!$A:$H,7,FALSE)=CR300,1,0)</f>
        <v>#N/A</v>
      </c>
      <c r="GE300" s="135" t="str">
        <f t="shared" si="39"/>
        <v/>
      </c>
    </row>
    <row r="301" spans="1:187" x14ac:dyDescent="0.25">
      <c r="A301" s="127" t="str">
        <f>IF(C301="","",'Datos Generales'!$A$25)</f>
        <v/>
      </c>
      <c r="D301" s="126" t="str">
        <f t="shared" si="32"/>
        <v/>
      </c>
      <c r="E301" s="126">
        <f t="shared" si="33"/>
        <v>0</v>
      </c>
      <c r="F301" s="126" t="str">
        <f t="shared" si="34"/>
        <v/>
      </c>
      <c r="G301" s="126" t="str">
        <f>IF(C301="","",'Datos Generales'!$D$19)</f>
        <v/>
      </c>
      <c r="H301" s="21" t="str">
        <f>IF(C301="","",'Datos Generales'!$A$19)</f>
        <v/>
      </c>
      <c r="I301" s="126" t="str">
        <f>IF(C301="","",'Datos Generales'!$A$7)</f>
        <v/>
      </c>
      <c r="J301" s="21" t="str">
        <f>IF(C301="","",'Datos Generales'!$A$13)</f>
        <v/>
      </c>
      <c r="K301" s="21" t="str">
        <f>IF(C301="","",'Datos Generales'!$A$10)</f>
        <v/>
      </c>
      <c r="CS301" s="142" t="str">
        <f t="shared" si="35"/>
        <v/>
      </c>
      <c r="CT301" s="142" t="str">
        <f t="shared" si="36"/>
        <v/>
      </c>
      <c r="CU301" s="142" t="str">
        <f t="shared" si="37"/>
        <v/>
      </c>
      <c r="CV301" s="142" t="str">
        <f t="shared" si="38"/>
        <v/>
      </c>
      <c r="CW301" s="142" t="str">
        <f>IF(C301="","",IF('Datos Generales'!$A$19=1,AVERAGE(FP301:GD301),AVERAGE(Captura!FP301:FY301)))</f>
        <v/>
      </c>
      <c r="CX301" s="138" t="e">
        <f>IF(VLOOKUP(CONCATENATE($H$4,$F$4,CX$2),Español!$A:$H,7,FALSE)=L301,1,0)</f>
        <v>#N/A</v>
      </c>
      <c r="CY301" s="138" t="e">
        <f>IF(VLOOKUP(CONCATENATE(H301,F301,CY$2),Español!$A:$H,7,FALSE)=M301,1,0)</f>
        <v>#N/A</v>
      </c>
      <c r="CZ301" s="138" t="e">
        <f>IF(VLOOKUP(CONCATENATE(H301,F301,CZ$2),Español!$A:$H,7,FALSE)=N301,1,0)</f>
        <v>#N/A</v>
      </c>
      <c r="DA301" s="138" t="e">
        <f>IF(VLOOKUP(CONCATENATE(H301,F301,DA$2),Español!$A:$H,7,FALSE)=O301,1,0)</f>
        <v>#N/A</v>
      </c>
      <c r="DB301" s="138" t="e">
        <f>IF(VLOOKUP(CONCATENATE(H301,F301,DB$2),Español!$A:$H,7,FALSE)=P301,1,0)</f>
        <v>#N/A</v>
      </c>
      <c r="DC301" s="138" t="e">
        <f>IF(VLOOKUP(CONCATENATE(H301,F301,DC$2),Español!$A:$H,7,FALSE)=Q301,1,0)</f>
        <v>#N/A</v>
      </c>
      <c r="DD301" s="138" t="e">
        <f>IF(VLOOKUP(CONCATENATE(H301,F301,DD$2),Español!$A:$H,7,FALSE)=R301,1,0)</f>
        <v>#N/A</v>
      </c>
      <c r="DE301" s="138" t="e">
        <f>IF(VLOOKUP(CONCATENATE(H301,F301,DE$2),Español!$A:$H,7,FALSE)=S301,1,0)</f>
        <v>#N/A</v>
      </c>
      <c r="DF301" s="138" t="e">
        <f>IF(VLOOKUP(CONCATENATE(H301,F301,DF$2),Español!$A:$H,7,FALSE)=T301,1,0)</f>
        <v>#N/A</v>
      </c>
      <c r="DG301" s="138" t="e">
        <f>IF(VLOOKUP(CONCATENATE(H301,F301,DG$2),Español!$A:$H,7,FALSE)=U301,1,0)</f>
        <v>#N/A</v>
      </c>
      <c r="DH301" s="138" t="e">
        <f>IF(VLOOKUP(CONCATENATE(H301,F301,DH$2),Español!$A:$H,7,FALSE)=V301,1,0)</f>
        <v>#N/A</v>
      </c>
      <c r="DI301" s="138" t="e">
        <f>IF(VLOOKUP(CONCATENATE(H301,F301,DI$2),Español!$A:$H,7,FALSE)=W301,1,0)</f>
        <v>#N/A</v>
      </c>
      <c r="DJ301" s="138" t="e">
        <f>IF(VLOOKUP(CONCATENATE(H301,F301,DJ$2),Español!$A:$H,7,FALSE)=X301,1,0)</f>
        <v>#N/A</v>
      </c>
      <c r="DK301" s="138" t="e">
        <f>IF(VLOOKUP(CONCATENATE(H301,F301,DK$2),Español!$A:$H,7,FALSE)=Y301,1,0)</f>
        <v>#N/A</v>
      </c>
      <c r="DL301" s="138" t="e">
        <f>IF(VLOOKUP(CONCATENATE(H301,F301,DL$2),Español!$A:$H,7,FALSE)=Z301,1,0)</f>
        <v>#N/A</v>
      </c>
      <c r="DM301" s="138" t="e">
        <f>IF(VLOOKUP(CONCATENATE(H301,F301,DM$2),Español!$A:$H,7,FALSE)=AA301,1,0)</f>
        <v>#N/A</v>
      </c>
      <c r="DN301" s="138" t="e">
        <f>IF(VLOOKUP(CONCATENATE(H301,F301,DN$2),Español!$A:$H,7,FALSE)=AB301,1,0)</f>
        <v>#N/A</v>
      </c>
      <c r="DO301" s="138" t="e">
        <f>IF(VLOOKUP(CONCATENATE(H301,F301,DO$2),Español!$A:$H,7,FALSE)=AC301,1,0)</f>
        <v>#N/A</v>
      </c>
      <c r="DP301" s="138" t="e">
        <f>IF(VLOOKUP(CONCATENATE(H301,F301,DP$2),Español!$A:$H,7,FALSE)=AD301,1,0)</f>
        <v>#N/A</v>
      </c>
      <c r="DQ301" s="138" t="e">
        <f>IF(VLOOKUP(CONCATENATE(H301,F301,DQ$2),Español!$A:$H,7,FALSE)=AE301,1,0)</f>
        <v>#N/A</v>
      </c>
      <c r="DR301" s="138" t="e">
        <f>IF(VLOOKUP(CONCATENATE(H301,F301,DR$2),Inglés!$A:$H,7,FALSE)=AF301,1,0)</f>
        <v>#N/A</v>
      </c>
      <c r="DS301" s="138" t="e">
        <f>IF(VLOOKUP(CONCATENATE(H301,F301,DS$2),Inglés!$A:$H,7,FALSE)=AG301,1,0)</f>
        <v>#N/A</v>
      </c>
      <c r="DT301" s="138" t="e">
        <f>IF(VLOOKUP(CONCATENATE(H301,F301,DT$2),Inglés!$A:$H,7,FALSE)=AH301,1,0)</f>
        <v>#N/A</v>
      </c>
      <c r="DU301" s="138" t="e">
        <f>IF(VLOOKUP(CONCATENATE(H301,F301,DU$2),Inglés!$A:$H,7,FALSE)=AI301,1,0)</f>
        <v>#N/A</v>
      </c>
      <c r="DV301" s="138" t="e">
        <f>IF(VLOOKUP(CONCATENATE(H301,F301,DV$2),Inglés!$A:$H,7,FALSE)=AJ301,1,0)</f>
        <v>#N/A</v>
      </c>
      <c r="DW301" s="138" t="e">
        <f>IF(VLOOKUP(CONCATENATE(H301,F301,DW$2),Inglés!$A:$H,7,FALSE)=AK301,1,0)</f>
        <v>#N/A</v>
      </c>
      <c r="DX301" s="138" t="e">
        <f>IF(VLOOKUP(CONCATENATE(H301,F301,DX$2),Inglés!$A:$H,7,FALSE)=AL301,1,0)</f>
        <v>#N/A</v>
      </c>
      <c r="DY301" s="138" t="e">
        <f>IF(VLOOKUP(CONCATENATE(H301,F301,DY$2),Inglés!$A:$H,7,FALSE)=AM301,1,0)</f>
        <v>#N/A</v>
      </c>
      <c r="DZ301" s="138" t="e">
        <f>IF(VLOOKUP(CONCATENATE(H301,F301,DZ$2),Inglés!$A:$H,7,FALSE)=AN301,1,0)</f>
        <v>#N/A</v>
      </c>
      <c r="EA301" s="138" t="e">
        <f>IF(VLOOKUP(CONCATENATE(H301,F301,EA$2),Inglés!$A:$H,7,FALSE)=AO301,1,0)</f>
        <v>#N/A</v>
      </c>
      <c r="EB301" s="138" t="e">
        <f>IF(VLOOKUP(CONCATENATE(H301,F301,EB$2),Matemáticas!$A:$H,7,FALSE)=AP301,1,0)</f>
        <v>#N/A</v>
      </c>
      <c r="EC301" s="138" t="e">
        <f>IF(VLOOKUP(CONCATENATE(H301,F301,EC$2),Matemáticas!$A:$H,7,FALSE)=AQ301,1,0)</f>
        <v>#N/A</v>
      </c>
      <c r="ED301" s="138" t="e">
        <f>IF(VLOOKUP(CONCATENATE(H301,F301,ED$2),Matemáticas!$A:$H,7,FALSE)=AR301,1,0)</f>
        <v>#N/A</v>
      </c>
      <c r="EE301" s="138" t="e">
        <f>IF(VLOOKUP(CONCATENATE(H301,F301,EE$2),Matemáticas!$A:$H,7,FALSE)=AS301,1,0)</f>
        <v>#N/A</v>
      </c>
      <c r="EF301" s="138" t="e">
        <f>IF(VLOOKUP(CONCATENATE(H301,F301,EF$2),Matemáticas!$A:$H,7,FALSE)=AT301,1,0)</f>
        <v>#N/A</v>
      </c>
      <c r="EG301" s="138" t="e">
        <f>IF(VLOOKUP(CONCATENATE(H301,F301,EG$2),Matemáticas!$A:$H,7,FALSE)=AU301,1,0)</f>
        <v>#N/A</v>
      </c>
      <c r="EH301" s="138" t="e">
        <f>IF(VLOOKUP(CONCATENATE(H301,F301,EH$2),Matemáticas!$A:$H,7,FALSE)=AV301,1,0)</f>
        <v>#N/A</v>
      </c>
      <c r="EI301" s="138" t="e">
        <f>IF(VLOOKUP(CONCATENATE(H301,F301,EI$2),Matemáticas!$A:$H,7,FALSE)=AW301,1,0)</f>
        <v>#N/A</v>
      </c>
      <c r="EJ301" s="138" t="e">
        <f>IF(VLOOKUP(CONCATENATE(H301,F301,EJ$2),Matemáticas!$A:$H,7,FALSE)=AX301,1,0)</f>
        <v>#N/A</v>
      </c>
      <c r="EK301" s="138" t="e">
        <f>IF(VLOOKUP(CONCATENATE(H301,F301,EK$2),Matemáticas!$A:$H,7,FALSE)=AY301,1,0)</f>
        <v>#N/A</v>
      </c>
      <c r="EL301" s="138" t="e">
        <f>IF(VLOOKUP(CONCATENATE(H301,F301,EL$2),Matemáticas!$A:$H,7,FALSE)=AZ301,1,0)</f>
        <v>#N/A</v>
      </c>
      <c r="EM301" s="138" t="e">
        <f>IF(VLOOKUP(CONCATENATE(H301,F301,EM$2),Matemáticas!$A:$H,7,FALSE)=BA301,1,0)</f>
        <v>#N/A</v>
      </c>
      <c r="EN301" s="138" t="e">
        <f>IF(VLOOKUP(CONCATENATE(H301,F301,EN$2),Matemáticas!$A:$H,7,FALSE)=BB301,1,0)</f>
        <v>#N/A</v>
      </c>
      <c r="EO301" s="138" t="e">
        <f>IF(VLOOKUP(CONCATENATE(H301,F301,EO$2),Matemáticas!$A:$H,7,FALSE)=BC301,1,0)</f>
        <v>#N/A</v>
      </c>
      <c r="EP301" s="138" t="e">
        <f>IF(VLOOKUP(CONCATENATE(H301,F301,EP$2),Matemáticas!$A:$H,7,FALSE)=BD301,1,0)</f>
        <v>#N/A</v>
      </c>
      <c r="EQ301" s="138" t="e">
        <f>IF(VLOOKUP(CONCATENATE(H301,F301,EQ$2),Matemáticas!$A:$H,7,FALSE)=BE301,1,0)</f>
        <v>#N/A</v>
      </c>
      <c r="ER301" s="138" t="e">
        <f>IF(VLOOKUP(CONCATENATE(H301,F301,ER$2),Matemáticas!$A:$H,7,FALSE)=BF301,1,0)</f>
        <v>#N/A</v>
      </c>
      <c r="ES301" s="138" t="e">
        <f>IF(VLOOKUP(CONCATENATE(H301,F301,ES$2),Matemáticas!$A:$H,7,FALSE)=BG301,1,0)</f>
        <v>#N/A</v>
      </c>
      <c r="ET301" s="138" t="e">
        <f>IF(VLOOKUP(CONCATENATE(H301,F301,ET$2),Matemáticas!$A:$H,7,FALSE)=BH301,1,0)</f>
        <v>#N/A</v>
      </c>
      <c r="EU301" s="138" t="e">
        <f>IF(VLOOKUP(CONCATENATE(H301,F301,EU$2),Matemáticas!$A:$H,7,FALSE)=BI301,1,0)</f>
        <v>#N/A</v>
      </c>
      <c r="EV301" s="138" t="e">
        <f>IF(VLOOKUP(CONCATENATE(H301,F301,EV$2),Ciencias!$A:$H,7,FALSE)=BJ301,1,0)</f>
        <v>#N/A</v>
      </c>
      <c r="EW301" s="138" t="e">
        <f>IF(VLOOKUP(CONCATENATE(H301,F301,EW$2),Ciencias!$A:$H,7,FALSE)=BK301,1,0)</f>
        <v>#N/A</v>
      </c>
      <c r="EX301" s="138" t="e">
        <f>IF(VLOOKUP(CONCATENATE(H301,F301,EX$2),Ciencias!$A:$H,7,FALSE)=BL301,1,0)</f>
        <v>#N/A</v>
      </c>
      <c r="EY301" s="138" t="e">
        <f>IF(VLOOKUP(CONCATENATE(H301,F301,EY$2),Ciencias!$A:$H,7,FALSE)=BM301,1,0)</f>
        <v>#N/A</v>
      </c>
      <c r="EZ301" s="138" t="e">
        <f>IF(VLOOKUP(CONCATENATE(H301,F301,EZ$2),Ciencias!$A:$H,7,FALSE)=BN301,1,0)</f>
        <v>#N/A</v>
      </c>
      <c r="FA301" s="138" t="e">
        <f>IF(VLOOKUP(CONCATENATE(H301,F301,FA$2),Ciencias!$A:$H,7,FALSE)=BO301,1,0)</f>
        <v>#N/A</v>
      </c>
      <c r="FB301" s="138" t="e">
        <f>IF(VLOOKUP(CONCATENATE(H301,F301,FB$2),Ciencias!$A:$H,7,FALSE)=BP301,1,0)</f>
        <v>#N/A</v>
      </c>
      <c r="FC301" s="138" t="e">
        <f>IF(VLOOKUP(CONCATENATE(H301,F301,FC$2),Ciencias!$A:$H,7,FALSE)=BQ301,1,0)</f>
        <v>#N/A</v>
      </c>
      <c r="FD301" s="138" t="e">
        <f>IF(VLOOKUP(CONCATENATE(H301,F301,FD$2),Ciencias!$A:$H,7,FALSE)=BR301,1,0)</f>
        <v>#N/A</v>
      </c>
      <c r="FE301" s="138" t="e">
        <f>IF(VLOOKUP(CONCATENATE(H301,F301,FE$2),Ciencias!$A:$H,7,FALSE)=BS301,1,0)</f>
        <v>#N/A</v>
      </c>
      <c r="FF301" s="138" t="e">
        <f>IF(VLOOKUP(CONCATENATE(H301,F301,FF$2),Ciencias!$A:$H,7,FALSE)=BT301,1,0)</f>
        <v>#N/A</v>
      </c>
      <c r="FG301" s="138" t="e">
        <f>IF(VLOOKUP(CONCATENATE(H301,F301,FG$2),Ciencias!$A:$H,7,FALSE)=BU301,1,0)</f>
        <v>#N/A</v>
      </c>
      <c r="FH301" s="138" t="e">
        <f>IF(VLOOKUP(CONCATENATE(H301,F301,FH$2),Ciencias!$A:$H,7,FALSE)=BV301,1,0)</f>
        <v>#N/A</v>
      </c>
      <c r="FI301" s="138" t="e">
        <f>IF(VLOOKUP(CONCATENATE(H301,F301,FI$2),Ciencias!$A:$H,7,FALSE)=BW301,1,0)</f>
        <v>#N/A</v>
      </c>
      <c r="FJ301" s="138" t="e">
        <f>IF(VLOOKUP(CONCATENATE(H301,F301,FJ$2),Ciencias!$A:$H,7,FALSE)=BX301,1,0)</f>
        <v>#N/A</v>
      </c>
      <c r="FK301" s="138" t="e">
        <f>IF(VLOOKUP(CONCATENATE(H301,F301,FK$2),Ciencias!$A:$H,7,FALSE)=BY301,1,0)</f>
        <v>#N/A</v>
      </c>
      <c r="FL301" s="138" t="e">
        <f>IF(VLOOKUP(CONCATENATE(H301,F301,FL$2),Ciencias!$A:$H,7,FALSE)=BZ301,1,0)</f>
        <v>#N/A</v>
      </c>
      <c r="FM301" s="138" t="e">
        <f>IF(VLOOKUP(CONCATENATE(H301,F301,FM$2),Ciencias!$A:$H,7,FALSE)=CA301,1,0)</f>
        <v>#N/A</v>
      </c>
      <c r="FN301" s="138" t="e">
        <f>IF(VLOOKUP(CONCATENATE(H301,F301,FN$2),Ciencias!$A:$H,7,FALSE)=CB301,1,0)</f>
        <v>#N/A</v>
      </c>
      <c r="FO301" s="138" t="e">
        <f>IF(VLOOKUP(CONCATENATE(H301,F301,FO$2),Ciencias!$A:$H,7,FALSE)=CC301,1,0)</f>
        <v>#N/A</v>
      </c>
      <c r="FP301" s="138" t="e">
        <f>IF(VLOOKUP(CONCATENATE(H301,F301,FP$2),GeoHis!$A:$H,7,FALSE)=CD301,1,0)</f>
        <v>#N/A</v>
      </c>
      <c r="FQ301" s="138" t="e">
        <f>IF(VLOOKUP(CONCATENATE(H301,F301,FQ$2),GeoHis!$A:$H,7,FALSE)=CE301,1,0)</f>
        <v>#N/A</v>
      </c>
      <c r="FR301" s="138" t="e">
        <f>IF(VLOOKUP(CONCATENATE(H301,F301,FR$2),GeoHis!$A:$H,7,FALSE)=CF301,1,0)</f>
        <v>#N/A</v>
      </c>
      <c r="FS301" s="138" t="e">
        <f>IF(VLOOKUP(CONCATENATE(H301,F301,FS$2),GeoHis!$A:$H,7,FALSE)=CG301,1,0)</f>
        <v>#N/A</v>
      </c>
      <c r="FT301" s="138" t="e">
        <f>IF(VLOOKUP(CONCATENATE(H301,F301,FT$2),GeoHis!$A:$H,7,FALSE)=CH301,1,0)</f>
        <v>#N/A</v>
      </c>
      <c r="FU301" s="138" t="e">
        <f>IF(VLOOKUP(CONCATENATE(H301,F301,FU$2),GeoHis!$A:$H,7,FALSE)=CI301,1,0)</f>
        <v>#N/A</v>
      </c>
      <c r="FV301" s="138" t="e">
        <f>IF(VLOOKUP(CONCATENATE(H301,F301,FV$2),GeoHis!$A:$H,7,FALSE)=CJ301,1,0)</f>
        <v>#N/A</v>
      </c>
      <c r="FW301" s="138" t="e">
        <f>IF(VLOOKUP(CONCATENATE(H301,F301,FW$2),GeoHis!$A:$H,7,FALSE)=CK301,1,0)</f>
        <v>#N/A</v>
      </c>
      <c r="FX301" s="138" t="e">
        <f>IF(VLOOKUP(CONCATENATE(H301,F301,FX$2),GeoHis!$A:$H,7,FALSE)=CL301,1,0)</f>
        <v>#N/A</v>
      </c>
      <c r="FY301" s="138" t="e">
        <f>IF(VLOOKUP(CONCATENATE(H301,F301,FY$2),GeoHis!$A:$H,7,FALSE)=CM301,1,0)</f>
        <v>#N/A</v>
      </c>
      <c r="FZ301" s="138" t="e">
        <f>IF(VLOOKUP(CONCATENATE(H301,F301,FZ$2),GeoHis!$A:$H,7,FALSE)=CN301,1,0)</f>
        <v>#N/A</v>
      </c>
      <c r="GA301" s="138" t="e">
        <f>IF(VLOOKUP(CONCATENATE(H301,F301,GA$2),GeoHis!$A:$H,7,FALSE)=CO301,1,0)</f>
        <v>#N/A</v>
      </c>
      <c r="GB301" s="138" t="e">
        <f>IF(VLOOKUP(CONCATENATE(H301,F301,GB$2),GeoHis!$A:$H,7,FALSE)=CP301,1,0)</f>
        <v>#N/A</v>
      </c>
      <c r="GC301" s="138" t="e">
        <f>IF(VLOOKUP(CONCATENATE(H301,F301,GC$2),GeoHis!$A:$H,7,FALSE)=CQ301,1,0)</f>
        <v>#N/A</v>
      </c>
      <c r="GD301" s="138" t="e">
        <f>IF(VLOOKUP(CONCATENATE(H301,F301,GD$2),GeoHis!$A:$H,7,FALSE)=CR301,1,0)</f>
        <v>#N/A</v>
      </c>
      <c r="GE301" s="135" t="str">
        <f t="shared" si="39"/>
        <v/>
      </c>
    </row>
    <row r="302" spans="1:187" x14ac:dyDescent="0.25">
      <c r="A302" s="127" t="str">
        <f>IF(C302="","",'Datos Generales'!$A$25)</f>
        <v/>
      </c>
      <c r="D302" s="126" t="str">
        <f t="shared" si="32"/>
        <v/>
      </c>
      <c r="E302" s="126">
        <f t="shared" si="33"/>
        <v>0</v>
      </c>
      <c r="F302" s="126" t="str">
        <f t="shared" si="34"/>
        <v/>
      </c>
      <c r="G302" s="126" t="str">
        <f>IF(C302="","",'Datos Generales'!$D$19)</f>
        <v/>
      </c>
      <c r="H302" s="21" t="str">
        <f>IF(C302="","",'Datos Generales'!$A$19)</f>
        <v/>
      </c>
      <c r="I302" s="126" t="str">
        <f>IF(C302="","",'Datos Generales'!$A$7)</f>
        <v/>
      </c>
      <c r="J302" s="21" t="str">
        <f>IF(C302="","",'Datos Generales'!$A$13)</f>
        <v/>
      </c>
      <c r="K302" s="21" t="str">
        <f>IF(C302="","",'Datos Generales'!$A$10)</f>
        <v/>
      </c>
      <c r="CS302" s="142" t="str">
        <f t="shared" si="35"/>
        <v/>
      </c>
      <c r="CT302" s="142" t="str">
        <f t="shared" si="36"/>
        <v/>
      </c>
      <c r="CU302" s="142" t="str">
        <f t="shared" si="37"/>
        <v/>
      </c>
      <c r="CV302" s="142" t="str">
        <f t="shared" si="38"/>
        <v/>
      </c>
      <c r="CW302" s="142" t="str">
        <f>IF(C302="","",IF('Datos Generales'!$A$19=1,AVERAGE(FP302:GD302),AVERAGE(Captura!FP302:FY302)))</f>
        <v/>
      </c>
      <c r="CX302" s="138" t="e">
        <f>IF(VLOOKUP(CONCATENATE($H$4,$F$4,CX$2),Español!$A:$H,7,FALSE)=L302,1,0)</f>
        <v>#N/A</v>
      </c>
      <c r="CY302" s="138" t="e">
        <f>IF(VLOOKUP(CONCATENATE(H302,F302,CY$2),Español!$A:$H,7,FALSE)=M302,1,0)</f>
        <v>#N/A</v>
      </c>
      <c r="CZ302" s="138" t="e">
        <f>IF(VLOOKUP(CONCATENATE(H302,F302,CZ$2),Español!$A:$H,7,FALSE)=N302,1,0)</f>
        <v>#N/A</v>
      </c>
      <c r="DA302" s="138" t="e">
        <f>IF(VLOOKUP(CONCATENATE(H302,F302,DA$2),Español!$A:$H,7,FALSE)=O302,1,0)</f>
        <v>#N/A</v>
      </c>
      <c r="DB302" s="138" t="e">
        <f>IF(VLOOKUP(CONCATENATE(H302,F302,DB$2),Español!$A:$H,7,FALSE)=P302,1,0)</f>
        <v>#N/A</v>
      </c>
      <c r="DC302" s="138" t="e">
        <f>IF(VLOOKUP(CONCATENATE(H302,F302,DC$2),Español!$A:$H,7,FALSE)=Q302,1,0)</f>
        <v>#N/A</v>
      </c>
      <c r="DD302" s="138" t="e">
        <f>IF(VLOOKUP(CONCATENATE(H302,F302,DD$2),Español!$A:$H,7,FALSE)=R302,1,0)</f>
        <v>#N/A</v>
      </c>
      <c r="DE302" s="138" t="e">
        <f>IF(VLOOKUP(CONCATENATE(H302,F302,DE$2),Español!$A:$H,7,FALSE)=S302,1,0)</f>
        <v>#N/A</v>
      </c>
      <c r="DF302" s="138" t="e">
        <f>IF(VLOOKUP(CONCATENATE(H302,F302,DF$2),Español!$A:$H,7,FALSE)=T302,1,0)</f>
        <v>#N/A</v>
      </c>
      <c r="DG302" s="138" t="e">
        <f>IF(VLOOKUP(CONCATENATE(H302,F302,DG$2),Español!$A:$H,7,FALSE)=U302,1,0)</f>
        <v>#N/A</v>
      </c>
      <c r="DH302" s="138" t="e">
        <f>IF(VLOOKUP(CONCATENATE(H302,F302,DH$2),Español!$A:$H,7,FALSE)=V302,1,0)</f>
        <v>#N/A</v>
      </c>
      <c r="DI302" s="138" t="e">
        <f>IF(VLOOKUP(CONCATENATE(H302,F302,DI$2),Español!$A:$H,7,FALSE)=W302,1,0)</f>
        <v>#N/A</v>
      </c>
      <c r="DJ302" s="138" t="e">
        <f>IF(VLOOKUP(CONCATENATE(H302,F302,DJ$2),Español!$A:$H,7,FALSE)=X302,1,0)</f>
        <v>#N/A</v>
      </c>
      <c r="DK302" s="138" t="e">
        <f>IF(VLOOKUP(CONCATENATE(H302,F302,DK$2),Español!$A:$H,7,FALSE)=Y302,1,0)</f>
        <v>#N/A</v>
      </c>
      <c r="DL302" s="138" t="e">
        <f>IF(VLOOKUP(CONCATENATE(H302,F302,DL$2),Español!$A:$H,7,FALSE)=Z302,1,0)</f>
        <v>#N/A</v>
      </c>
      <c r="DM302" s="138" t="e">
        <f>IF(VLOOKUP(CONCATENATE(H302,F302,DM$2),Español!$A:$H,7,FALSE)=AA302,1,0)</f>
        <v>#N/A</v>
      </c>
      <c r="DN302" s="138" t="e">
        <f>IF(VLOOKUP(CONCATENATE(H302,F302,DN$2),Español!$A:$H,7,FALSE)=AB302,1,0)</f>
        <v>#N/A</v>
      </c>
      <c r="DO302" s="138" t="e">
        <f>IF(VLOOKUP(CONCATENATE(H302,F302,DO$2),Español!$A:$H,7,FALSE)=AC302,1,0)</f>
        <v>#N/A</v>
      </c>
      <c r="DP302" s="138" t="e">
        <f>IF(VLOOKUP(CONCATENATE(H302,F302,DP$2),Español!$A:$H,7,FALSE)=AD302,1,0)</f>
        <v>#N/A</v>
      </c>
      <c r="DQ302" s="138" t="e">
        <f>IF(VLOOKUP(CONCATENATE(H302,F302,DQ$2),Español!$A:$H,7,FALSE)=AE302,1,0)</f>
        <v>#N/A</v>
      </c>
      <c r="DR302" s="138" t="e">
        <f>IF(VLOOKUP(CONCATENATE(H302,F302,DR$2),Inglés!$A:$H,7,FALSE)=AF302,1,0)</f>
        <v>#N/A</v>
      </c>
      <c r="DS302" s="138" t="e">
        <f>IF(VLOOKUP(CONCATENATE(H302,F302,DS$2),Inglés!$A:$H,7,FALSE)=AG302,1,0)</f>
        <v>#N/A</v>
      </c>
      <c r="DT302" s="138" t="e">
        <f>IF(VLOOKUP(CONCATENATE(H302,F302,DT$2),Inglés!$A:$H,7,FALSE)=AH302,1,0)</f>
        <v>#N/A</v>
      </c>
      <c r="DU302" s="138" t="e">
        <f>IF(VLOOKUP(CONCATENATE(H302,F302,DU$2),Inglés!$A:$H,7,FALSE)=AI302,1,0)</f>
        <v>#N/A</v>
      </c>
      <c r="DV302" s="138" t="e">
        <f>IF(VLOOKUP(CONCATENATE(H302,F302,DV$2),Inglés!$A:$H,7,FALSE)=AJ302,1,0)</f>
        <v>#N/A</v>
      </c>
      <c r="DW302" s="138" t="e">
        <f>IF(VLOOKUP(CONCATENATE(H302,F302,DW$2),Inglés!$A:$H,7,FALSE)=AK302,1,0)</f>
        <v>#N/A</v>
      </c>
      <c r="DX302" s="138" t="e">
        <f>IF(VLOOKUP(CONCATENATE(H302,F302,DX$2),Inglés!$A:$H,7,FALSE)=AL302,1,0)</f>
        <v>#N/A</v>
      </c>
      <c r="DY302" s="138" t="e">
        <f>IF(VLOOKUP(CONCATENATE(H302,F302,DY$2),Inglés!$A:$H,7,FALSE)=AM302,1,0)</f>
        <v>#N/A</v>
      </c>
      <c r="DZ302" s="138" t="e">
        <f>IF(VLOOKUP(CONCATENATE(H302,F302,DZ$2),Inglés!$A:$H,7,FALSE)=AN302,1,0)</f>
        <v>#N/A</v>
      </c>
      <c r="EA302" s="138" t="e">
        <f>IF(VLOOKUP(CONCATENATE(H302,F302,EA$2),Inglés!$A:$H,7,FALSE)=AO302,1,0)</f>
        <v>#N/A</v>
      </c>
      <c r="EB302" s="138" t="e">
        <f>IF(VLOOKUP(CONCATENATE(H302,F302,EB$2),Matemáticas!$A:$H,7,FALSE)=AP302,1,0)</f>
        <v>#N/A</v>
      </c>
      <c r="EC302" s="138" t="e">
        <f>IF(VLOOKUP(CONCATENATE(H302,F302,EC$2),Matemáticas!$A:$H,7,FALSE)=AQ302,1,0)</f>
        <v>#N/A</v>
      </c>
      <c r="ED302" s="138" t="e">
        <f>IF(VLOOKUP(CONCATENATE(H302,F302,ED$2),Matemáticas!$A:$H,7,FALSE)=AR302,1,0)</f>
        <v>#N/A</v>
      </c>
      <c r="EE302" s="138" t="e">
        <f>IF(VLOOKUP(CONCATENATE(H302,F302,EE$2),Matemáticas!$A:$H,7,FALSE)=AS302,1,0)</f>
        <v>#N/A</v>
      </c>
      <c r="EF302" s="138" t="e">
        <f>IF(VLOOKUP(CONCATENATE(H302,F302,EF$2),Matemáticas!$A:$H,7,FALSE)=AT302,1,0)</f>
        <v>#N/A</v>
      </c>
      <c r="EG302" s="138" t="e">
        <f>IF(VLOOKUP(CONCATENATE(H302,F302,EG$2),Matemáticas!$A:$H,7,FALSE)=AU302,1,0)</f>
        <v>#N/A</v>
      </c>
      <c r="EH302" s="138" t="e">
        <f>IF(VLOOKUP(CONCATENATE(H302,F302,EH$2),Matemáticas!$A:$H,7,FALSE)=AV302,1,0)</f>
        <v>#N/A</v>
      </c>
      <c r="EI302" s="138" t="e">
        <f>IF(VLOOKUP(CONCATENATE(H302,F302,EI$2),Matemáticas!$A:$H,7,FALSE)=AW302,1,0)</f>
        <v>#N/A</v>
      </c>
      <c r="EJ302" s="138" t="e">
        <f>IF(VLOOKUP(CONCATENATE(H302,F302,EJ$2),Matemáticas!$A:$H,7,FALSE)=AX302,1,0)</f>
        <v>#N/A</v>
      </c>
      <c r="EK302" s="138" t="e">
        <f>IF(VLOOKUP(CONCATENATE(H302,F302,EK$2),Matemáticas!$A:$H,7,FALSE)=AY302,1,0)</f>
        <v>#N/A</v>
      </c>
      <c r="EL302" s="138" t="e">
        <f>IF(VLOOKUP(CONCATENATE(H302,F302,EL$2),Matemáticas!$A:$H,7,FALSE)=AZ302,1,0)</f>
        <v>#N/A</v>
      </c>
      <c r="EM302" s="138" t="e">
        <f>IF(VLOOKUP(CONCATENATE(H302,F302,EM$2),Matemáticas!$A:$H,7,FALSE)=BA302,1,0)</f>
        <v>#N/A</v>
      </c>
      <c r="EN302" s="138" t="e">
        <f>IF(VLOOKUP(CONCATENATE(H302,F302,EN$2),Matemáticas!$A:$H,7,FALSE)=BB302,1,0)</f>
        <v>#N/A</v>
      </c>
      <c r="EO302" s="138" t="e">
        <f>IF(VLOOKUP(CONCATENATE(H302,F302,EO$2),Matemáticas!$A:$H,7,FALSE)=BC302,1,0)</f>
        <v>#N/A</v>
      </c>
      <c r="EP302" s="138" t="e">
        <f>IF(VLOOKUP(CONCATENATE(H302,F302,EP$2),Matemáticas!$A:$H,7,FALSE)=BD302,1,0)</f>
        <v>#N/A</v>
      </c>
      <c r="EQ302" s="138" t="e">
        <f>IF(VLOOKUP(CONCATENATE(H302,F302,EQ$2),Matemáticas!$A:$H,7,FALSE)=BE302,1,0)</f>
        <v>#N/A</v>
      </c>
      <c r="ER302" s="138" t="e">
        <f>IF(VLOOKUP(CONCATENATE(H302,F302,ER$2),Matemáticas!$A:$H,7,FALSE)=BF302,1,0)</f>
        <v>#N/A</v>
      </c>
      <c r="ES302" s="138" t="e">
        <f>IF(VLOOKUP(CONCATENATE(H302,F302,ES$2),Matemáticas!$A:$H,7,FALSE)=BG302,1,0)</f>
        <v>#N/A</v>
      </c>
      <c r="ET302" s="138" t="e">
        <f>IF(VLOOKUP(CONCATENATE(H302,F302,ET$2),Matemáticas!$A:$H,7,FALSE)=BH302,1,0)</f>
        <v>#N/A</v>
      </c>
      <c r="EU302" s="138" t="e">
        <f>IF(VLOOKUP(CONCATENATE(H302,F302,EU$2),Matemáticas!$A:$H,7,FALSE)=BI302,1,0)</f>
        <v>#N/A</v>
      </c>
      <c r="EV302" s="138" t="e">
        <f>IF(VLOOKUP(CONCATENATE(H302,F302,EV$2),Ciencias!$A:$H,7,FALSE)=BJ302,1,0)</f>
        <v>#N/A</v>
      </c>
      <c r="EW302" s="138" t="e">
        <f>IF(VLOOKUP(CONCATENATE(H302,F302,EW$2),Ciencias!$A:$H,7,FALSE)=BK302,1,0)</f>
        <v>#N/A</v>
      </c>
      <c r="EX302" s="138" t="e">
        <f>IF(VLOOKUP(CONCATENATE(H302,F302,EX$2),Ciencias!$A:$H,7,FALSE)=BL302,1,0)</f>
        <v>#N/A</v>
      </c>
      <c r="EY302" s="138" t="e">
        <f>IF(VLOOKUP(CONCATENATE(H302,F302,EY$2),Ciencias!$A:$H,7,FALSE)=BM302,1,0)</f>
        <v>#N/A</v>
      </c>
      <c r="EZ302" s="138" t="e">
        <f>IF(VLOOKUP(CONCATENATE(H302,F302,EZ$2),Ciencias!$A:$H,7,FALSE)=BN302,1,0)</f>
        <v>#N/A</v>
      </c>
      <c r="FA302" s="138" t="e">
        <f>IF(VLOOKUP(CONCATENATE(H302,F302,FA$2),Ciencias!$A:$H,7,FALSE)=BO302,1,0)</f>
        <v>#N/A</v>
      </c>
      <c r="FB302" s="138" t="e">
        <f>IF(VLOOKUP(CONCATENATE(H302,F302,FB$2),Ciencias!$A:$H,7,FALSE)=BP302,1,0)</f>
        <v>#N/A</v>
      </c>
      <c r="FC302" s="138" t="e">
        <f>IF(VLOOKUP(CONCATENATE(H302,F302,FC$2),Ciencias!$A:$H,7,FALSE)=BQ302,1,0)</f>
        <v>#N/A</v>
      </c>
      <c r="FD302" s="138" t="e">
        <f>IF(VLOOKUP(CONCATENATE(H302,F302,FD$2),Ciencias!$A:$H,7,FALSE)=BR302,1,0)</f>
        <v>#N/A</v>
      </c>
      <c r="FE302" s="138" t="e">
        <f>IF(VLOOKUP(CONCATENATE(H302,F302,FE$2),Ciencias!$A:$H,7,FALSE)=BS302,1,0)</f>
        <v>#N/A</v>
      </c>
      <c r="FF302" s="138" t="e">
        <f>IF(VLOOKUP(CONCATENATE(H302,F302,FF$2),Ciencias!$A:$H,7,FALSE)=BT302,1,0)</f>
        <v>#N/A</v>
      </c>
      <c r="FG302" s="138" t="e">
        <f>IF(VLOOKUP(CONCATENATE(H302,F302,FG$2),Ciencias!$A:$H,7,FALSE)=BU302,1,0)</f>
        <v>#N/A</v>
      </c>
      <c r="FH302" s="138" t="e">
        <f>IF(VLOOKUP(CONCATENATE(H302,F302,FH$2),Ciencias!$A:$H,7,FALSE)=BV302,1,0)</f>
        <v>#N/A</v>
      </c>
      <c r="FI302" s="138" t="e">
        <f>IF(VLOOKUP(CONCATENATE(H302,F302,FI$2),Ciencias!$A:$H,7,FALSE)=BW302,1,0)</f>
        <v>#N/A</v>
      </c>
      <c r="FJ302" s="138" t="e">
        <f>IF(VLOOKUP(CONCATENATE(H302,F302,FJ$2),Ciencias!$A:$H,7,FALSE)=BX302,1,0)</f>
        <v>#N/A</v>
      </c>
      <c r="FK302" s="138" t="e">
        <f>IF(VLOOKUP(CONCATENATE(H302,F302,FK$2),Ciencias!$A:$H,7,FALSE)=BY302,1,0)</f>
        <v>#N/A</v>
      </c>
      <c r="FL302" s="138" t="e">
        <f>IF(VLOOKUP(CONCATENATE(H302,F302,FL$2),Ciencias!$A:$H,7,FALSE)=BZ302,1,0)</f>
        <v>#N/A</v>
      </c>
      <c r="FM302" s="138" t="e">
        <f>IF(VLOOKUP(CONCATENATE(H302,F302,FM$2),Ciencias!$A:$H,7,FALSE)=CA302,1,0)</f>
        <v>#N/A</v>
      </c>
      <c r="FN302" s="138" t="e">
        <f>IF(VLOOKUP(CONCATENATE(H302,F302,FN$2),Ciencias!$A:$H,7,FALSE)=CB302,1,0)</f>
        <v>#N/A</v>
      </c>
      <c r="FO302" s="138" t="e">
        <f>IF(VLOOKUP(CONCATENATE(H302,F302,FO$2),Ciencias!$A:$H,7,FALSE)=CC302,1,0)</f>
        <v>#N/A</v>
      </c>
      <c r="FP302" s="138" t="e">
        <f>IF(VLOOKUP(CONCATENATE(H302,F302,FP$2),GeoHis!$A:$H,7,FALSE)=CD302,1,0)</f>
        <v>#N/A</v>
      </c>
      <c r="FQ302" s="138" t="e">
        <f>IF(VLOOKUP(CONCATENATE(H302,F302,FQ$2),GeoHis!$A:$H,7,FALSE)=CE302,1,0)</f>
        <v>#N/A</v>
      </c>
      <c r="FR302" s="138" t="e">
        <f>IF(VLOOKUP(CONCATENATE(H302,F302,FR$2),GeoHis!$A:$H,7,FALSE)=CF302,1,0)</f>
        <v>#N/A</v>
      </c>
      <c r="FS302" s="138" t="e">
        <f>IF(VLOOKUP(CONCATENATE(H302,F302,FS$2),GeoHis!$A:$H,7,FALSE)=CG302,1,0)</f>
        <v>#N/A</v>
      </c>
      <c r="FT302" s="138" t="e">
        <f>IF(VLOOKUP(CONCATENATE(H302,F302,FT$2),GeoHis!$A:$H,7,FALSE)=CH302,1,0)</f>
        <v>#N/A</v>
      </c>
      <c r="FU302" s="138" t="e">
        <f>IF(VLOOKUP(CONCATENATE(H302,F302,FU$2),GeoHis!$A:$H,7,FALSE)=CI302,1,0)</f>
        <v>#N/A</v>
      </c>
      <c r="FV302" s="138" t="e">
        <f>IF(VLOOKUP(CONCATENATE(H302,F302,FV$2),GeoHis!$A:$H,7,FALSE)=CJ302,1,0)</f>
        <v>#N/A</v>
      </c>
      <c r="FW302" s="138" t="e">
        <f>IF(VLOOKUP(CONCATENATE(H302,F302,FW$2),GeoHis!$A:$H,7,FALSE)=CK302,1,0)</f>
        <v>#N/A</v>
      </c>
      <c r="FX302" s="138" t="e">
        <f>IF(VLOOKUP(CONCATENATE(H302,F302,FX$2),GeoHis!$A:$H,7,FALSE)=CL302,1,0)</f>
        <v>#N/A</v>
      </c>
      <c r="FY302" s="138" t="e">
        <f>IF(VLOOKUP(CONCATENATE(H302,F302,FY$2),GeoHis!$A:$H,7,FALSE)=CM302,1,0)</f>
        <v>#N/A</v>
      </c>
      <c r="FZ302" s="138" t="e">
        <f>IF(VLOOKUP(CONCATENATE(H302,F302,FZ$2),GeoHis!$A:$H,7,FALSE)=CN302,1,0)</f>
        <v>#N/A</v>
      </c>
      <c r="GA302" s="138" t="e">
        <f>IF(VLOOKUP(CONCATENATE(H302,F302,GA$2),GeoHis!$A:$H,7,FALSE)=CO302,1,0)</f>
        <v>#N/A</v>
      </c>
      <c r="GB302" s="138" t="e">
        <f>IF(VLOOKUP(CONCATENATE(H302,F302,GB$2),GeoHis!$A:$H,7,FALSE)=CP302,1,0)</f>
        <v>#N/A</v>
      </c>
      <c r="GC302" s="138" t="e">
        <f>IF(VLOOKUP(CONCATENATE(H302,F302,GC$2),GeoHis!$A:$H,7,FALSE)=CQ302,1,0)</f>
        <v>#N/A</v>
      </c>
      <c r="GD302" s="138" t="e">
        <f>IF(VLOOKUP(CONCATENATE(H302,F302,GD$2),GeoHis!$A:$H,7,FALSE)=CR302,1,0)</f>
        <v>#N/A</v>
      </c>
      <c r="GE302" s="135" t="str">
        <f t="shared" si="39"/>
        <v/>
      </c>
    </row>
    <row r="303" spans="1:187" x14ac:dyDescent="0.25">
      <c r="A303" s="127" t="str">
        <f>IF(C303="","",'Datos Generales'!$A$25)</f>
        <v/>
      </c>
      <c r="D303" s="126" t="str">
        <f t="shared" si="32"/>
        <v/>
      </c>
      <c r="E303" s="126">
        <f t="shared" si="33"/>
        <v>0</v>
      </c>
      <c r="F303" s="126" t="str">
        <f t="shared" si="34"/>
        <v/>
      </c>
      <c r="G303" s="126" t="str">
        <f>IF(C303="","",'Datos Generales'!$D$19)</f>
        <v/>
      </c>
      <c r="H303" s="21" t="str">
        <f>IF(C303="","",'Datos Generales'!$A$19)</f>
        <v/>
      </c>
      <c r="I303" s="126" t="str">
        <f>IF(C303="","",'Datos Generales'!$A$7)</f>
        <v/>
      </c>
      <c r="J303" s="21" t="str">
        <f>IF(C303="","",'Datos Generales'!$A$13)</f>
        <v/>
      </c>
      <c r="K303" s="21" t="str">
        <f>IF(C303="","",'Datos Generales'!$A$10)</f>
        <v/>
      </c>
      <c r="CS303" s="142" t="str">
        <f t="shared" si="35"/>
        <v/>
      </c>
      <c r="CT303" s="142" t="str">
        <f t="shared" si="36"/>
        <v/>
      </c>
      <c r="CU303" s="142" t="str">
        <f t="shared" si="37"/>
        <v/>
      </c>
      <c r="CV303" s="142" t="str">
        <f t="shared" si="38"/>
        <v/>
      </c>
      <c r="CW303" s="142" t="str">
        <f>IF(C303="","",IF('Datos Generales'!$A$19=1,AVERAGE(FP303:GD303),AVERAGE(Captura!FP303:FY303)))</f>
        <v/>
      </c>
      <c r="CX303" s="138" t="e">
        <f>IF(VLOOKUP(CONCATENATE($H$4,$F$4,CX$2),Español!$A:$H,7,FALSE)=L303,1,0)</f>
        <v>#N/A</v>
      </c>
      <c r="CY303" s="138" t="e">
        <f>IF(VLOOKUP(CONCATENATE(H303,F303,CY$2),Español!$A:$H,7,FALSE)=M303,1,0)</f>
        <v>#N/A</v>
      </c>
      <c r="CZ303" s="138" t="e">
        <f>IF(VLOOKUP(CONCATENATE(H303,F303,CZ$2),Español!$A:$H,7,FALSE)=N303,1,0)</f>
        <v>#N/A</v>
      </c>
      <c r="DA303" s="138" t="e">
        <f>IF(VLOOKUP(CONCATENATE(H303,F303,DA$2),Español!$A:$H,7,FALSE)=O303,1,0)</f>
        <v>#N/A</v>
      </c>
      <c r="DB303" s="138" t="e">
        <f>IF(VLOOKUP(CONCATENATE(H303,F303,DB$2),Español!$A:$H,7,FALSE)=P303,1,0)</f>
        <v>#N/A</v>
      </c>
      <c r="DC303" s="138" t="e">
        <f>IF(VLOOKUP(CONCATENATE(H303,F303,DC$2),Español!$A:$H,7,FALSE)=Q303,1,0)</f>
        <v>#N/A</v>
      </c>
      <c r="DD303" s="138" t="e">
        <f>IF(VLOOKUP(CONCATENATE(H303,F303,DD$2),Español!$A:$H,7,FALSE)=R303,1,0)</f>
        <v>#N/A</v>
      </c>
      <c r="DE303" s="138" t="e">
        <f>IF(VLOOKUP(CONCATENATE(H303,F303,DE$2),Español!$A:$H,7,FALSE)=S303,1,0)</f>
        <v>#N/A</v>
      </c>
      <c r="DF303" s="138" t="e">
        <f>IF(VLOOKUP(CONCATENATE(H303,F303,DF$2),Español!$A:$H,7,FALSE)=T303,1,0)</f>
        <v>#N/A</v>
      </c>
      <c r="DG303" s="138" t="e">
        <f>IF(VLOOKUP(CONCATENATE(H303,F303,DG$2),Español!$A:$H,7,FALSE)=U303,1,0)</f>
        <v>#N/A</v>
      </c>
      <c r="DH303" s="138" t="e">
        <f>IF(VLOOKUP(CONCATENATE(H303,F303,DH$2),Español!$A:$H,7,FALSE)=V303,1,0)</f>
        <v>#N/A</v>
      </c>
      <c r="DI303" s="138" t="e">
        <f>IF(VLOOKUP(CONCATENATE(H303,F303,DI$2),Español!$A:$H,7,FALSE)=W303,1,0)</f>
        <v>#N/A</v>
      </c>
      <c r="DJ303" s="138" t="e">
        <f>IF(VLOOKUP(CONCATENATE(H303,F303,DJ$2),Español!$A:$H,7,FALSE)=X303,1,0)</f>
        <v>#N/A</v>
      </c>
      <c r="DK303" s="138" t="e">
        <f>IF(VLOOKUP(CONCATENATE(H303,F303,DK$2),Español!$A:$H,7,FALSE)=Y303,1,0)</f>
        <v>#N/A</v>
      </c>
      <c r="DL303" s="138" t="e">
        <f>IF(VLOOKUP(CONCATENATE(H303,F303,DL$2),Español!$A:$H,7,FALSE)=Z303,1,0)</f>
        <v>#N/A</v>
      </c>
      <c r="DM303" s="138" t="e">
        <f>IF(VLOOKUP(CONCATENATE(H303,F303,DM$2),Español!$A:$H,7,FALSE)=AA303,1,0)</f>
        <v>#N/A</v>
      </c>
      <c r="DN303" s="138" t="e">
        <f>IF(VLOOKUP(CONCATENATE(H303,F303,DN$2),Español!$A:$H,7,FALSE)=AB303,1,0)</f>
        <v>#N/A</v>
      </c>
      <c r="DO303" s="138" t="e">
        <f>IF(VLOOKUP(CONCATENATE(H303,F303,DO$2),Español!$A:$H,7,FALSE)=AC303,1,0)</f>
        <v>#N/A</v>
      </c>
      <c r="DP303" s="138" t="e">
        <f>IF(VLOOKUP(CONCATENATE(H303,F303,DP$2),Español!$A:$H,7,FALSE)=AD303,1,0)</f>
        <v>#N/A</v>
      </c>
      <c r="DQ303" s="138" t="e">
        <f>IF(VLOOKUP(CONCATENATE(H303,F303,DQ$2),Español!$A:$H,7,FALSE)=AE303,1,0)</f>
        <v>#N/A</v>
      </c>
      <c r="DR303" s="138" t="e">
        <f>IF(VLOOKUP(CONCATENATE(H303,F303,DR$2),Inglés!$A:$H,7,FALSE)=AF303,1,0)</f>
        <v>#N/A</v>
      </c>
      <c r="DS303" s="138" t="e">
        <f>IF(VLOOKUP(CONCATENATE(H303,F303,DS$2),Inglés!$A:$H,7,FALSE)=AG303,1,0)</f>
        <v>#N/A</v>
      </c>
      <c r="DT303" s="138" t="e">
        <f>IF(VLOOKUP(CONCATENATE(H303,F303,DT$2),Inglés!$A:$H,7,FALSE)=AH303,1,0)</f>
        <v>#N/A</v>
      </c>
      <c r="DU303" s="138" t="e">
        <f>IF(VLOOKUP(CONCATENATE(H303,F303,DU$2),Inglés!$A:$H,7,FALSE)=AI303,1,0)</f>
        <v>#N/A</v>
      </c>
      <c r="DV303" s="138" t="e">
        <f>IF(VLOOKUP(CONCATENATE(H303,F303,DV$2),Inglés!$A:$H,7,FALSE)=AJ303,1,0)</f>
        <v>#N/A</v>
      </c>
      <c r="DW303" s="138" t="e">
        <f>IF(VLOOKUP(CONCATENATE(H303,F303,DW$2),Inglés!$A:$H,7,FALSE)=AK303,1,0)</f>
        <v>#N/A</v>
      </c>
      <c r="DX303" s="138" t="e">
        <f>IF(VLOOKUP(CONCATENATE(H303,F303,DX$2),Inglés!$A:$H,7,FALSE)=AL303,1,0)</f>
        <v>#N/A</v>
      </c>
      <c r="DY303" s="138" t="e">
        <f>IF(VLOOKUP(CONCATENATE(H303,F303,DY$2),Inglés!$A:$H,7,FALSE)=AM303,1,0)</f>
        <v>#N/A</v>
      </c>
      <c r="DZ303" s="138" t="e">
        <f>IF(VLOOKUP(CONCATENATE(H303,F303,DZ$2),Inglés!$A:$H,7,FALSE)=AN303,1,0)</f>
        <v>#N/A</v>
      </c>
      <c r="EA303" s="138" t="e">
        <f>IF(VLOOKUP(CONCATENATE(H303,F303,EA$2),Inglés!$A:$H,7,FALSE)=AO303,1,0)</f>
        <v>#N/A</v>
      </c>
      <c r="EB303" s="138" t="e">
        <f>IF(VLOOKUP(CONCATENATE(H303,F303,EB$2),Matemáticas!$A:$H,7,FALSE)=AP303,1,0)</f>
        <v>#N/A</v>
      </c>
      <c r="EC303" s="138" t="e">
        <f>IF(VLOOKUP(CONCATENATE(H303,F303,EC$2),Matemáticas!$A:$H,7,FALSE)=AQ303,1,0)</f>
        <v>#N/A</v>
      </c>
      <c r="ED303" s="138" t="e">
        <f>IF(VLOOKUP(CONCATENATE(H303,F303,ED$2),Matemáticas!$A:$H,7,FALSE)=AR303,1,0)</f>
        <v>#N/A</v>
      </c>
      <c r="EE303" s="138" t="e">
        <f>IF(VLOOKUP(CONCATENATE(H303,F303,EE$2),Matemáticas!$A:$H,7,FALSE)=AS303,1,0)</f>
        <v>#N/A</v>
      </c>
      <c r="EF303" s="138" t="e">
        <f>IF(VLOOKUP(CONCATENATE(H303,F303,EF$2),Matemáticas!$A:$H,7,FALSE)=AT303,1,0)</f>
        <v>#N/A</v>
      </c>
      <c r="EG303" s="138" t="e">
        <f>IF(VLOOKUP(CONCATENATE(H303,F303,EG$2),Matemáticas!$A:$H,7,FALSE)=AU303,1,0)</f>
        <v>#N/A</v>
      </c>
      <c r="EH303" s="138" t="e">
        <f>IF(VLOOKUP(CONCATENATE(H303,F303,EH$2),Matemáticas!$A:$H,7,FALSE)=AV303,1,0)</f>
        <v>#N/A</v>
      </c>
      <c r="EI303" s="138" t="e">
        <f>IF(VLOOKUP(CONCATENATE(H303,F303,EI$2),Matemáticas!$A:$H,7,FALSE)=AW303,1,0)</f>
        <v>#N/A</v>
      </c>
      <c r="EJ303" s="138" t="e">
        <f>IF(VLOOKUP(CONCATENATE(H303,F303,EJ$2),Matemáticas!$A:$H,7,FALSE)=AX303,1,0)</f>
        <v>#N/A</v>
      </c>
      <c r="EK303" s="138" t="e">
        <f>IF(VLOOKUP(CONCATENATE(H303,F303,EK$2),Matemáticas!$A:$H,7,FALSE)=AY303,1,0)</f>
        <v>#N/A</v>
      </c>
      <c r="EL303" s="138" t="e">
        <f>IF(VLOOKUP(CONCATENATE(H303,F303,EL$2),Matemáticas!$A:$H,7,FALSE)=AZ303,1,0)</f>
        <v>#N/A</v>
      </c>
      <c r="EM303" s="138" t="e">
        <f>IF(VLOOKUP(CONCATENATE(H303,F303,EM$2),Matemáticas!$A:$H,7,FALSE)=BA303,1,0)</f>
        <v>#N/A</v>
      </c>
      <c r="EN303" s="138" t="e">
        <f>IF(VLOOKUP(CONCATENATE(H303,F303,EN$2),Matemáticas!$A:$H,7,FALSE)=BB303,1,0)</f>
        <v>#N/A</v>
      </c>
      <c r="EO303" s="138" t="e">
        <f>IF(VLOOKUP(CONCATENATE(H303,F303,EO$2),Matemáticas!$A:$H,7,FALSE)=BC303,1,0)</f>
        <v>#N/A</v>
      </c>
      <c r="EP303" s="138" t="e">
        <f>IF(VLOOKUP(CONCATENATE(H303,F303,EP$2),Matemáticas!$A:$H,7,FALSE)=BD303,1,0)</f>
        <v>#N/A</v>
      </c>
      <c r="EQ303" s="138" t="e">
        <f>IF(VLOOKUP(CONCATENATE(H303,F303,EQ$2),Matemáticas!$A:$H,7,FALSE)=BE303,1,0)</f>
        <v>#N/A</v>
      </c>
      <c r="ER303" s="138" t="e">
        <f>IF(VLOOKUP(CONCATENATE(H303,F303,ER$2),Matemáticas!$A:$H,7,FALSE)=BF303,1,0)</f>
        <v>#N/A</v>
      </c>
      <c r="ES303" s="138" t="e">
        <f>IF(VLOOKUP(CONCATENATE(H303,F303,ES$2),Matemáticas!$A:$H,7,FALSE)=BG303,1,0)</f>
        <v>#N/A</v>
      </c>
      <c r="ET303" s="138" t="e">
        <f>IF(VLOOKUP(CONCATENATE(H303,F303,ET$2),Matemáticas!$A:$H,7,FALSE)=BH303,1,0)</f>
        <v>#N/A</v>
      </c>
      <c r="EU303" s="138" t="e">
        <f>IF(VLOOKUP(CONCATENATE(H303,F303,EU$2),Matemáticas!$A:$H,7,FALSE)=BI303,1,0)</f>
        <v>#N/A</v>
      </c>
      <c r="EV303" s="138" t="e">
        <f>IF(VLOOKUP(CONCATENATE(H303,F303,EV$2),Ciencias!$A:$H,7,FALSE)=BJ303,1,0)</f>
        <v>#N/A</v>
      </c>
      <c r="EW303" s="138" t="e">
        <f>IF(VLOOKUP(CONCATENATE(H303,F303,EW$2),Ciencias!$A:$H,7,FALSE)=BK303,1,0)</f>
        <v>#N/A</v>
      </c>
      <c r="EX303" s="138" t="e">
        <f>IF(VLOOKUP(CONCATENATE(H303,F303,EX$2),Ciencias!$A:$H,7,FALSE)=BL303,1,0)</f>
        <v>#N/A</v>
      </c>
      <c r="EY303" s="138" t="e">
        <f>IF(VLOOKUP(CONCATENATE(H303,F303,EY$2),Ciencias!$A:$H,7,FALSE)=BM303,1,0)</f>
        <v>#N/A</v>
      </c>
      <c r="EZ303" s="138" t="e">
        <f>IF(VLOOKUP(CONCATENATE(H303,F303,EZ$2),Ciencias!$A:$H,7,FALSE)=BN303,1,0)</f>
        <v>#N/A</v>
      </c>
      <c r="FA303" s="138" t="e">
        <f>IF(VLOOKUP(CONCATENATE(H303,F303,FA$2),Ciencias!$A:$H,7,FALSE)=BO303,1,0)</f>
        <v>#N/A</v>
      </c>
      <c r="FB303" s="138" t="e">
        <f>IF(VLOOKUP(CONCATENATE(H303,F303,FB$2),Ciencias!$A:$H,7,FALSE)=BP303,1,0)</f>
        <v>#N/A</v>
      </c>
      <c r="FC303" s="138" t="e">
        <f>IF(VLOOKUP(CONCATENATE(H303,F303,FC$2),Ciencias!$A:$H,7,FALSE)=BQ303,1,0)</f>
        <v>#N/A</v>
      </c>
      <c r="FD303" s="138" t="e">
        <f>IF(VLOOKUP(CONCATENATE(H303,F303,FD$2),Ciencias!$A:$H,7,FALSE)=BR303,1,0)</f>
        <v>#N/A</v>
      </c>
      <c r="FE303" s="138" t="e">
        <f>IF(VLOOKUP(CONCATENATE(H303,F303,FE$2),Ciencias!$A:$H,7,FALSE)=BS303,1,0)</f>
        <v>#N/A</v>
      </c>
      <c r="FF303" s="138" t="e">
        <f>IF(VLOOKUP(CONCATENATE(H303,F303,FF$2),Ciencias!$A:$H,7,FALSE)=BT303,1,0)</f>
        <v>#N/A</v>
      </c>
      <c r="FG303" s="138" t="e">
        <f>IF(VLOOKUP(CONCATENATE(H303,F303,FG$2),Ciencias!$A:$H,7,FALSE)=BU303,1,0)</f>
        <v>#N/A</v>
      </c>
      <c r="FH303" s="138" t="e">
        <f>IF(VLOOKUP(CONCATENATE(H303,F303,FH$2),Ciencias!$A:$H,7,FALSE)=BV303,1,0)</f>
        <v>#N/A</v>
      </c>
      <c r="FI303" s="138" t="e">
        <f>IF(VLOOKUP(CONCATENATE(H303,F303,FI$2),Ciencias!$A:$H,7,FALSE)=BW303,1,0)</f>
        <v>#N/A</v>
      </c>
      <c r="FJ303" s="138" t="e">
        <f>IF(VLOOKUP(CONCATENATE(H303,F303,FJ$2),Ciencias!$A:$H,7,FALSE)=BX303,1,0)</f>
        <v>#N/A</v>
      </c>
      <c r="FK303" s="138" t="e">
        <f>IF(VLOOKUP(CONCATENATE(H303,F303,FK$2),Ciencias!$A:$H,7,FALSE)=BY303,1,0)</f>
        <v>#N/A</v>
      </c>
      <c r="FL303" s="138" t="e">
        <f>IF(VLOOKUP(CONCATENATE(H303,F303,FL$2),Ciencias!$A:$H,7,FALSE)=BZ303,1,0)</f>
        <v>#N/A</v>
      </c>
      <c r="FM303" s="138" t="e">
        <f>IF(VLOOKUP(CONCATENATE(H303,F303,FM$2),Ciencias!$A:$H,7,FALSE)=CA303,1,0)</f>
        <v>#N/A</v>
      </c>
      <c r="FN303" s="138" t="e">
        <f>IF(VLOOKUP(CONCATENATE(H303,F303,FN$2),Ciencias!$A:$H,7,FALSE)=CB303,1,0)</f>
        <v>#N/A</v>
      </c>
      <c r="FO303" s="138" t="e">
        <f>IF(VLOOKUP(CONCATENATE(H303,F303,FO$2),Ciencias!$A:$H,7,FALSE)=CC303,1,0)</f>
        <v>#N/A</v>
      </c>
      <c r="FP303" s="138" t="e">
        <f>IF(VLOOKUP(CONCATENATE(H303,F303,FP$2),GeoHis!$A:$H,7,FALSE)=CD303,1,0)</f>
        <v>#N/A</v>
      </c>
      <c r="FQ303" s="138" t="e">
        <f>IF(VLOOKUP(CONCATENATE(H303,F303,FQ$2),GeoHis!$A:$H,7,FALSE)=CE303,1,0)</f>
        <v>#N/A</v>
      </c>
      <c r="FR303" s="138" t="e">
        <f>IF(VLOOKUP(CONCATENATE(H303,F303,FR$2),GeoHis!$A:$H,7,FALSE)=CF303,1,0)</f>
        <v>#N/A</v>
      </c>
      <c r="FS303" s="138" t="e">
        <f>IF(VLOOKUP(CONCATENATE(H303,F303,FS$2),GeoHis!$A:$H,7,FALSE)=CG303,1,0)</f>
        <v>#N/A</v>
      </c>
      <c r="FT303" s="138" t="e">
        <f>IF(VLOOKUP(CONCATENATE(H303,F303,FT$2),GeoHis!$A:$H,7,FALSE)=CH303,1,0)</f>
        <v>#N/A</v>
      </c>
      <c r="FU303" s="138" t="e">
        <f>IF(VLOOKUP(CONCATENATE(H303,F303,FU$2),GeoHis!$A:$H,7,FALSE)=CI303,1,0)</f>
        <v>#N/A</v>
      </c>
      <c r="FV303" s="138" t="e">
        <f>IF(VLOOKUP(CONCATENATE(H303,F303,FV$2),GeoHis!$A:$H,7,FALSE)=CJ303,1,0)</f>
        <v>#N/A</v>
      </c>
      <c r="FW303" s="138" t="e">
        <f>IF(VLOOKUP(CONCATENATE(H303,F303,FW$2),GeoHis!$A:$H,7,FALSE)=CK303,1,0)</f>
        <v>#N/A</v>
      </c>
      <c r="FX303" s="138" t="e">
        <f>IF(VLOOKUP(CONCATENATE(H303,F303,FX$2),GeoHis!$A:$H,7,FALSE)=CL303,1,0)</f>
        <v>#N/A</v>
      </c>
      <c r="FY303" s="138" t="e">
        <f>IF(VLOOKUP(CONCATENATE(H303,F303,FY$2),GeoHis!$A:$H,7,FALSE)=CM303,1,0)</f>
        <v>#N/A</v>
      </c>
      <c r="FZ303" s="138" t="e">
        <f>IF(VLOOKUP(CONCATENATE(H303,F303,FZ$2),GeoHis!$A:$H,7,FALSE)=CN303,1,0)</f>
        <v>#N/A</v>
      </c>
      <c r="GA303" s="138" t="e">
        <f>IF(VLOOKUP(CONCATENATE(H303,F303,GA$2),GeoHis!$A:$H,7,FALSE)=CO303,1,0)</f>
        <v>#N/A</v>
      </c>
      <c r="GB303" s="138" t="e">
        <f>IF(VLOOKUP(CONCATENATE(H303,F303,GB$2),GeoHis!$A:$H,7,FALSE)=CP303,1,0)</f>
        <v>#N/A</v>
      </c>
      <c r="GC303" s="138" t="e">
        <f>IF(VLOOKUP(CONCATENATE(H303,F303,GC$2),GeoHis!$A:$H,7,FALSE)=CQ303,1,0)</f>
        <v>#N/A</v>
      </c>
      <c r="GD303" s="138" t="e">
        <f>IF(VLOOKUP(CONCATENATE(H303,F303,GD$2),GeoHis!$A:$H,7,FALSE)=CR303,1,0)</f>
        <v>#N/A</v>
      </c>
      <c r="GE303" s="135" t="str">
        <f t="shared" si="39"/>
        <v/>
      </c>
    </row>
    <row r="304" spans="1:187" x14ac:dyDescent="0.25">
      <c r="A304" s="127" t="str">
        <f>IF(C304="","",'Datos Generales'!$A$25)</f>
        <v/>
      </c>
      <c r="D304" s="126" t="str">
        <f t="shared" si="32"/>
        <v/>
      </c>
      <c r="E304" s="126">
        <f t="shared" si="33"/>
        <v>0</v>
      </c>
      <c r="F304" s="126" t="str">
        <f t="shared" si="34"/>
        <v/>
      </c>
      <c r="G304" s="126" t="str">
        <f>IF(C304="","",'Datos Generales'!$D$19)</f>
        <v/>
      </c>
      <c r="H304" s="21" t="str">
        <f>IF(C304="","",'Datos Generales'!$A$19)</f>
        <v/>
      </c>
      <c r="I304" s="126" t="str">
        <f>IF(C304="","",'Datos Generales'!$A$7)</f>
        <v/>
      </c>
      <c r="J304" s="21" t="str">
        <f>IF(C304="","",'Datos Generales'!$A$13)</f>
        <v/>
      </c>
      <c r="K304" s="21" t="str">
        <f>IF(C304="","",'Datos Generales'!$A$10)</f>
        <v/>
      </c>
      <c r="CS304" s="142" t="str">
        <f t="shared" si="35"/>
        <v/>
      </c>
      <c r="CT304" s="142" t="str">
        <f t="shared" si="36"/>
        <v/>
      </c>
      <c r="CU304" s="142" t="str">
        <f t="shared" si="37"/>
        <v/>
      </c>
      <c r="CV304" s="142" t="str">
        <f t="shared" si="38"/>
        <v/>
      </c>
      <c r="CW304" s="142" t="str">
        <f>IF(C304="","",IF('Datos Generales'!$A$19=1,AVERAGE(FP304:GD304),AVERAGE(Captura!FP304:FY304)))</f>
        <v/>
      </c>
      <c r="CX304" s="138" t="e">
        <f>IF(VLOOKUP(CONCATENATE($H$4,$F$4,CX$2),Español!$A:$H,7,FALSE)=L304,1,0)</f>
        <v>#N/A</v>
      </c>
      <c r="CY304" s="138" t="e">
        <f>IF(VLOOKUP(CONCATENATE(H304,F304,CY$2),Español!$A:$H,7,FALSE)=M304,1,0)</f>
        <v>#N/A</v>
      </c>
      <c r="CZ304" s="138" t="e">
        <f>IF(VLOOKUP(CONCATENATE(H304,F304,CZ$2),Español!$A:$H,7,FALSE)=N304,1,0)</f>
        <v>#N/A</v>
      </c>
      <c r="DA304" s="138" t="e">
        <f>IF(VLOOKUP(CONCATENATE(H304,F304,DA$2),Español!$A:$H,7,FALSE)=O304,1,0)</f>
        <v>#N/A</v>
      </c>
      <c r="DB304" s="138" t="e">
        <f>IF(VLOOKUP(CONCATENATE(H304,F304,DB$2),Español!$A:$H,7,FALSE)=P304,1,0)</f>
        <v>#N/A</v>
      </c>
      <c r="DC304" s="138" t="e">
        <f>IF(VLOOKUP(CONCATENATE(H304,F304,DC$2),Español!$A:$H,7,FALSE)=Q304,1,0)</f>
        <v>#N/A</v>
      </c>
      <c r="DD304" s="138" t="e">
        <f>IF(VLOOKUP(CONCATENATE(H304,F304,DD$2),Español!$A:$H,7,FALSE)=R304,1,0)</f>
        <v>#N/A</v>
      </c>
      <c r="DE304" s="138" t="e">
        <f>IF(VLOOKUP(CONCATENATE(H304,F304,DE$2),Español!$A:$H,7,FALSE)=S304,1,0)</f>
        <v>#N/A</v>
      </c>
      <c r="DF304" s="138" t="e">
        <f>IF(VLOOKUP(CONCATENATE(H304,F304,DF$2),Español!$A:$H,7,FALSE)=T304,1,0)</f>
        <v>#N/A</v>
      </c>
      <c r="DG304" s="138" t="e">
        <f>IF(VLOOKUP(CONCATENATE(H304,F304,DG$2),Español!$A:$H,7,FALSE)=U304,1,0)</f>
        <v>#N/A</v>
      </c>
      <c r="DH304" s="138" t="e">
        <f>IF(VLOOKUP(CONCATENATE(H304,F304,DH$2),Español!$A:$H,7,FALSE)=V304,1,0)</f>
        <v>#N/A</v>
      </c>
      <c r="DI304" s="138" t="e">
        <f>IF(VLOOKUP(CONCATENATE(H304,F304,DI$2),Español!$A:$H,7,FALSE)=W304,1,0)</f>
        <v>#N/A</v>
      </c>
      <c r="DJ304" s="138" t="e">
        <f>IF(VLOOKUP(CONCATENATE(H304,F304,DJ$2),Español!$A:$H,7,FALSE)=X304,1,0)</f>
        <v>#N/A</v>
      </c>
      <c r="DK304" s="138" t="e">
        <f>IF(VLOOKUP(CONCATENATE(H304,F304,DK$2),Español!$A:$H,7,FALSE)=Y304,1,0)</f>
        <v>#N/A</v>
      </c>
      <c r="DL304" s="138" t="e">
        <f>IF(VLOOKUP(CONCATENATE(H304,F304,DL$2),Español!$A:$H,7,FALSE)=Z304,1,0)</f>
        <v>#N/A</v>
      </c>
      <c r="DM304" s="138" t="e">
        <f>IF(VLOOKUP(CONCATENATE(H304,F304,DM$2),Español!$A:$H,7,FALSE)=AA304,1,0)</f>
        <v>#N/A</v>
      </c>
      <c r="DN304" s="138" t="e">
        <f>IF(VLOOKUP(CONCATENATE(H304,F304,DN$2),Español!$A:$H,7,FALSE)=AB304,1,0)</f>
        <v>#N/A</v>
      </c>
      <c r="DO304" s="138" t="e">
        <f>IF(VLOOKUP(CONCATENATE(H304,F304,DO$2),Español!$A:$H,7,FALSE)=AC304,1,0)</f>
        <v>#N/A</v>
      </c>
      <c r="DP304" s="138" t="e">
        <f>IF(VLOOKUP(CONCATENATE(H304,F304,DP$2),Español!$A:$H,7,FALSE)=AD304,1,0)</f>
        <v>#N/A</v>
      </c>
      <c r="DQ304" s="138" t="e">
        <f>IF(VLOOKUP(CONCATENATE(H304,F304,DQ$2),Español!$A:$H,7,FALSE)=AE304,1,0)</f>
        <v>#N/A</v>
      </c>
      <c r="DR304" s="138" t="e">
        <f>IF(VLOOKUP(CONCATENATE(H304,F304,DR$2),Inglés!$A:$H,7,FALSE)=AF304,1,0)</f>
        <v>#N/A</v>
      </c>
      <c r="DS304" s="138" t="e">
        <f>IF(VLOOKUP(CONCATENATE(H304,F304,DS$2),Inglés!$A:$H,7,FALSE)=AG304,1,0)</f>
        <v>#N/A</v>
      </c>
      <c r="DT304" s="138" t="e">
        <f>IF(VLOOKUP(CONCATENATE(H304,F304,DT$2),Inglés!$A:$H,7,FALSE)=AH304,1,0)</f>
        <v>#N/A</v>
      </c>
      <c r="DU304" s="138" t="e">
        <f>IF(VLOOKUP(CONCATENATE(H304,F304,DU$2),Inglés!$A:$H,7,FALSE)=AI304,1,0)</f>
        <v>#N/A</v>
      </c>
      <c r="DV304" s="138" t="e">
        <f>IF(VLOOKUP(CONCATENATE(H304,F304,DV$2),Inglés!$A:$H,7,FALSE)=AJ304,1,0)</f>
        <v>#N/A</v>
      </c>
      <c r="DW304" s="138" t="e">
        <f>IF(VLOOKUP(CONCATENATE(H304,F304,DW$2),Inglés!$A:$H,7,FALSE)=AK304,1,0)</f>
        <v>#N/A</v>
      </c>
      <c r="DX304" s="138" t="e">
        <f>IF(VLOOKUP(CONCATENATE(H304,F304,DX$2),Inglés!$A:$H,7,FALSE)=AL304,1,0)</f>
        <v>#N/A</v>
      </c>
      <c r="DY304" s="138" t="e">
        <f>IF(VLOOKUP(CONCATENATE(H304,F304,DY$2),Inglés!$A:$H,7,FALSE)=AM304,1,0)</f>
        <v>#N/A</v>
      </c>
      <c r="DZ304" s="138" t="e">
        <f>IF(VLOOKUP(CONCATENATE(H304,F304,DZ$2),Inglés!$A:$H,7,FALSE)=AN304,1,0)</f>
        <v>#N/A</v>
      </c>
      <c r="EA304" s="138" t="e">
        <f>IF(VLOOKUP(CONCATENATE(H304,F304,EA$2),Inglés!$A:$H,7,FALSE)=AO304,1,0)</f>
        <v>#N/A</v>
      </c>
      <c r="EB304" s="138" t="e">
        <f>IF(VLOOKUP(CONCATENATE(H304,F304,EB$2),Matemáticas!$A:$H,7,FALSE)=AP304,1,0)</f>
        <v>#N/A</v>
      </c>
      <c r="EC304" s="138" t="e">
        <f>IF(VLOOKUP(CONCATENATE(H304,F304,EC$2),Matemáticas!$A:$H,7,FALSE)=AQ304,1,0)</f>
        <v>#N/A</v>
      </c>
      <c r="ED304" s="138" t="e">
        <f>IF(VLOOKUP(CONCATENATE(H304,F304,ED$2),Matemáticas!$A:$H,7,FALSE)=AR304,1,0)</f>
        <v>#N/A</v>
      </c>
      <c r="EE304" s="138" t="e">
        <f>IF(VLOOKUP(CONCATENATE(H304,F304,EE$2),Matemáticas!$A:$H,7,FALSE)=AS304,1,0)</f>
        <v>#N/A</v>
      </c>
      <c r="EF304" s="138" t="e">
        <f>IF(VLOOKUP(CONCATENATE(H304,F304,EF$2),Matemáticas!$A:$H,7,FALSE)=AT304,1,0)</f>
        <v>#N/A</v>
      </c>
      <c r="EG304" s="138" t="e">
        <f>IF(VLOOKUP(CONCATENATE(H304,F304,EG$2),Matemáticas!$A:$H,7,FALSE)=AU304,1,0)</f>
        <v>#N/A</v>
      </c>
      <c r="EH304" s="138" t="e">
        <f>IF(VLOOKUP(CONCATENATE(H304,F304,EH$2),Matemáticas!$A:$H,7,FALSE)=AV304,1,0)</f>
        <v>#N/A</v>
      </c>
      <c r="EI304" s="138" t="e">
        <f>IF(VLOOKUP(CONCATENATE(H304,F304,EI$2),Matemáticas!$A:$H,7,FALSE)=AW304,1,0)</f>
        <v>#N/A</v>
      </c>
      <c r="EJ304" s="138" t="e">
        <f>IF(VLOOKUP(CONCATENATE(H304,F304,EJ$2),Matemáticas!$A:$H,7,FALSE)=AX304,1,0)</f>
        <v>#N/A</v>
      </c>
      <c r="EK304" s="138" t="e">
        <f>IF(VLOOKUP(CONCATENATE(H304,F304,EK$2),Matemáticas!$A:$H,7,FALSE)=AY304,1,0)</f>
        <v>#N/A</v>
      </c>
      <c r="EL304" s="138" t="e">
        <f>IF(VLOOKUP(CONCATENATE(H304,F304,EL$2),Matemáticas!$A:$H,7,FALSE)=AZ304,1,0)</f>
        <v>#N/A</v>
      </c>
      <c r="EM304" s="138" t="e">
        <f>IF(VLOOKUP(CONCATENATE(H304,F304,EM$2),Matemáticas!$A:$H,7,FALSE)=BA304,1,0)</f>
        <v>#N/A</v>
      </c>
      <c r="EN304" s="138" t="e">
        <f>IF(VLOOKUP(CONCATENATE(H304,F304,EN$2),Matemáticas!$A:$H,7,FALSE)=BB304,1,0)</f>
        <v>#N/A</v>
      </c>
      <c r="EO304" s="138" t="e">
        <f>IF(VLOOKUP(CONCATENATE(H304,F304,EO$2),Matemáticas!$A:$H,7,FALSE)=BC304,1,0)</f>
        <v>#N/A</v>
      </c>
      <c r="EP304" s="138" t="e">
        <f>IF(VLOOKUP(CONCATENATE(H304,F304,EP$2),Matemáticas!$A:$H,7,FALSE)=BD304,1,0)</f>
        <v>#N/A</v>
      </c>
      <c r="EQ304" s="138" t="e">
        <f>IF(VLOOKUP(CONCATENATE(H304,F304,EQ$2),Matemáticas!$A:$H,7,FALSE)=BE304,1,0)</f>
        <v>#N/A</v>
      </c>
      <c r="ER304" s="138" t="e">
        <f>IF(VLOOKUP(CONCATENATE(H304,F304,ER$2),Matemáticas!$A:$H,7,FALSE)=BF304,1,0)</f>
        <v>#N/A</v>
      </c>
      <c r="ES304" s="138" t="e">
        <f>IF(VLOOKUP(CONCATENATE(H304,F304,ES$2),Matemáticas!$A:$H,7,FALSE)=BG304,1,0)</f>
        <v>#N/A</v>
      </c>
      <c r="ET304" s="138" t="e">
        <f>IF(VLOOKUP(CONCATENATE(H304,F304,ET$2),Matemáticas!$A:$H,7,FALSE)=BH304,1,0)</f>
        <v>#N/A</v>
      </c>
      <c r="EU304" s="138" t="e">
        <f>IF(VLOOKUP(CONCATENATE(H304,F304,EU$2),Matemáticas!$A:$H,7,FALSE)=BI304,1,0)</f>
        <v>#N/A</v>
      </c>
      <c r="EV304" s="138" t="e">
        <f>IF(VLOOKUP(CONCATENATE(H304,F304,EV$2),Ciencias!$A:$H,7,FALSE)=BJ304,1,0)</f>
        <v>#N/A</v>
      </c>
      <c r="EW304" s="138" t="e">
        <f>IF(VLOOKUP(CONCATENATE(H304,F304,EW$2),Ciencias!$A:$H,7,FALSE)=BK304,1,0)</f>
        <v>#N/A</v>
      </c>
      <c r="EX304" s="138" t="e">
        <f>IF(VLOOKUP(CONCATENATE(H304,F304,EX$2),Ciencias!$A:$H,7,FALSE)=BL304,1,0)</f>
        <v>#N/A</v>
      </c>
      <c r="EY304" s="138" t="e">
        <f>IF(VLOOKUP(CONCATENATE(H304,F304,EY$2),Ciencias!$A:$H,7,FALSE)=BM304,1,0)</f>
        <v>#N/A</v>
      </c>
      <c r="EZ304" s="138" t="e">
        <f>IF(VLOOKUP(CONCATENATE(H304,F304,EZ$2),Ciencias!$A:$H,7,FALSE)=BN304,1,0)</f>
        <v>#N/A</v>
      </c>
      <c r="FA304" s="138" t="e">
        <f>IF(VLOOKUP(CONCATENATE(H304,F304,FA$2),Ciencias!$A:$H,7,FALSE)=BO304,1,0)</f>
        <v>#N/A</v>
      </c>
      <c r="FB304" s="138" t="e">
        <f>IF(VLOOKUP(CONCATENATE(H304,F304,FB$2),Ciencias!$A:$H,7,FALSE)=BP304,1,0)</f>
        <v>#N/A</v>
      </c>
      <c r="FC304" s="138" t="e">
        <f>IF(VLOOKUP(CONCATENATE(H304,F304,FC$2),Ciencias!$A:$H,7,FALSE)=BQ304,1,0)</f>
        <v>#N/A</v>
      </c>
      <c r="FD304" s="138" t="e">
        <f>IF(VLOOKUP(CONCATENATE(H304,F304,FD$2),Ciencias!$A:$H,7,FALSE)=BR304,1,0)</f>
        <v>#N/A</v>
      </c>
      <c r="FE304" s="138" t="e">
        <f>IF(VLOOKUP(CONCATENATE(H304,F304,FE$2),Ciencias!$A:$H,7,FALSE)=BS304,1,0)</f>
        <v>#N/A</v>
      </c>
      <c r="FF304" s="138" t="e">
        <f>IF(VLOOKUP(CONCATENATE(H304,F304,FF$2),Ciencias!$A:$H,7,FALSE)=BT304,1,0)</f>
        <v>#N/A</v>
      </c>
      <c r="FG304" s="138" t="e">
        <f>IF(VLOOKUP(CONCATENATE(H304,F304,FG$2),Ciencias!$A:$H,7,FALSE)=BU304,1,0)</f>
        <v>#N/A</v>
      </c>
      <c r="FH304" s="138" t="e">
        <f>IF(VLOOKUP(CONCATENATE(H304,F304,FH$2),Ciencias!$A:$H,7,FALSE)=BV304,1,0)</f>
        <v>#N/A</v>
      </c>
      <c r="FI304" s="138" t="e">
        <f>IF(VLOOKUP(CONCATENATE(H304,F304,FI$2),Ciencias!$A:$H,7,FALSE)=BW304,1,0)</f>
        <v>#N/A</v>
      </c>
      <c r="FJ304" s="138" t="e">
        <f>IF(VLOOKUP(CONCATENATE(H304,F304,FJ$2),Ciencias!$A:$H,7,FALSE)=BX304,1,0)</f>
        <v>#N/A</v>
      </c>
      <c r="FK304" s="138" t="e">
        <f>IF(VLOOKUP(CONCATENATE(H304,F304,FK$2),Ciencias!$A:$H,7,FALSE)=BY304,1,0)</f>
        <v>#N/A</v>
      </c>
      <c r="FL304" s="138" t="e">
        <f>IF(VLOOKUP(CONCATENATE(H304,F304,FL$2),Ciencias!$A:$H,7,FALSE)=BZ304,1,0)</f>
        <v>#N/A</v>
      </c>
      <c r="FM304" s="138" t="e">
        <f>IF(VLOOKUP(CONCATENATE(H304,F304,FM$2),Ciencias!$A:$H,7,FALSE)=CA304,1,0)</f>
        <v>#N/A</v>
      </c>
      <c r="FN304" s="138" t="e">
        <f>IF(VLOOKUP(CONCATENATE(H304,F304,FN$2),Ciencias!$A:$H,7,FALSE)=CB304,1,0)</f>
        <v>#N/A</v>
      </c>
      <c r="FO304" s="138" t="e">
        <f>IF(VLOOKUP(CONCATENATE(H304,F304,FO$2),Ciencias!$A:$H,7,FALSE)=CC304,1,0)</f>
        <v>#N/A</v>
      </c>
      <c r="FP304" s="138" t="e">
        <f>IF(VLOOKUP(CONCATENATE(H304,F304,FP$2),GeoHis!$A:$H,7,FALSE)=CD304,1,0)</f>
        <v>#N/A</v>
      </c>
      <c r="FQ304" s="138" t="e">
        <f>IF(VLOOKUP(CONCATENATE(H304,F304,FQ$2),GeoHis!$A:$H,7,FALSE)=CE304,1,0)</f>
        <v>#N/A</v>
      </c>
      <c r="FR304" s="138" t="e">
        <f>IF(VLOOKUP(CONCATENATE(H304,F304,FR$2),GeoHis!$A:$H,7,FALSE)=CF304,1,0)</f>
        <v>#N/A</v>
      </c>
      <c r="FS304" s="138" t="e">
        <f>IF(VLOOKUP(CONCATENATE(H304,F304,FS$2),GeoHis!$A:$H,7,FALSE)=CG304,1,0)</f>
        <v>#N/A</v>
      </c>
      <c r="FT304" s="138" t="e">
        <f>IF(VLOOKUP(CONCATENATE(H304,F304,FT$2),GeoHis!$A:$H,7,FALSE)=CH304,1,0)</f>
        <v>#N/A</v>
      </c>
      <c r="FU304" s="138" t="e">
        <f>IF(VLOOKUP(CONCATENATE(H304,F304,FU$2),GeoHis!$A:$H,7,FALSE)=CI304,1,0)</f>
        <v>#N/A</v>
      </c>
      <c r="FV304" s="138" t="e">
        <f>IF(VLOOKUP(CONCATENATE(H304,F304,FV$2),GeoHis!$A:$H,7,FALSE)=CJ304,1,0)</f>
        <v>#N/A</v>
      </c>
      <c r="FW304" s="138" t="e">
        <f>IF(VLOOKUP(CONCATENATE(H304,F304,FW$2),GeoHis!$A:$H,7,FALSE)=CK304,1,0)</f>
        <v>#N/A</v>
      </c>
      <c r="FX304" s="138" t="e">
        <f>IF(VLOOKUP(CONCATENATE(H304,F304,FX$2),GeoHis!$A:$H,7,FALSE)=CL304,1,0)</f>
        <v>#N/A</v>
      </c>
      <c r="FY304" s="138" t="e">
        <f>IF(VLOOKUP(CONCATENATE(H304,F304,FY$2),GeoHis!$A:$H,7,FALSE)=CM304,1,0)</f>
        <v>#N/A</v>
      </c>
      <c r="FZ304" s="138" t="e">
        <f>IF(VLOOKUP(CONCATENATE(H304,F304,FZ$2),GeoHis!$A:$H,7,FALSE)=CN304,1,0)</f>
        <v>#N/A</v>
      </c>
      <c r="GA304" s="138" t="e">
        <f>IF(VLOOKUP(CONCATENATE(H304,F304,GA$2),GeoHis!$A:$H,7,FALSE)=CO304,1,0)</f>
        <v>#N/A</v>
      </c>
      <c r="GB304" s="138" t="e">
        <f>IF(VLOOKUP(CONCATENATE(H304,F304,GB$2),GeoHis!$A:$H,7,FALSE)=CP304,1,0)</f>
        <v>#N/A</v>
      </c>
      <c r="GC304" s="138" t="e">
        <f>IF(VLOOKUP(CONCATENATE(H304,F304,GC$2),GeoHis!$A:$H,7,FALSE)=CQ304,1,0)</f>
        <v>#N/A</v>
      </c>
      <c r="GD304" s="138" t="e">
        <f>IF(VLOOKUP(CONCATENATE(H304,F304,GD$2),GeoHis!$A:$H,7,FALSE)=CR304,1,0)</f>
        <v>#N/A</v>
      </c>
      <c r="GE304" s="135" t="str">
        <f t="shared" si="39"/>
        <v/>
      </c>
    </row>
    <row r="305" spans="1:187" x14ac:dyDescent="0.25">
      <c r="A305" s="127" t="str">
        <f>IF(C305="","",'Datos Generales'!$A$25)</f>
        <v/>
      </c>
      <c r="D305" s="126" t="str">
        <f t="shared" si="32"/>
        <v/>
      </c>
      <c r="E305" s="126">
        <f t="shared" si="33"/>
        <v>0</v>
      </c>
      <c r="F305" s="126" t="str">
        <f t="shared" si="34"/>
        <v/>
      </c>
      <c r="G305" s="126" t="str">
        <f>IF(C305="","",'Datos Generales'!$D$19)</f>
        <v/>
      </c>
      <c r="H305" s="21" t="str">
        <f>IF(C305="","",'Datos Generales'!$A$19)</f>
        <v/>
      </c>
      <c r="I305" s="126" t="str">
        <f>IF(C305="","",'Datos Generales'!$A$7)</f>
        <v/>
      </c>
      <c r="J305" s="21" t="str">
        <f>IF(C305="","",'Datos Generales'!$A$13)</f>
        <v/>
      </c>
      <c r="K305" s="21" t="str">
        <f>IF(C305="","",'Datos Generales'!$A$10)</f>
        <v/>
      </c>
      <c r="CS305" s="142" t="str">
        <f t="shared" si="35"/>
        <v/>
      </c>
      <c r="CT305" s="142" t="str">
        <f t="shared" si="36"/>
        <v/>
      </c>
      <c r="CU305" s="142" t="str">
        <f t="shared" si="37"/>
        <v/>
      </c>
      <c r="CV305" s="142" t="str">
        <f t="shared" si="38"/>
        <v/>
      </c>
      <c r="CW305" s="142" t="str">
        <f>IF(C305="","",IF('Datos Generales'!$A$19=1,AVERAGE(FP305:GD305),AVERAGE(Captura!FP305:FY305)))</f>
        <v/>
      </c>
      <c r="CX305" s="138" t="e">
        <f>IF(VLOOKUP(CONCATENATE($H$4,$F$4,CX$2),Español!$A:$H,7,FALSE)=L305,1,0)</f>
        <v>#N/A</v>
      </c>
      <c r="CY305" s="138" t="e">
        <f>IF(VLOOKUP(CONCATENATE(H305,F305,CY$2),Español!$A:$H,7,FALSE)=M305,1,0)</f>
        <v>#N/A</v>
      </c>
      <c r="CZ305" s="138" t="e">
        <f>IF(VLOOKUP(CONCATENATE(H305,F305,CZ$2),Español!$A:$H,7,FALSE)=N305,1,0)</f>
        <v>#N/A</v>
      </c>
      <c r="DA305" s="138" t="e">
        <f>IF(VLOOKUP(CONCATENATE(H305,F305,DA$2),Español!$A:$H,7,FALSE)=O305,1,0)</f>
        <v>#N/A</v>
      </c>
      <c r="DB305" s="138" t="e">
        <f>IF(VLOOKUP(CONCATENATE(H305,F305,DB$2),Español!$A:$H,7,FALSE)=P305,1,0)</f>
        <v>#N/A</v>
      </c>
      <c r="DC305" s="138" t="e">
        <f>IF(VLOOKUP(CONCATENATE(H305,F305,DC$2),Español!$A:$H,7,FALSE)=Q305,1,0)</f>
        <v>#N/A</v>
      </c>
      <c r="DD305" s="138" t="e">
        <f>IF(VLOOKUP(CONCATENATE(H305,F305,DD$2),Español!$A:$H,7,FALSE)=R305,1,0)</f>
        <v>#N/A</v>
      </c>
      <c r="DE305" s="138" t="e">
        <f>IF(VLOOKUP(CONCATENATE(H305,F305,DE$2),Español!$A:$H,7,FALSE)=S305,1,0)</f>
        <v>#N/A</v>
      </c>
      <c r="DF305" s="138" t="e">
        <f>IF(VLOOKUP(CONCATENATE(H305,F305,DF$2),Español!$A:$H,7,FALSE)=T305,1,0)</f>
        <v>#N/A</v>
      </c>
      <c r="DG305" s="138" t="e">
        <f>IF(VLOOKUP(CONCATENATE(H305,F305,DG$2),Español!$A:$H,7,FALSE)=U305,1,0)</f>
        <v>#N/A</v>
      </c>
      <c r="DH305" s="138" t="e">
        <f>IF(VLOOKUP(CONCATENATE(H305,F305,DH$2),Español!$A:$H,7,FALSE)=V305,1,0)</f>
        <v>#N/A</v>
      </c>
      <c r="DI305" s="138" t="e">
        <f>IF(VLOOKUP(CONCATENATE(H305,F305,DI$2),Español!$A:$H,7,FALSE)=W305,1,0)</f>
        <v>#N/A</v>
      </c>
      <c r="DJ305" s="138" t="e">
        <f>IF(VLOOKUP(CONCATENATE(H305,F305,DJ$2),Español!$A:$H,7,FALSE)=X305,1,0)</f>
        <v>#N/A</v>
      </c>
      <c r="DK305" s="138" t="e">
        <f>IF(VLOOKUP(CONCATENATE(H305,F305,DK$2),Español!$A:$H,7,FALSE)=Y305,1,0)</f>
        <v>#N/A</v>
      </c>
      <c r="DL305" s="138" t="e">
        <f>IF(VLOOKUP(CONCATENATE(H305,F305,DL$2),Español!$A:$H,7,FALSE)=Z305,1,0)</f>
        <v>#N/A</v>
      </c>
      <c r="DM305" s="138" t="e">
        <f>IF(VLOOKUP(CONCATENATE(H305,F305,DM$2),Español!$A:$H,7,FALSE)=AA305,1,0)</f>
        <v>#N/A</v>
      </c>
      <c r="DN305" s="138" t="e">
        <f>IF(VLOOKUP(CONCATENATE(H305,F305,DN$2),Español!$A:$H,7,FALSE)=AB305,1,0)</f>
        <v>#N/A</v>
      </c>
      <c r="DO305" s="138" t="e">
        <f>IF(VLOOKUP(CONCATENATE(H305,F305,DO$2),Español!$A:$H,7,FALSE)=AC305,1,0)</f>
        <v>#N/A</v>
      </c>
      <c r="DP305" s="138" t="e">
        <f>IF(VLOOKUP(CONCATENATE(H305,F305,DP$2),Español!$A:$H,7,FALSE)=AD305,1,0)</f>
        <v>#N/A</v>
      </c>
      <c r="DQ305" s="138" t="e">
        <f>IF(VLOOKUP(CONCATENATE(H305,F305,DQ$2),Español!$A:$H,7,FALSE)=AE305,1,0)</f>
        <v>#N/A</v>
      </c>
      <c r="DR305" s="138" t="e">
        <f>IF(VLOOKUP(CONCATENATE(H305,F305,DR$2),Inglés!$A:$H,7,FALSE)=AF305,1,0)</f>
        <v>#N/A</v>
      </c>
      <c r="DS305" s="138" t="e">
        <f>IF(VLOOKUP(CONCATENATE(H305,F305,DS$2),Inglés!$A:$H,7,FALSE)=AG305,1,0)</f>
        <v>#N/A</v>
      </c>
      <c r="DT305" s="138" t="e">
        <f>IF(VLOOKUP(CONCATENATE(H305,F305,DT$2),Inglés!$A:$H,7,FALSE)=AH305,1,0)</f>
        <v>#N/A</v>
      </c>
      <c r="DU305" s="138" t="e">
        <f>IF(VLOOKUP(CONCATENATE(H305,F305,DU$2),Inglés!$A:$H,7,FALSE)=AI305,1,0)</f>
        <v>#N/A</v>
      </c>
      <c r="DV305" s="138" t="e">
        <f>IF(VLOOKUP(CONCATENATE(H305,F305,DV$2),Inglés!$A:$H,7,FALSE)=AJ305,1,0)</f>
        <v>#N/A</v>
      </c>
      <c r="DW305" s="138" t="e">
        <f>IF(VLOOKUP(CONCATENATE(H305,F305,DW$2),Inglés!$A:$H,7,FALSE)=AK305,1,0)</f>
        <v>#N/A</v>
      </c>
      <c r="DX305" s="138" t="e">
        <f>IF(VLOOKUP(CONCATENATE(H305,F305,DX$2),Inglés!$A:$H,7,FALSE)=AL305,1,0)</f>
        <v>#N/A</v>
      </c>
      <c r="DY305" s="138" t="e">
        <f>IF(VLOOKUP(CONCATENATE(H305,F305,DY$2),Inglés!$A:$H,7,FALSE)=AM305,1,0)</f>
        <v>#N/A</v>
      </c>
      <c r="DZ305" s="138" t="e">
        <f>IF(VLOOKUP(CONCATENATE(H305,F305,DZ$2),Inglés!$A:$H,7,FALSE)=AN305,1,0)</f>
        <v>#N/A</v>
      </c>
      <c r="EA305" s="138" t="e">
        <f>IF(VLOOKUP(CONCATENATE(H305,F305,EA$2),Inglés!$A:$H,7,FALSE)=AO305,1,0)</f>
        <v>#N/A</v>
      </c>
      <c r="EB305" s="138" t="e">
        <f>IF(VLOOKUP(CONCATENATE(H305,F305,EB$2),Matemáticas!$A:$H,7,FALSE)=AP305,1,0)</f>
        <v>#N/A</v>
      </c>
      <c r="EC305" s="138" t="e">
        <f>IF(VLOOKUP(CONCATENATE(H305,F305,EC$2),Matemáticas!$A:$H,7,FALSE)=AQ305,1,0)</f>
        <v>#N/A</v>
      </c>
      <c r="ED305" s="138" t="e">
        <f>IF(VLOOKUP(CONCATENATE(H305,F305,ED$2),Matemáticas!$A:$H,7,FALSE)=AR305,1,0)</f>
        <v>#N/A</v>
      </c>
      <c r="EE305" s="138" t="e">
        <f>IF(VLOOKUP(CONCATENATE(H305,F305,EE$2),Matemáticas!$A:$H,7,FALSE)=AS305,1,0)</f>
        <v>#N/A</v>
      </c>
      <c r="EF305" s="138" t="e">
        <f>IF(VLOOKUP(CONCATENATE(H305,F305,EF$2),Matemáticas!$A:$H,7,FALSE)=AT305,1,0)</f>
        <v>#N/A</v>
      </c>
      <c r="EG305" s="138" t="e">
        <f>IF(VLOOKUP(CONCATENATE(H305,F305,EG$2),Matemáticas!$A:$H,7,FALSE)=AU305,1,0)</f>
        <v>#N/A</v>
      </c>
      <c r="EH305" s="138" t="e">
        <f>IF(VLOOKUP(CONCATENATE(H305,F305,EH$2),Matemáticas!$A:$H,7,FALSE)=AV305,1,0)</f>
        <v>#N/A</v>
      </c>
      <c r="EI305" s="138" t="e">
        <f>IF(VLOOKUP(CONCATENATE(H305,F305,EI$2),Matemáticas!$A:$H,7,FALSE)=AW305,1,0)</f>
        <v>#N/A</v>
      </c>
      <c r="EJ305" s="138" t="e">
        <f>IF(VLOOKUP(CONCATENATE(H305,F305,EJ$2),Matemáticas!$A:$H,7,FALSE)=AX305,1,0)</f>
        <v>#N/A</v>
      </c>
      <c r="EK305" s="138" t="e">
        <f>IF(VLOOKUP(CONCATENATE(H305,F305,EK$2),Matemáticas!$A:$H,7,FALSE)=AY305,1,0)</f>
        <v>#N/A</v>
      </c>
      <c r="EL305" s="138" t="e">
        <f>IF(VLOOKUP(CONCATENATE(H305,F305,EL$2),Matemáticas!$A:$H,7,FALSE)=AZ305,1,0)</f>
        <v>#N/A</v>
      </c>
      <c r="EM305" s="138" t="e">
        <f>IF(VLOOKUP(CONCATENATE(H305,F305,EM$2),Matemáticas!$A:$H,7,FALSE)=BA305,1,0)</f>
        <v>#N/A</v>
      </c>
      <c r="EN305" s="138" t="e">
        <f>IF(VLOOKUP(CONCATENATE(H305,F305,EN$2),Matemáticas!$A:$H,7,FALSE)=BB305,1,0)</f>
        <v>#N/A</v>
      </c>
      <c r="EO305" s="138" t="e">
        <f>IF(VLOOKUP(CONCATENATE(H305,F305,EO$2),Matemáticas!$A:$H,7,FALSE)=BC305,1,0)</f>
        <v>#N/A</v>
      </c>
      <c r="EP305" s="138" t="e">
        <f>IF(VLOOKUP(CONCATENATE(H305,F305,EP$2),Matemáticas!$A:$H,7,FALSE)=BD305,1,0)</f>
        <v>#N/A</v>
      </c>
      <c r="EQ305" s="138" t="e">
        <f>IF(VLOOKUP(CONCATENATE(H305,F305,EQ$2),Matemáticas!$A:$H,7,FALSE)=BE305,1,0)</f>
        <v>#N/A</v>
      </c>
      <c r="ER305" s="138" t="e">
        <f>IF(VLOOKUP(CONCATENATE(H305,F305,ER$2),Matemáticas!$A:$H,7,FALSE)=BF305,1,0)</f>
        <v>#N/A</v>
      </c>
      <c r="ES305" s="138" t="e">
        <f>IF(VLOOKUP(CONCATENATE(H305,F305,ES$2),Matemáticas!$A:$H,7,FALSE)=BG305,1,0)</f>
        <v>#N/A</v>
      </c>
      <c r="ET305" s="138" t="e">
        <f>IF(VLOOKUP(CONCATENATE(H305,F305,ET$2),Matemáticas!$A:$H,7,FALSE)=BH305,1,0)</f>
        <v>#N/A</v>
      </c>
      <c r="EU305" s="138" t="e">
        <f>IF(VLOOKUP(CONCATENATE(H305,F305,EU$2),Matemáticas!$A:$H,7,FALSE)=BI305,1,0)</f>
        <v>#N/A</v>
      </c>
      <c r="EV305" s="138" t="e">
        <f>IF(VLOOKUP(CONCATENATE(H305,F305,EV$2),Ciencias!$A:$H,7,FALSE)=BJ305,1,0)</f>
        <v>#N/A</v>
      </c>
      <c r="EW305" s="138" t="e">
        <f>IF(VLOOKUP(CONCATENATE(H305,F305,EW$2),Ciencias!$A:$H,7,FALSE)=BK305,1,0)</f>
        <v>#N/A</v>
      </c>
      <c r="EX305" s="138" t="e">
        <f>IF(VLOOKUP(CONCATENATE(H305,F305,EX$2),Ciencias!$A:$H,7,FALSE)=BL305,1,0)</f>
        <v>#N/A</v>
      </c>
      <c r="EY305" s="138" t="e">
        <f>IF(VLOOKUP(CONCATENATE(H305,F305,EY$2),Ciencias!$A:$H,7,FALSE)=BM305,1,0)</f>
        <v>#N/A</v>
      </c>
      <c r="EZ305" s="138" t="e">
        <f>IF(VLOOKUP(CONCATENATE(H305,F305,EZ$2),Ciencias!$A:$H,7,FALSE)=BN305,1,0)</f>
        <v>#N/A</v>
      </c>
      <c r="FA305" s="138" t="e">
        <f>IF(VLOOKUP(CONCATENATE(H305,F305,FA$2),Ciencias!$A:$H,7,FALSE)=BO305,1,0)</f>
        <v>#N/A</v>
      </c>
      <c r="FB305" s="138" t="e">
        <f>IF(VLOOKUP(CONCATENATE(H305,F305,FB$2),Ciencias!$A:$H,7,FALSE)=BP305,1,0)</f>
        <v>#N/A</v>
      </c>
      <c r="FC305" s="138" t="e">
        <f>IF(VLOOKUP(CONCATENATE(H305,F305,FC$2),Ciencias!$A:$H,7,FALSE)=BQ305,1,0)</f>
        <v>#N/A</v>
      </c>
      <c r="FD305" s="138" t="e">
        <f>IF(VLOOKUP(CONCATENATE(H305,F305,FD$2),Ciencias!$A:$H,7,FALSE)=BR305,1,0)</f>
        <v>#N/A</v>
      </c>
      <c r="FE305" s="138" t="e">
        <f>IF(VLOOKUP(CONCATENATE(H305,F305,FE$2),Ciencias!$A:$H,7,FALSE)=BS305,1,0)</f>
        <v>#N/A</v>
      </c>
      <c r="FF305" s="138" t="e">
        <f>IF(VLOOKUP(CONCATENATE(H305,F305,FF$2),Ciencias!$A:$H,7,FALSE)=BT305,1,0)</f>
        <v>#N/A</v>
      </c>
      <c r="FG305" s="138" t="e">
        <f>IF(VLOOKUP(CONCATENATE(H305,F305,FG$2),Ciencias!$A:$H,7,FALSE)=BU305,1,0)</f>
        <v>#N/A</v>
      </c>
      <c r="FH305" s="138" t="e">
        <f>IF(VLOOKUP(CONCATENATE(H305,F305,FH$2),Ciencias!$A:$H,7,FALSE)=BV305,1,0)</f>
        <v>#N/A</v>
      </c>
      <c r="FI305" s="138" t="e">
        <f>IF(VLOOKUP(CONCATENATE(H305,F305,FI$2),Ciencias!$A:$H,7,FALSE)=BW305,1,0)</f>
        <v>#N/A</v>
      </c>
      <c r="FJ305" s="138" t="e">
        <f>IF(VLOOKUP(CONCATENATE(H305,F305,FJ$2),Ciencias!$A:$H,7,FALSE)=BX305,1,0)</f>
        <v>#N/A</v>
      </c>
      <c r="FK305" s="138" t="e">
        <f>IF(VLOOKUP(CONCATENATE(H305,F305,FK$2),Ciencias!$A:$H,7,FALSE)=BY305,1,0)</f>
        <v>#N/A</v>
      </c>
      <c r="FL305" s="138" t="e">
        <f>IF(VLOOKUP(CONCATENATE(H305,F305,FL$2),Ciencias!$A:$H,7,FALSE)=BZ305,1,0)</f>
        <v>#N/A</v>
      </c>
      <c r="FM305" s="138" t="e">
        <f>IF(VLOOKUP(CONCATENATE(H305,F305,FM$2),Ciencias!$A:$H,7,FALSE)=CA305,1,0)</f>
        <v>#N/A</v>
      </c>
      <c r="FN305" s="138" t="e">
        <f>IF(VLOOKUP(CONCATENATE(H305,F305,FN$2),Ciencias!$A:$H,7,FALSE)=CB305,1,0)</f>
        <v>#N/A</v>
      </c>
      <c r="FO305" s="138" t="e">
        <f>IF(VLOOKUP(CONCATENATE(H305,F305,FO$2),Ciencias!$A:$H,7,FALSE)=CC305,1,0)</f>
        <v>#N/A</v>
      </c>
      <c r="FP305" s="138" t="e">
        <f>IF(VLOOKUP(CONCATENATE(H305,F305,FP$2),GeoHis!$A:$H,7,FALSE)=CD305,1,0)</f>
        <v>#N/A</v>
      </c>
      <c r="FQ305" s="138" t="e">
        <f>IF(VLOOKUP(CONCATENATE(H305,F305,FQ$2),GeoHis!$A:$H,7,FALSE)=CE305,1,0)</f>
        <v>#N/A</v>
      </c>
      <c r="FR305" s="138" t="e">
        <f>IF(VLOOKUP(CONCATENATE(H305,F305,FR$2),GeoHis!$A:$H,7,FALSE)=CF305,1,0)</f>
        <v>#N/A</v>
      </c>
      <c r="FS305" s="138" t="e">
        <f>IF(VLOOKUP(CONCATENATE(H305,F305,FS$2),GeoHis!$A:$H,7,FALSE)=CG305,1,0)</f>
        <v>#N/A</v>
      </c>
      <c r="FT305" s="138" t="e">
        <f>IF(VLOOKUP(CONCATENATE(H305,F305,FT$2),GeoHis!$A:$H,7,FALSE)=CH305,1,0)</f>
        <v>#N/A</v>
      </c>
      <c r="FU305" s="138" t="e">
        <f>IF(VLOOKUP(CONCATENATE(H305,F305,FU$2),GeoHis!$A:$H,7,FALSE)=CI305,1,0)</f>
        <v>#N/A</v>
      </c>
      <c r="FV305" s="138" t="e">
        <f>IF(VLOOKUP(CONCATENATE(H305,F305,FV$2),GeoHis!$A:$H,7,FALSE)=CJ305,1,0)</f>
        <v>#N/A</v>
      </c>
      <c r="FW305" s="138" t="e">
        <f>IF(VLOOKUP(CONCATENATE(H305,F305,FW$2),GeoHis!$A:$H,7,FALSE)=CK305,1,0)</f>
        <v>#N/A</v>
      </c>
      <c r="FX305" s="138" t="e">
        <f>IF(VLOOKUP(CONCATENATE(H305,F305,FX$2),GeoHis!$A:$H,7,FALSE)=CL305,1,0)</f>
        <v>#N/A</v>
      </c>
      <c r="FY305" s="138" t="e">
        <f>IF(VLOOKUP(CONCATENATE(H305,F305,FY$2),GeoHis!$A:$H,7,FALSE)=CM305,1,0)</f>
        <v>#N/A</v>
      </c>
      <c r="FZ305" s="138" t="e">
        <f>IF(VLOOKUP(CONCATENATE(H305,F305,FZ$2),GeoHis!$A:$H,7,FALSE)=CN305,1,0)</f>
        <v>#N/A</v>
      </c>
      <c r="GA305" s="138" t="e">
        <f>IF(VLOOKUP(CONCATENATE(H305,F305,GA$2),GeoHis!$A:$H,7,FALSE)=CO305,1,0)</f>
        <v>#N/A</v>
      </c>
      <c r="GB305" s="138" t="e">
        <f>IF(VLOOKUP(CONCATENATE(H305,F305,GB$2),GeoHis!$A:$H,7,FALSE)=CP305,1,0)</f>
        <v>#N/A</v>
      </c>
      <c r="GC305" s="138" t="e">
        <f>IF(VLOOKUP(CONCATENATE(H305,F305,GC$2),GeoHis!$A:$H,7,FALSE)=CQ305,1,0)</f>
        <v>#N/A</v>
      </c>
      <c r="GD305" s="138" t="e">
        <f>IF(VLOOKUP(CONCATENATE(H305,F305,GD$2),GeoHis!$A:$H,7,FALSE)=CR305,1,0)</f>
        <v>#N/A</v>
      </c>
      <c r="GE305" s="135" t="str">
        <f t="shared" si="39"/>
        <v/>
      </c>
    </row>
    <row r="306" spans="1:187" x14ac:dyDescent="0.25">
      <c r="A306" s="127" t="str">
        <f>IF(C306="","",'Datos Generales'!$A$25)</f>
        <v/>
      </c>
      <c r="D306" s="126" t="str">
        <f t="shared" si="32"/>
        <v/>
      </c>
      <c r="E306" s="126">
        <f t="shared" si="33"/>
        <v>0</v>
      </c>
      <c r="F306" s="126" t="str">
        <f t="shared" si="34"/>
        <v/>
      </c>
      <c r="G306" s="126" t="str">
        <f>IF(C306="","",'Datos Generales'!$D$19)</f>
        <v/>
      </c>
      <c r="H306" s="21" t="str">
        <f>IF(C306="","",'Datos Generales'!$A$19)</f>
        <v/>
      </c>
      <c r="I306" s="126" t="str">
        <f>IF(C306="","",'Datos Generales'!$A$7)</f>
        <v/>
      </c>
      <c r="J306" s="21" t="str">
        <f>IF(C306="","",'Datos Generales'!$A$13)</f>
        <v/>
      </c>
      <c r="K306" s="21" t="str">
        <f>IF(C306="","",'Datos Generales'!$A$10)</f>
        <v/>
      </c>
      <c r="CS306" s="142" t="str">
        <f t="shared" si="35"/>
        <v/>
      </c>
      <c r="CT306" s="142" t="str">
        <f t="shared" si="36"/>
        <v/>
      </c>
      <c r="CU306" s="142" t="str">
        <f t="shared" si="37"/>
        <v/>
      </c>
      <c r="CV306" s="142" t="str">
        <f t="shared" si="38"/>
        <v/>
      </c>
      <c r="CW306" s="142" t="str">
        <f>IF(C306="","",IF('Datos Generales'!$A$19=1,AVERAGE(FP306:GD306),AVERAGE(Captura!FP306:FY306)))</f>
        <v/>
      </c>
      <c r="CX306" s="138" t="e">
        <f>IF(VLOOKUP(CONCATENATE($H$4,$F$4,CX$2),Español!$A:$H,7,FALSE)=L306,1,0)</f>
        <v>#N/A</v>
      </c>
      <c r="CY306" s="138" t="e">
        <f>IF(VLOOKUP(CONCATENATE(H306,F306,CY$2),Español!$A:$H,7,FALSE)=M306,1,0)</f>
        <v>#N/A</v>
      </c>
      <c r="CZ306" s="138" t="e">
        <f>IF(VLOOKUP(CONCATENATE(H306,F306,CZ$2),Español!$A:$H,7,FALSE)=N306,1,0)</f>
        <v>#N/A</v>
      </c>
      <c r="DA306" s="138" t="e">
        <f>IF(VLOOKUP(CONCATENATE(H306,F306,DA$2),Español!$A:$H,7,FALSE)=O306,1,0)</f>
        <v>#N/A</v>
      </c>
      <c r="DB306" s="138" t="e">
        <f>IF(VLOOKUP(CONCATENATE(H306,F306,DB$2),Español!$A:$H,7,FALSE)=P306,1,0)</f>
        <v>#N/A</v>
      </c>
      <c r="DC306" s="138" t="e">
        <f>IF(VLOOKUP(CONCATENATE(H306,F306,DC$2),Español!$A:$H,7,FALSE)=Q306,1,0)</f>
        <v>#N/A</v>
      </c>
      <c r="DD306" s="138" t="e">
        <f>IF(VLOOKUP(CONCATENATE(H306,F306,DD$2),Español!$A:$H,7,FALSE)=R306,1,0)</f>
        <v>#N/A</v>
      </c>
      <c r="DE306" s="138" t="e">
        <f>IF(VLOOKUP(CONCATENATE(H306,F306,DE$2),Español!$A:$H,7,FALSE)=S306,1,0)</f>
        <v>#N/A</v>
      </c>
      <c r="DF306" s="138" t="e">
        <f>IF(VLOOKUP(CONCATENATE(H306,F306,DF$2),Español!$A:$H,7,FALSE)=T306,1,0)</f>
        <v>#N/A</v>
      </c>
      <c r="DG306" s="138" t="e">
        <f>IF(VLOOKUP(CONCATENATE(H306,F306,DG$2),Español!$A:$H,7,FALSE)=U306,1,0)</f>
        <v>#N/A</v>
      </c>
      <c r="DH306" s="138" t="e">
        <f>IF(VLOOKUP(CONCATENATE(H306,F306,DH$2),Español!$A:$H,7,FALSE)=V306,1,0)</f>
        <v>#N/A</v>
      </c>
      <c r="DI306" s="138" t="e">
        <f>IF(VLOOKUP(CONCATENATE(H306,F306,DI$2),Español!$A:$H,7,FALSE)=W306,1,0)</f>
        <v>#N/A</v>
      </c>
      <c r="DJ306" s="138" t="e">
        <f>IF(VLOOKUP(CONCATENATE(H306,F306,DJ$2),Español!$A:$H,7,FALSE)=X306,1,0)</f>
        <v>#N/A</v>
      </c>
      <c r="DK306" s="138" t="e">
        <f>IF(VLOOKUP(CONCATENATE(H306,F306,DK$2),Español!$A:$H,7,FALSE)=Y306,1,0)</f>
        <v>#N/A</v>
      </c>
      <c r="DL306" s="138" t="e">
        <f>IF(VLOOKUP(CONCATENATE(H306,F306,DL$2),Español!$A:$H,7,FALSE)=Z306,1,0)</f>
        <v>#N/A</v>
      </c>
      <c r="DM306" s="138" t="e">
        <f>IF(VLOOKUP(CONCATENATE(H306,F306,DM$2),Español!$A:$H,7,FALSE)=AA306,1,0)</f>
        <v>#N/A</v>
      </c>
      <c r="DN306" s="138" t="e">
        <f>IF(VLOOKUP(CONCATENATE(H306,F306,DN$2),Español!$A:$H,7,FALSE)=AB306,1,0)</f>
        <v>#N/A</v>
      </c>
      <c r="DO306" s="138" t="e">
        <f>IF(VLOOKUP(CONCATENATE(H306,F306,DO$2),Español!$A:$H,7,FALSE)=AC306,1,0)</f>
        <v>#N/A</v>
      </c>
      <c r="DP306" s="138" t="e">
        <f>IF(VLOOKUP(CONCATENATE(H306,F306,DP$2),Español!$A:$H,7,FALSE)=AD306,1,0)</f>
        <v>#N/A</v>
      </c>
      <c r="DQ306" s="138" t="e">
        <f>IF(VLOOKUP(CONCATENATE(H306,F306,DQ$2),Español!$A:$H,7,FALSE)=AE306,1,0)</f>
        <v>#N/A</v>
      </c>
      <c r="DR306" s="138" t="e">
        <f>IF(VLOOKUP(CONCATENATE(H306,F306,DR$2),Inglés!$A:$H,7,FALSE)=AF306,1,0)</f>
        <v>#N/A</v>
      </c>
      <c r="DS306" s="138" t="e">
        <f>IF(VLOOKUP(CONCATENATE(H306,F306,DS$2),Inglés!$A:$H,7,FALSE)=AG306,1,0)</f>
        <v>#N/A</v>
      </c>
      <c r="DT306" s="138" t="e">
        <f>IF(VLOOKUP(CONCATENATE(H306,F306,DT$2),Inglés!$A:$H,7,FALSE)=AH306,1,0)</f>
        <v>#N/A</v>
      </c>
      <c r="DU306" s="138" t="e">
        <f>IF(VLOOKUP(CONCATENATE(H306,F306,DU$2),Inglés!$A:$H,7,FALSE)=AI306,1,0)</f>
        <v>#N/A</v>
      </c>
      <c r="DV306" s="138" t="e">
        <f>IF(VLOOKUP(CONCATENATE(H306,F306,DV$2),Inglés!$A:$H,7,FALSE)=AJ306,1,0)</f>
        <v>#N/A</v>
      </c>
      <c r="DW306" s="138" t="e">
        <f>IF(VLOOKUP(CONCATENATE(H306,F306,DW$2),Inglés!$A:$H,7,FALSE)=AK306,1,0)</f>
        <v>#N/A</v>
      </c>
      <c r="DX306" s="138" t="e">
        <f>IF(VLOOKUP(CONCATENATE(H306,F306,DX$2),Inglés!$A:$H,7,FALSE)=AL306,1,0)</f>
        <v>#N/A</v>
      </c>
      <c r="DY306" s="138" t="e">
        <f>IF(VLOOKUP(CONCATENATE(H306,F306,DY$2),Inglés!$A:$H,7,FALSE)=AM306,1,0)</f>
        <v>#N/A</v>
      </c>
      <c r="DZ306" s="138" t="e">
        <f>IF(VLOOKUP(CONCATENATE(H306,F306,DZ$2),Inglés!$A:$H,7,FALSE)=AN306,1,0)</f>
        <v>#N/A</v>
      </c>
      <c r="EA306" s="138" t="e">
        <f>IF(VLOOKUP(CONCATENATE(H306,F306,EA$2),Inglés!$A:$H,7,FALSE)=AO306,1,0)</f>
        <v>#N/A</v>
      </c>
      <c r="EB306" s="138" t="e">
        <f>IF(VLOOKUP(CONCATENATE(H306,F306,EB$2),Matemáticas!$A:$H,7,FALSE)=AP306,1,0)</f>
        <v>#N/A</v>
      </c>
      <c r="EC306" s="138" t="e">
        <f>IF(VLOOKUP(CONCATENATE(H306,F306,EC$2),Matemáticas!$A:$H,7,FALSE)=AQ306,1,0)</f>
        <v>#N/A</v>
      </c>
      <c r="ED306" s="138" t="e">
        <f>IF(VLOOKUP(CONCATENATE(H306,F306,ED$2),Matemáticas!$A:$H,7,FALSE)=AR306,1,0)</f>
        <v>#N/A</v>
      </c>
      <c r="EE306" s="138" t="e">
        <f>IF(VLOOKUP(CONCATENATE(H306,F306,EE$2),Matemáticas!$A:$H,7,FALSE)=AS306,1,0)</f>
        <v>#N/A</v>
      </c>
      <c r="EF306" s="138" t="e">
        <f>IF(VLOOKUP(CONCATENATE(H306,F306,EF$2),Matemáticas!$A:$H,7,FALSE)=AT306,1,0)</f>
        <v>#N/A</v>
      </c>
      <c r="EG306" s="138" t="e">
        <f>IF(VLOOKUP(CONCATENATE(H306,F306,EG$2),Matemáticas!$A:$H,7,FALSE)=AU306,1,0)</f>
        <v>#N/A</v>
      </c>
      <c r="EH306" s="138" t="e">
        <f>IF(VLOOKUP(CONCATENATE(H306,F306,EH$2),Matemáticas!$A:$H,7,FALSE)=AV306,1,0)</f>
        <v>#N/A</v>
      </c>
      <c r="EI306" s="138" t="e">
        <f>IF(VLOOKUP(CONCATENATE(H306,F306,EI$2),Matemáticas!$A:$H,7,FALSE)=AW306,1,0)</f>
        <v>#N/A</v>
      </c>
      <c r="EJ306" s="138" t="e">
        <f>IF(VLOOKUP(CONCATENATE(H306,F306,EJ$2),Matemáticas!$A:$H,7,FALSE)=AX306,1,0)</f>
        <v>#N/A</v>
      </c>
      <c r="EK306" s="138" t="e">
        <f>IF(VLOOKUP(CONCATENATE(H306,F306,EK$2),Matemáticas!$A:$H,7,FALSE)=AY306,1,0)</f>
        <v>#N/A</v>
      </c>
      <c r="EL306" s="138" t="e">
        <f>IF(VLOOKUP(CONCATENATE(H306,F306,EL$2),Matemáticas!$A:$H,7,FALSE)=AZ306,1,0)</f>
        <v>#N/A</v>
      </c>
      <c r="EM306" s="138" t="e">
        <f>IF(VLOOKUP(CONCATENATE(H306,F306,EM$2),Matemáticas!$A:$H,7,FALSE)=BA306,1,0)</f>
        <v>#N/A</v>
      </c>
      <c r="EN306" s="138" t="e">
        <f>IF(VLOOKUP(CONCATENATE(H306,F306,EN$2),Matemáticas!$A:$H,7,FALSE)=BB306,1,0)</f>
        <v>#N/A</v>
      </c>
      <c r="EO306" s="138" t="e">
        <f>IF(VLOOKUP(CONCATENATE(H306,F306,EO$2),Matemáticas!$A:$H,7,FALSE)=BC306,1,0)</f>
        <v>#N/A</v>
      </c>
      <c r="EP306" s="138" t="e">
        <f>IF(VLOOKUP(CONCATENATE(H306,F306,EP$2),Matemáticas!$A:$H,7,FALSE)=BD306,1,0)</f>
        <v>#N/A</v>
      </c>
      <c r="EQ306" s="138" t="e">
        <f>IF(VLOOKUP(CONCATENATE(H306,F306,EQ$2),Matemáticas!$A:$H,7,FALSE)=BE306,1,0)</f>
        <v>#N/A</v>
      </c>
      <c r="ER306" s="138" t="e">
        <f>IF(VLOOKUP(CONCATENATE(H306,F306,ER$2),Matemáticas!$A:$H,7,FALSE)=BF306,1,0)</f>
        <v>#N/A</v>
      </c>
      <c r="ES306" s="138" t="e">
        <f>IF(VLOOKUP(CONCATENATE(H306,F306,ES$2),Matemáticas!$A:$H,7,FALSE)=BG306,1,0)</f>
        <v>#N/A</v>
      </c>
      <c r="ET306" s="138" t="e">
        <f>IF(VLOOKUP(CONCATENATE(H306,F306,ET$2),Matemáticas!$A:$H,7,FALSE)=BH306,1,0)</f>
        <v>#N/A</v>
      </c>
      <c r="EU306" s="138" t="e">
        <f>IF(VLOOKUP(CONCATENATE(H306,F306,EU$2),Matemáticas!$A:$H,7,FALSE)=BI306,1,0)</f>
        <v>#N/A</v>
      </c>
      <c r="EV306" s="138" t="e">
        <f>IF(VLOOKUP(CONCATENATE(H306,F306,EV$2),Ciencias!$A:$H,7,FALSE)=BJ306,1,0)</f>
        <v>#N/A</v>
      </c>
      <c r="EW306" s="138" t="e">
        <f>IF(VLOOKUP(CONCATENATE(H306,F306,EW$2),Ciencias!$A:$H,7,FALSE)=BK306,1,0)</f>
        <v>#N/A</v>
      </c>
      <c r="EX306" s="138" t="e">
        <f>IF(VLOOKUP(CONCATENATE(H306,F306,EX$2),Ciencias!$A:$H,7,FALSE)=BL306,1,0)</f>
        <v>#N/A</v>
      </c>
      <c r="EY306" s="138" t="e">
        <f>IF(VLOOKUP(CONCATENATE(H306,F306,EY$2),Ciencias!$A:$H,7,FALSE)=BM306,1,0)</f>
        <v>#N/A</v>
      </c>
      <c r="EZ306" s="138" t="e">
        <f>IF(VLOOKUP(CONCATENATE(H306,F306,EZ$2),Ciencias!$A:$H,7,FALSE)=BN306,1,0)</f>
        <v>#N/A</v>
      </c>
      <c r="FA306" s="138" t="e">
        <f>IF(VLOOKUP(CONCATENATE(H306,F306,FA$2),Ciencias!$A:$H,7,FALSE)=BO306,1,0)</f>
        <v>#N/A</v>
      </c>
      <c r="FB306" s="138" t="e">
        <f>IF(VLOOKUP(CONCATENATE(H306,F306,FB$2),Ciencias!$A:$H,7,FALSE)=BP306,1,0)</f>
        <v>#N/A</v>
      </c>
      <c r="FC306" s="138" t="e">
        <f>IF(VLOOKUP(CONCATENATE(H306,F306,FC$2),Ciencias!$A:$H,7,FALSE)=BQ306,1,0)</f>
        <v>#N/A</v>
      </c>
      <c r="FD306" s="138" t="e">
        <f>IF(VLOOKUP(CONCATENATE(H306,F306,FD$2),Ciencias!$A:$H,7,FALSE)=BR306,1,0)</f>
        <v>#N/A</v>
      </c>
      <c r="FE306" s="138" t="e">
        <f>IF(VLOOKUP(CONCATENATE(H306,F306,FE$2),Ciencias!$A:$H,7,FALSE)=BS306,1,0)</f>
        <v>#N/A</v>
      </c>
      <c r="FF306" s="138" t="e">
        <f>IF(VLOOKUP(CONCATENATE(H306,F306,FF$2),Ciencias!$A:$H,7,FALSE)=BT306,1,0)</f>
        <v>#N/A</v>
      </c>
      <c r="FG306" s="138" t="e">
        <f>IF(VLOOKUP(CONCATENATE(H306,F306,FG$2),Ciencias!$A:$H,7,FALSE)=BU306,1,0)</f>
        <v>#N/A</v>
      </c>
      <c r="FH306" s="138" t="e">
        <f>IF(VLOOKUP(CONCATENATE(H306,F306,FH$2),Ciencias!$A:$H,7,FALSE)=BV306,1,0)</f>
        <v>#N/A</v>
      </c>
      <c r="FI306" s="138" t="e">
        <f>IF(VLOOKUP(CONCATENATE(H306,F306,FI$2),Ciencias!$A:$H,7,FALSE)=BW306,1,0)</f>
        <v>#N/A</v>
      </c>
      <c r="FJ306" s="138" t="e">
        <f>IF(VLOOKUP(CONCATENATE(H306,F306,FJ$2),Ciencias!$A:$H,7,FALSE)=BX306,1,0)</f>
        <v>#N/A</v>
      </c>
      <c r="FK306" s="138" t="e">
        <f>IF(VLOOKUP(CONCATENATE(H306,F306,FK$2),Ciencias!$A:$H,7,FALSE)=BY306,1,0)</f>
        <v>#N/A</v>
      </c>
      <c r="FL306" s="138" t="e">
        <f>IF(VLOOKUP(CONCATENATE(H306,F306,FL$2),Ciencias!$A:$H,7,FALSE)=BZ306,1,0)</f>
        <v>#N/A</v>
      </c>
      <c r="FM306" s="138" t="e">
        <f>IF(VLOOKUP(CONCATENATE(H306,F306,FM$2),Ciencias!$A:$H,7,FALSE)=CA306,1,0)</f>
        <v>#N/A</v>
      </c>
      <c r="FN306" s="138" t="e">
        <f>IF(VLOOKUP(CONCATENATE(H306,F306,FN$2),Ciencias!$A:$H,7,FALSE)=CB306,1,0)</f>
        <v>#N/A</v>
      </c>
      <c r="FO306" s="138" t="e">
        <f>IF(VLOOKUP(CONCATENATE(H306,F306,FO$2),Ciencias!$A:$H,7,FALSE)=CC306,1,0)</f>
        <v>#N/A</v>
      </c>
      <c r="FP306" s="138" t="e">
        <f>IF(VLOOKUP(CONCATENATE(H306,F306,FP$2),GeoHis!$A:$H,7,FALSE)=CD306,1,0)</f>
        <v>#N/A</v>
      </c>
      <c r="FQ306" s="138" t="e">
        <f>IF(VLOOKUP(CONCATENATE(H306,F306,FQ$2),GeoHis!$A:$H,7,FALSE)=CE306,1,0)</f>
        <v>#N/A</v>
      </c>
      <c r="FR306" s="138" t="e">
        <f>IF(VLOOKUP(CONCATENATE(H306,F306,FR$2),GeoHis!$A:$H,7,FALSE)=CF306,1,0)</f>
        <v>#N/A</v>
      </c>
      <c r="FS306" s="138" t="e">
        <f>IF(VLOOKUP(CONCATENATE(H306,F306,FS$2),GeoHis!$A:$H,7,FALSE)=CG306,1,0)</f>
        <v>#N/A</v>
      </c>
      <c r="FT306" s="138" t="e">
        <f>IF(VLOOKUP(CONCATENATE(H306,F306,FT$2),GeoHis!$A:$H,7,FALSE)=CH306,1,0)</f>
        <v>#N/A</v>
      </c>
      <c r="FU306" s="138" t="e">
        <f>IF(VLOOKUP(CONCATENATE(H306,F306,FU$2),GeoHis!$A:$H,7,FALSE)=CI306,1,0)</f>
        <v>#N/A</v>
      </c>
      <c r="FV306" s="138" t="e">
        <f>IF(VLOOKUP(CONCATENATE(H306,F306,FV$2),GeoHis!$A:$H,7,FALSE)=CJ306,1,0)</f>
        <v>#N/A</v>
      </c>
      <c r="FW306" s="138" t="e">
        <f>IF(VLOOKUP(CONCATENATE(H306,F306,FW$2),GeoHis!$A:$H,7,FALSE)=CK306,1,0)</f>
        <v>#N/A</v>
      </c>
      <c r="FX306" s="138" t="e">
        <f>IF(VLOOKUP(CONCATENATE(H306,F306,FX$2),GeoHis!$A:$H,7,FALSE)=CL306,1,0)</f>
        <v>#N/A</v>
      </c>
      <c r="FY306" s="138" t="e">
        <f>IF(VLOOKUP(CONCATENATE(H306,F306,FY$2),GeoHis!$A:$H,7,FALSE)=CM306,1,0)</f>
        <v>#N/A</v>
      </c>
      <c r="FZ306" s="138" t="e">
        <f>IF(VLOOKUP(CONCATENATE(H306,F306,FZ$2),GeoHis!$A:$H,7,FALSE)=CN306,1,0)</f>
        <v>#N/A</v>
      </c>
      <c r="GA306" s="138" t="e">
        <f>IF(VLOOKUP(CONCATENATE(H306,F306,GA$2),GeoHis!$A:$H,7,FALSE)=CO306,1,0)</f>
        <v>#N/A</v>
      </c>
      <c r="GB306" s="138" t="e">
        <f>IF(VLOOKUP(CONCATENATE(H306,F306,GB$2),GeoHis!$A:$H,7,FALSE)=CP306,1,0)</f>
        <v>#N/A</v>
      </c>
      <c r="GC306" s="138" t="e">
        <f>IF(VLOOKUP(CONCATENATE(H306,F306,GC$2),GeoHis!$A:$H,7,FALSE)=CQ306,1,0)</f>
        <v>#N/A</v>
      </c>
      <c r="GD306" s="138" t="e">
        <f>IF(VLOOKUP(CONCATENATE(H306,F306,GD$2),GeoHis!$A:$H,7,FALSE)=CR306,1,0)</f>
        <v>#N/A</v>
      </c>
      <c r="GE306" s="135" t="str">
        <f t="shared" si="39"/>
        <v/>
      </c>
    </row>
    <row r="307" spans="1:187" x14ac:dyDescent="0.25">
      <c r="A307" s="127" t="str">
        <f>IF(C307="","",'Datos Generales'!$A$25)</f>
        <v/>
      </c>
      <c r="D307" s="126" t="str">
        <f t="shared" si="32"/>
        <v/>
      </c>
      <c r="E307" s="126">
        <f t="shared" si="33"/>
        <v>0</v>
      </c>
      <c r="F307" s="126" t="str">
        <f t="shared" si="34"/>
        <v/>
      </c>
      <c r="G307" s="126" t="str">
        <f>IF(C307="","",'Datos Generales'!$D$19)</f>
        <v/>
      </c>
      <c r="H307" s="21" t="str">
        <f>IF(C307="","",'Datos Generales'!$A$19)</f>
        <v/>
      </c>
      <c r="I307" s="126" t="str">
        <f>IF(C307="","",'Datos Generales'!$A$7)</f>
        <v/>
      </c>
      <c r="J307" s="21" t="str">
        <f>IF(C307="","",'Datos Generales'!$A$13)</f>
        <v/>
      </c>
      <c r="K307" s="21" t="str">
        <f>IF(C307="","",'Datos Generales'!$A$10)</f>
        <v/>
      </c>
      <c r="CS307" s="142" t="str">
        <f t="shared" si="35"/>
        <v/>
      </c>
      <c r="CT307" s="142" t="str">
        <f t="shared" si="36"/>
        <v/>
      </c>
      <c r="CU307" s="142" t="str">
        <f t="shared" si="37"/>
        <v/>
      </c>
      <c r="CV307" s="142" t="str">
        <f t="shared" si="38"/>
        <v/>
      </c>
      <c r="CW307" s="142" t="str">
        <f>IF(C307="","",IF('Datos Generales'!$A$19=1,AVERAGE(FP307:GD307),AVERAGE(Captura!FP307:FY307)))</f>
        <v/>
      </c>
      <c r="CX307" s="138" t="e">
        <f>IF(VLOOKUP(CONCATENATE($H$4,$F$4,CX$2),Español!$A:$H,7,FALSE)=L307,1,0)</f>
        <v>#N/A</v>
      </c>
      <c r="CY307" s="138" t="e">
        <f>IF(VLOOKUP(CONCATENATE(H307,F307,CY$2),Español!$A:$H,7,FALSE)=M307,1,0)</f>
        <v>#N/A</v>
      </c>
      <c r="CZ307" s="138" t="e">
        <f>IF(VLOOKUP(CONCATENATE(H307,F307,CZ$2),Español!$A:$H,7,FALSE)=N307,1,0)</f>
        <v>#N/A</v>
      </c>
      <c r="DA307" s="138" t="e">
        <f>IF(VLOOKUP(CONCATENATE(H307,F307,DA$2),Español!$A:$H,7,FALSE)=O307,1,0)</f>
        <v>#N/A</v>
      </c>
      <c r="DB307" s="138" t="e">
        <f>IF(VLOOKUP(CONCATENATE(H307,F307,DB$2),Español!$A:$H,7,FALSE)=P307,1,0)</f>
        <v>#N/A</v>
      </c>
      <c r="DC307" s="138" t="e">
        <f>IF(VLOOKUP(CONCATENATE(H307,F307,DC$2),Español!$A:$H,7,FALSE)=Q307,1,0)</f>
        <v>#N/A</v>
      </c>
      <c r="DD307" s="138" t="e">
        <f>IF(VLOOKUP(CONCATENATE(H307,F307,DD$2),Español!$A:$H,7,FALSE)=R307,1,0)</f>
        <v>#N/A</v>
      </c>
      <c r="DE307" s="138" t="e">
        <f>IF(VLOOKUP(CONCATENATE(H307,F307,DE$2),Español!$A:$H,7,FALSE)=S307,1,0)</f>
        <v>#N/A</v>
      </c>
      <c r="DF307" s="138" t="e">
        <f>IF(VLOOKUP(CONCATENATE(H307,F307,DF$2),Español!$A:$H,7,FALSE)=T307,1,0)</f>
        <v>#N/A</v>
      </c>
      <c r="DG307" s="138" t="e">
        <f>IF(VLOOKUP(CONCATENATE(H307,F307,DG$2),Español!$A:$H,7,FALSE)=U307,1,0)</f>
        <v>#N/A</v>
      </c>
      <c r="DH307" s="138" t="e">
        <f>IF(VLOOKUP(CONCATENATE(H307,F307,DH$2),Español!$A:$H,7,FALSE)=V307,1,0)</f>
        <v>#N/A</v>
      </c>
      <c r="DI307" s="138" t="e">
        <f>IF(VLOOKUP(CONCATENATE(H307,F307,DI$2),Español!$A:$H,7,FALSE)=W307,1,0)</f>
        <v>#N/A</v>
      </c>
      <c r="DJ307" s="138" t="e">
        <f>IF(VLOOKUP(CONCATENATE(H307,F307,DJ$2),Español!$A:$H,7,FALSE)=X307,1,0)</f>
        <v>#N/A</v>
      </c>
      <c r="DK307" s="138" t="e">
        <f>IF(VLOOKUP(CONCATENATE(H307,F307,DK$2),Español!$A:$H,7,FALSE)=Y307,1,0)</f>
        <v>#N/A</v>
      </c>
      <c r="DL307" s="138" t="e">
        <f>IF(VLOOKUP(CONCATENATE(H307,F307,DL$2),Español!$A:$H,7,FALSE)=Z307,1,0)</f>
        <v>#N/A</v>
      </c>
      <c r="DM307" s="138" t="e">
        <f>IF(VLOOKUP(CONCATENATE(H307,F307,DM$2),Español!$A:$H,7,FALSE)=AA307,1,0)</f>
        <v>#N/A</v>
      </c>
      <c r="DN307" s="138" t="e">
        <f>IF(VLOOKUP(CONCATENATE(H307,F307,DN$2),Español!$A:$H,7,FALSE)=AB307,1,0)</f>
        <v>#N/A</v>
      </c>
      <c r="DO307" s="138" t="e">
        <f>IF(VLOOKUP(CONCATENATE(H307,F307,DO$2),Español!$A:$H,7,FALSE)=AC307,1,0)</f>
        <v>#N/A</v>
      </c>
      <c r="DP307" s="138" t="e">
        <f>IF(VLOOKUP(CONCATENATE(H307,F307,DP$2),Español!$A:$H,7,FALSE)=AD307,1,0)</f>
        <v>#N/A</v>
      </c>
      <c r="DQ307" s="138" t="e">
        <f>IF(VLOOKUP(CONCATENATE(H307,F307,DQ$2),Español!$A:$H,7,FALSE)=AE307,1,0)</f>
        <v>#N/A</v>
      </c>
      <c r="DR307" s="138" t="e">
        <f>IF(VLOOKUP(CONCATENATE(H307,F307,DR$2),Inglés!$A:$H,7,FALSE)=AF307,1,0)</f>
        <v>#N/A</v>
      </c>
      <c r="DS307" s="138" t="e">
        <f>IF(VLOOKUP(CONCATENATE(H307,F307,DS$2),Inglés!$A:$H,7,FALSE)=AG307,1,0)</f>
        <v>#N/A</v>
      </c>
      <c r="DT307" s="138" t="e">
        <f>IF(VLOOKUP(CONCATENATE(H307,F307,DT$2),Inglés!$A:$H,7,FALSE)=AH307,1,0)</f>
        <v>#N/A</v>
      </c>
      <c r="DU307" s="138" t="e">
        <f>IF(VLOOKUP(CONCATENATE(H307,F307,DU$2),Inglés!$A:$H,7,FALSE)=AI307,1,0)</f>
        <v>#N/A</v>
      </c>
      <c r="DV307" s="138" t="e">
        <f>IF(VLOOKUP(CONCATENATE(H307,F307,DV$2),Inglés!$A:$H,7,FALSE)=AJ307,1,0)</f>
        <v>#N/A</v>
      </c>
      <c r="DW307" s="138" t="e">
        <f>IF(VLOOKUP(CONCATENATE(H307,F307,DW$2),Inglés!$A:$H,7,FALSE)=AK307,1,0)</f>
        <v>#N/A</v>
      </c>
      <c r="DX307" s="138" t="e">
        <f>IF(VLOOKUP(CONCATENATE(H307,F307,DX$2),Inglés!$A:$H,7,FALSE)=AL307,1,0)</f>
        <v>#N/A</v>
      </c>
      <c r="DY307" s="138" t="e">
        <f>IF(VLOOKUP(CONCATENATE(H307,F307,DY$2),Inglés!$A:$H,7,FALSE)=AM307,1,0)</f>
        <v>#N/A</v>
      </c>
      <c r="DZ307" s="138" t="e">
        <f>IF(VLOOKUP(CONCATENATE(H307,F307,DZ$2),Inglés!$A:$H,7,FALSE)=AN307,1,0)</f>
        <v>#N/A</v>
      </c>
      <c r="EA307" s="138" t="e">
        <f>IF(VLOOKUP(CONCATENATE(H307,F307,EA$2),Inglés!$A:$H,7,FALSE)=AO307,1,0)</f>
        <v>#N/A</v>
      </c>
      <c r="EB307" s="138" t="e">
        <f>IF(VLOOKUP(CONCATENATE(H307,F307,EB$2),Matemáticas!$A:$H,7,FALSE)=AP307,1,0)</f>
        <v>#N/A</v>
      </c>
      <c r="EC307" s="138" t="e">
        <f>IF(VLOOKUP(CONCATENATE(H307,F307,EC$2),Matemáticas!$A:$H,7,FALSE)=AQ307,1,0)</f>
        <v>#N/A</v>
      </c>
      <c r="ED307" s="138" t="e">
        <f>IF(VLOOKUP(CONCATENATE(H307,F307,ED$2),Matemáticas!$A:$H,7,FALSE)=AR307,1,0)</f>
        <v>#N/A</v>
      </c>
      <c r="EE307" s="138" t="e">
        <f>IF(VLOOKUP(CONCATENATE(H307,F307,EE$2),Matemáticas!$A:$H,7,FALSE)=AS307,1,0)</f>
        <v>#N/A</v>
      </c>
      <c r="EF307" s="138" t="e">
        <f>IF(VLOOKUP(CONCATENATE(H307,F307,EF$2),Matemáticas!$A:$H,7,FALSE)=AT307,1,0)</f>
        <v>#N/A</v>
      </c>
      <c r="EG307" s="138" t="e">
        <f>IF(VLOOKUP(CONCATENATE(H307,F307,EG$2),Matemáticas!$A:$H,7,FALSE)=AU307,1,0)</f>
        <v>#N/A</v>
      </c>
      <c r="EH307" s="138" t="e">
        <f>IF(VLOOKUP(CONCATENATE(H307,F307,EH$2),Matemáticas!$A:$H,7,FALSE)=AV307,1,0)</f>
        <v>#N/A</v>
      </c>
      <c r="EI307" s="138" t="e">
        <f>IF(VLOOKUP(CONCATENATE(H307,F307,EI$2),Matemáticas!$A:$H,7,FALSE)=AW307,1,0)</f>
        <v>#N/A</v>
      </c>
      <c r="EJ307" s="138" t="e">
        <f>IF(VLOOKUP(CONCATENATE(H307,F307,EJ$2),Matemáticas!$A:$H,7,FALSE)=AX307,1,0)</f>
        <v>#N/A</v>
      </c>
      <c r="EK307" s="138" t="e">
        <f>IF(VLOOKUP(CONCATENATE(H307,F307,EK$2),Matemáticas!$A:$H,7,FALSE)=AY307,1,0)</f>
        <v>#N/A</v>
      </c>
      <c r="EL307" s="138" t="e">
        <f>IF(VLOOKUP(CONCATENATE(H307,F307,EL$2),Matemáticas!$A:$H,7,FALSE)=AZ307,1,0)</f>
        <v>#N/A</v>
      </c>
      <c r="EM307" s="138" t="e">
        <f>IF(VLOOKUP(CONCATENATE(H307,F307,EM$2),Matemáticas!$A:$H,7,FALSE)=BA307,1,0)</f>
        <v>#N/A</v>
      </c>
      <c r="EN307" s="138" t="e">
        <f>IF(VLOOKUP(CONCATENATE(H307,F307,EN$2),Matemáticas!$A:$H,7,FALSE)=BB307,1,0)</f>
        <v>#N/A</v>
      </c>
      <c r="EO307" s="138" t="e">
        <f>IF(VLOOKUP(CONCATENATE(H307,F307,EO$2),Matemáticas!$A:$H,7,FALSE)=BC307,1,0)</f>
        <v>#N/A</v>
      </c>
      <c r="EP307" s="138" t="e">
        <f>IF(VLOOKUP(CONCATENATE(H307,F307,EP$2),Matemáticas!$A:$H,7,FALSE)=BD307,1,0)</f>
        <v>#N/A</v>
      </c>
      <c r="EQ307" s="138" t="e">
        <f>IF(VLOOKUP(CONCATENATE(H307,F307,EQ$2),Matemáticas!$A:$H,7,FALSE)=BE307,1,0)</f>
        <v>#N/A</v>
      </c>
      <c r="ER307" s="138" t="e">
        <f>IF(VLOOKUP(CONCATENATE(H307,F307,ER$2),Matemáticas!$A:$H,7,FALSE)=BF307,1,0)</f>
        <v>#N/A</v>
      </c>
      <c r="ES307" s="138" t="e">
        <f>IF(VLOOKUP(CONCATENATE(H307,F307,ES$2),Matemáticas!$A:$H,7,FALSE)=BG307,1,0)</f>
        <v>#N/A</v>
      </c>
      <c r="ET307" s="138" t="e">
        <f>IF(VLOOKUP(CONCATENATE(H307,F307,ET$2),Matemáticas!$A:$H,7,FALSE)=BH307,1,0)</f>
        <v>#N/A</v>
      </c>
      <c r="EU307" s="138" t="e">
        <f>IF(VLOOKUP(CONCATENATE(H307,F307,EU$2),Matemáticas!$A:$H,7,FALSE)=BI307,1,0)</f>
        <v>#N/A</v>
      </c>
      <c r="EV307" s="138" t="e">
        <f>IF(VLOOKUP(CONCATENATE(H307,F307,EV$2),Ciencias!$A:$H,7,FALSE)=BJ307,1,0)</f>
        <v>#N/A</v>
      </c>
      <c r="EW307" s="138" t="e">
        <f>IF(VLOOKUP(CONCATENATE(H307,F307,EW$2),Ciencias!$A:$H,7,FALSE)=BK307,1,0)</f>
        <v>#N/A</v>
      </c>
      <c r="EX307" s="138" t="e">
        <f>IF(VLOOKUP(CONCATENATE(H307,F307,EX$2),Ciencias!$A:$H,7,FALSE)=BL307,1,0)</f>
        <v>#N/A</v>
      </c>
      <c r="EY307" s="138" t="e">
        <f>IF(VLOOKUP(CONCATENATE(H307,F307,EY$2),Ciencias!$A:$H,7,FALSE)=BM307,1,0)</f>
        <v>#N/A</v>
      </c>
      <c r="EZ307" s="138" t="e">
        <f>IF(VLOOKUP(CONCATENATE(H307,F307,EZ$2),Ciencias!$A:$H,7,FALSE)=BN307,1,0)</f>
        <v>#N/A</v>
      </c>
      <c r="FA307" s="138" t="e">
        <f>IF(VLOOKUP(CONCATENATE(H307,F307,FA$2),Ciencias!$A:$H,7,FALSE)=BO307,1,0)</f>
        <v>#N/A</v>
      </c>
      <c r="FB307" s="138" t="e">
        <f>IF(VLOOKUP(CONCATENATE(H307,F307,FB$2),Ciencias!$A:$H,7,FALSE)=BP307,1,0)</f>
        <v>#N/A</v>
      </c>
      <c r="FC307" s="138" t="e">
        <f>IF(VLOOKUP(CONCATENATE(H307,F307,FC$2),Ciencias!$A:$H,7,FALSE)=BQ307,1,0)</f>
        <v>#N/A</v>
      </c>
      <c r="FD307" s="138" t="e">
        <f>IF(VLOOKUP(CONCATENATE(H307,F307,FD$2),Ciencias!$A:$H,7,FALSE)=BR307,1,0)</f>
        <v>#N/A</v>
      </c>
      <c r="FE307" s="138" t="e">
        <f>IF(VLOOKUP(CONCATENATE(H307,F307,FE$2),Ciencias!$A:$H,7,FALSE)=BS307,1,0)</f>
        <v>#N/A</v>
      </c>
      <c r="FF307" s="138" t="e">
        <f>IF(VLOOKUP(CONCATENATE(H307,F307,FF$2),Ciencias!$A:$H,7,FALSE)=BT307,1,0)</f>
        <v>#N/A</v>
      </c>
      <c r="FG307" s="138" t="e">
        <f>IF(VLOOKUP(CONCATENATE(H307,F307,FG$2),Ciencias!$A:$H,7,FALSE)=BU307,1,0)</f>
        <v>#N/A</v>
      </c>
      <c r="FH307" s="138" t="e">
        <f>IF(VLOOKUP(CONCATENATE(H307,F307,FH$2),Ciencias!$A:$H,7,FALSE)=BV307,1,0)</f>
        <v>#N/A</v>
      </c>
      <c r="FI307" s="138" t="e">
        <f>IF(VLOOKUP(CONCATENATE(H307,F307,FI$2),Ciencias!$A:$H,7,FALSE)=BW307,1,0)</f>
        <v>#N/A</v>
      </c>
      <c r="FJ307" s="138" t="e">
        <f>IF(VLOOKUP(CONCATENATE(H307,F307,FJ$2),Ciencias!$A:$H,7,FALSE)=BX307,1,0)</f>
        <v>#N/A</v>
      </c>
      <c r="FK307" s="138" t="e">
        <f>IF(VLOOKUP(CONCATENATE(H307,F307,FK$2),Ciencias!$A:$H,7,FALSE)=BY307,1,0)</f>
        <v>#N/A</v>
      </c>
      <c r="FL307" s="138" t="e">
        <f>IF(VLOOKUP(CONCATENATE(H307,F307,FL$2),Ciencias!$A:$H,7,FALSE)=BZ307,1,0)</f>
        <v>#N/A</v>
      </c>
      <c r="FM307" s="138" t="e">
        <f>IF(VLOOKUP(CONCATENATE(H307,F307,FM$2),Ciencias!$A:$H,7,FALSE)=CA307,1,0)</f>
        <v>#N/A</v>
      </c>
      <c r="FN307" s="138" t="e">
        <f>IF(VLOOKUP(CONCATENATE(H307,F307,FN$2),Ciencias!$A:$H,7,FALSE)=CB307,1,0)</f>
        <v>#N/A</v>
      </c>
      <c r="FO307" s="138" t="e">
        <f>IF(VLOOKUP(CONCATENATE(H307,F307,FO$2),Ciencias!$A:$H,7,FALSE)=CC307,1,0)</f>
        <v>#N/A</v>
      </c>
      <c r="FP307" s="138" t="e">
        <f>IF(VLOOKUP(CONCATENATE(H307,F307,FP$2),GeoHis!$A:$H,7,FALSE)=CD307,1,0)</f>
        <v>#N/A</v>
      </c>
      <c r="FQ307" s="138" t="e">
        <f>IF(VLOOKUP(CONCATENATE(H307,F307,FQ$2),GeoHis!$A:$H,7,FALSE)=CE307,1,0)</f>
        <v>#N/A</v>
      </c>
      <c r="FR307" s="138" t="e">
        <f>IF(VLOOKUP(CONCATENATE(H307,F307,FR$2),GeoHis!$A:$H,7,FALSE)=CF307,1,0)</f>
        <v>#N/A</v>
      </c>
      <c r="FS307" s="138" t="e">
        <f>IF(VLOOKUP(CONCATENATE(H307,F307,FS$2),GeoHis!$A:$H,7,FALSE)=CG307,1,0)</f>
        <v>#N/A</v>
      </c>
      <c r="FT307" s="138" t="e">
        <f>IF(VLOOKUP(CONCATENATE(H307,F307,FT$2),GeoHis!$A:$H,7,FALSE)=CH307,1,0)</f>
        <v>#N/A</v>
      </c>
      <c r="FU307" s="138" t="e">
        <f>IF(VLOOKUP(CONCATENATE(H307,F307,FU$2),GeoHis!$A:$H,7,FALSE)=CI307,1,0)</f>
        <v>#N/A</v>
      </c>
      <c r="FV307" s="138" t="e">
        <f>IF(VLOOKUP(CONCATENATE(H307,F307,FV$2),GeoHis!$A:$H,7,FALSE)=CJ307,1,0)</f>
        <v>#N/A</v>
      </c>
      <c r="FW307" s="138" t="e">
        <f>IF(VLOOKUP(CONCATENATE(H307,F307,FW$2),GeoHis!$A:$H,7,FALSE)=CK307,1,0)</f>
        <v>#N/A</v>
      </c>
      <c r="FX307" s="138" t="e">
        <f>IF(VLOOKUP(CONCATENATE(H307,F307,FX$2),GeoHis!$A:$H,7,FALSE)=CL307,1,0)</f>
        <v>#N/A</v>
      </c>
      <c r="FY307" s="138" t="e">
        <f>IF(VLOOKUP(CONCATENATE(H307,F307,FY$2),GeoHis!$A:$H,7,FALSE)=CM307,1,0)</f>
        <v>#N/A</v>
      </c>
      <c r="FZ307" s="138" t="e">
        <f>IF(VLOOKUP(CONCATENATE(H307,F307,FZ$2),GeoHis!$A:$H,7,FALSE)=CN307,1,0)</f>
        <v>#N/A</v>
      </c>
      <c r="GA307" s="138" t="e">
        <f>IF(VLOOKUP(CONCATENATE(H307,F307,GA$2),GeoHis!$A:$H,7,FALSE)=CO307,1,0)</f>
        <v>#N/A</v>
      </c>
      <c r="GB307" s="138" t="e">
        <f>IF(VLOOKUP(CONCATENATE(H307,F307,GB$2),GeoHis!$A:$H,7,FALSE)=CP307,1,0)</f>
        <v>#N/A</v>
      </c>
      <c r="GC307" s="138" t="e">
        <f>IF(VLOOKUP(CONCATENATE(H307,F307,GC$2),GeoHis!$A:$H,7,FALSE)=CQ307,1,0)</f>
        <v>#N/A</v>
      </c>
      <c r="GD307" s="138" t="e">
        <f>IF(VLOOKUP(CONCATENATE(H307,F307,GD$2),GeoHis!$A:$H,7,FALSE)=CR307,1,0)</f>
        <v>#N/A</v>
      </c>
      <c r="GE307" s="135" t="str">
        <f t="shared" si="39"/>
        <v/>
      </c>
    </row>
    <row r="308" spans="1:187" x14ac:dyDescent="0.25">
      <c r="A308" s="127" t="str">
        <f>IF(C308="","",'Datos Generales'!$A$25)</f>
        <v/>
      </c>
      <c r="D308" s="126" t="str">
        <f t="shared" si="32"/>
        <v/>
      </c>
      <c r="E308" s="126">
        <f t="shared" si="33"/>
        <v>0</v>
      </c>
      <c r="F308" s="126" t="str">
        <f t="shared" si="34"/>
        <v/>
      </c>
      <c r="G308" s="126" t="str">
        <f>IF(C308="","",'Datos Generales'!$D$19)</f>
        <v/>
      </c>
      <c r="H308" s="21" t="str">
        <f>IF(C308="","",'Datos Generales'!$A$19)</f>
        <v/>
      </c>
      <c r="I308" s="126" t="str">
        <f>IF(C308="","",'Datos Generales'!$A$7)</f>
        <v/>
      </c>
      <c r="J308" s="21" t="str">
        <f>IF(C308="","",'Datos Generales'!$A$13)</f>
        <v/>
      </c>
      <c r="K308" s="21" t="str">
        <f>IF(C308="","",'Datos Generales'!$A$10)</f>
        <v/>
      </c>
      <c r="CS308" s="142" t="str">
        <f t="shared" si="35"/>
        <v/>
      </c>
      <c r="CT308" s="142" t="str">
        <f t="shared" si="36"/>
        <v/>
      </c>
      <c r="CU308" s="142" t="str">
        <f t="shared" si="37"/>
        <v/>
      </c>
      <c r="CV308" s="142" t="str">
        <f t="shared" si="38"/>
        <v/>
      </c>
      <c r="CW308" s="142" t="str">
        <f>IF(C308="","",IF('Datos Generales'!$A$19=1,AVERAGE(FP308:GD308),AVERAGE(Captura!FP308:FY308)))</f>
        <v/>
      </c>
      <c r="CX308" s="138" t="e">
        <f>IF(VLOOKUP(CONCATENATE($H$4,$F$4,CX$2),Español!$A:$H,7,FALSE)=L308,1,0)</f>
        <v>#N/A</v>
      </c>
      <c r="CY308" s="138" t="e">
        <f>IF(VLOOKUP(CONCATENATE(H308,F308,CY$2),Español!$A:$H,7,FALSE)=M308,1,0)</f>
        <v>#N/A</v>
      </c>
      <c r="CZ308" s="138" t="e">
        <f>IF(VLOOKUP(CONCATENATE(H308,F308,CZ$2),Español!$A:$H,7,FALSE)=N308,1,0)</f>
        <v>#N/A</v>
      </c>
      <c r="DA308" s="138" t="e">
        <f>IF(VLOOKUP(CONCATENATE(H308,F308,DA$2),Español!$A:$H,7,FALSE)=O308,1,0)</f>
        <v>#N/A</v>
      </c>
      <c r="DB308" s="138" t="e">
        <f>IF(VLOOKUP(CONCATENATE(H308,F308,DB$2),Español!$A:$H,7,FALSE)=P308,1,0)</f>
        <v>#N/A</v>
      </c>
      <c r="DC308" s="138" t="e">
        <f>IF(VLOOKUP(CONCATENATE(H308,F308,DC$2),Español!$A:$H,7,FALSE)=Q308,1,0)</f>
        <v>#N/A</v>
      </c>
      <c r="DD308" s="138" t="e">
        <f>IF(VLOOKUP(CONCATENATE(H308,F308,DD$2),Español!$A:$H,7,FALSE)=R308,1,0)</f>
        <v>#N/A</v>
      </c>
      <c r="DE308" s="138" t="e">
        <f>IF(VLOOKUP(CONCATENATE(H308,F308,DE$2),Español!$A:$H,7,FALSE)=S308,1,0)</f>
        <v>#N/A</v>
      </c>
      <c r="DF308" s="138" t="e">
        <f>IF(VLOOKUP(CONCATENATE(H308,F308,DF$2),Español!$A:$H,7,FALSE)=T308,1,0)</f>
        <v>#N/A</v>
      </c>
      <c r="DG308" s="138" t="e">
        <f>IF(VLOOKUP(CONCATENATE(H308,F308,DG$2),Español!$A:$H,7,FALSE)=U308,1,0)</f>
        <v>#N/A</v>
      </c>
      <c r="DH308" s="138" t="e">
        <f>IF(VLOOKUP(CONCATENATE(H308,F308,DH$2),Español!$A:$H,7,FALSE)=V308,1,0)</f>
        <v>#N/A</v>
      </c>
      <c r="DI308" s="138" t="e">
        <f>IF(VLOOKUP(CONCATENATE(H308,F308,DI$2),Español!$A:$H,7,FALSE)=W308,1,0)</f>
        <v>#N/A</v>
      </c>
      <c r="DJ308" s="138" t="e">
        <f>IF(VLOOKUP(CONCATENATE(H308,F308,DJ$2),Español!$A:$H,7,FALSE)=X308,1,0)</f>
        <v>#N/A</v>
      </c>
      <c r="DK308" s="138" t="e">
        <f>IF(VLOOKUP(CONCATENATE(H308,F308,DK$2),Español!$A:$H,7,FALSE)=Y308,1,0)</f>
        <v>#N/A</v>
      </c>
      <c r="DL308" s="138" t="e">
        <f>IF(VLOOKUP(CONCATENATE(H308,F308,DL$2),Español!$A:$H,7,FALSE)=Z308,1,0)</f>
        <v>#N/A</v>
      </c>
      <c r="DM308" s="138" t="e">
        <f>IF(VLOOKUP(CONCATENATE(H308,F308,DM$2),Español!$A:$H,7,FALSE)=AA308,1,0)</f>
        <v>#N/A</v>
      </c>
      <c r="DN308" s="138" t="e">
        <f>IF(VLOOKUP(CONCATENATE(H308,F308,DN$2),Español!$A:$H,7,FALSE)=AB308,1,0)</f>
        <v>#N/A</v>
      </c>
      <c r="DO308" s="138" t="e">
        <f>IF(VLOOKUP(CONCATENATE(H308,F308,DO$2),Español!$A:$H,7,FALSE)=AC308,1,0)</f>
        <v>#N/A</v>
      </c>
      <c r="DP308" s="138" t="e">
        <f>IF(VLOOKUP(CONCATENATE(H308,F308,DP$2),Español!$A:$H,7,FALSE)=AD308,1,0)</f>
        <v>#N/A</v>
      </c>
      <c r="DQ308" s="138" t="e">
        <f>IF(VLOOKUP(CONCATENATE(H308,F308,DQ$2),Español!$A:$H,7,FALSE)=AE308,1,0)</f>
        <v>#N/A</v>
      </c>
      <c r="DR308" s="138" t="e">
        <f>IF(VLOOKUP(CONCATENATE(H308,F308,DR$2),Inglés!$A:$H,7,FALSE)=AF308,1,0)</f>
        <v>#N/A</v>
      </c>
      <c r="DS308" s="138" t="e">
        <f>IF(VLOOKUP(CONCATENATE(H308,F308,DS$2),Inglés!$A:$H,7,FALSE)=AG308,1,0)</f>
        <v>#N/A</v>
      </c>
      <c r="DT308" s="138" t="e">
        <f>IF(VLOOKUP(CONCATENATE(H308,F308,DT$2),Inglés!$A:$H,7,FALSE)=AH308,1,0)</f>
        <v>#N/A</v>
      </c>
      <c r="DU308" s="138" t="e">
        <f>IF(VLOOKUP(CONCATENATE(H308,F308,DU$2),Inglés!$A:$H,7,FALSE)=AI308,1,0)</f>
        <v>#N/A</v>
      </c>
      <c r="DV308" s="138" t="e">
        <f>IF(VLOOKUP(CONCATENATE(H308,F308,DV$2),Inglés!$A:$H,7,FALSE)=AJ308,1,0)</f>
        <v>#N/A</v>
      </c>
      <c r="DW308" s="138" t="e">
        <f>IF(VLOOKUP(CONCATENATE(H308,F308,DW$2),Inglés!$A:$H,7,FALSE)=AK308,1,0)</f>
        <v>#N/A</v>
      </c>
      <c r="DX308" s="138" t="e">
        <f>IF(VLOOKUP(CONCATENATE(H308,F308,DX$2),Inglés!$A:$H,7,FALSE)=AL308,1,0)</f>
        <v>#N/A</v>
      </c>
      <c r="DY308" s="138" t="e">
        <f>IF(VLOOKUP(CONCATENATE(H308,F308,DY$2),Inglés!$A:$H,7,FALSE)=AM308,1,0)</f>
        <v>#N/A</v>
      </c>
      <c r="DZ308" s="138" t="e">
        <f>IF(VLOOKUP(CONCATENATE(H308,F308,DZ$2),Inglés!$A:$H,7,FALSE)=AN308,1,0)</f>
        <v>#N/A</v>
      </c>
      <c r="EA308" s="138" t="e">
        <f>IF(VLOOKUP(CONCATENATE(H308,F308,EA$2),Inglés!$A:$H,7,FALSE)=AO308,1,0)</f>
        <v>#N/A</v>
      </c>
      <c r="EB308" s="138" t="e">
        <f>IF(VLOOKUP(CONCATENATE(H308,F308,EB$2),Matemáticas!$A:$H,7,FALSE)=AP308,1,0)</f>
        <v>#N/A</v>
      </c>
      <c r="EC308" s="138" t="e">
        <f>IF(VLOOKUP(CONCATENATE(H308,F308,EC$2),Matemáticas!$A:$H,7,FALSE)=AQ308,1,0)</f>
        <v>#N/A</v>
      </c>
      <c r="ED308" s="138" t="e">
        <f>IF(VLOOKUP(CONCATENATE(H308,F308,ED$2),Matemáticas!$A:$H,7,FALSE)=AR308,1,0)</f>
        <v>#N/A</v>
      </c>
      <c r="EE308" s="138" t="e">
        <f>IF(VLOOKUP(CONCATENATE(H308,F308,EE$2),Matemáticas!$A:$H,7,FALSE)=AS308,1,0)</f>
        <v>#N/A</v>
      </c>
      <c r="EF308" s="138" t="e">
        <f>IF(VLOOKUP(CONCATENATE(H308,F308,EF$2),Matemáticas!$A:$H,7,FALSE)=AT308,1,0)</f>
        <v>#N/A</v>
      </c>
      <c r="EG308" s="138" t="e">
        <f>IF(VLOOKUP(CONCATENATE(H308,F308,EG$2),Matemáticas!$A:$H,7,FALSE)=AU308,1,0)</f>
        <v>#N/A</v>
      </c>
      <c r="EH308" s="138" t="e">
        <f>IF(VLOOKUP(CONCATENATE(H308,F308,EH$2),Matemáticas!$A:$H,7,FALSE)=AV308,1,0)</f>
        <v>#N/A</v>
      </c>
      <c r="EI308" s="138" t="e">
        <f>IF(VLOOKUP(CONCATENATE(H308,F308,EI$2),Matemáticas!$A:$H,7,FALSE)=AW308,1,0)</f>
        <v>#N/A</v>
      </c>
      <c r="EJ308" s="138" t="e">
        <f>IF(VLOOKUP(CONCATENATE(H308,F308,EJ$2),Matemáticas!$A:$H,7,FALSE)=AX308,1,0)</f>
        <v>#N/A</v>
      </c>
      <c r="EK308" s="138" t="e">
        <f>IF(VLOOKUP(CONCATENATE(H308,F308,EK$2),Matemáticas!$A:$H,7,FALSE)=AY308,1,0)</f>
        <v>#N/A</v>
      </c>
      <c r="EL308" s="138" t="e">
        <f>IF(VLOOKUP(CONCATENATE(H308,F308,EL$2),Matemáticas!$A:$H,7,FALSE)=AZ308,1,0)</f>
        <v>#N/A</v>
      </c>
      <c r="EM308" s="138" t="e">
        <f>IF(VLOOKUP(CONCATENATE(H308,F308,EM$2),Matemáticas!$A:$H,7,FALSE)=BA308,1,0)</f>
        <v>#N/A</v>
      </c>
      <c r="EN308" s="138" t="e">
        <f>IF(VLOOKUP(CONCATENATE(H308,F308,EN$2),Matemáticas!$A:$H,7,FALSE)=BB308,1,0)</f>
        <v>#N/A</v>
      </c>
      <c r="EO308" s="138" t="e">
        <f>IF(VLOOKUP(CONCATENATE(H308,F308,EO$2),Matemáticas!$A:$H,7,FALSE)=BC308,1,0)</f>
        <v>#N/A</v>
      </c>
      <c r="EP308" s="138" t="e">
        <f>IF(VLOOKUP(CONCATENATE(H308,F308,EP$2),Matemáticas!$A:$H,7,FALSE)=BD308,1,0)</f>
        <v>#N/A</v>
      </c>
      <c r="EQ308" s="138" t="e">
        <f>IF(VLOOKUP(CONCATENATE(H308,F308,EQ$2),Matemáticas!$A:$H,7,FALSE)=BE308,1,0)</f>
        <v>#N/A</v>
      </c>
      <c r="ER308" s="138" t="e">
        <f>IF(VLOOKUP(CONCATENATE(H308,F308,ER$2),Matemáticas!$A:$H,7,FALSE)=BF308,1,0)</f>
        <v>#N/A</v>
      </c>
      <c r="ES308" s="138" t="e">
        <f>IF(VLOOKUP(CONCATENATE(H308,F308,ES$2),Matemáticas!$A:$H,7,FALSE)=BG308,1,0)</f>
        <v>#N/A</v>
      </c>
      <c r="ET308" s="138" t="e">
        <f>IF(VLOOKUP(CONCATENATE(H308,F308,ET$2),Matemáticas!$A:$H,7,FALSE)=BH308,1,0)</f>
        <v>#N/A</v>
      </c>
      <c r="EU308" s="138" t="e">
        <f>IF(VLOOKUP(CONCATENATE(H308,F308,EU$2),Matemáticas!$A:$H,7,FALSE)=BI308,1,0)</f>
        <v>#N/A</v>
      </c>
      <c r="EV308" s="138" t="e">
        <f>IF(VLOOKUP(CONCATENATE(H308,F308,EV$2),Ciencias!$A:$H,7,FALSE)=BJ308,1,0)</f>
        <v>#N/A</v>
      </c>
      <c r="EW308" s="138" t="e">
        <f>IF(VLOOKUP(CONCATENATE(H308,F308,EW$2),Ciencias!$A:$H,7,FALSE)=BK308,1,0)</f>
        <v>#N/A</v>
      </c>
      <c r="EX308" s="138" t="e">
        <f>IF(VLOOKUP(CONCATENATE(H308,F308,EX$2),Ciencias!$A:$H,7,FALSE)=BL308,1,0)</f>
        <v>#N/A</v>
      </c>
      <c r="EY308" s="138" t="e">
        <f>IF(VLOOKUP(CONCATENATE(H308,F308,EY$2),Ciencias!$A:$H,7,FALSE)=BM308,1,0)</f>
        <v>#N/A</v>
      </c>
      <c r="EZ308" s="138" t="e">
        <f>IF(VLOOKUP(CONCATENATE(H308,F308,EZ$2),Ciencias!$A:$H,7,FALSE)=BN308,1,0)</f>
        <v>#N/A</v>
      </c>
      <c r="FA308" s="138" t="e">
        <f>IF(VLOOKUP(CONCATENATE(H308,F308,FA$2),Ciencias!$A:$H,7,FALSE)=BO308,1,0)</f>
        <v>#N/A</v>
      </c>
      <c r="FB308" s="138" t="e">
        <f>IF(VLOOKUP(CONCATENATE(H308,F308,FB$2),Ciencias!$A:$H,7,FALSE)=BP308,1,0)</f>
        <v>#N/A</v>
      </c>
      <c r="FC308" s="138" t="e">
        <f>IF(VLOOKUP(CONCATENATE(H308,F308,FC$2),Ciencias!$A:$H,7,FALSE)=BQ308,1,0)</f>
        <v>#N/A</v>
      </c>
      <c r="FD308" s="138" t="e">
        <f>IF(VLOOKUP(CONCATENATE(H308,F308,FD$2),Ciencias!$A:$H,7,FALSE)=BR308,1,0)</f>
        <v>#N/A</v>
      </c>
      <c r="FE308" s="138" t="e">
        <f>IF(VLOOKUP(CONCATENATE(H308,F308,FE$2),Ciencias!$A:$H,7,FALSE)=BS308,1,0)</f>
        <v>#N/A</v>
      </c>
      <c r="FF308" s="138" t="e">
        <f>IF(VLOOKUP(CONCATENATE(H308,F308,FF$2),Ciencias!$A:$H,7,FALSE)=BT308,1,0)</f>
        <v>#N/A</v>
      </c>
      <c r="FG308" s="138" t="e">
        <f>IF(VLOOKUP(CONCATENATE(H308,F308,FG$2),Ciencias!$A:$H,7,FALSE)=BU308,1,0)</f>
        <v>#N/A</v>
      </c>
      <c r="FH308" s="138" t="e">
        <f>IF(VLOOKUP(CONCATENATE(H308,F308,FH$2),Ciencias!$A:$H,7,FALSE)=BV308,1,0)</f>
        <v>#N/A</v>
      </c>
      <c r="FI308" s="138" t="e">
        <f>IF(VLOOKUP(CONCATENATE(H308,F308,FI$2),Ciencias!$A:$H,7,FALSE)=BW308,1,0)</f>
        <v>#N/A</v>
      </c>
      <c r="FJ308" s="138" t="e">
        <f>IF(VLOOKUP(CONCATENATE(H308,F308,FJ$2),Ciencias!$A:$H,7,FALSE)=BX308,1,0)</f>
        <v>#N/A</v>
      </c>
      <c r="FK308" s="138" t="e">
        <f>IF(VLOOKUP(CONCATENATE(H308,F308,FK$2),Ciencias!$A:$H,7,FALSE)=BY308,1,0)</f>
        <v>#N/A</v>
      </c>
      <c r="FL308" s="138" t="e">
        <f>IF(VLOOKUP(CONCATENATE(H308,F308,FL$2),Ciencias!$A:$H,7,FALSE)=BZ308,1,0)</f>
        <v>#N/A</v>
      </c>
      <c r="FM308" s="138" t="e">
        <f>IF(VLOOKUP(CONCATENATE(H308,F308,FM$2),Ciencias!$A:$H,7,FALSE)=CA308,1,0)</f>
        <v>#N/A</v>
      </c>
      <c r="FN308" s="138" t="e">
        <f>IF(VLOOKUP(CONCATENATE(H308,F308,FN$2),Ciencias!$A:$H,7,FALSE)=CB308,1,0)</f>
        <v>#N/A</v>
      </c>
      <c r="FO308" s="138" t="e">
        <f>IF(VLOOKUP(CONCATENATE(H308,F308,FO$2),Ciencias!$A:$H,7,FALSE)=CC308,1,0)</f>
        <v>#N/A</v>
      </c>
      <c r="FP308" s="138" t="e">
        <f>IF(VLOOKUP(CONCATENATE(H308,F308,FP$2),GeoHis!$A:$H,7,FALSE)=CD308,1,0)</f>
        <v>#N/A</v>
      </c>
      <c r="FQ308" s="138" t="e">
        <f>IF(VLOOKUP(CONCATENATE(H308,F308,FQ$2),GeoHis!$A:$H,7,FALSE)=CE308,1,0)</f>
        <v>#N/A</v>
      </c>
      <c r="FR308" s="138" t="e">
        <f>IF(VLOOKUP(CONCATENATE(H308,F308,FR$2),GeoHis!$A:$H,7,FALSE)=CF308,1,0)</f>
        <v>#N/A</v>
      </c>
      <c r="FS308" s="138" t="e">
        <f>IF(VLOOKUP(CONCATENATE(H308,F308,FS$2),GeoHis!$A:$H,7,FALSE)=CG308,1,0)</f>
        <v>#N/A</v>
      </c>
      <c r="FT308" s="138" t="e">
        <f>IF(VLOOKUP(CONCATENATE(H308,F308,FT$2),GeoHis!$A:$H,7,FALSE)=CH308,1,0)</f>
        <v>#N/A</v>
      </c>
      <c r="FU308" s="138" t="e">
        <f>IF(VLOOKUP(CONCATENATE(H308,F308,FU$2),GeoHis!$A:$H,7,FALSE)=CI308,1,0)</f>
        <v>#N/A</v>
      </c>
      <c r="FV308" s="138" t="e">
        <f>IF(VLOOKUP(CONCATENATE(H308,F308,FV$2),GeoHis!$A:$H,7,FALSE)=CJ308,1,0)</f>
        <v>#N/A</v>
      </c>
      <c r="FW308" s="138" t="e">
        <f>IF(VLOOKUP(CONCATENATE(H308,F308,FW$2),GeoHis!$A:$H,7,FALSE)=CK308,1,0)</f>
        <v>#N/A</v>
      </c>
      <c r="FX308" s="138" t="e">
        <f>IF(VLOOKUP(CONCATENATE(H308,F308,FX$2),GeoHis!$A:$H,7,FALSE)=CL308,1,0)</f>
        <v>#N/A</v>
      </c>
      <c r="FY308" s="138" t="e">
        <f>IF(VLOOKUP(CONCATENATE(H308,F308,FY$2),GeoHis!$A:$H,7,FALSE)=CM308,1,0)</f>
        <v>#N/A</v>
      </c>
      <c r="FZ308" s="138" t="e">
        <f>IF(VLOOKUP(CONCATENATE(H308,F308,FZ$2),GeoHis!$A:$H,7,FALSE)=CN308,1,0)</f>
        <v>#N/A</v>
      </c>
      <c r="GA308" s="138" t="e">
        <f>IF(VLOOKUP(CONCATENATE(H308,F308,GA$2),GeoHis!$A:$H,7,FALSE)=CO308,1,0)</f>
        <v>#N/A</v>
      </c>
      <c r="GB308" s="138" t="e">
        <f>IF(VLOOKUP(CONCATENATE(H308,F308,GB$2),GeoHis!$A:$H,7,FALSE)=CP308,1,0)</f>
        <v>#N/A</v>
      </c>
      <c r="GC308" s="138" t="e">
        <f>IF(VLOOKUP(CONCATENATE(H308,F308,GC$2),GeoHis!$A:$H,7,FALSE)=CQ308,1,0)</f>
        <v>#N/A</v>
      </c>
      <c r="GD308" s="138" t="e">
        <f>IF(VLOOKUP(CONCATENATE(H308,F308,GD$2),GeoHis!$A:$H,7,FALSE)=CR308,1,0)</f>
        <v>#N/A</v>
      </c>
      <c r="GE308" s="135" t="str">
        <f t="shared" si="39"/>
        <v/>
      </c>
    </row>
    <row r="309" spans="1:187" x14ac:dyDescent="0.25">
      <c r="A309" s="127" t="str">
        <f>IF(C309="","",'Datos Generales'!$A$25)</f>
        <v/>
      </c>
      <c r="D309" s="126" t="str">
        <f t="shared" si="32"/>
        <v/>
      </c>
      <c r="E309" s="126">
        <f t="shared" si="33"/>
        <v>0</v>
      </c>
      <c r="F309" s="126" t="str">
        <f t="shared" si="34"/>
        <v/>
      </c>
      <c r="G309" s="126" t="str">
        <f>IF(C309="","",'Datos Generales'!$D$19)</f>
        <v/>
      </c>
      <c r="H309" s="21" t="str">
        <f>IF(C309="","",'Datos Generales'!$A$19)</f>
        <v/>
      </c>
      <c r="I309" s="126" t="str">
        <f>IF(C309="","",'Datos Generales'!$A$7)</f>
        <v/>
      </c>
      <c r="J309" s="21" t="str">
        <f>IF(C309="","",'Datos Generales'!$A$13)</f>
        <v/>
      </c>
      <c r="K309" s="21" t="str">
        <f>IF(C309="","",'Datos Generales'!$A$10)</f>
        <v/>
      </c>
      <c r="CS309" s="142" t="str">
        <f t="shared" si="35"/>
        <v/>
      </c>
      <c r="CT309" s="142" t="str">
        <f t="shared" si="36"/>
        <v/>
      </c>
      <c r="CU309" s="142" t="str">
        <f t="shared" si="37"/>
        <v/>
      </c>
      <c r="CV309" s="142" t="str">
        <f t="shared" si="38"/>
        <v/>
      </c>
      <c r="CW309" s="142" t="str">
        <f>IF(C309="","",IF('Datos Generales'!$A$19=1,AVERAGE(FP309:GD309),AVERAGE(Captura!FP309:FY309)))</f>
        <v/>
      </c>
      <c r="CX309" s="138" t="e">
        <f>IF(VLOOKUP(CONCATENATE($H$4,$F$4,CX$2),Español!$A:$H,7,FALSE)=L309,1,0)</f>
        <v>#N/A</v>
      </c>
      <c r="CY309" s="138" t="e">
        <f>IF(VLOOKUP(CONCATENATE(H309,F309,CY$2),Español!$A:$H,7,FALSE)=M309,1,0)</f>
        <v>#N/A</v>
      </c>
      <c r="CZ309" s="138" t="e">
        <f>IF(VLOOKUP(CONCATENATE(H309,F309,CZ$2),Español!$A:$H,7,FALSE)=N309,1,0)</f>
        <v>#N/A</v>
      </c>
      <c r="DA309" s="138" t="e">
        <f>IF(VLOOKUP(CONCATENATE(H309,F309,DA$2),Español!$A:$H,7,FALSE)=O309,1,0)</f>
        <v>#N/A</v>
      </c>
      <c r="DB309" s="138" t="e">
        <f>IF(VLOOKUP(CONCATENATE(H309,F309,DB$2),Español!$A:$H,7,FALSE)=P309,1,0)</f>
        <v>#N/A</v>
      </c>
      <c r="DC309" s="138" t="e">
        <f>IF(VLOOKUP(CONCATENATE(H309,F309,DC$2),Español!$A:$H,7,FALSE)=Q309,1,0)</f>
        <v>#N/A</v>
      </c>
      <c r="DD309" s="138" t="e">
        <f>IF(VLOOKUP(CONCATENATE(H309,F309,DD$2),Español!$A:$H,7,FALSE)=R309,1,0)</f>
        <v>#N/A</v>
      </c>
      <c r="DE309" s="138" t="e">
        <f>IF(VLOOKUP(CONCATENATE(H309,F309,DE$2),Español!$A:$H,7,FALSE)=S309,1,0)</f>
        <v>#N/A</v>
      </c>
      <c r="DF309" s="138" t="e">
        <f>IF(VLOOKUP(CONCATENATE(H309,F309,DF$2),Español!$A:$H,7,FALSE)=T309,1,0)</f>
        <v>#N/A</v>
      </c>
      <c r="DG309" s="138" t="e">
        <f>IF(VLOOKUP(CONCATENATE(H309,F309,DG$2),Español!$A:$H,7,FALSE)=U309,1,0)</f>
        <v>#N/A</v>
      </c>
      <c r="DH309" s="138" t="e">
        <f>IF(VLOOKUP(CONCATENATE(H309,F309,DH$2),Español!$A:$H,7,FALSE)=V309,1,0)</f>
        <v>#N/A</v>
      </c>
      <c r="DI309" s="138" t="e">
        <f>IF(VLOOKUP(CONCATENATE(H309,F309,DI$2),Español!$A:$H,7,FALSE)=W309,1,0)</f>
        <v>#N/A</v>
      </c>
      <c r="DJ309" s="138" t="e">
        <f>IF(VLOOKUP(CONCATENATE(H309,F309,DJ$2),Español!$A:$H,7,FALSE)=X309,1,0)</f>
        <v>#N/A</v>
      </c>
      <c r="DK309" s="138" t="e">
        <f>IF(VLOOKUP(CONCATENATE(H309,F309,DK$2),Español!$A:$H,7,FALSE)=Y309,1,0)</f>
        <v>#N/A</v>
      </c>
      <c r="DL309" s="138" t="e">
        <f>IF(VLOOKUP(CONCATENATE(H309,F309,DL$2),Español!$A:$H,7,FALSE)=Z309,1,0)</f>
        <v>#N/A</v>
      </c>
      <c r="DM309" s="138" t="e">
        <f>IF(VLOOKUP(CONCATENATE(H309,F309,DM$2),Español!$A:$H,7,FALSE)=AA309,1,0)</f>
        <v>#N/A</v>
      </c>
      <c r="DN309" s="138" t="e">
        <f>IF(VLOOKUP(CONCATENATE(H309,F309,DN$2),Español!$A:$H,7,FALSE)=AB309,1,0)</f>
        <v>#N/A</v>
      </c>
      <c r="DO309" s="138" t="e">
        <f>IF(VLOOKUP(CONCATENATE(H309,F309,DO$2),Español!$A:$H,7,FALSE)=AC309,1,0)</f>
        <v>#N/A</v>
      </c>
      <c r="DP309" s="138" t="e">
        <f>IF(VLOOKUP(CONCATENATE(H309,F309,DP$2),Español!$A:$H,7,FALSE)=AD309,1,0)</f>
        <v>#N/A</v>
      </c>
      <c r="DQ309" s="138" t="e">
        <f>IF(VLOOKUP(CONCATENATE(H309,F309,DQ$2),Español!$A:$H,7,FALSE)=AE309,1,0)</f>
        <v>#N/A</v>
      </c>
      <c r="DR309" s="138" t="e">
        <f>IF(VLOOKUP(CONCATENATE(H309,F309,DR$2),Inglés!$A:$H,7,FALSE)=AF309,1,0)</f>
        <v>#N/A</v>
      </c>
      <c r="DS309" s="138" t="e">
        <f>IF(VLOOKUP(CONCATENATE(H309,F309,DS$2),Inglés!$A:$H,7,FALSE)=AG309,1,0)</f>
        <v>#N/A</v>
      </c>
      <c r="DT309" s="138" t="e">
        <f>IF(VLOOKUP(CONCATENATE(H309,F309,DT$2),Inglés!$A:$H,7,FALSE)=AH309,1,0)</f>
        <v>#N/A</v>
      </c>
      <c r="DU309" s="138" t="e">
        <f>IF(VLOOKUP(CONCATENATE(H309,F309,DU$2),Inglés!$A:$H,7,FALSE)=AI309,1,0)</f>
        <v>#N/A</v>
      </c>
      <c r="DV309" s="138" t="e">
        <f>IF(VLOOKUP(CONCATENATE(H309,F309,DV$2),Inglés!$A:$H,7,FALSE)=AJ309,1,0)</f>
        <v>#N/A</v>
      </c>
      <c r="DW309" s="138" t="e">
        <f>IF(VLOOKUP(CONCATENATE(H309,F309,DW$2),Inglés!$A:$H,7,FALSE)=AK309,1,0)</f>
        <v>#N/A</v>
      </c>
      <c r="DX309" s="138" t="e">
        <f>IF(VLOOKUP(CONCATENATE(H309,F309,DX$2),Inglés!$A:$H,7,FALSE)=AL309,1,0)</f>
        <v>#N/A</v>
      </c>
      <c r="DY309" s="138" t="e">
        <f>IF(VLOOKUP(CONCATENATE(H309,F309,DY$2),Inglés!$A:$H,7,FALSE)=AM309,1,0)</f>
        <v>#N/A</v>
      </c>
      <c r="DZ309" s="138" t="e">
        <f>IF(VLOOKUP(CONCATENATE(H309,F309,DZ$2),Inglés!$A:$H,7,FALSE)=AN309,1,0)</f>
        <v>#N/A</v>
      </c>
      <c r="EA309" s="138" t="e">
        <f>IF(VLOOKUP(CONCATENATE(H309,F309,EA$2),Inglés!$A:$H,7,FALSE)=AO309,1,0)</f>
        <v>#N/A</v>
      </c>
      <c r="EB309" s="138" t="e">
        <f>IF(VLOOKUP(CONCATENATE(H309,F309,EB$2),Matemáticas!$A:$H,7,FALSE)=AP309,1,0)</f>
        <v>#N/A</v>
      </c>
      <c r="EC309" s="138" t="e">
        <f>IF(VLOOKUP(CONCATENATE(H309,F309,EC$2),Matemáticas!$A:$H,7,FALSE)=AQ309,1,0)</f>
        <v>#N/A</v>
      </c>
      <c r="ED309" s="138" t="e">
        <f>IF(VLOOKUP(CONCATENATE(H309,F309,ED$2),Matemáticas!$A:$H,7,FALSE)=AR309,1,0)</f>
        <v>#N/A</v>
      </c>
      <c r="EE309" s="138" t="e">
        <f>IF(VLOOKUP(CONCATENATE(H309,F309,EE$2),Matemáticas!$A:$H,7,FALSE)=AS309,1,0)</f>
        <v>#N/A</v>
      </c>
      <c r="EF309" s="138" t="e">
        <f>IF(VLOOKUP(CONCATENATE(H309,F309,EF$2),Matemáticas!$A:$H,7,FALSE)=AT309,1,0)</f>
        <v>#N/A</v>
      </c>
      <c r="EG309" s="138" t="e">
        <f>IF(VLOOKUP(CONCATENATE(H309,F309,EG$2),Matemáticas!$A:$H,7,FALSE)=AU309,1,0)</f>
        <v>#N/A</v>
      </c>
      <c r="EH309" s="138" t="e">
        <f>IF(VLOOKUP(CONCATENATE(H309,F309,EH$2),Matemáticas!$A:$H,7,FALSE)=AV309,1,0)</f>
        <v>#N/A</v>
      </c>
      <c r="EI309" s="138" t="e">
        <f>IF(VLOOKUP(CONCATENATE(H309,F309,EI$2),Matemáticas!$A:$H,7,FALSE)=AW309,1,0)</f>
        <v>#N/A</v>
      </c>
      <c r="EJ309" s="138" t="e">
        <f>IF(VLOOKUP(CONCATENATE(H309,F309,EJ$2),Matemáticas!$A:$H,7,FALSE)=AX309,1,0)</f>
        <v>#N/A</v>
      </c>
      <c r="EK309" s="138" t="e">
        <f>IF(VLOOKUP(CONCATENATE(H309,F309,EK$2),Matemáticas!$A:$H,7,FALSE)=AY309,1,0)</f>
        <v>#N/A</v>
      </c>
      <c r="EL309" s="138" t="e">
        <f>IF(VLOOKUP(CONCATENATE(H309,F309,EL$2),Matemáticas!$A:$H,7,FALSE)=AZ309,1,0)</f>
        <v>#N/A</v>
      </c>
      <c r="EM309" s="138" t="e">
        <f>IF(VLOOKUP(CONCATENATE(H309,F309,EM$2),Matemáticas!$A:$H,7,FALSE)=BA309,1,0)</f>
        <v>#N/A</v>
      </c>
      <c r="EN309" s="138" t="e">
        <f>IF(VLOOKUP(CONCATENATE(H309,F309,EN$2),Matemáticas!$A:$H,7,FALSE)=BB309,1,0)</f>
        <v>#N/A</v>
      </c>
      <c r="EO309" s="138" t="e">
        <f>IF(VLOOKUP(CONCATENATE(H309,F309,EO$2),Matemáticas!$A:$H,7,FALSE)=BC309,1,0)</f>
        <v>#N/A</v>
      </c>
      <c r="EP309" s="138" t="e">
        <f>IF(VLOOKUP(CONCATENATE(H309,F309,EP$2),Matemáticas!$A:$H,7,FALSE)=BD309,1,0)</f>
        <v>#N/A</v>
      </c>
      <c r="EQ309" s="138" t="e">
        <f>IF(VLOOKUP(CONCATENATE(H309,F309,EQ$2),Matemáticas!$A:$H,7,FALSE)=BE309,1,0)</f>
        <v>#N/A</v>
      </c>
      <c r="ER309" s="138" t="e">
        <f>IF(VLOOKUP(CONCATENATE(H309,F309,ER$2),Matemáticas!$A:$H,7,FALSE)=BF309,1,0)</f>
        <v>#N/A</v>
      </c>
      <c r="ES309" s="138" t="e">
        <f>IF(VLOOKUP(CONCATENATE(H309,F309,ES$2),Matemáticas!$A:$H,7,FALSE)=BG309,1,0)</f>
        <v>#N/A</v>
      </c>
      <c r="ET309" s="138" t="e">
        <f>IF(VLOOKUP(CONCATENATE(H309,F309,ET$2),Matemáticas!$A:$H,7,FALSE)=BH309,1,0)</f>
        <v>#N/A</v>
      </c>
      <c r="EU309" s="138" t="e">
        <f>IF(VLOOKUP(CONCATENATE(H309,F309,EU$2),Matemáticas!$A:$H,7,FALSE)=BI309,1,0)</f>
        <v>#N/A</v>
      </c>
      <c r="EV309" s="138" t="e">
        <f>IF(VLOOKUP(CONCATENATE(H309,F309,EV$2),Ciencias!$A:$H,7,FALSE)=BJ309,1,0)</f>
        <v>#N/A</v>
      </c>
      <c r="EW309" s="138" t="e">
        <f>IF(VLOOKUP(CONCATENATE(H309,F309,EW$2),Ciencias!$A:$H,7,FALSE)=BK309,1,0)</f>
        <v>#N/A</v>
      </c>
      <c r="EX309" s="138" t="e">
        <f>IF(VLOOKUP(CONCATENATE(H309,F309,EX$2),Ciencias!$A:$H,7,FALSE)=BL309,1,0)</f>
        <v>#N/A</v>
      </c>
      <c r="EY309" s="138" t="e">
        <f>IF(VLOOKUP(CONCATENATE(H309,F309,EY$2),Ciencias!$A:$H,7,FALSE)=BM309,1,0)</f>
        <v>#N/A</v>
      </c>
      <c r="EZ309" s="138" t="e">
        <f>IF(VLOOKUP(CONCATENATE(H309,F309,EZ$2),Ciencias!$A:$H,7,FALSE)=BN309,1,0)</f>
        <v>#N/A</v>
      </c>
      <c r="FA309" s="138" t="e">
        <f>IF(VLOOKUP(CONCATENATE(H309,F309,FA$2),Ciencias!$A:$H,7,FALSE)=BO309,1,0)</f>
        <v>#N/A</v>
      </c>
      <c r="FB309" s="138" t="e">
        <f>IF(VLOOKUP(CONCATENATE(H309,F309,FB$2),Ciencias!$A:$H,7,FALSE)=BP309,1,0)</f>
        <v>#N/A</v>
      </c>
      <c r="FC309" s="138" t="e">
        <f>IF(VLOOKUP(CONCATENATE(H309,F309,FC$2),Ciencias!$A:$H,7,FALSE)=BQ309,1,0)</f>
        <v>#N/A</v>
      </c>
      <c r="FD309" s="138" t="e">
        <f>IF(VLOOKUP(CONCATENATE(H309,F309,FD$2),Ciencias!$A:$H,7,FALSE)=BR309,1,0)</f>
        <v>#N/A</v>
      </c>
      <c r="FE309" s="138" t="e">
        <f>IF(VLOOKUP(CONCATENATE(H309,F309,FE$2),Ciencias!$A:$H,7,FALSE)=BS309,1,0)</f>
        <v>#N/A</v>
      </c>
      <c r="FF309" s="138" t="e">
        <f>IF(VLOOKUP(CONCATENATE(H309,F309,FF$2),Ciencias!$A:$H,7,FALSE)=BT309,1,0)</f>
        <v>#N/A</v>
      </c>
      <c r="FG309" s="138" t="e">
        <f>IF(VLOOKUP(CONCATENATE(H309,F309,FG$2),Ciencias!$A:$H,7,FALSE)=BU309,1,0)</f>
        <v>#N/A</v>
      </c>
      <c r="FH309" s="138" t="e">
        <f>IF(VLOOKUP(CONCATENATE(H309,F309,FH$2),Ciencias!$A:$H,7,FALSE)=BV309,1,0)</f>
        <v>#N/A</v>
      </c>
      <c r="FI309" s="138" t="e">
        <f>IF(VLOOKUP(CONCATENATE(H309,F309,FI$2),Ciencias!$A:$H,7,FALSE)=BW309,1,0)</f>
        <v>#N/A</v>
      </c>
      <c r="FJ309" s="138" t="e">
        <f>IF(VLOOKUP(CONCATENATE(H309,F309,FJ$2),Ciencias!$A:$H,7,FALSE)=BX309,1,0)</f>
        <v>#N/A</v>
      </c>
      <c r="FK309" s="138" t="e">
        <f>IF(VLOOKUP(CONCATENATE(H309,F309,FK$2),Ciencias!$A:$H,7,FALSE)=BY309,1,0)</f>
        <v>#N/A</v>
      </c>
      <c r="FL309" s="138" t="e">
        <f>IF(VLOOKUP(CONCATENATE(H309,F309,FL$2),Ciencias!$A:$H,7,FALSE)=BZ309,1,0)</f>
        <v>#N/A</v>
      </c>
      <c r="FM309" s="138" t="e">
        <f>IF(VLOOKUP(CONCATENATE(H309,F309,FM$2),Ciencias!$A:$H,7,FALSE)=CA309,1,0)</f>
        <v>#N/A</v>
      </c>
      <c r="FN309" s="138" t="e">
        <f>IF(VLOOKUP(CONCATENATE(H309,F309,FN$2),Ciencias!$A:$H,7,FALSE)=CB309,1,0)</f>
        <v>#N/A</v>
      </c>
      <c r="FO309" s="138" t="e">
        <f>IF(VLOOKUP(CONCATENATE(H309,F309,FO$2),Ciencias!$A:$H,7,FALSE)=CC309,1,0)</f>
        <v>#N/A</v>
      </c>
      <c r="FP309" s="138" t="e">
        <f>IF(VLOOKUP(CONCATENATE(H309,F309,FP$2),GeoHis!$A:$H,7,FALSE)=CD309,1,0)</f>
        <v>#N/A</v>
      </c>
      <c r="FQ309" s="138" t="e">
        <f>IF(VLOOKUP(CONCATENATE(H309,F309,FQ$2),GeoHis!$A:$H,7,FALSE)=CE309,1,0)</f>
        <v>#N/A</v>
      </c>
      <c r="FR309" s="138" t="e">
        <f>IF(VLOOKUP(CONCATENATE(H309,F309,FR$2),GeoHis!$A:$H,7,FALSE)=CF309,1,0)</f>
        <v>#N/A</v>
      </c>
      <c r="FS309" s="138" t="e">
        <f>IF(VLOOKUP(CONCATENATE(H309,F309,FS$2),GeoHis!$A:$H,7,FALSE)=CG309,1,0)</f>
        <v>#N/A</v>
      </c>
      <c r="FT309" s="138" t="e">
        <f>IF(VLOOKUP(CONCATENATE(H309,F309,FT$2),GeoHis!$A:$H,7,FALSE)=CH309,1,0)</f>
        <v>#N/A</v>
      </c>
      <c r="FU309" s="138" t="e">
        <f>IF(VLOOKUP(CONCATENATE(H309,F309,FU$2),GeoHis!$A:$H,7,FALSE)=CI309,1,0)</f>
        <v>#N/A</v>
      </c>
      <c r="FV309" s="138" t="e">
        <f>IF(VLOOKUP(CONCATENATE(H309,F309,FV$2),GeoHis!$A:$H,7,FALSE)=CJ309,1,0)</f>
        <v>#N/A</v>
      </c>
      <c r="FW309" s="138" t="e">
        <f>IF(VLOOKUP(CONCATENATE(H309,F309,FW$2),GeoHis!$A:$H,7,FALSE)=CK309,1,0)</f>
        <v>#N/A</v>
      </c>
      <c r="FX309" s="138" t="e">
        <f>IF(VLOOKUP(CONCATENATE(H309,F309,FX$2),GeoHis!$A:$H,7,FALSE)=CL309,1,0)</f>
        <v>#N/A</v>
      </c>
      <c r="FY309" s="138" t="e">
        <f>IF(VLOOKUP(CONCATENATE(H309,F309,FY$2),GeoHis!$A:$H,7,FALSE)=CM309,1,0)</f>
        <v>#N/A</v>
      </c>
      <c r="FZ309" s="138" t="e">
        <f>IF(VLOOKUP(CONCATENATE(H309,F309,FZ$2),GeoHis!$A:$H,7,FALSE)=CN309,1,0)</f>
        <v>#N/A</v>
      </c>
      <c r="GA309" s="138" t="e">
        <f>IF(VLOOKUP(CONCATENATE(H309,F309,GA$2),GeoHis!$A:$H,7,FALSE)=CO309,1,0)</f>
        <v>#N/A</v>
      </c>
      <c r="GB309" s="138" t="e">
        <f>IF(VLOOKUP(CONCATENATE(H309,F309,GB$2),GeoHis!$A:$H,7,FALSE)=CP309,1,0)</f>
        <v>#N/A</v>
      </c>
      <c r="GC309" s="138" t="e">
        <f>IF(VLOOKUP(CONCATENATE(H309,F309,GC$2),GeoHis!$A:$H,7,FALSE)=CQ309,1,0)</f>
        <v>#N/A</v>
      </c>
      <c r="GD309" s="138" t="e">
        <f>IF(VLOOKUP(CONCATENATE(H309,F309,GD$2),GeoHis!$A:$H,7,FALSE)=CR309,1,0)</f>
        <v>#N/A</v>
      </c>
      <c r="GE309" s="135" t="str">
        <f t="shared" si="39"/>
        <v/>
      </c>
    </row>
    <row r="310" spans="1:187" x14ac:dyDescent="0.25">
      <c r="A310" s="127" t="str">
        <f>IF(C310="","",'Datos Generales'!$A$25)</f>
        <v/>
      </c>
      <c r="D310" s="126" t="str">
        <f t="shared" si="32"/>
        <v/>
      </c>
      <c r="E310" s="126">
        <f t="shared" si="33"/>
        <v>0</v>
      </c>
      <c r="F310" s="126" t="str">
        <f t="shared" si="34"/>
        <v/>
      </c>
      <c r="G310" s="126" t="str">
        <f>IF(C310="","",'Datos Generales'!$D$19)</f>
        <v/>
      </c>
      <c r="H310" s="21" t="str">
        <f>IF(C310="","",'Datos Generales'!$A$19)</f>
        <v/>
      </c>
      <c r="I310" s="126" t="str">
        <f>IF(C310="","",'Datos Generales'!$A$7)</f>
        <v/>
      </c>
      <c r="J310" s="21" t="str">
        <f>IF(C310="","",'Datos Generales'!$A$13)</f>
        <v/>
      </c>
      <c r="K310" s="21" t="str">
        <f>IF(C310="","",'Datos Generales'!$A$10)</f>
        <v/>
      </c>
      <c r="CS310" s="142" t="str">
        <f t="shared" si="35"/>
        <v/>
      </c>
      <c r="CT310" s="142" t="str">
        <f t="shared" si="36"/>
        <v/>
      </c>
      <c r="CU310" s="142" t="str">
        <f t="shared" si="37"/>
        <v/>
      </c>
      <c r="CV310" s="142" t="str">
        <f t="shared" si="38"/>
        <v/>
      </c>
      <c r="CW310" s="142" t="str">
        <f>IF(C310="","",IF('Datos Generales'!$A$19=1,AVERAGE(FP310:GD310),AVERAGE(Captura!FP310:FY310)))</f>
        <v/>
      </c>
      <c r="CX310" s="138" t="e">
        <f>IF(VLOOKUP(CONCATENATE($H$4,$F$4,CX$2),Español!$A:$H,7,FALSE)=L310,1,0)</f>
        <v>#N/A</v>
      </c>
      <c r="CY310" s="138" t="e">
        <f>IF(VLOOKUP(CONCATENATE(H310,F310,CY$2),Español!$A:$H,7,FALSE)=M310,1,0)</f>
        <v>#N/A</v>
      </c>
      <c r="CZ310" s="138" t="e">
        <f>IF(VLOOKUP(CONCATENATE(H310,F310,CZ$2),Español!$A:$H,7,FALSE)=N310,1,0)</f>
        <v>#N/A</v>
      </c>
      <c r="DA310" s="138" t="e">
        <f>IF(VLOOKUP(CONCATENATE(H310,F310,DA$2),Español!$A:$H,7,FALSE)=O310,1,0)</f>
        <v>#N/A</v>
      </c>
      <c r="DB310" s="138" t="e">
        <f>IF(VLOOKUP(CONCATENATE(H310,F310,DB$2),Español!$A:$H,7,FALSE)=P310,1,0)</f>
        <v>#N/A</v>
      </c>
      <c r="DC310" s="138" t="e">
        <f>IF(VLOOKUP(CONCATENATE(H310,F310,DC$2),Español!$A:$H,7,FALSE)=Q310,1,0)</f>
        <v>#N/A</v>
      </c>
      <c r="DD310" s="138" t="e">
        <f>IF(VLOOKUP(CONCATENATE(H310,F310,DD$2),Español!$A:$H,7,FALSE)=R310,1,0)</f>
        <v>#N/A</v>
      </c>
      <c r="DE310" s="138" t="e">
        <f>IF(VLOOKUP(CONCATENATE(H310,F310,DE$2),Español!$A:$H,7,FALSE)=S310,1,0)</f>
        <v>#N/A</v>
      </c>
      <c r="DF310" s="138" t="e">
        <f>IF(VLOOKUP(CONCATENATE(H310,F310,DF$2),Español!$A:$H,7,FALSE)=T310,1,0)</f>
        <v>#N/A</v>
      </c>
      <c r="DG310" s="138" t="e">
        <f>IF(VLOOKUP(CONCATENATE(H310,F310,DG$2),Español!$A:$H,7,FALSE)=U310,1,0)</f>
        <v>#N/A</v>
      </c>
      <c r="DH310" s="138" t="e">
        <f>IF(VLOOKUP(CONCATENATE(H310,F310,DH$2),Español!$A:$H,7,FALSE)=V310,1,0)</f>
        <v>#N/A</v>
      </c>
      <c r="DI310" s="138" t="e">
        <f>IF(VLOOKUP(CONCATENATE(H310,F310,DI$2),Español!$A:$H,7,FALSE)=W310,1,0)</f>
        <v>#N/A</v>
      </c>
      <c r="DJ310" s="138" t="e">
        <f>IF(VLOOKUP(CONCATENATE(H310,F310,DJ$2),Español!$A:$H,7,FALSE)=X310,1,0)</f>
        <v>#N/A</v>
      </c>
      <c r="DK310" s="138" t="e">
        <f>IF(VLOOKUP(CONCATENATE(H310,F310,DK$2),Español!$A:$H,7,FALSE)=Y310,1,0)</f>
        <v>#N/A</v>
      </c>
      <c r="DL310" s="138" t="e">
        <f>IF(VLOOKUP(CONCATENATE(H310,F310,DL$2),Español!$A:$H,7,FALSE)=Z310,1,0)</f>
        <v>#N/A</v>
      </c>
      <c r="DM310" s="138" t="e">
        <f>IF(VLOOKUP(CONCATENATE(H310,F310,DM$2),Español!$A:$H,7,FALSE)=AA310,1,0)</f>
        <v>#N/A</v>
      </c>
      <c r="DN310" s="138" t="e">
        <f>IF(VLOOKUP(CONCATENATE(H310,F310,DN$2),Español!$A:$H,7,FALSE)=AB310,1,0)</f>
        <v>#N/A</v>
      </c>
      <c r="DO310" s="138" t="e">
        <f>IF(VLOOKUP(CONCATENATE(H310,F310,DO$2),Español!$A:$H,7,FALSE)=AC310,1,0)</f>
        <v>#N/A</v>
      </c>
      <c r="DP310" s="138" t="e">
        <f>IF(VLOOKUP(CONCATENATE(H310,F310,DP$2),Español!$A:$H,7,FALSE)=AD310,1,0)</f>
        <v>#N/A</v>
      </c>
      <c r="DQ310" s="138" t="e">
        <f>IF(VLOOKUP(CONCATENATE(H310,F310,DQ$2),Español!$A:$H,7,FALSE)=AE310,1,0)</f>
        <v>#N/A</v>
      </c>
      <c r="DR310" s="138" t="e">
        <f>IF(VLOOKUP(CONCATENATE(H310,F310,DR$2),Inglés!$A:$H,7,FALSE)=AF310,1,0)</f>
        <v>#N/A</v>
      </c>
      <c r="DS310" s="138" t="e">
        <f>IF(VLOOKUP(CONCATENATE(H310,F310,DS$2),Inglés!$A:$H,7,FALSE)=AG310,1,0)</f>
        <v>#N/A</v>
      </c>
      <c r="DT310" s="138" t="e">
        <f>IF(VLOOKUP(CONCATENATE(H310,F310,DT$2),Inglés!$A:$H,7,FALSE)=AH310,1,0)</f>
        <v>#N/A</v>
      </c>
      <c r="DU310" s="138" t="e">
        <f>IF(VLOOKUP(CONCATENATE(H310,F310,DU$2),Inglés!$A:$H,7,FALSE)=AI310,1,0)</f>
        <v>#N/A</v>
      </c>
      <c r="DV310" s="138" t="e">
        <f>IF(VLOOKUP(CONCATENATE(H310,F310,DV$2),Inglés!$A:$H,7,FALSE)=AJ310,1,0)</f>
        <v>#N/A</v>
      </c>
      <c r="DW310" s="138" t="e">
        <f>IF(VLOOKUP(CONCATENATE(H310,F310,DW$2),Inglés!$A:$H,7,FALSE)=AK310,1,0)</f>
        <v>#N/A</v>
      </c>
      <c r="DX310" s="138" t="e">
        <f>IF(VLOOKUP(CONCATENATE(H310,F310,DX$2),Inglés!$A:$H,7,FALSE)=AL310,1,0)</f>
        <v>#N/A</v>
      </c>
      <c r="DY310" s="138" t="e">
        <f>IF(VLOOKUP(CONCATENATE(H310,F310,DY$2),Inglés!$A:$H,7,FALSE)=AM310,1,0)</f>
        <v>#N/A</v>
      </c>
      <c r="DZ310" s="138" t="e">
        <f>IF(VLOOKUP(CONCATENATE(H310,F310,DZ$2),Inglés!$A:$H,7,FALSE)=AN310,1,0)</f>
        <v>#N/A</v>
      </c>
      <c r="EA310" s="138" t="e">
        <f>IF(VLOOKUP(CONCATENATE(H310,F310,EA$2),Inglés!$A:$H,7,FALSE)=AO310,1,0)</f>
        <v>#N/A</v>
      </c>
      <c r="EB310" s="138" t="e">
        <f>IF(VLOOKUP(CONCATENATE(H310,F310,EB$2),Matemáticas!$A:$H,7,FALSE)=AP310,1,0)</f>
        <v>#N/A</v>
      </c>
      <c r="EC310" s="138" t="e">
        <f>IF(VLOOKUP(CONCATENATE(H310,F310,EC$2),Matemáticas!$A:$H,7,FALSE)=AQ310,1,0)</f>
        <v>#N/A</v>
      </c>
      <c r="ED310" s="138" t="e">
        <f>IF(VLOOKUP(CONCATENATE(H310,F310,ED$2),Matemáticas!$A:$H,7,FALSE)=AR310,1,0)</f>
        <v>#N/A</v>
      </c>
      <c r="EE310" s="138" t="e">
        <f>IF(VLOOKUP(CONCATENATE(H310,F310,EE$2),Matemáticas!$A:$H,7,FALSE)=AS310,1,0)</f>
        <v>#N/A</v>
      </c>
      <c r="EF310" s="138" t="e">
        <f>IF(VLOOKUP(CONCATENATE(H310,F310,EF$2),Matemáticas!$A:$H,7,FALSE)=AT310,1,0)</f>
        <v>#N/A</v>
      </c>
      <c r="EG310" s="138" t="e">
        <f>IF(VLOOKUP(CONCATENATE(H310,F310,EG$2),Matemáticas!$A:$H,7,FALSE)=AU310,1,0)</f>
        <v>#N/A</v>
      </c>
      <c r="EH310" s="138" t="e">
        <f>IF(VLOOKUP(CONCATENATE(H310,F310,EH$2),Matemáticas!$A:$H,7,FALSE)=AV310,1,0)</f>
        <v>#N/A</v>
      </c>
      <c r="EI310" s="138" t="e">
        <f>IF(VLOOKUP(CONCATENATE(H310,F310,EI$2),Matemáticas!$A:$H,7,FALSE)=AW310,1,0)</f>
        <v>#N/A</v>
      </c>
      <c r="EJ310" s="138" t="e">
        <f>IF(VLOOKUP(CONCATENATE(H310,F310,EJ$2),Matemáticas!$A:$H,7,FALSE)=AX310,1,0)</f>
        <v>#N/A</v>
      </c>
      <c r="EK310" s="138" t="e">
        <f>IF(VLOOKUP(CONCATENATE(H310,F310,EK$2),Matemáticas!$A:$H,7,FALSE)=AY310,1,0)</f>
        <v>#N/A</v>
      </c>
      <c r="EL310" s="138" t="e">
        <f>IF(VLOOKUP(CONCATENATE(H310,F310,EL$2),Matemáticas!$A:$H,7,FALSE)=AZ310,1,0)</f>
        <v>#N/A</v>
      </c>
      <c r="EM310" s="138" t="e">
        <f>IF(VLOOKUP(CONCATENATE(H310,F310,EM$2),Matemáticas!$A:$H,7,FALSE)=BA310,1,0)</f>
        <v>#N/A</v>
      </c>
      <c r="EN310" s="138" t="e">
        <f>IF(VLOOKUP(CONCATENATE(H310,F310,EN$2),Matemáticas!$A:$H,7,FALSE)=BB310,1,0)</f>
        <v>#N/A</v>
      </c>
      <c r="EO310" s="138" t="e">
        <f>IF(VLOOKUP(CONCATENATE(H310,F310,EO$2),Matemáticas!$A:$H,7,FALSE)=BC310,1,0)</f>
        <v>#N/A</v>
      </c>
      <c r="EP310" s="138" t="e">
        <f>IF(VLOOKUP(CONCATENATE(H310,F310,EP$2),Matemáticas!$A:$H,7,FALSE)=BD310,1,0)</f>
        <v>#N/A</v>
      </c>
      <c r="EQ310" s="138" t="e">
        <f>IF(VLOOKUP(CONCATENATE(H310,F310,EQ$2),Matemáticas!$A:$H,7,FALSE)=BE310,1,0)</f>
        <v>#N/A</v>
      </c>
      <c r="ER310" s="138" t="e">
        <f>IF(VLOOKUP(CONCATENATE(H310,F310,ER$2),Matemáticas!$A:$H,7,FALSE)=BF310,1,0)</f>
        <v>#N/A</v>
      </c>
      <c r="ES310" s="138" t="e">
        <f>IF(VLOOKUP(CONCATENATE(H310,F310,ES$2),Matemáticas!$A:$H,7,FALSE)=BG310,1,0)</f>
        <v>#N/A</v>
      </c>
      <c r="ET310" s="138" t="e">
        <f>IF(VLOOKUP(CONCATENATE(H310,F310,ET$2),Matemáticas!$A:$H,7,FALSE)=BH310,1,0)</f>
        <v>#N/A</v>
      </c>
      <c r="EU310" s="138" t="e">
        <f>IF(VLOOKUP(CONCATENATE(H310,F310,EU$2),Matemáticas!$A:$H,7,FALSE)=BI310,1,0)</f>
        <v>#N/A</v>
      </c>
      <c r="EV310" s="138" t="e">
        <f>IF(VLOOKUP(CONCATENATE(H310,F310,EV$2),Ciencias!$A:$H,7,FALSE)=BJ310,1,0)</f>
        <v>#N/A</v>
      </c>
      <c r="EW310" s="138" t="e">
        <f>IF(VLOOKUP(CONCATENATE(H310,F310,EW$2),Ciencias!$A:$H,7,FALSE)=BK310,1,0)</f>
        <v>#N/A</v>
      </c>
      <c r="EX310" s="138" t="e">
        <f>IF(VLOOKUP(CONCATENATE(H310,F310,EX$2),Ciencias!$A:$H,7,FALSE)=BL310,1,0)</f>
        <v>#N/A</v>
      </c>
      <c r="EY310" s="138" t="e">
        <f>IF(VLOOKUP(CONCATENATE(H310,F310,EY$2),Ciencias!$A:$H,7,FALSE)=BM310,1,0)</f>
        <v>#N/A</v>
      </c>
      <c r="EZ310" s="138" t="e">
        <f>IF(VLOOKUP(CONCATENATE(H310,F310,EZ$2),Ciencias!$A:$H,7,FALSE)=BN310,1,0)</f>
        <v>#N/A</v>
      </c>
      <c r="FA310" s="138" t="e">
        <f>IF(VLOOKUP(CONCATENATE(H310,F310,FA$2),Ciencias!$A:$H,7,FALSE)=BO310,1,0)</f>
        <v>#N/A</v>
      </c>
      <c r="FB310" s="138" t="e">
        <f>IF(VLOOKUP(CONCATENATE(H310,F310,FB$2),Ciencias!$A:$H,7,FALSE)=BP310,1,0)</f>
        <v>#N/A</v>
      </c>
      <c r="FC310" s="138" t="e">
        <f>IF(VLOOKUP(CONCATENATE(H310,F310,FC$2),Ciencias!$A:$H,7,FALSE)=BQ310,1,0)</f>
        <v>#N/A</v>
      </c>
      <c r="FD310" s="138" t="e">
        <f>IF(VLOOKUP(CONCATENATE(H310,F310,FD$2),Ciencias!$A:$H,7,FALSE)=BR310,1,0)</f>
        <v>#N/A</v>
      </c>
      <c r="FE310" s="138" t="e">
        <f>IF(VLOOKUP(CONCATENATE(H310,F310,FE$2),Ciencias!$A:$H,7,FALSE)=BS310,1,0)</f>
        <v>#N/A</v>
      </c>
      <c r="FF310" s="138" t="e">
        <f>IF(VLOOKUP(CONCATENATE(H310,F310,FF$2),Ciencias!$A:$H,7,FALSE)=BT310,1,0)</f>
        <v>#N/A</v>
      </c>
      <c r="FG310" s="138" t="e">
        <f>IF(VLOOKUP(CONCATENATE(H310,F310,FG$2),Ciencias!$A:$H,7,FALSE)=BU310,1,0)</f>
        <v>#N/A</v>
      </c>
      <c r="FH310" s="138" t="e">
        <f>IF(VLOOKUP(CONCATENATE(H310,F310,FH$2),Ciencias!$A:$H,7,FALSE)=BV310,1,0)</f>
        <v>#N/A</v>
      </c>
      <c r="FI310" s="138" t="e">
        <f>IF(VLOOKUP(CONCATENATE(H310,F310,FI$2),Ciencias!$A:$H,7,FALSE)=BW310,1,0)</f>
        <v>#N/A</v>
      </c>
      <c r="FJ310" s="138" t="e">
        <f>IF(VLOOKUP(CONCATENATE(H310,F310,FJ$2),Ciencias!$A:$H,7,FALSE)=BX310,1,0)</f>
        <v>#N/A</v>
      </c>
      <c r="FK310" s="138" t="e">
        <f>IF(VLOOKUP(CONCATENATE(H310,F310,FK$2),Ciencias!$A:$H,7,FALSE)=BY310,1,0)</f>
        <v>#N/A</v>
      </c>
      <c r="FL310" s="138" t="e">
        <f>IF(VLOOKUP(CONCATENATE(H310,F310,FL$2),Ciencias!$A:$H,7,FALSE)=BZ310,1,0)</f>
        <v>#N/A</v>
      </c>
      <c r="FM310" s="138" t="e">
        <f>IF(VLOOKUP(CONCATENATE(H310,F310,FM$2),Ciencias!$A:$H,7,FALSE)=CA310,1,0)</f>
        <v>#N/A</v>
      </c>
      <c r="FN310" s="138" t="e">
        <f>IF(VLOOKUP(CONCATENATE(H310,F310,FN$2),Ciencias!$A:$H,7,FALSE)=CB310,1,0)</f>
        <v>#N/A</v>
      </c>
      <c r="FO310" s="138" t="e">
        <f>IF(VLOOKUP(CONCATENATE(H310,F310,FO$2),Ciencias!$A:$H,7,FALSE)=CC310,1,0)</f>
        <v>#N/A</v>
      </c>
      <c r="FP310" s="138" t="e">
        <f>IF(VLOOKUP(CONCATENATE(H310,F310,FP$2),GeoHis!$A:$H,7,FALSE)=CD310,1,0)</f>
        <v>#N/A</v>
      </c>
      <c r="FQ310" s="138" t="e">
        <f>IF(VLOOKUP(CONCATENATE(H310,F310,FQ$2),GeoHis!$A:$H,7,FALSE)=CE310,1,0)</f>
        <v>#N/A</v>
      </c>
      <c r="FR310" s="138" t="e">
        <f>IF(VLOOKUP(CONCATENATE(H310,F310,FR$2),GeoHis!$A:$H,7,FALSE)=CF310,1,0)</f>
        <v>#N/A</v>
      </c>
      <c r="FS310" s="138" t="e">
        <f>IF(VLOOKUP(CONCATENATE(H310,F310,FS$2),GeoHis!$A:$H,7,FALSE)=CG310,1,0)</f>
        <v>#N/A</v>
      </c>
      <c r="FT310" s="138" t="e">
        <f>IF(VLOOKUP(CONCATENATE(H310,F310,FT$2),GeoHis!$A:$H,7,FALSE)=CH310,1,0)</f>
        <v>#N/A</v>
      </c>
      <c r="FU310" s="138" t="e">
        <f>IF(VLOOKUP(CONCATENATE(H310,F310,FU$2),GeoHis!$A:$H,7,FALSE)=CI310,1,0)</f>
        <v>#N/A</v>
      </c>
      <c r="FV310" s="138" t="e">
        <f>IF(VLOOKUP(CONCATENATE(H310,F310,FV$2),GeoHis!$A:$H,7,FALSE)=CJ310,1,0)</f>
        <v>#N/A</v>
      </c>
      <c r="FW310" s="138" t="e">
        <f>IF(VLOOKUP(CONCATENATE(H310,F310,FW$2),GeoHis!$A:$H,7,FALSE)=CK310,1,0)</f>
        <v>#N/A</v>
      </c>
      <c r="FX310" s="138" t="e">
        <f>IF(VLOOKUP(CONCATENATE(H310,F310,FX$2),GeoHis!$A:$H,7,FALSE)=CL310,1,0)</f>
        <v>#N/A</v>
      </c>
      <c r="FY310" s="138" t="e">
        <f>IF(VLOOKUP(CONCATENATE(H310,F310,FY$2),GeoHis!$A:$H,7,FALSE)=CM310,1,0)</f>
        <v>#N/A</v>
      </c>
      <c r="FZ310" s="138" t="e">
        <f>IF(VLOOKUP(CONCATENATE(H310,F310,FZ$2),GeoHis!$A:$H,7,FALSE)=CN310,1,0)</f>
        <v>#N/A</v>
      </c>
      <c r="GA310" s="138" t="e">
        <f>IF(VLOOKUP(CONCATENATE(H310,F310,GA$2),GeoHis!$A:$H,7,FALSE)=CO310,1,0)</f>
        <v>#N/A</v>
      </c>
      <c r="GB310" s="138" t="e">
        <f>IF(VLOOKUP(CONCATENATE(H310,F310,GB$2),GeoHis!$A:$H,7,FALSE)=CP310,1,0)</f>
        <v>#N/A</v>
      </c>
      <c r="GC310" s="138" t="e">
        <f>IF(VLOOKUP(CONCATENATE(H310,F310,GC$2),GeoHis!$A:$H,7,FALSE)=CQ310,1,0)</f>
        <v>#N/A</v>
      </c>
      <c r="GD310" s="138" t="e">
        <f>IF(VLOOKUP(CONCATENATE(H310,F310,GD$2),GeoHis!$A:$H,7,FALSE)=CR310,1,0)</f>
        <v>#N/A</v>
      </c>
      <c r="GE310" s="135" t="str">
        <f t="shared" si="39"/>
        <v/>
      </c>
    </row>
    <row r="311" spans="1:187" x14ac:dyDescent="0.25">
      <c r="A311" s="127" t="str">
        <f>IF(C311="","",'Datos Generales'!$A$25)</f>
        <v/>
      </c>
      <c r="D311" s="126" t="str">
        <f t="shared" si="32"/>
        <v/>
      </c>
      <c r="E311" s="126">
        <f t="shared" si="33"/>
        <v>0</v>
      </c>
      <c r="F311" s="126" t="str">
        <f t="shared" si="34"/>
        <v/>
      </c>
      <c r="G311" s="126" t="str">
        <f>IF(C311="","",'Datos Generales'!$D$19)</f>
        <v/>
      </c>
      <c r="H311" s="21" t="str">
        <f>IF(C311="","",'Datos Generales'!$A$19)</f>
        <v/>
      </c>
      <c r="I311" s="126" t="str">
        <f>IF(C311="","",'Datos Generales'!$A$7)</f>
        <v/>
      </c>
      <c r="J311" s="21" t="str">
        <f>IF(C311="","",'Datos Generales'!$A$13)</f>
        <v/>
      </c>
      <c r="K311" s="21" t="str">
        <f>IF(C311="","",'Datos Generales'!$A$10)</f>
        <v/>
      </c>
      <c r="CS311" s="142" t="str">
        <f t="shared" si="35"/>
        <v/>
      </c>
      <c r="CT311" s="142" t="str">
        <f t="shared" si="36"/>
        <v/>
      </c>
      <c r="CU311" s="142" t="str">
        <f t="shared" si="37"/>
        <v/>
      </c>
      <c r="CV311" s="142" t="str">
        <f t="shared" si="38"/>
        <v/>
      </c>
      <c r="CW311" s="142" t="str">
        <f>IF(C311="","",IF('Datos Generales'!$A$19=1,AVERAGE(FP311:GD311),AVERAGE(Captura!FP311:FY311)))</f>
        <v/>
      </c>
      <c r="CX311" s="138" t="e">
        <f>IF(VLOOKUP(CONCATENATE($H$4,$F$4,CX$2),Español!$A:$H,7,FALSE)=L311,1,0)</f>
        <v>#N/A</v>
      </c>
      <c r="CY311" s="138" t="e">
        <f>IF(VLOOKUP(CONCATENATE(H311,F311,CY$2),Español!$A:$H,7,FALSE)=M311,1,0)</f>
        <v>#N/A</v>
      </c>
      <c r="CZ311" s="138" t="e">
        <f>IF(VLOOKUP(CONCATENATE(H311,F311,CZ$2),Español!$A:$H,7,FALSE)=N311,1,0)</f>
        <v>#N/A</v>
      </c>
      <c r="DA311" s="138" t="e">
        <f>IF(VLOOKUP(CONCATENATE(H311,F311,DA$2),Español!$A:$H,7,FALSE)=O311,1,0)</f>
        <v>#N/A</v>
      </c>
      <c r="DB311" s="138" t="e">
        <f>IF(VLOOKUP(CONCATENATE(H311,F311,DB$2),Español!$A:$H,7,FALSE)=P311,1,0)</f>
        <v>#N/A</v>
      </c>
      <c r="DC311" s="138" t="e">
        <f>IF(VLOOKUP(CONCATENATE(H311,F311,DC$2),Español!$A:$H,7,FALSE)=Q311,1,0)</f>
        <v>#N/A</v>
      </c>
      <c r="DD311" s="138" t="e">
        <f>IF(VLOOKUP(CONCATENATE(H311,F311,DD$2),Español!$A:$H,7,FALSE)=R311,1,0)</f>
        <v>#N/A</v>
      </c>
      <c r="DE311" s="138" t="e">
        <f>IF(VLOOKUP(CONCATENATE(H311,F311,DE$2),Español!$A:$H,7,FALSE)=S311,1,0)</f>
        <v>#N/A</v>
      </c>
      <c r="DF311" s="138" t="e">
        <f>IF(VLOOKUP(CONCATENATE(H311,F311,DF$2),Español!$A:$H,7,FALSE)=T311,1,0)</f>
        <v>#N/A</v>
      </c>
      <c r="DG311" s="138" t="e">
        <f>IF(VLOOKUP(CONCATENATE(H311,F311,DG$2),Español!$A:$H,7,FALSE)=U311,1,0)</f>
        <v>#N/A</v>
      </c>
      <c r="DH311" s="138" t="e">
        <f>IF(VLOOKUP(CONCATENATE(H311,F311,DH$2),Español!$A:$H,7,FALSE)=V311,1,0)</f>
        <v>#N/A</v>
      </c>
      <c r="DI311" s="138" t="e">
        <f>IF(VLOOKUP(CONCATENATE(H311,F311,DI$2),Español!$A:$H,7,FALSE)=W311,1,0)</f>
        <v>#N/A</v>
      </c>
      <c r="DJ311" s="138" t="e">
        <f>IF(VLOOKUP(CONCATENATE(H311,F311,DJ$2),Español!$A:$H,7,FALSE)=X311,1,0)</f>
        <v>#N/A</v>
      </c>
      <c r="DK311" s="138" t="e">
        <f>IF(VLOOKUP(CONCATENATE(H311,F311,DK$2),Español!$A:$H,7,FALSE)=Y311,1,0)</f>
        <v>#N/A</v>
      </c>
      <c r="DL311" s="138" t="e">
        <f>IF(VLOOKUP(CONCATENATE(H311,F311,DL$2),Español!$A:$H,7,FALSE)=Z311,1,0)</f>
        <v>#N/A</v>
      </c>
      <c r="DM311" s="138" t="e">
        <f>IF(VLOOKUP(CONCATENATE(H311,F311,DM$2),Español!$A:$H,7,FALSE)=AA311,1,0)</f>
        <v>#N/A</v>
      </c>
      <c r="DN311" s="138" t="e">
        <f>IF(VLOOKUP(CONCATENATE(H311,F311,DN$2),Español!$A:$H,7,FALSE)=AB311,1,0)</f>
        <v>#N/A</v>
      </c>
      <c r="DO311" s="138" t="e">
        <f>IF(VLOOKUP(CONCATENATE(H311,F311,DO$2),Español!$A:$H,7,FALSE)=AC311,1,0)</f>
        <v>#N/A</v>
      </c>
      <c r="DP311" s="138" t="e">
        <f>IF(VLOOKUP(CONCATENATE(H311,F311,DP$2),Español!$A:$H,7,FALSE)=AD311,1,0)</f>
        <v>#N/A</v>
      </c>
      <c r="DQ311" s="138" t="e">
        <f>IF(VLOOKUP(CONCATENATE(H311,F311,DQ$2),Español!$A:$H,7,FALSE)=AE311,1,0)</f>
        <v>#N/A</v>
      </c>
      <c r="DR311" s="138" t="e">
        <f>IF(VLOOKUP(CONCATENATE(H311,F311,DR$2),Inglés!$A:$H,7,FALSE)=AF311,1,0)</f>
        <v>#N/A</v>
      </c>
      <c r="DS311" s="138" t="e">
        <f>IF(VLOOKUP(CONCATENATE(H311,F311,DS$2),Inglés!$A:$H,7,FALSE)=AG311,1,0)</f>
        <v>#N/A</v>
      </c>
      <c r="DT311" s="138" t="e">
        <f>IF(VLOOKUP(CONCATENATE(H311,F311,DT$2),Inglés!$A:$H,7,FALSE)=AH311,1,0)</f>
        <v>#N/A</v>
      </c>
      <c r="DU311" s="138" t="e">
        <f>IF(VLOOKUP(CONCATENATE(H311,F311,DU$2),Inglés!$A:$H,7,FALSE)=AI311,1,0)</f>
        <v>#N/A</v>
      </c>
      <c r="DV311" s="138" t="e">
        <f>IF(VLOOKUP(CONCATENATE(H311,F311,DV$2),Inglés!$A:$H,7,FALSE)=AJ311,1,0)</f>
        <v>#N/A</v>
      </c>
      <c r="DW311" s="138" t="e">
        <f>IF(VLOOKUP(CONCATENATE(H311,F311,DW$2),Inglés!$A:$H,7,FALSE)=AK311,1,0)</f>
        <v>#N/A</v>
      </c>
      <c r="DX311" s="138" t="e">
        <f>IF(VLOOKUP(CONCATENATE(H311,F311,DX$2),Inglés!$A:$H,7,FALSE)=AL311,1,0)</f>
        <v>#N/A</v>
      </c>
      <c r="DY311" s="138" t="e">
        <f>IF(VLOOKUP(CONCATENATE(H311,F311,DY$2),Inglés!$A:$H,7,FALSE)=AM311,1,0)</f>
        <v>#N/A</v>
      </c>
      <c r="DZ311" s="138" t="e">
        <f>IF(VLOOKUP(CONCATENATE(H311,F311,DZ$2),Inglés!$A:$H,7,FALSE)=AN311,1,0)</f>
        <v>#N/A</v>
      </c>
      <c r="EA311" s="138" t="e">
        <f>IF(VLOOKUP(CONCATENATE(H311,F311,EA$2),Inglés!$A:$H,7,FALSE)=AO311,1,0)</f>
        <v>#N/A</v>
      </c>
      <c r="EB311" s="138" t="e">
        <f>IF(VLOOKUP(CONCATENATE(H311,F311,EB$2),Matemáticas!$A:$H,7,FALSE)=AP311,1,0)</f>
        <v>#N/A</v>
      </c>
      <c r="EC311" s="138" t="e">
        <f>IF(VLOOKUP(CONCATENATE(H311,F311,EC$2),Matemáticas!$A:$H,7,FALSE)=AQ311,1,0)</f>
        <v>#N/A</v>
      </c>
      <c r="ED311" s="138" t="e">
        <f>IF(VLOOKUP(CONCATENATE(H311,F311,ED$2),Matemáticas!$A:$H,7,FALSE)=AR311,1,0)</f>
        <v>#N/A</v>
      </c>
      <c r="EE311" s="138" t="e">
        <f>IF(VLOOKUP(CONCATENATE(H311,F311,EE$2),Matemáticas!$A:$H,7,FALSE)=AS311,1,0)</f>
        <v>#N/A</v>
      </c>
      <c r="EF311" s="138" t="e">
        <f>IF(VLOOKUP(CONCATENATE(H311,F311,EF$2),Matemáticas!$A:$H,7,FALSE)=AT311,1,0)</f>
        <v>#N/A</v>
      </c>
      <c r="EG311" s="138" t="e">
        <f>IF(VLOOKUP(CONCATENATE(H311,F311,EG$2),Matemáticas!$A:$H,7,FALSE)=AU311,1,0)</f>
        <v>#N/A</v>
      </c>
      <c r="EH311" s="138" t="e">
        <f>IF(VLOOKUP(CONCATENATE(H311,F311,EH$2),Matemáticas!$A:$H,7,FALSE)=AV311,1,0)</f>
        <v>#N/A</v>
      </c>
      <c r="EI311" s="138" t="e">
        <f>IF(VLOOKUP(CONCATENATE(H311,F311,EI$2),Matemáticas!$A:$H,7,FALSE)=AW311,1,0)</f>
        <v>#N/A</v>
      </c>
      <c r="EJ311" s="138" t="e">
        <f>IF(VLOOKUP(CONCATENATE(H311,F311,EJ$2),Matemáticas!$A:$H,7,FALSE)=AX311,1,0)</f>
        <v>#N/A</v>
      </c>
      <c r="EK311" s="138" t="e">
        <f>IF(VLOOKUP(CONCATENATE(H311,F311,EK$2),Matemáticas!$A:$H,7,FALSE)=AY311,1,0)</f>
        <v>#N/A</v>
      </c>
      <c r="EL311" s="138" t="e">
        <f>IF(VLOOKUP(CONCATENATE(H311,F311,EL$2),Matemáticas!$A:$H,7,FALSE)=AZ311,1,0)</f>
        <v>#N/A</v>
      </c>
      <c r="EM311" s="138" t="e">
        <f>IF(VLOOKUP(CONCATENATE(H311,F311,EM$2),Matemáticas!$A:$H,7,FALSE)=BA311,1,0)</f>
        <v>#N/A</v>
      </c>
      <c r="EN311" s="138" t="e">
        <f>IF(VLOOKUP(CONCATENATE(H311,F311,EN$2),Matemáticas!$A:$H,7,FALSE)=BB311,1,0)</f>
        <v>#N/A</v>
      </c>
      <c r="EO311" s="138" t="e">
        <f>IF(VLOOKUP(CONCATENATE(H311,F311,EO$2),Matemáticas!$A:$H,7,FALSE)=BC311,1,0)</f>
        <v>#N/A</v>
      </c>
      <c r="EP311" s="138" t="e">
        <f>IF(VLOOKUP(CONCATENATE(H311,F311,EP$2),Matemáticas!$A:$H,7,FALSE)=BD311,1,0)</f>
        <v>#N/A</v>
      </c>
      <c r="EQ311" s="138" t="e">
        <f>IF(VLOOKUP(CONCATENATE(H311,F311,EQ$2),Matemáticas!$A:$H,7,FALSE)=BE311,1,0)</f>
        <v>#N/A</v>
      </c>
      <c r="ER311" s="138" t="e">
        <f>IF(VLOOKUP(CONCATENATE(H311,F311,ER$2),Matemáticas!$A:$H,7,FALSE)=BF311,1,0)</f>
        <v>#N/A</v>
      </c>
      <c r="ES311" s="138" t="e">
        <f>IF(VLOOKUP(CONCATENATE(H311,F311,ES$2),Matemáticas!$A:$H,7,FALSE)=BG311,1,0)</f>
        <v>#N/A</v>
      </c>
      <c r="ET311" s="138" t="e">
        <f>IF(VLOOKUP(CONCATENATE(H311,F311,ET$2),Matemáticas!$A:$H,7,FALSE)=BH311,1,0)</f>
        <v>#N/A</v>
      </c>
      <c r="EU311" s="138" t="e">
        <f>IF(VLOOKUP(CONCATENATE(H311,F311,EU$2),Matemáticas!$A:$H,7,FALSE)=BI311,1,0)</f>
        <v>#N/A</v>
      </c>
      <c r="EV311" s="138" t="e">
        <f>IF(VLOOKUP(CONCATENATE(H311,F311,EV$2),Ciencias!$A:$H,7,FALSE)=BJ311,1,0)</f>
        <v>#N/A</v>
      </c>
      <c r="EW311" s="138" t="e">
        <f>IF(VLOOKUP(CONCATENATE(H311,F311,EW$2),Ciencias!$A:$H,7,FALSE)=BK311,1,0)</f>
        <v>#N/A</v>
      </c>
      <c r="EX311" s="138" t="e">
        <f>IF(VLOOKUP(CONCATENATE(H311,F311,EX$2),Ciencias!$A:$H,7,FALSE)=BL311,1,0)</f>
        <v>#N/A</v>
      </c>
      <c r="EY311" s="138" t="e">
        <f>IF(VLOOKUP(CONCATENATE(H311,F311,EY$2),Ciencias!$A:$H,7,FALSE)=BM311,1,0)</f>
        <v>#N/A</v>
      </c>
      <c r="EZ311" s="138" t="e">
        <f>IF(VLOOKUP(CONCATENATE(H311,F311,EZ$2),Ciencias!$A:$H,7,FALSE)=BN311,1,0)</f>
        <v>#N/A</v>
      </c>
      <c r="FA311" s="138" t="e">
        <f>IF(VLOOKUP(CONCATENATE(H311,F311,FA$2),Ciencias!$A:$H,7,FALSE)=BO311,1,0)</f>
        <v>#N/A</v>
      </c>
      <c r="FB311" s="138" t="e">
        <f>IF(VLOOKUP(CONCATENATE(H311,F311,FB$2),Ciencias!$A:$H,7,FALSE)=BP311,1,0)</f>
        <v>#N/A</v>
      </c>
      <c r="FC311" s="138" t="e">
        <f>IF(VLOOKUP(CONCATENATE(H311,F311,FC$2),Ciencias!$A:$H,7,FALSE)=BQ311,1,0)</f>
        <v>#N/A</v>
      </c>
      <c r="FD311" s="138" t="e">
        <f>IF(VLOOKUP(CONCATENATE(H311,F311,FD$2),Ciencias!$A:$H,7,FALSE)=BR311,1,0)</f>
        <v>#N/A</v>
      </c>
      <c r="FE311" s="138" t="e">
        <f>IF(VLOOKUP(CONCATENATE(H311,F311,FE$2),Ciencias!$A:$H,7,FALSE)=BS311,1,0)</f>
        <v>#N/A</v>
      </c>
      <c r="FF311" s="138" t="e">
        <f>IF(VLOOKUP(CONCATENATE(H311,F311,FF$2),Ciencias!$A:$H,7,FALSE)=BT311,1,0)</f>
        <v>#N/A</v>
      </c>
      <c r="FG311" s="138" t="e">
        <f>IF(VLOOKUP(CONCATENATE(H311,F311,FG$2),Ciencias!$A:$H,7,FALSE)=BU311,1,0)</f>
        <v>#N/A</v>
      </c>
      <c r="FH311" s="138" t="e">
        <f>IF(VLOOKUP(CONCATENATE(H311,F311,FH$2),Ciencias!$A:$H,7,FALSE)=BV311,1,0)</f>
        <v>#N/A</v>
      </c>
      <c r="FI311" s="138" t="e">
        <f>IF(VLOOKUP(CONCATENATE(H311,F311,FI$2),Ciencias!$A:$H,7,FALSE)=BW311,1,0)</f>
        <v>#N/A</v>
      </c>
      <c r="FJ311" s="138" t="e">
        <f>IF(VLOOKUP(CONCATENATE(H311,F311,FJ$2),Ciencias!$A:$H,7,FALSE)=BX311,1,0)</f>
        <v>#N/A</v>
      </c>
      <c r="FK311" s="138" t="e">
        <f>IF(VLOOKUP(CONCATENATE(H311,F311,FK$2),Ciencias!$A:$H,7,FALSE)=BY311,1,0)</f>
        <v>#N/A</v>
      </c>
      <c r="FL311" s="138" t="e">
        <f>IF(VLOOKUP(CONCATENATE(H311,F311,FL$2),Ciencias!$A:$H,7,FALSE)=BZ311,1,0)</f>
        <v>#N/A</v>
      </c>
      <c r="FM311" s="138" t="e">
        <f>IF(VLOOKUP(CONCATENATE(H311,F311,FM$2),Ciencias!$A:$H,7,FALSE)=CA311,1,0)</f>
        <v>#N/A</v>
      </c>
      <c r="FN311" s="138" t="e">
        <f>IF(VLOOKUP(CONCATENATE(H311,F311,FN$2),Ciencias!$A:$H,7,FALSE)=CB311,1,0)</f>
        <v>#N/A</v>
      </c>
      <c r="FO311" s="138" t="e">
        <f>IF(VLOOKUP(CONCATENATE(H311,F311,FO$2),Ciencias!$A:$H,7,FALSE)=CC311,1,0)</f>
        <v>#N/A</v>
      </c>
      <c r="FP311" s="138" t="e">
        <f>IF(VLOOKUP(CONCATENATE(H311,F311,FP$2),GeoHis!$A:$H,7,FALSE)=CD311,1,0)</f>
        <v>#N/A</v>
      </c>
      <c r="FQ311" s="138" t="e">
        <f>IF(VLOOKUP(CONCATENATE(H311,F311,FQ$2),GeoHis!$A:$H,7,FALSE)=CE311,1,0)</f>
        <v>#N/A</v>
      </c>
      <c r="FR311" s="138" t="e">
        <f>IF(VLOOKUP(CONCATENATE(H311,F311,FR$2),GeoHis!$A:$H,7,FALSE)=CF311,1,0)</f>
        <v>#N/A</v>
      </c>
      <c r="FS311" s="138" t="e">
        <f>IF(VLOOKUP(CONCATENATE(H311,F311,FS$2),GeoHis!$A:$H,7,FALSE)=CG311,1,0)</f>
        <v>#N/A</v>
      </c>
      <c r="FT311" s="138" t="e">
        <f>IF(VLOOKUP(CONCATENATE(H311,F311,FT$2),GeoHis!$A:$H,7,FALSE)=CH311,1,0)</f>
        <v>#N/A</v>
      </c>
      <c r="FU311" s="138" t="e">
        <f>IF(VLOOKUP(CONCATENATE(H311,F311,FU$2),GeoHis!$A:$H,7,FALSE)=CI311,1,0)</f>
        <v>#N/A</v>
      </c>
      <c r="FV311" s="138" t="e">
        <f>IF(VLOOKUP(CONCATENATE(H311,F311,FV$2),GeoHis!$A:$H,7,FALSE)=CJ311,1,0)</f>
        <v>#N/A</v>
      </c>
      <c r="FW311" s="138" t="e">
        <f>IF(VLOOKUP(CONCATENATE(H311,F311,FW$2),GeoHis!$A:$H,7,FALSE)=CK311,1,0)</f>
        <v>#N/A</v>
      </c>
      <c r="FX311" s="138" t="e">
        <f>IF(VLOOKUP(CONCATENATE(H311,F311,FX$2),GeoHis!$A:$H,7,FALSE)=CL311,1,0)</f>
        <v>#N/A</v>
      </c>
      <c r="FY311" s="138" t="e">
        <f>IF(VLOOKUP(CONCATENATE(H311,F311,FY$2),GeoHis!$A:$H,7,FALSE)=CM311,1,0)</f>
        <v>#N/A</v>
      </c>
      <c r="FZ311" s="138" t="e">
        <f>IF(VLOOKUP(CONCATENATE(H311,F311,FZ$2),GeoHis!$A:$H,7,FALSE)=CN311,1,0)</f>
        <v>#N/A</v>
      </c>
      <c r="GA311" s="138" t="e">
        <f>IF(VLOOKUP(CONCATENATE(H311,F311,GA$2),GeoHis!$A:$H,7,FALSE)=CO311,1,0)</f>
        <v>#N/A</v>
      </c>
      <c r="GB311" s="138" t="e">
        <f>IF(VLOOKUP(CONCATENATE(H311,F311,GB$2),GeoHis!$A:$H,7,FALSE)=CP311,1,0)</f>
        <v>#N/A</v>
      </c>
      <c r="GC311" s="138" t="e">
        <f>IF(VLOOKUP(CONCATENATE(H311,F311,GC$2),GeoHis!$A:$H,7,FALSE)=CQ311,1,0)</f>
        <v>#N/A</v>
      </c>
      <c r="GD311" s="138" t="e">
        <f>IF(VLOOKUP(CONCATENATE(H311,F311,GD$2),GeoHis!$A:$H,7,FALSE)=CR311,1,0)</f>
        <v>#N/A</v>
      </c>
      <c r="GE311" s="135" t="str">
        <f t="shared" si="39"/>
        <v/>
      </c>
    </row>
    <row r="312" spans="1:187" x14ac:dyDescent="0.25">
      <c r="A312" s="127" t="str">
        <f>IF(C312="","",'Datos Generales'!$A$25)</f>
        <v/>
      </c>
      <c r="D312" s="126" t="str">
        <f t="shared" si="32"/>
        <v/>
      </c>
      <c r="E312" s="126">
        <f t="shared" si="33"/>
        <v>0</v>
      </c>
      <c r="F312" s="126" t="str">
        <f t="shared" si="34"/>
        <v/>
      </c>
      <c r="G312" s="126" t="str">
        <f>IF(C312="","",'Datos Generales'!$D$19)</f>
        <v/>
      </c>
      <c r="H312" s="21" t="str">
        <f>IF(C312="","",'Datos Generales'!$A$19)</f>
        <v/>
      </c>
      <c r="I312" s="126" t="str">
        <f>IF(C312="","",'Datos Generales'!$A$7)</f>
        <v/>
      </c>
      <c r="J312" s="21" t="str">
        <f>IF(C312="","",'Datos Generales'!$A$13)</f>
        <v/>
      </c>
      <c r="K312" s="21" t="str">
        <f>IF(C312="","",'Datos Generales'!$A$10)</f>
        <v/>
      </c>
      <c r="CS312" s="142" t="str">
        <f t="shared" si="35"/>
        <v/>
      </c>
      <c r="CT312" s="142" t="str">
        <f t="shared" si="36"/>
        <v/>
      </c>
      <c r="CU312" s="142" t="str">
        <f t="shared" si="37"/>
        <v/>
      </c>
      <c r="CV312" s="142" t="str">
        <f t="shared" si="38"/>
        <v/>
      </c>
      <c r="CW312" s="142" t="str">
        <f>IF(C312="","",IF('Datos Generales'!$A$19=1,AVERAGE(FP312:GD312),AVERAGE(Captura!FP312:FY312)))</f>
        <v/>
      </c>
      <c r="CX312" s="138" t="e">
        <f>IF(VLOOKUP(CONCATENATE($H$4,$F$4,CX$2),Español!$A:$H,7,FALSE)=L312,1,0)</f>
        <v>#N/A</v>
      </c>
      <c r="CY312" s="138" t="e">
        <f>IF(VLOOKUP(CONCATENATE(H312,F312,CY$2),Español!$A:$H,7,FALSE)=M312,1,0)</f>
        <v>#N/A</v>
      </c>
      <c r="CZ312" s="138" t="e">
        <f>IF(VLOOKUP(CONCATENATE(H312,F312,CZ$2),Español!$A:$H,7,FALSE)=N312,1,0)</f>
        <v>#N/A</v>
      </c>
      <c r="DA312" s="138" t="e">
        <f>IF(VLOOKUP(CONCATENATE(H312,F312,DA$2),Español!$A:$H,7,FALSE)=O312,1,0)</f>
        <v>#N/A</v>
      </c>
      <c r="DB312" s="138" t="e">
        <f>IF(VLOOKUP(CONCATENATE(H312,F312,DB$2),Español!$A:$H,7,FALSE)=P312,1,0)</f>
        <v>#N/A</v>
      </c>
      <c r="DC312" s="138" t="e">
        <f>IF(VLOOKUP(CONCATENATE(H312,F312,DC$2),Español!$A:$H,7,FALSE)=Q312,1,0)</f>
        <v>#N/A</v>
      </c>
      <c r="DD312" s="138" t="e">
        <f>IF(VLOOKUP(CONCATENATE(H312,F312,DD$2),Español!$A:$H,7,FALSE)=R312,1,0)</f>
        <v>#N/A</v>
      </c>
      <c r="DE312" s="138" t="e">
        <f>IF(VLOOKUP(CONCATENATE(H312,F312,DE$2),Español!$A:$H,7,FALSE)=S312,1,0)</f>
        <v>#N/A</v>
      </c>
      <c r="DF312" s="138" t="e">
        <f>IF(VLOOKUP(CONCATENATE(H312,F312,DF$2),Español!$A:$H,7,FALSE)=T312,1,0)</f>
        <v>#N/A</v>
      </c>
      <c r="DG312" s="138" t="e">
        <f>IF(VLOOKUP(CONCATENATE(H312,F312,DG$2),Español!$A:$H,7,FALSE)=U312,1,0)</f>
        <v>#N/A</v>
      </c>
      <c r="DH312" s="138" t="e">
        <f>IF(VLOOKUP(CONCATENATE(H312,F312,DH$2),Español!$A:$H,7,FALSE)=V312,1,0)</f>
        <v>#N/A</v>
      </c>
      <c r="DI312" s="138" t="e">
        <f>IF(VLOOKUP(CONCATENATE(H312,F312,DI$2),Español!$A:$H,7,FALSE)=W312,1,0)</f>
        <v>#N/A</v>
      </c>
      <c r="DJ312" s="138" t="e">
        <f>IF(VLOOKUP(CONCATENATE(H312,F312,DJ$2),Español!$A:$H,7,FALSE)=X312,1,0)</f>
        <v>#N/A</v>
      </c>
      <c r="DK312" s="138" t="e">
        <f>IF(VLOOKUP(CONCATENATE(H312,F312,DK$2),Español!$A:$H,7,FALSE)=Y312,1,0)</f>
        <v>#N/A</v>
      </c>
      <c r="DL312" s="138" t="e">
        <f>IF(VLOOKUP(CONCATENATE(H312,F312,DL$2),Español!$A:$H,7,FALSE)=Z312,1,0)</f>
        <v>#N/A</v>
      </c>
      <c r="DM312" s="138" t="e">
        <f>IF(VLOOKUP(CONCATENATE(H312,F312,DM$2),Español!$A:$H,7,FALSE)=AA312,1,0)</f>
        <v>#N/A</v>
      </c>
      <c r="DN312" s="138" t="e">
        <f>IF(VLOOKUP(CONCATENATE(H312,F312,DN$2),Español!$A:$H,7,FALSE)=AB312,1,0)</f>
        <v>#N/A</v>
      </c>
      <c r="DO312" s="138" t="e">
        <f>IF(VLOOKUP(CONCATENATE(H312,F312,DO$2),Español!$A:$H,7,FALSE)=AC312,1,0)</f>
        <v>#N/A</v>
      </c>
      <c r="DP312" s="138" t="e">
        <f>IF(VLOOKUP(CONCATENATE(H312,F312,DP$2),Español!$A:$H,7,FALSE)=AD312,1,0)</f>
        <v>#N/A</v>
      </c>
      <c r="DQ312" s="138" t="e">
        <f>IF(VLOOKUP(CONCATENATE(H312,F312,DQ$2),Español!$A:$H,7,FALSE)=AE312,1,0)</f>
        <v>#N/A</v>
      </c>
      <c r="DR312" s="138" t="e">
        <f>IF(VLOOKUP(CONCATENATE(H312,F312,DR$2),Inglés!$A:$H,7,FALSE)=AF312,1,0)</f>
        <v>#N/A</v>
      </c>
      <c r="DS312" s="138" t="e">
        <f>IF(VLOOKUP(CONCATENATE(H312,F312,DS$2),Inglés!$A:$H,7,FALSE)=AG312,1,0)</f>
        <v>#N/A</v>
      </c>
      <c r="DT312" s="138" t="e">
        <f>IF(VLOOKUP(CONCATENATE(H312,F312,DT$2),Inglés!$A:$H,7,FALSE)=AH312,1,0)</f>
        <v>#N/A</v>
      </c>
      <c r="DU312" s="138" t="e">
        <f>IF(VLOOKUP(CONCATENATE(H312,F312,DU$2),Inglés!$A:$H,7,FALSE)=AI312,1,0)</f>
        <v>#N/A</v>
      </c>
      <c r="DV312" s="138" t="e">
        <f>IF(VLOOKUP(CONCATENATE(H312,F312,DV$2),Inglés!$A:$H,7,FALSE)=AJ312,1,0)</f>
        <v>#N/A</v>
      </c>
      <c r="DW312" s="138" t="e">
        <f>IF(VLOOKUP(CONCATENATE(H312,F312,DW$2),Inglés!$A:$H,7,FALSE)=AK312,1,0)</f>
        <v>#N/A</v>
      </c>
      <c r="DX312" s="138" t="e">
        <f>IF(VLOOKUP(CONCATENATE(H312,F312,DX$2),Inglés!$A:$H,7,FALSE)=AL312,1,0)</f>
        <v>#N/A</v>
      </c>
      <c r="DY312" s="138" t="e">
        <f>IF(VLOOKUP(CONCATENATE(H312,F312,DY$2),Inglés!$A:$H,7,FALSE)=AM312,1,0)</f>
        <v>#N/A</v>
      </c>
      <c r="DZ312" s="138" t="e">
        <f>IF(VLOOKUP(CONCATENATE(H312,F312,DZ$2),Inglés!$A:$H,7,FALSE)=AN312,1,0)</f>
        <v>#N/A</v>
      </c>
      <c r="EA312" s="138" t="e">
        <f>IF(VLOOKUP(CONCATENATE(H312,F312,EA$2),Inglés!$A:$H,7,FALSE)=AO312,1,0)</f>
        <v>#N/A</v>
      </c>
      <c r="EB312" s="138" t="e">
        <f>IF(VLOOKUP(CONCATENATE(H312,F312,EB$2),Matemáticas!$A:$H,7,FALSE)=AP312,1,0)</f>
        <v>#N/A</v>
      </c>
      <c r="EC312" s="138" t="e">
        <f>IF(VLOOKUP(CONCATENATE(H312,F312,EC$2),Matemáticas!$A:$H,7,FALSE)=AQ312,1,0)</f>
        <v>#N/A</v>
      </c>
      <c r="ED312" s="138" t="e">
        <f>IF(VLOOKUP(CONCATENATE(H312,F312,ED$2),Matemáticas!$A:$H,7,FALSE)=AR312,1,0)</f>
        <v>#N/A</v>
      </c>
      <c r="EE312" s="138" t="e">
        <f>IF(VLOOKUP(CONCATENATE(H312,F312,EE$2),Matemáticas!$A:$H,7,FALSE)=AS312,1,0)</f>
        <v>#N/A</v>
      </c>
      <c r="EF312" s="138" t="e">
        <f>IF(VLOOKUP(CONCATENATE(H312,F312,EF$2),Matemáticas!$A:$H,7,FALSE)=AT312,1,0)</f>
        <v>#N/A</v>
      </c>
      <c r="EG312" s="138" t="e">
        <f>IF(VLOOKUP(CONCATENATE(H312,F312,EG$2),Matemáticas!$A:$H,7,FALSE)=AU312,1,0)</f>
        <v>#N/A</v>
      </c>
      <c r="EH312" s="138" t="e">
        <f>IF(VLOOKUP(CONCATENATE(H312,F312,EH$2),Matemáticas!$A:$H,7,FALSE)=AV312,1,0)</f>
        <v>#N/A</v>
      </c>
      <c r="EI312" s="138" t="e">
        <f>IF(VLOOKUP(CONCATENATE(H312,F312,EI$2),Matemáticas!$A:$H,7,FALSE)=AW312,1,0)</f>
        <v>#N/A</v>
      </c>
      <c r="EJ312" s="138" t="e">
        <f>IF(VLOOKUP(CONCATENATE(H312,F312,EJ$2),Matemáticas!$A:$H,7,FALSE)=AX312,1,0)</f>
        <v>#N/A</v>
      </c>
      <c r="EK312" s="138" t="e">
        <f>IF(VLOOKUP(CONCATENATE(H312,F312,EK$2),Matemáticas!$A:$H,7,FALSE)=AY312,1,0)</f>
        <v>#N/A</v>
      </c>
      <c r="EL312" s="138" t="e">
        <f>IF(VLOOKUP(CONCATENATE(H312,F312,EL$2),Matemáticas!$A:$H,7,FALSE)=AZ312,1,0)</f>
        <v>#N/A</v>
      </c>
      <c r="EM312" s="138" t="e">
        <f>IF(VLOOKUP(CONCATENATE(H312,F312,EM$2),Matemáticas!$A:$H,7,FALSE)=BA312,1,0)</f>
        <v>#N/A</v>
      </c>
      <c r="EN312" s="138" t="e">
        <f>IF(VLOOKUP(CONCATENATE(H312,F312,EN$2),Matemáticas!$A:$H,7,FALSE)=BB312,1,0)</f>
        <v>#N/A</v>
      </c>
      <c r="EO312" s="138" t="e">
        <f>IF(VLOOKUP(CONCATENATE(H312,F312,EO$2),Matemáticas!$A:$H,7,FALSE)=BC312,1,0)</f>
        <v>#N/A</v>
      </c>
      <c r="EP312" s="138" t="e">
        <f>IF(VLOOKUP(CONCATENATE(H312,F312,EP$2),Matemáticas!$A:$H,7,FALSE)=BD312,1,0)</f>
        <v>#N/A</v>
      </c>
      <c r="EQ312" s="138" t="e">
        <f>IF(VLOOKUP(CONCATENATE(H312,F312,EQ$2),Matemáticas!$A:$H,7,FALSE)=BE312,1,0)</f>
        <v>#N/A</v>
      </c>
      <c r="ER312" s="138" t="e">
        <f>IF(VLOOKUP(CONCATENATE(H312,F312,ER$2),Matemáticas!$A:$H,7,FALSE)=BF312,1,0)</f>
        <v>#N/A</v>
      </c>
      <c r="ES312" s="138" t="e">
        <f>IF(VLOOKUP(CONCATENATE(H312,F312,ES$2),Matemáticas!$A:$H,7,FALSE)=BG312,1,0)</f>
        <v>#N/A</v>
      </c>
      <c r="ET312" s="138" t="e">
        <f>IF(VLOOKUP(CONCATENATE(H312,F312,ET$2),Matemáticas!$A:$H,7,FALSE)=BH312,1,0)</f>
        <v>#N/A</v>
      </c>
      <c r="EU312" s="138" t="e">
        <f>IF(VLOOKUP(CONCATENATE(H312,F312,EU$2),Matemáticas!$A:$H,7,FALSE)=BI312,1,0)</f>
        <v>#N/A</v>
      </c>
      <c r="EV312" s="138" t="e">
        <f>IF(VLOOKUP(CONCATENATE(H312,F312,EV$2),Ciencias!$A:$H,7,FALSE)=BJ312,1,0)</f>
        <v>#N/A</v>
      </c>
      <c r="EW312" s="138" t="e">
        <f>IF(VLOOKUP(CONCATENATE(H312,F312,EW$2),Ciencias!$A:$H,7,FALSE)=BK312,1,0)</f>
        <v>#N/A</v>
      </c>
      <c r="EX312" s="138" t="e">
        <f>IF(VLOOKUP(CONCATENATE(H312,F312,EX$2),Ciencias!$A:$H,7,FALSE)=BL312,1,0)</f>
        <v>#N/A</v>
      </c>
      <c r="EY312" s="138" t="e">
        <f>IF(VLOOKUP(CONCATENATE(H312,F312,EY$2),Ciencias!$A:$H,7,FALSE)=BM312,1,0)</f>
        <v>#N/A</v>
      </c>
      <c r="EZ312" s="138" t="e">
        <f>IF(VLOOKUP(CONCATENATE(H312,F312,EZ$2),Ciencias!$A:$H,7,FALSE)=BN312,1,0)</f>
        <v>#N/A</v>
      </c>
      <c r="FA312" s="138" t="e">
        <f>IF(VLOOKUP(CONCATENATE(H312,F312,FA$2),Ciencias!$A:$H,7,FALSE)=BO312,1,0)</f>
        <v>#N/A</v>
      </c>
      <c r="FB312" s="138" t="e">
        <f>IF(VLOOKUP(CONCATENATE(H312,F312,FB$2),Ciencias!$A:$H,7,FALSE)=BP312,1,0)</f>
        <v>#N/A</v>
      </c>
      <c r="FC312" s="138" t="e">
        <f>IF(VLOOKUP(CONCATENATE(H312,F312,FC$2),Ciencias!$A:$H,7,FALSE)=BQ312,1,0)</f>
        <v>#N/A</v>
      </c>
      <c r="FD312" s="138" t="e">
        <f>IF(VLOOKUP(CONCATENATE(H312,F312,FD$2),Ciencias!$A:$H,7,FALSE)=BR312,1,0)</f>
        <v>#N/A</v>
      </c>
      <c r="FE312" s="138" t="e">
        <f>IF(VLOOKUP(CONCATENATE(H312,F312,FE$2),Ciencias!$A:$H,7,FALSE)=BS312,1,0)</f>
        <v>#N/A</v>
      </c>
      <c r="FF312" s="138" t="e">
        <f>IF(VLOOKUP(CONCATENATE(H312,F312,FF$2),Ciencias!$A:$H,7,FALSE)=BT312,1,0)</f>
        <v>#N/A</v>
      </c>
      <c r="FG312" s="138" t="e">
        <f>IF(VLOOKUP(CONCATENATE(H312,F312,FG$2),Ciencias!$A:$H,7,FALSE)=BU312,1,0)</f>
        <v>#N/A</v>
      </c>
      <c r="FH312" s="138" t="e">
        <f>IF(VLOOKUP(CONCATENATE(H312,F312,FH$2),Ciencias!$A:$H,7,FALSE)=BV312,1,0)</f>
        <v>#N/A</v>
      </c>
      <c r="FI312" s="138" t="e">
        <f>IF(VLOOKUP(CONCATENATE(H312,F312,FI$2),Ciencias!$A:$H,7,FALSE)=BW312,1,0)</f>
        <v>#N/A</v>
      </c>
      <c r="FJ312" s="138" t="e">
        <f>IF(VLOOKUP(CONCATENATE(H312,F312,FJ$2),Ciencias!$A:$H,7,FALSE)=BX312,1,0)</f>
        <v>#N/A</v>
      </c>
      <c r="FK312" s="138" t="e">
        <f>IF(VLOOKUP(CONCATENATE(H312,F312,FK$2),Ciencias!$A:$H,7,FALSE)=BY312,1,0)</f>
        <v>#N/A</v>
      </c>
      <c r="FL312" s="138" t="e">
        <f>IF(VLOOKUP(CONCATENATE(H312,F312,FL$2),Ciencias!$A:$H,7,FALSE)=BZ312,1,0)</f>
        <v>#N/A</v>
      </c>
      <c r="FM312" s="138" t="e">
        <f>IF(VLOOKUP(CONCATENATE(H312,F312,FM$2),Ciencias!$A:$H,7,FALSE)=CA312,1,0)</f>
        <v>#N/A</v>
      </c>
      <c r="FN312" s="138" t="e">
        <f>IF(VLOOKUP(CONCATENATE(H312,F312,FN$2),Ciencias!$A:$H,7,FALSE)=CB312,1,0)</f>
        <v>#N/A</v>
      </c>
      <c r="FO312" s="138" t="e">
        <f>IF(VLOOKUP(CONCATENATE(H312,F312,FO$2),Ciencias!$A:$H,7,FALSE)=CC312,1,0)</f>
        <v>#N/A</v>
      </c>
      <c r="FP312" s="138" t="e">
        <f>IF(VLOOKUP(CONCATENATE(H312,F312,FP$2),GeoHis!$A:$H,7,FALSE)=CD312,1,0)</f>
        <v>#N/A</v>
      </c>
      <c r="FQ312" s="138" t="e">
        <f>IF(VLOOKUP(CONCATENATE(H312,F312,FQ$2),GeoHis!$A:$H,7,FALSE)=CE312,1,0)</f>
        <v>#N/A</v>
      </c>
      <c r="FR312" s="138" t="e">
        <f>IF(VLOOKUP(CONCATENATE(H312,F312,FR$2),GeoHis!$A:$H,7,FALSE)=CF312,1,0)</f>
        <v>#N/A</v>
      </c>
      <c r="FS312" s="138" t="e">
        <f>IF(VLOOKUP(CONCATENATE(H312,F312,FS$2),GeoHis!$A:$H,7,FALSE)=CG312,1,0)</f>
        <v>#N/A</v>
      </c>
      <c r="FT312" s="138" t="e">
        <f>IF(VLOOKUP(CONCATENATE(H312,F312,FT$2),GeoHis!$A:$H,7,FALSE)=CH312,1,0)</f>
        <v>#N/A</v>
      </c>
      <c r="FU312" s="138" t="e">
        <f>IF(VLOOKUP(CONCATENATE(H312,F312,FU$2),GeoHis!$A:$H,7,FALSE)=CI312,1,0)</f>
        <v>#N/A</v>
      </c>
      <c r="FV312" s="138" t="e">
        <f>IF(VLOOKUP(CONCATENATE(H312,F312,FV$2),GeoHis!$A:$H,7,FALSE)=CJ312,1,0)</f>
        <v>#N/A</v>
      </c>
      <c r="FW312" s="138" t="e">
        <f>IF(VLOOKUP(CONCATENATE(H312,F312,FW$2),GeoHis!$A:$H,7,FALSE)=CK312,1,0)</f>
        <v>#N/A</v>
      </c>
      <c r="FX312" s="138" t="e">
        <f>IF(VLOOKUP(CONCATENATE(H312,F312,FX$2),GeoHis!$A:$H,7,FALSE)=CL312,1,0)</f>
        <v>#N/A</v>
      </c>
      <c r="FY312" s="138" t="e">
        <f>IF(VLOOKUP(CONCATENATE(H312,F312,FY$2),GeoHis!$A:$H,7,FALSE)=CM312,1,0)</f>
        <v>#N/A</v>
      </c>
      <c r="FZ312" s="138" t="e">
        <f>IF(VLOOKUP(CONCATENATE(H312,F312,FZ$2),GeoHis!$A:$H,7,FALSE)=CN312,1,0)</f>
        <v>#N/A</v>
      </c>
      <c r="GA312" s="138" t="e">
        <f>IF(VLOOKUP(CONCATENATE(H312,F312,GA$2),GeoHis!$A:$H,7,FALSE)=CO312,1,0)</f>
        <v>#N/A</v>
      </c>
      <c r="GB312" s="138" t="e">
        <f>IF(VLOOKUP(CONCATENATE(H312,F312,GB$2),GeoHis!$A:$H,7,FALSE)=CP312,1,0)</f>
        <v>#N/A</v>
      </c>
      <c r="GC312" s="138" t="e">
        <f>IF(VLOOKUP(CONCATENATE(H312,F312,GC$2),GeoHis!$A:$H,7,FALSE)=CQ312,1,0)</f>
        <v>#N/A</v>
      </c>
      <c r="GD312" s="138" t="e">
        <f>IF(VLOOKUP(CONCATENATE(H312,F312,GD$2),GeoHis!$A:$H,7,FALSE)=CR312,1,0)</f>
        <v>#N/A</v>
      </c>
      <c r="GE312" s="135" t="str">
        <f t="shared" si="39"/>
        <v/>
      </c>
    </row>
    <row r="313" spans="1:187" x14ac:dyDescent="0.25">
      <c r="A313" s="127" t="str">
        <f>IF(C313="","",'Datos Generales'!$A$25)</f>
        <v/>
      </c>
      <c r="D313" s="126" t="str">
        <f t="shared" si="32"/>
        <v/>
      </c>
      <c r="E313" s="126">
        <f t="shared" si="33"/>
        <v>0</v>
      </c>
      <c r="F313" s="126" t="str">
        <f t="shared" si="34"/>
        <v/>
      </c>
      <c r="G313" s="126" t="str">
        <f>IF(C313="","",'Datos Generales'!$D$19)</f>
        <v/>
      </c>
      <c r="H313" s="21" t="str">
        <f>IF(C313="","",'Datos Generales'!$A$19)</f>
        <v/>
      </c>
      <c r="I313" s="126" t="str">
        <f>IF(C313="","",'Datos Generales'!$A$7)</f>
        <v/>
      </c>
      <c r="J313" s="21" t="str">
        <f>IF(C313="","",'Datos Generales'!$A$13)</f>
        <v/>
      </c>
      <c r="K313" s="21" t="str">
        <f>IF(C313="","",'Datos Generales'!$A$10)</f>
        <v/>
      </c>
      <c r="CS313" s="142" t="str">
        <f t="shared" si="35"/>
        <v/>
      </c>
      <c r="CT313" s="142" t="str">
        <f t="shared" si="36"/>
        <v/>
      </c>
      <c r="CU313" s="142" t="str">
        <f t="shared" si="37"/>
        <v/>
      </c>
      <c r="CV313" s="142" t="str">
        <f t="shared" si="38"/>
        <v/>
      </c>
      <c r="CW313" s="142" t="str">
        <f>IF(C313="","",IF('Datos Generales'!$A$19=1,AVERAGE(FP313:GD313),AVERAGE(Captura!FP313:FY313)))</f>
        <v/>
      </c>
      <c r="CX313" s="138" t="e">
        <f>IF(VLOOKUP(CONCATENATE($H$4,$F$4,CX$2),Español!$A:$H,7,FALSE)=L313,1,0)</f>
        <v>#N/A</v>
      </c>
      <c r="CY313" s="138" t="e">
        <f>IF(VLOOKUP(CONCATENATE(H313,F313,CY$2),Español!$A:$H,7,FALSE)=M313,1,0)</f>
        <v>#N/A</v>
      </c>
      <c r="CZ313" s="138" t="e">
        <f>IF(VLOOKUP(CONCATENATE(H313,F313,CZ$2),Español!$A:$H,7,FALSE)=N313,1,0)</f>
        <v>#N/A</v>
      </c>
      <c r="DA313" s="138" t="e">
        <f>IF(VLOOKUP(CONCATENATE(H313,F313,DA$2),Español!$A:$H,7,FALSE)=O313,1,0)</f>
        <v>#N/A</v>
      </c>
      <c r="DB313" s="138" t="e">
        <f>IF(VLOOKUP(CONCATENATE(H313,F313,DB$2),Español!$A:$H,7,FALSE)=P313,1,0)</f>
        <v>#N/A</v>
      </c>
      <c r="DC313" s="138" t="e">
        <f>IF(VLOOKUP(CONCATENATE(H313,F313,DC$2),Español!$A:$H,7,FALSE)=Q313,1,0)</f>
        <v>#N/A</v>
      </c>
      <c r="DD313" s="138" t="e">
        <f>IF(VLOOKUP(CONCATENATE(H313,F313,DD$2),Español!$A:$H,7,FALSE)=R313,1,0)</f>
        <v>#N/A</v>
      </c>
      <c r="DE313" s="138" t="e">
        <f>IF(VLOOKUP(CONCATENATE(H313,F313,DE$2),Español!$A:$H,7,FALSE)=S313,1,0)</f>
        <v>#N/A</v>
      </c>
      <c r="DF313" s="138" t="e">
        <f>IF(VLOOKUP(CONCATENATE(H313,F313,DF$2),Español!$A:$H,7,FALSE)=T313,1,0)</f>
        <v>#N/A</v>
      </c>
      <c r="DG313" s="138" t="e">
        <f>IF(VLOOKUP(CONCATENATE(H313,F313,DG$2),Español!$A:$H,7,FALSE)=U313,1,0)</f>
        <v>#N/A</v>
      </c>
      <c r="DH313" s="138" t="e">
        <f>IF(VLOOKUP(CONCATENATE(H313,F313,DH$2),Español!$A:$H,7,FALSE)=V313,1,0)</f>
        <v>#N/A</v>
      </c>
      <c r="DI313" s="138" t="e">
        <f>IF(VLOOKUP(CONCATENATE(H313,F313,DI$2),Español!$A:$H,7,FALSE)=W313,1,0)</f>
        <v>#N/A</v>
      </c>
      <c r="DJ313" s="138" t="e">
        <f>IF(VLOOKUP(CONCATENATE(H313,F313,DJ$2),Español!$A:$H,7,FALSE)=X313,1,0)</f>
        <v>#N/A</v>
      </c>
      <c r="DK313" s="138" t="e">
        <f>IF(VLOOKUP(CONCATENATE(H313,F313,DK$2),Español!$A:$H,7,FALSE)=Y313,1,0)</f>
        <v>#N/A</v>
      </c>
      <c r="DL313" s="138" t="e">
        <f>IF(VLOOKUP(CONCATENATE(H313,F313,DL$2),Español!$A:$H,7,FALSE)=Z313,1,0)</f>
        <v>#N/A</v>
      </c>
      <c r="DM313" s="138" t="e">
        <f>IF(VLOOKUP(CONCATENATE(H313,F313,DM$2),Español!$A:$H,7,FALSE)=AA313,1,0)</f>
        <v>#N/A</v>
      </c>
      <c r="DN313" s="138" t="e">
        <f>IF(VLOOKUP(CONCATENATE(H313,F313,DN$2),Español!$A:$H,7,FALSE)=AB313,1,0)</f>
        <v>#N/A</v>
      </c>
      <c r="DO313" s="138" t="e">
        <f>IF(VLOOKUP(CONCATENATE(H313,F313,DO$2),Español!$A:$H,7,FALSE)=AC313,1,0)</f>
        <v>#N/A</v>
      </c>
      <c r="DP313" s="138" t="e">
        <f>IF(VLOOKUP(CONCATENATE(H313,F313,DP$2),Español!$A:$H,7,FALSE)=AD313,1,0)</f>
        <v>#N/A</v>
      </c>
      <c r="DQ313" s="138" t="e">
        <f>IF(VLOOKUP(CONCATENATE(H313,F313,DQ$2),Español!$A:$H,7,FALSE)=AE313,1,0)</f>
        <v>#N/A</v>
      </c>
      <c r="DR313" s="138" t="e">
        <f>IF(VLOOKUP(CONCATENATE(H313,F313,DR$2),Inglés!$A:$H,7,FALSE)=AF313,1,0)</f>
        <v>#N/A</v>
      </c>
      <c r="DS313" s="138" t="e">
        <f>IF(VLOOKUP(CONCATENATE(H313,F313,DS$2),Inglés!$A:$H,7,FALSE)=AG313,1,0)</f>
        <v>#N/A</v>
      </c>
      <c r="DT313" s="138" t="e">
        <f>IF(VLOOKUP(CONCATENATE(H313,F313,DT$2),Inglés!$A:$H,7,FALSE)=AH313,1,0)</f>
        <v>#N/A</v>
      </c>
      <c r="DU313" s="138" t="e">
        <f>IF(VLOOKUP(CONCATENATE(H313,F313,DU$2),Inglés!$A:$H,7,FALSE)=AI313,1,0)</f>
        <v>#N/A</v>
      </c>
      <c r="DV313" s="138" t="e">
        <f>IF(VLOOKUP(CONCATENATE(H313,F313,DV$2),Inglés!$A:$H,7,FALSE)=AJ313,1,0)</f>
        <v>#N/A</v>
      </c>
      <c r="DW313" s="138" t="e">
        <f>IF(VLOOKUP(CONCATENATE(H313,F313,DW$2),Inglés!$A:$H,7,FALSE)=AK313,1,0)</f>
        <v>#N/A</v>
      </c>
      <c r="DX313" s="138" t="e">
        <f>IF(VLOOKUP(CONCATENATE(H313,F313,DX$2),Inglés!$A:$H,7,FALSE)=AL313,1,0)</f>
        <v>#N/A</v>
      </c>
      <c r="DY313" s="138" t="e">
        <f>IF(VLOOKUP(CONCATENATE(H313,F313,DY$2),Inglés!$A:$H,7,FALSE)=AM313,1,0)</f>
        <v>#N/A</v>
      </c>
      <c r="DZ313" s="138" t="e">
        <f>IF(VLOOKUP(CONCATENATE(H313,F313,DZ$2),Inglés!$A:$H,7,FALSE)=AN313,1,0)</f>
        <v>#N/A</v>
      </c>
      <c r="EA313" s="138" t="e">
        <f>IF(VLOOKUP(CONCATENATE(H313,F313,EA$2),Inglés!$A:$H,7,FALSE)=AO313,1,0)</f>
        <v>#N/A</v>
      </c>
      <c r="EB313" s="138" t="e">
        <f>IF(VLOOKUP(CONCATENATE(H313,F313,EB$2),Matemáticas!$A:$H,7,FALSE)=AP313,1,0)</f>
        <v>#N/A</v>
      </c>
      <c r="EC313" s="138" t="e">
        <f>IF(VLOOKUP(CONCATENATE(H313,F313,EC$2),Matemáticas!$A:$H,7,FALSE)=AQ313,1,0)</f>
        <v>#N/A</v>
      </c>
      <c r="ED313" s="138" t="e">
        <f>IF(VLOOKUP(CONCATENATE(H313,F313,ED$2),Matemáticas!$A:$H,7,FALSE)=AR313,1,0)</f>
        <v>#N/A</v>
      </c>
      <c r="EE313" s="138" t="e">
        <f>IF(VLOOKUP(CONCATENATE(H313,F313,EE$2),Matemáticas!$A:$H,7,FALSE)=AS313,1,0)</f>
        <v>#N/A</v>
      </c>
      <c r="EF313" s="138" t="e">
        <f>IF(VLOOKUP(CONCATENATE(H313,F313,EF$2),Matemáticas!$A:$H,7,FALSE)=AT313,1,0)</f>
        <v>#N/A</v>
      </c>
      <c r="EG313" s="138" t="e">
        <f>IF(VLOOKUP(CONCATENATE(H313,F313,EG$2),Matemáticas!$A:$H,7,FALSE)=AU313,1,0)</f>
        <v>#N/A</v>
      </c>
      <c r="EH313" s="138" t="e">
        <f>IF(VLOOKUP(CONCATENATE(H313,F313,EH$2),Matemáticas!$A:$H,7,FALSE)=AV313,1,0)</f>
        <v>#N/A</v>
      </c>
      <c r="EI313" s="138" t="e">
        <f>IF(VLOOKUP(CONCATENATE(H313,F313,EI$2),Matemáticas!$A:$H,7,FALSE)=AW313,1,0)</f>
        <v>#N/A</v>
      </c>
      <c r="EJ313" s="138" t="e">
        <f>IF(VLOOKUP(CONCATENATE(H313,F313,EJ$2),Matemáticas!$A:$H,7,FALSE)=AX313,1,0)</f>
        <v>#N/A</v>
      </c>
      <c r="EK313" s="138" t="e">
        <f>IF(VLOOKUP(CONCATENATE(H313,F313,EK$2),Matemáticas!$A:$H,7,FALSE)=AY313,1,0)</f>
        <v>#N/A</v>
      </c>
      <c r="EL313" s="138" t="e">
        <f>IF(VLOOKUP(CONCATENATE(H313,F313,EL$2),Matemáticas!$A:$H,7,FALSE)=AZ313,1,0)</f>
        <v>#N/A</v>
      </c>
      <c r="EM313" s="138" t="e">
        <f>IF(VLOOKUP(CONCATENATE(H313,F313,EM$2),Matemáticas!$A:$H,7,FALSE)=BA313,1,0)</f>
        <v>#N/A</v>
      </c>
      <c r="EN313" s="138" t="e">
        <f>IF(VLOOKUP(CONCATENATE(H313,F313,EN$2),Matemáticas!$A:$H,7,FALSE)=BB313,1,0)</f>
        <v>#N/A</v>
      </c>
      <c r="EO313" s="138" t="e">
        <f>IF(VLOOKUP(CONCATENATE(H313,F313,EO$2),Matemáticas!$A:$H,7,FALSE)=BC313,1,0)</f>
        <v>#N/A</v>
      </c>
      <c r="EP313" s="138" t="e">
        <f>IF(VLOOKUP(CONCATENATE(H313,F313,EP$2),Matemáticas!$A:$H,7,FALSE)=BD313,1,0)</f>
        <v>#N/A</v>
      </c>
      <c r="EQ313" s="138" t="e">
        <f>IF(VLOOKUP(CONCATENATE(H313,F313,EQ$2),Matemáticas!$A:$H,7,FALSE)=BE313,1,0)</f>
        <v>#N/A</v>
      </c>
      <c r="ER313" s="138" t="e">
        <f>IF(VLOOKUP(CONCATENATE(H313,F313,ER$2),Matemáticas!$A:$H,7,FALSE)=BF313,1,0)</f>
        <v>#N/A</v>
      </c>
      <c r="ES313" s="138" t="e">
        <f>IF(VLOOKUP(CONCATENATE(H313,F313,ES$2),Matemáticas!$A:$H,7,FALSE)=BG313,1,0)</f>
        <v>#N/A</v>
      </c>
      <c r="ET313" s="138" t="e">
        <f>IF(VLOOKUP(CONCATENATE(H313,F313,ET$2),Matemáticas!$A:$H,7,FALSE)=BH313,1,0)</f>
        <v>#N/A</v>
      </c>
      <c r="EU313" s="138" t="e">
        <f>IF(VLOOKUP(CONCATENATE(H313,F313,EU$2),Matemáticas!$A:$H,7,FALSE)=BI313,1,0)</f>
        <v>#N/A</v>
      </c>
      <c r="EV313" s="138" t="e">
        <f>IF(VLOOKUP(CONCATENATE(H313,F313,EV$2),Ciencias!$A:$H,7,FALSE)=BJ313,1,0)</f>
        <v>#N/A</v>
      </c>
      <c r="EW313" s="138" t="e">
        <f>IF(VLOOKUP(CONCATENATE(H313,F313,EW$2),Ciencias!$A:$H,7,FALSE)=BK313,1,0)</f>
        <v>#N/A</v>
      </c>
      <c r="EX313" s="138" t="e">
        <f>IF(VLOOKUP(CONCATENATE(H313,F313,EX$2),Ciencias!$A:$H,7,FALSE)=BL313,1,0)</f>
        <v>#N/A</v>
      </c>
      <c r="EY313" s="138" t="e">
        <f>IF(VLOOKUP(CONCATENATE(H313,F313,EY$2),Ciencias!$A:$H,7,FALSE)=BM313,1,0)</f>
        <v>#N/A</v>
      </c>
      <c r="EZ313" s="138" t="e">
        <f>IF(VLOOKUP(CONCATENATE(H313,F313,EZ$2),Ciencias!$A:$H,7,FALSE)=BN313,1,0)</f>
        <v>#N/A</v>
      </c>
      <c r="FA313" s="138" t="e">
        <f>IF(VLOOKUP(CONCATENATE(H313,F313,FA$2),Ciencias!$A:$H,7,FALSE)=BO313,1,0)</f>
        <v>#N/A</v>
      </c>
      <c r="FB313" s="138" t="e">
        <f>IF(VLOOKUP(CONCATENATE(H313,F313,FB$2),Ciencias!$A:$H,7,FALSE)=BP313,1,0)</f>
        <v>#N/A</v>
      </c>
      <c r="FC313" s="138" t="e">
        <f>IF(VLOOKUP(CONCATENATE(H313,F313,FC$2),Ciencias!$A:$H,7,FALSE)=BQ313,1,0)</f>
        <v>#N/A</v>
      </c>
      <c r="FD313" s="138" t="e">
        <f>IF(VLOOKUP(CONCATENATE(H313,F313,FD$2),Ciencias!$A:$H,7,FALSE)=BR313,1,0)</f>
        <v>#N/A</v>
      </c>
      <c r="FE313" s="138" t="e">
        <f>IF(VLOOKUP(CONCATENATE(H313,F313,FE$2),Ciencias!$A:$H,7,FALSE)=BS313,1,0)</f>
        <v>#N/A</v>
      </c>
      <c r="FF313" s="138" t="e">
        <f>IF(VLOOKUP(CONCATENATE(H313,F313,FF$2),Ciencias!$A:$H,7,FALSE)=BT313,1,0)</f>
        <v>#N/A</v>
      </c>
      <c r="FG313" s="138" t="e">
        <f>IF(VLOOKUP(CONCATENATE(H313,F313,FG$2),Ciencias!$A:$H,7,FALSE)=BU313,1,0)</f>
        <v>#N/A</v>
      </c>
      <c r="FH313" s="138" t="e">
        <f>IF(VLOOKUP(CONCATENATE(H313,F313,FH$2),Ciencias!$A:$H,7,FALSE)=BV313,1,0)</f>
        <v>#N/A</v>
      </c>
      <c r="FI313" s="138" t="e">
        <f>IF(VLOOKUP(CONCATENATE(H313,F313,FI$2),Ciencias!$A:$H,7,FALSE)=BW313,1,0)</f>
        <v>#N/A</v>
      </c>
      <c r="FJ313" s="138" t="e">
        <f>IF(VLOOKUP(CONCATENATE(H313,F313,FJ$2),Ciencias!$A:$H,7,FALSE)=BX313,1,0)</f>
        <v>#N/A</v>
      </c>
      <c r="FK313" s="138" t="e">
        <f>IF(VLOOKUP(CONCATENATE(H313,F313,FK$2),Ciencias!$A:$H,7,FALSE)=BY313,1,0)</f>
        <v>#N/A</v>
      </c>
      <c r="FL313" s="138" t="e">
        <f>IF(VLOOKUP(CONCATENATE(H313,F313,FL$2),Ciencias!$A:$H,7,FALSE)=BZ313,1,0)</f>
        <v>#N/A</v>
      </c>
      <c r="FM313" s="138" t="e">
        <f>IF(VLOOKUP(CONCATENATE(H313,F313,FM$2),Ciencias!$A:$H,7,FALSE)=CA313,1,0)</f>
        <v>#N/A</v>
      </c>
      <c r="FN313" s="138" t="e">
        <f>IF(VLOOKUP(CONCATENATE(H313,F313,FN$2),Ciencias!$A:$H,7,FALSE)=CB313,1,0)</f>
        <v>#N/A</v>
      </c>
      <c r="FO313" s="138" t="e">
        <f>IF(VLOOKUP(CONCATENATE(H313,F313,FO$2),Ciencias!$A:$H,7,FALSE)=CC313,1,0)</f>
        <v>#N/A</v>
      </c>
      <c r="FP313" s="138" t="e">
        <f>IF(VLOOKUP(CONCATENATE(H313,F313,FP$2),GeoHis!$A:$H,7,FALSE)=CD313,1,0)</f>
        <v>#N/A</v>
      </c>
      <c r="FQ313" s="138" t="e">
        <f>IF(VLOOKUP(CONCATENATE(H313,F313,FQ$2),GeoHis!$A:$H,7,FALSE)=CE313,1,0)</f>
        <v>#N/A</v>
      </c>
      <c r="FR313" s="138" t="e">
        <f>IF(VLOOKUP(CONCATENATE(H313,F313,FR$2),GeoHis!$A:$H,7,FALSE)=CF313,1,0)</f>
        <v>#N/A</v>
      </c>
      <c r="FS313" s="138" t="e">
        <f>IF(VLOOKUP(CONCATENATE(H313,F313,FS$2),GeoHis!$A:$H,7,FALSE)=CG313,1,0)</f>
        <v>#N/A</v>
      </c>
      <c r="FT313" s="138" t="e">
        <f>IF(VLOOKUP(CONCATENATE(H313,F313,FT$2),GeoHis!$A:$H,7,FALSE)=CH313,1,0)</f>
        <v>#N/A</v>
      </c>
      <c r="FU313" s="138" t="e">
        <f>IF(VLOOKUP(CONCATENATE(H313,F313,FU$2),GeoHis!$A:$H,7,FALSE)=CI313,1,0)</f>
        <v>#N/A</v>
      </c>
      <c r="FV313" s="138" t="e">
        <f>IF(VLOOKUP(CONCATENATE(H313,F313,FV$2),GeoHis!$A:$H,7,FALSE)=CJ313,1,0)</f>
        <v>#N/A</v>
      </c>
      <c r="FW313" s="138" t="e">
        <f>IF(VLOOKUP(CONCATENATE(H313,F313,FW$2),GeoHis!$A:$H,7,FALSE)=CK313,1,0)</f>
        <v>#N/A</v>
      </c>
      <c r="FX313" s="138" t="e">
        <f>IF(VLOOKUP(CONCATENATE(H313,F313,FX$2),GeoHis!$A:$H,7,FALSE)=CL313,1,0)</f>
        <v>#N/A</v>
      </c>
      <c r="FY313" s="138" t="e">
        <f>IF(VLOOKUP(CONCATENATE(H313,F313,FY$2),GeoHis!$A:$H,7,FALSE)=CM313,1,0)</f>
        <v>#N/A</v>
      </c>
      <c r="FZ313" s="138" t="e">
        <f>IF(VLOOKUP(CONCATENATE(H313,F313,FZ$2),GeoHis!$A:$H,7,FALSE)=CN313,1,0)</f>
        <v>#N/A</v>
      </c>
      <c r="GA313" s="138" t="e">
        <f>IF(VLOOKUP(CONCATENATE(H313,F313,GA$2),GeoHis!$A:$H,7,FALSE)=CO313,1,0)</f>
        <v>#N/A</v>
      </c>
      <c r="GB313" s="138" t="e">
        <f>IF(VLOOKUP(CONCATENATE(H313,F313,GB$2),GeoHis!$A:$H,7,FALSE)=CP313,1,0)</f>
        <v>#N/A</v>
      </c>
      <c r="GC313" s="138" t="e">
        <f>IF(VLOOKUP(CONCATENATE(H313,F313,GC$2),GeoHis!$A:$H,7,FALSE)=CQ313,1,0)</f>
        <v>#N/A</v>
      </c>
      <c r="GD313" s="138" t="e">
        <f>IF(VLOOKUP(CONCATENATE(H313,F313,GD$2),GeoHis!$A:$H,7,FALSE)=CR313,1,0)</f>
        <v>#N/A</v>
      </c>
      <c r="GE313" s="135" t="str">
        <f t="shared" si="39"/>
        <v/>
      </c>
    </row>
    <row r="314" spans="1:187" x14ac:dyDescent="0.25">
      <c r="A314" s="127" t="str">
        <f>IF(C314="","",'Datos Generales'!$A$25)</f>
        <v/>
      </c>
      <c r="D314" s="126" t="str">
        <f t="shared" si="32"/>
        <v/>
      </c>
      <c r="E314" s="126">
        <f t="shared" si="33"/>
        <v>0</v>
      </c>
      <c r="F314" s="126" t="str">
        <f t="shared" si="34"/>
        <v/>
      </c>
      <c r="G314" s="126" t="str">
        <f>IF(C314="","",'Datos Generales'!$D$19)</f>
        <v/>
      </c>
      <c r="H314" s="21" t="str">
        <f>IF(C314="","",'Datos Generales'!$A$19)</f>
        <v/>
      </c>
      <c r="I314" s="126" t="str">
        <f>IF(C314="","",'Datos Generales'!$A$7)</f>
        <v/>
      </c>
      <c r="J314" s="21" t="str">
        <f>IF(C314="","",'Datos Generales'!$A$13)</f>
        <v/>
      </c>
      <c r="K314" s="21" t="str">
        <f>IF(C314="","",'Datos Generales'!$A$10)</f>
        <v/>
      </c>
      <c r="CS314" s="142" t="str">
        <f t="shared" si="35"/>
        <v/>
      </c>
      <c r="CT314" s="142" t="str">
        <f t="shared" si="36"/>
        <v/>
      </c>
      <c r="CU314" s="142" t="str">
        <f t="shared" si="37"/>
        <v/>
      </c>
      <c r="CV314" s="142" t="str">
        <f t="shared" si="38"/>
        <v/>
      </c>
      <c r="CW314" s="142" t="str">
        <f>IF(C314="","",IF('Datos Generales'!$A$19=1,AVERAGE(FP314:GD314),AVERAGE(Captura!FP314:FY314)))</f>
        <v/>
      </c>
      <c r="CX314" s="138" t="e">
        <f>IF(VLOOKUP(CONCATENATE($H$4,$F$4,CX$2),Español!$A:$H,7,FALSE)=L314,1,0)</f>
        <v>#N/A</v>
      </c>
      <c r="CY314" s="138" t="e">
        <f>IF(VLOOKUP(CONCATENATE(H314,F314,CY$2),Español!$A:$H,7,FALSE)=M314,1,0)</f>
        <v>#N/A</v>
      </c>
      <c r="CZ314" s="138" t="e">
        <f>IF(VLOOKUP(CONCATENATE(H314,F314,CZ$2),Español!$A:$H,7,FALSE)=N314,1,0)</f>
        <v>#N/A</v>
      </c>
      <c r="DA314" s="138" t="e">
        <f>IF(VLOOKUP(CONCATENATE(H314,F314,DA$2),Español!$A:$H,7,FALSE)=O314,1,0)</f>
        <v>#N/A</v>
      </c>
      <c r="DB314" s="138" t="e">
        <f>IF(VLOOKUP(CONCATENATE(H314,F314,DB$2),Español!$A:$H,7,FALSE)=P314,1,0)</f>
        <v>#N/A</v>
      </c>
      <c r="DC314" s="138" t="e">
        <f>IF(VLOOKUP(CONCATENATE(H314,F314,DC$2),Español!$A:$H,7,FALSE)=Q314,1,0)</f>
        <v>#N/A</v>
      </c>
      <c r="DD314" s="138" t="e">
        <f>IF(VLOOKUP(CONCATENATE(H314,F314,DD$2),Español!$A:$H,7,FALSE)=R314,1,0)</f>
        <v>#N/A</v>
      </c>
      <c r="DE314" s="138" t="e">
        <f>IF(VLOOKUP(CONCATENATE(H314,F314,DE$2),Español!$A:$H,7,FALSE)=S314,1,0)</f>
        <v>#N/A</v>
      </c>
      <c r="DF314" s="138" t="e">
        <f>IF(VLOOKUP(CONCATENATE(H314,F314,DF$2),Español!$A:$H,7,FALSE)=T314,1,0)</f>
        <v>#N/A</v>
      </c>
      <c r="DG314" s="138" t="e">
        <f>IF(VLOOKUP(CONCATENATE(H314,F314,DG$2),Español!$A:$H,7,FALSE)=U314,1,0)</f>
        <v>#N/A</v>
      </c>
      <c r="DH314" s="138" t="e">
        <f>IF(VLOOKUP(CONCATENATE(H314,F314,DH$2),Español!$A:$H,7,FALSE)=V314,1,0)</f>
        <v>#N/A</v>
      </c>
      <c r="DI314" s="138" t="e">
        <f>IF(VLOOKUP(CONCATENATE(H314,F314,DI$2),Español!$A:$H,7,FALSE)=W314,1,0)</f>
        <v>#N/A</v>
      </c>
      <c r="DJ314" s="138" t="e">
        <f>IF(VLOOKUP(CONCATENATE(H314,F314,DJ$2),Español!$A:$H,7,FALSE)=X314,1,0)</f>
        <v>#N/A</v>
      </c>
      <c r="DK314" s="138" t="e">
        <f>IF(VLOOKUP(CONCATENATE(H314,F314,DK$2),Español!$A:$H,7,FALSE)=Y314,1,0)</f>
        <v>#N/A</v>
      </c>
      <c r="DL314" s="138" t="e">
        <f>IF(VLOOKUP(CONCATENATE(H314,F314,DL$2),Español!$A:$H,7,FALSE)=Z314,1,0)</f>
        <v>#N/A</v>
      </c>
      <c r="DM314" s="138" t="e">
        <f>IF(VLOOKUP(CONCATENATE(H314,F314,DM$2),Español!$A:$H,7,FALSE)=AA314,1,0)</f>
        <v>#N/A</v>
      </c>
      <c r="DN314" s="138" t="e">
        <f>IF(VLOOKUP(CONCATENATE(H314,F314,DN$2),Español!$A:$H,7,FALSE)=AB314,1,0)</f>
        <v>#N/A</v>
      </c>
      <c r="DO314" s="138" t="e">
        <f>IF(VLOOKUP(CONCATENATE(H314,F314,DO$2),Español!$A:$H,7,FALSE)=AC314,1,0)</f>
        <v>#N/A</v>
      </c>
      <c r="DP314" s="138" t="e">
        <f>IF(VLOOKUP(CONCATENATE(H314,F314,DP$2),Español!$A:$H,7,FALSE)=AD314,1,0)</f>
        <v>#N/A</v>
      </c>
      <c r="DQ314" s="138" t="e">
        <f>IF(VLOOKUP(CONCATENATE(H314,F314,DQ$2),Español!$A:$H,7,FALSE)=AE314,1,0)</f>
        <v>#N/A</v>
      </c>
      <c r="DR314" s="138" t="e">
        <f>IF(VLOOKUP(CONCATENATE(H314,F314,DR$2),Inglés!$A:$H,7,FALSE)=AF314,1,0)</f>
        <v>#N/A</v>
      </c>
      <c r="DS314" s="138" t="e">
        <f>IF(VLOOKUP(CONCATENATE(H314,F314,DS$2),Inglés!$A:$H,7,FALSE)=AG314,1,0)</f>
        <v>#N/A</v>
      </c>
      <c r="DT314" s="138" t="e">
        <f>IF(VLOOKUP(CONCATENATE(H314,F314,DT$2),Inglés!$A:$H,7,FALSE)=AH314,1,0)</f>
        <v>#N/A</v>
      </c>
      <c r="DU314" s="138" t="e">
        <f>IF(VLOOKUP(CONCATENATE(H314,F314,DU$2),Inglés!$A:$H,7,FALSE)=AI314,1,0)</f>
        <v>#N/A</v>
      </c>
      <c r="DV314" s="138" t="e">
        <f>IF(VLOOKUP(CONCATENATE(H314,F314,DV$2),Inglés!$A:$H,7,FALSE)=AJ314,1,0)</f>
        <v>#N/A</v>
      </c>
      <c r="DW314" s="138" t="e">
        <f>IF(VLOOKUP(CONCATENATE(H314,F314,DW$2),Inglés!$A:$H,7,FALSE)=AK314,1,0)</f>
        <v>#N/A</v>
      </c>
      <c r="DX314" s="138" t="e">
        <f>IF(VLOOKUP(CONCATENATE(H314,F314,DX$2),Inglés!$A:$H,7,FALSE)=AL314,1,0)</f>
        <v>#N/A</v>
      </c>
      <c r="DY314" s="138" t="e">
        <f>IF(VLOOKUP(CONCATENATE(H314,F314,DY$2),Inglés!$A:$H,7,FALSE)=AM314,1,0)</f>
        <v>#N/A</v>
      </c>
      <c r="DZ314" s="138" t="e">
        <f>IF(VLOOKUP(CONCATENATE(H314,F314,DZ$2),Inglés!$A:$H,7,FALSE)=AN314,1,0)</f>
        <v>#N/A</v>
      </c>
      <c r="EA314" s="138" t="e">
        <f>IF(VLOOKUP(CONCATENATE(H314,F314,EA$2),Inglés!$A:$H,7,FALSE)=AO314,1,0)</f>
        <v>#N/A</v>
      </c>
      <c r="EB314" s="138" t="e">
        <f>IF(VLOOKUP(CONCATENATE(H314,F314,EB$2),Matemáticas!$A:$H,7,FALSE)=AP314,1,0)</f>
        <v>#N/A</v>
      </c>
      <c r="EC314" s="138" t="e">
        <f>IF(VLOOKUP(CONCATENATE(H314,F314,EC$2),Matemáticas!$A:$H,7,FALSE)=AQ314,1,0)</f>
        <v>#N/A</v>
      </c>
      <c r="ED314" s="138" t="e">
        <f>IF(VLOOKUP(CONCATENATE(H314,F314,ED$2),Matemáticas!$A:$H,7,FALSE)=AR314,1,0)</f>
        <v>#N/A</v>
      </c>
      <c r="EE314" s="138" t="e">
        <f>IF(VLOOKUP(CONCATENATE(H314,F314,EE$2),Matemáticas!$A:$H,7,FALSE)=AS314,1,0)</f>
        <v>#N/A</v>
      </c>
      <c r="EF314" s="138" t="e">
        <f>IF(VLOOKUP(CONCATENATE(H314,F314,EF$2),Matemáticas!$A:$H,7,FALSE)=AT314,1,0)</f>
        <v>#N/A</v>
      </c>
      <c r="EG314" s="138" t="e">
        <f>IF(VLOOKUP(CONCATENATE(H314,F314,EG$2),Matemáticas!$A:$H,7,FALSE)=AU314,1,0)</f>
        <v>#N/A</v>
      </c>
      <c r="EH314" s="138" t="e">
        <f>IF(VLOOKUP(CONCATENATE(H314,F314,EH$2),Matemáticas!$A:$H,7,FALSE)=AV314,1,0)</f>
        <v>#N/A</v>
      </c>
      <c r="EI314" s="138" t="e">
        <f>IF(VLOOKUP(CONCATENATE(H314,F314,EI$2),Matemáticas!$A:$H,7,FALSE)=AW314,1,0)</f>
        <v>#N/A</v>
      </c>
      <c r="EJ314" s="138" t="e">
        <f>IF(VLOOKUP(CONCATENATE(H314,F314,EJ$2),Matemáticas!$A:$H,7,FALSE)=AX314,1,0)</f>
        <v>#N/A</v>
      </c>
      <c r="EK314" s="138" t="e">
        <f>IF(VLOOKUP(CONCATENATE(H314,F314,EK$2),Matemáticas!$A:$H,7,FALSE)=AY314,1,0)</f>
        <v>#N/A</v>
      </c>
      <c r="EL314" s="138" t="e">
        <f>IF(VLOOKUP(CONCATENATE(H314,F314,EL$2),Matemáticas!$A:$H,7,FALSE)=AZ314,1,0)</f>
        <v>#N/A</v>
      </c>
      <c r="EM314" s="138" t="e">
        <f>IF(VLOOKUP(CONCATENATE(H314,F314,EM$2),Matemáticas!$A:$H,7,FALSE)=BA314,1,0)</f>
        <v>#N/A</v>
      </c>
      <c r="EN314" s="138" t="e">
        <f>IF(VLOOKUP(CONCATENATE(H314,F314,EN$2),Matemáticas!$A:$H,7,FALSE)=BB314,1,0)</f>
        <v>#N/A</v>
      </c>
      <c r="EO314" s="138" t="e">
        <f>IF(VLOOKUP(CONCATENATE(H314,F314,EO$2),Matemáticas!$A:$H,7,FALSE)=BC314,1,0)</f>
        <v>#N/A</v>
      </c>
      <c r="EP314" s="138" t="e">
        <f>IF(VLOOKUP(CONCATENATE(H314,F314,EP$2),Matemáticas!$A:$H,7,FALSE)=BD314,1,0)</f>
        <v>#N/A</v>
      </c>
      <c r="EQ314" s="138" t="e">
        <f>IF(VLOOKUP(CONCATENATE(H314,F314,EQ$2),Matemáticas!$A:$H,7,FALSE)=BE314,1,0)</f>
        <v>#N/A</v>
      </c>
      <c r="ER314" s="138" t="e">
        <f>IF(VLOOKUP(CONCATENATE(H314,F314,ER$2),Matemáticas!$A:$H,7,FALSE)=BF314,1,0)</f>
        <v>#N/A</v>
      </c>
      <c r="ES314" s="138" t="e">
        <f>IF(VLOOKUP(CONCATENATE(H314,F314,ES$2),Matemáticas!$A:$H,7,FALSE)=BG314,1,0)</f>
        <v>#N/A</v>
      </c>
      <c r="ET314" s="138" t="e">
        <f>IF(VLOOKUP(CONCATENATE(H314,F314,ET$2),Matemáticas!$A:$H,7,FALSE)=BH314,1,0)</f>
        <v>#N/A</v>
      </c>
      <c r="EU314" s="138" t="e">
        <f>IF(VLOOKUP(CONCATENATE(H314,F314,EU$2),Matemáticas!$A:$H,7,FALSE)=BI314,1,0)</f>
        <v>#N/A</v>
      </c>
      <c r="EV314" s="138" t="e">
        <f>IF(VLOOKUP(CONCATENATE(H314,F314,EV$2),Ciencias!$A:$H,7,FALSE)=BJ314,1,0)</f>
        <v>#N/A</v>
      </c>
      <c r="EW314" s="138" t="e">
        <f>IF(VLOOKUP(CONCATENATE(H314,F314,EW$2),Ciencias!$A:$H,7,FALSE)=BK314,1,0)</f>
        <v>#N/A</v>
      </c>
      <c r="EX314" s="138" t="e">
        <f>IF(VLOOKUP(CONCATENATE(H314,F314,EX$2),Ciencias!$A:$H,7,FALSE)=BL314,1,0)</f>
        <v>#N/A</v>
      </c>
      <c r="EY314" s="138" t="e">
        <f>IF(VLOOKUP(CONCATENATE(H314,F314,EY$2),Ciencias!$A:$H,7,FALSE)=BM314,1,0)</f>
        <v>#N/A</v>
      </c>
      <c r="EZ314" s="138" t="e">
        <f>IF(VLOOKUP(CONCATENATE(H314,F314,EZ$2),Ciencias!$A:$H,7,FALSE)=BN314,1,0)</f>
        <v>#N/A</v>
      </c>
      <c r="FA314" s="138" t="e">
        <f>IF(VLOOKUP(CONCATENATE(H314,F314,FA$2),Ciencias!$A:$H,7,FALSE)=BO314,1,0)</f>
        <v>#N/A</v>
      </c>
      <c r="FB314" s="138" t="e">
        <f>IF(VLOOKUP(CONCATENATE(H314,F314,FB$2),Ciencias!$A:$H,7,FALSE)=BP314,1,0)</f>
        <v>#N/A</v>
      </c>
      <c r="FC314" s="138" t="e">
        <f>IF(VLOOKUP(CONCATENATE(H314,F314,FC$2),Ciencias!$A:$H,7,FALSE)=BQ314,1,0)</f>
        <v>#N/A</v>
      </c>
      <c r="FD314" s="138" t="e">
        <f>IF(VLOOKUP(CONCATENATE(H314,F314,FD$2),Ciencias!$A:$H,7,FALSE)=BR314,1,0)</f>
        <v>#N/A</v>
      </c>
      <c r="FE314" s="138" t="e">
        <f>IF(VLOOKUP(CONCATENATE(H314,F314,FE$2),Ciencias!$A:$H,7,FALSE)=BS314,1,0)</f>
        <v>#N/A</v>
      </c>
      <c r="FF314" s="138" t="e">
        <f>IF(VLOOKUP(CONCATENATE(H314,F314,FF$2),Ciencias!$A:$H,7,FALSE)=BT314,1,0)</f>
        <v>#N/A</v>
      </c>
      <c r="FG314" s="138" t="e">
        <f>IF(VLOOKUP(CONCATENATE(H314,F314,FG$2),Ciencias!$A:$H,7,FALSE)=BU314,1,0)</f>
        <v>#N/A</v>
      </c>
      <c r="FH314" s="138" t="e">
        <f>IF(VLOOKUP(CONCATENATE(H314,F314,FH$2),Ciencias!$A:$H,7,FALSE)=BV314,1,0)</f>
        <v>#N/A</v>
      </c>
      <c r="FI314" s="138" t="e">
        <f>IF(VLOOKUP(CONCATENATE(H314,F314,FI$2),Ciencias!$A:$H,7,FALSE)=BW314,1,0)</f>
        <v>#N/A</v>
      </c>
      <c r="FJ314" s="138" t="e">
        <f>IF(VLOOKUP(CONCATENATE(H314,F314,FJ$2),Ciencias!$A:$H,7,FALSE)=BX314,1,0)</f>
        <v>#N/A</v>
      </c>
      <c r="FK314" s="138" t="e">
        <f>IF(VLOOKUP(CONCATENATE(H314,F314,FK$2),Ciencias!$A:$H,7,FALSE)=BY314,1,0)</f>
        <v>#N/A</v>
      </c>
      <c r="FL314" s="138" t="e">
        <f>IF(VLOOKUP(CONCATENATE(H314,F314,FL$2),Ciencias!$A:$H,7,FALSE)=BZ314,1,0)</f>
        <v>#N/A</v>
      </c>
      <c r="FM314" s="138" t="e">
        <f>IF(VLOOKUP(CONCATENATE(H314,F314,FM$2),Ciencias!$A:$H,7,FALSE)=CA314,1,0)</f>
        <v>#N/A</v>
      </c>
      <c r="FN314" s="138" t="e">
        <f>IF(VLOOKUP(CONCATENATE(H314,F314,FN$2),Ciencias!$A:$H,7,FALSE)=CB314,1,0)</f>
        <v>#N/A</v>
      </c>
      <c r="FO314" s="138" t="e">
        <f>IF(VLOOKUP(CONCATENATE(H314,F314,FO$2),Ciencias!$A:$H,7,FALSE)=CC314,1,0)</f>
        <v>#N/A</v>
      </c>
      <c r="FP314" s="138" t="e">
        <f>IF(VLOOKUP(CONCATENATE(H314,F314,FP$2),GeoHis!$A:$H,7,FALSE)=CD314,1,0)</f>
        <v>#N/A</v>
      </c>
      <c r="FQ314" s="138" t="e">
        <f>IF(VLOOKUP(CONCATENATE(H314,F314,FQ$2),GeoHis!$A:$H,7,FALSE)=CE314,1,0)</f>
        <v>#N/A</v>
      </c>
      <c r="FR314" s="138" t="e">
        <f>IF(VLOOKUP(CONCATENATE(H314,F314,FR$2),GeoHis!$A:$H,7,FALSE)=CF314,1,0)</f>
        <v>#N/A</v>
      </c>
      <c r="FS314" s="138" t="e">
        <f>IF(VLOOKUP(CONCATENATE(H314,F314,FS$2),GeoHis!$A:$H,7,FALSE)=CG314,1,0)</f>
        <v>#N/A</v>
      </c>
      <c r="FT314" s="138" t="e">
        <f>IF(VLOOKUP(CONCATENATE(H314,F314,FT$2),GeoHis!$A:$H,7,FALSE)=CH314,1,0)</f>
        <v>#N/A</v>
      </c>
      <c r="FU314" s="138" t="e">
        <f>IF(VLOOKUP(CONCATENATE(H314,F314,FU$2),GeoHis!$A:$H,7,FALSE)=CI314,1,0)</f>
        <v>#N/A</v>
      </c>
      <c r="FV314" s="138" t="e">
        <f>IF(VLOOKUP(CONCATENATE(H314,F314,FV$2),GeoHis!$A:$H,7,FALSE)=CJ314,1,0)</f>
        <v>#N/A</v>
      </c>
      <c r="FW314" s="138" t="e">
        <f>IF(VLOOKUP(CONCATENATE(H314,F314,FW$2),GeoHis!$A:$H,7,FALSE)=CK314,1,0)</f>
        <v>#N/A</v>
      </c>
      <c r="FX314" s="138" t="e">
        <f>IF(VLOOKUP(CONCATENATE(H314,F314,FX$2),GeoHis!$A:$H,7,FALSE)=CL314,1,0)</f>
        <v>#N/A</v>
      </c>
      <c r="FY314" s="138" t="e">
        <f>IF(VLOOKUP(CONCATENATE(H314,F314,FY$2),GeoHis!$A:$H,7,FALSE)=CM314,1,0)</f>
        <v>#N/A</v>
      </c>
      <c r="FZ314" s="138" t="e">
        <f>IF(VLOOKUP(CONCATENATE(H314,F314,FZ$2),GeoHis!$A:$H,7,FALSE)=CN314,1,0)</f>
        <v>#N/A</v>
      </c>
      <c r="GA314" s="138" t="e">
        <f>IF(VLOOKUP(CONCATENATE(H314,F314,GA$2),GeoHis!$A:$H,7,FALSE)=CO314,1,0)</f>
        <v>#N/A</v>
      </c>
      <c r="GB314" s="138" t="e">
        <f>IF(VLOOKUP(CONCATENATE(H314,F314,GB$2),GeoHis!$A:$H,7,FALSE)=CP314,1,0)</f>
        <v>#N/A</v>
      </c>
      <c r="GC314" s="138" t="e">
        <f>IF(VLOOKUP(CONCATENATE(H314,F314,GC$2),GeoHis!$A:$H,7,FALSE)=CQ314,1,0)</f>
        <v>#N/A</v>
      </c>
      <c r="GD314" s="138" t="e">
        <f>IF(VLOOKUP(CONCATENATE(H314,F314,GD$2),GeoHis!$A:$H,7,FALSE)=CR314,1,0)</f>
        <v>#N/A</v>
      </c>
      <c r="GE314" s="135" t="str">
        <f t="shared" si="39"/>
        <v/>
      </c>
    </row>
    <row r="315" spans="1:187" x14ac:dyDescent="0.25">
      <c r="A315" s="127" t="str">
        <f>IF(C315="","",'Datos Generales'!$A$25)</f>
        <v/>
      </c>
      <c r="D315" s="126" t="str">
        <f t="shared" si="32"/>
        <v/>
      </c>
      <c r="E315" s="126">
        <f t="shared" si="33"/>
        <v>0</v>
      </c>
      <c r="F315" s="126" t="str">
        <f t="shared" si="34"/>
        <v/>
      </c>
      <c r="G315" s="126" t="str">
        <f>IF(C315="","",'Datos Generales'!$D$19)</f>
        <v/>
      </c>
      <c r="H315" s="21" t="str">
        <f>IF(C315="","",'Datos Generales'!$A$19)</f>
        <v/>
      </c>
      <c r="I315" s="126" t="str">
        <f>IF(C315="","",'Datos Generales'!$A$7)</f>
        <v/>
      </c>
      <c r="J315" s="21" t="str">
        <f>IF(C315="","",'Datos Generales'!$A$13)</f>
        <v/>
      </c>
      <c r="K315" s="21" t="str">
        <f>IF(C315="","",'Datos Generales'!$A$10)</f>
        <v/>
      </c>
      <c r="CS315" s="142" t="str">
        <f t="shared" si="35"/>
        <v/>
      </c>
      <c r="CT315" s="142" t="str">
        <f t="shared" si="36"/>
        <v/>
      </c>
      <c r="CU315" s="142" t="str">
        <f t="shared" si="37"/>
        <v/>
      </c>
      <c r="CV315" s="142" t="str">
        <f t="shared" si="38"/>
        <v/>
      </c>
      <c r="CW315" s="142" t="str">
        <f>IF(C315="","",IF('Datos Generales'!$A$19=1,AVERAGE(FP315:GD315),AVERAGE(Captura!FP315:FY315)))</f>
        <v/>
      </c>
      <c r="CX315" s="138" t="e">
        <f>IF(VLOOKUP(CONCATENATE($H$4,$F$4,CX$2),Español!$A:$H,7,FALSE)=L315,1,0)</f>
        <v>#N/A</v>
      </c>
      <c r="CY315" s="138" t="e">
        <f>IF(VLOOKUP(CONCATENATE(H315,F315,CY$2),Español!$A:$H,7,FALSE)=M315,1,0)</f>
        <v>#N/A</v>
      </c>
      <c r="CZ315" s="138" t="e">
        <f>IF(VLOOKUP(CONCATENATE(H315,F315,CZ$2),Español!$A:$H,7,FALSE)=N315,1,0)</f>
        <v>#N/A</v>
      </c>
      <c r="DA315" s="138" t="e">
        <f>IF(VLOOKUP(CONCATENATE(H315,F315,DA$2),Español!$A:$H,7,FALSE)=O315,1,0)</f>
        <v>#N/A</v>
      </c>
      <c r="DB315" s="138" t="e">
        <f>IF(VLOOKUP(CONCATENATE(H315,F315,DB$2),Español!$A:$H,7,FALSE)=P315,1,0)</f>
        <v>#N/A</v>
      </c>
      <c r="DC315" s="138" t="e">
        <f>IF(VLOOKUP(CONCATENATE(H315,F315,DC$2),Español!$A:$H,7,FALSE)=Q315,1,0)</f>
        <v>#N/A</v>
      </c>
      <c r="DD315" s="138" t="e">
        <f>IF(VLOOKUP(CONCATENATE(H315,F315,DD$2),Español!$A:$H,7,FALSE)=R315,1,0)</f>
        <v>#N/A</v>
      </c>
      <c r="DE315" s="138" t="e">
        <f>IF(VLOOKUP(CONCATENATE(H315,F315,DE$2),Español!$A:$H,7,FALSE)=S315,1,0)</f>
        <v>#N/A</v>
      </c>
      <c r="DF315" s="138" t="e">
        <f>IF(VLOOKUP(CONCATENATE(H315,F315,DF$2),Español!$A:$H,7,FALSE)=T315,1,0)</f>
        <v>#N/A</v>
      </c>
      <c r="DG315" s="138" t="e">
        <f>IF(VLOOKUP(CONCATENATE(H315,F315,DG$2),Español!$A:$H,7,FALSE)=U315,1,0)</f>
        <v>#N/A</v>
      </c>
      <c r="DH315" s="138" t="e">
        <f>IF(VLOOKUP(CONCATENATE(H315,F315,DH$2),Español!$A:$H,7,FALSE)=V315,1,0)</f>
        <v>#N/A</v>
      </c>
      <c r="DI315" s="138" t="e">
        <f>IF(VLOOKUP(CONCATENATE(H315,F315,DI$2),Español!$A:$H,7,FALSE)=W315,1,0)</f>
        <v>#N/A</v>
      </c>
      <c r="DJ315" s="138" t="e">
        <f>IF(VLOOKUP(CONCATENATE(H315,F315,DJ$2),Español!$A:$H,7,FALSE)=X315,1,0)</f>
        <v>#N/A</v>
      </c>
      <c r="DK315" s="138" t="e">
        <f>IF(VLOOKUP(CONCATENATE(H315,F315,DK$2),Español!$A:$H,7,FALSE)=Y315,1,0)</f>
        <v>#N/A</v>
      </c>
      <c r="DL315" s="138" t="e">
        <f>IF(VLOOKUP(CONCATENATE(H315,F315,DL$2),Español!$A:$H,7,FALSE)=Z315,1,0)</f>
        <v>#N/A</v>
      </c>
      <c r="DM315" s="138" t="e">
        <f>IF(VLOOKUP(CONCATENATE(H315,F315,DM$2),Español!$A:$H,7,FALSE)=AA315,1,0)</f>
        <v>#N/A</v>
      </c>
      <c r="DN315" s="138" t="e">
        <f>IF(VLOOKUP(CONCATENATE(H315,F315,DN$2),Español!$A:$H,7,FALSE)=AB315,1,0)</f>
        <v>#N/A</v>
      </c>
      <c r="DO315" s="138" t="e">
        <f>IF(VLOOKUP(CONCATENATE(H315,F315,DO$2),Español!$A:$H,7,FALSE)=AC315,1,0)</f>
        <v>#N/A</v>
      </c>
      <c r="DP315" s="138" t="e">
        <f>IF(VLOOKUP(CONCATENATE(H315,F315,DP$2),Español!$A:$H,7,FALSE)=AD315,1,0)</f>
        <v>#N/A</v>
      </c>
      <c r="DQ315" s="138" t="e">
        <f>IF(VLOOKUP(CONCATENATE(H315,F315,DQ$2),Español!$A:$H,7,FALSE)=AE315,1,0)</f>
        <v>#N/A</v>
      </c>
      <c r="DR315" s="138" t="e">
        <f>IF(VLOOKUP(CONCATENATE(H315,F315,DR$2),Inglés!$A:$H,7,FALSE)=AF315,1,0)</f>
        <v>#N/A</v>
      </c>
      <c r="DS315" s="138" t="e">
        <f>IF(VLOOKUP(CONCATENATE(H315,F315,DS$2),Inglés!$A:$H,7,FALSE)=AG315,1,0)</f>
        <v>#N/A</v>
      </c>
      <c r="DT315" s="138" t="e">
        <f>IF(VLOOKUP(CONCATENATE(H315,F315,DT$2),Inglés!$A:$H,7,FALSE)=AH315,1,0)</f>
        <v>#N/A</v>
      </c>
      <c r="DU315" s="138" t="e">
        <f>IF(VLOOKUP(CONCATENATE(H315,F315,DU$2),Inglés!$A:$H,7,FALSE)=AI315,1,0)</f>
        <v>#N/A</v>
      </c>
      <c r="DV315" s="138" t="e">
        <f>IF(VLOOKUP(CONCATENATE(H315,F315,DV$2),Inglés!$A:$H,7,FALSE)=AJ315,1,0)</f>
        <v>#N/A</v>
      </c>
      <c r="DW315" s="138" t="e">
        <f>IF(VLOOKUP(CONCATENATE(H315,F315,DW$2),Inglés!$A:$H,7,FALSE)=AK315,1,0)</f>
        <v>#N/A</v>
      </c>
      <c r="DX315" s="138" t="e">
        <f>IF(VLOOKUP(CONCATENATE(H315,F315,DX$2),Inglés!$A:$H,7,FALSE)=AL315,1,0)</f>
        <v>#N/A</v>
      </c>
      <c r="DY315" s="138" t="e">
        <f>IF(VLOOKUP(CONCATENATE(H315,F315,DY$2),Inglés!$A:$H,7,FALSE)=AM315,1,0)</f>
        <v>#N/A</v>
      </c>
      <c r="DZ315" s="138" t="e">
        <f>IF(VLOOKUP(CONCATENATE(H315,F315,DZ$2),Inglés!$A:$H,7,FALSE)=AN315,1,0)</f>
        <v>#N/A</v>
      </c>
      <c r="EA315" s="138" t="e">
        <f>IF(VLOOKUP(CONCATENATE(H315,F315,EA$2),Inglés!$A:$H,7,FALSE)=AO315,1,0)</f>
        <v>#N/A</v>
      </c>
      <c r="EB315" s="138" t="e">
        <f>IF(VLOOKUP(CONCATENATE(H315,F315,EB$2),Matemáticas!$A:$H,7,FALSE)=AP315,1,0)</f>
        <v>#N/A</v>
      </c>
      <c r="EC315" s="138" t="e">
        <f>IF(VLOOKUP(CONCATENATE(H315,F315,EC$2),Matemáticas!$A:$H,7,FALSE)=AQ315,1,0)</f>
        <v>#N/A</v>
      </c>
      <c r="ED315" s="138" t="e">
        <f>IF(VLOOKUP(CONCATENATE(H315,F315,ED$2),Matemáticas!$A:$H,7,FALSE)=AR315,1,0)</f>
        <v>#N/A</v>
      </c>
      <c r="EE315" s="138" t="e">
        <f>IF(VLOOKUP(CONCATENATE(H315,F315,EE$2),Matemáticas!$A:$H,7,FALSE)=AS315,1,0)</f>
        <v>#N/A</v>
      </c>
      <c r="EF315" s="138" t="e">
        <f>IF(VLOOKUP(CONCATENATE(H315,F315,EF$2),Matemáticas!$A:$H,7,FALSE)=AT315,1,0)</f>
        <v>#N/A</v>
      </c>
      <c r="EG315" s="138" t="e">
        <f>IF(VLOOKUP(CONCATENATE(H315,F315,EG$2),Matemáticas!$A:$H,7,FALSE)=AU315,1,0)</f>
        <v>#N/A</v>
      </c>
      <c r="EH315" s="138" t="e">
        <f>IF(VLOOKUP(CONCATENATE(H315,F315,EH$2),Matemáticas!$A:$H,7,FALSE)=AV315,1,0)</f>
        <v>#N/A</v>
      </c>
      <c r="EI315" s="138" t="e">
        <f>IF(VLOOKUP(CONCATENATE(H315,F315,EI$2),Matemáticas!$A:$H,7,FALSE)=AW315,1,0)</f>
        <v>#N/A</v>
      </c>
      <c r="EJ315" s="138" t="e">
        <f>IF(VLOOKUP(CONCATENATE(H315,F315,EJ$2),Matemáticas!$A:$H,7,FALSE)=AX315,1,0)</f>
        <v>#N/A</v>
      </c>
      <c r="EK315" s="138" t="e">
        <f>IF(VLOOKUP(CONCATENATE(H315,F315,EK$2),Matemáticas!$A:$H,7,FALSE)=AY315,1,0)</f>
        <v>#N/A</v>
      </c>
      <c r="EL315" s="138" t="e">
        <f>IF(VLOOKUP(CONCATENATE(H315,F315,EL$2),Matemáticas!$A:$H,7,FALSE)=AZ315,1,0)</f>
        <v>#N/A</v>
      </c>
      <c r="EM315" s="138" t="e">
        <f>IF(VLOOKUP(CONCATENATE(H315,F315,EM$2),Matemáticas!$A:$H,7,FALSE)=BA315,1,0)</f>
        <v>#N/A</v>
      </c>
      <c r="EN315" s="138" t="e">
        <f>IF(VLOOKUP(CONCATENATE(H315,F315,EN$2),Matemáticas!$A:$H,7,FALSE)=BB315,1,0)</f>
        <v>#N/A</v>
      </c>
      <c r="EO315" s="138" t="e">
        <f>IF(VLOOKUP(CONCATENATE(H315,F315,EO$2),Matemáticas!$A:$H,7,FALSE)=BC315,1,0)</f>
        <v>#N/A</v>
      </c>
      <c r="EP315" s="138" t="e">
        <f>IF(VLOOKUP(CONCATENATE(H315,F315,EP$2),Matemáticas!$A:$H,7,FALSE)=BD315,1,0)</f>
        <v>#N/A</v>
      </c>
      <c r="EQ315" s="138" t="e">
        <f>IF(VLOOKUP(CONCATENATE(H315,F315,EQ$2),Matemáticas!$A:$H,7,FALSE)=BE315,1,0)</f>
        <v>#N/A</v>
      </c>
      <c r="ER315" s="138" t="e">
        <f>IF(VLOOKUP(CONCATENATE(H315,F315,ER$2),Matemáticas!$A:$H,7,FALSE)=BF315,1,0)</f>
        <v>#N/A</v>
      </c>
      <c r="ES315" s="138" t="e">
        <f>IF(VLOOKUP(CONCATENATE(H315,F315,ES$2),Matemáticas!$A:$H,7,FALSE)=BG315,1,0)</f>
        <v>#N/A</v>
      </c>
      <c r="ET315" s="138" t="e">
        <f>IF(VLOOKUP(CONCATENATE(H315,F315,ET$2),Matemáticas!$A:$H,7,FALSE)=BH315,1,0)</f>
        <v>#N/A</v>
      </c>
      <c r="EU315" s="138" t="e">
        <f>IF(VLOOKUP(CONCATENATE(H315,F315,EU$2),Matemáticas!$A:$H,7,FALSE)=BI315,1,0)</f>
        <v>#N/A</v>
      </c>
      <c r="EV315" s="138" t="e">
        <f>IF(VLOOKUP(CONCATENATE(H315,F315,EV$2),Ciencias!$A:$H,7,FALSE)=BJ315,1,0)</f>
        <v>#N/A</v>
      </c>
      <c r="EW315" s="138" t="e">
        <f>IF(VLOOKUP(CONCATENATE(H315,F315,EW$2),Ciencias!$A:$H,7,FALSE)=BK315,1,0)</f>
        <v>#N/A</v>
      </c>
      <c r="EX315" s="138" t="e">
        <f>IF(VLOOKUP(CONCATENATE(H315,F315,EX$2),Ciencias!$A:$H,7,FALSE)=BL315,1,0)</f>
        <v>#N/A</v>
      </c>
      <c r="EY315" s="138" t="e">
        <f>IF(VLOOKUP(CONCATENATE(H315,F315,EY$2),Ciencias!$A:$H,7,FALSE)=BM315,1,0)</f>
        <v>#N/A</v>
      </c>
      <c r="EZ315" s="138" t="e">
        <f>IF(VLOOKUP(CONCATENATE(H315,F315,EZ$2),Ciencias!$A:$H,7,FALSE)=BN315,1,0)</f>
        <v>#N/A</v>
      </c>
      <c r="FA315" s="138" t="e">
        <f>IF(VLOOKUP(CONCATENATE(H315,F315,FA$2),Ciencias!$A:$H,7,FALSE)=BO315,1,0)</f>
        <v>#N/A</v>
      </c>
      <c r="FB315" s="138" t="e">
        <f>IF(VLOOKUP(CONCATENATE(H315,F315,FB$2),Ciencias!$A:$H,7,FALSE)=BP315,1,0)</f>
        <v>#N/A</v>
      </c>
      <c r="FC315" s="138" t="e">
        <f>IF(VLOOKUP(CONCATENATE(H315,F315,FC$2),Ciencias!$A:$H,7,FALSE)=BQ315,1,0)</f>
        <v>#N/A</v>
      </c>
      <c r="FD315" s="138" t="e">
        <f>IF(VLOOKUP(CONCATENATE(H315,F315,FD$2),Ciencias!$A:$H,7,FALSE)=BR315,1,0)</f>
        <v>#N/A</v>
      </c>
      <c r="FE315" s="138" t="e">
        <f>IF(VLOOKUP(CONCATENATE(H315,F315,FE$2),Ciencias!$A:$H,7,FALSE)=BS315,1,0)</f>
        <v>#N/A</v>
      </c>
      <c r="FF315" s="138" t="e">
        <f>IF(VLOOKUP(CONCATENATE(H315,F315,FF$2),Ciencias!$A:$H,7,FALSE)=BT315,1,0)</f>
        <v>#N/A</v>
      </c>
      <c r="FG315" s="138" t="e">
        <f>IF(VLOOKUP(CONCATENATE(H315,F315,FG$2),Ciencias!$A:$H,7,FALSE)=BU315,1,0)</f>
        <v>#N/A</v>
      </c>
      <c r="FH315" s="138" t="e">
        <f>IF(VLOOKUP(CONCATENATE(H315,F315,FH$2),Ciencias!$A:$H,7,FALSE)=BV315,1,0)</f>
        <v>#N/A</v>
      </c>
      <c r="FI315" s="138" t="e">
        <f>IF(VLOOKUP(CONCATENATE(H315,F315,FI$2),Ciencias!$A:$H,7,FALSE)=BW315,1,0)</f>
        <v>#N/A</v>
      </c>
      <c r="FJ315" s="138" t="e">
        <f>IF(VLOOKUP(CONCATENATE(H315,F315,FJ$2),Ciencias!$A:$H,7,FALSE)=BX315,1,0)</f>
        <v>#N/A</v>
      </c>
      <c r="FK315" s="138" t="e">
        <f>IF(VLOOKUP(CONCATENATE(H315,F315,FK$2),Ciencias!$A:$H,7,FALSE)=BY315,1,0)</f>
        <v>#N/A</v>
      </c>
      <c r="FL315" s="138" t="e">
        <f>IF(VLOOKUP(CONCATENATE(H315,F315,FL$2),Ciencias!$A:$H,7,FALSE)=BZ315,1,0)</f>
        <v>#N/A</v>
      </c>
      <c r="FM315" s="138" t="e">
        <f>IF(VLOOKUP(CONCATENATE(H315,F315,FM$2),Ciencias!$A:$H,7,FALSE)=CA315,1,0)</f>
        <v>#N/A</v>
      </c>
      <c r="FN315" s="138" t="e">
        <f>IF(VLOOKUP(CONCATENATE(H315,F315,FN$2),Ciencias!$A:$H,7,FALSE)=CB315,1,0)</f>
        <v>#N/A</v>
      </c>
      <c r="FO315" s="138" t="e">
        <f>IF(VLOOKUP(CONCATENATE(H315,F315,FO$2),Ciencias!$A:$H,7,FALSE)=CC315,1,0)</f>
        <v>#N/A</v>
      </c>
      <c r="FP315" s="138" t="e">
        <f>IF(VLOOKUP(CONCATENATE(H315,F315,FP$2),GeoHis!$A:$H,7,FALSE)=CD315,1,0)</f>
        <v>#N/A</v>
      </c>
      <c r="FQ315" s="138" t="e">
        <f>IF(VLOOKUP(CONCATENATE(H315,F315,FQ$2),GeoHis!$A:$H,7,FALSE)=CE315,1,0)</f>
        <v>#N/A</v>
      </c>
      <c r="FR315" s="138" t="e">
        <f>IF(VLOOKUP(CONCATENATE(H315,F315,FR$2),GeoHis!$A:$H,7,FALSE)=CF315,1,0)</f>
        <v>#N/A</v>
      </c>
      <c r="FS315" s="138" t="e">
        <f>IF(VLOOKUP(CONCATENATE(H315,F315,FS$2),GeoHis!$A:$H,7,FALSE)=CG315,1,0)</f>
        <v>#N/A</v>
      </c>
      <c r="FT315" s="138" t="e">
        <f>IF(VLOOKUP(CONCATENATE(H315,F315,FT$2),GeoHis!$A:$H,7,FALSE)=CH315,1,0)</f>
        <v>#N/A</v>
      </c>
      <c r="FU315" s="138" t="e">
        <f>IF(VLOOKUP(CONCATENATE(H315,F315,FU$2),GeoHis!$A:$H,7,FALSE)=CI315,1,0)</f>
        <v>#N/A</v>
      </c>
      <c r="FV315" s="138" t="e">
        <f>IF(VLOOKUP(CONCATENATE(H315,F315,FV$2),GeoHis!$A:$H,7,FALSE)=CJ315,1,0)</f>
        <v>#N/A</v>
      </c>
      <c r="FW315" s="138" t="e">
        <f>IF(VLOOKUP(CONCATENATE(H315,F315,FW$2),GeoHis!$A:$H,7,FALSE)=CK315,1,0)</f>
        <v>#N/A</v>
      </c>
      <c r="FX315" s="138" t="e">
        <f>IF(VLOOKUP(CONCATENATE(H315,F315,FX$2),GeoHis!$A:$H,7,FALSE)=CL315,1,0)</f>
        <v>#N/A</v>
      </c>
      <c r="FY315" s="138" t="e">
        <f>IF(VLOOKUP(CONCATENATE(H315,F315,FY$2),GeoHis!$A:$H,7,FALSE)=CM315,1,0)</f>
        <v>#N/A</v>
      </c>
      <c r="FZ315" s="138" t="e">
        <f>IF(VLOOKUP(CONCATENATE(H315,F315,FZ$2),GeoHis!$A:$H,7,FALSE)=CN315,1,0)</f>
        <v>#N/A</v>
      </c>
      <c r="GA315" s="138" t="e">
        <f>IF(VLOOKUP(CONCATENATE(H315,F315,GA$2),GeoHis!$A:$H,7,FALSE)=CO315,1,0)</f>
        <v>#N/A</v>
      </c>
      <c r="GB315" s="138" t="e">
        <f>IF(VLOOKUP(CONCATENATE(H315,F315,GB$2),GeoHis!$A:$H,7,FALSE)=CP315,1,0)</f>
        <v>#N/A</v>
      </c>
      <c r="GC315" s="138" t="e">
        <f>IF(VLOOKUP(CONCATENATE(H315,F315,GC$2),GeoHis!$A:$H,7,FALSE)=CQ315,1,0)</f>
        <v>#N/A</v>
      </c>
      <c r="GD315" s="138" t="e">
        <f>IF(VLOOKUP(CONCATENATE(H315,F315,GD$2),GeoHis!$A:$H,7,FALSE)=CR315,1,0)</f>
        <v>#N/A</v>
      </c>
      <c r="GE315" s="135" t="str">
        <f t="shared" si="39"/>
        <v/>
      </c>
    </row>
    <row r="316" spans="1:187" x14ac:dyDescent="0.25">
      <c r="A316" s="127" t="str">
        <f>IF(C316="","",'Datos Generales'!$A$25)</f>
        <v/>
      </c>
      <c r="D316" s="126" t="str">
        <f t="shared" si="32"/>
        <v/>
      </c>
      <c r="E316" s="126">
        <f t="shared" si="33"/>
        <v>0</v>
      </c>
      <c r="F316" s="126" t="str">
        <f t="shared" si="34"/>
        <v/>
      </c>
      <c r="G316" s="126" t="str">
        <f>IF(C316="","",'Datos Generales'!$D$19)</f>
        <v/>
      </c>
      <c r="H316" s="21" t="str">
        <f>IF(C316="","",'Datos Generales'!$A$19)</f>
        <v/>
      </c>
      <c r="I316" s="126" t="str">
        <f>IF(C316="","",'Datos Generales'!$A$7)</f>
        <v/>
      </c>
      <c r="J316" s="21" t="str">
        <f>IF(C316="","",'Datos Generales'!$A$13)</f>
        <v/>
      </c>
      <c r="K316" s="21" t="str">
        <f>IF(C316="","",'Datos Generales'!$A$10)</f>
        <v/>
      </c>
      <c r="CS316" s="142" t="str">
        <f t="shared" si="35"/>
        <v/>
      </c>
      <c r="CT316" s="142" t="str">
        <f t="shared" si="36"/>
        <v/>
      </c>
      <c r="CU316" s="142" t="str">
        <f t="shared" si="37"/>
        <v/>
      </c>
      <c r="CV316" s="142" t="str">
        <f t="shared" si="38"/>
        <v/>
      </c>
      <c r="CW316" s="142" t="str">
        <f>IF(C316="","",IF('Datos Generales'!$A$19=1,AVERAGE(FP316:GD316),AVERAGE(Captura!FP316:FY316)))</f>
        <v/>
      </c>
      <c r="CX316" s="138" t="e">
        <f>IF(VLOOKUP(CONCATENATE($H$4,$F$4,CX$2),Español!$A:$H,7,FALSE)=L316,1,0)</f>
        <v>#N/A</v>
      </c>
      <c r="CY316" s="138" t="e">
        <f>IF(VLOOKUP(CONCATENATE(H316,F316,CY$2),Español!$A:$H,7,FALSE)=M316,1,0)</f>
        <v>#N/A</v>
      </c>
      <c r="CZ316" s="138" t="e">
        <f>IF(VLOOKUP(CONCATENATE(H316,F316,CZ$2),Español!$A:$H,7,FALSE)=N316,1,0)</f>
        <v>#N/A</v>
      </c>
      <c r="DA316" s="138" t="e">
        <f>IF(VLOOKUP(CONCATENATE(H316,F316,DA$2),Español!$A:$H,7,FALSE)=O316,1,0)</f>
        <v>#N/A</v>
      </c>
      <c r="DB316" s="138" t="e">
        <f>IF(VLOOKUP(CONCATENATE(H316,F316,DB$2),Español!$A:$H,7,FALSE)=P316,1,0)</f>
        <v>#N/A</v>
      </c>
      <c r="DC316" s="138" t="e">
        <f>IF(VLOOKUP(CONCATENATE(H316,F316,DC$2),Español!$A:$H,7,FALSE)=Q316,1,0)</f>
        <v>#N/A</v>
      </c>
      <c r="DD316" s="138" t="e">
        <f>IF(VLOOKUP(CONCATENATE(H316,F316,DD$2),Español!$A:$H,7,FALSE)=R316,1,0)</f>
        <v>#N/A</v>
      </c>
      <c r="DE316" s="138" t="e">
        <f>IF(VLOOKUP(CONCATENATE(H316,F316,DE$2),Español!$A:$H,7,FALSE)=S316,1,0)</f>
        <v>#N/A</v>
      </c>
      <c r="DF316" s="138" t="e">
        <f>IF(VLOOKUP(CONCATENATE(H316,F316,DF$2),Español!$A:$H,7,FALSE)=T316,1,0)</f>
        <v>#N/A</v>
      </c>
      <c r="DG316" s="138" t="e">
        <f>IF(VLOOKUP(CONCATENATE(H316,F316,DG$2),Español!$A:$H,7,FALSE)=U316,1,0)</f>
        <v>#N/A</v>
      </c>
      <c r="DH316" s="138" t="e">
        <f>IF(VLOOKUP(CONCATENATE(H316,F316,DH$2),Español!$A:$H,7,FALSE)=V316,1,0)</f>
        <v>#N/A</v>
      </c>
      <c r="DI316" s="138" t="e">
        <f>IF(VLOOKUP(CONCATENATE(H316,F316,DI$2),Español!$A:$H,7,FALSE)=W316,1,0)</f>
        <v>#N/A</v>
      </c>
      <c r="DJ316" s="138" t="e">
        <f>IF(VLOOKUP(CONCATENATE(H316,F316,DJ$2),Español!$A:$H,7,FALSE)=X316,1,0)</f>
        <v>#N/A</v>
      </c>
      <c r="DK316" s="138" t="e">
        <f>IF(VLOOKUP(CONCATENATE(H316,F316,DK$2),Español!$A:$H,7,FALSE)=Y316,1,0)</f>
        <v>#N/A</v>
      </c>
      <c r="DL316" s="138" t="e">
        <f>IF(VLOOKUP(CONCATENATE(H316,F316,DL$2),Español!$A:$H,7,FALSE)=Z316,1,0)</f>
        <v>#N/A</v>
      </c>
      <c r="DM316" s="138" t="e">
        <f>IF(VLOOKUP(CONCATENATE(H316,F316,DM$2),Español!$A:$H,7,FALSE)=AA316,1,0)</f>
        <v>#N/A</v>
      </c>
      <c r="DN316" s="138" t="e">
        <f>IF(VLOOKUP(CONCATENATE(H316,F316,DN$2),Español!$A:$H,7,FALSE)=AB316,1,0)</f>
        <v>#N/A</v>
      </c>
      <c r="DO316" s="138" t="e">
        <f>IF(VLOOKUP(CONCATENATE(H316,F316,DO$2),Español!$A:$H,7,FALSE)=AC316,1,0)</f>
        <v>#N/A</v>
      </c>
      <c r="DP316" s="138" t="e">
        <f>IF(VLOOKUP(CONCATENATE(H316,F316,DP$2),Español!$A:$H,7,FALSE)=AD316,1,0)</f>
        <v>#N/A</v>
      </c>
      <c r="DQ316" s="138" t="e">
        <f>IF(VLOOKUP(CONCATENATE(H316,F316,DQ$2),Español!$A:$H,7,FALSE)=AE316,1,0)</f>
        <v>#N/A</v>
      </c>
      <c r="DR316" s="138" t="e">
        <f>IF(VLOOKUP(CONCATENATE(H316,F316,DR$2),Inglés!$A:$H,7,FALSE)=AF316,1,0)</f>
        <v>#N/A</v>
      </c>
      <c r="DS316" s="138" t="e">
        <f>IF(VLOOKUP(CONCATENATE(H316,F316,DS$2),Inglés!$A:$H,7,FALSE)=AG316,1,0)</f>
        <v>#N/A</v>
      </c>
      <c r="DT316" s="138" t="e">
        <f>IF(VLOOKUP(CONCATENATE(H316,F316,DT$2),Inglés!$A:$H,7,FALSE)=AH316,1,0)</f>
        <v>#N/A</v>
      </c>
      <c r="DU316" s="138" t="e">
        <f>IF(VLOOKUP(CONCATENATE(H316,F316,DU$2),Inglés!$A:$H,7,FALSE)=AI316,1,0)</f>
        <v>#N/A</v>
      </c>
      <c r="DV316" s="138" t="e">
        <f>IF(VLOOKUP(CONCATENATE(H316,F316,DV$2),Inglés!$A:$H,7,FALSE)=AJ316,1,0)</f>
        <v>#N/A</v>
      </c>
      <c r="DW316" s="138" t="e">
        <f>IF(VLOOKUP(CONCATENATE(H316,F316,DW$2),Inglés!$A:$H,7,FALSE)=AK316,1,0)</f>
        <v>#N/A</v>
      </c>
      <c r="DX316" s="138" t="e">
        <f>IF(VLOOKUP(CONCATENATE(H316,F316,DX$2),Inglés!$A:$H,7,FALSE)=AL316,1,0)</f>
        <v>#N/A</v>
      </c>
      <c r="DY316" s="138" t="e">
        <f>IF(VLOOKUP(CONCATENATE(H316,F316,DY$2),Inglés!$A:$H,7,FALSE)=AM316,1,0)</f>
        <v>#N/A</v>
      </c>
      <c r="DZ316" s="138" t="e">
        <f>IF(VLOOKUP(CONCATENATE(H316,F316,DZ$2),Inglés!$A:$H,7,FALSE)=AN316,1,0)</f>
        <v>#N/A</v>
      </c>
      <c r="EA316" s="138" t="e">
        <f>IF(VLOOKUP(CONCATENATE(H316,F316,EA$2),Inglés!$A:$H,7,FALSE)=AO316,1,0)</f>
        <v>#N/A</v>
      </c>
      <c r="EB316" s="138" t="e">
        <f>IF(VLOOKUP(CONCATENATE(H316,F316,EB$2),Matemáticas!$A:$H,7,FALSE)=AP316,1,0)</f>
        <v>#N/A</v>
      </c>
      <c r="EC316" s="138" t="e">
        <f>IF(VLOOKUP(CONCATENATE(H316,F316,EC$2),Matemáticas!$A:$H,7,FALSE)=AQ316,1,0)</f>
        <v>#N/A</v>
      </c>
      <c r="ED316" s="138" t="e">
        <f>IF(VLOOKUP(CONCATENATE(H316,F316,ED$2),Matemáticas!$A:$H,7,FALSE)=AR316,1,0)</f>
        <v>#N/A</v>
      </c>
      <c r="EE316" s="138" t="e">
        <f>IF(VLOOKUP(CONCATENATE(H316,F316,EE$2),Matemáticas!$A:$H,7,FALSE)=AS316,1,0)</f>
        <v>#N/A</v>
      </c>
      <c r="EF316" s="138" t="e">
        <f>IF(VLOOKUP(CONCATENATE(H316,F316,EF$2),Matemáticas!$A:$H,7,FALSE)=AT316,1,0)</f>
        <v>#N/A</v>
      </c>
      <c r="EG316" s="138" t="e">
        <f>IF(VLOOKUP(CONCATENATE(H316,F316,EG$2),Matemáticas!$A:$H,7,FALSE)=AU316,1,0)</f>
        <v>#N/A</v>
      </c>
      <c r="EH316" s="138" t="e">
        <f>IF(VLOOKUP(CONCATENATE(H316,F316,EH$2),Matemáticas!$A:$H,7,FALSE)=AV316,1,0)</f>
        <v>#N/A</v>
      </c>
      <c r="EI316" s="138" t="e">
        <f>IF(VLOOKUP(CONCATENATE(H316,F316,EI$2),Matemáticas!$A:$H,7,FALSE)=AW316,1,0)</f>
        <v>#N/A</v>
      </c>
      <c r="EJ316" s="138" t="e">
        <f>IF(VLOOKUP(CONCATENATE(H316,F316,EJ$2),Matemáticas!$A:$H,7,FALSE)=AX316,1,0)</f>
        <v>#N/A</v>
      </c>
      <c r="EK316" s="138" t="e">
        <f>IF(VLOOKUP(CONCATENATE(H316,F316,EK$2),Matemáticas!$A:$H,7,FALSE)=AY316,1,0)</f>
        <v>#N/A</v>
      </c>
      <c r="EL316" s="138" t="e">
        <f>IF(VLOOKUP(CONCATENATE(H316,F316,EL$2),Matemáticas!$A:$H,7,FALSE)=AZ316,1,0)</f>
        <v>#N/A</v>
      </c>
      <c r="EM316" s="138" t="e">
        <f>IF(VLOOKUP(CONCATENATE(H316,F316,EM$2),Matemáticas!$A:$H,7,FALSE)=BA316,1,0)</f>
        <v>#N/A</v>
      </c>
      <c r="EN316" s="138" t="e">
        <f>IF(VLOOKUP(CONCATENATE(H316,F316,EN$2),Matemáticas!$A:$H,7,FALSE)=BB316,1,0)</f>
        <v>#N/A</v>
      </c>
      <c r="EO316" s="138" t="e">
        <f>IF(VLOOKUP(CONCATENATE(H316,F316,EO$2),Matemáticas!$A:$H,7,FALSE)=BC316,1,0)</f>
        <v>#N/A</v>
      </c>
      <c r="EP316" s="138" t="e">
        <f>IF(VLOOKUP(CONCATENATE(H316,F316,EP$2),Matemáticas!$A:$H,7,FALSE)=BD316,1,0)</f>
        <v>#N/A</v>
      </c>
      <c r="EQ316" s="138" t="e">
        <f>IF(VLOOKUP(CONCATENATE(H316,F316,EQ$2),Matemáticas!$A:$H,7,FALSE)=BE316,1,0)</f>
        <v>#N/A</v>
      </c>
      <c r="ER316" s="138" t="e">
        <f>IF(VLOOKUP(CONCATENATE(H316,F316,ER$2),Matemáticas!$A:$H,7,FALSE)=BF316,1,0)</f>
        <v>#N/A</v>
      </c>
      <c r="ES316" s="138" t="e">
        <f>IF(VLOOKUP(CONCATENATE(H316,F316,ES$2),Matemáticas!$A:$H,7,FALSE)=BG316,1,0)</f>
        <v>#N/A</v>
      </c>
      <c r="ET316" s="138" t="e">
        <f>IF(VLOOKUP(CONCATENATE(H316,F316,ET$2),Matemáticas!$A:$H,7,FALSE)=BH316,1,0)</f>
        <v>#N/A</v>
      </c>
      <c r="EU316" s="138" t="e">
        <f>IF(VLOOKUP(CONCATENATE(H316,F316,EU$2),Matemáticas!$A:$H,7,FALSE)=BI316,1,0)</f>
        <v>#N/A</v>
      </c>
      <c r="EV316" s="138" t="e">
        <f>IF(VLOOKUP(CONCATENATE(H316,F316,EV$2),Ciencias!$A:$H,7,FALSE)=BJ316,1,0)</f>
        <v>#N/A</v>
      </c>
      <c r="EW316" s="138" t="e">
        <f>IF(VLOOKUP(CONCATENATE(H316,F316,EW$2),Ciencias!$A:$H,7,FALSE)=BK316,1,0)</f>
        <v>#N/A</v>
      </c>
      <c r="EX316" s="138" t="e">
        <f>IF(VLOOKUP(CONCATENATE(H316,F316,EX$2),Ciencias!$A:$H,7,FALSE)=BL316,1,0)</f>
        <v>#N/A</v>
      </c>
      <c r="EY316" s="138" t="e">
        <f>IF(VLOOKUP(CONCATENATE(H316,F316,EY$2),Ciencias!$A:$H,7,FALSE)=BM316,1,0)</f>
        <v>#N/A</v>
      </c>
      <c r="EZ316" s="138" t="e">
        <f>IF(VLOOKUP(CONCATENATE(H316,F316,EZ$2),Ciencias!$A:$H,7,FALSE)=BN316,1,0)</f>
        <v>#N/A</v>
      </c>
      <c r="FA316" s="138" t="e">
        <f>IF(VLOOKUP(CONCATENATE(H316,F316,FA$2),Ciencias!$A:$H,7,FALSE)=BO316,1,0)</f>
        <v>#N/A</v>
      </c>
      <c r="FB316" s="138" t="e">
        <f>IF(VLOOKUP(CONCATENATE(H316,F316,FB$2),Ciencias!$A:$H,7,FALSE)=BP316,1,0)</f>
        <v>#N/A</v>
      </c>
      <c r="FC316" s="138" t="e">
        <f>IF(VLOOKUP(CONCATENATE(H316,F316,FC$2),Ciencias!$A:$H,7,FALSE)=BQ316,1,0)</f>
        <v>#N/A</v>
      </c>
      <c r="FD316" s="138" t="e">
        <f>IF(VLOOKUP(CONCATENATE(H316,F316,FD$2),Ciencias!$A:$H,7,FALSE)=BR316,1,0)</f>
        <v>#N/A</v>
      </c>
      <c r="FE316" s="138" t="e">
        <f>IF(VLOOKUP(CONCATENATE(H316,F316,FE$2),Ciencias!$A:$H,7,FALSE)=BS316,1,0)</f>
        <v>#N/A</v>
      </c>
      <c r="FF316" s="138" t="e">
        <f>IF(VLOOKUP(CONCATENATE(H316,F316,FF$2),Ciencias!$A:$H,7,FALSE)=BT316,1,0)</f>
        <v>#N/A</v>
      </c>
      <c r="FG316" s="138" t="e">
        <f>IF(VLOOKUP(CONCATENATE(H316,F316,FG$2),Ciencias!$A:$H,7,FALSE)=BU316,1,0)</f>
        <v>#N/A</v>
      </c>
      <c r="FH316" s="138" t="e">
        <f>IF(VLOOKUP(CONCATENATE(H316,F316,FH$2),Ciencias!$A:$H,7,FALSE)=BV316,1,0)</f>
        <v>#N/A</v>
      </c>
      <c r="FI316" s="138" t="e">
        <f>IF(VLOOKUP(CONCATENATE(H316,F316,FI$2),Ciencias!$A:$H,7,FALSE)=BW316,1,0)</f>
        <v>#N/A</v>
      </c>
      <c r="FJ316" s="138" t="e">
        <f>IF(VLOOKUP(CONCATENATE(H316,F316,FJ$2),Ciencias!$A:$H,7,FALSE)=BX316,1,0)</f>
        <v>#N/A</v>
      </c>
      <c r="FK316" s="138" t="e">
        <f>IF(VLOOKUP(CONCATENATE(H316,F316,FK$2),Ciencias!$A:$H,7,FALSE)=BY316,1,0)</f>
        <v>#N/A</v>
      </c>
      <c r="FL316" s="138" t="e">
        <f>IF(VLOOKUP(CONCATENATE(H316,F316,FL$2),Ciencias!$A:$H,7,FALSE)=BZ316,1,0)</f>
        <v>#N/A</v>
      </c>
      <c r="FM316" s="138" t="e">
        <f>IF(VLOOKUP(CONCATENATE(H316,F316,FM$2),Ciencias!$A:$H,7,FALSE)=CA316,1,0)</f>
        <v>#N/A</v>
      </c>
      <c r="FN316" s="138" t="e">
        <f>IF(VLOOKUP(CONCATENATE(H316,F316,FN$2),Ciencias!$A:$H,7,FALSE)=CB316,1,0)</f>
        <v>#N/A</v>
      </c>
      <c r="FO316" s="138" t="e">
        <f>IF(VLOOKUP(CONCATENATE(H316,F316,FO$2),Ciencias!$A:$H,7,FALSE)=CC316,1,0)</f>
        <v>#N/A</v>
      </c>
      <c r="FP316" s="138" t="e">
        <f>IF(VLOOKUP(CONCATENATE(H316,F316,FP$2),GeoHis!$A:$H,7,FALSE)=CD316,1,0)</f>
        <v>#N/A</v>
      </c>
      <c r="FQ316" s="138" t="e">
        <f>IF(VLOOKUP(CONCATENATE(H316,F316,FQ$2),GeoHis!$A:$H,7,FALSE)=CE316,1,0)</f>
        <v>#N/A</v>
      </c>
      <c r="FR316" s="138" t="e">
        <f>IF(VLOOKUP(CONCATENATE(H316,F316,FR$2),GeoHis!$A:$H,7,FALSE)=CF316,1,0)</f>
        <v>#N/A</v>
      </c>
      <c r="FS316" s="138" t="e">
        <f>IF(VLOOKUP(CONCATENATE(H316,F316,FS$2),GeoHis!$A:$H,7,FALSE)=CG316,1,0)</f>
        <v>#N/A</v>
      </c>
      <c r="FT316" s="138" t="e">
        <f>IF(VLOOKUP(CONCATENATE(H316,F316,FT$2),GeoHis!$A:$H,7,FALSE)=CH316,1,0)</f>
        <v>#N/A</v>
      </c>
      <c r="FU316" s="138" t="e">
        <f>IF(VLOOKUP(CONCATENATE(H316,F316,FU$2),GeoHis!$A:$H,7,FALSE)=CI316,1,0)</f>
        <v>#N/A</v>
      </c>
      <c r="FV316" s="138" t="e">
        <f>IF(VLOOKUP(CONCATENATE(H316,F316,FV$2),GeoHis!$A:$H,7,FALSE)=CJ316,1,0)</f>
        <v>#N/A</v>
      </c>
      <c r="FW316" s="138" t="e">
        <f>IF(VLOOKUP(CONCATENATE(H316,F316,FW$2),GeoHis!$A:$H,7,FALSE)=CK316,1,0)</f>
        <v>#N/A</v>
      </c>
      <c r="FX316" s="138" t="e">
        <f>IF(VLOOKUP(CONCATENATE(H316,F316,FX$2),GeoHis!$A:$H,7,FALSE)=CL316,1,0)</f>
        <v>#N/A</v>
      </c>
      <c r="FY316" s="138" t="e">
        <f>IF(VLOOKUP(CONCATENATE(H316,F316,FY$2),GeoHis!$A:$H,7,FALSE)=CM316,1,0)</f>
        <v>#N/A</v>
      </c>
      <c r="FZ316" s="138" t="e">
        <f>IF(VLOOKUP(CONCATENATE(H316,F316,FZ$2),GeoHis!$A:$H,7,FALSE)=CN316,1,0)</f>
        <v>#N/A</v>
      </c>
      <c r="GA316" s="138" t="e">
        <f>IF(VLOOKUP(CONCATENATE(H316,F316,GA$2),GeoHis!$A:$H,7,FALSE)=CO316,1,0)</f>
        <v>#N/A</v>
      </c>
      <c r="GB316" s="138" t="e">
        <f>IF(VLOOKUP(CONCATENATE(H316,F316,GB$2),GeoHis!$A:$H,7,FALSE)=CP316,1,0)</f>
        <v>#N/A</v>
      </c>
      <c r="GC316" s="138" t="e">
        <f>IF(VLOOKUP(CONCATENATE(H316,F316,GC$2),GeoHis!$A:$H,7,FALSE)=CQ316,1,0)</f>
        <v>#N/A</v>
      </c>
      <c r="GD316" s="138" t="e">
        <f>IF(VLOOKUP(CONCATENATE(H316,F316,GD$2),GeoHis!$A:$H,7,FALSE)=CR316,1,0)</f>
        <v>#N/A</v>
      </c>
      <c r="GE316" s="135" t="str">
        <f t="shared" si="39"/>
        <v/>
      </c>
    </row>
    <row r="317" spans="1:187" x14ac:dyDescent="0.25">
      <c r="A317" s="127" t="str">
        <f>IF(C317="","",'Datos Generales'!$A$25)</f>
        <v/>
      </c>
      <c r="D317" s="126" t="str">
        <f t="shared" si="32"/>
        <v/>
      </c>
      <c r="E317" s="126">
        <f t="shared" si="33"/>
        <v>0</v>
      </c>
      <c r="F317" s="126" t="str">
        <f t="shared" si="34"/>
        <v/>
      </c>
      <c r="G317" s="126" t="str">
        <f>IF(C317="","",'Datos Generales'!$D$19)</f>
        <v/>
      </c>
      <c r="H317" s="21" t="str">
        <f>IF(C317="","",'Datos Generales'!$A$19)</f>
        <v/>
      </c>
      <c r="I317" s="126" t="str">
        <f>IF(C317="","",'Datos Generales'!$A$7)</f>
        <v/>
      </c>
      <c r="J317" s="21" t="str">
        <f>IF(C317="","",'Datos Generales'!$A$13)</f>
        <v/>
      </c>
      <c r="K317" s="21" t="str">
        <f>IF(C317="","",'Datos Generales'!$A$10)</f>
        <v/>
      </c>
      <c r="CS317" s="142" t="str">
        <f t="shared" si="35"/>
        <v/>
      </c>
      <c r="CT317" s="142" t="str">
        <f t="shared" si="36"/>
        <v/>
      </c>
      <c r="CU317" s="142" t="str">
        <f t="shared" si="37"/>
        <v/>
      </c>
      <c r="CV317" s="142" t="str">
        <f t="shared" si="38"/>
        <v/>
      </c>
      <c r="CW317" s="142" t="str">
        <f>IF(C317="","",IF('Datos Generales'!$A$19=1,AVERAGE(FP317:GD317),AVERAGE(Captura!FP317:FY317)))</f>
        <v/>
      </c>
      <c r="CX317" s="138" t="e">
        <f>IF(VLOOKUP(CONCATENATE($H$4,$F$4,CX$2),Español!$A:$H,7,FALSE)=L317,1,0)</f>
        <v>#N/A</v>
      </c>
      <c r="CY317" s="138" t="e">
        <f>IF(VLOOKUP(CONCATENATE(H317,F317,CY$2),Español!$A:$H,7,FALSE)=M317,1,0)</f>
        <v>#N/A</v>
      </c>
      <c r="CZ317" s="138" t="e">
        <f>IF(VLOOKUP(CONCATENATE(H317,F317,CZ$2),Español!$A:$H,7,FALSE)=N317,1,0)</f>
        <v>#N/A</v>
      </c>
      <c r="DA317" s="138" t="e">
        <f>IF(VLOOKUP(CONCATENATE(H317,F317,DA$2),Español!$A:$H,7,FALSE)=O317,1,0)</f>
        <v>#N/A</v>
      </c>
      <c r="DB317" s="138" t="e">
        <f>IF(VLOOKUP(CONCATENATE(H317,F317,DB$2),Español!$A:$H,7,FALSE)=P317,1,0)</f>
        <v>#N/A</v>
      </c>
      <c r="DC317" s="138" t="e">
        <f>IF(VLOOKUP(CONCATENATE(H317,F317,DC$2),Español!$A:$H,7,FALSE)=Q317,1,0)</f>
        <v>#N/A</v>
      </c>
      <c r="DD317" s="138" t="e">
        <f>IF(VLOOKUP(CONCATENATE(H317,F317,DD$2),Español!$A:$H,7,FALSE)=R317,1,0)</f>
        <v>#N/A</v>
      </c>
      <c r="DE317" s="138" t="e">
        <f>IF(VLOOKUP(CONCATENATE(H317,F317,DE$2),Español!$A:$H,7,FALSE)=S317,1,0)</f>
        <v>#N/A</v>
      </c>
      <c r="DF317" s="138" t="e">
        <f>IF(VLOOKUP(CONCATENATE(H317,F317,DF$2),Español!$A:$H,7,FALSE)=T317,1,0)</f>
        <v>#N/A</v>
      </c>
      <c r="DG317" s="138" t="e">
        <f>IF(VLOOKUP(CONCATENATE(H317,F317,DG$2),Español!$A:$H,7,FALSE)=U317,1,0)</f>
        <v>#N/A</v>
      </c>
      <c r="DH317" s="138" t="e">
        <f>IF(VLOOKUP(CONCATENATE(H317,F317,DH$2),Español!$A:$H,7,FALSE)=V317,1,0)</f>
        <v>#N/A</v>
      </c>
      <c r="DI317" s="138" t="e">
        <f>IF(VLOOKUP(CONCATENATE(H317,F317,DI$2),Español!$A:$H,7,FALSE)=W317,1,0)</f>
        <v>#N/A</v>
      </c>
      <c r="DJ317" s="138" t="e">
        <f>IF(VLOOKUP(CONCATENATE(H317,F317,DJ$2),Español!$A:$H,7,FALSE)=X317,1,0)</f>
        <v>#N/A</v>
      </c>
      <c r="DK317" s="138" t="e">
        <f>IF(VLOOKUP(CONCATENATE(H317,F317,DK$2),Español!$A:$H,7,FALSE)=Y317,1,0)</f>
        <v>#N/A</v>
      </c>
      <c r="DL317" s="138" t="e">
        <f>IF(VLOOKUP(CONCATENATE(H317,F317,DL$2),Español!$A:$H,7,FALSE)=Z317,1,0)</f>
        <v>#N/A</v>
      </c>
      <c r="DM317" s="138" t="e">
        <f>IF(VLOOKUP(CONCATENATE(H317,F317,DM$2),Español!$A:$H,7,FALSE)=AA317,1,0)</f>
        <v>#N/A</v>
      </c>
      <c r="DN317" s="138" t="e">
        <f>IF(VLOOKUP(CONCATENATE(H317,F317,DN$2),Español!$A:$H,7,FALSE)=AB317,1,0)</f>
        <v>#N/A</v>
      </c>
      <c r="DO317" s="138" t="e">
        <f>IF(VLOOKUP(CONCATENATE(H317,F317,DO$2),Español!$A:$H,7,FALSE)=AC317,1,0)</f>
        <v>#N/A</v>
      </c>
      <c r="DP317" s="138" t="e">
        <f>IF(VLOOKUP(CONCATENATE(H317,F317,DP$2),Español!$A:$H,7,FALSE)=AD317,1,0)</f>
        <v>#N/A</v>
      </c>
      <c r="DQ317" s="138" t="e">
        <f>IF(VLOOKUP(CONCATENATE(H317,F317,DQ$2),Español!$A:$H,7,FALSE)=AE317,1,0)</f>
        <v>#N/A</v>
      </c>
      <c r="DR317" s="138" t="e">
        <f>IF(VLOOKUP(CONCATENATE(H317,F317,DR$2),Inglés!$A:$H,7,FALSE)=AF317,1,0)</f>
        <v>#N/A</v>
      </c>
      <c r="DS317" s="138" t="e">
        <f>IF(VLOOKUP(CONCATENATE(H317,F317,DS$2),Inglés!$A:$H,7,FALSE)=AG317,1,0)</f>
        <v>#N/A</v>
      </c>
      <c r="DT317" s="138" t="e">
        <f>IF(VLOOKUP(CONCATENATE(H317,F317,DT$2),Inglés!$A:$H,7,FALSE)=AH317,1,0)</f>
        <v>#N/A</v>
      </c>
      <c r="DU317" s="138" t="e">
        <f>IF(VLOOKUP(CONCATENATE(H317,F317,DU$2),Inglés!$A:$H,7,FALSE)=AI317,1,0)</f>
        <v>#N/A</v>
      </c>
      <c r="DV317" s="138" t="e">
        <f>IF(VLOOKUP(CONCATENATE(H317,F317,DV$2),Inglés!$A:$H,7,FALSE)=AJ317,1,0)</f>
        <v>#N/A</v>
      </c>
      <c r="DW317" s="138" t="e">
        <f>IF(VLOOKUP(CONCATENATE(H317,F317,DW$2),Inglés!$A:$H,7,FALSE)=AK317,1,0)</f>
        <v>#N/A</v>
      </c>
      <c r="DX317" s="138" t="e">
        <f>IF(VLOOKUP(CONCATENATE(H317,F317,DX$2),Inglés!$A:$H,7,FALSE)=AL317,1,0)</f>
        <v>#N/A</v>
      </c>
      <c r="DY317" s="138" t="e">
        <f>IF(VLOOKUP(CONCATENATE(H317,F317,DY$2),Inglés!$A:$H,7,FALSE)=AM317,1,0)</f>
        <v>#N/A</v>
      </c>
      <c r="DZ317" s="138" t="e">
        <f>IF(VLOOKUP(CONCATENATE(H317,F317,DZ$2),Inglés!$A:$H,7,FALSE)=AN317,1,0)</f>
        <v>#N/A</v>
      </c>
      <c r="EA317" s="138" t="e">
        <f>IF(VLOOKUP(CONCATENATE(H317,F317,EA$2),Inglés!$A:$H,7,FALSE)=AO317,1,0)</f>
        <v>#N/A</v>
      </c>
      <c r="EB317" s="138" t="e">
        <f>IF(VLOOKUP(CONCATENATE(H317,F317,EB$2),Matemáticas!$A:$H,7,FALSE)=AP317,1,0)</f>
        <v>#N/A</v>
      </c>
      <c r="EC317" s="138" t="e">
        <f>IF(VLOOKUP(CONCATENATE(H317,F317,EC$2),Matemáticas!$A:$H,7,FALSE)=AQ317,1,0)</f>
        <v>#N/A</v>
      </c>
      <c r="ED317" s="138" t="e">
        <f>IF(VLOOKUP(CONCATENATE(H317,F317,ED$2),Matemáticas!$A:$H,7,FALSE)=AR317,1,0)</f>
        <v>#N/A</v>
      </c>
      <c r="EE317" s="138" t="e">
        <f>IF(VLOOKUP(CONCATENATE(H317,F317,EE$2),Matemáticas!$A:$H,7,FALSE)=AS317,1,0)</f>
        <v>#N/A</v>
      </c>
      <c r="EF317" s="138" t="e">
        <f>IF(VLOOKUP(CONCATENATE(H317,F317,EF$2),Matemáticas!$A:$H,7,FALSE)=AT317,1,0)</f>
        <v>#N/A</v>
      </c>
      <c r="EG317" s="138" t="e">
        <f>IF(VLOOKUP(CONCATENATE(H317,F317,EG$2),Matemáticas!$A:$H,7,FALSE)=AU317,1,0)</f>
        <v>#N/A</v>
      </c>
      <c r="EH317" s="138" t="e">
        <f>IF(VLOOKUP(CONCATENATE(H317,F317,EH$2),Matemáticas!$A:$H,7,FALSE)=AV317,1,0)</f>
        <v>#N/A</v>
      </c>
      <c r="EI317" s="138" t="e">
        <f>IF(VLOOKUP(CONCATENATE(H317,F317,EI$2),Matemáticas!$A:$H,7,FALSE)=AW317,1,0)</f>
        <v>#N/A</v>
      </c>
      <c r="EJ317" s="138" t="e">
        <f>IF(VLOOKUP(CONCATENATE(H317,F317,EJ$2),Matemáticas!$A:$H,7,FALSE)=AX317,1,0)</f>
        <v>#N/A</v>
      </c>
      <c r="EK317" s="138" t="e">
        <f>IF(VLOOKUP(CONCATENATE(H317,F317,EK$2),Matemáticas!$A:$H,7,FALSE)=AY317,1,0)</f>
        <v>#N/A</v>
      </c>
      <c r="EL317" s="138" t="e">
        <f>IF(VLOOKUP(CONCATENATE(H317,F317,EL$2),Matemáticas!$A:$H,7,FALSE)=AZ317,1,0)</f>
        <v>#N/A</v>
      </c>
      <c r="EM317" s="138" t="e">
        <f>IF(VLOOKUP(CONCATENATE(H317,F317,EM$2),Matemáticas!$A:$H,7,FALSE)=BA317,1,0)</f>
        <v>#N/A</v>
      </c>
      <c r="EN317" s="138" t="e">
        <f>IF(VLOOKUP(CONCATENATE(H317,F317,EN$2),Matemáticas!$A:$H,7,FALSE)=BB317,1,0)</f>
        <v>#N/A</v>
      </c>
      <c r="EO317" s="138" t="e">
        <f>IF(VLOOKUP(CONCATENATE(H317,F317,EO$2),Matemáticas!$A:$H,7,FALSE)=BC317,1,0)</f>
        <v>#N/A</v>
      </c>
      <c r="EP317" s="138" t="e">
        <f>IF(VLOOKUP(CONCATENATE(H317,F317,EP$2),Matemáticas!$A:$H,7,FALSE)=BD317,1,0)</f>
        <v>#N/A</v>
      </c>
      <c r="EQ317" s="138" t="e">
        <f>IF(VLOOKUP(CONCATENATE(H317,F317,EQ$2),Matemáticas!$A:$H,7,FALSE)=BE317,1,0)</f>
        <v>#N/A</v>
      </c>
      <c r="ER317" s="138" t="e">
        <f>IF(VLOOKUP(CONCATENATE(H317,F317,ER$2),Matemáticas!$A:$H,7,FALSE)=BF317,1,0)</f>
        <v>#N/A</v>
      </c>
      <c r="ES317" s="138" t="e">
        <f>IF(VLOOKUP(CONCATENATE(H317,F317,ES$2),Matemáticas!$A:$H,7,FALSE)=BG317,1,0)</f>
        <v>#N/A</v>
      </c>
      <c r="ET317" s="138" t="e">
        <f>IF(VLOOKUP(CONCATENATE(H317,F317,ET$2),Matemáticas!$A:$H,7,FALSE)=BH317,1,0)</f>
        <v>#N/A</v>
      </c>
      <c r="EU317" s="138" t="e">
        <f>IF(VLOOKUP(CONCATENATE(H317,F317,EU$2),Matemáticas!$A:$H,7,FALSE)=BI317,1,0)</f>
        <v>#N/A</v>
      </c>
      <c r="EV317" s="138" t="e">
        <f>IF(VLOOKUP(CONCATENATE(H317,F317,EV$2),Ciencias!$A:$H,7,FALSE)=BJ317,1,0)</f>
        <v>#N/A</v>
      </c>
      <c r="EW317" s="138" t="e">
        <f>IF(VLOOKUP(CONCATENATE(H317,F317,EW$2),Ciencias!$A:$H,7,FALSE)=BK317,1,0)</f>
        <v>#N/A</v>
      </c>
      <c r="EX317" s="138" t="e">
        <f>IF(VLOOKUP(CONCATENATE(H317,F317,EX$2),Ciencias!$A:$H,7,FALSE)=BL317,1,0)</f>
        <v>#N/A</v>
      </c>
      <c r="EY317" s="138" t="e">
        <f>IF(VLOOKUP(CONCATENATE(H317,F317,EY$2),Ciencias!$A:$H,7,FALSE)=BM317,1,0)</f>
        <v>#N/A</v>
      </c>
      <c r="EZ317" s="138" t="e">
        <f>IF(VLOOKUP(CONCATENATE(H317,F317,EZ$2),Ciencias!$A:$H,7,FALSE)=BN317,1,0)</f>
        <v>#N/A</v>
      </c>
      <c r="FA317" s="138" t="e">
        <f>IF(VLOOKUP(CONCATENATE(H317,F317,FA$2),Ciencias!$A:$H,7,FALSE)=BO317,1,0)</f>
        <v>#N/A</v>
      </c>
      <c r="FB317" s="138" t="e">
        <f>IF(VLOOKUP(CONCATENATE(H317,F317,FB$2),Ciencias!$A:$H,7,FALSE)=BP317,1,0)</f>
        <v>#N/A</v>
      </c>
      <c r="FC317" s="138" t="e">
        <f>IF(VLOOKUP(CONCATENATE(H317,F317,FC$2),Ciencias!$A:$H,7,FALSE)=BQ317,1,0)</f>
        <v>#N/A</v>
      </c>
      <c r="FD317" s="138" t="e">
        <f>IF(VLOOKUP(CONCATENATE(H317,F317,FD$2),Ciencias!$A:$H,7,FALSE)=BR317,1,0)</f>
        <v>#N/A</v>
      </c>
      <c r="FE317" s="138" t="e">
        <f>IF(VLOOKUP(CONCATENATE(H317,F317,FE$2),Ciencias!$A:$H,7,FALSE)=BS317,1,0)</f>
        <v>#N/A</v>
      </c>
      <c r="FF317" s="138" t="e">
        <f>IF(VLOOKUP(CONCATENATE(H317,F317,FF$2),Ciencias!$A:$H,7,FALSE)=BT317,1,0)</f>
        <v>#N/A</v>
      </c>
      <c r="FG317" s="138" t="e">
        <f>IF(VLOOKUP(CONCATENATE(H317,F317,FG$2),Ciencias!$A:$H,7,FALSE)=BU317,1,0)</f>
        <v>#N/A</v>
      </c>
      <c r="FH317" s="138" t="e">
        <f>IF(VLOOKUP(CONCATENATE(H317,F317,FH$2),Ciencias!$A:$H,7,FALSE)=BV317,1,0)</f>
        <v>#N/A</v>
      </c>
      <c r="FI317" s="138" t="e">
        <f>IF(VLOOKUP(CONCATENATE(H317,F317,FI$2),Ciencias!$A:$H,7,FALSE)=BW317,1,0)</f>
        <v>#N/A</v>
      </c>
      <c r="FJ317" s="138" t="e">
        <f>IF(VLOOKUP(CONCATENATE(H317,F317,FJ$2),Ciencias!$A:$H,7,FALSE)=BX317,1,0)</f>
        <v>#N/A</v>
      </c>
      <c r="FK317" s="138" t="e">
        <f>IF(VLOOKUP(CONCATENATE(H317,F317,FK$2),Ciencias!$A:$H,7,FALSE)=BY317,1,0)</f>
        <v>#N/A</v>
      </c>
      <c r="FL317" s="138" t="e">
        <f>IF(VLOOKUP(CONCATENATE(H317,F317,FL$2),Ciencias!$A:$H,7,FALSE)=BZ317,1,0)</f>
        <v>#N/A</v>
      </c>
      <c r="FM317" s="138" t="e">
        <f>IF(VLOOKUP(CONCATENATE(H317,F317,FM$2),Ciencias!$A:$H,7,FALSE)=CA317,1,0)</f>
        <v>#N/A</v>
      </c>
      <c r="FN317" s="138" t="e">
        <f>IF(VLOOKUP(CONCATENATE(H317,F317,FN$2),Ciencias!$A:$H,7,FALSE)=CB317,1,0)</f>
        <v>#N/A</v>
      </c>
      <c r="FO317" s="138" t="e">
        <f>IF(VLOOKUP(CONCATENATE(H317,F317,FO$2),Ciencias!$A:$H,7,FALSE)=CC317,1,0)</f>
        <v>#N/A</v>
      </c>
      <c r="FP317" s="138" t="e">
        <f>IF(VLOOKUP(CONCATENATE(H317,F317,FP$2),GeoHis!$A:$H,7,FALSE)=CD317,1,0)</f>
        <v>#N/A</v>
      </c>
      <c r="FQ317" s="138" t="e">
        <f>IF(VLOOKUP(CONCATENATE(H317,F317,FQ$2),GeoHis!$A:$H,7,FALSE)=CE317,1,0)</f>
        <v>#N/A</v>
      </c>
      <c r="FR317" s="138" t="e">
        <f>IF(VLOOKUP(CONCATENATE(H317,F317,FR$2),GeoHis!$A:$H,7,FALSE)=CF317,1,0)</f>
        <v>#N/A</v>
      </c>
      <c r="FS317" s="138" t="e">
        <f>IF(VLOOKUP(CONCATENATE(H317,F317,FS$2),GeoHis!$A:$H,7,FALSE)=CG317,1,0)</f>
        <v>#N/A</v>
      </c>
      <c r="FT317" s="138" t="e">
        <f>IF(VLOOKUP(CONCATENATE(H317,F317,FT$2),GeoHis!$A:$H,7,FALSE)=CH317,1,0)</f>
        <v>#N/A</v>
      </c>
      <c r="FU317" s="138" t="e">
        <f>IF(VLOOKUP(CONCATENATE(H317,F317,FU$2),GeoHis!$A:$H,7,FALSE)=CI317,1,0)</f>
        <v>#N/A</v>
      </c>
      <c r="FV317" s="138" t="e">
        <f>IF(VLOOKUP(CONCATENATE(H317,F317,FV$2),GeoHis!$A:$H,7,FALSE)=CJ317,1,0)</f>
        <v>#N/A</v>
      </c>
      <c r="FW317" s="138" t="e">
        <f>IF(VLOOKUP(CONCATENATE(H317,F317,FW$2),GeoHis!$A:$H,7,FALSE)=CK317,1,0)</f>
        <v>#N/A</v>
      </c>
      <c r="FX317" s="138" t="e">
        <f>IF(VLOOKUP(CONCATENATE(H317,F317,FX$2),GeoHis!$A:$H,7,FALSE)=CL317,1,0)</f>
        <v>#N/A</v>
      </c>
      <c r="FY317" s="138" t="e">
        <f>IF(VLOOKUP(CONCATENATE(H317,F317,FY$2),GeoHis!$A:$H,7,FALSE)=CM317,1,0)</f>
        <v>#N/A</v>
      </c>
      <c r="FZ317" s="138" t="e">
        <f>IF(VLOOKUP(CONCATENATE(H317,F317,FZ$2),GeoHis!$A:$H,7,FALSE)=CN317,1,0)</f>
        <v>#N/A</v>
      </c>
      <c r="GA317" s="138" t="e">
        <f>IF(VLOOKUP(CONCATENATE(H317,F317,GA$2),GeoHis!$A:$H,7,FALSE)=CO317,1,0)</f>
        <v>#N/A</v>
      </c>
      <c r="GB317" s="138" t="e">
        <f>IF(VLOOKUP(CONCATENATE(H317,F317,GB$2),GeoHis!$A:$H,7,FALSE)=CP317,1,0)</f>
        <v>#N/A</v>
      </c>
      <c r="GC317" s="138" t="e">
        <f>IF(VLOOKUP(CONCATENATE(H317,F317,GC$2),GeoHis!$A:$H,7,FALSE)=CQ317,1,0)</f>
        <v>#N/A</v>
      </c>
      <c r="GD317" s="138" t="e">
        <f>IF(VLOOKUP(CONCATENATE(H317,F317,GD$2),GeoHis!$A:$H,7,FALSE)=CR317,1,0)</f>
        <v>#N/A</v>
      </c>
      <c r="GE317" s="135" t="str">
        <f t="shared" si="39"/>
        <v/>
      </c>
    </row>
    <row r="318" spans="1:187" x14ac:dyDescent="0.25">
      <c r="A318" s="127" t="str">
        <f>IF(C318="","",'Datos Generales'!$A$25)</f>
        <v/>
      </c>
      <c r="D318" s="126" t="str">
        <f t="shared" si="32"/>
        <v/>
      </c>
      <c r="E318" s="126">
        <f t="shared" si="33"/>
        <v>0</v>
      </c>
      <c r="F318" s="126" t="str">
        <f t="shared" si="34"/>
        <v/>
      </c>
      <c r="G318" s="126" t="str">
        <f>IF(C318="","",'Datos Generales'!$D$19)</f>
        <v/>
      </c>
      <c r="H318" s="21" t="str">
        <f>IF(C318="","",'Datos Generales'!$A$19)</f>
        <v/>
      </c>
      <c r="I318" s="126" t="str">
        <f>IF(C318="","",'Datos Generales'!$A$7)</f>
        <v/>
      </c>
      <c r="J318" s="21" t="str">
        <f>IF(C318="","",'Datos Generales'!$A$13)</f>
        <v/>
      </c>
      <c r="K318" s="21" t="str">
        <f>IF(C318="","",'Datos Generales'!$A$10)</f>
        <v/>
      </c>
      <c r="CS318" s="142" t="str">
        <f t="shared" si="35"/>
        <v/>
      </c>
      <c r="CT318" s="142" t="str">
        <f t="shared" si="36"/>
        <v/>
      </c>
      <c r="CU318" s="142" t="str">
        <f t="shared" si="37"/>
        <v/>
      </c>
      <c r="CV318" s="142" t="str">
        <f t="shared" si="38"/>
        <v/>
      </c>
      <c r="CW318" s="142" t="str">
        <f>IF(C318="","",IF('Datos Generales'!$A$19=1,AVERAGE(FP318:GD318),AVERAGE(Captura!FP318:FY318)))</f>
        <v/>
      </c>
      <c r="CX318" s="138" t="e">
        <f>IF(VLOOKUP(CONCATENATE($H$4,$F$4,CX$2),Español!$A:$H,7,FALSE)=L318,1,0)</f>
        <v>#N/A</v>
      </c>
      <c r="CY318" s="138" t="e">
        <f>IF(VLOOKUP(CONCATENATE(H318,F318,CY$2),Español!$A:$H,7,FALSE)=M318,1,0)</f>
        <v>#N/A</v>
      </c>
      <c r="CZ318" s="138" t="e">
        <f>IF(VLOOKUP(CONCATENATE(H318,F318,CZ$2),Español!$A:$H,7,FALSE)=N318,1,0)</f>
        <v>#N/A</v>
      </c>
      <c r="DA318" s="138" t="e">
        <f>IF(VLOOKUP(CONCATENATE(H318,F318,DA$2),Español!$A:$H,7,FALSE)=O318,1,0)</f>
        <v>#N/A</v>
      </c>
      <c r="DB318" s="138" t="e">
        <f>IF(VLOOKUP(CONCATENATE(H318,F318,DB$2),Español!$A:$H,7,FALSE)=P318,1,0)</f>
        <v>#N/A</v>
      </c>
      <c r="DC318" s="138" t="e">
        <f>IF(VLOOKUP(CONCATENATE(H318,F318,DC$2),Español!$A:$H,7,FALSE)=Q318,1,0)</f>
        <v>#N/A</v>
      </c>
      <c r="DD318" s="138" t="e">
        <f>IF(VLOOKUP(CONCATENATE(H318,F318,DD$2),Español!$A:$H,7,FALSE)=R318,1,0)</f>
        <v>#N/A</v>
      </c>
      <c r="DE318" s="138" t="e">
        <f>IF(VLOOKUP(CONCATENATE(H318,F318,DE$2),Español!$A:$H,7,FALSE)=S318,1,0)</f>
        <v>#N/A</v>
      </c>
      <c r="DF318" s="138" t="e">
        <f>IF(VLOOKUP(CONCATENATE(H318,F318,DF$2),Español!$A:$H,7,FALSE)=T318,1,0)</f>
        <v>#N/A</v>
      </c>
      <c r="DG318" s="138" t="e">
        <f>IF(VLOOKUP(CONCATENATE(H318,F318,DG$2),Español!$A:$H,7,FALSE)=U318,1,0)</f>
        <v>#N/A</v>
      </c>
      <c r="DH318" s="138" t="e">
        <f>IF(VLOOKUP(CONCATENATE(H318,F318,DH$2),Español!$A:$H,7,FALSE)=V318,1,0)</f>
        <v>#N/A</v>
      </c>
      <c r="DI318" s="138" t="e">
        <f>IF(VLOOKUP(CONCATENATE(H318,F318,DI$2),Español!$A:$H,7,FALSE)=W318,1,0)</f>
        <v>#N/A</v>
      </c>
      <c r="DJ318" s="138" t="e">
        <f>IF(VLOOKUP(CONCATENATE(H318,F318,DJ$2),Español!$A:$H,7,FALSE)=X318,1,0)</f>
        <v>#N/A</v>
      </c>
      <c r="DK318" s="138" t="e">
        <f>IF(VLOOKUP(CONCATENATE(H318,F318,DK$2),Español!$A:$H,7,FALSE)=Y318,1,0)</f>
        <v>#N/A</v>
      </c>
      <c r="DL318" s="138" t="e">
        <f>IF(VLOOKUP(CONCATENATE(H318,F318,DL$2),Español!$A:$H,7,FALSE)=Z318,1,0)</f>
        <v>#N/A</v>
      </c>
      <c r="DM318" s="138" t="e">
        <f>IF(VLOOKUP(CONCATENATE(H318,F318,DM$2),Español!$A:$H,7,FALSE)=AA318,1,0)</f>
        <v>#N/A</v>
      </c>
      <c r="DN318" s="138" t="e">
        <f>IF(VLOOKUP(CONCATENATE(H318,F318,DN$2),Español!$A:$H,7,FALSE)=AB318,1,0)</f>
        <v>#N/A</v>
      </c>
      <c r="DO318" s="138" t="e">
        <f>IF(VLOOKUP(CONCATENATE(H318,F318,DO$2),Español!$A:$H,7,FALSE)=AC318,1,0)</f>
        <v>#N/A</v>
      </c>
      <c r="DP318" s="138" t="e">
        <f>IF(VLOOKUP(CONCATENATE(H318,F318,DP$2),Español!$A:$H,7,FALSE)=AD318,1,0)</f>
        <v>#N/A</v>
      </c>
      <c r="DQ318" s="138" t="e">
        <f>IF(VLOOKUP(CONCATENATE(H318,F318,DQ$2),Español!$A:$H,7,FALSE)=AE318,1,0)</f>
        <v>#N/A</v>
      </c>
      <c r="DR318" s="138" t="e">
        <f>IF(VLOOKUP(CONCATENATE(H318,F318,DR$2),Inglés!$A:$H,7,FALSE)=AF318,1,0)</f>
        <v>#N/A</v>
      </c>
      <c r="DS318" s="138" t="e">
        <f>IF(VLOOKUP(CONCATENATE(H318,F318,DS$2),Inglés!$A:$H,7,FALSE)=AG318,1,0)</f>
        <v>#N/A</v>
      </c>
      <c r="DT318" s="138" t="e">
        <f>IF(VLOOKUP(CONCATENATE(H318,F318,DT$2),Inglés!$A:$H,7,FALSE)=AH318,1,0)</f>
        <v>#N/A</v>
      </c>
      <c r="DU318" s="138" t="e">
        <f>IF(VLOOKUP(CONCATENATE(H318,F318,DU$2),Inglés!$A:$H,7,FALSE)=AI318,1,0)</f>
        <v>#N/A</v>
      </c>
      <c r="DV318" s="138" t="e">
        <f>IF(VLOOKUP(CONCATENATE(H318,F318,DV$2),Inglés!$A:$H,7,FALSE)=AJ318,1,0)</f>
        <v>#N/A</v>
      </c>
      <c r="DW318" s="138" t="e">
        <f>IF(VLOOKUP(CONCATENATE(H318,F318,DW$2),Inglés!$A:$H,7,FALSE)=AK318,1,0)</f>
        <v>#N/A</v>
      </c>
      <c r="DX318" s="138" t="e">
        <f>IF(VLOOKUP(CONCATENATE(H318,F318,DX$2),Inglés!$A:$H,7,FALSE)=AL318,1,0)</f>
        <v>#N/A</v>
      </c>
      <c r="DY318" s="138" t="e">
        <f>IF(VLOOKUP(CONCATENATE(H318,F318,DY$2),Inglés!$A:$H,7,FALSE)=AM318,1,0)</f>
        <v>#N/A</v>
      </c>
      <c r="DZ318" s="138" t="e">
        <f>IF(VLOOKUP(CONCATENATE(H318,F318,DZ$2),Inglés!$A:$H,7,FALSE)=AN318,1,0)</f>
        <v>#N/A</v>
      </c>
      <c r="EA318" s="138" t="e">
        <f>IF(VLOOKUP(CONCATENATE(H318,F318,EA$2),Inglés!$A:$H,7,FALSE)=AO318,1,0)</f>
        <v>#N/A</v>
      </c>
      <c r="EB318" s="138" t="e">
        <f>IF(VLOOKUP(CONCATENATE(H318,F318,EB$2),Matemáticas!$A:$H,7,FALSE)=AP318,1,0)</f>
        <v>#N/A</v>
      </c>
      <c r="EC318" s="138" t="e">
        <f>IF(VLOOKUP(CONCATENATE(H318,F318,EC$2),Matemáticas!$A:$H,7,FALSE)=AQ318,1,0)</f>
        <v>#N/A</v>
      </c>
      <c r="ED318" s="138" t="e">
        <f>IF(VLOOKUP(CONCATENATE(H318,F318,ED$2),Matemáticas!$A:$H,7,FALSE)=AR318,1,0)</f>
        <v>#N/A</v>
      </c>
      <c r="EE318" s="138" t="e">
        <f>IF(VLOOKUP(CONCATENATE(H318,F318,EE$2),Matemáticas!$A:$H,7,FALSE)=AS318,1,0)</f>
        <v>#N/A</v>
      </c>
      <c r="EF318" s="138" t="e">
        <f>IF(VLOOKUP(CONCATENATE(H318,F318,EF$2),Matemáticas!$A:$H,7,FALSE)=AT318,1,0)</f>
        <v>#N/A</v>
      </c>
      <c r="EG318" s="138" t="e">
        <f>IF(VLOOKUP(CONCATENATE(H318,F318,EG$2),Matemáticas!$A:$H,7,FALSE)=AU318,1,0)</f>
        <v>#N/A</v>
      </c>
      <c r="EH318" s="138" t="e">
        <f>IF(VLOOKUP(CONCATENATE(H318,F318,EH$2),Matemáticas!$A:$H,7,FALSE)=AV318,1,0)</f>
        <v>#N/A</v>
      </c>
      <c r="EI318" s="138" t="e">
        <f>IF(VLOOKUP(CONCATENATE(H318,F318,EI$2),Matemáticas!$A:$H,7,FALSE)=AW318,1,0)</f>
        <v>#N/A</v>
      </c>
      <c r="EJ318" s="138" t="e">
        <f>IF(VLOOKUP(CONCATENATE(H318,F318,EJ$2),Matemáticas!$A:$H,7,FALSE)=AX318,1,0)</f>
        <v>#N/A</v>
      </c>
      <c r="EK318" s="138" t="e">
        <f>IF(VLOOKUP(CONCATENATE(H318,F318,EK$2),Matemáticas!$A:$H,7,FALSE)=AY318,1,0)</f>
        <v>#N/A</v>
      </c>
      <c r="EL318" s="138" t="e">
        <f>IF(VLOOKUP(CONCATENATE(H318,F318,EL$2),Matemáticas!$A:$H,7,FALSE)=AZ318,1,0)</f>
        <v>#N/A</v>
      </c>
      <c r="EM318" s="138" t="e">
        <f>IF(VLOOKUP(CONCATENATE(H318,F318,EM$2),Matemáticas!$A:$H,7,FALSE)=BA318,1,0)</f>
        <v>#N/A</v>
      </c>
      <c r="EN318" s="138" t="e">
        <f>IF(VLOOKUP(CONCATENATE(H318,F318,EN$2),Matemáticas!$A:$H,7,FALSE)=BB318,1,0)</f>
        <v>#N/A</v>
      </c>
      <c r="EO318" s="138" t="e">
        <f>IF(VLOOKUP(CONCATENATE(H318,F318,EO$2),Matemáticas!$A:$H,7,FALSE)=BC318,1,0)</f>
        <v>#N/A</v>
      </c>
      <c r="EP318" s="138" t="e">
        <f>IF(VLOOKUP(CONCATENATE(H318,F318,EP$2),Matemáticas!$A:$H,7,FALSE)=BD318,1,0)</f>
        <v>#N/A</v>
      </c>
      <c r="EQ318" s="138" t="e">
        <f>IF(VLOOKUP(CONCATENATE(H318,F318,EQ$2),Matemáticas!$A:$H,7,FALSE)=BE318,1,0)</f>
        <v>#N/A</v>
      </c>
      <c r="ER318" s="138" t="e">
        <f>IF(VLOOKUP(CONCATENATE(H318,F318,ER$2),Matemáticas!$A:$H,7,FALSE)=BF318,1,0)</f>
        <v>#N/A</v>
      </c>
      <c r="ES318" s="138" t="e">
        <f>IF(VLOOKUP(CONCATENATE(H318,F318,ES$2),Matemáticas!$A:$H,7,FALSE)=BG318,1,0)</f>
        <v>#N/A</v>
      </c>
      <c r="ET318" s="138" t="e">
        <f>IF(VLOOKUP(CONCATENATE(H318,F318,ET$2),Matemáticas!$A:$H,7,FALSE)=BH318,1,0)</f>
        <v>#N/A</v>
      </c>
      <c r="EU318" s="138" t="e">
        <f>IF(VLOOKUP(CONCATENATE(H318,F318,EU$2),Matemáticas!$A:$H,7,FALSE)=BI318,1,0)</f>
        <v>#N/A</v>
      </c>
      <c r="EV318" s="138" t="e">
        <f>IF(VLOOKUP(CONCATENATE(H318,F318,EV$2),Ciencias!$A:$H,7,FALSE)=BJ318,1,0)</f>
        <v>#N/A</v>
      </c>
      <c r="EW318" s="138" t="e">
        <f>IF(VLOOKUP(CONCATENATE(H318,F318,EW$2),Ciencias!$A:$H,7,FALSE)=BK318,1,0)</f>
        <v>#N/A</v>
      </c>
      <c r="EX318" s="138" t="e">
        <f>IF(VLOOKUP(CONCATENATE(H318,F318,EX$2),Ciencias!$A:$H,7,FALSE)=BL318,1,0)</f>
        <v>#N/A</v>
      </c>
      <c r="EY318" s="138" t="e">
        <f>IF(VLOOKUP(CONCATENATE(H318,F318,EY$2),Ciencias!$A:$H,7,FALSE)=BM318,1,0)</f>
        <v>#N/A</v>
      </c>
      <c r="EZ318" s="138" t="e">
        <f>IF(VLOOKUP(CONCATENATE(H318,F318,EZ$2),Ciencias!$A:$H,7,FALSE)=BN318,1,0)</f>
        <v>#N/A</v>
      </c>
      <c r="FA318" s="138" t="e">
        <f>IF(VLOOKUP(CONCATENATE(H318,F318,FA$2),Ciencias!$A:$H,7,FALSE)=BO318,1,0)</f>
        <v>#N/A</v>
      </c>
      <c r="FB318" s="138" t="e">
        <f>IF(VLOOKUP(CONCATENATE(H318,F318,FB$2),Ciencias!$A:$H,7,FALSE)=BP318,1,0)</f>
        <v>#N/A</v>
      </c>
      <c r="FC318" s="138" t="e">
        <f>IF(VLOOKUP(CONCATENATE(H318,F318,FC$2),Ciencias!$A:$H,7,FALSE)=BQ318,1,0)</f>
        <v>#N/A</v>
      </c>
      <c r="FD318" s="138" t="e">
        <f>IF(VLOOKUP(CONCATENATE(H318,F318,FD$2),Ciencias!$A:$H,7,FALSE)=BR318,1,0)</f>
        <v>#N/A</v>
      </c>
      <c r="FE318" s="138" t="e">
        <f>IF(VLOOKUP(CONCATENATE(H318,F318,FE$2),Ciencias!$A:$H,7,FALSE)=BS318,1,0)</f>
        <v>#N/A</v>
      </c>
      <c r="FF318" s="138" t="e">
        <f>IF(VLOOKUP(CONCATENATE(H318,F318,FF$2),Ciencias!$A:$H,7,FALSE)=BT318,1,0)</f>
        <v>#N/A</v>
      </c>
      <c r="FG318" s="138" t="e">
        <f>IF(VLOOKUP(CONCATENATE(H318,F318,FG$2),Ciencias!$A:$H,7,FALSE)=BU318,1,0)</f>
        <v>#N/A</v>
      </c>
      <c r="FH318" s="138" t="e">
        <f>IF(VLOOKUP(CONCATENATE(H318,F318,FH$2),Ciencias!$A:$H,7,FALSE)=BV318,1,0)</f>
        <v>#N/A</v>
      </c>
      <c r="FI318" s="138" t="e">
        <f>IF(VLOOKUP(CONCATENATE(H318,F318,FI$2),Ciencias!$A:$H,7,FALSE)=BW318,1,0)</f>
        <v>#N/A</v>
      </c>
      <c r="FJ318" s="138" t="e">
        <f>IF(VLOOKUP(CONCATENATE(H318,F318,FJ$2),Ciencias!$A:$H,7,FALSE)=BX318,1,0)</f>
        <v>#N/A</v>
      </c>
      <c r="FK318" s="138" t="e">
        <f>IF(VLOOKUP(CONCATENATE(H318,F318,FK$2),Ciencias!$A:$H,7,FALSE)=BY318,1,0)</f>
        <v>#N/A</v>
      </c>
      <c r="FL318" s="138" t="e">
        <f>IF(VLOOKUP(CONCATENATE(H318,F318,FL$2),Ciencias!$A:$H,7,FALSE)=BZ318,1,0)</f>
        <v>#N/A</v>
      </c>
      <c r="FM318" s="138" t="e">
        <f>IF(VLOOKUP(CONCATENATE(H318,F318,FM$2),Ciencias!$A:$H,7,FALSE)=CA318,1,0)</f>
        <v>#N/A</v>
      </c>
      <c r="FN318" s="138" t="e">
        <f>IF(VLOOKUP(CONCATENATE(H318,F318,FN$2),Ciencias!$A:$H,7,FALSE)=CB318,1,0)</f>
        <v>#N/A</v>
      </c>
      <c r="FO318" s="138" t="e">
        <f>IF(VLOOKUP(CONCATENATE(H318,F318,FO$2),Ciencias!$A:$H,7,FALSE)=CC318,1,0)</f>
        <v>#N/A</v>
      </c>
      <c r="FP318" s="138" t="e">
        <f>IF(VLOOKUP(CONCATENATE(H318,F318,FP$2),GeoHis!$A:$H,7,FALSE)=CD318,1,0)</f>
        <v>#N/A</v>
      </c>
      <c r="FQ318" s="138" t="e">
        <f>IF(VLOOKUP(CONCATENATE(H318,F318,FQ$2),GeoHis!$A:$H,7,FALSE)=CE318,1,0)</f>
        <v>#N/A</v>
      </c>
      <c r="FR318" s="138" t="e">
        <f>IF(VLOOKUP(CONCATENATE(H318,F318,FR$2),GeoHis!$A:$H,7,FALSE)=CF318,1,0)</f>
        <v>#N/A</v>
      </c>
      <c r="FS318" s="138" t="e">
        <f>IF(VLOOKUP(CONCATENATE(H318,F318,FS$2),GeoHis!$A:$H,7,FALSE)=CG318,1,0)</f>
        <v>#N/A</v>
      </c>
      <c r="FT318" s="138" t="e">
        <f>IF(VLOOKUP(CONCATENATE(H318,F318,FT$2),GeoHis!$A:$H,7,FALSE)=CH318,1,0)</f>
        <v>#N/A</v>
      </c>
      <c r="FU318" s="138" t="e">
        <f>IF(VLOOKUP(CONCATENATE(H318,F318,FU$2),GeoHis!$A:$H,7,FALSE)=CI318,1,0)</f>
        <v>#N/A</v>
      </c>
      <c r="FV318" s="138" t="e">
        <f>IF(VLOOKUP(CONCATENATE(H318,F318,FV$2),GeoHis!$A:$H,7,FALSE)=CJ318,1,0)</f>
        <v>#N/A</v>
      </c>
      <c r="FW318" s="138" t="e">
        <f>IF(VLOOKUP(CONCATENATE(H318,F318,FW$2),GeoHis!$A:$H,7,FALSE)=CK318,1,0)</f>
        <v>#N/A</v>
      </c>
      <c r="FX318" s="138" t="e">
        <f>IF(VLOOKUP(CONCATENATE(H318,F318,FX$2),GeoHis!$A:$H,7,FALSE)=CL318,1,0)</f>
        <v>#N/A</v>
      </c>
      <c r="FY318" s="138" t="e">
        <f>IF(VLOOKUP(CONCATENATE(H318,F318,FY$2),GeoHis!$A:$H,7,FALSE)=CM318,1,0)</f>
        <v>#N/A</v>
      </c>
      <c r="FZ318" s="138" t="e">
        <f>IF(VLOOKUP(CONCATENATE(H318,F318,FZ$2),GeoHis!$A:$H,7,FALSE)=CN318,1,0)</f>
        <v>#N/A</v>
      </c>
      <c r="GA318" s="138" t="e">
        <f>IF(VLOOKUP(CONCATENATE(H318,F318,GA$2),GeoHis!$A:$H,7,FALSE)=CO318,1,0)</f>
        <v>#N/A</v>
      </c>
      <c r="GB318" s="138" t="e">
        <f>IF(VLOOKUP(CONCATENATE(H318,F318,GB$2),GeoHis!$A:$H,7,FALSE)=CP318,1,0)</f>
        <v>#N/A</v>
      </c>
      <c r="GC318" s="138" t="e">
        <f>IF(VLOOKUP(CONCATENATE(H318,F318,GC$2),GeoHis!$A:$H,7,FALSE)=CQ318,1,0)</f>
        <v>#N/A</v>
      </c>
      <c r="GD318" s="138" t="e">
        <f>IF(VLOOKUP(CONCATENATE(H318,F318,GD$2),GeoHis!$A:$H,7,FALSE)=CR318,1,0)</f>
        <v>#N/A</v>
      </c>
      <c r="GE318" s="135" t="str">
        <f t="shared" si="39"/>
        <v/>
      </c>
    </row>
    <row r="319" spans="1:187" x14ac:dyDescent="0.25">
      <c r="A319" s="127" t="str">
        <f>IF(C319="","",'Datos Generales'!$A$25)</f>
        <v/>
      </c>
      <c r="D319" s="126" t="str">
        <f t="shared" si="32"/>
        <v/>
      </c>
      <c r="E319" s="126">
        <f t="shared" si="33"/>
        <v>0</v>
      </c>
      <c r="F319" s="126" t="str">
        <f t="shared" si="34"/>
        <v/>
      </c>
      <c r="G319" s="126" t="str">
        <f>IF(C319="","",'Datos Generales'!$D$19)</f>
        <v/>
      </c>
      <c r="H319" s="21" t="str">
        <f>IF(C319="","",'Datos Generales'!$A$19)</f>
        <v/>
      </c>
      <c r="I319" s="126" t="str">
        <f>IF(C319="","",'Datos Generales'!$A$7)</f>
        <v/>
      </c>
      <c r="J319" s="21" t="str">
        <f>IF(C319="","",'Datos Generales'!$A$13)</f>
        <v/>
      </c>
      <c r="K319" s="21" t="str">
        <f>IF(C319="","",'Datos Generales'!$A$10)</f>
        <v/>
      </c>
      <c r="CS319" s="142" t="str">
        <f t="shared" si="35"/>
        <v/>
      </c>
      <c r="CT319" s="142" t="str">
        <f t="shared" si="36"/>
        <v/>
      </c>
      <c r="CU319" s="142" t="str">
        <f t="shared" si="37"/>
        <v/>
      </c>
      <c r="CV319" s="142" t="str">
        <f t="shared" si="38"/>
        <v/>
      </c>
      <c r="CW319" s="142" t="str">
        <f>IF(C319="","",IF('Datos Generales'!$A$19=1,AVERAGE(FP319:GD319),AVERAGE(Captura!FP319:FY319)))</f>
        <v/>
      </c>
      <c r="CX319" s="138" t="e">
        <f>IF(VLOOKUP(CONCATENATE($H$4,$F$4,CX$2),Español!$A:$H,7,FALSE)=L319,1,0)</f>
        <v>#N/A</v>
      </c>
      <c r="CY319" s="138" t="e">
        <f>IF(VLOOKUP(CONCATENATE(H319,F319,CY$2),Español!$A:$H,7,FALSE)=M319,1,0)</f>
        <v>#N/A</v>
      </c>
      <c r="CZ319" s="138" t="e">
        <f>IF(VLOOKUP(CONCATENATE(H319,F319,CZ$2),Español!$A:$H,7,FALSE)=N319,1,0)</f>
        <v>#N/A</v>
      </c>
      <c r="DA319" s="138" t="e">
        <f>IF(VLOOKUP(CONCATENATE(H319,F319,DA$2),Español!$A:$H,7,FALSE)=O319,1,0)</f>
        <v>#N/A</v>
      </c>
      <c r="DB319" s="138" t="e">
        <f>IF(VLOOKUP(CONCATENATE(H319,F319,DB$2),Español!$A:$H,7,FALSE)=P319,1,0)</f>
        <v>#N/A</v>
      </c>
      <c r="DC319" s="138" t="e">
        <f>IF(VLOOKUP(CONCATENATE(H319,F319,DC$2),Español!$A:$H,7,FALSE)=Q319,1,0)</f>
        <v>#N/A</v>
      </c>
      <c r="DD319" s="138" t="e">
        <f>IF(VLOOKUP(CONCATENATE(H319,F319,DD$2),Español!$A:$H,7,FALSE)=R319,1,0)</f>
        <v>#N/A</v>
      </c>
      <c r="DE319" s="138" t="e">
        <f>IF(VLOOKUP(CONCATENATE(H319,F319,DE$2),Español!$A:$H,7,FALSE)=S319,1,0)</f>
        <v>#N/A</v>
      </c>
      <c r="DF319" s="138" t="e">
        <f>IF(VLOOKUP(CONCATENATE(H319,F319,DF$2),Español!$A:$H,7,FALSE)=T319,1,0)</f>
        <v>#N/A</v>
      </c>
      <c r="DG319" s="138" t="e">
        <f>IF(VLOOKUP(CONCATENATE(H319,F319,DG$2),Español!$A:$H,7,FALSE)=U319,1,0)</f>
        <v>#N/A</v>
      </c>
      <c r="DH319" s="138" t="e">
        <f>IF(VLOOKUP(CONCATENATE(H319,F319,DH$2),Español!$A:$H,7,FALSE)=V319,1,0)</f>
        <v>#N/A</v>
      </c>
      <c r="DI319" s="138" t="e">
        <f>IF(VLOOKUP(CONCATENATE(H319,F319,DI$2),Español!$A:$H,7,FALSE)=W319,1,0)</f>
        <v>#N/A</v>
      </c>
      <c r="DJ319" s="138" t="e">
        <f>IF(VLOOKUP(CONCATENATE(H319,F319,DJ$2),Español!$A:$H,7,FALSE)=X319,1,0)</f>
        <v>#N/A</v>
      </c>
      <c r="DK319" s="138" t="e">
        <f>IF(VLOOKUP(CONCATENATE(H319,F319,DK$2),Español!$A:$H,7,FALSE)=Y319,1,0)</f>
        <v>#N/A</v>
      </c>
      <c r="DL319" s="138" t="e">
        <f>IF(VLOOKUP(CONCATENATE(H319,F319,DL$2),Español!$A:$H,7,FALSE)=Z319,1,0)</f>
        <v>#N/A</v>
      </c>
      <c r="DM319" s="138" t="e">
        <f>IF(VLOOKUP(CONCATENATE(H319,F319,DM$2),Español!$A:$H,7,FALSE)=AA319,1,0)</f>
        <v>#N/A</v>
      </c>
      <c r="DN319" s="138" t="e">
        <f>IF(VLOOKUP(CONCATENATE(H319,F319,DN$2),Español!$A:$H,7,FALSE)=AB319,1,0)</f>
        <v>#N/A</v>
      </c>
      <c r="DO319" s="138" t="e">
        <f>IF(VLOOKUP(CONCATENATE(H319,F319,DO$2),Español!$A:$H,7,FALSE)=AC319,1,0)</f>
        <v>#N/A</v>
      </c>
      <c r="DP319" s="138" t="e">
        <f>IF(VLOOKUP(CONCATENATE(H319,F319,DP$2),Español!$A:$H,7,FALSE)=AD319,1,0)</f>
        <v>#N/A</v>
      </c>
      <c r="DQ319" s="138" t="e">
        <f>IF(VLOOKUP(CONCATENATE(H319,F319,DQ$2),Español!$A:$H,7,FALSE)=AE319,1,0)</f>
        <v>#N/A</v>
      </c>
      <c r="DR319" s="138" t="e">
        <f>IF(VLOOKUP(CONCATENATE(H319,F319,DR$2),Inglés!$A:$H,7,FALSE)=AF319,1,0)</f>
        <v>#N/A</v>
      </c>
      <c r="DS319" s="138" t="e">
        <f>IF(VLOOKUP(CONCATENATE(H319,F319,DS$2),Inglés!$A:$H,7,FALSE)=AG319,1,0)</f>
        <v>#N/A</v>
      </c>
      <c r="DT319" s="138" t="e">
        <f>IF(VLOOKUP(CONCATENATE(H319,F319,DT$2),Inglés!$A:$H,7,FALSE)=AH319,1,0)</f>
        <v>#N/A</v>
      </c>
      <c r="DU319" s="138" t="e">
        <f>IF(VLOOKUP(CONCATENATE(H319,F319,DU$2),Inglés!$A:$H,7,FALSE)=AI319,1,0)</f>
        <v>#N/A</v>
      </c>
      <c r="DV319" s="138" t="e">
        <f>IF(VLOOKUP(CONCATENATE(H319,F319,DV$2),Inglés!$A:$H,7,FALSE)=AJ319,1,0)</f>
        <v>#N/A</v>
      </c>
      <c r="DW319" s="138" t="e">
        <f>IF(VLOOKUP(CONCATENATE(H319,F319,DW$2),Inglés!$A:$H,7,FALSE)=AK319,1,0)</f>
        <v>#N/A</v>
      </c>
      <c r="DX319" s="138" t="e">
        <f>IF(VLOOKUP(CONCATENATE(H319,F319,DX$2),Inglés!$A:$H,7,FALSE)=AL319,1,0)</f>
        <v>#N/A</v>
      </c>
      <c r="DY319" s="138" t="e">
        <f>IF(VLOOKUP(CONCATENATE(H319,F319,DY$2),Inglés!$A:$H,7,FALSE)=AM319,1,0)</f>
        <v>#N/A</v>
      </c>
      <c r="DZ319" s="138" t="e">
        <f>IF(VLOOKUP(CONCATENATE(H319,F319,DZ$2),Inglés!$A:$H,7,FALSE)=AN319,1,0)</f>
        <v>#N/A</v>
      </c>
      <c r="EA319" s="138" t="e">
        <f>IF(VLOOKUP(CONCATENATE(H319,F319,EA$2),Inglés!$A:$H,7,FALSE)=AO319,1,0)</f>
        <v>#N/A</v>
      </c>
      <c r="EB319" s="138" t="e">
        <f>IF(VLOOKUP(CONCATENATE(H319,F319,EB$2),Matemáticas!$A:$H,7,FALSE)=AP319,1,0)</f>
        <v>#N/A</v>
      </c>
      <c r="EC319" s="138" t="e">
        <f>IF(VLOOKUP(CONCATENATE(H319,F319,EC$2),Matemáticas!$A:$H,7,FALSE)=AQ319,1,0)</f>
        <v>#N/A</v>
      </c>
      <c r="ED319" s="138" t="e">
        <f>IF(VLOOKUP(CONCATENATE(H319,F319,ED$2),Matemáticas!$A:$H,7,FALSE)=AR319,1,0)</f>
        <v>#N/A</v>
      </c>
      <c r="EE319" s="138" t="e">
        <f>IF(VLOOKUP(CONCATENATE(H319,F319,EE$2),Matemáticas!$A:$H,7,FALSE)=AS319,1,0)</f>
        <v>#N/A</v>
      </c>
      <c r="EF319" s="138" t="e">
        <f>IF(VLOOKUP(CONCATENATE(H319,F319,EF$2),Matemáticas!$A:$H,7,FALSE)=AT319,1,0)</f>
        <v>#N/A</v>
      </c>
      <c r="EG319" s="138" t="e">
        <f>IF(VLOOKUP(CONCATENATE(H319,F319,EG$2),Matemáticas!$A:$H,7,FALSE)=AU319,1,0)</f>
        <v>#N/A</v>
      </c>
      <c r="EH319" s="138" t="e">
        <f>IF(VLOOKUP(CONCATENATE(H319,F319,EH$2),Matemáticas!$A:$H,7,FALSE)=AV319,1,0)</f>
        <v>#N/A</v>
      </c>
      <c r="EI319" s="138" t="e">
        <f>IF(VLOOKUP(CONCATENATE(H319,F319,EI$2),Matemáticas!$A:$H,7,FALSE)=AW319,1,0)</f>
        <v>#N/A</v>
      </c>
      <c r="EJ319" s="138" t="e">
        <f>IF(VLOOKUP(CONCATENATE(H319,F319,EJ$2),Matemáticas!$A:$H,7,FALSE)=AX319,1,0)</f>
        <v>#N/A</v>
      </c>
      <c r="EK319" s="138" t="e">
        <f>IF(VLOOKUP(CONCATENATE(H319,F319,EK$2),Matemáticas!$A:$H,7,FALSE)=AY319,1,0)</f>
        <v>#N/A</v>
      </c>
      <c r="EL319" s="138" t="e">
        <f>IF(VLOOKUP(CONCATENATE(H319,F319,EL$2),Matemáticas!$A:$H,7,FALSE)=AZ319,1,0)</f>
        <v>#N/A</v>
      </c>
      <c r="EM319" s="138" t="e">
        <f>IF(VLOOKUP(CONCATENATE(H319,F319,EM$2),Matemáticas!$A:$H,7,FALSE)=BA319,1,0)</f>
        <v>#N/A</v>
      </c>
      <c r="EN319" s="138" t="e">
        <f>IF(VLOOKUP(CONCATENATE(H319,F319,EN$2),Matemáticas!$A:$H,7,FALSE)=BB319,1,0)</f>
        <v>#N/A</v>
      </c>
      <c r="EO319" s="138" t="e">
        <f>IF(VLOOKUP(CONCATENATE(H319,F319,EO$2),Matemáticas!$A:$H,7,FALSE)=BC319,1,0)</f>
        <v>#N/A</v>
      </c>
      <c r="EP319" s="138" t="e">
        <f>IF(VLOOKUP(CONCATENATE(H319,F319,EP$2),Matemáticas!$A:$H,7,FALSE)=BD319,1,0)</f>
        <v>#N/A</v>
      </c>
      <c r="EQ319" s="138" t="e">
        <f>IF(VLOOKUP(CONCATENATE(H319,F319,EQ$2),Matemáticas!$A:$H,7,FALSE)=BE319,1,0)</f>
        <v>#N/A</v>
      </c>
      <c r="ER319" s="138" t="e">
        <f>IF(VLOOKUP(CONCATENATE(H319,F319,ER$2),Matemáticas!$A:$H,7,FALSE)=BF319,1,0)</f>
        <v>#N/A</v>
      </c>
      <c r="ES319" s="138" t="e">
        <f>IF(VLOOKUP(CONCATENATE(H319,F319,ES$2),Matemáticas!$A:$H,7,FALSE)=BG319,1,0)</f>
        <v>#N/A</v>
      </c>
      <c r="ET319" s="138" t="e">
        <f>IF(VLOOKUP(CONCATENATE(H319,F319,ET$2),Matemáticas!$A:$H,7,FALSE)=BH319,1,0)</f>
        <v>#N/A</v>
      </c>
      <c r="EU319" s="138" t="e">
        <f>IF(VLOOKUP(CONCATENATE(H319,F319,EU$2),Matemáticas!$A:$H,7,FALSE)=BI319,1,0)</f>
        <v>#N/A</v>
      </c>
      <c r="EV319" s="138" t="e">
        <f>IF(VLOOKUP(CONCATENATE(H319,F319,EV$2),Ciencias!$A:$H,7,FALSE)=BJ319,1,0)</f>
        <v>#N/A</v>
      </c>
      <c r="EW319" s="138" t="e">
        <f>IF(VLOOKUP(CONCATENATE(H319,F319,EW$2),Ciencias!$A:$H,7,FALSE)=BK319,1,0)</f>
        <v>#N/A</v>
      </c>
      <c r="EX319" s="138" t="e">
        <f>IF(VLOOKUP(CONCATENATE(H319,F319,EX$2),Ciencias!$A:$H,7,FALSE)=BL319,1,0)</f>
        <v>#N/A</v>
      </c>
      <c r="EY319" s="138" t="e">
        <f>IF(VLOOKUP(CONCATENATE(H319,F319,EY$2),Ciencias!$A:$H,7,FALSE)=BM319,1,0)</f>
        <v>#N/A</v>
      </c>
      <c r="EZ319" s="138" t="e">
        <f>IF(VLOOKUP(CONCATENATE(H319,F319,EZ$2),Ciencias!$A:$H,7,FALSE)=BN319,1,0)</f>
        <v>#N/A</v>
      </c>
      <c r="FA319" s="138" t="e">
        <f>IF(VLOOKUP(CONCATENATE(H319,F319,FA$2),Ciencias!$A:$H,7,FALSE)=BO319,1,0)</f>
        <v>#N/A</v>
      </c>
      <c r="FB319" s="138" t="e">
        <f>IF(VLOOKUP(CONCATENATE(H319,F319,FB$2),Ciencias!$A:$H,7,FALSE)=BP319,1,0)</f>
        <v>#N/A</v>
      </c>
      <c r="FC319" s="138" t="e">
        <f>IF(VLOOKUP(CONCATENATE(H319,F319,FC$2),Ciencias!$A:$H,7,FALSE)=BQ319,1,0)</f>
        <v>#N/A</v>
      </c>
      <c r="FD319" s="138" t="e">
        <f>IF(VLOOKUP(CONCATENATE(H319,F319,FD$2),Ciencias!$A:$H,7,FALSE)=BR319,1,0)</f>
        <v>#N/A</v>
      </c>
      <c r="FE319" s="138" t="e">
        <f>IF(VLOOKUP(CONCATENATE(H319,F319,FE$2),Ciencias!$A:$H,7,FALSE)=BS319,1,0)</f>
        <v>#N/A</v>
      </c>
      <c r="FF319" s="138" t="e">
        <f>IF(VLOOKUP(CONCATENATE(H319,F319,FF$2),Ciencias!$A:$H,7,FALSE)=BT319,1,0)</f>
        <v>#N/A</v>
      </c>
      <c r="FG319" s="138" t="e">
        <f>IF(VLOOKUP(CONCATENATE(H319,F319,FG$2),Ciencias!$A:$H,7,FALSE)=BU319,1,0)</f>
        <v>#N/A</v>
      </c>
      <c r="FH319" s="138" t="e">
        <f>IF(VLOOKUP(CONCATENATE(H319,F319,FH$2),Ciencias!$A:$H,7,FALSE)=BV319,1,0)</f>
        <v>#N/A</v>
      </c>
      <c r="FI319" s="138" t="e">
        <f>IF(VLOOKUP(CONCATENATE(H319,F319,FI$2),Ciencias!$A:$H,7,FALSE)=BW319,1,0)</f>
        <v>#N/A</v>
      </c>
      <c r="FJ319" s="138" t="e">
        <f>IF(VLOOKUP(CONCATENATE(H319,F319,FJ$2),Ciencias!$A:$H,7,FALSE)=BX319,1,0)</f>
        <v>#N/A</v>
      </c>
      <c r="FK319" s="138" t="e">
        <f>IF(VLOOKUP(CONCATENATE(H319,F319,FK$2),Ciencias!$A:$H,7,FALSE)=BY319,1,0)</f>
        <v>#N/A</v>
      </c>
      <c r="FL319" s="138" t="e">
        <f>IF(VLOOKUP(CONCATENATE(H319,F319,FL$2),Ciencias!$A:$H,7,FALSE)=BZ319,1,0)</f>
        <v>#N/A</v>
      </c>
      <c r="FM319" s="138" t="e">
        <f>IF(VLOOKUP(CONCATENATE(H319,F319,FM$2),Ciencias!$A:$H,7,FALSE)=CA319,1,0)</f>
        <v>#N/A</v>
      </c>
      <c r="FN319" s="138" t="e">
        <f>IF(VLOOKUP(CONCATENATE(H319,F319,FN$2),Ciencias!$A:$H,7,FALSE)=CB319,1,0)</f>
        <v>#N/A</v>
      </c>
      <c r="FO319" s="138" t="e">
        <f>IF(VLOOKUP(CONCATENATE(H319,F319,FO$2),Ciencias!$A:$H,7,FALSE)=CC319,1,0)</f>
        <v>#N/A</v>
      </c>
      <c r="FP319" s="138" t="e">
        <f>IF(VLOOKUP(CONCATENATE(H319,F319,FP$2),GeoHis!$A:$H,7,FALSE)=CD319,1,0)</f>
        <v>#N/A</v>
      </c>
      <c r="FQ319" s="138" t="e">
        <f>IF(VLOOKUP(CONCATENATE(H319,F319,FQ$2),GeoHis!$A:$H,7,FALSE)=CE319,1,0)</f>
        <v>#N/A</v>
      </c>
      <c r="FR319" s="138" t="e">
        <f>IF(VLOOKUP(CONCATENATE(H319,F319,FR$2),GeoHis!$A:$H,7,FALSE)=CF319,1,0)</f>
        <v>#N/A</v>
      </c>
      <c r="FS319" s="138" t="e">
        <f>IF(VLOOKUP(CONCATENATE(H319,F319,FS$2),GeoHis!$A:$H,7,FALSE)=CG319,1,0)</f>
        <v>#N/A</v>
      </c>
      <c r="FT319" s="138" t="e">
        <f>IF(VLOOKUP(CONCATENATE(H319,F319,FT$2),GeoHis!$A:$H,7,FALSE)=CH319,1,0)</f>
        <v>#N/A</v>
      </c>
      <c r="FU319" s="138" t="e">
        <f>IF(VLOOKUP(CONCATENATE(H319,F319,FU$2),GeoHis!$A:$H,7,FALSE)=CI319,1,0)</f>
        <v>#N/A</v>
      </c>
      <c r="FV319" s="138" t="e">
        <f>IF(VLOOKUP(CONCATENATE(H319,F319,FV$2),GeoHis!$A:$H,7,FALSE)=CJ319,1,0)</f>
        <v>#N/A</v>
      </c>
      <c r="FW319" s="138" t="e">
        <f>IF(VLOOKUP(CONCATENATE(H319,F319,FW$2),GeoHis!$A:$H,7,FALSE)=CK319,1,0)</f>
        <v>#N/A</v>
      </c>
      <c r="FX319" s="138" t="e">
        <f>IF(VLOOKUP(CONCATENATE(H319,F319,FX$2),GeoHis!$A:$H,7,FALSE)=CL319,1,0)</f>
        <v>#N/A</v>
      </c>
      <c r="FY319" s="138" t="e">
        <f>IF(VLOOKUP(CONCATENATE(H319,F319,FY$2),GeoHis!$A:$H,7,FALSE)=CM319,1,0)</f>
        <v>#N/A</v>
      </c>
      <c r="FZ319" s="138" t="e">
        <f>IF(VLOOKUP(CONCATENATE(H319,F319,FZ$2),GeoHis!$A:$H,7,FALSE)=CN319,1,0)</f>
        <v>#N/A</v>
      </c>
      <c r="GA319" s="138" t="e">
        <f>IF(VLOOKUP(CONCATENATE(H319,F319,GA$2),GeoHis!$A:$H,7,FALSE)=CO319,1,0)</f>
        <v>#N/A</v>
      </c>
      <c r="GB319" s="138" t="e">
        <f>IF(VLOOKUP(CONCATENATE(H319,F319,GB$2),GeoHis!$A:$H,7,FALSE)=CP319,1,0)</f>
        <v>#N/A</v>
      </c>
      <c r="GC319" s="138" t="e">
        <f>IF(VLOOKUP(CONCATENATE(H319,F319,GC$2),GeoHis!$A:$H,7,FALSE)=CQ319,1,0)</f>
        <v>#N/A</v>
      </c>
      <c r="GD319" s="138" t="e">
        <f>IF(VLOOKUP(CONCATENATE(H319,F319,GD$2),GeoHis!$A:$H,7,FALSE)=CR319,1,0)</f>
        <v>#N/A</v>
      </c>
      <c r="GE319" s="135" t="str">
        <f t="shared" si="39"/>
        <v/>
      </c>
    </row>
    <row r="320" spans="1:187" x14ac:dyDescent="0.25">
      <c r="A320" s="127" t="str">
        <f>IF(C320="","",'Datos Generales'!$A$25)</f>
        <v/>
      </c>
      <c r="D320" s="126" t="str">
        <f t="shared" si="32"/>
        <v/>
      </c>
      <c r="E320" s="126">
        <f t="shared" si="33"/>
        <v>0</v>
      </c>
      <c r="F320" s="126" t="str">
        <f t="shared" si="34"/>
        <v/>
      </c>
      <c r="G320" s="126" t="str">
        <f>IF(C320="","",'Datos Generales'!$D$19)</f>
        <v/>
      </c>
      <c r="H320" s="21" t="str">
        <f>IF(C320="","",'Datos Generales'!$A$19)</f>
        <v/>
      </c>
      <c r="I320" s="126" t="str">
        <f>IF(C320="","",'Datos Generales'!$A$7)</f>
        <v/>
      </c>
      <c r="J320" s="21" t="str">
        <f>IF(C320="","",'Datos Generales'!$A$13)</f>
        <v/>
      </c>
      <c r="K320" s="21" t="str">
        <f>IF(C320="","",'Datos Generales'!$A$10)</f>
        <v/>
      </c>
      <c r="CS320" s="142" t="str">
        <f t="shared" si="35"/>
        <v/>
      </c>
      <c r="CT320" s="142" t="str">
        <f t="shared" si="36"/>
        <v/>
      </c>
      <c r="CU320" s="142" t="str">
        <f t="shared" si="37"/>
        <v/>
      </c>
      <c r="CV320" s="142" t="str">
        <f t="shared" si="38"/>
        <v/>
      </c>
      <c r="CW320" s="142" t="str">
        <f>IF(C320="","",IF('Datos Generales'!$A$19=1,AVERAGE(FP320:GD320),AVERAGE(Captura!FP320:FY320)))</f>
        <v/>
      </c>
      <c r="CX320" s="138" t="e">
        <f>IF(VLOOKUP(CONCATENATE($H$4,$F$4,CX$2),Español!$A:$H,7,FALSE)=L320,1,0)</f>
        <v>#N/A</v>
      </c>
      <c r="CY320" s="138" t="e">
        <f>IF(VLOOKUP(CONCATENATE(H320,F320,CY$2),Español!$A:$H,7,FALSE)=M320,1,0)</f>
        <v>#N/A</v>
      </c>
      <c r="CZ320" s="138" t="e">
        <f>IF(VLOOKUP(CONCATENATE(H320,F320,CZ$2),Español!$A:$H,7,FALSE)=N320,1,0)</f>
        <v>#N/A</v>
      </c>
      <c r="DA320" s="138" t="e">
        <f>IF(VLOOKUP(CONCATENATE(H320,F320,DA$2),Español!$A:$H,7,FALSE)=O320,1,0)</f>
        <v>#N/A</v>
      </c>
      <c r="DB320" s="138" t="e">
        <f>IF(VLOOKUP(CONCATENATE(H320,F320,DB$2),Español!$A:$H,7,FALSE)=P320,1,0)</f>
        <v>#N/A</v>
      </c>
      <c r="DC320" s="138" t="e">
        <f>IF(VLOOKUP(CONCATENATE(H320,F320,DC$2),Español!$A:$H,7,FALSE)=Q320,1,0)</f>
        <v>#N/A</v>
      </c>
      <c r="DD320" s="138" t="e">
        <f>IF(VLOOKUP(CONCATENATE(H320,F320,DD$2),Español!$A:$H,7,FALSE)=R320,1,0)</f>
        <v>#N/A</v>
      </c>
      <c r="DE320" s="138" t="e">
        <f>IF(VLOOKUP(CONCATENATE(H320,F320,DE$2),Español!$A:$H,7,FALSE)=S320,1,0)</f>
        <v>#N/A</v>
      </c>
      <c r="DF320" s="138" t="e">
        <f>IF(VLOOKUP(CONCATENATE(H320,F320,DF$2),Español!$A:$H,7,FALSE)=T320,1,0)</f>
        <v>#N/A</v>
      </c>
      <c r="DG320" s="138" t="e">
        <f>IF(VLOOKUP(CONCATENATE(H320,F320,DG$2),Español!$A:$H,7,FALSE)=U320,1,0)</f>
        <v>#N/A</v>
      </c>
      <c r="DH320" s="138" t="e">
        <f>IF(VLOOKUP(CONCATENATE(H320,F320,DH$2),Español!$A:$H,7,FALSE)=V320,1,0)</f>
        <v>#N/A</v>
      </c>
      <c r="DI320" s="138" t="e">
        <f>IF(VLOOKUP(CONCATENATE(H320,F320,DI$2),Español!$A:$H,7,FALSE)=W320,1,0)</f>
        <v>#N/A</v>
      </c>
      <c r="DJ320" s="138" t="e">
        <f>IF(VLOOKUP(CONCATENATE(H320,F320,DJ$2),Español!$A:$H,7,FALSE)=X320,1,0)</f>
        <v>#N/A</v>
      </c>
      <c r="DK320" s="138" t="e">
        <f>IF(VLOOKUP(CONCATENATE(H320,F320,DK$2),Español!$A:$H,7,FALSE)=Y320,1,0)</f>
        <v>#N/A</v>
      </c>
      <c r="DL320" s="138" t="e">
        <f>IF(VLOOKUP(CONCATENATE(H320,F320,DL$2),Español!$A:$H,7,FALSE)=Z320,1,0)</f>
        <v>#N/A</v>
      </c>
      <c r="DM320" s="138" t="e">
        <f>IF(VLOOKUP(CONCATENATE(H320,F320,DM$2),Español!$A:$H,7,FALSE)=AA320,1,0)</f>
        <v>#N/A</v>
      </c>
      <c r="DN320" s="138" t="e">
        <f>IF(VLOOKUP(CONCATENATE(H320,F320,DN$2),Español!$A:$H,7,FALSE)=AB320,1,0)</f>
        <v>#N/A</v>
      </c>
      <c r="DO320" s="138" t="e">
        <f>IF(VLOOKUP(CONCATENATE(H320,F320,DO$2),Español!$A:$H,7,FALSE)=AC320,1,0)</f>
        <v>#N/A</v>
      </c>
      <c r="DP320" s="138" t="e">
        <f>IF(VLOOKUP(CONCATENATE(H320,F320,DP$2),Español!$A:$H,7,FALSE)=AD320,1,0)</f>
        <v>#N/A</v>
      </c>
      <c r="DQ320" s="138" t="e">
        <f>IF(VLOOKUP(CONCATENATE(H320,F320,DQ$2),Español!$A:$H,7,FALSE)=AE320,1,0)</f>
        <v>#N/A</v>
      </c>
      <c r="DR320" s="138" t="e">
        <f>IF(VLOOKUP(CONCATENATE(H320,F320,DR$2),Inglés!$A:$H,7,FALSE)=AF320,1,0)</f>
        <v>#N/A</v>
      </c>
      <c r="DS320" s="138" t="e">
        <f>IF(VLOOKUP(CONCATENATE(H320,F320,DS$2),Inglés!$A:$H,7,FALSE)=AG320,1,0)</f>
        <v>#N/A</v>
      </c>
      <c r="DT320" s="138" t="e">
        <f>IF(VLOOKUP(CONCATENATE(H320,F320,DT$2),Inglés!$A:$H,7,FALSE)=AH320,1,0)</f>
        <v>#N/A</v>
      </c>
      <c r="DU320" s="138" t="e">
        <f>IF(VLOOKUP(CONCATENATE(H320,F320,DU$2),Inglés!$A:$H,7,FALSE)=AI320,1,0)</f>
        <v>#N/A</v>
      </c>
      <c r="DV320" s="138" t="e">
        <f>IF(VLOOKUP(CONCATENATE(H320,F320,DV$2),Inglés!$A:$H,7,FALSE)=AJ320,1,0)</f>
        <v>#N/A</v>
      </c>
      <c r="DW320" s="138" t="e">
        <f>IF(VLOOKUP(CONCATENATE(H320,F320,DW$2),Inglés!$A:$H,7,FALSE)=AK320,1,0)</f>
        <v>#N/A</v>
      </c>
      <c r="DX320" s="138" t="e">
        <f>IF(VLOOKUP(CONCATENATE(H320,F320,DX$2),Inglés!$A:$H,7,FALSE)=AL320,1,0)</f>
        <v>#N/A</v>
      </c>
      <c r="DY320" s="138" t="e">
        <f>IF(VLOOKUP(CONCATENATE(H320,F320,DY$2),Inglés!$A:$H,7,FALSE)=AM320,1,0)</f>
        <v>#N/A</v>
      </c>
      <c r="DZ320" s="138" t="e">
        <f>IF(VLOOKUP(CONCATENATE(H320,F320,DZ$2),Inglés!$A:$H,7,FALSE)=AN320,1,0)</f>
        <v>#N/A</v>
      </c>
      <c r="EA320" s="138" t="e">
        <f>IF(VLOOKUP(CONCATENATE(H320,F320,EA$2),Inglés!$A:$H,7,FALSE)=AO320,1,0)</f>
        <v>#N/A</v>
      </c>
      <c r="EB320" s="138" t="e">
        <f>IF(VLOOKUP(CONCATENATE(H320,F320,EB$2),Matemáticas!$A:$H,7,FALSE)=AP320,1,0)</f>
        <v>#N/A</v>
      </c>
      <c r="EC320" s="138" t="e">
        <f>IF(VLOOKUP(CONCATENATE(H320,F320,EC$2),Matemáticas!$A:$H,7,FALSE)=AQ320,1,0)</f>
        <v>#N/A</v>
      </c>
      <c r="ED320" s="138" t="e">
        <f>IF(VLOOKUP(CONCATENATE(H320,F320,ED$2),Matemáticas!$A:$H,7,FALSE)=AR320,1,0)</f>
        <v>#N/A</v>
      </c>
      <c r="EE320" s="138" t="e">
        <f>IF(VLOOKUP(CONCATENATE(H320,F320,EE$2),Matemáticas!$A:$H,7,FALSE)=AS320,1,0)</f>
        <v>#N/A</v>
      </c>
      <c r="EF320" s="138" t="e">
        <f>IF(VLOOKUP(CONCATENATE(H320,F320,EF$2),Matemáticas!$A:$H,7,FALSE)=AT320,1,0)</f>
        <v>#N/A</v>
      </c>
      <c r="EG320" s="138" t="e">
        <f>IF(VLOOKUP(CONCATENATE(H320,F320,EG$2),Matemáticas!$A:$H,7,FALSE)=AU320,1,0)</f>
        <v>#N/A</v>
      </c>
      <c r="EH320" s="138" t="e">
        <f>IF(VLOOKUP(CONCATENATE(H320,F320,EH$2),Matemáticas!$A:$H,7,FALSE)=AV320,1,0)</f>
        <v>#N/A</v>
      </c>
      <c r="EI320" s="138" t="e">
        <f>IF(VLOOKUP(CONCATENATE(H320,F320,EI$2),Matemáticas!$A:$H,7,FALSE)=AW320,1,0)</f>
        <v>#N/A</v>
      </c>
      <c r="EJ320" s="138" t="e">
        <f>IF(VLOOKUP(CONCATENATE(H320,F320,EJ$2),Matemáticas!$A:$H,7,FALSE)=AX320,1,0)</f>
        <v>#N/A</v>
      </c>
      <c r="EK320" s="138" t="e">
        <f>IF(VLOOKUP(CONCATENATE(H320,F320,EK$2),Matemáticas!$A:$H,7,FALSE)=AY320,1,0)</f>
        <v>#N/A</v>
      </c>
      <c r="EL320" s="138" t="e">
        <f>IF(VLOOKUP(CONCATENATE(H320,F320,EL$2),Matemáticas!$A:$H,7,FALSE)=AZ320,1,0)</f>
        <v>#N/A</v>
      </c>
      <c r="EM320" s="138" t="e">
        <f>IF(VLOOKUP(CONCATENATE(H320,F320,EM$2),Matemáticas!$A:$H,7,FALSE)=BA320,1,0)</f>
        <v>#N/A</v>
      </c>
      <c r="EN320" s="138" t="e">
        <f>IF(VLOOKUP(CONCATENATE(H320,F320,EN$2),Matemáticas!$A:$H,7,FALSE)=BB320,1,0)</f>
        <v>#N/A</v>
      </c>
      <c r="EO320" s="138" t="e">
        <f>IF(VLOOKUP(CONCATENATE(H320,F320,EO$2),Matemáticas!$A:$H,7,FALSE)=BC320,1,0)</f>
        <v>#N/A</v>
      </c>
      <c r="EP320" s="138" t="e">
        <f>IF(VLOOKUP(CONCATENATE(H320,F320,EP$2),Matemáticas!$A:$H,7,FALSE)=BD320,1,0)</f>
        <v>#N/A</v>
      </c>
      <c r="EQ320" s="138" t="e">
        <f>IF(VLOOKUP(CONCATENATE(H320,F320,EQ$2),Matemáticas!$A:$H,7,FALSE)=BE320,1,0)</f>
        <v>#N/A</v>
      </c>
      <c r="ER320" s="138" t="e">
        <f>IF(VLOOKUP(CONCATENATE(H320,F320,ER$2),Matemáticas!$A:$H,7,FALSE)=BF320,1,0)</f>
        <v>#N/A</v>
      </c>
      <c r="ES320" s="138" t="e">
        <f>IF(VLOOKUP(CONCATENATE(H320,F320,ES$2),Matemáticas!$A:$H,7,FALSE)=BG320,1,0)</f>
        <v>#N/A</v>
      </c>
      <c r="ET320" s="138" t="e">
        <f>IF(VLOOKUP(CONCATENATE(H320,F320,ET$2),Matemáticas!$A:$H,7,FALSE)=BH320,1,0)</f>
        <v>#N/A</v>
      </c>
      <c r="EU320" s="138" t="e">
        <f>IF(VLOOKUP(CONCATENATE(H320,F320,EU$2),Matemáticas!$A:$H,7,FALSE)=BI320,1,0)</f>
        <v>#N/A</v>
      </c>
      <c r="EV320" s="138" t="e">
        <f>IF(VLOOKUP(CONCATENATE(H320,F320,EV$2),Ciencias!$A:$H,7,FALSE)=BJ320,1,0)</f>
        <v>#N/A</v>
      </c>
      <c r="EW320" s="138" t="e">
        <f>IF(VLOOKUP(CONCATENATE(H320,F320,EW$2),Ciencias!$A:$H,7,FALSE)=BK320,1,0)</f>
        <v>#N/A</v>
      </c>
      <c r="EX320" s="138" t="e">
        <f>IF(VLOOKUP(CONCATENATE(H320,F320,EX$2),Ciencias!$A:$H,7,FALSE)=BL320,1,0)</f>
        <v>#N/A</v>
      </c>
      <c r="EY320" s="138" t="e">
        <f>IF(VLOOKUP(CONCATENATE(H320,F320,EY$2),Ciencias!$A:$H,7,FALSE)=BM320,1,0)</f>
        <v>#N/A</v>
      </c>
      <c r="EZ320" s="138" t="e">
        <f>IF(VLOOKUP(CONCATENATE(H320,F320,EZ$2),Ciencias!$A:$H,7,FALSE)=BN320,1,0)</f>
        <v>#N/A</v>
      </c>
      <c r="FA320" s="138" t="e">
        <f>IF(VLOOKUP(CONCATENATE(H320,F320,FA$2),Ciencias!$A:$H,7,FALSE)=BO320,1,0)</f>
        <v>#N/A</v>
      </c>
      <c r="FB320" s="138" t="e">
        <f>IF(VLOOKUP(CONCATENATE(H320,F320,FB$2),Ciencias!$A:$H,7,FALSE)=BP320,1,0)</f>
        <v>#N/A</v>
      </c>
      <c r="FC320" s="138" t="e">
        <f>IF(VLOOKUP(CONCATENATE(H320,F320,FC$2),Ciencias!$A:$H,7,FALSE)=BQ320,1,0)</f>
        <v>#N/A</v>
      </c>
      <c r="FD320" s="138" t="e">
        <f>IF(VLOOKUP(CONCATENATE(H320,F320,FD$2),Ciencias!$A:$H,7,FALSE)=BR320,1,0)</f>
        <v>#N/A</v>
      </c>
      <c r="FE320" s="138" t="e">
        <f>IF(VLOOKUP(CONCATENATE(H320,F320,FE$2),Ciencias!$A:$H,7,FALSE)=BS320,1,0)</f>
        <v>#N/A</v>
      </c>
      <c r="FF320" s="138" t="e">
        <f>IF(VLOOKUP(CONCATENATE(H320,F320,FF$2),Ciencias!$A:$H,7,FALSE)=BT320,1,0)</f>
        <v>#N/A</v>
      </c>
      <c r="FG320" s="138" t="e">
        <f>IF(VLOOKUP(CONCATENATE(H320,F320,FG$2),Ciencias!$A:$H,7,FALSE)=BU320,1,0)</f>
        <v>#N/A</v>
      </c>
      <c r="FH320" s="138" t="e">
        <f>IF(VLOOKUP(CONCATENATE(H320,F320,FH$2),Ciencias!$A:$H,7,FALSE)=BV320,1,0)</f>
        <v>#N/A</v>
      </c>
      <c r="FI320" s="138" t="e">
        <f>IF(VLOOKUP(CONCATENATE(H320,F320,FI$2),Ciencias!$A:$H,7,FALSE)=BW320,1,0)</f>
        <v>#N/A</v>
      </c>
      <c r="FJ320" s="138" t="e">
        <f>IF(VLOOKUP(CONCATENATE(H320,F320,FJ$2),Ciencias!$A:$H,7,FALSE)=BX320,1,0)</f>
        <v>#N/A</v>
      </c>
      <c r="FK320" s="138" t="e">
        <f>IF(VLOOKUP(CONCATENATE(H320,F320,FK$2),Ciencias!$A:$H,7,FALSE)=BY320,1,0)</f>
        <v>#N/A</v>
      </c>
      <c r="FL320" s="138" t="e">
        <f>IF(VLOOKUP(CONCATENATE(H320,F320,FL$2),Ciencias!$A:$H,7,FALSE)=BZ320,1,0)</f>
        <v>#N/A</v>
      </c>
      <c r="FM320" s="138" t="e">
        <f>IF(VLOOKUP(CONCATENATE(H320,F320,FM$2),Ciencias!$A:$H,7,FALSE)=CA320,1,0)</f>
        <v>#N/A</v>
      </c>
      <c r="FN320" s="138" t="e">
        <f>IF(VLOOKUP(CONCATENATE(H320,F320,FN$2),Ciencias!$A:$H,7,FALSE)=CB320,1,0)</f>
        <v>#N/A</v>
      </c>
      <c r="FO320" s="138" t="e">
        <f>IF(VLOOKUP(CONCATENATE(H320,F320,FO$2),Ciencias!$A:$H,7,FALSE)=CC320,1,0)</f>
        <v>#N/A</v>
      </c>
      <c r="FP320" s="138" t="e">
        <f>IF(VLOOKUP(CONCATENATE(H320,F320,FP$2),GeoHis!$A:$H,7,FALSE)=CD320,1,0)</f>
        <v>#N/A</v>
      </c>
      <c r="FQ320" s="138" t="e">
        <f>IF(VLOOKUP(CONCATENATE(H320,F320,FQ$2),GeoHis!$A:$H,7,FALSE)=CE320,1,0)</f>
        <v>#N/A</v>
      </c>
      <c r="FR320" s="138" t="e">
        <f>IF(VLOOKUP(CONCATENATE(H320,F320,FR$2),GeoHis!$A:$H,7,FALSE)=CF320,1,0)</f>
        <v>#N/A</v>
      </c>
      <c r="FS320" s="138" t="e">
        <f>IF(VLOOKUP(CONCATENATE(H320,F320,FS$2),GeoHis!$A:$H,7,FALSE)=CG320,1,0)</f>
        <v>#N/A</v>
      </c>
      <c r="FT320" s="138" t="e">
        <f>IF(VLOOKUP(CONCATENATE(H320,F320,FT$2),GeoHis!$A:$H,7,FALSE)=CH320,1,0)</f>
        <v>#N/A</v>
      </c>
      <c r="FU320" s="138" t="e">
        <f>IF(VLOOKUP(CONCATENATE(H320,F320,FU$2),GeoHis!$A:$H,7,FALSE)=CI320,1,0)</f>
        <v>#N/A</v>
      </c>
      <c r="FV320" s="138" t="e">
        <f>IF(VLOOKUP(CONCATENATE(H320,F320,FV$2),GeoHis!$A:$H,7,FALSE)=CJ320,1,0)</f>
        <v>#N/A</v>
      </c>
      <c r="FW320" s="138" t="e">
        <f>IF(VLOOKUP(CONCATENATE(H320,F320,FW$2),GeoHis!$A:$H,7,FALSE)=CK320,1,0)</f>
        <v>#N/A</v>
      </c>
      <c r="FX320" s="138" t="e">
        <f>IF(VLOOKUP(CONCATENATE(H320,F320,FX$2),GeoHis!$A:$H,7,FALSE)=CL320,1,0)</f>
        <v>#N/A</v>
      </c>
      <c r="FY320" s="138" t="e">
        <f>IF(VLOOKUP(CONCATENATE(H320,F320,FY$2),GeoHis!$A:$H,7,FALSE)=CM320,1,0)</f>
        <v>#N/A</v>
      </c>
      <c r="FZ320" s="138" t="e">
        <f>IF(VLOOKUP(CONCATENATE(H320,F320,FZ$2),GeoHis!$A:$H,7,FALSE)=CN320,1,0)</f>
        <v>#N/A</v>
      </c>
      <c r="GA320" s="138" t="e">
        <f>IF(VLOOKUP(CONCATENATE(H320,F320,GA$2),GeoHis!$A:$H,7,FALSE)=CO320,1,0)</f>
        <v>#N/A</v>
      </c>
      <c r="GB320" s="138" t="e">
        <f>IF(VLOOKUP(CONCATENATE(H320,F320,GB$2),GeoHis!$A:$H,7,FALSE)=CP320,1,0)</f>
        <v>#N/A</v>
      </c>
      <c r="GC320" s="138" t="e">
        <f>IF(VLOOKUP(CONCATENATE(H320,F320,GC$2),GeoHis!$A:$H,7,FALSE)=CQ320,1,0)</f>
        <v>#N/A</v>
      </c>
      <c r="GD320" s="138" t="e">
        <f>IF(VLOOKUP(CONCATENATE(H320,F320,GD$2),GeoHis!$A:$H,7,FALSE)=CR320,1,0)</f>
        <v>#N/A</v>
      </c>
      <c r="GE320" s="135" t="str">
        <f t="shared" si="39"/>
        <v/>
      </c>
    </row>
    <row r="321" spans="1:187" x14ac:dyDescent="0.25">
      <c r="A321" s="127" t="str">
        <f>IF(C321="","",'Datos Generales'!$A$25)</f>
        <v/>
      </c>
      <c r="D321" s="126" t="str">
        <f t="shared" si="32"/>
        <v/>
      </c>
      <c r="E321" s="126">
        <f t="shared" si="33"/>
        <v>0</v>
      </c>
      <c r="F321" s="126" t="str">
        <f t="shared" si="34"/>
        <v/>
      </c>
      <c r="G321" s="126" t="str">
        <f>IF(C321="","",'Datos Generales'!$D$19)</f>
        <v/>
      </c>
      <c r="H321" s="21" t="str">
        <f>IF(C321="","",'Datos Generales'!$A$19)</f>
        <v/>
      </c>
      <c r="I321" s="126" t="str">
        <f>IF(C321="","",'Datos Generales'!$A$7)</f>
        <v/>
      </c>
      <c r="J321" s="21" t="str">
        <f>IF(C321="","",'Datos Generales'!$A$13)</f>
        <v/>
      </c>
      <c r="K321" s="21" t="str">
        <f>IF(C321="","",'Datos Generales'!$A$10)</f>
        <v/>
      </c>
      <c r="CS321" s="142" t="str">
        <f t="shared" si="35"/>
        <v/>
      </c>
      <c r="CT321" s="142" t="str">
        <f t="shared" si="36"/>
        <v/>
      </c>
      <c r="CU321" s="142" t="str">
        <f t="shared" si="37"/>
        <v/>
      </c>
      <c r="CV321" s="142" t="str">
        <f t="shared" si="38"/>
        <v/>
      </c>
      <c r="CW321" s="142" t="str">
        <f>IF(C321="","",IF('Datos Generales'!$A$19=1,AVERAGE(FP321:GD321),AVERAGE(Captura!FP321:FY321)))</f>
        <v/>
      </c>
      <c r="CX321" s="138" t="e">
        <f>IF(VLOOKUP(CONCATENATE($H$4,$F$4,CX$2),Español!$A:$H,7,FALSE)=L321,1,0)</f>
        <v>#N/A</v>
      </c>
      <c r="CY321" s="138" t="e">
        <f>IF(VLOOKUP(CONCATENATE(H321,F321,CY$2),Español!$A:$H,7,FALSE)=M321,1,0)</f>
        <v>#N/A</v>
      </c>
      <c r="CZ321" s="138" t="e">
        <f>IF(VLOOKUP(CONCATENATE(H321,F321,CZ$2),Español!$A:$H,7,FALSE)=N321,1,0)</f>
        <v>#N/A</v>
      </c>
      <c r="DA321" s="138" t="e">
        <f>IF(VLOOKUP(CONCATENATE(H321,F321,DA$2),Español!$A:$H,7,FALSE)=O321,1,0)</f>
        <v>#N/A</v>
      </c>
      <c r="DB321" s="138" t="e">
        <f>IF(VLOOKUP(CONCATENATE(H321,F321,DB$2),Español!$A:$H,7,FALSE)=P321,1,0)</f>
        <v>#N/A</v>
      </c>
      <c r="DC321" s="138" t="e">
        <f>IF(VLOOKUP(CONCATENATE(H321,F321,DC$2),Español!$A:$H,7,FALSE)=Q321,1,0)</f>
        <v>#N/A</v>
      </c>
      <c r="DD321" s="138" t="e">
        <f>IF(VLOOKUP(CONCATENATE(H321,F321,DD$2),Español!$A:$H,7,FALSE)=R321,1,0)</f>
        <v>#N/A</v>
      </c>
      <c r="DE321" s="138" t="e">
        <f>IF(VLOOKUP(CONCATENATE(H321,F321,DE$2),Español!$A:$H,7,FALSE)=S321,1,0)</f>
        <v>#N/A</v>
      </c>
      <c r="DF321" s="138" t="e">
        <f>IF(VLOOKUP(CONCATENATE(H321,F321,DF$2),Español!$A:$H,7,FALSE)=T321,1,0)</f>
        <v>#N/A</v>
      </c>
      <c r="DG321" s="138" t="e">
        <f>IF(VLOOKUP(CONCATENATE(H321,F321,DG$2),Español!$A:$H,7,FALSE)=U321,1,0)</f>
        <v>#N/A</v>
      </c>
      <c r="DH321" s="138" t="e">
        <f>IF(VLOOKUP(CONCATENATE(H321,F321,DH$2),Español!$A:$H,7,FALSE)=V321,1,0)</f>
        <v>#N/A</v>
      </c>
      <c r="DI321" s="138" t="e">
        <f>IF(VLOOKUP(CONCATENATE(H321,F321,DI$2),Español!$A:$H,7,FALSE)=W321,1,0)</f>
        <v>#N/A</v>
      </c>
      <c r="DJ321" s="138" t="e">
        <f>IF(VLOOKUP(CONCATENATE(H321,F321,DJ$2),Español!$A:$H,7,FALSE)=X321,1,0)</f>
        <v>#N/A</v>
      </c>
      <c r="DK321" s="138" t="e">
        <f>IF(VLOOKUP(CONCATENATE(H321,F321,DK$2),Español!$A:$H,7,FALSE)=Y321,1,0)</f>
        <v>#N/A</v>
      </c>
      <c r="DL321" s="138" t="e">
        <f>IF(VLOOKUP(CONCATENATE(H321,F321,DL$2),Español!$A:$H,7,FALSE)=Z321,1,0)</f>
        <v>#N/A</v>
      </c>
      <c r="DM321" s="138" t="e">
        <f>IF(VLOOKUP(CONCATENATE(H321,F321,DM$2),Español!$A:$H,7,FALSE)=AA321,1,0)</f>
        <v>#N/A</v>
      </c>
      <c r="DN321" s="138" t="e">
        <f>IF(VLOOKUP(CONCATENATE(H321,F321,DN$2),Español!$A:$H,7,FALSE)=AB321,1,0)</f>
        <v>#N/A</v>
      </c>
      <c r="DO321" s="138" t="e">
        <f>IF(VLOOKUP(CONCATENATE(H321,F321,DO$2),Español!$A:$H,7,FALSE)=AC321,1,0)</f>
        <v>#N/A</v>
      </c>
      <c r="DP321" s="138" t="e">
        <f>IF(VLOOKUP(CONCATENATE(H321,F321,DP$2),Español!$A:$H,7,FALSE)=AD321,1,0)</f>
        <v>#N/A</v>
      </c>
      <c r="DQ321" s="138" t="e">
        <f>IF(VLOOKUP(CONCATENATE(H321,F321,DQ$2),Español!$A:$H,7,FALSE)=AE321,1,0)</f>
        <v>#N/A</v>
      </c>
      <c r="DR321" s="138" t="e">
        <f>IF(VLOOKUP(CONCATENATE(H321,F321,DR$2),Inglés!$A:$H,7,FALSE)=AF321,1,0)</f>
        <v>#N/A</v>
      </c>
      <c r="DS321" s="138" t="e">
        <f>IF(VLOOKUP(CONCATENATE(H321,F321,DS$2),Inglés!$A:$H,7,FALSE)=AG321,1,0)</f>
        <v>#N/A</v>
      </c>
      <c r="DT321" s="138" t="e">
        <f>IF(VLOOKUP(CONCATENATE(H321,F321,DT$2),Inglés!$A:$H,7,FALSE)=AH321,1,0)</f>
        <v>#N/A</v>
      </c>
      <c r="DU321" s="138" t="e">
        <f>IF(VLOOKUP(CONCATENATE(H321,F321,DU$2),Inglés!$A:$H,7,FALSE)=AI321,1,0)</f>
        <v>#N/A</v>
      </c>
      <c r="DV321" s="138" t="e">
        <f>IF(VLOOKUP(CONCATENATE(H321,F321,DV$2),Inglés!$A:$H,7,FALSE)=AJ321,1,0)</f>
        <v>#N/A</v>
      </c>
      <c r="DW321" s="138" t="e">
        <f>IF(VLOOKUP(CONCATENATE(H321,F321,DW$2),Inglés!$A:$H,7,FALSE)=AK321,1,0)</f>
        <v>#N/A</v>
      </c>
      <c r="DX321" s="138" t="e">
        <f>IF(VLOOKUP(CONCATENATE(H321,F321,DX$2),Inglés!$A:$H,7,FALSE)=AL321,1,0)</f>
        <v>#N/A</v>
      </c>
      <c r="DY321" s="138" t="e">
        <f>IF(VLOOKUP(CONCATENATE(H321,F321,DY$2),Inglés!$A:$H,7,FALSE)=AM321,1,0)</f>
        <v>#N/A</v>
      </c>
      <c r="DZ321" s="138" t="e">
        <f>IF(VLOOKUP(CONCATENATE(H321,F321,DZ$2),Inglés!$A:$H,7,FALSE)=AN321,1,0)</f>
        <v>#N/A</v>
      </c>
      <c r="EA321" s="138" t="e">
        <f>IF(VLOOKUP(CONCATENATE(H321,F321,EA$2),Inglés!$A:$H,7,FALSE)=AO321,1,0)</f>
        <v>#N/A</v>
      </c>
      <c r="EB321" s="138" t="e">
        <f>IF(VLOOKUP(CONCATENATE(H321,F321,EB$2),Matemáticas!$A:$H,7,FALSE)=AP321,1,0)</f>
        <v>#N/A</v>
      </c>
      <c r="EC321" s="138" t="e">
        <f>IF(VLOOKUP(CONCATENATE(H321,F321,EC$2),Matemáticas!$A:$H,7,FALSE)=AQ321,1,0)</f>
        <v>#N/A</v>
      </c>
      <c r="ED321" s="138" t="e">
        <f>IF(VLOOKUP(CONCATENATE(H321,F321,ED$2),Matemáticas!$A:$H,7,FALSE)=AR321,1,0)</f>
        <v>#N/A</v>
      </c>
      <c r="EE321" s="138" t="e">
        <f>IF(VLOOKUP(CONCATENATE(H321,F321,EE$2),Matemáticas!$A:$H,7,FALSE)=AS321,1,0)</f>
        <v>#N/A</v>
      </c>
      <c r="EF321" s="138" t="e">
        <f>IF(VLOOKUP(CONCATENATE(H321,F321,EF$2),Matemáticas!$A:$H,7,FALSE)=AT321,1,0)</f>
        <v>#N/A</v>
      </c>
      <c r="EG321" s="138" t="e">
        <f>IF(VLOOKUP(CONCATENATE(H321,F321,EG$2),Matemáticas!$A:$H,7,FALSE)=AU321,1,0)</f>
        <v>#N/A</v>
      </c>
      <c r="EH321" s="138" t="e">
        <f>IF(VLOOKUP(CONCATENATE(H321,F321,EH$2),Matemáticas!$A:$H,7,FALSE)=AV321,1,0)</f>
        <v>#N/A</v>
      </c>
      <c r="EI321" s="138" t="e">
        <f>IF(VLOOKUP(CONCATENATE(H321,F321,EI$2),Matemáticas!$A:$H,7,FALSE)=AW321,1,0)</f>
        <v>#N/A</v>
      </c>
      <c r="EJ321" s="138" t="e">
        <f>IF(VLOOKUP(CONCATENATE(H321,F321,EJ$2),Matemáticas!$A:$H,7,FALSE)=AX321,1,0)</f>
        <v>#N/A</v>
      </c>
      <c r="EK321" s="138" t="e">
        <f>IF(VLOOKUP(CONCATENATE(H321,F321,EK$2),Matemáticas!$A:$H,7,FALSE)=AY321,1,0)</f>
        <v>#N/A</v>
      </c>
      <c r="EL321" s="138" t="e">
        <f>IF(VLOOKUP(CONCATENATE(H321,F321,EL$2),Matemáticas!$A:$H,7,FALSE)=AZ321,1,0)</f>
        <v>#N/A</v>
      </c>
      <c r="EM321" s="138" t="e">
        <f>IF(VLOOKUP(CONCATENATE(H321,F321,EM$2),Matemáticas!$A:$H,7,FALSE)=BA321,1,0)</f>
        <v>#N/A</v>
      </c>
      <c r="EN321" s="138" t="e">
        <f>IF(VLOOKUP(CONCATENATE(H321,F321,EN$2),Matemáticas!$A:$H,7,FALSE)=BB321,1,0)</f>
        <v>#N/A</v>
      </c>
      <c r="EO321" s="138" t="e">
        <f>IF(VLOOKUP(CONCATENATE(H321,F321,EO$2),Matemáticas!$A:$H,7,FALSE)=BC321,1,0)</f>
        <v>#N/A</v>
      </c>
      <c r="EP321" s="138" t="e">
        <f>IF(VLOOKUP(CONCATENATE(H321,F321,EP$2),Matemáticas!$A:$H,7,FALSE)=BD321,1,0)</f>
        <v>#N/A</v>
      </c>
      <c r="EQ321" s="138" t="e">
        <f>IF(VLOOKUP(CONCATENATE(H321,F321,EQ$2),Matemáticas!$A:$H,7,FALSE)=BE321,1,0)</f>
        <v>#N/A</v>
      </c>
      <c r="ER321" s="138" t="e">
        <f>IF(VLOOKUP(CONCATENATE(H321,F321,ER$2),Matemáticas!$A:$H,7,FALSE)=BF321,1,0)</f>
        <v>#N/A</v>
      </c>
      <c r="ES321" s="138" t="e">
        <f>IF(VLOOKUP(CONCATENATE(H321,F321,ES$2),Matemáticas!$A:$H,7,FALSE)=BG321,1,0)</f>
        <v>#N/A</v>
      </c>
      <c r="ET321" s="138" t="e">
        <f>IF(VLOOKUP(CONCATENATE(H321,F321,ET$2),Matemáticas!$A:$H,7,FALSE)=BH321,1,0)</f>
        <v>#N/A</v>
      </c>
      <c r="EU321" s="138" t="e">
        <f>IF(VLOOKUP(CONCATENATE(H321,F321,EU$2),Matemáticas!$A:$H,7,FALSE)=BI321,1,0)</f>
        <v>#N/A</v>
      </c>
      <c r="EV321" s="138" t="e">
        <f>IF(VLOOKUP(CONCATENATE(H321,F321,EV$2),Ciencias!$A:$H,7,FALSE)=BJ321,1,0)</f>
        <v>#N/A</v>
      </c>
      <c r="EW321" s="138" t="e">
        <f>IF(VLOOKUP(CONCATENATE(H321,F321,EW$2),Ciencias!$A:$H,7,FALSE)=BK321,1,0)</f>
        <v>#N/A</v>
      </c>
      <c r="EX321" s="138" t="e">
        <f>IF(VLOOKUP(CONCATENATE(H321,F321,EX$2),Ciencias!$A:$H,7,FALSE)=BL321,1,0)</f>
        <v>#N/A</v>
      </c>
      <c r="EY321" s="138" t="e">
        <f>IF(VLOOKUP(CONCATENATE(H321,F321,EY$2),Ciencias!$A:$H,7,FALSE)=BM321,1,0)</f>
        <v>#N/A</v>
      </c>
      <c r="EZ321" s="138" t="e">
        <f>IF(VLOOKUP(CONCATENATE(H321,F321,EZ$2),Ciencias!$A:$H,7,FALSE)=BN321,1,0)</f>
        <v>#N/A</v>
      </c>
      <c r="FA321" s="138" t="e">
        <f>IF(VLOOKUP(CONCATENATE(H321,F321,FA$2),Ciencias!$A:$H,7,FALSE)=BO321,1,0)</f>
        <v>#N/A</v>
      </c>
      <c r="FB321" s="138" t="e">
        <f>IF(VLOOKUP(CONCATENATE(H321,F321,FB$2),Ciencias!$A:$H,7,FALSE)=BP321,1,0)</f>
        <v>#N/A</v>
      </c>
      <c r="FC321" s="138" t="e">
        <f>IF(VLOOKUP(CONCATENATE(H321,F321,FC$2),Ciencias!$A:$H,7,FALSE)=BQ321,1,0)</f>
        <v>#N/A</v>
      </c>
      <c r="FD321" s="138" t="e">
        <f>IF(VLOOKUP(CONCATENATE(H321,F321,FD$2),Ciencias!$A:$H,7,FALSE)=BR321,1,0)</f>
        <v>#N/A</v>
      </c>
      <c r="FE321" s="138" t="e">
        <f>IF(VLOOKUP(CONCATENATE(H321,F321,FE$2),Ciencias!$A:$H,7,FALSE)=BS321,1,0)</f>
        <v>#N/A</v>
      </c>
      <c r="FF321" s="138" t="e">
        <f>IF(VLOOKUP(CONCATENATE(H321,F321,FF$2),Ciencias!$A:$H,7,FALSE)=BT321,1,0)</f>
        <v>#N/A</v>
      </c>
      <c r="FG321" s="138" t="e">
        <f>IF(VLOOKUP(CONCATENATE(H321,F321,FG$2),Ciencias!$A:$H,7,FALSE)=BU321,1,0)</f>
        <v>#N/A</v>
      </c>
      <c r="FH321" s="138" t="e">
        <f>IF(VLOOKUP(CONCATENATE(H321,F321,FH$2),Ciencias!$A:$H,7,FALSE)=BV321,1,0)</f>
        <v>#N/A</v>
      </c>
      <c r="FI321" s="138" t="e">
        <f>IF(VLOOKUP(CONCATENATE(H321,F321,FI$2),Ciencias!$A:$H,7,FALSE)=BW321,1,0)</f>
        <v>#N/A</v>
      </c>
      <c r="FJ321" s="138" t="e">
        <f>IF(VLOOKUP(CONCATENATE(H321,F321,FJ$2),Ciencias!$A:$H,7,FALSE)=BX321,1,0)</f>
        <v>#N/A</v>
      </c>
      <c r="FK321" s="138" t="e">
        <f>IF(VLOOKUP(CONCATENATE(H321,F321,FK$2),Ciencias!$A:$H,7,FALSE)=BY321,1,0)</f>
        <v>#N/A</v>
      </c>
      <c r="FL321" s="138" t="e">
        <f>IF(VLOOKUP(CONCATENATE(H321,F321,FL$2),Ciencias!$A:$H,7,FALSE)=BZ321,1,0)</f>
        <v>#N/A</v>
      </c>
      <c r="FM321" s="138" t="e">
        <f>IF(VLOOKUP(CONCATENATE(H321,F321,FM$2),Ciencias!$A:$H,7,FALSE)=CA321,1,0)</f>
        <v>#N/A</v>
      </c>
      <c r="FN321" s="138" t="e">
        <f>IF(VLOOKUP(CONCATENATE(H321,F321,FN$2),Ciencias!$A:$H,7,FALSE)=CB321,1,0)</f>
        <v>#N/A</v>
      </c>
      <c r="FO321" s="138" t="e">
        <f>IF(VLOOKUP(CONCATENATE(H321,F321,FO$2),Ciencias!$A:$H,7,FALSE)=CC321,1,0)</f>
        <v>#N/A</v>
      </c>
      <c r="FP321" s="138" t="e">
        <f>IF(VLOOKUP(CONCATENATE(H321,F321,FP$2),GeoHis!$A:$H,7,FALSE)=CD321,1,0)</f>
        <v>#N/A</v>
      </c>
      <c r="FQ321" s="138" t="e">
        <f>IF(VLOOKUP(CONCATENATE(H321,F321,FQ$2),GeoHis!$A:$H,7,FALSE)=CE321,1,0)</f>
        <v>#N/A</v>
      </c>
      <c r="FR321" s="138" t="e">
        <f>IF(VLOOKUP(CONCATENATE(H321,F321,FR$2),GeoHis!$A:$H,7,FALSE)=CF321,1,0)</f>
        <v>#N/A</v>
      </c>
      <c r="FS321" s="138" t="e">
        <f>IF(VLOOKUP(CONCATENATE(H321,F321,FS$2),GeoHis!$A:$H,7,FALSE)=CG321,1,0)</f>
        <v>#N/A</v>
      </c>
      <c r="FT321" s="138" t="e">
        <f>IF(VLOOKUP(CONCATENATE(H321,F321,FT$2),GeoHis!$A:$H,7,FALSE)=CH321,1,0)</f>
        <v>#N/A</v>
      </c>
      <c r="FU321" s="138" t="e">
        <f>IF(VLOOKUP(CONCATENATE(H321,F321,FU$2),GeoHis!$A:$H,7,FALSE)=CI321,1,0)</f>
        <v>#N/A</v>
      </c>
      <c r="FV321" s="138" t="e">
        <f>IF(VLOOKUP(CONCATENATE(H321,F321,FV$2),GeoHis!$A:$H,7,FALSE)=CJ321,1,0)</f>
        <v>#N/A</v>
      </c>
      <c r="FW321" s="138" t="e">
        <f>IF(VLOOKUP(CONCATENATE(H321,F321,FW$2),GeoHis!$A:$H,7,FALSE)=CK321,1,0)</f>
        <v>#N/A</v>
      </c>
      <c r="FX321" s="138" t="e">
        <f>IF(VLOOKUP(CONCATENATE(H321,F321,FX$2),GeoHis!$A:$H,7,FALSE)=CL321,1,0)</f>
        <v>#N/A</v>
      </c>
      <c r="FY321" s="138" t="e">
        <f>IF(VLOOKUP(CONCATENATE(H321,F321,FY$2),GeoHis!$A:$H,7,FALSE)=CM321,1,0)</f>
        <v>#N/A</v>
      </c>
      <c r="FZ321" s="138" t="e">
        <f>IF(VLOOKUP(CONCATENATE(H321,F321,FZ$2),GeoHis!$A:$H,7,FALSE)=CN321,1,0)</f>
        <v>#N/A</v>
      </c>
      <c r="GA321" s="138" t="e">
        <f>IF(VLOOKUP(CONCATENATE(H321,F321,GA$2),GeoHis!$A:$H,7,FALSE)=CO321,1,0)</f>
        <v>#N/A</v>
      </c>
      <c r="GB321" s="138" t="e">
        <f>IF(VLOOKUP(CONCATENATE(H321,F321,GB$2),GeoHis!$A:$H,7,FALSE)=CP321,1,0)</f>
        <v>#N/A</v>
      </c>
      <c r="GC321" s="138" t="e">
        <f>IF(VLOOKUP(CONCATENATE(H321,F321,GC$2),GeoHis!$A:$H,7,FALSE)=CQ321,1,0)</f>
        <v>#N/A</v>
      </c>
      <c r="GD321" s="138" t="e">
        <f>IF(VLOOKUP(CONCATENATE(H321,F321,GD$2),GeoHis!$A:$H,7,FALSE)=CR321,1,0)</f>
        <v>#N/A</v>
      </c>
      <c r="GE321" s="135" t="str">
        <f t="shared" si="39"/>
        <v/>
      </c>
    </row>
    <row r="322" spans="1:187" x14ac:dyDescent="0.25">
      <c r="A322" s="127" t="str">
        <f>IF(C322="","",'Datos Generales'!$A$25)</f>
        <v/>
      </c>
      <c r="D322" s="126" t="str">
        <f t="shared" si="32"/>
        <v/>
      </c>
      <c r="E322" s="126">
        <f t="shared" si="33"/>
        <v>0</v>
      </c>
      <c r="F322" s="126" t="str">
        <f t="shared" si="34"/>
        <v/>
      </c>
      <c r="G322" s="126" t="str">
        <f>IF(C322="","",'Datos Generales'!$D$19)</f>
        <v/>
      </c>
      <c r="H322" s="21" t="str">
        <f>IF(C322="","",'Datos Generales'!$A$19)</f>
        <v/>
      </c>
      <c r="I322" s="126" t="str">
        <f>IF(C322="","",'Datos Generales'!$A$7)</f>
        <v/>
      </c>
      <c r="J322" s="21" t="str">
        <f>IF(C322="","",'Datos Generales'!$A$13)</f>
        <v/>
      </c>
      <c r="K322" s="21" t="str">
        <f>IF(C322="","",'Datos Generales'!$A$10)</f>
        <v/>
      </c>
      <c r="CS322" s="142" t="str">
        <f t="shared" si="35"/>
        <v/>
      </c>
      <c r="CT322" s="142" t="str">
        <f t="shared" si="36"/>
        <v/>
      </c>
      <c r="CU322" s="142" t="str">
        <f t="shared" si="37"/>
        <v/>
      </c>
      <c r="CV322" s="142" t="str">
        <f t="shared" si="38"/>
        <v/>
      </c>
      <c r="CW322" s="142" t="str">
        <f>IF(C322="","",IF('Datos Generales'!$A$19=1,AVERAGE(FP322:GD322),AVERAGE(Captura!FP322:FY322)))</f>
        <v/>
      </c>
      <c r="CX322" s="138" t="e">
        <f>IF(VLOOKUP(CONCATENATE($H$4,$F$4,CX$2),Español!$A:$H,7,FALSE)=L322,1,0)</f>
        <v>#N/A</v>
      </c>
      <c r="CY322" s="138" t="e">
        <f>IF(VLOOKUP(CONCATENATE(H322,F322,CY$2),Español!$A:$H,7,FALSE)=M322,1,0)</f>
        <v>#N/A</v>
      </c>
      <c r="CZ322" s="138" t="e">
        <f>IF(VLOOKUP(CONCATENATE(H322,F322,CZ$2),Español!$A:$H,7,FALSE)=N322,1,0)</f>
        <v>#N/A</v>
      </c>
      <c r="DA322" s="138" t="e">
        <f>IF(VLOOKUP(CONCATENATE(H322,F322,DA$2),Español!$A:$H,7,FALSE)=O322,1,0)</f>
        <v>#N/A</v>
      </c>
      <c r="DB322" s="138" t="e">
        <f>IF(VLOOKUP(CONCATENATE(H322,F322,DB$2),Español!$A:$H,7,FALSE)=P322,1,0)</f>
        <v>#N/A</v>
      </c>
      <c r="DC322" s="138" t="e">
        <f>IF(VLOOKUP(CONCATENATE(H322,F322,DC$2),Español!$A:$H,7,FALSE)=Q322,1,0)</f>
        <v>#N/A</v>
      </c>
      <c r="DD322" s="138" t="e">
        <f>IF(VLOOKUP(CONCATENATE(H322,F322,DD$2),Español!$A:$H,7,FALSE)=R322,1,0)</f>
        <v>#N/A</v>
      </c>
      <c r="DE322" s="138" t="e">
        <f>IF(VLOOKUP(CONCATENATE(H322,F322,DE$2),Español!$A:$H,7,FALSE)=S322,1,0)</f>
        <v>#N/A</v>
      </c>
      <c r="DF322" s="138" t="e">
        <f>IF(VLOOKUP(CONCATENATE(H322,F322,DF$2),Español!$A:$H,7,FALSE)=T322,1,0)</f>
        <v>#N/A</v>
      </c>
      <c r="DG322" s="138" t="e">
        <f>IF(VLOOKUP(CONCATENATE(H322,F322,DG$2),Español!$A:$H,7,FALSE)=U322,1,0)</f>
        <v>#N/A</v>
      </c>
      <c r="DH322" s="138" t="e">
        <f>IF(VLOOKUP(CONCATENATE(H322,F322,DH$2),Español!$A:$H,7,FALSE)=V322,1,0)</f>
        <v>#N/A</v>
      </c>
      <c r="DI322" s="138" t="e">
        <f>IF(VLOOKUP(CONCATENATE(H322,F322,DI$2),Español!$A:$H,7,FALSE)=W322,1,0)</f>
        <v>#N/A</v>
      </c>
      <c r="DJ322" s="138" t="e">
        <f>IF(VLOOKUP(CONCATENATE(H322,F322,DJ$2),Español!$A:$H,7,FALSE)=X322,1,0)</f>
        <v>#N/A</v>
      </c>
      <c r="DK322" s="138" t="e">
        <f>IF(VLOOKUP(CONCATENATE(H322,F322,DK$2),Español!$A:$H,7,FALSE)=Y322,1,0)</f>
        <v>#N/A</v>
      </c>
      <c r="DL322" s="138" t="e">
        <f>IF(VLOOKUP(CONCATENATE(H322,F322,DL$2),Español!$A:$H,7,FALSE)=Z322,1,0)</f>
        <v>#N/A</v>
      </c>
      <c r="DM322" s="138" t="e">
        <f>IF(VLOOKUP(CONCATENATE(H322,F322,DM$2),Español!$A:$H,7,FALSE)=AA322,1,0)</f>
        <v>#N/A</v>
      </c>
      <c r="DN322" s="138" t="e">
        <f>IF(VLOOKUP(CONCATENATE(H322,F322,DN$2),Español!$A:$H,7,FALSE)=AB322,1,0)</f>
        <v>#N/A</v>
      </c>
      <c r="DO322" s="138" t="e">
        <f>IF(VLOOKUP(CONCATENATE(H322,F322,DO$2),Español!$A:$H,7,FALSE)=AC322,1,0)</f>
        <v>#N/A</v>
      </c>
      <c r="DP322" s="138" t="e">
        <f>IF(VLOOKUP(CONCATENATE(H322,F322,DP$2),Español!$A:$H,7,FALSE)=AD322,1,0)</f>
        <v>#N/A</v>
      </c>
      <c r="DQ322" s="138" t="e">
        <f>IF(VLOOKUP(CONCATENATE(H322,F322,DQ$2),Español!$A:$H,7,FALSE)=AE322,1,0)</f>
        <v>#N/A</v>
      </c>
      <c r="DR322" s="138" t="e">
        <f>IF(VLOOKUP(CONCATENATE(H322,F322,DR$2),Inglés!$A:$H,7,FALSE)=AF322,1,0)</f>
        <v>#N/A</v>
      </c>
      <c r="DS322" s="138" t="e">
        <f>IF(VLOOKUP(CONCATENATE(H322,F322,DS$2),Inglés!$A:$H,7,FALSE)=AG322,1,0)</f>
        <v>#N/A</v>
      </c>
      <c r="DT322" s="138" t="e">
        <f>IF(VLOOKUP(CONCATENATE(H322,F322,DT$2),Inglés!$A:$H,7,FALSE)=AH322,1,0)</f>
        <v>#N/A</v>
      </c>
      <c r="DU322" s="138" t="e">
        <f>IF(VLOOKUP(CONCATENATE(H322,F322,DU$2),Inglés!$A:$H,7,FALSE)=AI322,1,0)</f>
        <v>#N/A</v>
      </c>
      <c r="DV322" s="138" t="e">
        <f>IF(VLOOKUP(CONCATENATE(H322,F322,DV$2),Inglés!$A:$H,7,FALSE)=AJ322,1,0)</f>
        <v>#N/A</v>
      </c>
      <c r="DW322" s="138" t="e">
        <f>IF(VLOOKUP(CONCATENATE(H322,F322,DW$2),Inglés!$A:$H,7,FALSE)=AK322,1,0)</f>
        <v>#N/A</v>
      </c>
      <c r="DX322" s="138" t="e">
        <f>IF(VLOOKUP(CONCATENATE(H322,F322,DX$2),Inglés!$A:$H,7,FALSE)=AL322,1,0)</f>
        <v>#N/A</v>
      </c>
      <c r="DY322" s="138" t="e">
        <f>IF(VLOOKUP(CONCATENATE(H322,F322,DY$2),Inglés!$A:$H,7,FALSE)=AM322,1,0)</f>
        <v>#N/A</v>
      </c>
      <c r="DZ322" s="138" t="e">
        <f>IF(VLOOKUP(CONCATENATE(H322,F322,DZ$2),Inglés!$A:$H,7,FALSE)=AN322,1,0)</f>
        <v>#N/A</v>
      </c>
      <c r="EA322" s="138" t="e">
        <f>IF(VLOOKUP(CONCATENATE(H322,F322,EA$2),Inglés!$A:$H,7,FALSE)=AO322,1,0)</f>
        <v>#N/A</v>
      </c>
      <c r="EB322" s="138" t="e">
        <f>IF(VLOOKUP(CONCATENATE(H322,F322,EB$2),Matemáticas!$A:$H,7,FALSE)=AP322,1,0)</f>
        <v>#N/A</v>
      </c>
      <c r="EC322" s="138" t="e">
        <f>IF(VLOOKUP(CONCATENATE(H322,F322,EC$2),Matemáticas!$A:$H,7,FALSE)=AQ322,1,0)</f>
        <v>#N/A</v>
      </c>
      <c r="ED322" s="138" t="e">
        <f>IF(VLOOKUP(CONCATENATE(H322,F322,ED$2),Matemáticas!$A:$H,7,FALSE)=AR322,1,0)</f>
        <v>#N/A</v>
      </c>
      <c r="EE322" s="138" t="e">
        <f>IF(VLOOKUP(CONCATENATE(H322,F322,EE$2),Matemáticas!$A:$H,7,FALSE)=AS322,1,0)</f>
        <v>#N/A</v>
      </c>
      <c r="EF322" s="138" t="e">
        <f>IF(VLOOKUP(CONCATENATE(H322,F322,EF$2),Matemáticas!$A:$H,7,FALSE)=AT322,1,0)</f>
        <v>#N/A</v>
      </c>
      <c r="EG322" s="138" t="e">
        <f>IF(VLOOKUP(CONCATENATE(H322,F322,EG$2),Matemáticas!$A:$H,7,FALSE)=AU322,1,0)</f>
        <v>#N/A</v>
      </c>
      <c r="EH322" s="138" t="e">
        <f>IF(VLOOKUP(CONCATENATE(H322,F322,EH$2),Matemáticas!$A:$H,7,FALSE)=AV322,1,0)</f>
        <v>#N/A</v>
      </c>
      <c r="EI322" s="138" t="e">
        <f>IF(VLOOKUP(CONCATENATE(H322,F322,EI$2),Matemáticas!$A:$H,7,FALSE)=AW322,1,0)</f>
        <v>#N/A</v>
      </c>
      <c r="EJ322" s="138" t="e">
        <f>IF(VLOOKUP(CONCATENATE(H322,F322,EJ$2),Matemáticas!$A:$H,7,FALSE)=AX322,1,0)</f>
        <v>#N/A</v>
      </c>
      <c r="EK322" s="138" t="e">
        <f>IF(VLOOKUP(CONCATENATE(H322,F322,EK$2),Matemáticas!$A:$H,7,FALSE)=AY322,1,0)</f>
        <v>#N/A</v>
      </c>
      <c r="EL322" s="138" t="e">
        <f>IF(VLOOKUP(CONCATENATE(H322,F322,EL$2),Matemáticas!$A:$H,7,FALSE)=AZ322,1,0)</f>
        <v>#N/A</v>
      </c>
      <c r="EM322" s="138" t="e">
        <f>IF(VLOOKUP(CONCATENATE(H322,F322,EM$2),Matemáticas!$A:$H,7,FALSE)=BA322,1,0)</f>
        <v>#N/A</v>
      </c>
      <c r="EN322" s="138" t="e">
        <f>IF(VLOOKUP(CONCATENATE(H322,F322,EN$2),Matemáticas!$A:$H,7,FALSE)=BB322,1,0)</f>
        <v>#N/A</v>
      </c>
      <c r="EO322" s="138" t="e">
        <f>IF(VLOOKUP(CONCATENATE(H322,F322,EO$2),Matemáticas!$A:$H,7,FALSE)=BC322,1,0)</f>
        <v>#N/A</v>
      </c>
      <c r="EP322" s="138" t="e">
        <f>IF(VLOOKUP(CONCATENATE(H322,F322,EP$2),Matemáticas!$A:$H,7,FALSE)=BD322,1,0)</f>
        <v>#N/A</v>
      </c>
      <c r="EQ322" s="138" t="e">
        <f>IF(VLOOKUP(CONCATENATE(H322,F322,EQ$2),Matemáticas!$A:$H,7,FALSE)=BE322,1,0)</f>
        <v>#N/A</v>
      </c>
      <c r="ER322" s="138" t="e">
        <f>IF(VLOOKUP(CONCATENATE(H322,F322,ER$2),Matemáticas!$A:$H,7,FALSE)=BF322,1,0)</f>
        <v>#N/A</v>
      </c>
      <c r="ES322" s="138" t="e">
        <f>IF(VLOOKUP(CONCATENATE(H322,F322,ES$2),Matemáticas!$A:$H,7,FALSE)=BG322,1,0)</f>
        <v>#N/A</v>
      </c>
      <c r="ET322" s="138" t="e">
        <f>IF(VLOOKUP(CONCATENATE(H322,F322,ET$2),Matemáticas!$A:$H,7,FALSE)=BH322,1,0)</f>
        <v>#N/A</v>
      </c>
      <c r="EU322" s="138" t="e">
        <f>IF(VLOOKUP(CONCATENATE(H322,F322,EU$2),Matemáticas!$A:$H,7,FALSE)=BI322,1,0)</f>
        <v>#N/A</v>
      </c>
      <c r="EV322" s="138" t="e">
        <f>IF(VLOOKUP(CONCATENATE(H322,F322,EV$2),Ciencias!$A:$H,7,FALSE)=BJ322,1,0)</f>
        <v>#N/A</v>
      </c>
      <c r="EW322" s="138" t="e">
        <f>IF(VLOOKUP(CONCATENATE(H322,F322,EW$2),Ciencias!$A:$H,7,FALSE)=BK322,1,0)</f>
        <v>#N/A</v>
      </c>
      <c r="EX322" s="138" t="e">
        <f>IF(VLOOKUP(CONCATENATE(H322,F322,EX$2),Ciencias!$A:$H,7,FALSE)=BL322,1,0)</f>
        <v>#N/A</v>
      </c>
      <c r="EY322" s="138" t="e">
        <f>IF(VLOOKUP(CONCATENATE(H322,F322,EY$2),Ciencias!$A:$H,7,FALSE)=BM322,1,0)</f>
        <v>#N/A</v>
      </c>
      <c r="EZ322" s="138" t="e">
        <f>IF(VLOOKUP(CONCATENATE(H322,F322,EZ$2),Ciencias!$A:$H,7,FALSE)=BN322,1,0)</f>
        <v>#N/A</v>
      </c>
      <c r="FA322" s="138" t="e">
        <f>IF(VLOOKUP(CONCATENATE(H322,F322,FA$2),Ciencias!$A:$H,7,FALSE)=BO322,1,0)</f>
        <v>#N/A</v>
      </c>
      <c r="FB322" s="138" t="e">
        <f>IF(VLOOKUP(CONCATENATE(H322,F322,FB$2),Ciencias!$A:$H,7,FALSE)=BP322,1,0)</f>
        <v>#N/A</v>
      </c>
      <c r="FC322" s="138" t="e">
        <f>IF(VLOOKUP(CONCATENATE(H322,F322,FC$2),Ciencias!$A:$H,7,FALSE)=BQ322,1,0)</f>
        <v>#N/A</v>
      </c>
      <c r="FD322" s="138" t="e">
        <f>IF(VLOOKUP(CONCATENATE(H322,F322,FD$2),Ciencias!$A:$H,7,FALSE)=BR322,1,0)</f>
        <v>#N/A</v>
      </c>
      <c r="FE322" s="138" t="e">
        <f>IF(VLOOKUP(CONCATENATE(H322,F322,FE$2),Ciencias!$A:$H,7,FALSE)=BS322,1,0)</f>
        <v>#N/A</v>
      </c>
      <c r="FF322" s="138" t="e">
        <f>IF(VLOOKUP(CONCATENATE(H322,F322,FF$2),Ciencias!$A:$H,7,FALSE)=BT322,1,0)</f>
        <v>#N/A</v>
      </c>
      <c r="FG322" s="138" t="e">
        <f>IF(VLOOKUP(CONCATENATE(H322,F322,FG$2),Ciencias!$A:$H,7,FALSE)=BU322,1,0)</f>
        <v>#N/A</v>
      </c>
      <c r="FH322" s="138" t="e">
        <f>IF(VLOOKUP(CONCATENATE(H322,F322,FH$2),Ciencias!$A:$H,7,FALSE)=BV322,1,0)</f>
        <v>#N/A</v>
      </c>
      <c r="FI322" s="138" t="e">
        <f>IF(VLOOKUP(CONCATENATE(H322,F322,FI$2),Ciencias!$A:$H,7,FALSE)=BW322,1,0)</f>
        <v>#N/A</v>
      </c>
      <c r="FJ322" s="138" t="e">
        <f>IF(VLOOKUP(CONCATENATE(H322,F322,FJ$2),Ciencias!$A:$H,7,FALSE)=BX322,1,0)</f>
        <v>#N/A</v>
      </c>
      <c r="FK322" s="138" t="e">
        <f>IF(VLOOKUP(CONCATENATE(H322,F322,FK$2),Ciencias!$A:$H,7,FALSE)=BY322,1,0)</f>
        <v>#N/A</v>
      </c>
      <c r="FL322" s="138" t="e">
        <f>IF(VLOOKUP(CONCATENATE(H322,F322,FL$2),Ciencias!$A:$H,7,FALSE)=BZ322,1,0)</f>
        <v>#N/A</v>
      </c>
      <c r="FM322" s="138" t="e">
        <f>IF(VLOOKUP(CONCATENATE(H322,F322,FM$2),Ciencias!$A:$H,7,FALSE)=CA322,1,0)</f>
        <v>#N/A</v>
      </c>
      <c r="FN322" s="138" t="e">
        <f>IF(VLOOKUP(CONCATENATE(H322,F322,FN$2),Ciencias!$A:$H,7,FALSE)=CB322,1,0)</f>
        <v>#N/A</v>
      </c>
      <c r="FO322" s="138" t="e">
        <f>IF(VLOOKUP(CONCATENATE(H322,F322,FO$2),Ciencias!$A:$H,7,FALSE)=CC322,1,0)</f>
        <v>#N/A</v>
      </c>
      <c r="FP322" s="138" t="e">
        <f>IF(VLOOKUP(CONCATENATE(H322,F322,FP$2),GeoHis!$A:$H,7,FALSE)=CD322,1,0)</f>
        <v>#N/A</v>
      </c>
      <c r="FQ322" s="138" t="e">
        <f>IF(VLOOKUP(CONCATENATE(H322,F322,FQ$2),GeoHis!$A:$H,7,FALSE)=CE322,1,0)</f>
        <v>#N/A</v>
      </c>
      <c r="FR322" s="138" t="e">
        <f>IF(VLOOKUP(CONCATENATE(H322,F322,FR$2),GeoHis!$A:$H,7,FALSE)=CF322,1,0)</f>
        <v>#N/A</v>
      </c>
      <c r="FS322" s="138" t="e">
        <f>IF(VLOOKUP(CONCATENATE(H322,F322,FS$2),GeoHis!$A:$H,7,FALSE)=CG322,1,0)</f>
        <v>#N/A</v>
      </c>
      <c r="FT322" s="138" t="e">
        <f>IF(VLOOKUP(CONCATENATE(H322,F322,FT$2),GeoHis!$A:$H,7,FALSE)=CH322,1,0)</f>
        <v>#N/A</v>
      </c>
      <c r="FU322" s="138" t="e">
        <f>IF(VLOOKUP(CONCATENATE(H322,F322,FU$2),GeoHis!$A:$H,7,FALSE)=CI322,1,0)</f>
        <v>#N/A</v>
      </c>
      <c r="FV322" s="138" t="e">
        <f>IF(VLOOKUP(CONCATENATE(H322,F322,FV$2),GeoHis!$A:$H,7,FALSE)=CJ322,1,0)</f>
        <v>#N/A</v>
      </c>
      <c r="FW322" s="138" t="e">
        <f>IF(VLOOKUP(CONCATENATE(H322,F322,FW$2),GeoHis!$A:$H,7,FALSE)=CK322,1,0)</f>
        <v>#N/A</v>
      </c>
      <c r="FX322" s="138" t="e">
        <f>IF(VLOOKUP(CONCATENATE(H322,F322,FX$2),GeoHis!$A:$H,7,FALSE)=CL322,1,0)</f>
        <v>#N/A</v>
      </c>
      <c r="FY322" s="138" t="e">
        <f>IF(VLOOKUP(CONCATENATE(H322,F322,FY$2),GeoHis!$A:$H,7,FALSE)=CM322,1,0)</f>
        <v>#N/A</v>
      </c>
      <c r="FZ322" s="138" t="e">
        <f>IF(VLOOKUP(CONCATENATE(H322,F322,FZ$2),GeoHis!$A:$H,7,FALSE)=CN322,1,0)</f>
        <v>#N/A</v>
      </c>
      <c r="GA322" s="138" t="e">
        <f>IF(VLOOKUP(CONCATENATE(H322,F322,GA$2),GeoHis!$A:$H,7,FALSE)=CO322,1,0)</f>
        <v>#N/A</v>
      </c>
      <c r="GB322" s="138" t="e">
        <f>IF(VLOOKUP(CONCATENATE(H322,F322,GB$2),GeoHis!$A:$H,7,FALSE)=CP322,1,0)</f>
        <v>#N/A</v>
      </c>
      <c r="GC322" s="138" t="e">
        <f>IF(VLOOKUP(CONCATENATE(H322,F322,GC$2),GeoHis!$A:$H,7,FALSE)=CQ322,1,0)</f>
        <v>#N/A</v>
      </c>
      <c r="GD322" s="138" t="e">
        <f>IF(VLOOKUP(CONCATENATE(H322,F322,GD$2),GeoHis!$A:$H,7,FALSE)=CR322,1,0)</f>
        <v>#N/A</v>
      </c>
      <c r="GE322" s="135" t="str">
        <f t="shared" si="39"/>
        <v/>
      </c>
    </row>
    <row r="323" spans="1:187" x14ac:dyDescent="0.25">
      <c r="A323" s="127" t="str">
        <f>IF(C323="","",'Datos Generales'!$A$25)</f>
        <v/>
      </c>
      <c r="D323" s="126" t="str">
        <f t="shared" si="32"/>
        <v/>
      </c>
      <c r="E323" s="126">
        <f t="shared" si="33"/>
        <v>0</v>
      </c>
      <c r="F323" s="126" t="str">
        <f t="shared" si="34"/>
        <v/>
      </c>
      <c r="G323" s="126" t="str">
        <f>IF(C323="","",'Datos Generales'!$D$19)</f>
        <v/>
      </c>
      <c r="H323" s="21" t="str">
        <f>IF(C323="","",'Datos Generales'!$A$19)</f>
        <v/>
      </c>
      <c r="I323" s="126" t="str">
        <f>IF(C323="","",'Datos Generales'!$A$7)</f>
        <v/>
      </c>
      <c r="J323" s="21" t="str">
        <f>IF(C323="","",'Datos Generales'!$A$13)</f>
        <v/>
      </c>
      <c r="K323" s="21" t="str">
        <f>IF(C323="","",'Datos Generales'!$A$10)</f>
        <v/>
      </c>
      <c r="CS323" s="142" t="str">
        <f t="shared" si="35"/>
        <v/>
      </c>
      <c r="CT323" s="142" t="str">
        <f t="shared" si="36"/>
        <v/>
      </c>
      <c r="CU323" s="142" t="str">
        <f t="shared" si="37"/>
        <v/>
      </c>
      <c r="CV323" s="142" t="str">
        <f t="shared" si="38"/>
        <v/>
      </c>
      <c r="CW323" s="142" t="str">
        <f>IF(C323="","",IF('Datos Generales'!$A$19=1,AVERAGE(FP323:GD323),AVERAGE(Captura!FP323:FY323)))</f>
        <v/>
      </c>
      <c r="CX323" s="138" t="e">
        <f>IF(VLOOKUP(CONCATENATE($H$4,$F$4,CX$2),Español!$A:$H,7,FALSE)=L323,1,0)</f>
        <v>#N/A</v>
      </c>
      <c r="CY323" s="138" t="e">
        <f>IF(VLOOKUP(CONCATENATE(H323,F323,CY$2),Español!$A:$H,7,FALSE)=M323,1,0)</f>
        <v>#N/A</v>
      </c>
      <c r="CZ323" s="138" t="e">
        <f>IF(VLOOKUP(CONCATENATE(H323,F323,CZ$2),Español!$A:$H,7,FALSE)=N323,1,0)</f>
        <v>#N/A</v>
      </c>
      <c r="DA323" s="138" t="e">
        <f>IF(VLOOKUP(CONCATENATE(H323,F323,DA$2),Español!$A:$H,7,FALSE)=O323,1,0)</f>
        <v>#N/A</v>
      </c>
      <c r="DB323" s="138" t="e">
        <f>IF(VLOOKUP(CONCATENATE(H323,F323,DB$2),Español!$A:$H,7,FALSE)=P323,1,0)</f>
        <v>#N/A</v>
      </c>
      <c r="DC323" s="138" t="e">
        <f>IF(VLOOKUP(CONCATENATE(H323,F323,DC$2),Español!$A:$H,7,FALSE)=Q323,1,0)</f>
        <v>#N/A</v>
      </c>
      <c r="DD323" s="138" t="e">
        <f>IF(VLOOKUP(CONCATENATE(H323,F323,DD$2),Español!$A:$H,7,FALSE)=R323,1,0)</f>
        <v>#N/A</v>
      </c>
      <c r="DE323" s="138" t="e">
        <f>IF(VLOOKUP(CONCATENATE(H323,F323,DE$2),Español!$A:$H,7,FALSE)=S323,1,0)</f>
        <v>#N/A</v>
      </c>
      <c r="DF323" s="138" t="e">
        <f>IF(VLOOKUP(CONCATENATE(H323,F323,DF$2),Español!$A:$H,7,FALSE)=T323,1,0)</f>
        <v>#N/A</v>
      </c>
      <c r="DG323" s="138" t="e">
        <f>IF(VLOOKUP(CONCATENATE(H323,F323,DG$2),Español!$A:$H,7,FALSE)=U323,1,0)</f>
        <v>#N/A</v>
      </c>
      <c r="DH323" s="138" t="e">
        <f>IF(VLOOKUP(CONCATENATE(H323,F323,DH$2),Español!$A:$H,7,FALSE)=V323,1,0)</f>
        <v>#N/A</v>
      </c>
      <c r="DI323" s="138" t="e">
        <f>IF(VLOOKUP(CONCATENATE(H323,F323,DI$2),Español!$A:$H,7,FALSE)=W323,1,0)</f>
        <v>#N/A</v>
      </c>
      <c r="DJ323" s="138" t="e">
        <f>IF(VLOOKUP(CONCATENATE(H323,F323,DJ$2),Español!$A:$H,7,FALSE)=X323,1,0)</f>
        <v>#N/A</v>
      </c>
      <c r="DK323" s="138" t="e">
        <f>IF(VLOOKUP(CONCATENATE(H323,F323,DK$2),Español!$A:$H,7,FALSE)=Y323,1,0)</f>
        <v>#N/A</v>
      </c>
      <c r="DL323" s="138" t="e">
        <f>IF(VLOOKUP(CONCATENATE(H323,F323,DL$2),Español!$A:$H,7,FALSE)=Z323,1,0)</f>
        <v>#N/A</v>
      </c>
      <c r="DM323" s="138" t="e">
        <f>IF(VLOOKUP(CONCATENATE(H323,F323,DM$2),Español!$A:$H,7,FALSE)=AA323,1,0)</f>
        <v>#N/A</v>
      </c>
      <c r="DN323" s="138" t="e">
        <f>IF(VLOOKUP(CONCATENATE(H323,F323,DN$2),Español!$A:$H,7,FALSE)=AB323,1,0)</f>
        <v>#N/A</v>
      </c>
      <c r="DO323" s="138" t="e">
        <f>IF(VLOOKUP(CONCATENATE(H323,F323,DO$2),Español!$A:$H,7,FALSE)=AC323,1,0)</f>
        <v>#N/A</v>
      </c>
      <c r="DP323" s="138" t="e">
        <f>IF(VLOOKUP(CONCATENATE(H323,F323,DP$2),Español!$A:$H,7,FALSE)=AD323,1,0)</f>
        <v>#N/A</v>
      </c>
      <c r="DQ323" s="138" t="e">
        <f>IF(VLOOKUP(CONCATENATE(H323,F323,DQ$2),Español!$A:$H,7,FALSE)=AE323,1,0)</f>
        <v>#N/A</v>
      </c>
      <c r="DR323" s="138" t="e">
        <f>IF(VLOOKUP(CONCATENATE(H323,F323,DR$2),Inglés!$A:$H,7,FALSE)=AF323,1,0)</f>
        <v>#N/A</v>
      </c>
      <c r="DS323" s="138" t="e">
        <f>IF(VLOOKUP(CONCATENATE(H323,F323,DS$2),Inglés!$A:$H,7,FALSE)=AG323,1,0)</f>
        <v>#N/A</v>
      </c>
      <c r="DT323" s="138" t="e">
        <f>IF(VLOOKUP(CONCATENATE(H323,F323,DT$2),Inglés!$A:$H,7,FALSE)=AH323,1,0)</f>
        <v>#N/A</v>
      </c>
      <c r="DU323" s="138" t="e">
        <f>IF(VLOOKUP(CONCATENATE(H323,F323,DU$2),Inglés!$A:$H,7,FALSE)=AI323,1,0)</f>
        <v>#N/A</v>
      </c>
      <c r="DV323" s="138" t="e">
        <f>IF(VLOOKUP(CONCATENATE(H323,F323,DV$2),Inglés!$A:$H,7,FALSE)=AJ323,1,0)</f>
        <v>#N/A</v>
      </c>
      <c r="DW323" s="138" t="e">
        <f>IF(VLOOKUP(CONCATENATE(H323,F323,DW$2),Inglés!$A:$H,7,FALSE)=AK323,1,0)</f>
        <v>#N/A</v>
      </c>
      <c r="DX323" s="138" t="e">
        <f>IF(VLOOKUP(CONCATENATE(H323,F323,DX$2),Inglés!$A:$H,7,FALSE)=AL323,1,0)</f>
        <v>#N/A</v>
      </c>
      <c r="DY323" s="138" t="e">
        <f>IF(VLOOKUP(CONCATENATE(H323,F323,DY$2),Inglés!$A:$H,7,FALSE)=AM323,1,0)</f>
        <v>#N/A</v>
      </c>
      <c r="DZ323" s="138" t="e">
        <f>IF(VLOOKUP(CONCATENATE(H323,F323,DZ$2),Inglés!$A:$H,7,FALSE)=AN323,1,0)</f>
        <v>#N/A</v>
      </c>
      <c r="EA323" s="138" t="e">
        <f>IF(VLOOKUP(CONCATENATE(H323,F323,EA$2),Inglés!$A:$H,7,FALSE)=AO323,1,0)</f>
        <v>#N/A</v>
      </c>
      <c r="EB323" s="138" t="e">
        <f>IF(VLOOKUP(CONCATENATE(H323,F323,EB$2),Matemáticas!$A:$H,7,FALSE)=AP323,1,0)</f>
        <v>#N/A</v>
      </c>
      <c r="EC323" s="138" t="e">
        <f>IF(VLOOKUP(CONCATENATE(H323,F323,EC$2),Matemáticas!$A:$H,7,FALSE)=AQ323,1,0)</f>
        <v>#N/A</v>
      </c>
      <c r="ED323" s="138" t="e">
        <f>IF(VLOOKUP(CONCATENATE(H323,F323,ED$2),Matemáticas!$A:$H,7,FALSE)=AR323,1,0)</f>
        <v>#N/A</v>
      </c>
      <c r="EE323" s="138" t="e">
        <f>IF(VLOOKUP(CONCATENATE(H323,F323,EE$2),Matemáticas!$A:$H,7,FALSE)=AS323,1,0)</f>
        <v>#N/A</v>
      </c>
      <c r="EF323" s="138" t="e">
        <f>IF(VLOOKUP(CONCATENATE(H323,F323,EF$2),Matemáticas!$A:$H,7,FALSE)=AT323,1,0)</f>
        <v>#N/A</v>
      </c>
      <c r="EG323" s="138" t="e">
        <f>IF(VLOOKUP(CONCATENATE(H323,F323,EG$2),Matemáticas!$A:$H,7,FALSE)=AU323,1,0)</f>
        <v>#N/A</v>
      </c>
      <c r="EH323" s="138" t="e">
        <f>IF(VLOOKUP(CONCATENATE(H323,F323,EH$2),Matemáticas!$A:$H,7,FALSE)=AV323,1,0)</f>
        <v>#N/A</v>
      </c>
      <c r="EI323" s="138" t="e">
        <f>IF(VLOOKUP(CONCATENATE(H323,F323,EI$2),Matemáticas!$A:$H,7,FALSE)=AW323,1,0)</f>
        <v>#N/A</v>
      </c>
      <c r="EJ323" s="138" t="e">
        <f>IF(VLOOKUP(CONCATENATE(H323,F323,EJ$2),Matemáticas!$A:$H,7,FALSE)=AX323,1,0)</f>
        <v>#N/A</v>
      </c>
      <c r="EK323" s="138" t="e">
        <f>IF(VLOOKUP(CONCATENATE(H323,F323,EK$2),Matemáticas!$A:$H,7,FALSE)=AY323,1,0)</f>
        <v>#N/A</v>
      </c>
      <c r="EL323" s="138" t="e">
        <f>IF(VLOOKUP(CONCATENATE(H323,F323,EL$2),Matemáticas!$A:$H,7,FALSE)=AZ323,1,0)</f>
        <v>#N/A</v>
      </c>
      <c r="EM323" s="138" t="e">
        <f>IF(VLOOKUP(CONCATENATE(H323,F323,EM$2),Matemáticas!$A:$H,7,FALSE)=BA323,1,0)</f>
        <v>#N/A</v>
      </c>
      <c r="EN323" s="138" t="e">
        <f>IF(VLOOKUP(CONCATENATE(H323,F323,EN$2),Matemáticas!$A:$H,7,FALSE)=BB323,1,0)</f>
        <v>#N/A</v>
      </c>
      <c r="EO323" s="138" t="e">
        <f>IF(VLOOKUP(CONCATENATE(H323,F323,EO$2),Matemáticas!$A:$H,7,FALSE)=BC323,1,0)</f>
        <v>#N/A</v>
      </c>
      <c r="EP323" s="138" t="e">
        <f>IF(VLOOKUP(CONCATENATE(H323,F323,EP$2),Matemáticas!$A:$H,7,FALSE)=BD323,1,0)</f>
        <v>#N/A</v>
      </c>
      <c r="EQ323" s="138" t="e">
        <f>IF(VLOOKUP(CONCATENATE(H323,F323,EQ$2),Matemáticas!$A:$H,7,FALSE)=BE323,1,0)</f>
        <v>#N/A</v>
      </c>
      <c r="ER323" s="138" t="e">
        <f>IF(VLOOKUP(CONCATENATE(H323,F323,ER$2),Matemáticas!$A:$H,7,FALSE)=BF323,1,0)</f>
        <v>#N/A</v>
      </c>
      <c r="ES323" s="138" t="e">
        <f>IF(VLOOKUP(CONCATENATE(H323,F323,ES$2),Matemáticas!$A:$H,7,FALSE)=BG323,1,0)</f>
        <v>#N/A</v>
      </c>
      <c r="ET323" s="138" t="e">
        <f>IF(VLOOKUP(CONCATENATE(H323,F323,ET$2),Matemáticas!$A:$H,7,FALSE)=BH323,1,0)</f>
        <v>#N/A</v>
      </c>
      <c r="EU323" s="138" t="e">
        <f>IF(VLOOKUP(CONCATENATE(H323,F323,EU$2),Matemáticas!$A:$H,7,FALSE)=BI323,1,0)</f>
        <v>#N/A</v>
      </c>
      <c r="EV323" s="138" t="e">
        <f>IF(VLOOKUP(CONCATENATE(H323,F323,EV$2),Ciencias!$A:$H,7,FALSE)=BJ323,1,0)</f>
        <v>#N/A</v>
      </c>
      <c r="EW323" s="138" t="e">
        <f>IF(VLOOKUP(CONCATENATE(H323,F323,EW$2),Ciencias!$A:$H,7,FALSE)=BK323,1,0)</f>
        <v>#N/A</v>
      </c>
      <c r="EX323" s="138" t="e">
        <f>IF(VLOOKUP(CONCATENATE(H323,F323,EX$2),Ciencias!$A:$H,7,FALSE)=BL323,1,0)</f>
        <v>#N/A</v>
      </c>
      <c r="EY323" s="138" t="e">
        <f>IF(VLOOKUP(CONCATENATE(H323,F323,EY$2),Ciencias!$A:$H,7,FALSE)=BM323,1,0)</f>
        <v>#N/A</v>
      </c>
      <c r="EZ323" s="138" t="e">
        <f>IF(VLOOKUP(CONCATENATE(H323,F323,EZ$2),Ciencias!$A:$H,7,FALSE)=BN323,1,0)</f>
        <v>#N/A</v>
      </c>
      <c r="FA323" s="138" t="e">
        <f>IF(VLOOKUP(CONCATENATE(H323,F323,FA$2),Ciencias!$A:$H,7,FALSE)=BO323,1,0)</f>
        <v>#N/A</v>
      </c>
      <c r="FB323" s="138" t="e">
        <f>IF(VLOOKUP(CONCATENATE(H323,F323,FB$2),Ciencias!$A:$H,7,FALSE)=BP323,1,0)</f>
        <v>#N/A</v>
      </c>
      <c r="FC323" s="138" t="e">
        <f>IF(VLOOKUP(CONCATENATE(H323,F323,FC$2),Ciencias!$A:$H,7,FALSE)=BQ323,1,0)</f>
        <v>#N/A</v>
      </c>
      <c r="FD323" s="138" t="e">
        <f>IF(VLOOKUP(CONCATENATE(H323,F323,FD$2),Ciencias!$A:$H,7,FALSE)=BR323,1,0)</f>
        <v>#N/A</v>
      </c>
      <c r="FE323" s="138" t="e">
        <f>IF(VLOOKUP(CONCATENATE(H323,F323,FE$2),Ciencias!$A:$H,7,FALSE)=BS323,1,0)</f>
        <v>#N/A</v>
      </c>
      <c r="FF323" s="138" t="e">
        <f>IF(VLOOKUP(CONCATENATE(H323,F323,FF$2),Ciencias!$A:$H,7,FALSE)=BT323,1,0)</f>
        <v>#N/A</v>
      </c>
      <c r="FG323" s="138" t="e">
        <f>IF(VLOOKUP(CONCATENATE(H323,F323,FG$2),Ciencias!$A:$H,7,FALSE)=BU323,1,0)</f>
        <v>#N/A</v>
      </c>
      <c r="FH323" s="138" t="e">
        <f>IF(VLOOKUP(CONCATENATE(H323,F323,FH$2),Ciencias!$A:$H,7,FALSE)=BV323,1,0)</f>
        <v>#N/A</v>
      </c>
      <c r="FI323" s="138" t="e">
        <f>IF(VLOOKUP(CONCATENATE(H323,F323,FI$2),Ciencias!$A:$H,7,FALSE)=BW323,1,0)</f>
        <v>#N/A</v>
      </c>
      <c r="FJ323" s="138" t="e">
        <f>IF(VLOOKUP(CONCATENATE(H323,F323,FJ$2),Ciencias!$A:$H,7,FALSE)=BX323,1,0)</f>
        <v>#N/A</v>
      </c>
      <c r="FK323" s="138" t="e">
        <f>IF(VLOOKUP(CONCATENATE(H323,F323,FK$2),Ciencias!$A:$H,7,FALSE)=BY323,1,0)</f>
        <v>#N/A</v>
      </c>
      <c r="FL323" s="138" t="e">
        <f>IF(VLOOKUP(CONCATENATE(H323,F323,FL$2),Ciencias!$A:$H,7,FALSE)=BZ323,1,0)</f>
        <v>#N/A</v>
      </c>
      <c r="FM323" s="138" t="e">
        <f>IF(VLOOKUP(CONCATENATE(H323,F323,FM$2),Ciencias!$A:$H,7,FALSE)=CA323,1,0)</f>
        <v>#N/A</v>
      </c>
      <c r="FN323" s="138" t="e">
        <f>IF(VLOOKUP(CONCATENATE(H323,F323,FN$2),Ciencias!$A:$H,7,FALSE)=CB323,1,0)</f>
        <v>#N/A</v>
      </c>
      <c r="FO323" s="138" t="e">
        <f>IF(VLOOKUP(CONCATENATE(H323,F323,FO$2),Ciencias!$A:$H,7,FALSE)=CC323,1,0)</f>
        <v>#N/A</v>
      </c>
      <c r="FP323" s="138" t="e">
        <f>IF(VLOOKUP(CONCATENATE(H323,F323,FP$2),GeoHis!$A:$H,7,FALSE)=CD323,1,0)</f>
        <v>#N/A</v>
      </c>
      <c r="FQ323" s="138" t="e">
        <f>IF(VLOOKUP(CONCATENATE(H323,F323,FQ$2),GeoHis!$A:$H,7,FALSE)=CE323,1,0)</f>
        <v>#N/A</v>
      </c>
      <c r="FR323" s="138" t="e">
        <f>IF(VLOOKUP(CONCATENATE(H323,F323,FR$2),GeoHis!$A:$H,7,FALSE)=CF323,1,0)</f>
        <v>#N/A</v>
      </c>
      <c r="FS323" s="138" t="e">
        <f>IF(VLOOKUP(CONCATENATE(H323,F323,FS$2),GeoHis!$A:$H,7,FALSE)=CG323,1,0)</f>
        <v>#N/A</v>
      </c>
      <c r="FT323" s="138" t="e">
        <f>IF(VLOOKUP(CONCATENATE(H323,F323,FT$2),GeoHis!$A:$H,7,FALSE)=CH323,1,0)</f>
        <v>#N/A</v>
      </c>
      <c r="FU323" s="138" t="e">
        <f>IF(VLOOKUP(CONCATENATE(H323,F323,FU$2),GeoHis!$A:$H,7,FALSE)=CI323,1,0)</f>
        <v>#N/A</v>
      </c>
      <c r="FV323" s="138" t="e">
        <f>IF(VLOOKUP(CONCATENATE(H323,F323,FV$2),GeoHis!$A:$H,7,FALSE)=CJ323,1,0)</f>
        <v>#N/A</v>
      </c>
      <c r="FW323" s="138" t="e">
        <f>IF(VLOOKUP(CONCATENATE(H323,F323,FW$2),GeoHis!$A:$H,7,FALSE)=CK323,1,0)</f>
        <v>#N/A</v>
      </c>
      <c r="FX323" s="138" t="e">
        <f>IF(VLOOKUP(CONCATENATE(H323,F323,FX$2),GeoHis!$A:$H,7,FALSE)=CL323,1,0)</f>
        <v>#N/A</v>
      </c>
      <c r="FY323" s="138" t="e">
        <f>IF(VLOOKUP(CONCATENATE(H323,F323,FY$2),GeoHis!$A:$H,7,FALSE)=CM323,1,0)</f>
        <v>#N/A</v>
      </c>
      <c r="FZ323" s="138" t="e">
        <f>IF(VLOOKUP(CONCATENATE(H323,F323,FZ$2),GeoHis!$A:$H,7,FALSE)=CN323,1,0)</f>
        <v>#N/A</v>
      </c>
      <c r="GA323" s="138" t="e">
        <f>IF(VLOOKUP(CONCATENATE(H323,F323,GA$2),GeoHis!$A:$H,7,FALSE)=CO323,1,0)</f>
        <v>#N/A</v>
      </c>
      <c r="GB323" s="138" t="e">
        <f>IF(VLOOKUP(CONCATENATE(H323,F323,GB$2),GeoHis!$A:$H,7,FALSE)=CP323,1,0)</f>
        <v>#N/A</v>
      </c>
      <c r="GC323" s="138" t="e">
        <f>IF(VLOOKUP(CONCATENATE(H323,F323,GC$2),GeoHis!$A:$H,7,FALSE)=CQ323,1,0)</f>
        <v>#N/A</v>
      </c>
      <c r="GD323" s="138" t="e">
        <f>IF(VLOOKUP(CONCATENATE(H323,F323,GD$2),GeoHis!$A:$H,7,FALSE)=CR323,1,0)</f>
        <v>#N/A</v>
      </c>
      <c r="GE323" s="135" t="str">
        <f t="shared" si="39"/>
        <v/>
      </c>
    </row>
    <row r="324" spans="1:187" x14ac:dyDescent="0.25">
      <c r="A324" s="127" t="str">
        <f>IF(C324="","",'Datos Generales'!$A$25)</f>
        <v/>
      </c>
      <c r="D324" s="126" t="str">
        <f t="shared" ref="D324:D387" si="40">CONCATENATE(C324,F324,G324,H324,I324,J324,K324)</f>
        <v/>
      </c>
      <c r="E324" s="126">
        <f t="shared" ref="E324:E387" si="41">B324</f>
        <v>0</v>
      </c>
      <c r="F324" s="126" t="str">
        <f t="shared" ref="F324:F387" si="42">IF(C324="","",IF(F323="","",F323))</f>
        <v/>
      </c>
      <c r="G324" s="126" t="str">
        <f>IF(C324="","",'Datos Generales'!$D$19)</f>
        <v/>
      </c>
      <c r="H324" s="21" t="str">
        <f>IF(C324="","",'Datos Generales'!$A$19)</f>
        <v/>
      </c>
      <c r="I324" s="126" t="str">
        <f>IF(C324="","",'Datos Generales'!$A$7)</f>
        <v/>
      </c>
      <c r="J324" s="21" t="str">
        <f>IF(C324="","",'Datos Generales'!$A$13)</f>
        <v/>
      </c>
      <c r="K324" s="21" t="str">
        <f>IF(C324="","",'Datos Generales'!$A$10)</f>
        <v/>
      </c>
      <c r="CS324" s="142" t="str">
        <f t="shared" ref="CS324:CS387" si="43">IF(C324="","",AVERAGE(CX324:DQ324))</f>
        <v/>
      </c>
      <c r="CT324" s="142" t="str">
        <f t="shared" ref="CT324:CT387" si="44">IF(C324="","",AVERAGE(DR324:EA324))</f>
        <v/>
      </c>
      <c r="CU324" s="142" t="str">
        <f t="shared" ref="CU324:CU387" si="45">IF(C324="","",AVERAGE(EB324:EU324))</f>
        <v/>
      </c>
      <c r="CV324" s="142" t="str">
        <f t="shared" ref="CV324:CV387" si="46">IF(C324="","",AVERAGE(EV324:FO324))</f>
        <v/>
      </c>
      <c r="CW324" s="142" t="str">
        <f>IF(C324="","",IF('Datos Generales'!$A$19=1,AVERAGE(FP324:GD324),AVERAGE(Captura!FP324:FY324)))</f>
        <v/>
      </c>
      <c r="CX324" s="138" t="e">
        <f>IF(VLOOKUP(CONCATENATE($H$4,$F$4,CX$2),Español!$A:$H,7,FALSE)=L324,1,0)</f>
        <v>#N/A</v>
      </c>
      <c r="CY324" s="138" t="e">
        <f>IF(VLOOKUP(CONCATENATE(H324,F324,CY$2),Español!$A:$H,7,FALSE)=M324,1,0)</f>
        <v>#N/A</v>
      </c>
      <c r="CZ324" s="138" t="e">
        <f>IF(VLOOKUP(CONCATENATE(H324,F324,CZ$2),Español!$A:$H,7,FALSE)=N324,1,0)</f>
        <v>#N/A</v>
      </c>
      <c r="DA324" s="138" t="e">
        <f>IF(VLOOKUP(CONCATENATE(H324,F324,DA$2),Español!$A:$H,7,FALSE)=O324,1,0)</f>
        <v>#N/A</v>
      </c>
      <c r="DB324" s="138" t="e">
        <f>IF(VLOOKUP(CONCATENATE(H324,F324,DB$2),Español!$A:$H,7,FALSE)=P324,1,0)</f>
        <v>#N/A</v>
      </c>
      <c r="DC324" s="138" t="e">
        <f>IF(VLOOKUP(CONCATENATE(H324,F324,DC$2),Español!$A:$H,7,FALSE)=Q324,1,0)</f>
        <v>#N/A</v>
      </c>
      <c r="DD324" s="138" t="e">
        <f>IF(VLOOKUP(CONCATENATE(H324,F324,DD$2),Español!$A:$H,7,FALSE)=R324,1,0)</f>
        <v>#N/A</v>
      </c>
      <c r="DE324" s="138" t="e">
        <f>IF(VLOOKUP(CONCATENATE(H324,F324,DE$2),Español!$A:$H,7,FALSE)=S324,1,0)</f>
        <v>#N/A</v>
      </c>
      <c r="DF324" s="138" t="e">
        <f>IF(VLOOKUP(CONCATENATE(H324,F324,DF$2),Español!$A:$H,7,FALSE)=T324,1,0)</f>
        <v>#N/A</v>
      </c>
      <c r="DG324" s="138" t="e">
        <f>IF(VLOOKUP(CONCATENATE(H324,F324,DG$2),Español!$A:$H,7,FALSE)=U324,1,0)</f>
        <v>#N/A</v>
      </c>
      <c r="DH324" s="138" t="e">
        <f>IF(VLOOKUP(CONCATENATE(H324,F324,DH$2),Español!$A:$H,7,FALSE)=V324,1,0)</f>
        <v>#N/A</v>
      </c>
      <c r="DI324" s="138" t="e">
        <f>IF(VLOOKUP(CONCATENATE(H324,F324,DI$2),Español!$A:$H,7,FALSE)=W324,1,0)</f>
        <v>#N/A</v>
      </c>
      <c r="DJ324" s="138" t="e">
        <f>IF(VLOOKUP(CONCATENATE(H324,F324,DJ$2),Español!$A:$H,7,FALSE)=X324,1,0)</f>
        <v>#N/A</v>
      </c>
      <c r="DK324" s="138" t="e">
        <f>IF(VLOOKUP(CONCATENATE(H324,F324,DK$2),Español!$A:$H,7,FALSE)=Y324,1,0)</f>
        <v>#N/A</v>
      </c>
      <c r="DL324" s="138" t="e">
        <f>IF(VLOOKUP(CONCATENATE(H324,F324,DL$2),Español!$A:$H,7,FALSE)=Z324,1,0)</f>
        <v>#N/A</v>
      </c>
      <c r="DM324" s="138" t="e">
        <f>IF(VLOOKUP(CONCATENATE(H324,F324,DM$2),Español!$A:$H,7,FALSE)=AA324,1,0)</f>
        <v>#N/A</v>
      </c>
      <c r="DN324" s="138" t="e">
        <f>IF(VLOOKUP(CONCATENATE(H324,F324,DN$2),Español!$A:$H,7,FALSE)=AB324,1,0)</f>
        <v>#N/A</v>
      </c>
      <c r="DO324" s="138" t="e">
        <f>IF(VLOOKUP(CONCATENATE(H324,F324,DO$2),Español!$A:$H,7,FALSE)=AC324,1,0)</f>
        <v>#N/A</v>
      </c>
      <c r="DP324" s="138" t="e">
        <f>IF(VLOOKUP(CONCATENATE(H324,F324,DP$2),Español!$A:$H,7,FALSE)=AD324,1,0)</f>
        <v>#N/A</v>
      </c>
      <c r="DQ324" s="138" t="e">
        <f>IF(VLOOKUP(CONCATENATE(H324,F324,DQ$2),Español!$A:$H,7,FALSE)=AE324,1,0)</f>
        <v>#N/A</v>
      </c>
      <c r="DR324" s="138" t="e">
        <f>IF(VLOOKUP(CONCATENATE(H324,F324,DR$2),Inglés!$A:$H,7,FALSE)=AF324,1,0)</f>
        <v>#N/A</v>
      </c>
      <c r="DS324" s="138" t="e">
        <f>IF(VLOOKUP(CONCATENATE(H324,F324,DS$2),Inglés!$A:$H,7,FALSE)=AG324,1,0)</f>
        <v>#N/A</v>
      </c>
      <c r="DT324" s="138" t="e">
        <f>IF(VLOOKUP(CONCATENATE(H324,F324,DT$2),Inglés!$A:$H,7,FALSE)=AH324,1,0)</f>
        <v>#N/A</v>
      </c>
      <c r="DU324" s="138" t="e">
        <f>IF(VLOOKUP(CONCATENATE(H324,F324,DU$2),Inglés!$A:$H,7,FALSE)=AI324,1,0)</f>
        <v>#N/A</v>
      </c>
      <c r="DV324" s="138" t="e">
        <f>IF(VLOOKUP(CONCATENATE(H324,F324,DV$2),Inglés!$A:$H,7,FALSE)=AJ324,1,0)</f>
        <v>#N/A</v>
      </c>
      <c r="DW324" s="138" t="e">
        <f>IF(VLOOKUP(CONCATENATE(H324,F324,DW$2),Inglés!$A:$H,7,FALSE)=AK324,1,0)</f>
        <v>#N/A</v>
      </c>
      <c r="DX324" s="138" t="e">
        <f>IF(VLOOKUP(CONCATENATE(H324,F324,DX$2),Inglés!$A:$H,7,FALSE)=AL324,1,0)</f>
        <v>#N/A</v>
      </c>
      <c r="DY324" s="138" t="e">
        <f>IF(VLOOKUP(CONCATENATE(H324,F324,DY$2),Inglés!$A:$H,7,FALSE)=AM324,1,0)</f>
        <v>#N/A</v>
      </c>
      <c r="DZ324" s="138" t="e">
        <f>IF(VLOOKUP(CONCATENATE(H324,F324,DZ$2),Inglés!$A:$H,7,FALSE)=AN324,1,0)</f>
        <v>#N/A</v>
      </c>
      <c r="EA324" s="138" t="e">
        <f>IF(VLOOKUP(CONCATENATE(H324,F324,EA$2),Inglés!$A:$H,7,FALSE)=AO324,1,0)</f>
        <v>#N/A</v>
      </c>
      <c r="EB324" s="138" t="e">
        <f>IF(VLOOKUP(CONCATENATE(H324,F324,EB$2),Matemáticas!$A:$H,7,FALSE)=AP324,1,0)</f>
        <v>#N/A</v>
      </c>
      <c r="EC324" s="138" t="e">
        <f>IF(VLOOKUP(CONCATENATE(H324,F324,EC$2),Matemáticas!$A:$H,7,FALSE)=AQ324,1,0)</f>
        <v>#N/A</v>
      </c>
      <c r="ED324" s="138" t="e">
        <f>IF(VLOOKUP(CONCATENATE(H324,F324,ED$2),Matemáticas!$A:$H,7,FALSE)=AR324,1,0)</f>
        <v>#N/A</v>
      </c>
      <c r="EE324" s="138" t="e">
        <f>IF(VLOOKUP(CONCATENATE(H324,F324,EE$2),Matemáticas!$A:$H,7,FALSE)=AS324,1,0)</f>
        <v>#N/A</v>
      </c>
      <c r="EF324" s="138" t="e">
        <f>IF(VLOOKUP(CONCATENATE(H324,F324,EF$2),Matemáticas!$A:$H,7,FALSE)=AT324,1,0)</f>
        <v>#N/A</v>
      </c>
      <c r="EG324" s="138" t="e">
        <f>IF(VLOOKUP(CONCATENATE(H324,F324,EG$2),Matemáticas!$A:$H,7,FALSE)=AU324,1,0)</f>
        <v>#N/A</v>
      </c>
      <c r="EH324" s="138" t="e">
        <f>IF(VLOOKUP(CONCATENATE(H324,F324,EH$2),Matemáticas!$A:$H,7,FALSE)=AV324,1,0)</f>
        <v>#N/A</v>
      </c>
      <c r="EI324" s="138" t="e">
        <f>IF(VLOOKUP(CONCATENATE(H324,F324,EI$2),Matemáticas!$A:$H,7,FALSE)=AW324,1,0)</f>
        <v>#N/A</v>
      </c>
      <c r="EJ324" s="138" t="e">
        <f>IF(VLOOKUP(CONCATENATE(H324,F324,EJ$2),Matemáticas!$A:$H,7,FALSE)=AX324,1,0)</f>
        <v>#N/A</v>
      </c>
      <c r="EK324" s="138" t="e">
        <f>IF(VLOOKUP(CONCATENATE(H324,F324,EK$2),Matemáticas!$A:$H,7,FALSE)=AY324,1,0)</f>
        <v>#N/A</v>
      </c>
      <c r="EL324" s="138" t="e">
        <f>IF(VLOOKUP(CONCATENATE(H324,F324,EL$2),Matemáticas!$A:$H,7,FALSE)=AZ324,1,0)</f>
        <v>#N/A</v>
      </c>
      <c r="EM324" s="138" t="e">
        <f>IF(VLOOKUP(CONCATENATE(H324,F324,EM$2),Matemáticas!$A:$H,7,FALSE)=BA324,1,0)</f>
        <v>#N/A</v>
      </c>
      <c r="EN324" s="138" t="e">
        <f>IF(VLOOKUP(CONCATENATE(H324,F324,EN$2),Matemáticas!$A:$H,7,FALSE)=BB324,1,0)</f>
        <v>#N/A</v>
      </c>
      <c r="EO324" s="138" t="e">
        <f>IF(VLOOKUP(CONCATENATE(H324,F324,EO$2),Matemáticas!$A:$H,7,FALSE)=BC324,1,0)</f>
        <v>#N/A</v>
      </c>
      <c r="EP324" s="138" t="e">
        <f>IF(VLOOKUP(CONCATENATE(H324,F324,EP$2),Matemáticas!$A:$H,7,FALSE)=BD324,1,0)</f>
        <v>#N/A</v>
      </c>
      <c r="EQ324" s="138" t="e">
        <f>IF(VLOOKUP(CONCATENATE(H324,F324,EQ$2),Matemáticas!$A:$H,7,FALSE)=BE324,1,0)</f>
        <v>#N/A</v>
      </c>
      <c r="ER324" s="138" t="e">
        <f>IF(VLOOKUP(CONCATENATE(H324,F324,ER$2),Matemáticas!$A:$H,7,FALSE)=BF324,1,0)</f>
        <v>#N/A</v>
      </c>
      <c r="ES324" s="138" t="e">
        <f>IF(VLOOKUP(CONCATENATE(H324,F324,ES$2),Matemáticas!$A:$H,7,FALSE)=BG324,1,0)</f>
        <v>#N/A</v>
      </c>
      <c r="ET324" s="138" t="e">
        <f>IF(VLOOKUP(CONCATENATE(H324,F324,ET$2),Matemáticas!$A:$H,7,FALSE)=BH324,1,0)</f>
        <v>#N/A</v>
      </c>
      <c r="EU324" s="138" t="e">
        <f>IF(VLOOKUP(CONCATENATE(H324,F324,EU$2),Matemáticas!$A:$H,7,FALSE)=BI324,1,0)</f>
        <v>#N/A</v>
      </c>
      <c r="EV324" s="138" t="e">
        <f>IF(VLOOKUP(CONCATENATE(H324,F324,EV$2),Ciencias!$A:$H,7,FALSE)=BJ324,1,0)</f>
        <v>#N/A</v>
      </c>
      <c r="EW324" s="138" t="e">
        <f>IF(VLOOKUP(CONCATENATE(H324,F324,EW$2),Ciencias!$A:$H,7,FALSE)=BK324,1,0)</f>
        <v>#N/A</v>
      </c>
      <c r="EX324" s="138" t="e">
        <f>IF(VLOOKUP(CONCATENATE(H324,F324,EX$2),Ciencias!$A:$H,7,FALSE)=BL324,1,0)</f>
        <v>#N/A</v>
      </c>
      <c r="EY324" s="138" t="e">
        <f>IF(VLOOKUP(CONCATENATE(H324,F324,EY$2),Ciencias!$A:$H,7,FALSE)=BM324,1,0)</f>
        <v>#N/A</v>
      </c>
      <c r="EZ324" s="138" t="e">
        <f>IF(VLOOKUP(CONCATENATE(H324,F324,EZ$2),Ciencias!$A:$H,7,FALSE)=BN324,1,0)</f>
        <v>#N/A</v>
      </c>
      <c r="FA324" s="138" t="e">
        <f>IF(VLOOKUP(CONCATENATE(H324,F324,FA$2),Ciencias!$A:$H,7,FALSE)=BO324,1,0)</f>
        <v>#N/A</v>
      </c>
      <c r="FB324" s="138" t="e">
        <f>IF(VLOOKUP(CONCATENATE(H324,F324,FB$2),Ciencias!$A:$H,7,FALSE)=BP324,1,0)</f>
        <v>#N/A</v>
      </c>
      <c r="FC324" s="138" t="e">
        <f>IF(VLOOKUP(CONCATENATE(H324,F324,FC$2),Ciencias!$A:$H,7,FALSE)=BQ324,1,0)</f>
        <v>#N/A</v>
      </c>
      <c r="FD324" s="138" t="e">
        <f>IF(VLOOKUP(CONCATENATE(H324,F324,FD$2),Ciencias!$A:$H,7,FALSE)=BR324,1,0)</f>
        <v>#N/A</v>
      </c>
      <c r="FE324" s="138" t="e">
        <f>IF(VLOOKUP(CONCATENATE(H324,F324,FE$2),Ciencias!$A:$H,7,FALSE)=BS324,1,0)</f>
        <v>#N/A</v>
      </c>
      <c r="FF324" s="138" t="e">
        <f>IF(VLOOKUP(CONCATENATE(H324,F324,FF$2),Ciencias!$A:$H,7,FALSE)=BT324,1,0)</f>
        <v>#N/A</v>
      </c>
      <c r="FG324" s="138" t="e">
        <f>IF(VLOOKUP(CONCATENATE(H324,F324,FG$2),Ciencias!$A:$H,7,FALSE)=BU324,1,0)</f>
        <v>#N/A</v>
      </c>
      <c r="FH324" s="138" t="e">
        <f>IF(VLOOKUP(CONCATENATE(H324,F324,FH$2),Ciencias!$A:$H,7,FALSE)=BV324,1,0)</f>
        <v>#N/A</v>
      </c>
      <c r="FI324" s="138" t="e">
        <f>IF(VLOOKUP(CONCATENATE(H324,F324,FI$2),Ciencias!$A:$H,7,FALSE)=BW324,1,0)</f>
        <v>#N/A</v>
      </c>
      <c r="FJ324" s="138" t="e">
        <f>IF(VLOOKUP(CONCATENATE(H324,F324,FJ$2),Ciencias!$A:$H,7,FALSE)=BX324,1,0)</f>
        <v>#N/A</v>
      </c>
      <c r="FK324" s="138" t="e">
        <f>IF(VLOOKUP(CONCATENATE(H324,F324,FK$2),Ciencias!$A:$H,7,FALSE)=BY324,1,0)</f>
        <v>#N/A</v>
      </c>
      <c r="FL324" s="138" t="e">
        <f>IF(VLOOKUP(CONCATENATE(H324,F324,FL$2),Ciencias!$A:$H,7,FALSE)=BZ324,1,0)</f>
        <v>#N/A</v>
      </c>
      <c r="FM324" s="138" t="e">
        <f>IF(VLOOKUP(CONCATENATE(H324,F324,FM$2),Ciencias!$A:$H,7,FALSE)=CA324,1,0)</f>
        <v>#N/A</v>
      </c>
      <c r="FN324" s="138" t="e">
        <f>IF(VLOOKUP(CONCATENATE(H324,F324,FN$2),Ciencias!$A:$H,7,FALSE)=CB324,1,0)</f>
        <v>#N/A</v>
      </c>
      <c r="FO324" s="138" t="e">
        <f>IF(VLOOKUP(CONCATENATE(H324,F324,FO$2),Ciencias!$A:$H,7,FALSE)=CC324,1,0)</f>
        <v>#N/A</v>
      </c>
      <c r="FP324" s="138" t="e">
        <f>IF(VLOOKUP(CONCATENATE(H324,F324,FP$2),GeoHis!$A:$H,7,FALSE)=CD324,1,0)</f>
        <v>#N/A</v>
      </c>
      <c r="FQ324" s="138" t="e">
        <f>IF(VLOOKUP(CONCATENATE(H324,F324,FQ$2),GeoHis!$A:$H,7,FALSE)=CE324,1,0)</f>
        <v>#N/A</v>
      </c>
      <c r="FR324" s="138" t="e">
        <f>IF(VLOOKUP(CONCATENATE(H324,F324,FR$2),GeoHis!$A:$H,7,FALSE)=CF324,1,0)</f>
        <v>#N/A</v>
      </c>
      <c r="FS324" s="138" t="e">
        <f>IF(VLOOKUP(CONCATENATE(H324,F324,FS$2),GeoHis!$A:$H,7,FALSE)=CG324,1,0)</f>
        <v>#N/A</v>
      </c>
      <c r="FT324" s="138" t="e">
        <f>IF(VLOOKUP(CONCATENATE(H324,F324,FT$2),GeoHis!$A:$H,7,FALSE)=CH324,1,0)</f>
        <v>#N/A</v>
      </c>
      <c r="FU324" s="138" t="e">
        <f>IF(VLOOKUP(CONCATENATE(H324,F324,FU$2),GeoHis!$A:$H,7,FALSE)=CI324,1,0)</f>
        <v>#N/A</v>
      </c>
      <c r="FV324" s="138" t="e">
        <f>IF(VLOOKUP(CONCATENATE(H324,F324,FV$2),GeoHis!$A:$H,7,FALSE)=CJ324,1,0)</f>
        <v>#N/A</v>
      </c>
      <c r="FW324" s="138" t="e">
        <f>IF(VLOOKUP(CONCATENATE(H324,F324,FW$2),GeoHis!$A:$H,7,FALSE)=CK324,1,0)</f>
        <v>#N/A</v>
      </c>
      <c r="FX324" s="138" t="e">
        <f>IF(VLOOKUP(CONCATENATE(H324,F324,FX$2),GeoHis!$A:$H,7,FALSE)=CL324,1,0)</f>
        <v>#N/A</v>
      </c>
      <c r="FY324" s="138" t="e">
        <f>IF(VLOOKUP(CONCATENATE(H324,F324,FY$2),GeoHis!$A:$H,7,FALSE)=CM324,1,0)</f>
        <v>#N/A</v>
      </c>
      <c r="FZ324" s="138" t="e">
        <f>IF(VLOOKUP(CONCATENATE(H324,F324,FZ$2),GeoHis!$A:$H,7,FALSE)=CN324,1,0)</f>
        <v>#N/A</v>
      </c>
      <c r="GA324" s="138" t="e">
        <f>IF(VLOOKUP(CONCATENATE(H324,F324,GA$2),GeoHis!$A:$H,7,FALSE)=CO324,1,0)</f>
        <v>#N/A</v>
      </c>
      <c r="GB324" s="138" t="e">
        <f>IF(VLOOKUP(CONCATENATE(H324,F324,GB$2),GeoHis!$A:$H,7,FALSE)=CP324,1,0)</f>
        <v>#N/A</v>
      </c>
      <c r="GC324" s="138" t="e">
        <f>IF(VLOOKUP(CONCATENATE(H324,F324,GC$2),GeoHis!$A:$H,7,FALSE)=CQ324,1,0)</f>
        <v>#N/A</v>
      </c>
      <c r="GD324" s="138" t="e">
        <f>IF(VLOOKUP(CONCATENATE(H324,F324,GD$2),GeoHis!$A:$H,7,FALSE)=CR324,1,0)</f>
        <v>#N/A</v>
      </c>
      <c r="GE324" s="135" t="str">
        <f t="shared" ref="GE324:GE387" si="47">A324</f>
        <v/>
      </c>
    </row>
    <row r="325" spans="1:187" x14ac:dyDescent="0.25">
      <c r="A325" s="127" t="str">
        <f>IF(C325="","",'Datos Generales'!$A$25)</f>
        <v/>
      </c>
      <c r="D325" s="126" t="str">
        <f t="shared" si="40"/>
        <v/>
      </c>
      <c r="E325" s="126">
        <f t="shared" si="41"/>
        <v>0</v>
      </c>
      <c r="F325" s="126" t="str">
        <f t="shared" si="42"/>
        <v/>
      </c>
      <c r="G325" s="126" t="str">
        <f>IF(C325="","",'Datos Generales'!$D$19)</f>
        <v/>
      </c>
      <c r="H325" s="21" t="str">
        <f>IF(C325="","",'Datos Generales'!$A$19)</f>
        <v/>
      </c>
      <c r="I325" s="126" t="str">
        <f>IF(C325="","",'Datos Generales'!$A$7)</f>
        <v/>
      </c>
      <c r="J325" s="21" t="str">
        <f>IF(C325="","",'Datos Generales'!$A$13)</f>
        <v/>
      </c>
      <c r="K325" s="21" t="str">
        <f>IF(C325="","",'Datos Generales'!$A$10)</f>
        <v/>
      </c>
      <c r="CS325" s="142" t="str">
        <f t="shared" si="43"/>
        <v/>
      </c>
      <c r="CT325" s="142" t="str">
        <f t="shared" si="44"/>
        <v/>
      </c>
      <c r="CU325" s="142" t="str">
        <f t="shared" si="45"/>
        <v/>
      </c>
      <c r="CV325" s="142" t="str">
        <f t="shared" si="46"/>
        <v/>
      </c>
      <c r="CW325" s="142" t="str">
        <f>IF(C325="","",IF('Datos Generales'!$A$19=1,AVERAGE(FP325:GD325),AVERAGE(Captura!FP325:FY325)))</f>
        <v/>
      </c>
      <c r="CX325" s="138" t="e">
        <f>IF(VLOOKUP(CONCATENATE($H$4,$F$4,CX$2),Español!$A:$H,7,FALSE)=L325,1,0)</f>
        <v>#N/A</v>
      </c>
      <c r="CY325" s="138" t="e">
        <f>IF(VLOOKUP(CONCATENATE(H325,F325,CY$2),Español!$A:$H,7,FALSE)=M325,1,0)</f>
        <v>#N/A</v>
      </c>
      <c r="CZ325" s="138" t="e">
        <f>IF(VLOOKUP(CONCATENATE(H325,F325,CZ$2),Español!$A:$H,7,FALSE)=N325,1,0)</f>
        <v>#N/A</v>
      </c>
      <c r="DA325" s="138" t="e">
        <f>IF(VLOOKUP(CONCATENATE(H325,F325,DA$2),Español!$A:$H,7,FALSE)=O325,1,0)</f>
        <v>#N/A</v>
      </c>
      <c r="DB325" s="138" t="e">
        <f>IF(VLOOKUP(CONCATENATE(H325,F325,DB$2),Español!$A:$H,7,FALSE)=P325,1,0)</f>
        <v>#N/A</v>
      </c>
      <c r="DC325" s="138" t="e">
        <f>IF(VLOOKUP(CONCATENATE(H325,F325,DC$2),Español!$A:$H,7,FALSE)=Q325,1,0)</f>
        <v>#N/A</v>
      </c>
      <c r="DD325" s="138" t="e">
        <f>IF(VLOOKUP(CONCATENATE(H325,F325,DD$2),Español!$A:$H,7,FALSE)=R325,1,0)</f>
        <v>#N/A</v>
      </c>
      <c r="DE325" s="138" t="e">
        <f>IF(VLOOKUP(CONCATENATE(H325,F325,DE$2),Español!$A:$H,7,FALSE)=S325,1,0)</f>
        <v>#N/A</v>
      </c>
      <c r="DF325" s="138" t="e">
        <f>IF(VLOOKUP(CONCATENATE(H325,F325,DF$2),Español!$A:$H,7,FALSE)=T325,1,0)</f>
        <v>#N/A</v>
      </c>
      <c r="DG325" s="138" t="e">
        <f>IF(VLOOKUP(CONCATENATE(H325,F325,DG$2),Español!$A:$H,7,FALSE)=U325,1,0)</f>
        <v>#N/A</v>
      </c>
      <c r="DH325" s="138" t="e">
        <f>IF(VLOOKUP(CONCATENATE(H325,F325,DH$2),Español!$A:$H,7,FALSE)=V325,1,0)</f>
        <v>#N/A</v>
      </c>
      <c r="DI325" s="138" t="e">
        <f>IF(VLOOKUP(CONCATENATE(H325,F325,DI$2),Español!$A:$H,7,FALSE)=W325,1,0)</f>
        <v>#N/A</v>
      </c>
      <c r="DJ325" s="138" t="e">
        <f>IF(VLOOKUP(CONCATENATE(H325,F325,DJ$2),Español!$A:$H,7,FALSE)=X325,1,0)</f>
        <v>#N/A</v>
      </c>
      <c r="DK325" s="138" t="e">
        <f>IF(VLOOKUP(CONCATENATE(H325,F325,DK$2),Español!$A:$H,7,FALSE)=Y325,1,0)</f>
        <v>#N/A</v>
      </c>
      <c r="DL325" s="138" t="e">
        <f>IF(VLOOKUP(CONCATENATE(H325,F325,DL$2),Español!$A:$H,7,FALSE)=Z325,1,0)</f>
        <v>#N/A</v>
      </c>
      <c r="DM325" s="138" t="e">
        <f>IF(VLOOKUP(CONCATENATE(H325,F325,DM$2),Español!$A:$H,7,FALSE)=AA325,1,0)</f>
        <v>#N/A</v>
      </c>
      <c r="DN325" s="138" t="e">
        <f>IF(VLOOKUP(CONCATENATE(H325,F325,DN$2),Español!$A:$H,7,FALSE)=AB325,1,0)</f>
        <v>#N/A</v>
      </c>
      <c r="DO325" s="138" t="e">
        <f>IF(VLOOKUP(CONCATENATE(H325,F325,DO$2),Español!$A:$H,7,FALSE)=AC325,1,0)</f>
        <v>#N/A</v>
      </c>
      <c r="DP325" s="138" t="e">
        <f>IF(VLOOKUP(CONCATENATE(H325,F325,DP$2),Español!$A:$H,7,FALSE)=AD325,1,0)</f>
        <v>#N/A</v>
      </c>
      <c r="DQ325" s="138" t="e">
        <f>IF(VLOOKUP(CONCATENATE(H325,F325,DQ$2),Español!$A:$H,7,FALSE)=AE325,1,0)</f>
        <v>#N/A</v>
      </c>
      <c r="DR325" s="138" t="e">
        <f>IF(VLOOKUP(CONCATENATE(H325,F325,DR$2),Inglés!$A:$H,7,FALSE)=AF325,1,0)</f>
        <v>#N/A</v>
      </c>
      <c r="DS325" s="138" t="e">
        <f>IF(VLOOKUP(CONCATENATE(H325,F325,DS$2),Inglés!$A:$H,7,FALSE)=AG325,1,0)</f>
        <v>#N/A</v>
      </c>
      <c r="DT325" s="138" t="e">
        <f>IF(VLOOKUP(CONCATENATE(H325,F325,DT$2),Inglés!$A:$H,7,FALSE)=AH325,1,0)</f>
        <v>#N/A</v>
      </c>
      <c r="DU325" s="138" t="e">
        <f>IF(VLOOKUP(CONCATENATE(H325,F325,DU$2),Inglés!$A:$H,7,FALSE)=AI325,1,0)</f>
        <v>#N/A</v>
      </c>
      <c r="DV325" s="138" t="e">
        <f>IF(VLOOKUP(CONCATENATE(H325,F325,DV$2),Inglés!$A:$H,7,FALSE)=AJ325,1,0)</f>
        <v>#N/A</v>
      </c>
      <c r="DW325" s="138" t="e">
        <f>IF(VLOOKUP(CONCATENATE(H325,F325,DW$2),Inglés!$A:$H,7,FALSE)=AK325,1,0)</f>
        <v>#N/A</v>
      </c>
      <c r="DX325" s="138" t="e">
        <f>IF(VLOOKUP(CONCATENATE(H325,F325,DX$2),Inglés!$A:$H,7,FALSE)=AL325,1,0)</f>
        <v>#N/A</v>
      </c>
      <c r="DY325" s="138" t="e">
        <f>IF(VLOOKUP(CONCATENATE(H325,F325,DY$2),Inglés!$A:$H,7,FALSE)=AM325,1,0)</f>
        <v>#N/A</v>
      </c>
      <c r="DZ325" s="138" t="e">
        <f>IF(VLOOKUP(CONCATENATE(H325,F325,DZ$2),Inglés!$A:$H,7,FALSE)=AN325,1,0)</f>
        <v>#N/A</v>
      </c>
      <c r="EA325" s="138" t="e">
        <f>IF(VLOOKUP(CONCATENATE(H325,F325,EA$2),Inglés!$A:$H,7,FALSE)=AO325,1,0)</f>
        <v>#N/A</v>
      </c>
      <c r="EB325" s="138" t="e">
        <f>IF(VLOOKUP(CONCATENATE(H325,F325,EB$2),Matemáticas!$A:$H,7,FALSE)=AP325,1,0)</f>
        <v>#N/A</v>
      </c>
      <c r="EC325" s="138" t="e">
        <f>IF(VLOOKUP(CONCATENATE(H325,F325,EC$2),Matemáticas!$A:$H,7,FALSE)=AQ325,1,0)</f>
        <v>#N/A</v>
      </c>
      <c r="ED325" s="138" t="e">
        <f>IF(VLOOKUP(CONCATENATE(H325,F325,ED$2),Matemáticas!$A:$H,7,FALSE)=AR325,1,0)</f>
        <v>#N/A</v>
      </c>
      <c r="EE325" s="138" t="e">
        <f>IF(VLOOKUP(CONCATENATE(H325,F325,EE$2),Matemáticas!$A:$H,7,FALSE)=AS325,1,0)</f>
        <v>#N/A</v>
      </c>
      <c r="EF325" s="138" t="e">
        <f>IF(VLOOKUP(CONCATENATE(H325,F325,EF$2),Matemáticas!$A:$H,7,FALSE)=AT325,1,0)</f>
        <v>#N/A</v>
      </c>
      <c r="EG325" s="138" t="e">
        <f>IF(VLOOKUP(CONCATENATE(H325,F325,EG$2),Matemáticas!$A:$H,7,FALSE)=AU325,1,0)</f>
        <v>#N/A</v>
      </c>
      <c r="EH325" s="138" t="e">
        <f>IF(VLOOKUP(CONCATENATE(H325,F325,EH$2),Matemáticas!$A:$H,7,FALSE)=AV325,1,0)</f>
        <v>#N/A</v>
      </c>
      <c r="EI325" s="138" t="e">
        <f>IF(VLOOKUP(CONCATENATE(H325,F325,EI$2),Matemáticas!$A:$H,7,FALSE)=AW325,1,0)</f>
        <v>#N/A</v>
      </c>
      <c r="EJ325" s="138" t="e">
        <f>IF(VLOOKUP(CONCATENATE(H325,F325,EJ$2),Matemáticas!$A:$H,7,FALSE)=AX325,1,0)</f>
        <v>#N/A</v>
      </c>
      <c r="EK325" s="138" t="e">
        <f>IF(VLOOKUP(CONCATENATE(H325,F325,EK$2),Matemáticas!$A:$H,7,FALSE)=AY325,1,0)</f>
        <v>#N/A</v>
      </c>
      <c r="EL325" s="138" t="e">
        <f>IF(VLOOKUP(CONCATENATE(H325,F325,EL$2),Matemáticas!$A:$H,7,FALSE)=AZ325,1,0)</f>
        <v>#N/A</v>
      </c>
      <c r="EM325" s="138" t="e">
        <f>IF(VLOOKUP(CONCATENATE(H325,F325,EM$2),Matemáticas!$A:$H,7,FALSE)=BA325,1,0)</f>
        <v>#N/A</v>
      </c>
      <c r="EN325" s="138" t="e">
        <f>IF(VLOOKUP(CONCATENATE(H325,F325,EN$2),Matemáticas!$A:$H,7,FALSE)=BB325,1,0)</f>
        <v>#N/A</v>
      </c>
      <c r="EO325" s="138" t="e">
        <f>IF(VLOOKUP(CONCATENATE(H325,F325,EO$2),Matemáticas!$A:$H,7,FALSE)=BC325,1,0)</f>
        <v>#N/A</v>
      </c>
      <c r="EP325" s="138" t="e">
        <f>IF(VLOOKUP(CONCATENATE(H325,F325,EP$2),Matemáticas!$A:$H,7,FALSE)=BD325,1,0)</f>
        <v>#N/A</v>
      </c>
      <c r="EQ325" s="138" t="e">
        <f>IF(VLOOKUP(CONCATENATE(H325,F325,EQ$2),Matemáticas!$A:$H,7,FALSE)=BE325,1,0)</f>
        <v>#N/A</v>
      </c>
      <c r="ER325" s="138" t="e">
        <f>IF(VLOOKUP(CONCATENATE(H325,F325,ER$2),Matemáticas!$A:$H,7,FALSE)=BF325,1,0)</f>
        <v>#N/A</v>
      </c>
      <c r="ES325" s="138" t="e">
        <f>IF(VLOOKUP(CONCATENATE(H325,F325,ES$2),Matemáticas!$A:$H,7,FALSE)=BG325,1,0)</f>
        <v>#N/A</v>
      </c>
      <c r="ET325" s="138" t="e">
        <f>IF(VLOOKUP(CONCATENATE(H325,F325,ET$2),Matemáticas!$A:$H,7,FALSE)=BH325,1,0)</f>
        <v>#N/A</v>
      </c>
      <c r="EU325" s="138" t="e">
        <f>IF(VLOOKUP(CONCATENATE(H325,F325,EU$2),Matemáticas!$A:$H,7,FALSE)=BI325,1,0)</f>
        <v>#N/A</v>
      </c>
      <c r="EV325" s="138" t="e">
        <f>IF(VLOOKUP(CONCATENATE(H325,F325,EV$2),Ciencias!$A:$H,7,FALSE)=BJ325,1,0)</f>
        <v>#N/A</v>
      </c>
      <c r="EW325" s="138" t="e">
        <f>IF(VLOOKUP(CONCATENATE(H325,F325,EW$2),Ciencias!$A:$H,7,FALSE)=BK325,1,0)</f>
        <v>#N/A</v>
      </c>
      <c r="EX325" s="138" t="e">
        <f>IF(VLOOKUP(CONCATENATE(H325,F325,EX$2),Ciencias!$A:$H,7,FALSE)=BL325,1,0)</f>
        <v>#N/A</v>
      </c>
      <c r="EY325" s="138" t="e">
        <f>IF(VLOOKUP(CONCATENATE(H325,F325,EY$2),Ciencias!$A:$H,7,FALSE)=BM325,1,0)</f>
        <v>#N/A</v>
      </c>
      <c r="EZ325" s="138" t="e">
        <f>IF(VLOOKUP(CONCATENATE(H325,F325,EZ$2),Ciencias!$A:$H,7,FALSE)=BN325,1,0)</f>
        <v>#N/A</v>
      </c>
      <c r="FA325" s="138" t="e">
        <f>IF(VLOOKUP(CONCATENATE(H325,F325,FA$2),Ciencias!$A:$H,7,FALSE)=BO325,1,0)</f>
        <v>#N/A</v>
      </c>
      <c r="FB325" s="138" t="e">
        <f>IF(VLOOKUP(CONCATENATE(H325,F325,FB$2),Ciencias!$A:$H,7,FALSE)=BP325,1,0)</f>
        <v>#N/A</v>
      </c>
      <c r="FC325" s="138" t="e">
        <f>IF(VLOOKUP(CONCATENATE(H325,F325,FC$2),Ciencias!$A:$H,7,FALSE)=BQ325,1,0)</f>
        <v>#N/A</v>
      </c>
      <c r="FD325" s="138" t="e">
        <f>IF(VLOOKUP(CONCATENATE(H325,F325,FD$2),Ciencias!$A:$H,7,FALSE)=BR325,1,0)</f>
        <v>#N/A</v>
      </c>
      <c r="FE325" s="138" t="e">
        <f>IF(VLOOKUP(CONCATENATE(H325,F325,FE$2),Ciencias!$A:$H,7,FALSE)=BS325,1,0)</f>
        <v>#N/A</v>
      </c>
      <c r="FF325" s="138" t="e">
        <f>IF(VLOOKUP(CONCATENATE(H325,F325,FF$2),Ciencias!$A:$H,7,FALSE)=BT325,1,0)</f>
        <v>#N/A</v>
      </c>
      <c r="FG325" s="138" t="e">
        <f>IF(VLOOKUP(CONCATENATE(H325,F325,FG$2),Ciencias!$A:$H,7,FALSE)=BU325,1,0)</f>
        <v>#N/A</v>
      </c>
      <c r="FH325" s="138" t="e">
        <f>IF(VLOOKUP(CONCATENATE(H325,F325,FH$2),Ciencias!$A:$H,7,FALSE)=BV325,1,0)</f>
        <v>#N/A</v>
      </c>
      <c r="FI325" s="138" t="e">
        <f>IF(VLOOKUP(CONCATENATE(H325,F325,FI$2),Ciencias!$A:$H,7,FALSE)=BW325,1,0)</f>
        <v>#N/A</v>
      </c>
      <c r="FJ325" s="138" t="e">
        <f>IF(VLOOKUP(CONCATENATE(H325,F325,FJ$2),Ciencias!$A:$H,7,FALSE)=BX325,1,0)</f>
        <v>#N/A</v>
      </c>
      <c r="FK325" s="138" t="e">
        <f>IF(VLOOKUP(CONCATENATE(H325,F325,FK$2),Ciencias!$A:$H,7,FALSE)=BY325,1,0)</f>
        <v>#N/A</v>
      </c>
      <c r="FL325" s="138" t="e">
        <f>IF(VLOOKUP(CONCATENATE(H325,F325,FL$2),Ciencias!$A:$H,7,FALSE)=BZ325,1,0)</f>
        <v>#N/A</v>
      </c>
      <c r="FM325" s="138" t="e">
        <f>IF(VLOOKUP(CONCATENATE(H325,F325,FM$2),Ciencias!$A:$H,7,FALSE)=CA325,1,0)</f>
        <v>#N/A</v>
      </c>
      <c r="FN325" s="138" t="e">
        <f>IF(VLOOKUP(CONCATENATE(H325,F325,FN$2),Ciencias!$A:$H,7,FALSE)=CB325,1,0)</f>
        <v>#N/A</v>
      </c>
      <c r="FO325" s="138" t="e">
        <f>IF(VLOOKUP(CONCATENATE(H325,F325,FO$2),Ciencias!$A:$H,7,FALSE)=CC325,1,0)</f>
        <v>#N/A</v>
      </c>
      <c r="FP325" s="138" t="e">
        <f>IF(VLOOKUP(CONCATENATE(H325,F325,FP$2),GeoHis!$A:$H,7,FALSE)=CD325,1,0)</f>
        <v>#N/A</v>
      </c>
      <c r="FQ325" s="138" t="e">
        <f>IF(VLOOKUP(CONCATENATE(H325,F325,FQ$2),GeoHis!$A:$H,7,FALSE)=CE325,1,0)</f>
        <v>#N/A</v>
      </c>
      <c r="FR325" s="138" t="e">
        <f>IF(VLOOKUP(CONCATENATE(H325,F325,FR$2),GeoHis!$A:$H,7,FALSE)=CF325,1,0)</f>
        <v>#N/A</v>
      </c>
      <c r="FS325" s="138" t="e">
        <f>IF(VLOOKUP(CONCATENATE(H325,F325,FS$2),GeoHis!$A:$H,7,FALSE)=CG325,1,0)</f>
        <v>#N/A</v>
      </c>
      <c r="FT325" s="138" t="e">
        <f>IF(VLOOKUP(CONCATENATE(H325,F325,FT$2),GeoHis!$A:$H,7,FALSE)=CH325,1,0)</f>
        <v>#N/A</v>
      </c>
      <c r="FU325" s="138" t="e">
        <f>IF(VLOOKUP(CONCATENATE(H325,F325,FU$2),GeoHis!$A:$H,7,FALSE)=CI325,1,0)</f>
        <v>#N/A</v>
      </c>
      <c r="FV325" s="138" t="e">
        <f>IF(VLOOKUP(CONCATENATE(H325,F325,FV$2),GeoHis!$A:$H,7,FALSE)=CJ325,1,0)</f>
        <v>#N/A</v>
      </c>
      <c r="FW325" s="138" t="e">
        <f>IF(VLOOKUP(CONCATENATE(H325,F325,FW$2),GeoHis!$A:$H,7,FALSE)=CK325,1,0)</f>
        <v>#N/A</v>
      </c>
      <c r="FX325" s="138" t="e">
        <f>IF(VLOOKUP(CONCATENATE(H325,F325,FX$2),GeoHis!$A:$H,7,FALSE)=CL325,1,0)</f>
        <v>#N/A</v>
      </c>
      <c r="FY325" s="138" t="e">
        <f>IF(VLOOKUP(CONCATENATE(H325,F325,FY$2),GeoHis!$A:$H,7,FALSE)=CM325,1,0)</f>
        <v>#N/A</v>
      </c>
      <c r="FZ325" s="138" t="e">
        <f>IF(VLOOKUP(CONCATENATE(H325,F325,FZ$2),GeoHis!$A:$H,7,FALSE)=CN325,1,0)</f>
        <v>#N/A</v>
      </c>
      <c r="GA325" s="138" t="e">
        <f>IF(VLOOKUP(CONCATENATE(H325,F325,GA$2),GeoHis!$A:$H,7,FALSE)=CO325,1,0)</f>
        <v>#N/A</v>
      </c>
      <c r="GB325" s="138" t="e">
        <f>IF(VLOOKUP(CONCATENATE(H325,F325,GB$2),GeoHis!$A:$H,7,FALSE)=CP325,1,0)</f>
        <v>#N/A</v>
      </c>
      <c r="GC325" s="138" t="e">
        <f>IF(VLOOKUP(CONCATENATE(H325,F325,GC$2),GeoHis!$A:$H,7,FALSE)=CQ325,1,0)</f>
        <v>#N/A</v>
      </c>
      <c r="GD325" s="138" t="e">
        <f>IF(VLOOKUP(CONCATENATE(H325,F325,GD$2),GeoHis!$A:$H,7,FALSE)=CR325,1,0)</f>
        <v>#N/A</v>
      </c>
      <c r="GE325" s="135" t="str">
        <f t="shared" si="47"/>
        <v/>
      </c>
    </row>
    <row r="326" spans="1:187" x14ac:dyDescent="0.25">
      <c r="A326" s="127" t="str">
        <f>IF(C326="","",'Datos Generales'!$A$25)</f>
        <v/>
      </c>
      <c r="D326" s="126" t="str">
        <f t="shared" si="40"/>
        <v/>
      </c>
      <c r="E326" s="126">
        <f t="shared" si="41"/>
        <v>0</v>
      </c>
      <c r="F326" s="126" t="str">
        <f t="shared" si="42"/>
        <v/>
      </c>
      <c r="G326" s="126" t="str">
        <f>IF(C326="","",'Datos Generales'!$D$19)</f>
        <v/>
      </c>
      <c r="H326" s="21" t="str">
        <f>IF(C326="","",'Datos Generales'!$A$19)</f>
        <v/>
      </c>
      <c r="I326" s="126" t="str">
        <f>IF(C326="","",'Datos Generales'!$A$7)</f>
        <v/>
      </c>
      <c r="J326" s="21" t="str">
        <f>IF(C326="","",'Datos Generales'!$A$13)</f>
        <v/>
      </c>
      <c r="K326" s="21" t="str">
        <f>IF(C326="","",'Datos Generales'!$A$10)</f>
        <v/>
      </c>
      <c r="CS326" s="142" t="str">
        <f t="shared" si="43"/>
        <v/>
      </c>
      <c r="CT326" s="142" t="str">
        <f t="shared" si="44"/>
        <v/>
      </c>
      <c r="CU326" s="142" t="str">
        <f t="shared" si="45"/>
        <v/>
      </c>
      <c r="CV326" s="142" t="str">
        <f t="shared" si="46"/>
        <v/>
      </c>
      <c r="CW326" s="142" t="str">
        <f>IF(C326="","",IF('Datos Generales'!$A$19=1,AVERAGE(FP326:GD326),AVERAGE(Captura!FP326:FY326)))</f>
        <v/>
      </c>
      <c r="CX326" s="138" t="e">
        <f>IF(VLOOKUP(CONCATENATE($H$4,$F$4,CX$2),Español!$A:$H,7,FALSE)=L326,1,0)</f>
        <v>#N/A</v>
      </c>
      <c r="CY326" s="138" t="e">
        <f>IF(VLOOKUP(CONCATENATE(H326,F326,CY$2),Español!$A:$H,7,FALSE)=M326,1,0)</f>
        <v>#N/A</v>
      </c>
      <c r="CZ326" s="138" t="e">
        <f>IF(VLOOKUP(CONCATENATE(H326,F326,CZ$2),Español!$A:$H,7,FALSE)=N326,1,0)</f>
        <v>#N/A</v>
      </c>
      <c r="DA326" s="138" t="e">
        <f>IF(VLOOKUP(CONCATENATE(H326,F326,DA$2),Español!$A:$H,7,FALSE)=O326,1,0)</f>
        <v>#N/A</v>
      </c>
      <c r="DB326" s="138" t="e">
        <f>IF(VLOOKUP(CONCATENATE(H326,F326,DB$2),Español!$A:$H,7,FALSE)=P326,1,0)</f>
        <v>#N/A</v>
      </c>
      <c r="DC326" s="138" t="e">
        <f>IF(VLOOKUP(CONCATENATE(H326,F326,DC$2),Español!$A:$H,7,FALSE)=Q326,1,0)</f>
        <v>#N/A</v>
      </c>
      <c r="DD326" s="138" t="e">
        <f>IF(VLOOKUP(CONCATENATE(H326,F326,DD$2),Español!$A:$H,7,FALSE)=R326,1,0)</f>
        <v>#N/A</v>
      </c>
      <c r="DE326" s="138" t="e">
        <f>IF(VLOOKUP(CONCATENATE(H326,F326,DE$2),Español!$A:$H,7,FALSE)=S326,1,0)</f>
        <v>#N/A</v>
      </c>
      <c r="DF326" s="138" t="e">
        <f>IF(VLOOKUP(CONCATENATE(H326,F326,DF$2),Español!$A:$H,7,FALSE)=T326,1,0)</f>
        <v>#N/A</v>
      </c>
      <c r="DG326" s="138" t="e">
        <f>IF(VLOOKUP(CONCATENATE(H326,F326,DG$2),Español!$A:$H,7,FALSE)=U326,1,0)</f>
        <v>#N/A</v>
      </c>
      <c r="DH326" s="138" t="e">
        <f>IF(VLOOKUP(CONCATENATE(H326,F326,DH$2),Español!$A:$H,7,FALSE)=V326,1,0)</f>
        <v>#N/A</v>
      </c>
      <c r="DI326" s="138" t="e">
        <f>IF(VLOOKUP(CONCATENATE(H326,F326,DI$2),Español!$A:$H,7,FALSE)=W326,1,0)</f>
        <v>#N/A</v>
      </c>
      <c r="DJ326" s="138" t="e">
        <f>IF(VLOOKUP(CONCATENATE(H326,F326,DJ$2),Español!$A:$H,7,FALSE)=X326,1,0)</f>
        <v>#N/A</v>
      </c>
      <c r="DK326" s="138" t="e">
        <f>IF(VLOOKUP(CONCATENATE(H326,F326,DK$2),Español!$A:$H,7,FALSE)=Y326,1,0)</f>
        <v>#N/A</v>
      </c>
      <c r="DL326" s="138" t="e">
        <f>IF(VLOOKUP(CONCATENATE(H326,F326,DL$2),Español!$A:$H,7,FALSE)=Z326,1,0)</f>
        <v>#N/A</v>
      </c>
      <c r="DM326" s="138" t="e">
        <f>IF(VLOOKUP(CONCATENATE(H326,F326,DM$2),Español!$A:$H,7,FALSE)=AA326,1,0)</f>
        <v>#N/A</v>
      </c>
      <c r="DN326" s="138" t="e">
        <f>IF(VLOOKUP(CONCATENATE(H326,F326,DN$2),Español!$A:$H,7,FALSE)=AB326,1,0)</f>
        <v>#N/A</v>
      </c>
      <c r="DO326" s="138" t="e">
        <f>IF(VLOOKUP(CONCATENATE(H326,F326,DO$2),Español!$A:$H,7,FALSE)=AC326,1,0)</f>
        <v>#N/A</v>
      </c>
      <c r="DP326" s="138" t="e">
        <f>IF(VLOOKUP(CONCATENATE(H326,F326,DP$2),Español!$A:$H,7,FALSE)=AD326,1,0)</f>
        <v>#N/A</v>
      </c>
      <c r="DQ326" s="138" t="e">
        <f>IF(VLOOKUP(CONCATENATE(H326,F326,DQ$2),Español!$A:$H,7,FALSE)=AE326,1,0)</f>
        <v>#N/A</v>
      </c>
      <c r="DR326" s="138" t="e">
        <f>IF(VLOOKUP(CONCATENATE(H326,F326,DR$2),Inglés!$A:$H,7,FALSE)=AF326,1,0)</f>
        <v>#N/A</v>
      </c>
      <c r="DS326" s="138" t="e">
        <f>IF(VLOOKUP(CONCATENATE(H326,F326,DS$2),Inglés!$A:$H,7,FALSE)=AG326,1,0)</f>
        <v>#N/A</v>
      </c>
      <c r="DT326" s="138" t="e">
        <f>IF(VLOOKUP(CONCATENATE(H326,F326,DT$2),Inglés!$A:$H,7,FALSE)=AH326,1,0)</f>
        <v>#N/A</v>
      </c>
      <c r="DU326" s="138" t="e">
        <f>IF(VLOOKUP(CONCATENATE(H326,F326,DU$2),Inglés!$A:$H,7,FALSE)=AI326,1,0)</f>
        <v>#N/A</v>
      </c>
      <c r="DV326" s="138" t="e">
        <f>IF(VLOOKUP(CONCATENATE(H326,F326,DV$2),Inglés!$A:$H,7,FALSE)=AJ326,1,0)</f>
        <v>#N/A</v>
      </c>
      <c r="DW326" s="138" t="e">
        <f>IF(VLOOKUP(CONCATENATE(H326,F326,DW$2),Inglés!$A:$H,7,FALSE)=AK326,1,0)</f>
        <v>#N/A</v>
      </c>
      <c r="DX326" s="138" t="e">
        <f>IF(VLOOKUP(CONCATENATE(H326,F326,DX$2),Inglés!$A:$H,7,FALSE)=AL326,1,0)</f>
        <v>#N/A</v>
      </c>
      <c r="DY326" s="138" t="e">
        <f>IF(VLOOKUP(CONCATENATE(H326,F326,DY$2),Inglés!$A:$H,7,FALSE)=AM326,1,0)</f>
        <v>#N/A</v>
      </c>
      <c r="DZ326" s="138" t="e">
        <f>IF(VLOOKUP(CONCATENATE(H326,F326,DZ$2),Inglés!$A:$H,7,FALSE)=AN326,1,0)</f>
        <v>#N/A</v>
      </c>
      <c r="EA326" s="138" t="e">
        <f>IF(VLOOKUP(CONCATENATE(H326,F326,EA$2),Inglés!$A:$H,7,FALSE)=AO326,1,0)</f>
        <v>#N/A</v>
      </c>
      <c r="EB326" s="138" t="e">
        <f>IF(VLOOKUP(CONCATENATE(H326,F326,EB$2),Matemáticas!$A:$H,7,FALSE)=AP326,1,0)</f>
        <v>#N/A</v>
      </c>
      <c r="EC326" s="138" t="e">
        <f>IF(VLOOKUP(CONCATENATE(H326,F326,EC$2),Matemáticas!$A:$H,7,FALSE)=AQ326,1,0)</f>
        <v>#N/A</v>
      </c>
      <c r="ED326" s="138" t="e">
        <f>IF(VLOOKUP(CONCATENATE(H326,F326,ED$2),Matemáticas!$A:$H,7,FALSE)=AR326,1,0)</f>
        <v>#N/A</v>
      </c>
      <c r="EE326" s="138" t="e">
        <f>IF(VLOOKUP(CONCATENATE(H326,F326,EE$2),Matemáticas!$A:$H,7,FALSE)=AS326,1,0)</f>
        <v>#N/A</v>
      </c>
      <c r="EF326" s="138" t="e">
        <f>IF(VLOOKUP(CONCATENATE(H326,F326,EF$2),Matemáticas!$A:$H,7,FALSE)=AT326,1,0)</f>
        <v>#N/A</v>
      </c>
      <c r="EG326" s="138" t="e">
        <f>IF(VLOOKUP(CONCATENATE(H326,F326,EG$2),Matemáticas!$A:$H,7,FALSE)=AU326,1,0)</f>
        <v>#N/A</v>
      </c>
      <c r="EH326" s="138" t="e">
        <f>IF(VLOOKUP(CONCATENATE(H326,F326,EH$2),Matemáticas!$A:$H,7,FALSE)=AV326,1,0)</f>
        <v>#N/A</v>
      </c>
      <c r="EI326" s="138" t="e">
        <f>IF(VLOOKUP(CONCATENATE(H326,F326,EI$2),Matemáticas!$A:$H,7,FALSE)=AW326,1,0)</f>
        <v>#N/A</v>
      </c>
      <c r="EJ326" s="138" t="e">
        <f>IF(VLOOKUP(CONCATENATE(H326,F326,EJ$2),Matemáticas!$A:$H,7,FALSE)=AX326,1,0)</f>
        <v>#N/A</v>
      </c>
      <c r="EK326" s="138" t="e">
        <f>IF(VLOOKUP(CONCATENATE(H326,F326,EK$2),Matemáticas!$A:$H,7,FALSE)=AY326,1,0)</f>
        <v>#N/A</v>
      </c>
      <c r="EL326" s="138" t="e">
        <f>IF(VLOOKUP(CONCATENATE(H326,F326,EL$2),Matemáticas!$A:$H,7,FALSE)=AZ326,1,0)</f>
        <v>#N/A</v>
      </c>
      <c r="EM326" s="138" t="e">
        <f>IF(VLOOKUP(CONCATENATE(H326,F326,EM$2),Matemáticas!$A:$H,7,FALSE)=BA326,1,0)</f>
        <v>#N/A</v>
      </c>
      <c r="EN326" s="138" t="e">
        <f>IF(VLOOKUP(CONCATENATE(H326,F326,EN$2),Matemáticas!$A:$H,7,FALSE)=BB326,1,0)</f>
        <v>#N/A</v>
      </c>
      <c r="EO326" s="138" t="e">
        <f>IF(VLOOKUP(CONCATENATE(H326,F326,EO$2),Matemáticas!$A:$H,7,FALSE)=BC326,1,0)</f>
        <v>#N/A</v>
      </c>
      <c r="EP326" s="138" t="e">
        <f>IF(VLOOKUP(CONCATENATE(H326,F326,EP$2),Matemáticas!$A:$H,7,FALSE)=BD326,1,0)</f>
        <v>#N/A</v>
      </c>
      <c r="EQ326" s="138" t="e">
        <f>IF(VLOOKUP(CONCATENATE(H326,F326,EQ$2),Matemáticas!$A:$H,7,FALSE)=BE326,1,0)</f>
        <v>#N/A</v>
      </c>
      <c r="ER326" s="138" t="e">
        <f>IF(VLOOKUP(CONCATENATE(H326,F326,ER$2),Matemáticas!$A:$H,7,FALSE)=BF326,1,0)</f>
        <v>#N/A</v>
      </c>
      <c r="ES326" s="138" t="e">
        <f>IF(VLOOKUP(CONCATENATE(H326,F326,ES$2),Matemáticas!$A:$H,7,FALSE)=BG326,1,0)</f>
        <v>#N/A</v>
      </c>
      <c r="ET326" s="138" t="e">
        <f>IF(VLOOKUP(CONCATENATE(H326,F326,ET$2),Matemáticas!$A:$H,7,FALSE)=BH326,1,0)</f>
        <v>#N/A</v>
      </c>
      <c r="EU326" s="138" t="e">
        <f>IF(VLOOKUP(CONCATENATE(H326,F326,EU$2),Matemáticas!$A:$H,7,FALSE)=BI326,1,0)</f>
        <v>#N/A</v>
      </c>
      <c r="EV326" s="138" t="e">
        <f>IF(VLOOKUP(CONCATENATE(H326,F326,EV$2),Ciencias!$A:$H,7,FALSE)=BJ326,1,0)</f>
        <v>#N/A</v>
      </c>
      <c r="EW326" s="138" t="e">
        <f>IF(VLOOKUP(CONCATENATE(H326,F326,EW$2),Ciencias!$A:$H,7,FALSE)=BK326,1,0)</f>
        <v>#N/A</v>
      </c>
      <c r="EX326" s="138" t="e">
        <f>IF(VLOOKUP(CONCATENATE(H326,F326,EX$2),Ciencias!$A:$H,7,FALSE)=BL326,1,0)</f>
        <v>#N/A</v>
      </c>
      <c r="EY326" s="138" t="e">
        <f>IF(VLOOKUP(CONCATENATE(H326,F326,EY$2),Ciencias!$A:$H,7,FALSE)=BM326,1,0)</f>
        <v>#N/A</v>
      </c>
      <c r="EZ326" s="138" t="e">
        <f>IF(VLOOKUP(CONCATENATE(H326,F326,EZ$2),Ciencias!$A:$H,7,FALSE)=BN326,1,0)</f>
        <v>#N/A</v>
      </c>
      <c r="FA326" s="138" t="e">
        <f>IF(VLOOKUP(CONCATENATE(H326,F326,FA$2),Ciencias!$A:$H,7,FALSE)=BO326,1,0)</f>
        <v>#N/A</v>
      </c>
      <c r="FB326" s="138" t="e">
        <f>IF(VLOOKUP(CONCATENATE(H326,F326,FB$2),Ciencias!$A:$H,7,FALSE)=BP326,1,0)</f>
        <v>#N/A</v>
      </c>
      <c r="FC326" s="138" t="e">
        <f>IF(VLOOKUP(CONCATENATE(H326,F326,FC$2),Ciencias!$A:$H,7,FALSE)=BQ326,1,0)</f>
        <v>#N/A</v>
      </c>
      <c r="FD326" s="138" t="e">
        <f>IF(VLOOKUP(CONCATENATE(H326,F326,FD$2),Ciencias!$A:$H,7,FALSE)=BR326,1,0)</f>
        <v>#N/A</v>
      </c>
      <c r="FE326" s="138" t="e">
        <f>IF(VLOOKUP(CONCATENATE(H326,F326,FE$2),Ciencias!$A:$H,7,FALSE)=BS326,1,0)</f>
        <v>#N/A</v>
      </c>
      <c r="FF326" s="138" t="e">
        <f>IF(VLOOKUP(CONCATENATE(H326,F326,FF$2),Ciencias!$A:$H,7,FALSE)=BT326,1,0)</f>
        <v>#N/A</v>
      </c>
      <c r="FG326" s="138" t="e">
        <f>IF(VLOOKUP(CONCATENATE(H326,F326,FG$2),Ciencias!$A:$H,7,FALSE)=BU326,1,0)</f>
        <v>#N/A</v>
      </c>
      <c r="FH326" s="138" t="e">
        <f>IF(VLOOKUP(CONCATENATE(H326,F326,FH$2),Ciencias!$A:$H,7,FALSE)=BV326,1,0)</f>
        <v>#N/A</v>
      </c>
      <c r="FI326" s="138" t="e">
        <f>IF(VLOOKUP(CONCATENATE(H326,F326,FI$2),Ciencias!$A:$H,7,FALSE)=BW326,1,0)</f>
        <v>#N/A</v>
      </c>
      <c r="FJ326" s="138" t="e">
        <f>IF(VLOOKUP(CONCATENATE(H326,F326,FJ$2),Ciencias!$A:$H,7,FALSE)=BX326,1,0)</f>
        <v>#N/A</v>
      </c>
      <c r="FK326" s="138" t="e">
        <f>IF(VLOOKUP(CONCATENATE(H326,F326,FK$2),Ciencias!$A:$H,7,FALSE)=BY326,1,0)</f>
        <v>#N/A</v>
      </c>
      <c r="FL326" s="138" t="e">
        <f>IF(VLOOKUP(CONCATENATE(H326,F326,FL$2),Ciencias!$A:$H,7,FALSE)=BZ326,1,0)</f>
        <v>#N/A</v>
      </c>
      <c r="FM326" s="138" t="e">
        <f>IF(VLOOKUP(CONCATENATE(H326,F326,FM$2),Ciencias!$A:$H,7,FALSE)=CA326,1,0)</f>
        <v>#N/A</v>
      </c>
      <c r="FN326" s="138" t="e">
        <f>IF(VLOOKUP(CONCATENATE(H326,F326,FN$2),Ciencias!$A:$H,7,FALSE)=CB326,1,0)</f>
        <v>#N/A</v>
      </c>
      <c r="FO326" s="138" t="e">
        <f>IF(VLOOKUP(CONCATENATE(H326,F326,FO$2),Ciencias!$A:$H,7,FALSE)=CC326,1,0)</f>
        <v>#N/A</v>
      </c>
      <c r="FP326" s="138" t="e">
        <f>IF(VLOOKUP(CONCATENATE(H326,F326,FP$2),GeoHis!$A:$H,7,FALSE)=CD326,1,0)</f>
        <v>#N/A</v>
      </c>
      <c r="FQ326" s="138" t="e">
        <f>IF(VLOOKUP(CONCATENATE(H326,F326,FQ$2),GeoHis!$A:$H,7,FALSE)=CE326,1,0)</f>
        <v>#N/A</v>
      </c>
      <c r="FR326" s="138" t="e">
        <f>IF(VLOOKUP(CONCATENATE(H326,F326,FR$2),GeoHis!$A:$H,7,FALSE)=CF326,1,0)</f>
        <v>#N/A</v>
      </c>
      <c r="FS326" s="138" t="e">
        <f>IF(VLOOKUP(CONCATENATE(H326,F326,FS$2),GeoHis!$A:$H,7,FALSE)=CG326,1,0)</f>
        <v>#N/A</v>
      </c>
      <c r="FT326" s="138" t="e">
        <f>IF(VLOOKUP(CONCATENATE(H326,F326,FT$2),GeoHis!$A:$H,7,FALSE)=CH326,1,0)</f>
        <v>#N/A</v>
      </c>
      <c r="FU326" s="138" t="e">
        <f>IF(VLOOKUP(CONCATENATE(H326,F326,FU$2),GeoHis!$A:$H,7,FALSE)=CI326,1,0)</f>
        <v>#N/A</v>
      </c>
      <c r="FV326" s="138" t="e">
        <f>IF(VLOOKUP(CONCATENATE(H326,F326,FV$2),GeoHis!$A:$H,7,FALSE)=CJ326,1,0)</f>
        <v>#N/A</v>
      </c>
      <c r="FW326" s="138" t="e">
        <f>IF(VLOOKUP(CONCATENATE(H326,F326,FW$2),GeoHis!$A:$H,7,FALSE)=CK326,1,0)</f>
        <v>#N/A</v>
      </c>
      <c r="FX326" s="138" t="e">
        <f>IF(VLOOKUP(CONCATENATE(H326,F326,FX$2),GeoHis!$A:$H,7,FALSE)=CL326,1,0)</f>
        <v>#N/A</v>
      </c>
      <c r="FY326" s="138" t="e">
        <f>IF(VLOOKUP(CONCATENATE(H326,F326,FY$2),GeoHis!$A:$H,7,FALSE)=CM326,1,0)</f>
        <v>#N/A</v>
      </c>
      <c r="FZ326" s="138" t="e">
        <f>IF(VLOOKUP(CONCATENATE(H326,F326,FZ$2),GeoHis!$A:$H,7,FALSE)=CN326,1,0)</f>
        <v>#N/A</v>
      </c>
      <c r="GA326" s="138" t="e">
        <f>IF(VLOOKUP(CONCATENATE(H326,F326,GA$2),GeoHis!$A:$H,7,FALSE)=CO326,1,0)</f>
        <v>#N/A</v>
      </c>
      <c r="GB326" s="138" t="e">
        <f>IF(VLOOKUP(CONCATENATE(H326,F326,GB$2),GeoHis!$A:$H,7,FALSE)=CP326,1,0)</f>
        <v>#N/A</v>
      </c>
      <c r="GC326" s="138" t="e">
        <f>IF(VLOOKUP(CONCATENATE(H326,F326,GC$2),GeoHis!$A:$H,7,FALSE)=CQ326,1,0)</f>
        <v>#N/A</v>
      </c>
      <c r="GD326" s="138" t="e">
        <f>IF(VLOOKUP(CONCATENATE(H326,F326,GD$2),GeoHis!$A:$H,7,FALSE)=CR326,1,0)</f>
        <v>#N/A</v>
      </c>
      <c r="GE326" s="135" t="str">
        <f t="shared" si="47"/>
        <v/>
      </c>
    </row>
    <row r="327" spans="1:187" x14ac:dyDescent="0.25">
      <c r="A327" s="127" t="str">
        <f>IF(C327="","",'Datos Generales'!$A$25)</f>
        <v/>
      </c>
      <c r="D327" s="126" t="str">
        <f t="shared" si="40"/>
        <v/>
      </c>
      <c r="E327" s="126">
        <f t="shared" si="41"/>
        <v>0</v>
      </c>
      <c r="F327" s="126" t="str">
        <f t="shared" si="42"/>
        <v/>
      </c>
      <c r="G327" s="126" t="str">
        <f>IF(C327="","",'Datos Generales'!$D$19)</f>
        <v/>
      </c>
      <c r="H327" s="21" t="str">
        <f>IF(C327="","",'Datos Generales'!$A$19)</f>
        <v/>
      </c>
      <c r="I327" s="126" t="str">
        <f>IF(C327="","",'Datos Generales'!$A$7)</f>
        <v/>
      </c>
      <c r="J327" s="21" t="str">
        <f>IF(C327="","",'Datos Generales'!$A$13)</f>
        <v/>
      </c>
      <c r="K327" s="21" t="str">
        <f>IF(C327="","",'Datos Generales'!$A$10)</f>
        <v/>
      </c>
      <c r="CS327" s="142" t="str">
        <f t="shared" si="43"/>
        <v/>
      </c>
      <c r="CT327" s="142" t="str">
        <f t="shared" si="44"/>
        <v/>
      </c>
      <c r="CU327" s="142" t="str">
        <f t="shared" si="45"/>
        <v/>
      </c>
      <c r="CV327" s="142" t="str">
        <f t="shared" si="46"/>
        <v/>
      </c>
      <c r="CW327" s="142" t="str">
        <f>IF(C327="","",IF('Datos Generales'!$A$19=1,AVERAGE(FP327:GD327),AVERAGE(Captura!FP327:FY327)))</f>
        <v/>
      </c>
      <c r="CX327" s="138" t="e">
        <f>IF(VLOOKUP(CONCATENATE($H$4,$F$4,CX$2),Español!$A:$H,7,FALSE)=L327,1,0)</f>
        <v>#N/A</v>
      </c>
      <c r="CY327" s="138" t="e">
        <f>IF(VLOOKUP(CONCATENATE(H327,F327,CY$2),Español!$A:$H,7,FALSE)=M327,1,0)</f>
        <v>#N/A</v>
      </c>
      <c r="CZ327" s="138" t="e">
        <f>IF(VLOOKUP(CONCATENATE(H327,F327,CZ$2),Español!$A:$H,7,FALSE)=N327,1,0)</f>
        <v>#N/A</v>
      </c>
      <c r="DA327" s="138" t="e">
        <f>IF(VLOOKUP(CONCATENATE(H327,F327,DA$2),Español!$A:$H,7,FALSE)=O327,1,0)</f>
        <v>#N/A</v>
      </c>
      <c r="DB327" s="138" t="e">
        <f>IF(VLOOKUP(CONCATENATE(H327,F327,DB$2),Español!$A:$H,7,FALSE)=P327,1,0)</f>
        <v>#N/A</v>
      </c>
      <c r="DC327" s="138" t="e">
        <f>IF(VLOOKUP(CONCATENATE(H327,F327,DC$2),Español!$A:$H,7,FALSE)=Q327,1,0)</f>
        <v>#N/A</v>
      </c>
      <c r="DD327" s="138" t="e">
        <f>IF(VLOOKUP(CONCATENATE(H327,F327,DD$2),Español!$A:$H,7,FALSE)=R327,1,0)</f>
        <v>#N/A</v>
      </c>
      <c r="DE327" s="138" t="e">
        <f>IF(VLOOKUP(CONCATENATE(H327,F327,DE$2),Español!$A:$H,7,FALSE)=S327,1,0)</f>
        <v>#N/A</v>
      </c>
      <c r="DF327" s="138" t="e">
        <f>IF(VLOOKUP(CONCATENATE(H327,F327,DF$2),Español!$A:$H,7,FALSE)=T327,1,0)</f>
        <v>#N/A</v>
      </c>
      <c r="DG327" s="138" t="e">
        <f>IF(VLOOKUP(CONCATENATE(H327,F327,DG$2),Español!$A:$H,7,FALSE)=U327,1,0)</f>
        <v>#N/A</v>
      </c>
      <c r="DH327" s="138" t="e">
        <f>IF(VLOOKUP(CONCATENATE(H327,F327,DH$2),Español!$A:$H,7,FALSE)=V327,1,0)</f>
        <v>#N/A</v>
      </c>
      <c r="DI327" s="138" t="e">
        <f>IF(VLOOKUP(CONCATENATE(H327,F327,DI$2),Español!$A:$H,7,FALSE)=W327,1,0)</f>
        <v>#N/A</v>
      </c>
      <c r="DJ327" s="138" t="e">
        <f>IF(VLOOKUP(CONCATENATE(H327,F327,DJ$2),Español!$A:$H,7,FALSE)=X327,1,0)</f>
        <v>#N/A</v>
      </c>
      <c r="DK327" s="138" t="e">
        <f>IF(VLOOKUP(CONCATENATE(H327,F327,DK$2),Español!$A:$H,7,FALSE)=Y327,1,0)</f>
        <v>#N/A</v>
      </c>
      <c r="DL327" s="138" t="e">
        <f>IF(VLOOKUP(CONCATENATE(H327,F327,DL$2),Español!$A:$H,7,FALSE)=Z327,1,0)</f>
        <v>#N/A</v>
      </c>
      <c r="DM327" s="138" t="e">
        <f>IF(VLOOKUP(CONCATENATE(H327,F327,DM$2),Español!$A:$H,7,FALSE)=AA327,1,0)</f>
        <v>#N/A</v>
      </c>
      <c r="DN327" s="138" t="e">
        <f>IF(VLOOKUP(CONCATENATE(H327,F327,DN$2),Español!$A:$H,7,FALSE)=AB327,1,0)</f>
        <v>#N/A</v>
      </c>
      <c r="DO327" s="138" t="e">
        <f>IF(VLOOKUP(CONCATENATE(H327,F327,DO$2),Español!$A:$H,7,FALSE)=AC327,1,0)</f>
        <v>#N/A</v>
      </c>
      <c r="DP327" s="138" t="e">
        <f>IF(VLOOKUP(CONCATENATE(H327,F327,DP$2),Español!$A:$H,7,FALSE)=AD327,1,0)</f>
        <v>#N/A</v>
      </c>
      <c r="DQ327" s="138" t="e">
        <f>IF(VLOOKUP(CONCATENATE(H327,F327,DQ$2),Español!$A:$H,7,FALSE)=AE327,1,0)</f>
        <v>#N/A</v>
      </c>
      <c r="DR327" s="138" t="e">
        <f>IF(VLOOKUP(CONCATENATE(H327,F327,DR$2),Inglés!$A:$H,7,FALSE)=AF327,1,0)</f>
        <v>#N/A</v>
      </c>
      <c r="DS327" s="138" t="e">
        <f>IF(VLOOKUP(CONCATENATE(H327,F327,DS$2),Inglés!$A:$H,7,FALSE)=AG327,1,0)</f>
        <v>#N/A</v>
      </c>
      <c r="DT327" s="138" t="e">
        <f>IF(VLOOKUP(CONCATENATE(H327,F327,DT$2),Inglés!$A:$H,7,FALSE)=AH327,1,0)</f>
        <v>#N/A</v>
      </c>
      <c r="DU327" s="138" t="e">
        <f>IF(VLOOKUP(CONCATENATE(H327,F327,DU$2),Inglés!$A:$H,7,FALSE)=AI327,1,0)</f>
        <v>#N/A</v>
      </c>
      <c r="DV327" s="138" t="e">
        <f>IF(VLOOKUP(CONCATENATE(H327,F327,DV$2),Inglés!$A:$H,7,FALSE)=AJ327,1,0)</f>
        <v>#N/A</v>
      </c>
      <c r="DW327" s="138" t="e">
        <f>IF(VLOOKUP(CONCATENATE(H327,F327,DW$2),Inglés!$A:$H,7,FALSE)=AK327,1,0)</f>
        <v>#N/A</v>
      </c>
      <c r="DX327" s="138" t="e">
        <f>IF(VLOOKUP(CONCATENATE(H327,F327,DX$2),Inglés!$A:$H,7,FALSE)=AL327,1,0)</f>
        <v>#N/A</v>
      </c>
      <c r="DY327" s="138" t="e">
        <f>IF(VLOOKUP(CONCATENATE(H327,F327,DY$2),Inglés!$A:$H,7,FALSE)=AM327,1,0)</f>
        <v>#N/A</v>
      </c>
      <c r="DZ327" s="138" t="e">
        <f>IF(VLOOKUP(CONCATENATE(H327,F327,DZ$2),Inglés!$A:$H,7,FALSE)=AN327,1,0)</f>
        <v>#N/A</v>
      </c>
      <c r="EA327" s="138" t="e">
        <f>IF(VLOOKUP(CONCATENATE(H327,F327,EA$2),Inglés!$A:$H,7,FALSE)=AO327,1,0)</f>
        <v>#N/A</v>
      </c>
      <c r="EB327" s="138" t="e">
        <f>IF(VLOOKUP(CONCATENATE(H327,F327,EB$2),Matemáticas!$A:$H,7,FALSE)=AP327,1,0)</f>
        <v>#N/A</v>
      </c>
      <c r="EC327" s="138" t="e">
        <f>IF(VLOOKUP(CONCATENATE(H327,F327,EC$2),Matemáticas!$A:$H,7,FALSE)=AQ327,1,0)</f>
        <v>#N/A</v>
      </c>
      <c r="ED327" s="138" t="e">
        <f>IF(VLOOKUP(CONCATENATE(H327,F327,ED$2),Matemáticas!$A:$H,7,FALSE)=AR327,1,0)</f>
        <v>#N/A</v>
      </c>
      <c r="EE327" s="138" t="e">
        <f>IF(VLOOKUP(CONCATENATE(H327,F327,EE$2),Matemáticas!$A:$H,7,FALSE)=AS327,1,0)</f>
        <v>#N/A</v>
      </c>
      <c r="EF327" s="138" t="e">
        <f>IF(VLOOKUP(CONCATENATE(H327,F327,EF$2),Matemáticas!$A:$H,7,FALSE)=AT327,1,0)</f>
        <v>#N/A</v>
      </c>
      <c r="EG327" s="138" t="e">
        <f>IF(VLOOKUP(CONCATENATE(H327,F327,EG$2),Matemáticas!$A:$H,7,FALSE)=AU327,1,0)</f>
        <v>#N/A</v>
      </c>
      <c r="EH327" s="138" t="e">
        <f>IF(VLOOKUP(CONCATENATE(H327,F327,EH$2),Matemáticas!$A:$H,7,FALSE)=AV327,1,0)</f>
        <v>#N/A</v>
      </c>
      <c r="EI327" s="138" t="e">
        <f>IF(VLOOKUP(CONCATENATE(H327,F327,EI$2),Matemáticas!$A:$H,7,FALSE)=AW327,1,0)</f>
        <v>#N/A</v>
      </c>
      <c r="EJ327" s="138" t="e">
        <f>IF(VLOOKUP(CONCATENATE(H327,F327,EJ$2),Matemáticas!$A:$H,7,FALSE)=AX327,1,0)</f>
        <v>#N/A</v>
      </c>
      <c r="EK327" s="138" t="e">
        <f>IF(VLOOKUP(CONCATENATE(H327,F327,EK$2),Matemáticas!$A:$H,7,FALSE)=AY327,1,0)</f>
        <v>#N/A</v>
      </c>
      <c r="EL327" s="138" t="e">
        <f>IF(VLOOKUP(CONCATENATE(H327,F327,EL$2),Matemáticas!$A:$H,7,FALSE)=AZ327,1,0)</f>
        <v>#N/A</v>
      </c>
      <c r="EM327" s="138" t="e">
        <f>IF(VLOOKUP(CONCATENATE(H327,F327,EM$2),Matemáticas!$A:$H,7,FALSE)=BA327,1,0)</f>
        <v>#N/A</v>
      </c>
      <c r="EN327" s="138" t="e">
        <f>IF(VLOOKUP(CONCATENATE(H327,F327,EN$2),Matemáticas!$A:$H,7,FALSE)=BB327,1,0)</f>
        <v>#N/A</v>
      </c>
      <c r="EO327" s="138" t="e">
        <f>IF(VLOOKUP(CONCATENATE(H327,F327,EO$2),Matemáticas!$A:$H,7,FALSE)=BC327,1,0)</f>
        <v>#N/A</v>
      </c>
      <c r="EP327" s="138" t="e">
        <f>IF(VLOOKUP(CONCATENATE(H327,F327,EP$2),Matemáticas!$A:$H,7,FALSE)=BD327,1,0)</f>
        <v>#N/A</v>
      </c>
      <c r="EQ327" s="138" t="e">
        <f>IF(VLOOKUP(CONCATENATE(H327,F327,EQ$2),Matemáticas!$A:$H,7,FALSE)=BE327,1,0)</f>
        <v>#N/A</v>
      </c>
      <c r="ER327" s="138" t="e">
        <f>IF(VLOOKUP(CONCATENATE(H327,F327,ER$2),Matemáticas!$A:$H,7,FALSE)=BF327,1,0)</f>
        <v>#N/A</v>
      </c>
      <c r="ES327" s="138" t="e">
        <f>IF(VLOOKUP(CONCATENATE(H327,F327,ES$2),Matemáticas!$A:$H,7,FALSE)=BG327,1,0)</f>
        <v>#N/A</v>
      </c>
      <c r="ET327" s="138" t="e">
        <f>IF(VLOOKUP(CONCATENATE(H327,F327,ET$2),Matemáticas!$A:$H,7,FALSE)=BH327,1,0)</f>
        <v>#N/A</v>
      </c>
      <c r="EU327" s="138" t="e">
        <f>IF(VLOOKUP(CONCATENATE(H327,F327,EU$2),Matemáticas!$A:$H,7,FALSE)=BI327,1,0)</f>
        <v>#N/A</v>
      </c>
      <c r="EV327" s="138" t="e">
        <f>IF(VLOOKUP(CONCATENATE(H327,F327,EV$2),Ciencias!$A:$H,7,FALSE)=BJ327,1,0)</f>
        <v>#N/A</v>
      </c>
      <c r="EW327" s="138" t="e">
        <f>IF(VLOOKUP(CONCATENATE(H327,F327,EW$2),Ciencias!$A:$H,7,FALSE)=BK327,1,0)</f>
        <v>#N/A</v>
      </c>
      <c r="EX327" s="138" t="e">
        <f>IF(VLOOKUP(CONCATENATE(H327,F327,EX$2),Ciencias!$A:$H,7,FALSE)=BL327,1,0)</f>
        <v>#N/A</v>
      </c>
      <c r="EY327" s="138" t="e">
        <f>IF(VLOOKUP(CONCATENATE(H327,F327,EY$2),Ciencias!$A:$H,7,FALSE)=BM327,1,0)</f>
        <v>#N/A</v>
      </c>
      <c r="EZ327" s="138" t="e">
        <f>IF(VLOOKUP(CONCATENATE(H327,F327,EZ$2),Ciencias!$A:$H,7,FALSE)=BN327,1,0)</f>
        <v>#N/A</v>
      </c>
      <c r="FA327" s="138" t="e">
        <f>IF(VLOOKUP(CONCATENATE(H327,F327,FA$2),Ciencias!$A:$H,7,FALSE)=BO327,1,0)</f>
        <v>#N/A</v>
      </c>
      <c r="FB327" s="138" t="e">
        <f>IF(VLOOKUP(CONCATENATE(H327,F327,FB$2),Ciencias!$A:$H,7,FALSE)=BP327,1,0)</f>
        <v>#N/A</v>
      </c>
      <c r="FC327" s="138" t="e">
        <f>IF(VLOOKUP(CONCATENATE(H327,F327,FC$2),Ciencias!$A:$H,7,FALSE)=BQ327,1,0)</f>
        <v>#N/A</v>
      </c>
      <c r="FD327" s="138" t="e">
        <f>IF(VLOOKUP(CONCATENATE(H327,F327,FD$2),Ciencias!$A:$H,7,FALSE)=BR327,1,0)</f>
        <v>#N/A</v>
      </c>
      <c r="FE327" s="138" t="e">
        <f>IF(VLOOKUP(CONCATENATE(H327,F327,FE$2),Ciencias!$A:$H,7,FALSE)=BS327,1,0)</f>
        <v>#N/A</v>
      </c>
      <c r="FF327" s="138" t="e">
        <f>IF(VLOOKUP(CONCATENATE(H327,F327,FF$2),Ciencias!$A:$H,7,FALSE)=BT327,1,0)</f>
        <v>#N/A</v>
      </c>
      <c r="FG327" s="138" t="e">
        <f>IF(VLOOKUP(CONCATENATE(H327,F327,FG$2),Ciencias!$A:$H,7,FALSE)=BU327,1,0)</f>
        <v>#N/A</v>
      </c>
      <c r="FH327" s="138" t="e">
        <f>IF(VLOOKUP(CONCATENATE(H327,F327,FH$2),Ciencias!$A:$H,7,FALSE)=BV327,1,0)</f>
        <v>#N/A</v>
      </c>
      <c r="FI327" s="138" t="e">
        <f>IF(VLOOKUP(CONCATENATE(H327,F327,FI$2),Ciencias!$A:$H,7,FALSE)=BW327,1,0)</f>
        <v>#N/A</v>
      </c>
      <c r="FJ327" s="138" t="e">
        <f>IF(VLOOKUP(CONCATENATE(H327,F327,FJ$2),Ciencias!$A:$H,7,FALSE)=BX327,1,0)</f>
        <v>#N/A</v>
      </c>
      <c r="FK327" s="138" t="e">
        <f>IF(VLOOKUP(CONCATENATE(H327,F327,FK$2),Ciencias!$A:$H,7,FALSE)=BY327,1,0)</f>
        <v>#N/A</v>
      </c>
      <c r="FL327" s="138" t="e">
        <f>IF(VLOOKUP(CONCATENATE(H327,F327,FL$2),Ciencias!$A:$H,7,FALSE)=BZ327,1,0)</f>
        <v>#N/A</v>
      </c>
      <c r="FM327" s="138" t="e">
        <f>IF(VLOOKUP(CONCATENATE(H327,F327,FM$2),Ciencias!$A:$H,7,FALSE)=CA327,1,0)</f>
        <v>#N/A</v>
      </c>
      <c r="FN327" s="138" t="e">
        <f>IF(VLOOKUP(CONCATENATE(H327,F327,FN$2),Ciencias!$A:$H,7,FALSE)=CB327,1,0)</f>
        <v>#N/A</v>
      </c>
      <c r="FO327" s="138" t="e">
        <f>IF(VLOOKUP(CONCATENATE(H327,F327,FO$2),Ciencias!$A:$H,7,FALSE)=CC327,1,0)</f>
        <v>#N/A</v>
      </c>
      <c r="FP327" s="138" t="e">
        <f>IF(VLOOKUP(CONCATENATE(H327,F327,FP$2),GeoHis!$A:$H,7,FALSE)=CD327,1,0)</f>
        <v>#N/A</v>
      </c>
      <c r="FQ327" s="138" t="e">
        <f>IF(VLOOKUP(CONCATENATE(H327,F327,FQ$2),GeoHis!$A:$H,7,FALSE)=CE327,1,0)</f>
        <v>#N/A</v>
      </c>
      <c r="FR327" s="138" t="e">
        <f>IF(VLOOKUP(CONCATENATE(H327,F327,FR$2),GeoHis!$A:$H,7,FALSE)=CF327,1,0)</f>
        <v>#N/A</v>
      </c>
      <c r="FS327" s="138" t="e">
        <f>IF(VLOOKUP(CONCATENATE(H327,F327,FS$2),GeoHis!$A:$H,7,FALSE)=CG327,1,0)</f>
        <v>#N/A</v>
      </c>
      <c r="FT327" s="138" t="e">
        <f>IF(VLOOKUP(CONCATENATE(H327,F327,FT$2),GeoHis!$A:$H,7,FALSE)=CH327,1,0)</f>
        <v>#N/A</v>
      </c>
      <c r="FU327" s="138" t="e">
        <f>IF(VLOOKUP(CONCATENATE(H327,F327,FU$2),GeoHis!$A:$H,7,FALSE)=CI327,1,0)</f>
        <v>#N/A</v>
      </c>
      <c r="FV327" s="138" t="e">
        <f>IF(VLOOKUP(CONCATENATE(H327,F327,FV$2),GeoHis!$A:$H,7,FALSE)=CJ327,1,0)</f>
        <v>#N/A</v>
      </c>
      <c r="FW327" s="138" t="e">
        <f>IF(VLOOKUP(CONCATENATE(H327,F327,FW$2),GeoHis!$A:$H,7,FALSE)=CK327,1,0)</f>
        <v>#N/A</v>
      </c>
      <c r="FX327" s="138" t="e">
        <f>IF(VLOOKUP(CONCATENATE(H327,F327,FX$2),GeoHis!$A:$H,7,FALSE)=CL327,1,0)</f>
        <v>#N/A</v>
      </c>
      <c r="FY327" s="138" t="e">
        <f>IF(VLOOKUP(CONCATENATE(H327,F327,FY$2),GeoHis!$A:$H,7,FALSE)=CM327,1,0)</f>
        <v>#N/A</v>
      </c>
      <c r="FZ327" s="138" t="e">
        <f>IF(VLOOKUP(CONCATENATE(H327,F327,FZ$2),GeoHis!$A:$H,7,FALSE)=CN327,1,0)</f>
        <v>#N/A</v>
      </c>
      <c r="GA327" s="138" t="e">
        <f>IF(VLOOKUP(CONCATENATE(H327,F327,GA$2),GeoHis!$A:$H,7,FALSE)=CO327,1,0)</f>
        <v>#N/A</v>
      </c>
      <c r="GB327" s="138" t="e">
        <f>IF(VLOOKUP(CONCATENATE(H327,F327,GB$2),GeoHis!$A:$H,7,FALSE)=CP327,1,0)</f>
        <v>#N/A</v>
      </c>
      <c r="GC327" s="138" t="e">
        <f>IF(VLOOKUP(CONCATENATE(H327,F327,GC$2),GeoHis!$A:$H,7,FALSE)=CQ327,1,0)</f>
        <v>#N/A</v>
      </c>
      <c r="GD327" s="138" t="e">
        <f>IF(VLOOKUP(CONCATENATE(H327,F327,GD$2),GeoHis!$A:$H,7,FALSE)=CR327,1,0)</f>
        <v>#N/A</v>
      </c>
      <c r="GE327" s="135" t="str">
        <f t="shared" si="47"/>
        <v/>
      </c>
    </row>
    <row r="328" spans="1:187" x14ac:dyDescent="0.25">
      <c r="A328" s="127" t="str">
        <f>IF(C328="","",'Datos Generales'!$A$25)</f>
        <v/>
      </c>
      <c r="D328" s="126" t="str">
        <f t="shared" si="40"/>
        <v/>
      </c>
      <c r="E328" s="126">
        <f t="shared" si="41"/>
        <v>0</v>
      </c>
      <c r="F328" s="126" t="str">
        <f t="shared" si="42"/>
        <v/>
      </c>
      <c r="G328" s="126" t="str">
        <f>IF(C328="","",'Datos Generales'!$D$19)</f>
        <v/>
      </c>
      <c r="H328" s="21" t="str">
        <f>IF(C328="","",'Datos Generales'!$A$19)</f>
        <v/>
      </c>
      <c r="I328" s="126" t="str">
        <f>IF(C328="","",'Datos Generales'!$A$7)</f>
        <v/>
      </c>
      <c r="J328" s="21" t="str">
        <f>IF(C328="","",'Datos Generales'!$A$13)</f>
        <v/>
      </c>
      <c r="K328" s="21" t="str">
        <f>IF(C328="","",'Datos Generales'!$A$10)</f>
        <v/>
      </c>
      <c r="CS328" s="142" t="str">
        <f t="shared" si="43"/>
        <v/>
      </c>
      <c r="CT328" s="142" t="str">
        <f t="shared" si="44"/>
        <v/>
      </c>
      <c r="CU328" s="142" t="str">
        <f t="shared" si="45"/>
        <v/>
      </c>
      <c r="CV328" s="142" t="str">
        <f t="shared" si="46"/>
        <v/>
      </c>
      <c r="CW328" s="142" t="str">
        <f>IF(C328="","",IF('Datos Generales'!$A$19=1,AVERAGE(FP328:GD328),AVERAGE(Captura!FP328:FY328)))</f>
        <v/>
      </c>
      <c r="CX328" s="138" t="e">
        <f>IF(VLOOKUP(CONCATENATE($H$4,$F$4,CX$2),Español!$A:$H,7,FALSE)=L328,1,0)</f>
        <v>#N/A</v>
      </c>
      <c r="CY328" s="138" t="e">
        <f>IF(VLOOKUP(CONCATENATE(H328,F328,CY$2),Español!$A:$H,7,FALSE)=M328,1,0)</f>
        <v>#N/A</v>
      </c>
      <c r="CZ328" s="138" t="e">
        <f>IF(VLOOKUP(CONCATENATE(H328,F328,CZ$2),Español!$A:$H,7,FALSE)=N328,1,0)</f>
        <v>#N/A</v>
      </c>
      <c r="DA328" s="138" t="e">
        <f>IF(VLOOKUP(CONCATENATE(H328,F328,DA$2),Español!$A:$H,7,FALSE)=O328,1,0)</f>
        <v>#N/A</v>
      </c>
      <c r="DB328" s="138" t="e">
        <f>IF(VLOOKUP(CONCATENATE(H328,F328,DB$2),Español!$A:$H,7,FALSE)=P328,1,0)</f>
        <v>#N/A</v>
      </c>
      <c r="DC328" s="138" t="e">
        <f>IF(VLOOKUP(CONCATENATE(H328,F328,DC$2),Español!$A:$H,7,FALSE)=Q328,1,0)</f>
        <v>#N/A</v>
      </c>
      <c r="DD328" s="138" t="e">
        <f>IF(VLOOKUP(CONCATENATE(H328,F328,DD$2),Español!$A:$H,7,FALSE)=R328,1,0)</f>
        <v>#N/A</v>
      </c>
      <c r="DE328" s="138" t="e">
        <f>IF(VLOOKUP(CONCATENATE(H328,F328,DE$2),Español!$A:$H,7,FALSE)=S328,1,0)</f>
        <v>#N/A</v>
      </c>
      <c r="DF328" s="138" t="e">
        <f>IF(VLOOKUP(CONCATENATE(H328,F328,DF$2),Español!$A:$H,7,FALSE)=T328,1,0)</f>
        <v>#N/A</v>
      </c>
      <c r="DG328" s="138" t="e">
        <f>IF(VLOOKUP(CONCATENATE(H328,F328,DG$2),Español!$A:$H,7,FALSE)=U328,1,0)</f>
        <v>#N/A</v>
      </c>
      <c r="DH328" s="138" t="e">
        <f>IF(VLOOKUP(CONCATENATE(H328,F328,DH$2),Español!$A:$H,7,FALSE)=V328,1,0)</f>
        <v>#N/A</v>
      </c>
      <c r="DI328" s="138" t="e">
        <f>IF(VLOOKUP(CONCATENATE(H328,F328,DI$2),Español!$A:$H,7,FALSE)=W328,1,0)</f>
        <v>#N/A</v>
      </c>
      <c r="DJ328" s="138" t="e">
        <f>IF(VLOOKUP(CONCATENATE(H328,F328,DJ$2),Español!$A:$H,7,FALSE)=X328,1,0)</f>
        <v>#N/A</v>
      </c>
      <c r="DK328" s="138" t="e">
        <f>IF(VLOOKUP(CONCATENATE(H328,F328,DK$2),Español!$A:$H,7,FALSE)=Y328,1,0)</f>
        <v>#N/A</v>
      </c>
      <c r="DL328" s="138" t="e">
        <f>IF(VLOOKUP(CONCATENATE(H328,F328,DL$2),Español!$A:$H,7,FALSE)=Z328,1,0)</f>
        <v>#N/A</v>
      </c>
      <c r="DM328" s="138" t="e">
        <f>IF(VLOOKUP(CONCATENATE(H328,F328,DM$2),Español!$A:$H,7,FALSE)=AA328,1,0)</f>
        <v>#N/A</v>
      </c>
      <c r="DN328" s="138" t="e">
        <f>IF(VLOOKUP(CONCATENATE(H328,F328,DN$2),Español!$A:$H,7,FALSE)=AB328,1,0)</f>
        <v>#N/A</v>
      </c>
      <c r="DO328" s="138" t="e">
        <f>IF(VLOOKUP(CONCATENATE(H328,F328,DO$2),Español!$A:$H,7,FALSE)=AC328,1,0)</f>
        <v>#N/A</v>
      </c>
      <c r="DP328" s="138" t="e">
        <f>IF(VLOOKUP(CONCATENATE(H328,F328,DP$2),Español!$A:$H,7,FALSE)=AD328,1,0)</f>
        <v>#N/A</v>
      </c>
      <c r="DQ328" s="138" t="e">
        <f>IF(VLOOKUP(CONCATENATE(H328,F328,DQ$2),Español!$A:$H,7,FALSE)=AE328,1,0)</f>
        <v>#N/A</v>
      </c>
      <c r="DR328" s="138" t="e">
        <f>IF(VLOOKUP(CONCATENATE(H328,F328,DR$2),Inglés!$A:$H,7,FALSE)=AF328,1,0)</f>
        <v>#N/A</v>
      </c>
      <c r="DS328" s="138" t="e">
        <f>IF(VLOOKUP(CONCATENATE(H328,F328,DS$2),Inglés!$A:$H,7,FALSE)=AG328,1,0)</f>
        <v>#N/A</v>
      </c>
      <c r="DT328" s="138" t="e">
        <f>IF(VLOOKUP(CONCATENATE(H328,F328,DT$2),Inglés!$A:$H,7,FALSE)=AH328,1,0)</f>
        <v>#N/A</v>
      </c>
      <c r="DU328" s="138" t="e">
        <f>IF(VLOOKUP(CONCATENATE(H328,F328,DU$2),Inglés!$A:$H,7,FALSE)=AI328,1,0)</f>
        <v>#N/A</v>
      </c>
      <c r="DV328" s="138" t="e">
        <f>IF(VLOOKUP(CONCATENATE(H328,F328,DV$2),Inglés!$A:$H,7,FALSE)=AJ328,1,0)</f>
        <v>#N/A</v>
      </c>
      <c r="DW328" s="138" t="e">
        <f>IF(VLOOKUP(CONCATENATE(H328,F328,DW$2),Inglés!$A:$H,7,FALSE)=AK328,1,0)</f>
        <v>#N/A</v>
      </c>
      <c r="DX328" s="138" t="e">
        <f>IF(VLOOKUP(CONCATENATE(H328,F328,DX$2),Inglés!$A:$H,7,FALSE)=AL328,1,0)</f>
        <v>#N/A</v>
      </c>
      <c r="DY328" s="138" t="e">
        <f>IF(VLOOKUP(CONCATENATE(H328,F328,DY$2),Inglés!$A:$H,7,FALSE)=AM328,1,0)</f>
        <v>#N/A</v>
      </c>
      <c r="DZ328" s="138" t="e">
        <f>IF(VLOOKUP(CONCATENATE(H328,F328,DZ$2),Inglés!$A:$H,7,FALSE)=AN328,1,0)</f>
        <v>#N/A</v>
      </c>
      <c r="EA328" s="138" t="e">
        <f>IF(VLOOKUP(CONCATENATE(H328,F328,EA$2),Inglés!$A:$H,7,FALSE)=AO328,1,0)</f>
        <v>#N/A</v>
      </c>
      <c r="EB328" s="138" t="e">
        <f>IF(VLOOKUP(CONCATENATE(H328,F328,EB$2),Matemáticas!$A:$H,7,FALSE)=AP328,1,0)</f>
        <v>#N/A</v>
      </c>
      <c r="EC328" s="138" t="e">
        <f>IF(VLOOKUP(CONCATENATE(H328,F328,EC$2),Matemáticas!$A:$H,7,FALSE)=AQ328,1,0)</f>
        <v>#N/A</v>
      </c>
      <c r="ED328" s="138" t="e">
        <f>IF(VLOOKUP(CONCATENATE(H328,F328,ED$2),Matemáticas!$A:$H,7,FALSE)=AR328,1,0)</f>
        <v>#N/A</v>
      </c>
      <c r="EE328" s="138" t="e">
        <f>IF(VLOOKUP(CONCATENATE(H328,F328,EE$2),Matemáticas!$A:$H,7,FALSE)=AS328,1,0)</f>
        <v>#N/A</v>
      </c>
      <c r="EF328" s="138" t="e">
        <f>IF(VLOOKUP(CONCATENATE(H328,F328,EF$2),Matemáticas!$A:$H,7,FALSE)=AT328,1,0)</f>
        <v>#N/A</v>
      </c>
      <c r="EG328" s="138" t="e">
        <f>IF(VLOOKUP(CONCATENATE(H328,F328,EG$2),Matemáticas!$A:$H,7,FALSE)=AU328,1,0)</f>
        <v>#N/A</v>
      </c>
      <c r="EH328" s="138" t="e">
        <f>IF(VLOOKUP(CONCATENATE(H328,F328,EH$2),Matemáticas!$A:$H,7,FALSE)=AV328,1,0)</f>
        <v>#N/A</v>
      </c>
      <c r="EI328" s="138" t="e">
        <f>IF(VLOOKUP(CONCATENATE(H328,F328,EI$2),Matemáticas!$A:$H,7,FALSE)=AW328,1,0)</f>
        <v>#N/A</v>
      </c>
      <c r="EJ328" s="138" t="e">
        <f>IF(VLOOKUP(CONCATENATE(H328,F328,EJ$2),Matemáticas!$A:$H,7,FALSE)=AX328,1,0)</f>
        <v>#N/A</v>
      </c>
      <c r="EK328" s="138" t="e">
        <f>IF(VLOOKUP(CONCATENATE(H328,F328,EK$2),Matemáticas!$A:$H,7,FALSE)=AY328,1,0)</f>
        <v>#N/A</v>
      </c>
      <c r="EL328" s="138" t="e">
        <f>IF(VLOOKUP(CONCATENATE(H328,F328,EL$2),Matemáticas!$A:$H,7,FALSE)=AZ328,1,0)</f>
        <v>#N/A</v>
      </c>
      <c r="EM328" s="138" t="e">
        <f>IF(VLOOKUP(CONCATENATE(H328,F328,EM$2),Matemáticas!$A:$H,7,FALSE)=BA328,1,0)</f>
        <v>#N/A</v>
      </c>
      <c r="EN328" s="138" t="e">
        <f>IF(VLOOKUP(CONCATENATE(H328,F328,EN$2),Matemáticas!$A:$H,7,FALSE)=BB328,1,0)</f>
        <v>#N/A</v>
      </c>
      <c r="EO328" s="138" t="e">
        <f>IF(VLOOKUP(CONCATENATE(H328,F328,EO$2),Matemáticas!$A:$H,7,FALSE)=BC328,1,0)</f>
        <v>#N/A</v>
      </c>
      <c r="EP328" s="138" t="e">
        <f>IF(VLOOKUP(CONCATENATE(H328,F328,EP$2),Matemáticas!$A:$H,7,FALSE)=BD328,1,0)</f>
        <v>#N/A</v>
      </c>
      <c r="EQ328" s="138" t="e">
        <f>IF(VLOOKUP(CONCATENATE(H328,F328,EQ$2),Matemáticas!$A:$H,7,FALSE)=BE328,1,0)</f>
        <v>#N/A</v>
      </c>
      <c r="ER328" s="138" t="e">
        <f>IF(VLOOKUP(CONCATENATE(H328,F328,ER$2),Matemáticas!$A:$H,7,FALSE)=BF328,1,0)</f>
        <v>#N/A</v>
      </c>
      <c r="ES328" s="138" t="e">
        <f>IF(VLOOKUP(CONCATENATE(H328,F328,ES$2),Matemáticas!$A:$H,7,FALSE)=BG328,1,0)</f>
        <v>#N/A</v>
      </c>
      <c r="ET328" s="138" t="e">
        <f>IF(VLOOKUP(CONCATENATE(H328,F328,ET$2),Matemáticas!$A:$H,7,FALSE)=BH328,1,0)</f>
        <v>#N/A</v>
      </c>
      <c r="EU328" s="138" t="e">
        <f>IF(VLOOKUP(CONCATENATE(H328,F328,EU$2),Matemáticas!$A:$H,7,FALSE)=BI328,1,0)</f>
        <v>#N/A</v>
      </c>
      <c r="EV328" s="138" t="e">
        <f>IF(VLOOKUP(CONCATENATE(H328,F328,EV$2),Ciencias!$A:$H,7,FALSE)=BJ328,1,0)</f>
        <v>#N/A</v>
      </c>
      <c r="EW328" s="138" t="e">
        <f>IF(VLOOKUP(CONCATENATE(H328,F328,EW$2),Ciencias!$A:$H,7,FALSE)=BK328,1,0)</f>
        <v>#N/A</v>
      </c>
      <c r="EX328" s="138" t="e">
        <f>IF(VLOOKUP(CONCATENATE(H328,F328,EX$2),Ciencias!$A:$H,7,FALSE)=BL328,1,0)</f>
        <v>#N/A</v>
      </c>
      <c r="EY328" s="138" t="e">
        <f>IF(VLOOKUP(CONCATENATE(H328,F328,EY$2),Ciencias!$A:$H,7,FALSE)=BM328,1,0)</f>
        <v>#N/A</v>
      </c>
      <c r="EZ328" s="138" t="e">
        <f>IF(VLOOKUP(CONCATENATE(H328,F328,EZ$2),Ciencias!$A:$H,7,FALSE)=BN328,1,0)</f>
        <v>#N/A</v>
      </c>
      <c r="FA328" s="138" t="e">
        <f>IF(VLOOKUP(CONCATENATE(H328,F328,FA$2),Ciencias!$A:$H,7,FALSE)=BO328,1,0)</f>
        <v>#N/A</v>
      </c>
      <c r="FB328" s="138" t="e">
        <f>IF(VLOOKUP(CONCATENATE(H328,F328,FB$2),Ciencias!$A:$H,7,FALSE)=BP328,1,0)</f>
        <v>#N/A</v>
      </c>
      <c r="FC328" s="138" t="e">
        <f>IF(VLOOKUP(CONCATENATE(H328,F328,FC$2),Ciencias!$A:$H,7,FALSE)=BQ328,1,0)</f>
        <v>#N/A</v>
      </c>
      <c r="FD328" s="138" t="e">
        <f>IF(VLOOKUP(CONCATENATE(H328,F328,FD$2),Ciencias!$A:$H,7,FALSE)=BR328,1,0)</f>
        <v>#N/A</v>
      </c>
      <c r="FE328" s="138" t="e">
        <f>IF(VLOOKUP(CONCATENATE(H328,F328,FE$2),Ciencias!$A:$H,7,FALSE)=BS328,1,0)</f>
        <v>#N/A</v>
      </c>
      <c r="FF328" s="138" t="e">
        <f>IF(VLOOKUP(CONCATENATE(H328,F328,FF$2),Ciencias!$A:$H,7,FALSE)=BT328,1,0)</f>
        <v>#N/A</v>
      </c>
      <c r="FG328" s="138" t="e">
        <f>IF(VLOOKUP(CONCATENATE(H328,F328,FG$2),Ciencias!$A:$H,7,FALSE)=BU328,1,0)</f>
        <v>#N/A</v>
      </c>
      <c r="FH328" s="138" t="e">
        <f>IF(VLOOKUP(CONCATENATE(H328,F328,FH$2),Ciencias!$A:$H,7,FALSE)=BV328,1,0)</f>
        <v>#N/A</v>
      </c>
      <c r="FI328" s="138" t="e">
        <f>IF(VLOOKUP(CONCATENATE(H328,F328,FI$2),Ciencias!$A:$H,7,FALSE)=BW328,1,0)</f>
        <v>#N/A</v>
      </c>
      <c r="FJ328" s="138" t="e">
        <f>IF(VLOOKUP(CONCATENATE(H328,F328,FJ$2),Ciencias!$A:$H,7,FALSE)=BX328,1,0)</f>
        <v>#N/A</v>
      </c>
      <c r="FK328" s="138" t="e">
        <f>IF(VLOOKUP(CONCATENATE(H328,F328,FK$2),Ciencias!$A:$H,7,FALSE)=BY328,1,0)</f>
        <v>#N/A</v>
      </c>
      <c r="FL328" s="138" t="e">
        <f>IF(VLOOKUP(CONCATENATE(H328,F328,FL$2),Ciencias!$A:$H,7,FALSE)=BZ328,1,0)</f>
        <v>#N/A</v>
      </c>
      <c r="FM328" s="138" t="e">
        <f>IF(VLOOKUP(CONCATENATE(H328,F328,FM$2),Ciencias!$A:$H,7,FALSE)=CA328,1,0)</f>
        <v>#N/A</v>
      </c>
      <c r="FN328" s="138" t="e">
        <f>IF(VLOOKUP(CONCATENATE(H328,F328,FN$2),Ciencias!$A:$H,7,FALSE)=CB328,1,0)</f>
        <v>#N/A</v>
      </c>
      <c r="FO328" s="138" t="e">
        <f>IF(VLOOKUP(CONCATENATE(H328,F328,FO$2),Ciencias!$A:$H,7,FALSE)=CC328,1,0)</f>
        <v>#N/A</v>
      </c>
      <c r="FP328" s="138" t="e">
        <f>IF(VLOOKUP(CONCATENATE(H328,F328,FP$2),GeoHis!$A:$H,7,FALSE)=CD328,1,0)</f>
        <v>#N/A</v>
      </c>
      <c r="FQ328" s="138" t="e">
        <f>IF(VLOOKUP(CONCATENATE(H328,F328,FQ$2),GeoHis!$A:$H,7,FALSE)=CE328,1,0)</f>
        <v>#N/A</v>
      </c>
      <c r="FR328" s="138" t="e">
        <f>IF(VLOOKUP(CONCATENATE(H328,F328,FR$2),GeoHis!$A:$H,7,FALSE)=CF328,1,0)</f>
        <v>#N/A</v>
      </c>
      <c r="FS328" s="138" t="e">
        <f>IF(VLOOKUP(CONCATENATE(H328,F328,FS$2),GeoHis!$A:$H,7,FALSE)=CG328,1,0)</f>
        <v>#N/A</v>
      </c>
      <c r="FT328" s="138" t="e">
        <f>IF(VLOOKUP(CONCATENATE(H328,F328,FT$2),GeoHis!$A:$H,7,FALSE)=CH328,1,0)</f>
        <v>#N/A</v>
      </c>
      <c r="FU328" s="138" t="e">
        <f>IF(VLOOKUP(CONCATENATE(H328,F328,FU$2),GeoHis!$A:$H,7,FALSE)=CI328,1,0)</f>
        <v>#N/A</v>
      </c>
      <c r="FV328" s="138" t="e">
        <f>IF(VLOOKUP(CONCATENATE(H328,F328,FV$2),GeoHis!$A:$H,7,FALSE)=CJ328,1,0)</f>
        <v>#N/A</v>
      </c>
      <c r="FW328" s="138" t="e">
        <f>IF(VLOOKUP(CONCATENATE(H328,F328,FW$2),GeoHis!$A:$H,7,FALSE)=CK328,1,0)</f>
        <v>#N/A</v>
      </c>
      <c r="FX328" s="138" t="e">
        <f>IF(VLOOKUP(CONCATENATE(H328,F328,FX$2),GeoHis!$A:$H,7,FALSE)=CL328,1,0)</f>
        <v>#N/A</v>
      </c>
      <c r="FY328" s="138" t="e">
        <f>IF(VLOOKUP(CONCATENATE(H328,F328,FY$2),GeoHis!$A:$H,7,FALSE)=CM328,1,0)</f>
        <v>#N/A</v>
      </c>
      <c r="FZ328" s="138" t="e">
        <f>IF(VLOOKUP(CONCATENATE(H328,F328,FZ$2),GeoHis!$A:$H,7,FALSE)=CN328,1,0)</f>
        <v>#N/A</v>
      </c>
      <c r="GA328" s="138" t="e">
        <f>IF(VLOOKUP(CONCATENATE(H328,F328,GA$2),GeoHis!$A:$H,7,FALSE)=CO328,1,0)</f>
        <v>#N/A</v>
      </c>
      <c r="GB328" s="138" t="e">
        <f>IF(VLOOKUP(CONCATENATE(H328,F328,GB$2),GeoHis!$A:$H,7,FALSE)=CP328,1,0)</f>
        <v>#N/A</v>
      </c>
      <c r="GC328" s="138" t="e">
        <f>IF(VLOOKUP(CONCATENATE(H328,F328,GC$2),GeoHis!$A:$H,7,FALSE)=CQ328,1,0)</f>
        <v>#N/A</v>
      </c>
      <c r="GD328" s="138" t="e">
        <f>IF(VLOOKUP(CONCATENATE(H328,F328,GD$2),GeoHis!$A:$H,7,FALSE)=CR328,1,0)</f>
        <v>#N/A</v>
      </c>
      <c r="GE328" s="135" t="str">
        <f t="shared" si="47"/>
        <v/>
      </c>
    </row>
    <row r="329" spans="1:187" x14ac:dyDescent="0.25">
      <c r="A329" s="127" t="str">
        <f>IF(C329="","",'Datos Generales'!$A$25)</f>
        <v/>
      </c>
      <c r="D329" s="126" t="str">
        <f t="shared" si="40"/>
        <v/>
      </c>
      <c r="E329" s="126">
        <f t="shared" si="41"/>
        <v>0</v>
      </c>
      <c r="F329" s="126" t="str">
        <f t="shared" si="42"/>
        <v/>
      </c>
      <c r="G329" s="126" t="str">
        <f>IF(C329="","",'Datos Generales'!$D$19)</f>
        <v/>
      </c>
      <c r="H329" s="21" t="str">
        <f>IF(C329="","",'Datos Generales'!$A$19)</f>
        <v/>
      </c>
      <c r="I329" s="126" t="str">
        <f>IF(C329="","",'Datos Generales'!$A$7)</f>
        <v/>
      </c>
      <c r="J329" s="21" t="str">
        <f>IF(C329="","",'Datos Generales'!$A$13)</f>
        <v/>
      </c>
      <c r="K329" s="21" t="str">
        <f>IF(C329="","",'Datos Generales'!$A$10)</f>
        <v/>
      </c>
      <c r="CS329" s="142" t="str">
        <f t="shared" si="43"/>
        <v/>
      </c>
      <c r="CT329" s="142" t="str">
        <f t="shared" si="44"/>
        <v/>
      </c>
      <c r="CU329" s="142" t="str">
        <f t="shared" si="45"/>
        <v/>
      </c>
      <c r="CV329" s="142" t="str">
        <f t="shared" si="46"/>
        <v/>
      </c>
      <c r="CW329" s="142" t="str">
        <f>IF(C329="","",IF('Datos Generales'!$A$19=1,AVERAGE(FP329:GD329),AVERAGE(Captura!FP329:FY329)))</f>
        <v/>
      </c>
      <c r="CX329" s="138" t="e">
        <f>IF(VLOOKUP(CONCATENATE($H$4,$F$4,CX$2),Español!$A:$H,7,FALSE)=L329,1,0)</f>
        <v>#N/A</v>
      </c>
      <c r="CY329" s="138" t="e">
        <f>IF(VLOOKUP(CONCATENATE(H329,F329,CY$2),Español!$A:$H,7,FALSE)=M329,1,0)</f>
        <v>#N/A</v>
      </c>
      <c r="CZ329" s="138" t="e">
        <f>IF(VLOOKUP(CONCATENATE(H329,F329,CZ$2),Español!$A:$H,7,FALSE)=N329,1,0)</f>
        <v>#N/A</v>
      </c>
      <c r="DA329" s="138" t="e">
        <f>IF(VLOOKUP(CONCATENATE(H329,F329,DA$2),Español!$A:$H,7,FALSE)=O329,1,0)</f>
        <v>#N/A</v>
      </c>
      <c r="DB329" s="138" t="e">
        <f>IF(VLOOKUP(CONCATENATE(H329,F329,DB$2),Español!$A:$H,7,FALSE)=P329,1,0)</f>
        <v>#N/A</v>
      </c>
      <c r="DC329" s="138" t="e">
        <f>IF(VLOOKUP(CONCATENATE(H329,F329,DC$2),Español!$A:$H,7,FALSE)=Q329,1,0)</f>
        <v>#N/A</v>
      </c>
      <c r="DD329" s="138" t="e">
        <f>IF(VLOOKUP(CONCATENATE(H329,F329,DD$2),Español!$A:$H,7,FALSE)=R329,1,0)</f>
        <v>#N/A</v>
      </c>
      <c r="DE329" s="138" t="e">
        <f>IF(VLOOKUP(CONCATENATE(H329,F329,DE$2),Español!$A:$H,7,FALSE)=S329,1,0)</f>
        <v>#N/A</v>
      </c>
      <c r="DF329" s="138" t="e">
        <f>IF(VLOOKUP(CONCATENATE(H329,F329,DF$2),Español!$A:$H,7,FALSE)=T329,1,0)</f>
        <v>#N/A</v>
      </c>
      <c r="DG329" s="138" t="e">
        <f>IF(VLOOKUP(CONCATENATE(H329,F329,DG$2),Español!$A:$H,7,FALSE)=U329,1,0)</f>
        <v>#N/A</v>
      </c>
      <c r="DH329" s="138" t="e">
        <f>IF(VLOOKUP(CONCATENATE(H329,F329,DH$2),Español!$A:$H,7,FALSE)=V329,1,0)</f>
        <v>#N/A</v>
      </c>
      <c r="DI329" s="138" t="e">
        <f>IF(VLOOKUP(CONCATENATE(H329,F329,DI$2),Español!$A:$H,7,FALSE)=W329,1,0)</f>
        <v>#N/A</v>
      </c>
      <c r="DJ329" s="138" t="e">
        <f>IF(VLOOKUP(CONCATENATE(H329,F329,DJ$2),Español!$A:$H,7,FALSE)=X329,1,0)</f>
        <v>#N/A</v>
      </c>
      <c r="DK329" s="138" t="e">
        <f>IF(VLOOKUP(CONCATENATE(H329,F329,DK$2),Español!$A:$H,7,FALSE)=Y329,1,0)</f>
        <v>#N/A</v>
      </c>
      <c r="DL329" s="138" t="e">
        <f>IF(VLOOKUP(CONCATENATE(H329,F329,DL$2),Español!$A:$H,7,FALSE)=Z329,1,0)</f>
        <v>#N/A</v>
      </c>
      <c r="DM329" s="138" t="e">
        <f>IF(VLOOKUP(CONCATENATE(H329,F329,DM$2),Español!$A:$H,7,FALSE)=AA329,1,0)</f>
        <v>#N/A</v>
      </c>
      <c r="DN329" s="138" t="e">
        <f>IF(VLOOKUP(CONCATENATE(H329,F329,DN$2),Español!$A:$H,7,FALSE)=AB329,1,0)</f>
        <v>#N/A</v>
      </c>
      <c r="DO329" s="138" t="e">
        <f>IF(VLOOKUP(CONCATENATE(H329,F329,DO$2),Español!$A:$H,7,FALSE)=AC329,1,0)</f>
        <v>#N/A</v>
      </c>
      <c r="DP329" s="138" t="e">
        <f>IF(VLOOKUP(CONCATENATE(H329,F329,DP$2),Español!$A:$H,7,FALSE)=AD329,1,0)</f>
        <v>#N/A</v>
      </c>
      <c r="DQ329" s="138" t="e">
        <f>IF(VLOOKUP(CONCATENATE(H329,F329,DQ$2),Español!$A:$H,7,FALSE)=AE329,1,0)</f>
        <v>#N/A</v>
      </c>
      <c r="DR329" s="138" t="e">
        <f>IF(VLOOKUP(CONCATENATE(H329,F329,DR$2),Inglés!$A:$H,7,FALSE)=AF329,1,0)</f>
        <v>#N/A</v>
      </c>
      <c r="DS329" s="138" t="e">
        <f>IF(VLOOKUP(CONCATENATE(H329,F329,DS$2),Inglés!$A:$H,7,FALSE)=AG329,1,0)</f>
        <v>#N/A</v>
      </c>
      <c r="DT329" s="138" t="e">
        <f>IF(VLOOKUP(CONCATENATE(H329,F329,DT$2),Inglés!$A:$H,7,FALSE)=AH329,1,0)</f>
        <v>#N/A</v>
      </c>
      <c r="DU329" s="138" t="e">
        <f>IF(VLOOKUP(CONCATENATE(H329,F329,DU$2),Inglés!$A:$H,7,FALSE)=AI329,1,0)</f>
        <v>#N/A</v>
      </c>
      <c r="DV329" s="138" t="e">
        <f>IF(VLOOKUP(CONCATENATE(H329,F329,DV$2),Inglés!$A:$H,7,FALSE)=AJ329,1,0)</f>
        <v>#N/A</v>
      </c>
      <c r="DW329" s="138" t="e">
        <f>IF(VLOOKUP(CONCATENATE(H329,F329,DW$2),Inglés!$A:$H,7,FALSE)=AK329,1,0)</f>
        <v>#N/A</v>
      </c>
      <c r="DX329" s="138" t="e">
        <f>IF(VLOOKUP(CONCATENATE(H329,F329,DX$2),Inglés!$A:$H,7,FALSE)=AL329,1,0)</f>
        <v>#N/A</v>
      </c>
      <c r="DY329" s="138" t="e">
        <f>IF(VLOOKUP(CONCATENATE(H329,F329,DY$2),Inglés!$A:$H,7,FALSE)=AM329,1,0)</f>
        <v>#N/A</v>
      </c>
      <c r="DZ329" s="138" t="e">
        <f>IF(VLOOKUP(CONCATENATE(H329,F329,DZ$2),Inglés!$A:$H,7,FALSE)=AN329,1,0)</f>
        <v>#N/A</v>
      </c>
      <c r="EA329" s="138" t="e">
        <f>IF(VLOOKUP(CONCATENATE(H329,F329,EA$2),Inglés!$A:$H,7,FALSE)=AO329,1,0)</f>
        <v>#N/A</v>
      </c>
      <c r="EB329" s="138" t="e">
        <f>IF(VLOOKUP(CONCATENATE(H329,F329,EB$2),Matemáticas!$A:$H,7,FALSE)=AP329,1,0)</f>
        <v>#N/A</v>
      </c>
      <c r="EC329" s="138" t="e">
        <f>IF(VLOOKUP(CONCATENATE(H329,F329,EC$2),Matemáticas!$A:$H,7,FALSE)=AQ329,1,0)</f>
        <v>#N/A</v>
      </c>
      <c r="ED329" s="138" t="e">
        <f>IF(VLOOKUP(CONCATENATE(H329,F329,ED$2),Matemáticas!$A:$H,7,FALSE)=AR329,1,0)</f>
        <v>#N/A</v>
      </c>
      <c r="EE329" s="138" t="e">
        <f>IF(VLOOKUP(CONCATENATE(H329,F329,EE$2),Matemáticas!$A:$H,7,FALSE)=AS329,1,0)</f>
        <v>#N/A</v>
      </c>
      <c r="EF329" s="138" t="e">
        <f>IF(VLOOKUP(CONCATENATE(H329,F329,EF$2),Matemáticas!$A:$H,7,FALSE)=AT329,1,0)</f>
        <v>#N/A</v>
      </c>
      <c r="EG329" s="138" t="e">
        <f>IF(VLOOKUP(CONCATENATE(H329,F329,EG$2),Matemáticas!$A:$H,7,FALSE)=AU329,1,0)</f>
        <v>#N/A</v>
      </c>
      <c r="EH329" s="138" t="e">
        <f>IF(VLOOKUP(CONCATENATE(H329,F329,EH$2),Matemáticas!$A:$H,7,FALSE)=AV329,1,0)</f>
        <v>#N/A</v>
      </c>
      <c r="EI329" s="138" t="e">
        <f>IF(VLOOKUP(CONCATENATE(H329,F329,EI$2),Matemáticas!$A:$H,7,FALSE)=AW329,1,0)</f>
        <v>#N/A</v>
      </c>
      <c r="EJ329" s="138" t="e">
        <f>IF(VLOOKUP(CONCATENATE(H329,F329,EJ$2),Matemáticas!$A:$H,7,FALSE)=AX329,1,0)</f>
        <v>#N/A</v>
      </c>
      <c r="EK329" s="138" t="e">
        <f>IF(VLOOKUP(CONCATENATE(H329,F329,EK$2),Matemáticas!$A:$H,7,FALSE)=AY329,1,0)</f>
        <v>#N/A</v>
      </c>
      <c r="EL329" s="138" t="e">
        <f>IF(VLOOKUP(CONCATENATE(H329,F329,EL$2),Matemáticas!$A:$H,7,FALSE)=AZ329,1,0)</f>
        <v>#N/A</v>
      </c>
      <c r="EM329" s="138" t="e">
        <f>IF(VLOOKUP(CONCATENATE(H329,F329,EM$2),Matemáticas!$A:$H,7,FALSE)=BA329,1,0)</f>
        <v>#N/A</v>
      </c>
      <c r="EN329" s="138" t="e">
        <f>IF(VLOOKUP(CONCATENATE(H329,F329,EN$2),Matemáticas!$A:$H,7,FALSE)=BB329,1,0)</f>
        <v>#N/A</v>
      </c>
      <c r="EO329" s="138" t="e">
        <f>IF(VLOOKUP(CONCATENATE(H329,F329,EO$2),Matemáticas!$A:$H,7,FALSE)=BC329,1,0)</f>
        <v>#N/A</v>
      </c>
      <c r="EP329" s="138" t="e">
        <f>IF(VLOOKUP(CONCATENATE(H329,F329,EP$2),Matemáticas!$A:$H,7,FALSE)=BD329,1,0)</f>
        <v>#N/A</v>
      </c>
      <c r="EQ329" s="138" t="e">
        <f>IF(VLOOKUP(CONCATENATE(H329,F329,EQ$2),Matemáticas!$A:$H,7,FALSE)=BE329,1,0)</f>
        <v>#N/A</v>
      </c>
      <c r="ER329" s="138" t="e">
        <f>IF(VLOOKUP(CONCATENATE(H329,F329,ER$2),Matemáticas!$A:$H,7,FALSE)=BF329,1,0)</f>
        <v>#N/A</v>
      </c>
      <c r="ES329" s="138" t="e">
        <f>IF(VLOOKUP(CONCATENATE(H329,F329,ES$2),Matemáticas!$A:$H,7,FALSE)=BG329,1,0)</f>
        <v>#N/A</v>
      </c>
      <c r="ET329" s="138" t="e">
        <f>IF(VLOOKUP(CONCATENATE(H329,F329,ET$2),Matemáticas!$A:$H,7,FALSE)=BH329,1,0)</f>
        <v>#N/A</v>
      </c>
      <c r="EU329" s="138" t="e">
        <f>IF(VLOOKUP(CONCATENATE(H329,F329,EU$2),Matemáticas!$A:$H,7,FALSE)=BI329,1,0)</f>
        <v>#N/A</v>
      </c>
      <c r="EV329" s="138" t="e">
        <f>IF(VLOOKUP(CONCATENATE(H329,F329,EV$2),Ciencias!$A:$H,7,FALSE)=BJ329,1,0)</f>
        <v>#N/A</v>
      </c>
      <c r="EW329" s="138" t="e">
        <f>IF(VLOOKUP(CONCATENATE(H329,F329,EW$2),Ciencias!$A:$H,7,FALSE)=BK329,1,0)</f>
        <v>#N/A</v>
      </c>
      <c r="EX329" s="138" t="e">
        <f>IF(VLOOKUP(CONCATENATE(H329,F329,EX$2),Ciencias!$A:$H,7,FALSE)=BL329,1,0)</f>
        <v>#N/A</v>
      </c>
      <c r="EY329" s="138" t="e">
        <f>IF(VLOOKUP(CONCATENATE(H329,F329,EY$2),Ciencias!$A:$H,7,FALSE)=BM329,1,0)</f>
        <v>#N/A</v>
      </c>
      <c r="EZ329" s="138" t="e">
        <f>IF(VLOOKUP(CONCATENATE(H329,F329,EZ$2),Ciencias!$A:$H,7,FALSE)=BN329,1,0)</f>
        <v>#N/A</v>
      </c>
      <c r="FA329" s="138" t="e">
        <f>IF(VLOOKUP(CONCATENATE(H329,F329,FA$2),Ciencias!$A:$H,7,FALSE)=BO329,1,0)</f>
        <v>#N/A</v>
      </c>
      <c r="FB329" s="138" t="e">
        <f>IF(VLOOKUP(CONCATENATE(H329,F329,FB$2),Ciencias!$A:$H,7,FALSE)=BP329,1,0)</f>
        <v>#N/A</v>
      </c>
      <c r="FC329" s="138" t="e">
        <f>IF(VLOOKUP(CONCATENATE(H329,F329,FC$2),Ciencias!$A:$H,7,FALSE)=BQ329,1,0)</f>
        <v>#N/A</v>
      </c>
      <c r="FD329" s="138" t="e">
        <f>IF(VLOOKUP(CONCATENATE(H329,F329,FD$2),Ciencias!$A:$H,7,FALSE)=BR329,1,0)</f>
        <v>#N/A</v>
      </c>
      <c r="FE329" s="138" t="e">
        <f>IF(VLOOKUP(CONCATENATE(H329,F329,FE$2),Ciencias!$A:$H,7,FALSE)=BS329,1,0)</f>
        <v>#N/A</v>
      </c>
      <c r="FF329" s="138" t="e">
        <f>IF(VLOOKUP(CONCATENATE(H329,F329,FF$2),Ciencias!$A:$H,7,FALSE)=BT329,1,0)</f>
        <v>#N/A</v>
      </c>
      <c r="FG329" s="138" t="e">
        <f>IF(VLOOKUP(CONCATENATE(H329,F329,FG$2),Ciencias!$A:$H,7,FALSE)=BU329,1,0)</f>
        <v>#N/A</v>
      </c>
      <c r="FH329" s="138" t="e">
        <f>IF(VLOOKUP(CONCATENATE(H329,F329,FH$2),Ciencias!$A:$H,7,FALSE)=BV329,1,0)</f>
        <v>#N/A</v>
      </c>
      <c r="FI329" s="138" t="e">
        <f>IF(VLOOKUP(CONCATENATE(H329,F329,FI$2),Ciencias!$A:$H,7,FALSE)=BW329,1,0)</f>
        <v>#N/A</v>
      </c>
      <c r="FJ329" s="138" t="e">
        <f>IF(VLOOKUP(CONCATENATE(H329,F329,FJ$2),Ciencias!$A:$H,7,FALSE)=BX329,1,0)</f>
        <v>#N/A</v>
      </c>
      <c r="FK329" s="138" t="e">
        <f>IF(VLOOKUP(CONCATENATE(H329,F329,FK$2),Ciencias!$A:$H,7,FALSE)=BY329,1,0)</f>
        <v>#N/A</v>
      </c>
      <c r="FL329" s="138" t="e">
        <f>IF(VLOOKUP(CONCATENATE(H329,F329,FL$2),Ciencias!$A:$H,7,FALSE)=BZ329,1,0)</f>
        <v>#N/A</v>
      </c>
      <c r="FM329" s="138" t="e">
        <f>IF(VLOOKUP(CONCATENATE(H329,F329,FM$2),Ciencias!$A:$H,7,FALSE)=CA329,1,0)</f>
        <v>#N/A</v>
      </c>
      <c r="FN329" s="138" t="e">
        <f>IF(VLOOKUP(CONCATENATE(H329,F329,FN$2),Ciencias!$A:$H,7,FALSE)=CB329,1,0)</f>
        <v>#N/A</v>
      </c>
      <c r="FO329" s="138" t="e">
        <f>IF(VLOOKUP(CONCATENATE(H329,F329,FO$2),Ciencias!$A:$H,7,FALSE)=CC329,1,0)</f>
        <v>#N/A</v>
      </c>
      <c r="FP329" s="138" t="e">
        <f>IF(VLOOKUP(CONCATENATE(H329,F329,FP$2),GeoHis!$A:$H,7,FALSE)=CD329,1,0)</f>
        <v>#N/A</v>
      </c>
      <c r="FQ329" s="138" t="e">
        <f>IF(VLOOKUP(CONCATENATE(H329,F329,FQ$2),GeoHis!$A:$H,7,FALSE)=CE329,1,0)</f>
        <v>#N/A</v>
      </c>
      <c r="FR329" s="138" t="e">
        <f>IF(VLOOKUP(CONCATENATE(H329,F329,FR$2),GeoHis!$A:$H,7,FALSE)=CF329,1,0)</f>
        <v>#N/A</v>
      </c>
      <c r="FS329" s="138" t="e">
        <f>IF(VLOOKUP(CONCATENATE(H329,F329,FS$2),GeoHis!$A:$H,7,FALSE)=CG329,1,0)</f>
        <v>#N/A</v>
      </c>
      <c r="FT329" s="138" t="e">
        <f>IF(VLOOKUP(CONCATENATE(H329,F329,FT$2),GeoHis!$A:$H,7,FALSE)=CH329,1,0)</f>
        <v>#N/A</v>
      </c>
      <c r="FU329" s="138" t="e">
        <f>IF(VLOOKUP(CONCATENATE(H329,F329,FU$2),GeoHis!$A:$H,7,FALSE)=CI329,1,0)</f>
        <v>#N/A</v>
      </c>
      <c r="FV329" s="138" t="e">
        <f>IF(VLOOKUP(CONCATENATE(H329,F329,FV$2),GeoHis!$A:$H,7,FALSE)=CJ329,1,0)</f>
        <v>#N/A</v>
      </c>
      <c r="FW329" s="138" t="e">
        <f>IF(VLOOKUP(CONCATENATE(H329,F329,FW$2),GeoHis!$A:$H,7,FALSE)=CK329,1,0)</f>
        <v>#N/A</v>
      </c>
      <c r="FX329" s="138" t="e">
        <f>IF(VLOOKUP(CONCATENATE(H329,F329,FX$2),GeoHis!$A:$H,7,FALSE)=CL329,1,0)</f>
        <v>#N/A</v>
      </c>
      <c r="FY329" s="138" t="e">
        <f>IF(VLOOKUP(CONCATENATE(H329,F329,FY$2),GeoHis!$A:$H,7,FALSE)=CM329,1,0)</f>
        <v>#N/A</v>
      </c>
      <c r="FZ329" s="138" t="e">
        <f>IF(VLOOKUP(CONCATENATE(H329,F329,FZ$2),GeoHis!$A:$H,7,FALSE)=CN329,1,0)</f>
        <v>#N/A</v>
      </c>
      <c r="GA329" s="138" t="e">
        <f>IF(VLOOKUP(CONCATENATE(H329,F329,GA$2),GeoHis!$A:$H,7,FALSE)=CO329,1,0)</f>
        <v>#N/A</v>
      </c>
      <c r="GB329" s="138" t="e">
        <f>IF(VLOOKUP(CONCATENATE(H329,F329,GB$2),GeoHis!$A:$H,7,FALSE)=CP329,1,0)</f>
        <v>#N/A</v>
      </c>
      <c r="GC329" s="138" t="e">
        <f>IF(VLOOKUP(CONCATENATE(H329,F329,GC$2),GeoHis!$A:$H,7,FALSE)=CQ329,1,0)</f>
        <v>#N/A</v>
      </c>
      <c r="GD329" s="138" t="e">
        <f>IF(VLOOKUP(CONCATENATE(H329,F329,GD$2),GeoHis!$A:$H,7,FALSE)=CR329,1,0)</f>
        <v>#N/A</v>
      </c>
      <c r="GE329" s="135" t="str">
        <f t="shared" si="47"/>
        <v/>
      </c>
    </row>
    <row r="330" spans="1:187" x14ac:dyDescent="0.25">
      <c r="A330" s="127" t="str">
        <f>IF(C330="","",'Datos Generales'!$A$25)</f>
        <v/>
      </c>
      <c r="D330" s="126" t="str">
        <f t="shared" si="40"/>
        <v/>
      </c>
      <c r="E330" s="126">
        <f t="shared" si="41"/>
        <v>0</v>
      </c>
      <c r="F330" s="126" t="str">
        <f t="shared" si="42"/>
        <v/>
      </c>
      <c r="G330" s="126" t="str">
        <f>IF(C330="","",'Datos Generales'!$D$19)</f>
        <v/>
      </c>
      <c r="H330" s="21" t="str">
        <f>IF(C330="","",'Datos Generales'!$A$19)</f>
        <v/>
      </c>
      <c r="I330" s="126" t="str">
        <f>IF(C330="","",'Datos Generales'!$A$7)</f>
        <v/>
      </c>
      <c r="J330" s="21" t="str">
        <f>IF(C330="","",'Datos Generales'!$A$13)</f>
        <v/>
      </c>
      <c r="K330" s="21" t="str">
        <f>IF(C330="","",'Datos Generales'!$A$10)</f>
        <v/>
      </c>
      <c r="CS330" s="142" t="str">
        <f t="shared" si="43"/>
        <v/>
      </c>
      <c r="CT330" s="142" t="str">
        <f t="shared" si="44"/>
        <v/>
      </c>
      <c r="CU330" s="142" t="str">
        <f t="shared" si="45"/>
        <v/>
      </c>
      <c r="CV330" s="142" t="str">
        <f t="shared" si="46"/>
        <v/>
      </c>
      <c r="CW330" s="142" t="str">
        <f>IF(C330="","",IF('Datos Generales'!$A$19=1,AVERAGE(FP330:GD330),AVERAGE(Captura!FP330:FY330)))</f>
        <v/>
      </c>
      <c r="CX330" s="138" t="e">
        <f>IF(VLOOKUP(CONCATENATE($H$4,$F$4,CX$2),Español!$A:$H,7,FALSE)=L330,1,0)</f>
        <v>#N/A</v>
      </c>
      <c r="CY330" s="138" t="e">
        <f>IF(VLOOKUP(CONCATENATE(H330,F330,CY$2),Español!$A:$H,7,FALSE)=M330,1,0)</f>
        <v>#N/A</v>
      </c>
      <c r="CZ330" s="138" t="e">
        <f>IF(VLOOKUP(CONCATENATE(H330,F330,CZ$2),Español!$A:$H,7,FALSE)=N330,1,0)</f>
        <v>#N/A</v>
      </c>
      <c r="DA330" s="138" t="e">
        <f>IF(VLOOKUP(CONCATENATE(H330,F330,DA$2),Español!$A:$H,7,FALSE)=O330,1,0)</f>
        <v>#N/A</v>
      </c>
      <c r="DB330" s="138" t="e">
        <f>IF(VLOOKUP(CONCATENATE(H330,F330,DB$2),Español!$A:$H,7,FALSE)=P330,1,0)</f>
        <v>#N/A</v>
      </c>
      <c r="DC330" s="138" t="e">
        <f>IF(VLOOKUP(CONCATENATE(H330,F330,DC$2),Español!$A:$H,7,FALSE)=Q330,1,0)</f>
        <v>#N/A</v>
      </c>
      <c r="DD330" s="138" t="e">
        <f>IF(VLOOKUP(CONCATENATE(H330,F330,DD$2),Español!$A:$H,7,FALSE)=R330,1,0)</f>
        <v>#N/A</v>
      </c>
      <c r="DE330" s="138" t="e">
        <f>IF(VLOOKUP(CONCATENATE(H330,F330,DE$2),Español!$A:$H,7,FALSE)=S330,1,0)</f>
        <v>#N/A</v>
      </c>
      <c r="DF330" s="138" t="e">
        <f>IF(VLOOKUP(CONCATENATE(H330,F330,DF$2),Español!$A:$H,7,FALSE)=T330,1,0)</f>
        <v>#N/A</v>
      </c>
      <c r="DG330" s="138" t="e">
        <f>IF(VLOOKUP(CONCATENATE(H330,F330,DG$2),Español!$A:$H,7,FALSE)=U330,1,0)</f>
        <v>#N/A</v>
      </c>
      <c r="DH330" s="138" t="e">
        <f>IF(VLOOKUP(CONCATENATE(H330,F330,DH$2),Español!$A:$H,7,FALSE)=V330,1,0)</f>
        <v>#N/A</v>
      </c>
      <c r="DI330" s="138" t="e">
        <f>IF(VLOOKUP(CONCATENATE(H330,F330,DI$2),Español!$A:$H,7,FALSE)=W330,1,0)</f>
        <v>#N/A</v>
      </c>
      <c r="DJ330" s="138" t="e">
        <f>IF(VLOOKUP(CONCATENATE(H330,F330,DJ$2),Español!$A:$H,7,FALSE)=X330,1,0)</f>
        <v>#N/A</v>
      </c>
      <c r="DK330" s="138" t="e">
        <f>IF(VLOOKUP(CONCATENATE(H330,F330,DK$2),Español!$A:$H,7,FALSE)=Y330,1,0)</f>
        <v>#N/A</v>
      </c>
      <c r="DL330" s="138" t="e">
        <f>IF(VLOOKUP(CONCATENATE(H330,F330,DL$2),Español!$A:$H,7,FALSE)=Z330,1,0)</f>
        <v>#N/A</v>
      </c>
      <c r="DM330" s="138" t="e">
        <f>IF(VLOOKUP(CONCATENATE(H330,F330,DM$2),Español!$A:$H,7,FALSE)=AA330,1,0)</f>
        <v>#N/A</v>
      </c>
      <c r="DN330" s="138" t="e">
        <f>IF(VLOOKUP(CONCATENATE(H330,F330,DN$2),Español!$A:$H,7,FALSE)=AB330,1,0)</f>
        <v>#N/A</v>
      </c>
      <c r="DO330" s="138" t="e">
        <f>IF(VLOOKUP(CONCATENATE(H330,F330,DO$2),Español!$A:$H,7,FALSE)=AC330,1,0)</f>
        <v>#N/A</v>
      </c>
      <c r="DP330" s="138" t="e">
        <f>IF(VLOOKUP(CONCATENATE(H330,F330,DP$2),Español!$A:$H,7,FALSE)=AD330,1,0)</f>
        <v>#N/A</v>
      </c>
      <c r="DQ330" s="138" t="e">
        <f>IF(VLOOKUP(CONCATENATE(H330,F330,DQ$2),Español!$A:$H,7,FALSE)=AE330,1,0)</f>
        <v>#N/A</v>
      </c>
      <c r="DR330" s="138" t="e">
        <f>IF(VLOOKUP(CONCATENATE(H330,F330,DR$2),Inglés!$A:$H,7,FALSE)=AF330,1,0)</f>
        <v>#N/A</v>
      </c>
      <c r="DS330" s="138" t="e">
        <f>IF(VLOOKUP(CONCATENATE(H330,F330,DS$2),Inglés!$A:$H,7,FALSE)=AG330,1,0)</f>
        <v>#N/A</v>
      </c>
      <c r="DT330" s="138" t="e">
        <f>IF(VLOOKUP(CONCATENATE(H330,F330,DT$2),Inglés!$A:$H,7,FALSE)=AH330,1,0)</f>
        <v>#N/A</v>
      </c>
      <c r="DU330" s="138" t="e">
        <f>IF(VLOOKUP(CONCATENATE(H330,F330,DU$2),Inglés!$A:$H,7,FALSE)=AI330,1,0)</f>
        <v>#N/A</v>
      </c>
      <c r="DV330" s="138" t="e">
        <f>IF(VLOOKUP(CONCATENATE(H330,F330,DV$2),Inglés!$A:$H,7,FALSE)=AJ330,1,0)</f>
        <v>#N/A</v>
      </c>
      <c r="DW330" s="138" t="e">
        <f>IF(VLOOKUP(CONCATENATE(H330,F330,DW$2),Inglés!$A:$H,7,FALSE)=AK330,1,0)</f>
        <v>#N/A</v>
      </c>
      <c r="DX330" s="138" t="e">
        <f>IF(VLOOKUP(CONCATENATE(H330,F330,DX$2),Inglés!$A:$H,7,FALSE)=AL330,1,0)</f>
        <v>#N/A</v>
      </c>
      <c r="DY330" s="138" t="e">
        <f>IF(VLOOKUP(CONCATENATE(H330,F330,DY$2),Inglés!$A:$H,7,FALSE)=AM330,1,0)</f>
        <v>#N/A</v>
      </c>
      <c r="DZ330" s="138" t="e">
        <f>IF(VLOOKUP(CONCATENATE(H330,F330,DZ$2),Inglés!$A:$H,7,FALSE)=AN330,1,0)</f>
        <v>#N/A</v>
      </c>
      <c r="EA330" s="138" t="e">
        <f>IF(VLOOKUP(CONCATENATE(H330,F330,EA$2),Inglés!$A:$H,7,FALSE)=AO330,1,0)</f>
        <v>#N/A</v>
      </c>
      <c r="EB330" s="138" t="e">
        <f>IF(VLOOKUP(CONCATENATE(H330,F330,EB$2),Matemáticas!$A:$H,7,FALSE)=AP330,1,0)</f>
        <v>#N/A</v>
      </c>
      <c r="EC330" s="138" t="e">
        <f>IF(VLOOKUP(CONCATENATE(H330,F330,EC$2),Matemáticas!$A:$H,7,FALSE)=AQ330,1,0)</f>
        <v>#N/A</v>
      </c>
      <c r="ED330" s="138" t="e">
        <f>IF(VLOOKUP(CONCATENATE(H330,F330,ED$2),Matemáticas!$A:$H,7,FALSE)=AR330,1,0)</f>
        <v>#N/A</v>
      </c>
      <c r="EE330" s="138" t="e">
        <f>IF(VLOOKUP(CONCATENATE(H330,F330,EE$2),Matemáticas!$A:$H,7,FALSE)=AS330,1,0)</f>
        <v>#N/A</v>
      </c>
      <c r="EF330" s="138" t="e">
        <f>IF(VLOOKUP(CONCATENATE(H330,F330,EF$2),Matemáticas!$A:$H,7,FALSE)=AT330,1,0)</f>
        <v>#N/A</v>
      </c>
      <c r="EG330" s="138" t="e">
        <f>IF(VLOOKUP(CONCATENATE(H330,F330,EG$2),Matemáticas!$A:$H,7,FALSE)=AU330,1,0)</f>
        <v>#N/A</v>
      </c>
      <c r="EH330" s="138" t="e">
        <f>IF(VLOOKUP(CONCATENATE(H330,F330,EH$2),Matemáticas!$A:$H,7,FALSE)=AV330,1,0)</f>
        <v>#N/A</v>
      </c>
      <c r="EI330" s="138" t="e">
        <f>IF(VLOOKUP(CONCATENATE(H330,F330,EI$2),Matemáticas!$A:$H,7,FALSE)=AW330,1,0)</f>
        <v>#N/A</v>
      </c>
      <c r="EJ330" s="138" t="e">
        <f>IF(VLOOKUP(CONCATENATE(H330,F330,EJ$2),Matemáticas!$A:$H,7,FALSE)=AX330,1,0)</f>
        <v>#N/A</v>
      </c>
      <c r="EK330" s="138" t="e">
        <f>IF(VLOOKUP(CONCATENATE(H330,F330,EK$2),Matemáticas!$A:$H,7,FALSE)=AY330,1,0)</f>
        <v>#N/A</v>
      </c>
      <c r="EL330" s="138" t="e">
        <f>IF(VLOOKUP(CONCATENATE(H330,F330,EL$2),Matemáticas!$A:$H,7,FALSE)=AZ330,1,0)</f>
        <v>#N/A</v>
      </c>
      <c r="EM330" s="138" t="e">
        <f>IF(VLOOKUP(CONCATENATE(H330,F330,EM$2),Matemáticas!$A:$H,7,FALSE)=BA330,1,0)</f>
        <v>#N/A</v>
      </c>
      <c r="EN330" s="138" t="e">
        <f>IF(VLOOKUP(CONCATENATE(H330,F330,EN$2),Matemáticas!$A:$H,7,FALSE)=BB330,1,0)</f>
        <v>#N/A</v>
      </c>
      <c r="EO330" s="138" t="e">
        <f>IF(VLOOKUP(CONCATENATE(H330,F330,EO$2),Matemáticas!$A:$H,7,FALSE)=BC330,1,0)</f>
        <v>#N/A</v>
      </c>
      <c r="EP330" s="138" t="e">
        <f>IF(VLOOKUP(CONCATENATE(H330,F330,EP$2),Matemáticas!$A:$H,7,FALSE)=BD330,1,0)</f>
        <v>#N/A</v>
      </c>
      <c r="EQ330" s="138" t="e">
        <f>IF(VLOOKUP(CONCATENATE(H330,F330,EQ$2),Matemáticas!$A:$H,7,FALSE)=BE330,1,0)</f>
        <v>#N/A</v>
      </c>
      <c r="ER330" s="138" t="e">
        <f>IF(VLOOKUP(CONCATENATE(H330,F330,ER$2),Matemáticas!$A:$H,7,FALSE)=BF330,1,0)</f>
        <v>#N/A</v>
      </c>
      <c r="ES330" s="138" t="e">
        <f>IF(VLOOKUP(CONCATENATE(H330,F330,ES$2),Matemáticas!$A:$H,7,FALSE)=BG330,1,0)</f>
        <v>#N/A</v>
      </c>
      <c r="ET330" s="138" t="e">
        <f>IF(VLOOKUP(CONCATENATE(H330,F330,ET$2),Matemáticas!$A:$H,7,FALSE)=BH330,1,0)</f>
        <v>#N/A</v>
      </c>
      <c r="EU330" s="138" t="e">
        <f>IF(VLOOKUP(CONCATENATE(H330,F330,EU$2),Matemáticas!$A:$H,7,FALSE)=BI330,1,0)</f>
        <v>#N/A</v>
      </c>
      <c r="EV330" s="138" t="e">
        <f>IF(VLOOKUP(CONCATENATE(H330,F330,EV$2),Ciencias!$A:$H,7,FALSE)=BJ330,1,0)</f>
        <v>#N/A</v>
      </c>
      <c r="EW330" s="138" t="e">
        <f>IF(VLOOKUP(CONCATENATE(H330,F330,EW$2),Ciencias!$A:$H,7,FALSE)=BK330,1,0)</f>
        <v>#N/A</v>
      </c>
      <c r="EX330" s="138" t="e">
        <f>IF(VLOOKUP(CONCATENATE(H330,F330,EX$2),Ciencias!$A:$H,7,FALSE)=BL330,1,0)</f>
        <v>#N/A</v>
      </c>
      <c r="EY330" s="138" t="e">
        <f>IF(VLOOKUP(CONCATENATE(H330,F330,EY$2),Ciencias!$A:$H,7,FALSE)=BM330,1,0)</f>
        <v>#N/A</v>
      </c>
      <c r="EZ330" s="138" t="e">
        <f>IF(VLOOKUP(CONCATENATE(H330,F330,EZ$2),Ciencias!$A:$H,7,FALSE)=BN330,1,0)</f>
        <v>#N/A</v>
      </c>
      <c r="FA330" s="138" t="e">
        <f>IF(VLOOKUP(CONCATENATE(H330,F330,FA$2),Ciencias!$A:$H,7,FALSE)=BO330,1,0)</f>
        <v>#N/A</v>
      </c>
      <c r="FB330" s="138" t="e">
        <f>IF(VLOOKUP(CONCATENATE(H330,F330,FB$2),Ciencias!$A:$H,7,FALSE)=BP330,1,0)</f>
        <v>#N/A</v>
      </c>
      <c r="FC330" s="138" t="e">
        <f>IF(VLOOKUP(CONCATENATE(H330,F330,FC$2),Ciencias!$A:$H,7,FALSE)=BQ330,1,0)</f>
        <v>#N/A</v>
      </c>
      <c r="FD330" s="138" t="e">
        <f>IF(VLOOKUP(CONCATENATE(H330,F330,FD$2),Ciencias!$A:$H,7,FALSE)=BR330,1,0)</f>
        <v>#N/A</v>
      </c>
      <c r="FE330" s="138" t="e">
        <f>IF(VLOOKUP(CONCATENATE(H330,F330,FE$2),Ciencias!$A:$H,7,FALSE)=BS330,1,0)</f>
        <v>#N/A</v>
      </c>
      <c r="FF330" s="138" t="e">
        <f>IF(VLOOKUP(CONCATENATE(H330,F330,FF$2),Ciencias!$A:$H,7,FALSE)=BT330,1,0)</f>
        <v>#N/A</v>
      </c>
      <c r="FG330" s="138" t="e">
        <f>IF(VLOOKUP(CONCATENATE(H330,F330,FG$2),Ciencias!$A:$H,7,FALSE)=BU330,1,0)</f>
        <v>#N/A</v>
      </c>
      <c r="FH330" s="138" t="e">
        <f>IF(VLOOKUP(CONCATENATE(H330,F330,FH$2),Ciencias!$A:$H,7,FALSE)=BV330,1,0)</f>
        <v>#N/A</v>
      </c>
      <c r="FI330" s="138" t="e">
        <f>IF(VLOOKUP(CONCATENATE(H330,F330,FI$2),Ciencias!$A:$H,7,FALSE)=BW330,1,0)</f>
        <v>#N/A</v>
      </c>
      <c r="FJ330" s="138" t="e">
        <f>IF(VLOOKUP(CONCATENATE(H330,F330,FJ$2),Ciencias!$A:$H,7,FALSE)=BX330,1,0)</f>
        <v>#N/A</v>
      </c>
      <c r="FK330" s="138" t="e">
        <f>IF(VLOOKUP(CONCATENATE(H330,F330,FK$2),Ciencias!$A:$H,7,FALSE)=BY330,1,0)</f>
        <v>#N/A</v>
      </c>
      <c r="FL330" s="138" t="e">
        <f>IF(VLOOKUP(CONCATENATE(H330,F330,FL$2),Ciencias!$A:$H,7,FALSE)=BZ330,1,0)</f>
        <v>#N/A</v>
      </c>
      <c r="FM330" s="138" t="e">
        <f>IF(VLOOKUP(CONCATENATE(H330,F330,FM$2),Ciencias!$A:$H,7,FALSE)=CA330,1,0)</f>
        <v>#N/A</v>
      </c>
      <c r="FN330" s="138" t="e">
        <f>IF(VLOOKUP(CONCATENATE(H330,F330,FN$2),Ciencias!$A:$H,7,FALSE)=CB330,1,0)</f>
        <v>#N/A</v>
      </c>
      <c r="FO330" s="138" t="e">
        <f>IF(VLOOKUP(CONCATENATE(H330,F330,FO$2),Ciencias!$A:$H,7,FALSE)=CC330,1,0)</f>
        <v>#N/A</v>
      </c>
      <c r="FP330" s="138" t="e">
        <f>IF(VLOOKUP(CONCATENATE(H330,F330,FP$2),GeoHis!$A:$H,7,FALSE)=CD330,1,0)</f>
        <v>#N/A</v>
      </c>
      <c r="FQ330" s="138" t="e">
        <f>IF(VLOOKUP(CONCATENATE(H330,F330,FQ$2),GeoHis!$A:$H,7,FALSE)=CE330,1,0)</f>
        <v>#N/A</v>
      </c>
      <c r="FR330" s="138" t="e">
        <f>IF(VLOOKUP(CONCATENATE(H330,F330,FR$2),GeoHis!$A:$H,7,FALSE)=CF330,1,0)</f>
        <v>#N/A</v>
      </c>
      <c r="FS330" s="138" t="e">
        <f>IF(VLOOKUP(CONCATENATE(H330,F330,FS$2),GeoHis!$A:$H,7,FALSE)=CG330,1,0)</f>
        <v>#N/A</v>
      </c>
      <c r="FT330" s="138" t="e">
        <f>IF(VLOOKUP(CONCATENATE(H330,F330,FT$2),GeoHis!$A:$H,7,FALSE)=CH330,1,0)</f>
        <v>#N/A</v>
      </c>
      <c r="FU330" s="138" t="e">
        <f>IF(VLOOKUP(CONCATENATE(H330,F330,FU$2),GeoHis!$A:$H,7,FALSE)=CI330,1,0)</f>
        <v>#N/A</v>
      </c>
      <c r="FV330" s="138" t="e">
        <f>IF(VLOOKUP(CONCATENATE(H330,F330,FV$2),GeoHis!$A:$H,7,FALSE)=CJ330,1,0)</f>
        <v>#N/A</v>
      </c>
      <c r="FW330" s="138" t="e">
        <f>IF(VLOOKUP(CONCATENATE(H330,F330,FW$2),GeoHis!$A:$H,7,FALSE)=CK330,1,0)</f>
        <v>#N/A</v>
      </c>
      <c r="FX330" s="138" t="e">
        <f>IF(VLOOKUP(CONCATENATE(H330,F330,FX$2),GeoHis!$A:$H,7,FALSE)=CL330,1,0)</f>
        <v>#N/A</v>
      </c>
      <c r="FY330" s="138" t="e">
        <f>IF(VLOOKUP(CONCATENATE(H330,F330,FY$2),GeoHis!$A:$H,7,FALSE)=CM330,1,0)</f>
        <v>#N/A</v>
      </c>
      <c r="FZ330" s="138" t="e">
        <f>IF(VLOOKUP(CONCATENATE(H330,F330,FZ$2),GeoHis!$A:$H,7,FALSE)=CN330,1,0)</f>
        <v>#N/A</v>
      </c>
      <c r="GA330" s="138" t="e">
        <f>IF(VLOOKUP(CONCATENATE(H330,F330,GA$2),GeoHis!$A:$H,7,FALSE)=CO330,1,0)</f>
        <v>#N/A</v>
      </c>
      <c r="GB330" s="138" t="e">
        <f>IF(VLOOKUP(CONCATENATE(H330,F330,GB$2),GeoHis!$A:$H,7,FALSE)=CP330,1,0)</f>
        <v>#N/A</v>
      </c>
      <c r="GC330" s="138" t="e">
        <f>IF(VLOOKUP(CONCATENATE(H330,F330,GC$2),GeoHis!$A:$H,7,FALSE)=CQ330,1,0)</f>
        <v>#N/A</v>
      </c>
      <c r="GD330" s="138" t="e">
        <f>IF(VLOOKUP(CONCATENATE(H330,F330,GD$2),GeoHis!$A:$H,7,FALSE)=CR330,1,0)</f>
        <v>#N/A</v>
      </c>
      <c r="GE330" s="135" t="str">
        <f t="shared" si="47"/>
        <v/>
      </c>
    </row>
    <row r="331" spans="1:187" x14ac:dyDescent="0.25">
      <c r="A331" s="127" t="str">
        <f>IF(C331="","",'Datos Generales'!$A$25)</f>
        <v/>
      </c>
      <c r="D331" s="126" t="str">
        <f t="shared" si="40"/>
        <v/>
      </c>
      <c r="E331" s="126">
        <f t="shared" si="41"/>
        <v>0</v>
      </c>
      <c r="F331" s="126" t="str">
        <f t="shared" si="42"/>
        <v/>
      </c>
      <c r="G331" s="126" t="str">
        <f>IF(C331="","",'Datos Generales'!$D$19)</f>
        <v/>
      </c>
      <c r="H331" s="21" t="str">
        <f>IF(C331="","",'Datos Generales'!$A$19)</f>
        <v/>
      </c>
      <c r="I331" s="126" t="str">
        <f>IF(C331="","",'Datos Generales'!$A$7)</f>
        <v/>
      </c>
      <c r="J331" s="21" t="str">
        <f>IF(C331="","",'Datos Generales'!$A$13)</f>
        <v/>
      </c>
      <c r="K331" s="21" t="str">
        <f>IF(C331="","",'Datos Generales'!$A$10)</f>
        <v/>
      </c>
      <c r="CS331" s="142" t="str">
        <f t="shared" si="43"/>
        <v/>
      </c>
      <c r="CT331" s="142" t="str">
        <f t="shared" si="44"/>
        <v/>
      </c>
      <c r="CU331" s="142" t="str">
        <f t="shared" si="45"/>
        <v/>
      </c>
      <c r="CV331" s="142" t="str">
        <f t="shared" si="46"/>
        <v/>
      </c>
      <c r="CW331" s="142" t="str">
        <f>IF(C331="","",IF('Datos Generales'!$A$19=1,AVERAGE(FP331:GD331),AVERAGE(Captura!FP331:FY331)))</f>
        <v/>
      </c>
      <c r="CX331" s="138" t="e">
        <f>IF(VLOOKUP(CONCATENATE($H$4,$F$4,CX$2),Español!$A:$H,7,FALSE)=L331,1,0)</f>
        <v>#N/A</v>
      </c>
      <c r="CY331" s="138" t="e">
        <f>IF(VLOOKUP(CONCATENATE(H331,F331,CY$2),Español!$A:$H,7,FALSE)=M331,1,0)</f>
        <v>#N/A</v>
      </c>
      <c r="CZ331" s="138" t="e">
        <f>IF(VLOOKUP(CONCATENATE(H331,F331,CZ$2),Español!$A:$H,7,FALSE)=N331,1,0)</f>
        <v>#N/A</v>
      </c>
      <c r="DA331" s="138" t="e">
        <f>IF(VLOOKUP(CONCATENATE(H331,F331,DA$2),Español!$A:$H,7,FALSE)=O331,1,0)</f>
        <v>#N/A</v>
      </c>
      <c r="DB331" s="138" t="e">
        <f>IF(VLOOKUP(CONCATENATE(H331,F331,DB$2),Español!$A:$H,7,FALSE)=P331,1,0)</f>
        <v>#N/A</v>
      </c>
      <c r="DC331" s="138" t="e">
        <f>IF(VLOOKUP(CONCATENATE(H331,F331,DC$2),Español!$A:$H,7,FALSE)=Q331,1,0)</f>
        <v>#N/A</v>
      </c>
      <c r="DD331" s="138" t="e">
        <f>IF(VLOOKUP(CONCATENATE(H331,F331,DD$2),Español!$A:$H,7,FALSE)=R331,1,0)</f>
        <v>#N/A</v>
      </c>
      <c r="DE331" s="138" t="e">
        <f>IF(VLOOKUP(CONCATENATE(H331,F331,DE$2),Español!$A:$H,7,FALSE)=S331,1,0)</f>
        <v>#N/A</v>
      </c>
      <c r="DF331" s="138" t="e">
        <f>IF(VLOOKUP(CONCATENATE(H331,F331,DF$2),Español!$A:$H,7,FALSE)=T331,1,0)</f>
        <v>#N/A</v>
      </c>
      <c r="DG331" s="138" t="e">
        <f>IF(VLOOKUP(CONCATENATE(H331,F331,DG$2),Español!$A:$H,7,FALSE)=U331,1,0)</f>
        <v>#N/A</v>
      </c>
      <c r="DH331" s="138" t="e">
        <f>IF(VLOOKUP(CONCATENATE(H331,F331,DH$2),Español!$A:$H,7,FALSE)=V331,1,0)</f>
        <v>#N/A</v>
      </c>
      <c r="DI331" s="138" t="e">
        <f>IF(VLOOKUP(CONCATENATE(H331,F331,DI$2),Español!$A:$H,7,FALSE)=W331,1,0)</f>
        <v>#N/A</v>
      </c>
      <c r="DJ331" s="138" t="e">
        <f>IF(VLOOKUP(CONCATENATE(H331,F331,DJ$2),Español!$A:$H,7,FALSE)=X331,1,0)</f>
        <v>#N/A</v>
      </c>
      <c r="DK331" s="138" t="e">
        <f>IF(VLOOKUP(CONCATENATE(H331,F331,DK$2),Español!$A:$H,7,FALSE)=Y331,1,0)</f>
        <v>#N/A</v>
      </c>
      <c r="DL331" s="138" t="e">
        <f>IF(VLOOKUP(CONCATENATE(H331,F331,DL$2),Español!$A:$H,7,FALSE)=Z331,1,0)</f>
        <v>#N/A</v>
      </c>
      <c r="DM331" s="138" t="e">
        <f>IF(VLOOKUP(CONCATENATE(H331,F331,DM$2),Español!$A:$H,7,FALSE)=AA331,1,0)</f>
        <v>#N/A</v>
      </c>
      <c r="DN331" s="138" t="e">
        <f>IF(VLOOKUP(CONCATENATE(H331,F331,DN$2),Español!$A:$H,7,FALSE)=AB331,1,0)</f>
        <v>#N/A</v>
      </c>
      <c r="DO331" s="138" t="e">
        <f>IF(VLOOKUP(CONCATENATE(H331,F331,DO$2),Español!$A:$H,7,FALSE)=AC331,1,0)</f>
        <v>#N/A</v>
      </c>
      <c r="DP331" s="138" t="e">
        <f>IF(VLOOKUP(CONCATENATE(H331,F331,DP$2),Español!$A:$H,7,FALSE)=AD331,1,0)</f>
        <v>#N/A</v>
      </c>
      <c r="DQ331" s="138" t="e">
        <f>IF(VLOOKUP(CONCATENATE(H331,F331,DQ$2),Español!$A:$H,7,FALSE)=AE331,1,0)</f>
        <v>#N/A</v>
      </c>
      <c r="DR331" s="138" t="e">
        <f>IF(VLOOKUP(CONCATENATE(H331,F331,DR$2),Inglés!$A:$H,7,FALSE)=AF331,1,0)</f>
        <v>#N/A</v>
      </c>
      <c r="DS331" s="138" t="e">
        <f>IF(VLOOKUP(CONCATENATE(H331,F331,DS$2),Inglés!$A:$H,7,FALSE)=AG331,1,0)</f>
        <v>#N/A</v>
      </c>
      <c r="DT331" s="138" t="e">
        <f>IF(VLOOKUP(CONCATENATE(H331,F331,DT$2),Inglés!$A:$H,7,FALSE)=AH331,1,0)</f>
        <v>#N/A</v>
      </c>
      <c r="DU331" s="138" t="e">
        <f>IF(VLOOKUP(CONCATENATE(H331,F331,DU$2),Inglés!$A:$H,7,FALSE)=AI331,1,0)</f>
        <v>#N/A</v>
      </c>
      <c r="DV331" s="138" t="e">
        <f>IF(VLOOKUP(CONCATENATE(H331,F331,DV$2),Inglés!$A:$H,7,FALSE)=AJ331,1,0)</f>
        <v>#N/A</v>
      </c>
      <c r="DW331" s="138" t="e">
        <f>IF(VLOOKUP(CONCATENATE(H331,F331,DW$2),Inglés!$A:$H,7,FALSE)=AK331,1,0)</f>
        <v>#N/A</v>
      </c>
      <c r="DX331" s="138" t="e">
        <f>IF(VLOOKUP(CONCATENATE(H331,F331,DX$2),Inglés!$A:$H,7,FALSE)=AL331,1,0)</f>
        <v>#N/A</v>
      </c>
      <c r="DY331" s="138" t="e">
        <f>IF(VLOOKUP(CONCATENATE(H331,F331,DY$2),Inglés!$A:$H,7,FALSE)=AM331,1,0)</f>
        <v>#N/A</v>
      </c>
      <c r="DZ331" s="138" t="e">
        <f>IF(VLOOKUP(CONCATENATE(H331,F331,DZ$2),Inglés!$A:$H,7,FALSE)=AN331,1,0)</f>
        <v>#N/A</v>
      </c>
      <c r="EA331" s="138" t="e">
        <f>IF(VLOOKUP(CONCATENATE(H331,F331,EA$2),Inglés!$A:$H,7,FALSE)=AO331,1,0)</f>
        <v>#N/A</v>
      </c>
      <c r="EB331" s="138" t="e">
        <f>IF(VLOOKUP(CONCATENATE(H331,F331,EB$2),Matemáticas!$A:$H,7,FALSE)=AP331,1,0)</f>
        <v>#N/A</v>
      </c>
      <c r="EC331" s="138" t="e">
        <f>IF(VLOOKUP(CONCATENATE(H331,F331,EC$2),Matemáticas!$A:$H,7,FALSE)=AQ331,1,0)</f>
        <v>#N/A</v>
      </c>
      <c r="ED331" s="138" t="e">
        <f>IF(VLOOKUP(CONCATENATE(H331,F331,ED$2),Matemáticas!$A:$H,7,FALSE)=AR331,1,0)</f>
        <v>#N/A</v>
      </c>
      <c r="EE331" s="138" t="e">
        <f>IF(VLOOKUP(CONCATENATE(H331,F331,EE$2),Matemáticas!$A:$H,7,FALSE)=AS331,1,0)</f>
        <v>#N/A</v>
      </c>
      <c r="EF331" s="138" t="e">
        <f>IF(VLOOKUP(CONCATENATE(H331,F331,EF$2),Matemáticas!$A:$H,7,FALSE)=AT331,1,0)</f>
        <v>#N/A</v>
      </c>
      <c r="EG331" s="138" t="e">
        <f>IF(VLOOKUP(CONCATENATE(H331,F331,EG$2),Matemáticas!$A:$H,7,FALSE)=AU331,1,0)</f>
        <v>#N/A</v>
      </c>
      <c r="EH331" s="138" t="e">
        <f>IF(VLOOKUP(CONCATENATE(H331,F331,EH$2),Matemáticas!$A:$H,7,FALSE)=AV331,1,0)</f>
        <v>#N/A</v>
      </c>
      <c r="EI331" s="138" t="e">
        <f>IF(VLOOKUP(CONCATENATE(H331,F331,EI$2),Matemáticas!$A:$H,7,FALSE)=AW331,1,0)</f>
        <v>#N/A</v>
      </c>
      <c r="EJ331" s="138" t="e">
        <f>IF(VLOOKUP(CONCATENATE(H331,F331,EJ$2),Matemáticas!$A:$H,7,FALSE)=AX331,1,0)</f>
        <v>#N/A</v>
      </c>
      <c r="EK331" s="138" t="e">
        <f>IF(VLOOKUP(CONCATENATE(H331,F331,EK$2),Matemáticas!$A:$H,7,FALSE)=AY331,1,0)</f>
        <v>#N/A</v>
      </c>
      <c r="EL331" s="138" t="e">
        <f>IF(VLOOKUP(CONCATENATE(H331,F331,EL$2),Matemáticas!$A:$H,7,FALSE)=AZ331,1,0)</f>
        <v>#N/A</v>
      </c>
      <c r="EM331" s="138" t="e">
        <f>IF(VLOOKUP(CONCATENATE(H331,F331,EM$2),Matemáticas!$A:$H,7,FALSE)=BA331,1,0)</f>
        <v>#N/A</v>
      </c>
      <c r="EN331" s="138" t="e">
        <f>IF(VLOOKUP(CONCATENATE(H331,F331,EN$2),Matemáticas!$A:$H,7,FALSE)=BB331,1,0)</f>
        <v>#N/A</v>
      </c>
      <c r="EO331" s="138" t="e">
        <f>IF(VLOOKUP(CONCATENATE(H331,F331,EO$2),Matemáticas!$A:$H,7,FALSE)=BC331,1,0)</f>
        <v>#N/A</v>
      </c>
      <c r="EP331" s="138" t="e">
        <f>IF(VLOOKUP(CONCATENATE(H331,F331,EP$2),Matemáticas!$A:$H,7,FALSE)=BD331,1,0)</f>
        <v>#N/A</v>
      </c>
      <c r="EQ331" s="138" t="e">
        <f>IF(VLOOKUP(CONCATENATE(H331,F331,EQ$2),Matemáticas!$A:$H,7,FALSE)=BE331,1,0)</f>
        <v>#N/A</v>
      </c>
      <c r="ER331" s="138" t="e">
        <f>IF(VLOOKUP(CONCATENATE(H331,F331,ER$2),Matemáticas!$A:$H,7,FALSE)=BF331,1,0)</f>
        <v>#N/A</v>
      </c>
      <c r="ES331" s="138" t="e">
        <f>IF(VLOOKUP(CONCATENATE(H331,F331,ES$2),Matemáticas!$A:$H,7,FALSE)=BG331,1,0)</f>
        <v>#N/A</v>
      </c>
      <c r="ET331" s="138" t="e">
        <f>IF(VLOOKUP(CONCATENATE(H331,F331,ET$2),Matemáticas!$A:$H,7,FALSE)=BH331,1,0)</f>
        <v>#N/A</v>
      </c>
      <c r="EU331" s="138" t="e">
        <f>IF(VLOOKUP(CONCATENATE(H331,F331,EU$2),Matemáticas!$A:$H,7,FALSE)=BI331,1,0)</f>
        <v>#N/A</v>
      </c>
      <c r="EV331" s="138" t="e">
        <f>IF(VLOOKUP(CONCATENATE(H331,F331,EV$2),Ciencias!$A:$H,7,FALSE)=BJ331,1,0)</f>
        <v>#N/A</v>
      </c>
      <c r="EW331" s="138" t="e">
        <f>IF(VLOOKUP(CONCATENATE(H331,F331,EW$2),Ciencias!$A:$H,7,FALSE)=BK331,1,0)</f>
        <v>#N/A</v>
      </c>
      <c r="EX331" s="138" t="e">
        <f>IF(VLOOKUP(CONCATENATE(H331,F331,EX$2),Ciencias!$A:$H,7,FALSE)=BL331,1,0)</f>
        <v>#N/A</v>
      </c>
      <c r="EY331" s="138" t="e">
        <f>IF(VLOOKUP(CONCATENATE(H331,F331,EY$2),Ciencias!$A:$H,7,FALSE)=BM331,1,0)</f>
        <v>#N/A</v>
      </c>
      <c r="EZ331" s="138" t="e">
        <f>IF(VLOOKUP(CONCATENATE(H331,F331,EZ$2),Ciencias!$A:$H,7,FALSE)=BN331,1,0)</f>
        <v>#N/A</v>
      </c>
      <c r="FA331" s="138" t="e">
        <f>IF(VLOOKUP(CONCATENATE(H331,F331,FA$2),Ciencias!$A:$H,7,FALSE)=BO331,1,0)</f>
        <v>#N/A</v>
      </c>
      <c r="FB331" s="138" t="e">
        <f>IF(VLOOKUP(CONCATENATE(H331,F331,FB$2),Ciencias!$A:$H,7,FALSE)=BP331,1,0)</f>
        <v>#N/A</v>
      </c>
      <c r="FC331" s="138" t="e">
        <f>IF(VLOOKUP(CONCATENATE(H331,F331,FC$2),Ciencias!$A:$H,7,FALSE)=BQ331,1,0)</f>
        <v>#N/A</v>
      </c>
      <c r="FD331" s="138" t="e">
        <f>IF(VLOOKUP(CONCATENATE(H331,F331,FD$2),Ciencias!$A:$H,7,FALSE)=BR331,1,0)</f>
        <v>#N/A</v>
      </c>
      <c r="FE331" s="138" t="e">
        <f>IF(VLOOKUP(CONCATENATE(H331,F331,FE$2),Ciencias!$A:$H,7,FALSE)=BS331,1,0)</f>
        <v>#N/A</v>
      </c>
      <c r="FF331" s="138" t="e">
        <f>IF(VLOOKUP(CONCATENATE(H331,F331,FF$2),Ciencias!$A:$H,7,FALSE)=BT331,1,0)</f>
        <v>#N/A</v>
      </c>
      <c r="FG331" s="138" t="e">
        <f>IF(VLOOKUP(CONCATENATE(H331,F331,FG$2),Ciencias!$A:$H,7,FALSE)=BU331,1,0)</f>
        <v>#N/A</v>
      </c>
      <c r="FH331" s="138" t="e">
        <f>IF(VLOOKUP(CONCATENATE(H331,F331,FH$2),Ciencias!$A:$H,7,FALSE)=BV331,1,0)</f>
        <v>#N/A</v>
      </c>
      <c r="FI331" s="138" t="e">
        <f>IF(VLOOKUP(CONCATENATE(H331,F331,FI$2),Ciencias!$A:$H,7,FALSE)=BW331,1,0)</f>
        <v>#N/A</v>
      </c>
      <c r="FJ331" s="138" t="e">
        <f>IF(VLOOKUP(CONCATENATE(H331,F331,FJ$2),Ciencias!$A:$H,7,FALSE)=BX331,1,0)</f>
        <v>#N/A</v>
      </c>
      <c r="FK331" s="138" t="e">
        <f>IF(VLOOKUP(CONCATENATE(H331,F331,FK$2),Ciencias!$A:$H,7,FALSE)=BY331,1,0)</f>
        <v>#N/A</v>
      </c>
      <c r="FL331" s="138" t="e">
        <f>IF(VLOOKUP(CONCATENATE(H331,F331,FL$2),Ciencias!$A:$H,7,FALSE)=BZ331,1,0)</f>
        <v>#N/A</v>
      </c>
      <c r="FM331" s="138" t="e">
        <f>IF(VLOOKUP(CONCATENATE(H331,F331,FM$2),Ciencias!$A:$H,7,FALSE)=CA331,1,0)</f>
        <v>#N/A</v>
      </c>
      <c r="FN331" s="138" t="e">
        <f>IF(VLOOKUP(CONCATENATE(H331,F331,FN$2),Ciencias!$A:$H,7,FALSE)=CB331,1,0)</f>
        <v>#N/A</v>
      </c>
      <c r="FO331" s="138" t="e">
        <f>IF(VLOOKUP(CONCATENATE(H331,F331,FO$2),Ciencias!$A:$H,7,FALSE)=CC331,1,0)</f>
        <v>#N/A</v>
      </c>
      <c r="FP331" s="138" t="e">
        <f>IF(VLOOKUP(CONCATENATE(H331,F331,FP$2),GeoHis!$A:$H,7,FALSE)=CD331,1,0)</f>
        <v>#N/A</v>
      </c>
      <c r="FQ331" s="138" t="e">
        <f>IF(VLOOKUP(CONCATENATE(H331,F331,FQ$2),GeoHis!$A:$H,7,FALSE)=CE331,1,0)</f>
        <v>#N/A</v>
      </c>
      <c r="FR331" s="138" t="e">
        <f>IF(VLOOKUP(CONCATENATE(H331,F331,FR$2),GeoHis!$A:$H,7,FALSE)=CF331,1,0)</f>
        <v>#N/A</v>
      </c>
      <c r="FS331" s="138" t="e">
        <f>IF(VLOOKUP(CONCATENATE(H331,F331,FS$2),GeoHis!$A:$H,7,FALSE)=CG331,1,0)</f>
        <v>#N/A</v>
      </c>
      <c r="FT331" s="138" t="e">
        <f>IF(VLOOKUP(CONCATENATE(H331,F331,FT$2),GeoHis!$A:$H,7,FALSE)=CH331,1,0)</f>
        <v>#N/A</v>
      </c>
      <c r="FU331" s="138" t="e">
        <f>IF(VLOOKUP(CONCATENATE(H331,F331,FU$2),GeoHis!$A:$H,7,FALSE)=CI331,1,0)</f>
        <v>#N/A</v>
      </c>
      <c r="FV331" s="138" t="e">
        <f>IF(VLOOKUP(CONCATENATE(H331,F331,FV$2),GeoHis!$A:$H,7,FALSE)=CJ331,1,0)</f>
        <v>#N/A</v>
      </c>
      <c r="FW331" s="138" t="e">
        <f>IF(VLOOKUP(CONCATENATE(H331,F331,FW$2),GeoHis!$A:$H,7,FALSE)=CK331,1,0)</f>
        <v>#N/A</v>
      </c>
      <c r="FX331" s="138" t="e">
        <f>IF(VLOOKUP(CONCATENATE(H331,F331,FX$2),GeoHis!$A:$H,7,FALSE)=CL331,1,0)</f>
        <v>#N/A</v>
      </c>
      <c r="FY331" s="138" t="e">
        <f>IF(VLOOKUP(CONCATENATE(H331,F331,FY$2),GeoHis!$A:$H,7,FALSE)=CM331,1,0)</f>
        <v>#N/A</v>
      </c>
      <c r="FZ331" s="138" t="e">
        <f>IF(VLOOKUP(CONCATENATE(H331,F331,FZ$2),GeoHis!$A:$H,7,FALSE)=CN331,1,0)</f>
        <v>#N/A</v>
      </c>
      <c r="GA331" s="138" t="e">
        <f>IF(VLOOKUP(CONCATENATE(H331,F331,GA$2),GeoHis!$A:$H,7,FALSE)=CO331,1,0)</f>
        <v>#N/A</v>
      </c>
      <c r="GB331" s="138" t="e">
        <f>IF(VLOOKUP(CONCATENATE(H331,F331,GB$2),GeoHis!$A:$H,7,FALSE)=CP331,1,0)</f>
        <v>#N/A</v>
      </c>
      <c r="GC331" s="138" t="e">
        <f>IF(VLOOKUP(CONCATENATE(H331,F331,GC$2),GeoHis!$A:$H,7,FALSE)=CQ331,1,0)</f>
        <v>#N/A</v>
      </c>
      <c r="GD331" s="138" t="e">
        <f>IF(VLOOKUP(CONCATENATE(H331,F331,GD$2),GeoHis!$A:$H,7,FALSE)=CR331,1,0)</f>
        <v>#N/A</v>
      </c>
      <c r="GE331" s="135" t="str">
        <f t="shared" si="47"/>
        <v/>
      </c>
    </row>
    <row r="332" spans="1:187" x14ac:dyDescent="0.25">
      <c r="A332" s="127" t="str">
        <f>IF(C332="","",'Datos Generales'!$A$25)</f>
        <v/>
      </c>
      <c r="D332" s="126" t="str">
        <f t="shared" si="40"/>
        <v/>
      </c>
      <c r="E332" s="126">
        <f t="shared" si="41"/>
        <v>0</v>
      </c>
      <c r="F332" s="126" t="str">
        <f t="shared" si="42"/>
        <v/>
      </c>
      <c r="G332" s="126" t="str">
        <f>IF(C332="","",'Datos Generales'!$D$19)</f>
        <v/>
      </c>
      <c r="H332" s="21" t="str">
        <f>IF(C332="","",'Datos Generales'!$A$19)</f>
        <v/>
      </c>
      <c r="I332" s="126" t="str">
        <f>IF(C332="","",'Datos Generales'!$A$7)</f>
        <v/>
      </c>
      <c r="J332" s="21" t="str">
        <f>IF(C332="","",'Datos Generales'!$A$13)</f>
        <v/>
      </c>
      <c r="K332" s="21" t="str">
        <f>IF(C332="","",'Datos Generales'!$A$10)</f>
        <v/>
      </c>
      <c r="CS332" s="142" t="str">
        <f t="shared" si="43"/>
        <v/>
      </c>
      <c r="CT332" s="142" t="str">
        <f t="shared" si="44"/>
        <v/>
      </c>
      <c r="CU332" s="142" t="str">
        <f t="shared" si="45"/>
        <v/>
      </c>
      <c r="CV332" s="142" t="str">
        <f t="shared" si="46"/>
        <v/>
      </c>
      <c r="CW332" s="142" t="str">
        <f>IF(C332="","",IF('Datos Generales'!$A$19=1,AVERAGE(FP332:GD332),AVERAGE(Captura!FP332:FY332)))</f>
        <v/>
      </c>
      <c r="CX332" s="138" t="e">
        <f>IF(VLOOKUP(CONCATENATE($H$4,$F$4,CX$2),Español!$A:$H,7,FALSE)=L332,1,0)</f>
        <v>#N/A</v>
      </c>
      <c r="CY332" s="138" t="e">
        <f>IF(VLOOKUP(CONCATENATE(H332,F332,CY$2),Español!$A:$H,7,FALSE)=M332,1,0)</f>
        <v>#N/A</v>
      </c>
      <c r="CZ332" s="138" t="e">
        <f>IF(VLOOKUP(CONCATENATE(H332,F332,CZ$2),Español!$A:$H,7,FALSE)=N332,1,0)</f>
        <v>#N/A</v>
      </c>
      <c r="DA332" s="138" t="e">
        <f>IF(VLOOKUP(CONCATENATE(H332,F332,DA$2),Español!$A:$H,7,FALSE)=O332,1,0)</f>
        <v>#N/A</v>
      </c>
      <c r="DB332" s="138" t="e">
        <f>IF(VLOOKUP(CONCATENATE(H332,F332,DB$2),Español!$A:$H,7,FALSE)=P332,1,0)</f>
        <v>#N/A</v>
      </c>
      <c r="DC332" s="138" t="e">
        <f>IF(VLOOKUP(CONCATENATE(H332,F332,DC$2),Español!$A:$H,7,FALSE)=Q332,1,0)</f>
        <v>#N/A</v>
      </c>
      <c r="DD332" s="138" t="e">
        <f>IF(VLOOKUP(CONCATENATE(H332,F332,DD$2),Español!$A:$H,7,FALSE)=R332,1,0)</f>
        <v>#N/A</v>
      </c>
      <c r="DE332" s="138" t="e">
        <f>IF(VLOOKUP(CONCATENATE(H332,F332,DE$2),Español!$A:$H,7,FALSE)=S332,1,0)</f>
        <v>#N/A</v>
      </c>
      <c r="DF332" s="138" t="e">
        <f>IF(VLOOKUP(CONCATENATE(H332,F332,DF$2),Español!$A:$H,7,FALSE)=T332,1,0)</f>
        <v>#N/A</v>
      </c>
      <c r="DG332" s="138" t="e">
        <f>IF(VLOOKUP(CONCATENATE(H332,F332,DG$2),Español!$A:$H,7,FALSE)=U332,1,0)</f>
        <v>#N/A</v>
      </c>
      <c r="DH332" s="138" t="e">
        <f>IF(VLOOKUP(CONCATENATE(H332,F332,DH$2),Español!$A:$H,7,FALSE)=V332,1,0)</f>
        <v>#N/A</v>
      </c>
      <c r="DI332" s="138" t="e">
        <f>IF(VLOOKUP(CONCATENATE(H332,F332,DI$2),Español!$A:$H,7,FALSE)=W332,1,0)</f>
        <v>#N/A</v>
      </c>
      <c r="DJ332" s="138" t="e">
        <f>IF(VLOOKUP(CONCATENATE(H332,F332,DJ$2),Español!$A:$H,7,FALSE)=X332,1,0)</f>
        <v>#N/A</v>
      </c>
      <c r="DK332" s="138" t="e">
        <f>IF(VLOOKUP(CONCATENATE(H332,F332,DK$2),Español!$A:$H,7,FALSE)=Y332,1,0)</f>
        <v>#N/A</v>
      </c>
      <c r="DL332" s="138" t="e">
        <f>IF(VLOOKUP(CONCATENATE(H332,F332,DL$2),Español!$A:$H,7,FALSE)=Z332,1,0)</f>
        <v>#N/A</v>
      </c>
      <c r="DM332" s="138" t="e">
        <f>IF(VLOOKUP(CONCATENATE(H332,F332,DM$2),Español!$A:$H,7,FALSE)=AA332,1,0)</f>
        <v>#N/A</v>
      </c>
      <c r="DN332" s="138" t="e">
        <f>IF(VLOOKUP(CONCATENATE(H332,F332,DN$2),Español!$A:$H,7,FALSE)=AB332,1,0)</f>
        <v>#N/A</v>
      </c>
      <c r="DO332" s="138" t="e">
        <f>IF(VLOOKUP(CONCATENATE(H332,F332,DO$2),Español!$A:$H,7,FALSE)=AC332,1,0)</f>
        <v>#N/A</v>
      </c>
      <c r="DP332" s="138" t="e">
        <f>IF(VLOOKUP(CONCATENATE(H332,F332,DP$2),Español!$A:$H,7,FALSE)=AD332,1,0)</f>
        <v>#N/A</v>
      </c>
      <c r="DQ332" s="138" t="e">
        <f>IF(VLOOKUP(CONCATENATE(H332,F332,DQ$2),Español!$A:$H,7,FALSE)=AE332,1,0)</f>
        <v>#N/A</v>
      </c>
      <c r="DR332" s="138" t="e">
        <f>IF(VLOOKUP(CONCATENATE(H332,F332,DR$2),Inglés!$A:$H,7,FALSE)=AF332,1,0)</f>
        <v>#N/A</v>
      </c>
      <c r="DS332" s="138" t="e">
        <f>IF(VLOOKUP(CONCATENATE(H332,F332,DS$2),Inglés!$A:$H,7,FALSE)=AG332,1,0)</f>
        <v>#N/A</v>
      </c>
      <c r="DT332" s="138" t="e">
        <f>IF(VLOOKUP(CONCATENATE(H332,F332,DT$2),Inglés!$A:$H,7,FALSE)=AH332,1,0)</f>
        <v>#N/A</v>
      </c>
      <c r="DU332" s="138" t="e">
        <f>IF(VLOOKUP(CONCATENATE(H332,F332,DU$2),Inglés!$A:$H,7,FALSE)=AI332,1,0)</f>
        <v>#N/A</v>
      </c>
      <c r="DV332" s="138" t="e">
        <f>IF(VLOOKUP(CONCATENATE(H332,F332,DV$2),Inglés!$A:$H,7,FALSE)=AJ332,1,0)</f>
        <v>#N/A</v>
      </c>
      <c r="DW332" s="138" t="e">
        <f>IF(VLOOKUP(CONCATENATE(H332,F332,DW$2),Inglés!$A:$H,7,FALSE)=AK332,1,0)</f>
        <v>#N/A</v>
      </c>
      <c r="DX332" s="138" t="e">
        <f>IF(VLOOKUP(CONCATENATE(H332,F332,DX$2),Inglés!$A:$H,7,FALSE)=AL332,1,0)</f>
        <v>#N/A</v>
      </c>
      <c r="DY332" s="138" t="e">
        <f>IF(VLOOKUP(CONCATENATE(H332,F332,DY$2),Inglés!$A:$H,7,FALSE)=AM332,1,0)</f>
        <v>#N/A</v>
      </c>
      <c r="DZ332" s="138" t="e">
        <f>IF(VLOOKUP(CONCATENATE(H332,F332,DZ$2),Inglés!$A:$H,7,FALSE)=AN332,1,0)</f>
        <v>#N/A</v>
      </c>
      <c r="EA332" s="138" t="e">
        <f>IF(VLOOKUP(CONCATENATE(H332,F332,EA$2),Inglés!$A:$H,7,FALSE)=AO332,1,0)</f>
        <v>#N/A</v>
      </c>
      <c r="EB332" s="138" t="e">
        <f>IF(VLOOKUP(CONCATENATE(H332,F332,EB$2),Matemáticas!$A:$H,7,FALSE)=AP332,1,0)</f>
        <v>#N/A</v>
      </c>
      <c r="EC332" s="138" t="e">
        <f>IF(VLOOKUP(CONCATENATE(H332,F332,EC$2),Matemáticas!$A:$H,7,FALSE)=AQ332,1,0)</f>
        <v>#N/A</v>
      </c>
      <c r="ED332" s="138" t="e">
        <f>IF(VLOOKUP(CONCATENATE(H332,F332,ED$2),Matemáticas!$A:$H,7,FALSE)=AR332,1,0)</f>
        <v>#N/A</v>
      </c>
      <c r="EE332" s="138" t="e">
        <f>IF(VLOOKUP(CONCATENATE(H332,F332,EE$2),Matemáticas!$A:$H,7,FALSE)=AS332,1,0)</f>
        <v>#N/A</v>
      </c>
      <c r="EF332" s="138" t="e">
        <f>IF(VLOOKUP(CONCATENATE(H332,F332,EF$2),Matemáticas!$A:$H,7,FALSE)=AT332,1,0)</f>
        <v>#N/A</v>
      </c>
      <c r="EG332" s="138" t="e">
        <f>IF(VLOOKUP(CONCATENATE(H332,F332,EG$2),Matemáticas!$A:$H,7,FALSE)=AU332,1,0)</f>
        <v>#N/A</v>
      </c>
      <c r="EH332" s="138" t="e">
        <f>IF(VLOOKUP(CONCATENATE(H332,F332,EH$2),Matemáticas!$A:$H,7,FALSE)=AV332,1,0)</f>
        <v>#N/A</v>
      </c>
      <c r="EI332" s="138" t="e">
        <f>IF(VLOOKUP(CONCATENATE(H332,F332,EI$2),Matemáticas!$A:$H,7,FALSE)=AW332,1,0)</f>
        <v>#N/A</v>
      </c>
      <c r="EJ332" s="138" t="e">
        <f>IF(VLOOKUP(CONCATENATE(H332,F332,EJ$2),Matemáticas!$A:$H,7,FALSE)=AX332,1,0)</f>
        <v>#N/A</v>
      </c>
      <c r="EK332" s="138" t="e">
        <f>IF(VLOOKUP(CONCATENATE(H332,F332,EK$2),Matemáticas!$A:$H,7,FALSE)=AY332,1,0)</f>
        <v>#N/A</v>
      </c>
      <c r="EL332" s="138" t="e">
        <f>IF(VLOOKUP(CONCATENATE(H332,F332,EL$2),Matemáticas!$A:$H,7,FALSE)=AZ332,1,0)</f>
        <v>#N/A</v>
      </c>
      <c r="EM332" s="138" t="e">
        <f>IF(VLOOKUP(CONCATENATE(H332,F332,EM$2),Matemáticas!$A:$H,7,FALSE)=BA332,1,0)</f>
        <v>#N/A</v>
      </c>
      <c r="EN332" s="138" t="e">
        <f>IF(VLOOKUP(CONCATENATE(H332,F332,EN$2),Matemáticas!$A:$H,7,FALSE)=BB332,1,0)</f>
        <v>#N/A</v>
      </c>
      <c r="EO332" s="138" t="e">
        <f>IF(VLOOKUP(CONCATENATE(H332,F332,EO$2),Matemáticas!$A:$H,7,FALSE)=BC332,1,0)</f>
        <v>#N/A</v>
      </c>
      <c r="EP332" s="138" t="e">
        <f>IF(VLOOKUP(CONCATENATE(H332,F332,EP$2),Matemáticas!$A:$H,7,FALSE)=BD332,1,0)</f>
        <v>#N/A</v>
      </c>
      <c r="EQ332" s="138" t="e">
        <f>IF(VLOOKUP(CONCATENATE(H332,F332,EQ$2),Matemáticas!$A:$H,7,FALSE)=BE332,1,0)</f>
        <v>#N/A</v>
      </c>
      <c r="ER332" s="138" t="e">
        <f>IF(VLOOKUP(CONCATENATE(H332,F332,ER$2),Matemáticas!$A:$H,7,FALSE)=BF332,1,0)</f>
        <v>#N/A</v>
      </c>
      <c r="ES332" s="138" t="e">
        <f>IF(VLOOKUP(CONCATENATE(H332,F332,ES$2),Matemáticas!$A:$H,7,FALSE)=BG332,1,0)</f>
        <v>#N/A</v>
      </c>
      <c r="ET332" s="138" t="e">
        <f>IF(VLOOKUP(CONCATENATE(H332,F332,ET$2),Matemáticas!$A:$H,7,FALSE)=BH332,1,0)</f>
        <v>#N/A</v>
      </c>
      <c r="EU332" s="138" t="e">
        <f>IF(VLOOKUP(CONCATENATE(H332,F332,EU$2),Matemáticas!$A:$H,7,FALSE)=BI332,1,0)</f>
        <v>#N/A</v>
      </c>
      <c r="EV332" s="138" t="e">
        <f>IF(VLOOKUP(CONCATENATE(H332,F332,EV$2),Ciencias!$A:$H,7,FALSE)=BJ332,1,0)</f>
        <v>#N/A</v>
      </c>
      <c r="EW332" s="138" t="e">
        <f>IF(VLOOKUP(CONCATENATE(H332,F332,EW$2),Ciencias!$A:$H,7,FALSE)=BK332,1,0)</f>
        <v>#N/A</v>
      </c>
      <c r="EX332" s="138" t="e">
        <f>IF(VLOOKUP(CONCATENATE(H332,F332,EX$2),Ciencias!$A:$H,7,FALSE)=BL332,1,0)</f>
        <v>#N/A</v>
      </c>
      <c r="EY332" s="138" t="e">
        <f>IF(VLOOKUP(CONCATENATE(H332,F332,EY$2),Ciencias!$A:$H,7,FALSE)=BM332,1,0)</f>
        <v>#N/A</v>
      </c>
      <c r="EZ332" s="138" t="e">
        <f>IF(VLOOKUP(CONCATENATE(H332,F332,EZ$2),Ciencias!$A:$H,7,FALSE)=BN332,1,0)</f>
        <v>#N/A</v>
      </c>
      <c r="FA332" s="138" t="e">
        <f>IF(VLOOKUP(CONCATENATE(H332,F332,FA$2),Ciencias!$A:$H,7,FALSE)=BO332,1,0)</f>
        <v>#N/A</v>
      </c>
      <c r="FB332" s="138" t="e">
        <f>IF(VLOOKUP(CONCATENATE(H332,F332,FB$2),Ciencias!$A:$H,7,FALSE)=BP332,1,0)</f>
        <v>#N/A</v>
      </c>
      <c r="FC332" s="138" t="e">
        <f>IF(VLOOKUP(CONCATENATE(H332,F332,FC$2),Ciencias!$A:$H,7,FALSE)=BQ332,1,0)</f>
        <v>#N/A</v>
      </c>
      <c r="FD332" s="138" t="e">
        <f>IF(VLOOKUP(CONCATENATE(H332,F332,FD$2),Ciencias!$A:$H,7,FALSE)=BR332,1,0)</f>
        <v>#N/A</v>
      </c>
      <c r="FE332" s="138" t="e">
        <f>IF(VLOOKUP(CONCATENATE(H332,F332,FE$2),Ciencias!$A:$H,7,FALSE)=BS332,1,0)</f>
        <v>#N/A</v>
      </c>
      <c r="FF332" s="138" t="e">
        <f>IF(VLOOKUP(CONCATENATE(H332,F332,FF$2),Ciencias!$A:$H,7,FALSE)=BT332,1,0)</f>
        <v>#N/A</v>
      </c>
      <c r="FG332" s="138" t="e">
        <f>IF(VLOOKUP(CONCATENATE(H332,F332,FG$2),Ciencias!$A:$H,7,FALSE)=BU332,1,0)</f>
        <v>#N/A</v>
      </c>
      <c r="FH332" s="138" t="e">
        <f>IF(VLOOKUP(CONCATENATE(H332,F332,FH$2),Ciencias!$A:$H,7,FALSE)=BV332,1,0)</f>
        <v>#N/A</v>
      </c>
      <c r="FI332" s="138" t="e">
        <f>IF(VLOOKUP(CONCATENATE(H332,F332,FI$2),Ciencias!$A:$H,7,FALSE)=BW332,1,0)</f>
        <v>#N/A</v>
      </c>
      <c r="FJ332" s="138" t="e">
        <f>IF(VLOOKUP(CONCATENATE(H332,F332,FJ$2),Ciencias!$A:$H,7,FALSE)=BX332,1,0)</f>
        <v>#N/A</v>
      </c>
      <c r="FK332" s="138" t="e">
        <f>IF(VLOOKUP(CONCATENATE(H332,F332,FK$2),Ciencias!$A:$H,7,FALSE)=BY332,1,0)</f>
        <v>#N/A</v>
      </c>
      <c r="FL332" s="138" t="e">
        <f>IF(VLOOKUP(CONCATENATE(H332,F332,FL$2),Ciencias!$A:$H,7,FALSE)=BZ332,1,0)</f>
        <v>#N/A</v>
      </c>
      <c r="FM332" s="138" t="e">
        <f>IF(VLOOKUP(CONCATENATE(H332,F332,FM$2),Ciencias!$A:$H,7,FALSE)=CA332,1,0)</f>
        <v>#N/A</v>
      </c>
      <c r="FN332" s="138" t="e">
        <f>IF(VLOOKUP(CONCATENATE(H332,F332,FN$2),Ciencias!$A:$H,7,FALSE)=CB332,1,0)</f>
        <v>#N/A</v>
      </c>
      <c r="FO332" s="138" t="e">
        <f>IF(VLOOKUP(CONCATENATE(H332,F332,FO$2),Ciencias!$A:$H,7,FALSE)=CC332,1,0)</f>
        <v>#N/A</v>
      </c>
      <c r="FP332" s="138" t="e">
        <f>IF(VLOOKUP(CONCATENATE(H332,F332,FP$2),GeoHis!$A:$H,7,FALSE)=CD332,1,0)</f>
        <v>#N/A</v>
      </c>
      <c r="FQ332" s="138" t="e">
        <f>IF(VLOOKUP(CONCATENATE(H332,F332,FQ$2),GeoHis!$A:$H,7,FALSE)=CE332,1,0)</f>
        <v>#N/A</v>
      </c>
      <c r="FR332" s="138" t="e">
        <f>IF(VLOOKUP(CONCATENATE(H332,F332,FR$2),GeoHis!$A:$H,7,FALSE)=CF332,1,0)</f>
        <v>#N/A</v>
      </c>
      <c r="FS332" s="138" t="e">
        <f>IF(VLOOKUP(CONCATENATE(H332,F332,FS$2),GeoHis!$A:$H,7,FALSE)=CG332,1,0)</f>
        <v>#N/A</v>
      </c>
      <c r="FT332" s="138" t="e">
        <f>IF(VLOOKUP(CONCATENATE(H332,F332,FT$2),GeoHis!$A:$H,7,FALSE)=CH332,1,0)</f>
        <v>#N/A</v>
      </c>
      <c r="FU332" s="138" t="e">
        <f>IF(VLOOKUP(CONCATENATE(H332,F332,FU$2),GeoHis!$A:$H,7,FALSE)=CI332,1,0)</f>
        <v>#N/A</v>
      </c>
      <c r="FV332" s="138" t="e">
        <f>IF(VLOOKUP(CONCATENATE(H332,F332,FV$2),GeoHis!$A:$H,7,FALSE)=CJ332,1,0)</f>
        <v>#N/A</v>
      </c>
      <c r="FW332" s="138" t="e">
        <f>IF(VLOOKUP(CONCATENATE(H332,F332,FW$2),GeoHis!$A:$H,7,FALSE)=CK332,1,0)</f>
        <v>#N/A</v>
      </c>
      <c r="FX332" s="138" t="e">
        <f>IF(VLOOKUP(CONCATENATE(H332,F332,FX$2),GeoHis!$A:$H,7,FALSE)=CL332,1,0)</f>
        <v>#N/A</v>
      </c>
      <c r="FY332" s="138" t="e">
        <f>IF(VLOOKUP(CONCATENATE(H332,F332,FY$2),GeoHis!$A:$H,7,FALSE)=CM332,1,0)</f>
        <v>#N/A</v>
      </c>
      <c r="FZ332" s="138" t="e">
        <f>IF(VLOOKUP(CONCATENATE(H332,F332,FZ$2),GeoHis!$A:$H,7,FALSE)=CN332,1,0)</f>
        <v>#N/A</v>
      </c>
      <c r="GA332" s="138" t="e">
        <f>IF(VLOOKUP(CONCATENATE(H332,F332,GA$2),GeoHis!$A:$H,7,FALSE)=CO332,1,0)</f>
        <v>#N/A</v>
      </c>
      <c r="GB332" s="138" t="e">
        <f>IF(VLOOKUP(CONCATENATE(H332,F332,GB$2),GeoHis!$A:$H,7,FALSE)=CP332,1,0)</f>
        <v>#N/A</v>
      </c>
      <c r="GC332" s="138" t="e">
        <f>IF(VLOOKUP(CONCATENATE(H332,F332,GC$2),GeoHis!$A:$H,7,FALSE)=CQ332,1,0)</f>
        <v>#N/A</v>
      </c>
      <c r="GD332" s="138" t="e">
        <f>IF(VLOOKUP(CONCATENATE(H332,F332,GD$2),GeoHis!$A:$H,7,FALSE)=CR332,1,0)</f>
        <v>#N/A</v>
      </c>
      <c r="GE332" s="135" t="str">
        <f t="shared" si="47"/>
        <v/>
      </c>
    </row>
    <row r="333" spans="1:187" x14ac:dyDescent="0.25">
      <c r="A333" s="127" t="str">
        <f>IF(C333="","",'Datos Generales'!$A$25)</f>
        <v/>
      </c>
      <c r="D333" s="126" t="str">
        <f t="shared" si="40"/>
        <v/>
      </c>
      <c r="E333" s="126">
        <f t="shared" si="41"/>
        <v>0</v>
      </c>
      <c r="F333" s="126" t="str">
        <f t="shared" si="42"/>
        <v/>
      </c>
      <c r="G333" s="126" t="str">
        <f>IF(C333="","",'Datos Generales'!$D$19)</f>
        <v/>
      </c>
      <c r="H333" s="21" t="str">
        <f>IF(C333="","",'Datos Generales'!$A$19)</f>
        <v/>
      </c>
      <c r="I333" s="126" t="str">
        <f>IF(C333="","",'Datos Generales'!$A$7)</f>
        <v/>
      </c>
      <c r="J333" s="21" t="str">
        <f>IF(C333="","",'Datos Generales'!$A$13)</f>
        <v/>
      </c>
      <c r="K333" s="21" t="str">
        <f>IF(C333="","",'Datos Generales'!$A$10)</f>
        <v/>
      </c>
      <c r="CS333" s="142" t="str">
        <f t="shared" si="43"/>
        <v/>
      </c>
      <c r="CT333" s="142" t="str">
        <f t="shared" si="44"/>
        <v/>
      </c>
      <c r="CU333" s="142" t="str">
        <f t="shared" si="45"/>
        <v/>
      </c>
      <c r="CV333" s="142" t="str">
        <f t="shared" si="46"/>
        <v/>
      </c>
      <c r="CW333" s="142" t="str">
        <f>IF(C333="","",IF('Datos Generales'!$A$19=1,AVERAGE(FP333:GD333),AVERAGE(Captura!FP333:FY333)))</f>
        <v/>
      </c>
      <c r="CX333" s="138" t="e">
        <f>IF(VLOOKUP(CONCATENATE($H$4,$F$4,CX$2),Español!$A:$H,7,FALSE)=L333,1,0)</f>
        <v>#N/A</v>
      </c>
      <c r="CY333" s="138" t="e">
        <f>IF(VLOOKUP(CONCATENATE(H333,F333,CY$2),Español!$A:$H,7,FALSE)=M333,1,0)</f>
        <v>#N/A</v>
      </c>
      <c r="CZ333" s="138" t="e">
        <f>IF(VLOOKUP(CONCATENATE(H333,F333,CZ$2),Español!$A:$H,7,FALSE)=N333,1,0)</f>
        <v>#N/A</v>
      </c>
      <c r="DA333" s="138" t="e">
        <f>IF(VLOOKUP(CONCATENATE(H333,F333,DA$2),Español!$A:$H,7,FALSE)=O333,1,0)</f>
        <v>#N/A</v>
      </c>
      <c r="DB333" s="138" t="e">
        <f>IF(VLOOKUP(CONCATENATE(H333,F333,DB$2),Español!$A:$H,7,FALSE)=P333,1,0)</f>
        <v>#N/A</v>
      </c>
      <c r="DC333" s="138" t="e">
        <f>IF(VLOOKUP(CONCATENATE(H333,F333,DC$2),Español!$A:$H,7,FALSE)=Q333,1,0)</f>
        <v>#N/A</v>
      </c>
      <c r="DD333" s="138" t="e">
        <f>IF(VLOOKUP(CONCATENATE(H333,F333,DD$2),Español!$A:$H,7,FALSE)=R333,1,0)</f>
        <v>#N/A</v>
      </c>
      <c r="DE333" s="138" t="e">
        <f>IF(VLOOKUP(CONCATENATE(H333,F333,DE$2),Español!$A:$H,7,FALSE)=S333,1,0)</f>
        <v>#N/A</v>
      </c>
      <c r="DF333" s="138" t="e">
        <f>IF(VLOOKUP(CONCATENATE(H333,F333,DF$2),Español!$A:$H,7,FALSE)=T333,1,0)</f>
        <v>#N/A</v>
      </c>
      <c r="DG333" s="138" t="e">
        <f>IF(VLOOKUP(CONCATENATE(H333,F333,DG$2),Español!$A:$H,7,FALSE)=U333,1,0)</f>
        <v>#N/A</v>
      </c>
      <c r="DH333" s="138" t="e">
        <f>IF(VLOOKUP(CONCATENATE(H333,F333,DH$2),Español!$A:$H,7,FALSE)=V333,1,0)</f>
        <v>#N/A</v>
      </c>
      <c r="DI333" s="138" t="e">
        <f>IF(VLOOKUP(CONCATENATE(H333,F333,DI$2),Español!$A:$H,7,FALSE)=W333,1,0)</f>
        <v>#N/A</v>
      </c>
      <c r="DJ333" s="138" t="e">
        <f>IF(VLOOKUP(CONCATENATE(H333,F333,DJ$2),Español!$A:$H,7,FALSE)=X333,1,0)</f>
        <v>#N/A</v>
      </c>
      <c r="DK333" s="138" t="e">
        <f>IF(VLOOKUP(CONCATENATE(H333,F333,DK$2),Español!$A:$H,7,FALSE)=Y333,1,0)</f>
        <v>#N/A</v>
      </c>
      <c r="DL333" s="138" t="e">
        <f>IF(VLOOKUP(CONCATENATE(H333,F333,DL$2),Español!$A:$H,7,FALSE)=Z333,1,0)</f>
        <v>#N/A</v>
      </c>
      <c r="DM333" s="138" t="e">
        <f>IF(VLOOKUP(CONCATENATE(H333,F333,DM$2),Español!$A:$H,7,FALSE)=AA333,1,0)</f>
        <v>#N/A</v>
      </c>
      <c r="DN333" s="138" t="e">
        <f>IF(VLOOKUP(CONCATENATE(H333,F333,DN$2),Español!$A:$H,7,FALSE)=AB333,1,0)</f>
        <v>#N/A</v>
      </c>
      <c r="DO333" s="138" t="e">
        <f>IF(VLOOKUP(CONCATENATE(H333,F333,DO$2),Español!$A:$H,7,FALSE)=AC333,1,0)</f>
        <v>#N/A</v>
      </c>
      <c r="DP333" s="138" t="e">
        <f>IF(VLOOKUP(CONCATENATE(H333,F333,DP$2),Español!$A:$H,7,FALSE)=AD333,1,0)</f>
        <v>#N/A</v>
      </c>
      <c r="DQ333" s="138" t="e">
        <f>IF(VLOOKUP(CONCATENATE(H333,F333,DQ$2),Español!$A:$H,7,FALSE)=AE333,1,0)</f>
        <v>#N/A</v>
      </c>
      <c r="DR333" s="138" t="e">
        <f>IF(VLOOKUP(CONCATENATE(H333,F333,DR$2),Inglés!$A:$H,7,FALSE)=AF333,1,0)</f>
        <v>#N/A</v>
      </c>
      <c r="DS333" s="138" t="e">
        <f>IF(VLOOKUP(CONCATENATE(H333,F333,DS$2),Inglés!$A:$H,7,FALSE)=AG333,1,0)</f>
        <v>#N/A</v>
      </c>
      <c r="DT333" s="138" t="e">
        <f>IF(VLOOKUP(CONCATENATE(H333,F333,DT$2),Inglés!$A:$H,7,FALSE)=AH333,1,0)</f>
        <v>#N/A</v>
      </c>
      <c r="DU333" s="138" t="e">
        <f>IF(VLOOKUP(CONCATENATE(H333,F333,DU$2),Inglés!$A:$H,7,FALSE)=AI333,1,0)</f>
        <v>#N/A</v>
      </c>
      <c r="DV333" s="138" t="e">
        <f>IF(VLOOKUP(CONCATENATE(H333,F333,DV$2),Inglés!$A:$H,7,FALSE)=AJ333,1,0)</f>
        <v>#N/A</v>
      </c>
      <c r="DW333" s="138" t="e">
        <f>IF(VLOOKUP(CONCATENATE(H333,F333,DW$2),Inglés!$A:$H,7,FALSE)=AK333,1,0)</f>
        <v>#N/A</v>
      </c>
      <c r="DX333" s="138" t="e">
        <f>IF(VLOOKUP(CONCATENATE(H333,F333,DX$2),Inglés!$A:$H,7,FALSE)=AL333,1,0)</f>
        <v>#N/A</v>
      </c>
      <c r="DY333" s="138" t="e">
        <f>IF(VLOOKUP(CONCATENATE(H333,F333,DY$2),Inglés!$A:$H,7,FALSE)=AM333,1,0)</f>
        <v>#N/A</v>
      </c>
      <c r="DZ333" s="138" t="e">
        <f>IF(VLOOKUP(CONCATENATE(H333,F333,DZ$2),Inglés!$A:$H,7,FALSE)=AN333,1,0)</f>
        <v>#N/A</v>
      </c>
      <c r="EA333" s="138" t="e">
        <f>IF(VLOOKUP(CONCATENATE(H333,F333,EA$2),Inglés!$A:$H,7,FALSE)=AO333,1,0)</f>
        <v>#N/A</v>
      </c>
      <c r="EB333" s="138" t="e">
        <f>IF(VLOOKUP(CONCATENATE(H333,F333,EB$2),Matemáticas!$A:$H,7,FALSE)=AP333,1,0)</f>
        <v>#N/A</v>
      </c>
      <c r="EC333" s="138" t="e">
        <f>IF(VLOOKUP(CONCATENATE(H333,F333,EC$2),Matemáticas!$A:$H,7,FALSE)=AQ333,1,0)</f>
        <v>#N/A</v>
      </c>
      <c r="ED333" s="138" t="e">
        <f>IF(VLOOKUP(CONCATENATE(H333,F333,ED$2),Matemáticas!$A:$H,7,FALSE)=AR333,1,0)</f>
        <v>#N/A</v>
      </c>
      <c r="EE333" s="138" t="e">
        <f>IF(VLOOKUP(CONCATENATE(H333,F333,EE$2),Matemáticas!$A:$H,7,FALSE)=AS333,1,0)</f>
        <v>#N/A</v>
      </c>
      <c r="EF333" s="138" t="e">
        <f>IF(VLOOKUP(CONCATENATE(H333,F333,EF$2),Matemáticas!$A:$H,7,FALSE)=AT333,1,0)</f>
        <v>#N/A</v>
      </c>
      <c r="EG333" s="138" t="e">
        <f>IF(VLOOKUP(CONCATENATE(H333,F333,EG$2),Matemáticas!$A:$H,7,FALSE)=AU333,1,0)</f>
        <v>#N/A</v>
      </c>
      <c r="EH333" s="138" t="e">
        <f>IF(VLOOKUP(CONCATENATE(H333,F333,EH$2),Matemáticas!$A:$H,7,FALSE)=AV333,1,0)</f>
        <v>#N/A</v>
      </c>
      <c r="EI333" s="138" t="e">
        <f>IF(VLOOKUP(CONCATENATE(H333,F333,EI$2),Matemáticas!$A:$H,7,FALSE)=AW333,1,0)</f>
        <v>#N/A</v>
      </c>
      <c r="EJ333" s="138" t="e">
        <f>IF(VLOOKUP(CONCATENATE(H333,F333,EJ$2),Matemáticas!$A:$H,7,FALSE)=AX333,1,0)</f>
        <v>#N/A</v>
      </c>
      <c r="EK333" s="138" t="e">
        <f>IF(VLOOKUP(CONCATENATE(H333,F333,EK$2),Matemáticas!$A:$H,7,FALSE)=AY333,1,0)</f>
        <v>#N/A</v>
      </c>
      <c r="EL333" s="138" t="e">
        <f>IF(VLOOKUP(CONCATENATE(H333,F333,EL$2),Matemáticas!$A:$H,7,FALSE)=AZ333,1,0)</f>
        <v>#N/A</v>
      </c>
      <c r="EM333" s="138" t="e">
        <f>IF(VLOOKUP(CONCATENATE(H333,F333,EM$2),Matemáticas!$A:$H,7,FALSE)=BA333,1,0)</f>
        <v>#N/A</v>
      </c>
      <c r="EN333" s="138" t="e">
        <f>IF(VLOOKUP(CONCATENATE(H333,F333,EN$2),Matemáticas!$A:$H,7,FALSE)=BB333,1,0)</f>
        <v>#N/A</v>
      </c>
      <c r="EO333" s="138" t="e">
        <f>IF(VLOOKUP(CONCATENATE(H333,F333,EO$2),Matemáticas!$A:$H,7,FALSE)=BC333,1,0)</f>
        <v>#N/A</v>
      </c>
      <c r="EP333" s="138" t="e">
        <f>IF(VLOOKUP(CONCATENATE(H333,F333,EP$2),Matemáticas!$A:$H,7,FALSE)=BD333,1,0)</f>
        <v>#N/A</v>
      </c>
      <c r="EQ333" s="138" t="e">
        <f>IF(VLOOKUP(CONCATENATE(H333,F333,EQ$2),Matemáticas!$A:$H,7,FALSE)=BE333,1,0)</f>
        <v>#N/A</v>
      </c>
      <c r="ER333" s="138" t="e">
        <f>IF(VLOOKUP(CONCATENATE(H333,F333,ER$2),Matemáticas!$A:$H,7,FALSE)=BF333,1,0)</f>
        <v>#N/A</v>
      </c>
      <c r="ES333" s="138" t="e">
        <f>IF(VLOOKUP(CONCATENATE(H333,F333,ES$2),Matemáticas!$A:$H,7,FALSE)=BG333,1,0)</f>
        <v>#N/A</v>
      </c>
      <c r="ET333" s="138" t="e">
        <f>IF(VLOOKUP(CONCATENATE(H333,F333,ET$2),Matemáticas!$A:$H,7,FALSE)=BH333,1,0)</f>
        <v>#N/A</v>
      </c>
      <c r="EU333" s="138" t="e">
        <f>IF(VLOOKUP(CONCATENATE(H333,F333,EU$2),Matemáticas!$A:$H,7,FALSE)=BI333,1,0)</f>
        <v>#N/A</v>
      </c>
      <c r="EV333" s="138" t="e">
        <f>IF(VLOOKUP(CONCATENATE(H333,F333,EV$2),Ciencias!$A:$H,7,FALSE)=BJ333,1,0)</f>
        <v>#N/A</v>
      </c>
      <c r="EW333" s="138" t="e">
        <f>IF(VLOOKUP(CONCATENATE(H333,F333,EW$2),Ciencias!$A:$H,7,FALSE)=BK333,1,0)</f>
        <v>#N/A</v>
      </c>
      <c r="EX333" s="138" t="e">
        <f>IF(VLOOKUP(CONCATENATE(H333,F333,EX$2),Ciencias!$A:$H,7,FALSE)=BL333,1,0)</f>
        <v>#N/A</v>
      </c>
      <c r="EY333" s="138" t="e">
        <f>IF(VLOOKUP(CONCATENATE(H333,F333,EY$2),Ciencias!$A:$H,7,FALSE)=BM333,1,0)</f>
        <v>#N/A</v>
      </c>
      <c r="EZ333" s="138" t="e">
        <f>IF(VLOOKUP(CONCATENATE(H333,F333,EZ$2),Ciencias!$A:$H,7,FALSE)=BN333,1,0)</f>
        <v>#N/A</v>
      </c>
      <c r="FA333" s="138" t="e">
        <f>IF(VLOOKUP(CONCATENATE(H333,F333,FA$2),Ciencias!$A:$H,7,FALSE)=BO333,1,0)</f>
        <v>#N/A</v>
      </c>
      <c r="FB333" s="138" t="e">
        <f>IF(VLOOKUP(CONCATENATE(H333,F333,FB$2),Ciencias!$A:$H,7,FALSE)=BP333,1,0)</f>
        <v>#N/A</v>
      </c>
      <c r="FC333" s="138" t="e">
        <f>IF(VLOOKUP(CONCATENATE(H333,F333,FC$2),Ciencias!$A:$H,7,FALSE)=BQ333,1,0)</f>
        <v>#N/A</v>
      </c>
      <c r="FD333" s="138" t="e">
        <f>IF(VLOOKUP(CONCATENATE(H333,F333,FD$2),Ciencias!$A:$H,7,FALSE)=BR333,1,0)</f>
        <v>#N/A</v>
      </c>
      <c r="FE333" s="138" t="e">
        <f>IF(VLOOKUP(CONCATENATE(H333,F333,FE$2),Ciencias!$A:$H,7,FALSE)=BS333,1,0)</f>
        <v>#N/A</v>
      </c>
      <c r="FF333" s="138" t="e">
        <f>IF(VLOOKUP(CONCATENATE(H333,F333,FF$2),Ciencias!$A:$H,7,FALSE)=BT333,1,0)</f>
        <v>#N/A</v>
      </c>
      <c r="FG333" s="138" t="e">
        <f>IF(VLOOKUP(CONCATENATE(H333,F333,FG$2),Ciencias!$A:$H,7,FALSE)=BU333,1,0)</f>
        <v>#N/A</v>
      </c>
      <c r="FH333" s="138" t="e">
        <f>IF(VLOOKUP(CONCATENATE(H333,F333,FH$2),Ciencias!$A:$H,7,FALSE)=BV333,1,0)</f>
        <v>#N/A</v>
      </c>
      <c r="FI333" s="138" t="e">
        <f>IF(VLOOKUP(CONCATENATE(H333,F333,FI$2),Ciencias!$A:$H,7,FALSE)=BW333,1,0)</f>
        <v>#N/A</v>
      </c>
      <c r="FJ333" s="138" t="e">
        <f>IF(VLOOKUP(CONCATENATE(H333,F333,FJ$2),Ciencias!$A:$H,7,FALSE)=BX333,1,0)</f>
        <v>#N/A</v>
      </c>
      <c r="FK333" s="138" t="e">
        <f>IF(VLOOKUP(CONCATENATE(H333,F333,FK$2),Ciencias!$A:$H,7,FALSE)=BY333,1,0)</f>
        <v>#N/A</v>
      </c>
      <c r="FL333" s="138" t="e">
        <f>IF(VLOOKUP(CONCATENATE(H333,F333,FL$2),Ciencias!$A:$H,7,FALSE)=BZ333,1,0)</f>
        <v>#N/A</v>
      </c>
      <c r="FM333" s="138" t="e">
        <f>IF(VLOOKUP(CONCATENATE(H333,F333,FM$2),Ciencias!$A:$H,7,FALSE)=CA333,1,0)</f>
        <v>#N/A</v>
      </c>
      <c r="FN333" s="138" t="e">
        <f>IF(VLOOKUP(CONCATENATE(H333,F333,FN$2),Ciencias!$A:$H,7,FALSE)=CB333,1,0)</f>
        <v>#N/A</v>
      </c>
      <c r="FO333" s="138" t="e">
        <f>IF(VLOOKUP(CONCATENATE(H333,F333,FO$2),Ciencias!$A:$H,7,FALSE)=CC333,1,0)</f>
        <v>#N/A</v>
      </c>
      <c r="FP333" s="138" t="e">
        <f>IF(VLOOKUP(CONCATENATE(H333,F333,FP$2),GeoHis!$A:$H,7,FALSE)=CD333,1,0)</f>
        <v>#N/A</v>
      </c>
      <c r="FQ333" s="138" t="e">
        <f>IF(VLOOKUP(CONCATENATE(H333,F333,FQ$2),GeoHis!$A:$H,7,FALSE)=CE333,1,0)</f>
        <v>#N/A</v>
      </c>
      <c r="FR333" s="138" t="e">
        <f>IF(VLOOKUP(CONCATENATE(H333,F333,FR$2),GeoHis!$A:$H,7,FALSE)=CF333,1,0)</f>
        <v>#N/A</v>
      </c>
      <c r="FS333" s="138" t="e">
        <f>IF(VLOOKUP(CONCATENATE(H333,F333,FS$2),GeoHis!$A:$H,7,FALSE)=CG333,1,0)</f>
        <v>#N/A</v>
      </c>
      <c r="FT333" s="138" t="e">
        <f>IF(VLOOKUP(CONCATENATE(H333,F333,FT$2),GeoHis!$A:$H,7,FALSE)=CH333,1,0)</f>
        <v>#N/A</v>
      </c>
      <c r="FU333" s="138" t="e">
        <f>IF(VLOOKUP(CONCATENATE(H333,F333,FU$2),GeoHis!$A:$H,7,FALSE)=CI333,1,0)</f>
        <v>#N/A</v>
      </c>
      <c r="FV333" s="138" t="e">
        <f>IF(VLOOKUP(CONCATENATE(H333,F333,FV$2),GeoHis!$A:$H,7,FALSE)=CJ333,1,0)</f>
        <v>#N/A</v>
      </c>
      <c r="FW333" s="138" t="e">
        <f>IF(VLOOKUP(CONCATENATE(H333,F333,FW$2),GeoHis!$A:$H,7,FALSE)=CK333,1,0)</f>
        <v>#N/A</v>
      </c>
      <c r="FX333" s="138" t="e">
        <f>IF(VLOOKUP(CONCATENATE(H333,F333,FX$2),GeoHis!$A:$H,7,FALSE)=CL333,1,0)</f>
        <v>#N/A</v>
      </c>
      <c r="FY333" s="138" t="e">
        <f>IF(VLOOKUP(CONCATENATE(H333,F333,FY$2),GeoHis!$A:$H,7,FALSE)=CM333,1,0)</f>
        <v>#N/A</v>
      </c>
      <c r="FZ333" s="138" t="e">
        <f>IF(VLOOKUP(CONCATENATE(H333,F333,FZ$2),GeoHis!$A:$H,7,FALSE)=CN333,1,0)</f>
        <v>#N/A</v>
      </c>
      <c r="GA333" s="138" t="e">
        <f>IF(VLOOKUP(CONCATENATE(H333,F333,GA$2),GeoHis!$A:$H,7,FALSE)=CO333,1,0)</f>
        <v>#N/A</v>
      </c>
      <c r="GB333" s="138" t="e">
        <f>IF(VLOOKUP(CONCATENATE(H333,F333,GB$2),GeoHis!$A:$H,7,FALSE)=CP333,1,0)</f>
        <v>#N/A</v>
      </c>
      <c r="GC333" s="138" t="e">
        <f>IF(VLOOKUP(CONCATENATE(H333,F333,GC$2),GeoHis!$A:$H,7,FALSE)=CQ333,1,0)</f>
        <v>#N/A</v>
      </c>
      <c r="GD333" s="138" t="e">
        <f>IF(VLOOKUP(CONCATENATE(H333,F333,GD$2),GeoHis!$A:$H,7,FALSE)=CR333,1,0)</f>
        <v>#N/A</v>
      </c>
      <c r="GE333" s="135" t="str">
        <f t="shared" si="47"/>
        <v/>
      </c>
    </row>
    <row r="334" spans="1:187" x14ac:dyDescent="0.25">
      <c r="A334" s="127" t="str">
        <f>IF(C334="","",'Datos Generales'!$A$25)</f>
        <v/>
      </c>
      <c r="D334" s="126" t="str">
        <f t="shared" si="40"/>
        <v/>
      </c>
      <c r="E334" s="126">
        <f t="shared" si="41"/>
        <v>0</v>
      </c>
      <c r="F334" s="126" t="str">
        <f t="shared" si="42"/>
        <v/>
      </c>
      <c r="G334" s="126" t="str">
        <f>IF(C334="","",'Datos Generales'!$D$19)</f>
        <v/>
      </c>
      <c r="H334" s="21" t="str">
        <f>IF(C334="","",'Datos Generales'!$A$19)</f>
        <v/>
      </c>
      <c r="I334" s="126" t="str">
        <f>IF(C334="","",'Datos Generales'!$A$7)</f>
        <v/>
      </c>
      <c r="J334" s="21" t="str">
        <f>IF(C334="","",'Datos Generales'!$A$13)</f>
        <v/>
      </c>
      <c r="K334" s="21" t="str">
        <f>IF(C334="","",'Datos Generales'!$A$10)</f>
        <v/>
      </c>
      <c r="CS334" s="142" t="str">
        <f t="shared" si="43"/>
        <v/>
      </c>
      <c r="CT334" s="142" t="str">
        <f t="shared" si="44"/>
        <v/>
      </c>
      <c r="CU334" s="142" t="str">
        <f t="shared" si="45"/>
        <v/>
      </c>
      <c r="CV334" s="142" t="str">
        <f t="shared" si="46"/>
        <v/>
      </c>
      <c r="CW334" s="142" t="str">
        <f>IF(C334="","",IF('Datos Generales'!$A$19=1,AVERAGE(FP334:GD334),AVERAGE(Captura!FP334:FY334)))</f>
        <v/>
      </c>
      <c r="CX334" s="138" t="e">
        <f>IF(VLOOKUP(CONCATENATE($H$4,$F$4,CX$2),Español!$A:$H,7,FALSE)=L334,1,0)</f>
        <v>#N/A</v>
      </c>
      <c r="CY334" s="138" t="e">
        <f>IF(VLOOKUP(CONCATENATE(H334,F334,CY$2),Español!$A:$H,7,FALSE)=M334,1,0)</f>
        <v>#N/A</v>
      </c>
      <c r="CZ334" s="138" t="e">
        <f>IF(VLOOKUP(CONCATENATE(H334,F334,CZ$2),Español!$A:$H,7,FALSE)=N334,1,0)</f>
        <v>#N/A</v>
      </c>
      <c r="DA334" s="138" t="e">
        <f>IF(VLOOKUP(CONCATENATE(H334,F334,DA$2),Español!$A:$H,7,FALSE)=O334,1,0)</f>
        <v>#N/A</v>
      </c>
      <c r="DB334" s="138" t="e">
        <f>IF(VLOOKUP(CONCATENATE(H334,F334,DB$2),Español!$A:$H,7,FALSE)=P334,1,0)</f>
        <v>#N/A</v>
      </c>
      <c r="DC334" s="138" t="e">
        <f>IF(VLOOKUP(CONCATENATE(H334,F334,DC$2),Español!$A:$H,7,FALSE)=Q334,1,0)</f>
        <v>#N/A</v>
      </c>
      <c r="DD334" s="138" t="e">
        <f>IF(VLOOKUP(CONCATENATE(H334,F334,DD$2),Español!$A:$H,7,FALSE)=R334,1,0)</f>
        <v>#N/A</v>
      </c>
      <c r="DE334" s="138" t="e">
        <f>IF(VLOOKUP(CONCATENATE(H334,F334,DE$2),Español!$A:$H,7,FALSE)=S334,1,0)</f>
        <v>#N/A</v>
      </c>
      <c r="DF334" s="138" t="e">
        <f>IF(VLOOKUP(CONCATENATE(H334,F334,DF$2),Español!$A:$H,7,FALSE)=T334,1,0)</f>
        <v>#N/A</v>
      </c>
      <c r="DG334" s="138" t="e">
        <f>IF(VLOOKUP(CONCATENATE(H334,F334,DG$2),Español!$A:$H,7,FALSE)=U334,1,0)</f>
        <v>#N/A</v>
      </c>
      <c r="DH334" s="138" t="e">
        <f>IF(VLOOKUP(CONCATENATE(H334,F334,DH$2),Español!$A:$H,7,FALSE)=V334,1,0)</f>
        <v>#N/A</v>
      </c>
      <c r="DI334" s="138" t="e">
        <f>IF(VLOOKUP(CONCATENATE(H334,F334,DI$2),Español!$A:$H,7,FALSE)=W334,1,0)</f>
        <v>#N/A</v>
      </c>
      <c r="DJ334" s="138" t="e">
        <f>IF(VLOOKUP(CONCATENATE(H334,F334,DJ$2),Español!$A:$H,7,FALSE)=X334,1,0)</f>
        <v>#N/A</v>
      </c>
      <c r="DK334" s="138" t="e">
        <f>IF(VLOOKUP(CONCATENATE(H334,F334,DK$2),Español!$A:$H,7,FALSE)=Y334,1,0)</f>
        <v>#N/A</v>
      </c>
      <c r="DL334" s="138" t="e">
        <f>IF(VLOOKUP(CONCATENATE(H334,F334,DL$2),Español!$A:$H,7,FALSE)=Z334,1,0)</f>
        <v>#N/A</v>
      </c>
      <c r="DM334" s="138" t="e">
        <f>IF(VLOOKUP(CONCATENATE(H334,F334,DM$2),Español!$A:$H,7,FALSE)=AA334,1,0)</f>
        <v>#N/A</v>
      </c>
      <c r="DN334" s="138" t="e">
        <f>IF(VLOOKUP(CONCATENATE(H334,F334,DN$2),Español!$A:$H,7,FALSE)=AB334,1,0)</f>
        <v>#N/A</v>
      </c>
      <c r="DO334" s="138" t="e">
        <f>IF(VLOOKUP(CONCATENATE(H334,F334,DO$2),Español!$A:$H,7,FALSE)=AC334,1,0)</f>
        <v>#N/A</v>
      </c>
      <c r="DP334" s="138" t="e">
        <f>IF(VLOOKUP(CONCATENATE(H334,F334,DP$2),Español!$A:$H,7,FALSE)=AD334,1,0)</f>
        <v>#N/A</v>
      </c>
      <c r="DQ334" s="138" t="e">
        <f>IF(VLOOKUP(CONCATENATE(H334,F334,DQ$2),Español!$A:$H,7,FALSE)=AE334,1,0)</f>
        <v>#N/A</v>
      </c>
      <c r="DR334" s="138" t="e">
        <f>IF(VLOOKUP(CONCATENATE(H334,F334,DR$2),Inglés!$A:$H,7,FALSE)=AF334,1,0)</f>
        <v>#N/A</v>
      </c>
      <c r="DS334" s="138" t="e">
        <f>IF(VLOOKUP(CONCATENATE(H334,F334,DS$2),Inglés!$A:$H,7,FALSE)=AG334,1,0)</f>
        <v>#N/A</v>
      </c>
      <c r="DT334" s="138" t="e">
        <f>IF(VLOOKUP(CONCATENATE(H334,F334,DT$2),Inglés!$A:$H,7,FALSE)=AH334,1,0)</f>
        <v>#N/A</v>
      </c>
      <c r="DU334" s="138" t="e">
        <f>IF(VLOOKUP(CONCATENATE(H334,F334,DU$2),Inglés!$A:$H,7,FALSE)=AI334,1,0)</f>
        <v>#N/A</v>
      </c>
      <c r="DV334" s="138" t="e">
        <f>IF(VLOOKUP(CONCATENATE(H334,F334,DV$2),Inglés!$A:$H,7,FALSE)=AJ334,1,0)</f>
        <v>#N/A</v>
      </c>
      <c r="DW334" s="138" t="e">
        <f>IF(VLOOKUP(CONCATENATE(H334,F334,DW$2),Inglés!$A:$H,7,FALSE)=AK334,1,0)</f>
        <v>#N/A</v>
      </c>
      <c r="DX334" s="138" t="e">
        <f>IF(VLOOKUP(CONCATENATE(H334,F334,DX$2),Inglés!$A:$H,7,FALSE)=AL334,1,0)</f>
        <v>#N/A</v>
      </c>
      <c r="DY334" s="138" t="e">
        <f>IF(VLOOKUP(CONCATENATE(H334,F334,DY$2),Inglés!$A:$H,7,FALSE)=AM334,1,0)</f>
        <v>#N/A</v>
      </c>
      <c r="DZ334" s="138" t="e">
        <f>IF(VLOOKUP(CONCATENATE(H334,F334,DZ$2),Inglés!$A:$H,7,FALSE)=AN334,1,0)</f>
        <v>#N/A</v>
      </c>
      <c r="EA334" s="138" t="e">
        <f>IF(VLOOKUP(CONCATENATE(H334,F334,EA$2),Inglés!$A:$H,7,FALSE)=AO334,1,0)</f>
        <v>#N/A</v>
      </c>
      <c r="EB334" s="138" t="e">
        <f>IF(VLOOKUP(CONCATENATE(H334,F334,EB$2),Matemáticas!$A:$H,7,FALSE)=AP334,1,0)</f>
        <v>#N/A</v>
      </c>
      <c r="EC334" s="138" t="e">
        <f>IF(VLOOKUP(CONCATENATE(H334,F334,EC$2),Matemáticas!$A:$H,7,FALSE)=AQ334,1,0)</f>
        <v>#N/A</v>
      </c>
      <c r="ED334" s="138" t="e">
        <f>IF(VLOOKUP(CONCATENATE(H334,F334,ED$2),Matemáticas!$A:$H,7,FALSE)=AR334,1,0)</f>
        <v>#N/A</v>
      </c>
      <c r="EE334" s="138" t="e">
        <f>IF(VLOOKUP(CONCATENATE(H334,F334,EE$2),Matemáticas!$A:$H,7,FALSE)=AS334,1,0)</f>
        <v>#N/A</v>
      </c>
      <c r="EF334" s="138" t="e">
        <f>IF(VLOOKUP(CONCATENATE(H334,F334,EF$2),Matemáticas!$A:$H,7,FALSE)=AT334,1,0)</f>
        <v>#N/A</v>
      </c>
      <c r="EG334" s="138" t="e">
        <f>IF(VLOOKUP(CONCATENATE(H334,F334,EG$2),Matemáticas!$A:$H,7,FALSE)=AU334,1,0)</f>
        <v>#N/A</v>
      </c>
      <c r="EH334" s="138" t="e">
        <f>IF(VLOOKUP(CONCATENATE(H334,F334,EH$2),Matemáticas!$A:$H,7,FALSE)=AV334,1,0)</f>
        <v>#N/A</v>
      </c>
      <c r="EI334" s="138" t="e">
        <f>IF(VLOOKUP(CONCATENATE(H334,F334,EI$2),Matemáticas!$A:$H,7,FALSE)=AW334,1,0)</f>
        <v>#N/A</v>
      </c>
      <c r="EJ334" s="138" t="e">
        <f>IF(VLOOKUP(CONCATENATE(H334,F334,EJ$2),Matemáticas!$A:$H,7,FALSE)=AX334,1,0)</f>
        <v>#N/A</v>
      </c>
      <c r="EK334" s="138" t="e">
        <f>IF(VLOOKUP(CONCATENATE(H334,F334,EK$2),Matemáticas!$A:$H,7,FALSE)=AY334,1,0)</f>
        <v>#N/A</v>
      </c>
      <c r="EL334" s="138" t="e">
        <f>IF(VLOOKUP(CONCATENATE(H334,F334,EL$2),Matemáticas!$A:$H,7,FALSE)=AZ334,1,0)</f>
        <v>#N/A</v>
      </c>
      <c r="EM334" s="138" t="e">
        <f>IF(VLOOKUP(CONCATENATE(H334,F334,EM$2),Matemáticas!$A:$H,7,FALSE)=BA334,1,0)</f>
        <v>#N/A</v>
      </c>
      <c r="EN334" s="138" t="e">
        <f>IF(VLOOKUP(CONCATENATE(H334,F334,EN$2),Matemáticas!$A:$H,7,FALSE)=BB334,1,0)</f>
        <v>#N/A</v>
      </c>
      <c r="EO334" s="138" t="e">
        <f>IF(VLOOKUP(CONCATENATE(H334,F334,EO$2),Matemáticas!$A:$H,7,FALSE)=BC334,1,0)</f>
        <v>#N/A</v>
      </c>
      <c r="EP334" s="138" t="e">
        <f>IF(VLOOKUP(CONCATENATE(H334,F334,EP$2),Matemáticas!$A:$H,7,FALSE)=BD334,1,0)</f>
        <v>#N/A</v>
      </c>
      <c r="EQ334" s="138" t="e">
        <f>IF(VLOOKUP(CONCATENATE(H334,F334,EQ$2),Matemáticas!$A:$H,7,FALSE)=BE334,1,0)</f>
        <v>#N/A</v>
      </c>
      <c r="ER334" s="138" t="e">
        <f>IF(VLOOKUP(CONCATENATE(H334,F334,ER$2),Matemáticas!$A:$H,7,FALSE)=BF334,1,0)</f>
        <v>#N/A</v>
      </c>
      <c r="ES334" s="138" t="e">
        <f>IF(VLOOKUP(CONCATENATE(H334,F334,ES$2),Matemáticas!$A:$H,7,FALSE)=BG334,1,0)</f>
        <v>#N/A</v>
      </c>
      <c r="ET334" s="138" t="e">
        <f>IF(VLOOKUP(CONCATENATE(H334,F334,ET$2),Matemáticas!$A:$H,7,FALSE)=BH334,1,0)</f>
        <v>#N/A</v>
      </c>
      <c r="EU334" s="138" t="e">
        <f>IF(VLOOKUP(CONCATENATE(H334,F334,EU$2),Matemáticas!$A:$H,7,FALSE)=BI334,1,0)</f>
        <v>#N/A</v>
      </c>
      <c r="EV334" s="138" t="e">
        <f>IF(VLOOKUP(CONCATENATE(H334,F334,EV$2),Ciencias!$A:$H,7,FALSE)=BJ334,1,0)</f>
        <v>#N/A</v>
      </c>
      <c r="EW334" s="138" t="e">
        <f>IF(VLOOKUP(CONCATENATE(H334,F334,EW$2),Ciencias!$A:$H,7,FALSE)=BK334,1,0)</f>
        <v>#N/A</v>
      </c>
      <c r="EX334" s="138" t="e">
        <f>IF(VLOOKUP(CONCATENATE(H334,F334,EX$2),Ciencias!$A:$H,7,FALSE)=BL334,1,0)</f>
        <v>#N/A</v>
      </c>
      <c r="EY334" s="138" t="e">
        <f>IF(VLOOKUP(CONCATENATE(H334,F334,EY$2),Ciencias!$A:$H,7,FALSE)=BM334,1,0)</f>
        <v>#N/A</v>
      </c>
      <c r="EZ334" s="138" t="e">
        <f>IF(VLOOKUP(CONCATENATE(H334,F334,EZ$2),Ciencias!$A:$H,7,FALSE)=BN334,1,0)</f>
        <v>#N/A</v>
      </c>
      <c r="FA334" s="138" t="e">
        <f>IF(VLOOKUP(CONCATENATE(H334,F334,FA$2),Ciencias!$A:$H,7,FALSE)=BO334,1,0)</f>
        <v>#N/A</v>
      </c>
      <c r="FB334" s="138" t="e">
        <f>IF(VLOOKUP(CONCATENATE(H334,F334,FB$2),Ciencias!$A:$H,7,FALSE)=BP334,1,0)</f>
        <v>#N/A</v>
      </c>
      <c r="FC334" s="138" t="e">
        <f>IF(VLOOKUP(CONCATENATE(H334,F334,FC$2),Ciencias!$A:$H,7,FALSE)=BQ334,1,0)</f>
        <v>#N/A</v>
      </c>
      <c r="FD334" s="138" t="e">
        <f>IF(VLOOKUP(CONCATENATE(H334,F334,FD$2),Ciencias!$A:$H,7,FALSE)=BR334,1,0)</f>
        <v>#N/A</v>
      </c>
      <c r="FE334" s="138" t="e">
        <f>IF(VLOOKUP(CONCATENATE(H334,F334,FE$2),Ciencias!$A:$H,7,FALSE)=BS334,1,0)</f>
        <v>#N/A</v>
      </c>
      <c r="FF334" s="138" t="e">
        <f>IF(VLOOKUP(CONCATENATE(H334,F334,FF$2),Ciencias!$A:$H,7,FALSE)=BT334,1,0)</f>
        <v>#N/A</v>
      </c>
      <c r="FG334" s="138" t="e">
        <f>IF(VLOOKUP(CONCATENATE(H334,F334,FG$2),Ciencias!$A:$H,7,FALSE)=BU334,1,0)</f>
        <v>#N/A</v>
      </c>
      <c r="FH334" s="138" t="e">
        <f>IF(VLOOKUP(CONCATENATE(H334,F334,FH$2),Ciencias!$A:$H,7,FALSE)=BV334,1,0)</f>
        <v>#N/A</v>
      </c>
      <c r="FI334" s="138" t="e">
        <f>IF(VLOOKUP(CONCATENATE(H334,F334,FI$2),Ciencias!$A:$H,7,FALSE)=BW334,1,0)</f>
        <v>#N/A</v>
      </c>
      <c r="FJ334" s="138" t="e">
        <f>IF(VLOOKUP(CONCATENATE(H334,F334,FJ$2),Ciencias!$A:$H,7,FALSE)=BX334,1,0)</f>
        <v>#N/A</v>
      </c>
      <c r="FK334" s="138" t="e">
        <f>IF(VLOOKUP(CONCATENATE(H334,F334,FK$2),Ciencias!$A:$H,7,FALSE)=BY334,1,0)</f>
        <v>#N/A</v>
      </c>
      <c r="FL334" s="138" t="e">
        <f>IF(VLOOKUP(CONCATENATE(H334,F334,FL$2),Ciencias!$A:$H,7,FALSE)=BZ334,1,0)</f>
        <v>#N/A</v>
      </c>
      <c r="FM334" s="138" t="e">
        <f>IF(VLOOKUP(CONCATENATE(H334,F334,FM$2),Ciencias!$A:$H,7,FALSE)=CA334,1,0)</f>
        <v>#N/A</v>
      </c>
      <c r="FN334" s="138" t="e">
        <f>IF(VLOOKUP(CONCATENATE(H334,F334,FN$2),Ciencias!$A:$H,7,FALSE)=CB334,1,0)</f>
        <v>#N/A</v>
      </c>
      <c r="FO334" s="138" t="e">
        <f>IF(VLOOKUP(CONCATENATE(H334,F334,FO$2),Ciencias!$A:$H,7,FALSE)=CC334,1,0)</f>
        <v>#N/A</v>
      </c>
      <c r="FP334" s="138" t="e">
        <f>IF(VLOOKUP(CONCATENATE(H334,F334,FP$2),GeoHis!$A:$H,7,FALSE)=CD334,1,0)</f>
        <v>#N/A</v>
      </c>
      <c r="FQ334" s="138" t="e">
        <f>IF(VLOOKUP(CONCATENATE(H334,F334,FQ$2),GeoHis!$A:$H,7,FALSE)=CE334,1,0)</f>
        <v>#N/A</v>
      </c>
      <c r="FR334" s="138" t="e">
        <f>IF(VLOOKUP(CONCATENATE(H334,F334,FR$2),GeoHis!$A:$H,7,FALSE)=CF334,1,0)</f>
        <v>#N/A</v>
      </c>
      <c r="FS334" s="138" t="e">
        <f>IF(VLOOKUP(CONCATENATE(H334,F334,FS$2),GeoHis!$A:$H,7,FALSE)=CG334,1,0)</f>
        <v>#N/A</v>
      </c>
      <c r="FT334" s="138" t="e">
        <f>IF(VLOOKUP(CONCATENATE(H334,F334,FT$2),GeoHis!$A:$H,7,FALSE)=CH334,1,0)</f>
        <v>#N/A</v>
      </c>
      <c r="FU334" s="138" t="e">
        <f>IF(VLOOKUP(CONCATENATE(H334,F334,FU$2),GeoHis!$A:$H,7,FALSE)=CI334,1,0)</f>
        <v>#N/A</v>
      </c>
      <c r="FV334" s="138" t="e">
        <f>IF(VLOOKUP(CONCATENATE(H334,F334,FV$2),GeoHis!$A:$H,7,FALSE)=CJ334,1,0)</f>
        <v>#N/A</v>
      </c>
      <c r="FW334" s="138" t="e">
        <f>IF(VLOOKUP(CONCATENATE(H334,F334,FW$2),GeoHis!$A:$H,7,FALSE)=CK334,1,0)</f>
        <v>#N/A</v>
      </c>
      <c r="FX334" s="138" t="e">
        <f>IF(VLOOKUP(CONCATENATE(H334,F334,FX$2),GeoHis!$A:$H,7,FALSE)=CL334,1,0)</f>
        <v>#N/A</v>
      </c>
      <c r="FY334" s="138" t="e">
        <f>IF(VLOOKUP(CONCATENATE(H334,F334,FY$2),GeoHis!$A:$H,7,FALSE)=CM334,1,0)</f>
        <v>#N/A</v>
      </c>
      <c r="FZ334" s="138" t="e">
        <f>IF(VLOOKUP(CONCATENATE(H334,F334,FZ$2),GeoHis!$A:$H,7,FALSE)=CN334,1,0)</f>
        <v>#N/A</v>
      </c>
      <c r="GA334" s="138" t="e">
        <f>IF(VLOOKUP(CONCATENATE(H334,F334,GA$2),GeoHis!$A:$H,7,FALSE)=CO334,1,0)</f>
        <v>#N/A</v>
      </c>
      <c r="GB334" s="138" t="e">
        <f>IF(VLOOKUP(CONCATENATE(H334,F334,GB$2),GeoHis!$A:$H,7,FALSE)=CP334,1,0)</f>
        <v>#N/A</v>
      </c>
      <c r="GC334" s="138" t="e">
        <f>IF(VLOOKUP(CONCATENATE(H334,F334,GC$2),GeoHis!$A:$H,7,FALSE)=CQ334,1,0)</f>
        <v>#N/A</v>
      </c>
      <c r="GD334" s="138" t="e">
        <f>IF(VLOOKUP(CONCATENATE(H334,F334,GD$2),GeoHis!$A:$H,7,FALSE)=CR334,1,0)</f>
        <v>#N/A</v>
      </c>
      <c r="GE334" s="135" t="str">
        <f t="shared" si="47"/>
        <v/>
      </c>
    </row>
    <row r="335" spans="1:187" x14ac:dyDescent="0.25">
      <c r="A335" s="127" t="str">
        <f>IF(C335="","",'Datos Generales'!$A$25)</f>
        <v/>
      </c>
      <c r="D335" s="126" t="str">
        <f t="shared" si="40"/>
        <v/>
      </c>
      <c r="E335" s="126">
        <f t="shared" si="41"/>
        <v>0</v>
      </c>
      <c r="F335" s="126" t="str">
        <f t="shared" si="42"/>
        <v/>
      </c>
      <c r="G335" s="126" t="str">
        <f>IF(C335="","",'Datos Generales'!$D$19)</f>
        <v/>
      </c>
      <c r="H335" s="21" t="str">
        <f>IF(C335="","",'Datos Generales'!$A$19)</f>
        <v/>
      </c>
      <c r="I335" s="126" t="str">
        <f>IF(C335="","",'Datos Generales'!$A$7)</f>
        <v/>
      </c>
      <c r="J335" s="21" t="str">
        <f>IF(C335="","",'Datos Generales'!$A$13)</f>
        <v/>
      </c>
      <c r="K335" s="21" t="str">
        <f>IF(C335="","",'Datos Generales'!$A$10)</f>
        <v/>
      </c>
      <c r="CS335" s="142" t="str">
        <f t="shared" si="43"/>
        <v/>
      </c>
      <c r="CT335" s="142" t="str">
        <f t="shared" si="44"/>
        <v/>
      </c>
      <c r="CU335" s="142" t="str">
        <f t="shared" si="45"/>
        <v/>
      </c>
      <c r="CV335" s="142" t="str">
        <f t="shared" si="46"/>
        <v/>
      </c>
      <c r="CW335" s="142" t="str">
        <f>IF(C335="","",IF('Datos Generales'!$A$19=1,AVERAGE(FP335:GD335),AVERAGE(Captura!FP335:FY335)))</f>
        <v/>
      </c>
      <c r="CX335" s="138" t="e">
        <f>IF(VLOOKUP(CONCATENATE($H$4,$F$4,CX$2),Español!$A:$H,7,FALSE)=L335,1,0)</f>
        <v>#N/A</v>
      </c>
      <c r="CY335" s="138" t="e">
        <f>IF(VLOOKUP(CONCATENATE(H335,F335,CY$2),Español!$A:$H,7,FALSE)=M335,1,0)</f>
        <v>#N/A</v>
      </c>
      <c r="CZ335" s="138" t="e">
        <f>IF(VLOOKUP(CONCATENATE(H335,F335,CZ$2),Español!$A:$H,7,FALSE)=N335,1,0)</f>
        <v>#N/A</v>
      </c>
      <c r="DA335" s="138" t="e">
        <f>IF(VLOOKUP(CONCATENATE(H335,F335,DA$2),Español!$A:$H,7,FALSE)=O335,1,0)</f>
        <v>#N/A</v>
      </c>
      <c r="DB335" s="138" t="e">
        <f>IF(VLOOKUP(CONCATENATE(H335,F335,DB$2),Español!$A:$H,7,FALSE)=P335,1,0)</f>
        <v>#N/A</v>
      </c>
      <c r="DC335" s="138" t="e">
        <f>IF(VLOOKUP(CONCATENATE(H335,F335,DC$2),Español!$A:$H,7,FALSE)=Q335,1,0)</f>
        <v>#N/A</v>
      </c>
      <c r="DD335" s="138" t="e">
        <f>IF(VLOOKUP(CONCATENATE(H335,F335,DD$2),Español!$A:$H,7,FALSE)=R335,1,0)</f>
        <v>#N/A</v>
      </c>
      <c r="DE335" s="138" t="e">
        <f>IF(VLOOKUP(CONCATENATE(H335,F335,DE$2),Español!$A:$H,7,FALSE)=S335,1,0)</f>
        <v>#N/A</v>
      </c>
      <c r="DF335" s="138" t="e">
        <f>IF(VLOOKUP(CONCATENATE(H335,F335,DF$2),Español!$A:$H,7,FALSE)=T335,1,0)</f>
        <v>#N/A</v>
      </c>
      <c r="DG335" s="138" t="e">
        <f>IF(VLOOKUP(CONCATENATE(H335,F335,DG$2),Español!$A:$H,7,FALSE)=U335,1,0)</f>
        <v>#N/A</v>
      </c>
      <c r="DH335" s="138" t="e">
        <f>IF(VLOOKUP(CONCATENATE(H335,F335,DH$2),Español!$A:$H,7,FALSE)=V335,1,0)</f>
        <v>#N/A</v>
      </c>
      <c r="DI335" s="138" t="e">
        <f>IF(VLOOKUP(CONCATENATE(H335,F335,DI$2),Español!$A:$H,7,FALSE)=W335,1,0)</f>
        <v>#N/A</v>
      </c>
      <c r="DJ335" s="138" t="e">
        <f>IF(VLOOKUP(CONCATENATE(H335,F335,DJ$2),Español!$A:$H,7,FALSE)=X335,1,0)</f>
        <v>#N/A</v>
      </c>
      <c r="DK335" s="138" t="e">
        <f>IF(VLOOKUP(CONCATENATE(H335,F335,DK$2),Español!$A:$H,7,FALSE)=Y335,1,0)</f>
        <v>#N/A</v>
      </c>
      <c r="DL335" s="138" t="e">
        <f>IF(VLOOKUP(CONCATENATE(H335,F335,DL$2),Español!$A:$H,7,FALSE)=Z335,1,0)</f>
        <v>#N/A</v>
      </c>
      <c r="DM335" s="138" t="e">
        <f>IF(VLOOKUP(CONCATENATE(H335,F335,DM$2),Español!$A:$H,7,FALSE)=AA335,1,0)</f>
        <v>#N/A</v>
      </c>
      <c r="DN335" s="138" t="e">
        <f>IF(VLOOKUP(CONCATENATE(H335,F335,DN$2),Español!$A:$H,7,FALSE)=AB335,1,0)</f>
        <v>#N/A</v>
      </c>
      <c r="DO335" s="138" t="e">
        <f>IF(VLOOKUP(CONCATENATE(H335,F335,DO$2),Español!$A:$H,7,FALSE)=AC335,1,0)</f>
        <v>#N/A</v>
      </c>
      <c r="DP335" s="138" t="e">
        <f>IF(VLOOKUP(CONCATENATE(H335,F335,DP$2),Español!$A:$H,7,FALSE)=AD335,1,0)</f>
        <v>#N/A</v>
      </c>
      <c r="DQ335" s="138" t="e">
        <f>IF(VLOOKUP(CONCATENATE(H335,F335,DQ$2),Español!$A:$H,7,FALSE)=AE335,1,0)</f>
        <v>#N/A</v>
      </c>
      <c r="DR335" s="138" t="e">
        <f>IF(VLOOKUP(CONCATENATE(H335,F335,DR$2),Inglés!$A:$H,7,FALSE)=AF335,1,0)</f>
        <v>#N/A</v>
      </c>
      <c r="DS335" s="138" t="e">
        <f>IF(VLOOKUP(CONCATENATE(H335,F335,DS$2),Inglés!$A:$H,7,FALSE)=AG335,1,0)</f>
        <v>#N/A</v>
      </c>
      <c r="DT335" s="138" t="e">
        <f>IF(VLOOKUP(CONCATENATE(H335,F335,DT$2),Inglés!$A:$H,7,FALSE)=AH335,1,0)</f>
        <v>#N/A</v>
      </c>
      <c r="DU335" s="138" t="e">
        <f>IF(VLOOKUP(CONCATENATE(H335,F335,DU$2),Inglés!$A:$H,7,FALSE)=AI335,1,0)</f>
        <v>#N/A</v>
      </c>
      <c r="DV335" s="138" t="e">
        <f>IF(VLOOKUP(CONCATENATE(H335,F335,DV$2),Inglés!$A:$H,7,FALSE)=AJ335,1,0)</f>
        <v>#N/A</v>
      </c>
      <c r="DW335" s="138" t="e">
        <f>IF(VLOOKUP(CONCATENATE(H335,F335,DW$2),Inglés!$A:$H,7,FALSE)=AK335,1,0)</f>
        <v>#N/A</v>
      </c>
      <c r="DX335" s="138" t="e">
        <f>IF(VLOOKUP(CONCATENATE(H335,F335,DX$2),Inglés!$A:$H,7,FALSE)=AL335,1,0)</f>
        <v>#N/A</v>
      </c>
      <c r="DY335" s="138" t="e">
        <f>IF(VLOOKUP(CONCATENATE(H335,F335,DY$2),Inglés!$A:$H,7,FALSE)=AM335,1,0)</f>
        <v>#N/A</v>
      </c>
      <c r="DZ335" s="138" t="e">
        <f>IF(VLOOKUP(CONCATENATE(H335,F335,DZ$2),Inglés!$A:$H,7,FALSE)=AN335,1,0)</f>
        <v>#N/A</v>
      </c>
      <c r="EA335" s="138" t="e">
        <f>IF(VLOOKUP(CONCATENATE(H335,F335,EA$2),Inglés!$A:$H,7,FALSE)=AO335,1,0)</f>
        <v>#N/A</v>
      </c>
      <c r="EB335" s="138" t="e">
        <f>IF(VLOOKUP(CONCATENATE(H335,F335,EB$2),Matemáticas!$A:$H,7,FALSE)=AP335,1,0)</f>
        <v>#N/A</v>
      </c>
      <c r="EC335" s="138" t="e">
        <f>IF(VLOOKUP(CONCATENATE(H335,F335,EC$2),Matemáticas!$A:$H,7,FALSE)=AQ335,1,0)</f>
        <v>#N/A</v>
      </c>
      <c r="ED335" s="138" t="e">
        <f>IF(VLOOKUP(CONCATENATE(H335,F335,ED$2),Matemáticas!$A:$H,7,FALSE)=AR335,1,0)</f>
        <v>#N/A</v>
      </c>
      <c r="EE335" s="138" t="e">
        <f>IF(VLOOKUP(CONCATENATE(H335,F335,EE$2),Matemáticas!$A:$H,7,FALSE)=AS335,1,0)</f>
        <v>#N/A</v>
      </c>
      <c r="EF335" s="138" t="e">
        <f>IF(VLOOKUP(CONCATENATE(H335,F335,EF$2),Matemáticas!$A:$H,7,FALSE)=AT335,1,0)</f>
        <v>#N/A</v>
      </c>
      <c r="EG335" s="138" t="e">
        <f>IF(VLOOKUP(CONCATENATE(H335,F335,EG$2),Matemáticas!$A:$H,7,FALSE)=AU335,1,0)</f>
        <v>#N/A</v>
      </c>
      <c r="EH335" s="138" t="e">
        <f>IF(VLOOKUP(CONCATENATE(H335,F335,EH$2),Matemáticas!$A:$H,7,FALSE)=AV335,1,0)</f>
        <v>#N/A</v>
      </c>
      <c r="EI335" s="138" t="e">
        <f>IF(VLOOKUP(CONCATENATE(H335,F335,EI$2),Matemáticas!$A:$H,7,FALSE)=AW335,1,0)</f>
        <v>#N/A</v>
      </c>
      <c r="EJ335" s="138" t="e">
        <f>IF(VLOOKUP(CONCATENATE(H335,F335,EJ$2),Matemáticas!$A:$H,7,FALSE)=AX335,1,0)</f>
        <v>#N/A</v>
      </c>
      <c r="EK335" s="138" t="e">
        <f>IF(VLOOKUP(CONCATENATE(H335,F335,EK$2),Matemáticas!$A:$H,7,FALSE)=AY335,1,0)</f>
        <v>#N/A</v>
      </c>
      <c r="EL335" s="138" t="e">
        <f>IF(VLOOKUP(CONCATENATE(H335,F335,EL$2),Matemáticas!$A:$H,7,FALSE)=AZ335,1,0)</f>
        <v>#N/A</v>
      </c>
      <c r="EM335" s="138" t="e">
        <f>IF(VLOOKUP(CONCATENATE(H335,F335,EM$2),Matemáticas!$A:$H,7,FALSE)=BA335,1,0)</f>
        <v>#N/A</v>
      </c>
      <c r="EN335" s="138" t="e">
        <f>IF(VLOOKUP(CONCATENATE(H335,F335,EN$2),Matemáticas!$A:$H,7,FALSE)=BB335,1,0)</f>
        <v>#N/A</v>
      </c>
      <c r="EO335" s="138" t="e">
        <f>IF(VLOOKUP(CONCATENATE(H335,F335,EO$2),Matemáticas!$A:$H,7,FALSE)=BC335,1,0)</f>
        <v>#N/A</v>
      </c>
      <c r="EP335" s="138" t="e">
        <f>IF(VLOOKUP(CONCATENATE(H335,F335,EP$2),Matemáticas!$A:$H,7,FALSE)=BD335,1,0)</f>
        <v>#N/A</v>
      </c>
      <c r="EQ335" s="138" t="e">
        <f>IF(VLOOKUP(CONCATENATE(H335,F335,EQ$2),Matemáticas!$A:$H,7,FALSE)=BE335,1,0)</f>
        <v>#N/A</v>
      </c>
      <c r="ER335" s="138" t="e">
        <f>IF(VLOOKUP(CONCATENATE(H335,F335,ER$2),Matemáticas!$A:$H,7,FALSE)=BF335,1,0)</f>
        <v>#N/A</v>
      </c>
      <c r="ES335" s="138" t="e">
        <f>IF(VLOOKUP(CONCATENATE(H335,F335,ES$2),Matemáticas!$A:$H,7,FALSE)=BG335,1,0)</f>
        <v>#N/A</v>
      </c>
      <c r="ET335" s="138" t="e">
        <f>IF(VLOOKUP(CONCATENATE(H335,F335,ET$2),Matemáticas!$A:$H,7,FALSE)=BH335,1,0)</f>
        <v>#N/A</v>
      </c>
      <c r="EU335" s="138" t="e">
        <f>IF(VLOOKUP(CONCATENATE(H335,F335,EU$2),Matemáticas!$A:$H,7,FALSE)=BI335,1,0)</f>
        <v>#N/A</v>
      </c>
      <c r="EV335" s="138" t="e">
        <f>IF(VLOOKUP(CONCATENATE(H335,F335,EV$2),Ciencias!$A:$H,7,FALSE)=BJ335,1,0)</f>
        <v>#N/A</v>
      </c>
      <c r="EW335" s="138" t="e">
        <f>IF(VLOOKUP(CONCATENATE(H335,F335,EW$2),Ciencias!$A:$H,7,FALSE)=BK335,1,0)</f>
        <v>#N/A</v>
      </c>
      <c r="EX335" s="138" t="e">
        <f>IF(VLOOKUP(CONCATENATE(H335,F335,EX$2),Ciencias!$A:$H,7,FALSE)=BL335,1,0)</f>
        <v>#N/A</v>
      </c>
      <c r="EY335" s="138" t="e">
        <f>IF(VLOOKUP(CONCATENATE(H335,F335,EY$2),Ciencias!$A:$H,7,FALSE)=BM335,1,0)</f>
        <v>#N/A</v>
      </c>
      <c r="EZ335" s="138" t="e">
        <f>IF(VLOOKUP(CONCATENATE(H335,F335,EZ$2),Ciencias!$A:$H,7,FALSE)=BN335,1,0)</f>
        <v>#N/A</v>
      </c>
      <c r="FA335" s="138" t="e">
        <f>IF(VLOOKUP(CONCATENATE(H335,F335,FA$2),Ciencias!$A:$H,7,FALSE)=BO335,1,0)</f>
        <v>#N/A</v>
      </c>
      <c r="FB335" s="138" t="e">
        <f>IF(VLOOKUP(CONCATENATE(H335,F335,FB$2),Ciencias!$A:$H,7,FALSE)=BP335,1,0)</f>
        <v>#N/A</v>
      </c>
      <c r="FC335" s="138" t="e">
        <f>IF(VLOOKUP(CONCATENATE(H335,F335,FC$2),Ciencias!$A:$H,7,FALSE)=BQ335,1,0)</f>
        <v>#N/A</v>
      </c>
      <c r="FD335" s="138" t="e">
        <f>IF(VLOOKUP(CONCATENATE(H335,F335,FD$2),Ciencias!$A:$H,7,FALSE)=BR335,1,0)</f>
        <v>#N/A</v>
      </c>
      <c r="FE335" s="138" t="e">
        <f>IF(VLOOKUP(CONCATENATE(H335,F335,FE$2),Ciencias!$A:$H,7,FALSE)=BS335,1,0)</f>
        <v>#N/A</v>
      </c>
      <c r="FF335" s="138" t="e">
        <f>IF(VLOOKUP(CONCATENATE(H335,F335,FF$2),Ciencias!$A:$H,7,FALSE)=BT335,1,0)</f>
        <v>#N/A</v>
      </c>
      <c r="FG335" s="138" t="e">
        <f>IF(VLOOKUP(CONCATENATE(H335,F335,FG$2),Ciencias!$A:$H,7,FALSE)=BU335,1,0)</f>
        <v>#N/A</v>
      </c>
      <c r="FH335" s="138" t="e">
        <f>IF(VLOOKUP(CONCATENATE(H335,F335,FH$2),Ciencias!$A:$H,7,FALSE)=BV335,1,0)</f>
        <v>#N/A</v>
      </c>
      <c r="FI335" s="138" t="e">
        <f>IF(VLOOKUP(CONCATENATE(H335,F335,FI$2),Ciencias!$A:$H,7,FALSE)=BW335,1,0)</f>
        <v>#N/A</v>
      </c>
      <c r="FJ335" s="138" t="e">
        <f>IF(VLOOKUP(CONCATENATE(H335,F335,FJ$2),Ciencias!$A:$H,7,FALSE)=BX335,1,0)</f>
        <v>#N/A</v>
      </c>
      <c r="FK335" s="138" t="e">
        <f>IF(VLOOKUP(CONCATENATE(H335,F335,FK$2),Ciencias!$A:$H,7,FALSE)=BY335,1,0)</f>
        <v>#N/A</v>
      </c>
      <c r="FL335" s="138" t="e">
        <f>IF(VLOOKUP(CONCATENATE(H335,F335,FL$2),Ciencias!$A:$H,7,FALSE)=BZ335,1,0)</f>
        <v>#N/A</v>
      </c>
      <c r="FM335" s="138" t="e">
        <f>IF(VLOOKUP(CONCATENATE(H335,F335,FM$2),Ciencias!$A:$H,7,FALSE)=CA335,1,0)</f>
        <v>#N/A</v>
      </c>
      <c r="FN335" s="138" t="e">
        <f>IF(VLOOKUP(CONCATENATE(H335,F335,FN$2),Ciencias!$A:$H,7,FALSE)=CB335,1,0)</f>
        <v>#N/A</v>
      </c>
      <c r="FO335" s="138" t="e">
        <f>IF(VLOOKUP(CONCATENATE(H335,F335,FO$2),Ciencias!$A:$H,7,FALSE)=CC335,1,0)</f>
        <v>#N/A</v>
      </c>
      <c r="FP335" s="138" t="e">
        <f>IF(VLOOKUP(CONCATENATE(H335,F335,FP$2),GeoHis!$A:$H,7,FALSE)=CD335,1,0)</f>
        <v>#N/A</v>
      </c>
      <c r="FQ335" s="138" t="e">
        <f>IF(VLOOKUP(CONCATENATE(H335,F335,FQ$2),GeoHis!$A:$H,7,FALSE)=CE335,1,0)</f>
        <v>#N/A</v>
      </c>
      <c r="FR335" s="138" t="e">
        <f>IF(VLOOKUP(CONCATENATE(H335,F335,FR$2),GeoHis!$A:$H,7,FALSE)=CF335,1,0)</f>
        <v>#N/A</v>
      </c>
      <c r="FS335" s="138" t="e">
        <f>IF(VLOOKUP(CONCATENATE(H335,F335,FS$2),GeoHis!$A:$H,7,FALSE)=CG335,1,0)</f>
        <v>#N/A</v>
      </c>
      <c r="FT335" s="138" t="e">
        <f>IF(VLOOKUP(CONCATENATE(H335,F335,FT$2),GeoHis!$A:$H,7,FALSE)=CH335,1,0)</f>
        <v>#N/A</v>
      </c>
      <c r="FU335" s="138" t="e">
        <f>IF(VLOOKUP(CONCATENATE(H335,F335,FU$2),GeoHis!$A:$H,7,FALSE)=CI335,1,0)</f>
        <v>#N/A</v>
      </c>
      <c r="FV335" s="138" t="e">
        <f>IF(VLOOKUP(CONCATENATE(H335,F335,FV$2),GeoHis!$A:$H,7,FALSE)=CJ335,1,0)</f>
        <v>#N/A</v>
      </c>
      <c r="FW335" s="138" t="e">
        <f>IF(VLOOKUP(CONCATENATE(H335,F335,FW$2),GeoHis!$A:$H,7,FALSE)=CK335,1,0)</f>
        <v>#N/A</v>
      </c>
      <c r="FX335" s="138" t="e">
        <f>IF(VLOOKUP(CONCATENATE(H335,F335,FX$2),GeoHis!$A:$H,7,FALSE)=CL335,1,0)</f>
        <v>#N/A</v>
      </c>
      <c r="FY335" s="138" t="e">
        <f>IF(VLOOKUP(CONCATENATE(H335,F335,FY$2),GeoHis!$A:$H,7,FALSE)=CM335,1,0)</f>
        <v>#N/A</v>
      </c>
      <c r="FZ335" s="138" t="e">
        <f>IF(VLOOKUP(CONCATENATE(H335,F335,FZ$2),GeoHis!$A:$H,7,FALSE)=CN335,1,0)</f>
        <v>#N/A</v>
      </c>
      <c r="GA335" s="138" t="e">
        <f>IF(VLOOKUP(CONCATENATE(H335,F335,GA$2),GeoHis!$A:$H,7,FALSE)=CO335,1,0)</f>
        <v>#N/A</v>
      </c>
      <c r="GB335" s="138" t="e">
        <f>IF(VLOOKUP(CONCATENATE(H335,F335,GB$2),GeoHis!$A:$H,7,FALSE)=CP335,1,0)</f>
        <v>#N/A</v>
      </c>
      <c r="GC335" s="138" t="e">
        <f>IF(VLOOKUP(CONCATENATE(H335,F335,GC$2),GeoHis!$A:$H,7,FALSE)=CQ335,1,0)</f>
        <v>#N/A</v>
      </c>
      <c r="GD335" s="138" t="e">
        <f>IF(VLOOKUP(CONCATENATE(H335,F335,GD$2),GeoHis!$A:$H,7,FALSE)=CR335,1,0)</f>
        <v>#N/A</v>
      </c>
      <c r="GE335" s="135" t="str">
        <f t="shared" si="47"/>
        <v/>
      </c>
    </row>
    <row r="336" spans="1:187" x14ac:dyDescent="0.25">
      <c r="A336" s="127" t="str">
        <f>IF(C336="","",'Datos Generales'!$A$25)</f>
        <v/>
      </c>
      <c r="D336" s="126" t="str">
        <f t="shared" si="40"/>
        <v/>
      </c>
      <c r="E336" s="126">
        <f t="shared" si="41"/>
        <v>0</v>
      </c>
      <c r="F336" s="126" t="str">
        <f t="shared" si="42"/>
        <v/>
      </c>
      <c r="G336" s="126" t="str">
        <f>IF(C336="","",'Datos Generales'!$D$19)</f>
        <v/>
      </c>
      <c r="H336" s="21" t="str">
        <f>IF(C336="","",'Datos Generales'!$A$19)</f>
        <v/>
      </c>
      <c r="I336" s="126" t="str">
        <f>IF(C336="","",'Datos Generales'!$A$7)</f>
        <v/>
      </c>
      <c r="J336" s="21" t="str">
        <f>IF(C336="","",'Datos Generales'!$A$13)</f>
        <v/>
      </c>
      <c r="K336" s="21" t="str">
        <f>IF(C336="","",'Datos Generales'!$A$10)</f>
        <v/>
      </c>
      <c r="CS336" s="142" t="str">
        <f t="shared" si="43"/>
        <v/>
      </c>
      <c r="CT336" s="142" t="str">
        <f t="shared" si="44"/>
        <v/>
      </c>
      <c r="CU336" s="142" t="str">
        <f t="shared" si="45"/>
        <v/>
      </c>
      <c r="CV336" s="142" t="str">
        <f t="shared" si="46"/>
        <v/>
      </c>
      <c r="CW336" s="142" t="str">
        <f>IF(C336="","",IF('Datos Generales'!$A$19=1,AVERAGE(FP336:GD336),AVERAGE(Captura!FP336:FY336)))</f>
        <v/>
      </c>
      <c r="CX336" s="138" t="e">
        <f>IF(VLOOKUP(CONCATENATE($H$4,$F$4,CX$2),Español!$A:$H,7,FALSE)=L336,1,0)</f>
        <v>#N/A</v>
      </c>
      <c r="CY336" s="138" t="e">
        <f>IF(VLOOKUP(CONCATENATE(H336,F336,CY$2),Español!$A:$H,7,FALSE)=M336,1,0)</f>
        <v>#N/A</v>
      </c>
      <c r="CZ336" s="138" t="e">
        <f>IF(VLOOKUP(CONCATENATE(H336,F336,CZ$2),Español!$A:$H,7,FALSE)=N336,1,0)</f>
        <v>#N/A</v>
      </c>
      <c r="DA336" s="138" t="e">
        <f>IF(VLOOKUP(CONCATENATE(H336,F336,DA$2),Español!$A:$H,7,FALSE)=O336,1,0)</f>
        <v>#N/A</v>
      </c>
      <c r="DB336" s="138" t="e">
        <f>IF(VLOOKUP(CONCATENATE(H336,F336,DB$2),Español!$A:$H,7,FALSE)=P336,1,0)</f>
        <v>#N/A</v>
      </c>
      <c r="DC336" s="138" t="e">
        <f>IF(VLOOKUP(CONCATENATE(H336,F336,DC$2),Español!$A:$H,7,FALSE)=Q336,1,0)</f>
        <v>#N/A</v>
      </c>
      <c r="DD336" s="138" t="e">
        <f>IF(VLOOKUP(CONCATENATE(H336,F336,DD$2),Español!$A:$H,7,FALSE)=R336,1,0)</f>
        <v>#N/A</v>
      </c>
      <c r="DE336" s="138" t="e">
        <f>IF(VLOOKUP(CONCATENATE(H336,F336,DE$2),Español!$A:$H,7,FALSE)=S336,1,0)</f>
        <v>#N/A</v>
      </c>
      <c r="DF336" s="138" t="e">
        <f>IF(VLOOKUP(CONCATENATE(H336,F336,DF$2),Español!$A:$H,7,FALSE)=T336,1,0)</f>
        <v>#N/A</v>
      </c>
      <c r="DG336" s="138" t="e">
        <f>IF(VLOOKUP(CONCATENATE(H336,F336,DG$2),Español!$A:$H,7,FALSE)=U336,1,0)</f>
        <v>#N/A</v>
      </c>
      <c r="DH336" s="138" t="e">
        <f>IF(VLOOKUP(CONCATENATE(H336,F336,DH$2),Español!$A:$H,7,FALSE)=V336,1,0)</f>
        <v>#N/A</v>
      </c>
      <c r="DI336" s="138" t="e">
        <f>IF(VLOOKUP(CONCATENATE(H336,F336,DI$2),Español!$A:$H,7,FALSE)=W336,1,0)</f>
        <v>#N/A</v>
      </c>
      <c r="DJ336" s="138" t="e">
        <f>IF(VLOOKUP(CONCATENATE(H336,F336,DJ$2),Español!$A:$H,7,FALSE)=X336,1,0)</f>
        <v>#N/A</v>
      </c>
      <c r="DK336" s="138" t="e">
        <f>IF(VLOOKUP(CONCATENATE(H336,F336,DK$2),Español!$A:$H,7,FALSE)=Y336,1,0)</f>
        <v>#N/A</v>
      </c>
      <c r="DL336" s="138" t="e">
        <f>IF(VLOOKUP(CONCATENATE(H336,F336,DL$2),Español!$A:$H,7,FALSE)=Z336,1,0)</f>
        <v>#N/A</v>
      </c>
      <c r="DM336" s="138" t="e">
        <f>IF(VLOOKUP(CONCATENATE(H336,F336,DM$2),Español!$A:$H,7,FALSE)=AA336,1,0)</f>
        <v>#N/A</v>
      </c>
      <c r="DN336" s="138" t="e">
        <f>IF(VLOOKUP(CONCATENATE(H336,F336,DN$2),Español!$A:$H,7,FALSE)=AB336,1,0)</f>
        <v>#N/A</v>
      </c>
      <c r="DO336" s="138" t="e">
        <f>IF(VLOOKUP(CONCATENATE(H336,F336,DO$2),Español!$A:$H,7,FALSE)=AC336,1,0)</f>
        <v>#N/A</v>
      </c>
      <c r="DP336" s="138" t="e">
        <f>IF(VLOOKUP(CONCATENATE(H336,F336,DP$2),Español!$A:$H,7,FALSE)=AD336,1,0)</f>
        <v>#N/A</v>
      </c>
      <c r="DQ336" s="138" t="e">
        <f>IF(VLOOKUP(CONCATENATE(H336,F336,DQ$2),Español!$A:$H,7,FALSE)=AE336,1,0)</f>
        <v>#N/A</v>
      </c>
      <c r="DR336" s="138" t="e">
        <f>IF(VLOOKUP(CONCATENATE(H336,F336,DR$2),Inglés!$A:$H,7,FALSE)=AF336,1,0)</f>
        <v>#N/A</v>
      </c>
      <c r="DS336" s="138" t="e">
        <f>IF(VLOOKUP(CONCATENATE(H336,F336,DS$2),Inglés!$A:$H,7,FALSE)=AG336,1,0)</f>
        <v>#N/A</v>
      </c>
      <c r="DT336" s="138" t="e">
        <f>IF(VLOOKUP(CONCATENATE(H336,F336,DT$2),Inglés!$A:$H,7,FALSE)=AH336,1,0)</f>
        <v>#N/A</v>
      </c>
      <c r="DU336" s="138" t="e">
        <f>IF(VLOOKUP(CONCATENATE(H336,F336,DU$2),Inglés!$A:$H,7,FALSE)=AI336,1,0)</f>
        <v>#N/A</v>
      </c>
      <c r="DV336" s="138" t="e">
        <f>IF(VLOOKUP(CONCATENATE(H336,F336,DV$2),Inglés!$A:$H,7,FALSE)=AJ336,1,0)</f>
        <v>#N/A</v>
      </c>
      <c r="DW336" s="138" t="e">
        <f>IF(VLOOKUP(CONCATENATE(H336,F336,DW$2),Inglés!$A:$H,7,FALSE)=AK336,1,0)</f>
        <v>#N/A</v>
      </c>
      <c r="DX336" s="138" t="e">
        <f>IF(VLOOKUP(CONCATENATE(H336,F336,DX$2),Inglés!$A:$H,7,FALSE)=AL336,1,0)</f>
        <v>#N/A</v>
      </c>
      <c r="DY336" s="138" t="e">
        <f>IF(VLOOKUP(CONCATENATE(H336,F336,DY$2),Inglés!$A:$H,7,FALSE)=AM336,1,0)</f>
        <v>#N/A</v>
      </c>
      <c r="DZ336" s="138" t="e">
        <f>IF(VLOOKUP(CONCATENATE(H336,F336,DZ$2),Inglés!$A:$H,7,FALSE)=AN336,1,0)</f>
        <v>#N/A</v>
      </c>
      <c r="EA336" s="138" t="e">
        <f>IF(VLOOKUP(CONCATENATE(H336,F336,EA$2),Inglés!$A:$H,7,FALSE)=AO336,1,0)</f>
        <v>#N/A</v>
      </c>
      <c r="EB336" s="138" t="e">
        <f>IF(VLOOKUP(CONCATENATE(H336,F336,EB$2),Matemáticas!$A:$H,7,FALSE)=AP336,1,0)</f>
        <v>#N/A</v>
      </c>
      <c r="EC336" s="138" t="e">
        <f>IF(VLOOKUP(CONCATENATE(H336,F336,EC$2),Matemáticas!$A:$H,7,FALSE)=AQ336,1,0)</f>
        <v>#N/A</v>
      </c>
      <c r="ED336" s="138" t="e">
        <f>IF(VLOOKUP(CONCATENATE(H336,F336,ED$2),Matemáticas!$A:$H,7,FALSE)=AR336,1,0)</f>
        <v>#N/A</v>
      </c>
      <c r="EE336" s="138" t="e">
        <f>IF(VLOOKUP(CONCATENATE(H336,F336,EE$2),Matemáticas!$A:$H,7,FALSE)=AS336,1,0)</f>
        <v>#N/A</v>
      </c>
      <c r="EF336" s="138" t="e">
        <f>IF(VLOOKUP(CONCATENATE(H336,F336,EF$2),Matemáticas!$A:$H,7,FALSE)=AT336,1,0)</f>
        <v>#N/A</v>
      </c>
      <c r="EG336" s="138" t="e">
        <f>IF(VLOOKUP(CONCATENATE(H336,F336,EG$2),Matemáticas!$A:$H,7,FALSE)=AU336,1,0)</f>
        <v>#N/A</v>
      </c>
      <c r="EH336" s="138" t="e">
        <f>IF(VLOOKUP(CONCATENATE(H336,F336,EH$2),Matemáticas!$A:$H,7,FALSE)=AV336,1,0)</f>
        <v>#N/A</v>
      </c>
      <c r="EI336" s="138" t="e">
        <f>IF(VLOOKUP(CONCATENATE(H336,F336,EI$2),Matemáticas!$A:$H,7,FALSE)=AW336,1,0)</f>
        <v>#N/A</v>
      </c>
      <c r="EJ336" s="138" t="e">
        <f>IF(VLOOKUP(CONCATENATE(H336,F336,EJ$2),Matemáticas!$A:$H,7,FALSE)=AX336,1,0)</f>
        <v>#N/A</v>
      </c>
      <c r="EK336" s="138" t="e">
        <f>IF(VLOOKUP(CONCATENATE(H336,F336,EK$2),Matemáticas!$A:$H,7,FALSE)=AY336,1,0)</f>
        <v>#N/A</v>
      </c>
      <c r="EL336" s="138" t="e">
        <f>IF(VLOOKUP(CONCATENATE(H336,F336,EL$2),Matemáticas!$A:$H,7,FALSE)=AZ336,1,0)</f>
        <v>#N/A</v>
      </c>
      <c r="EM336" s="138" t="e">
        <f>IF(VLOOKUP(CONCATENATE(H336,F336,EM$2),Matemáticas!$A:$H,7,FALSE)=BA336,1,0)</f>
        <v>#N/A</v>
      </c>
      <c r="EN336" s="138" t="e">
        <f>IF(VLOOKUP(CONCATENATE(H336,F336,EN$2),Matemáticas!$A:$H,7,FALSE)=BB336,1,0)</f>
        <v>#N/A</v>
      </c>
      <c r="EO336" s="138" t="e">
        <f>IF(VLOOKUP(CONCATENATE(H336,F336,EO$2),Matemáticas!$A:$H,7,FALSE)=BC336,1,0)</f>
        <v>#N/A</v>
      </c>
      <c r="EP336" s="138" t="e">
        <f>IF(VLOOKUP(CONCATENATE(H336,F336,EP$2),Matemáticas!$A:$H,7,FALSE)=BD336,1,0)</f>
        <v>#N/A</v>
      </c>
      <c r="EQ336" s="138" t="e">
        <f>IF(VLOOKUP(CONCATENATE(H336,F336,EQ$2),Matemáticas!$A:$H,7,FALSE)=BE336,1,0)</f>
        <v>#N/A</v>
      </c>
      <c r="ER336" s="138" t="e">
        <f>IF(VLOOKUP(CONCATENATE(H336,F336,ER$2),Matemáticas!$A:$H,7,FALSE)=BF336,1,0)</f>
        <v>#N/A</v>
      </c>
      <c r="ES336" s="138" t="e">
        <f>IF(VLOOKUP(CONCATENATE(H336,F336,ES$2),Matemáticas!$A:$H,7,FALSE)=BG336,1,0)</f>
        <v>#N/A</v>
      </c>
      <c r="ET336" s="138" t="e">
        <f>IF(VLOOKUP(CONCATENATE(H336,F336,ET$2),Matemáticas!$A:$H,7,FALSE)=BH336,1,0)</f>
        <v>#N/A</v>
      </c>
      <c r="EU336" s="138" t="e">
        <f>IF(VLOOKUP(CONCATENATE(H336,F336,EU$2),Matemáticas!$A:$H,7,FALSE)=BI336,1,0)</f>
        <v>#N/A</v>
      </c>
      <c r="EV336" s="138" t="e">
        <f>IF(VLOOKUP(CONCATENATE(H336,F336,EV$2),Ciencias!$A:$H,7,FALSE)=BJ336,1,0)</f>
        <v>#N/A</v>
      </c>
      <c r="EW336" s="138" t="e">
        <f>IF(VLOOKUP(CONCATENATE(H336,F336,EW$2),Ciencias!$A:$H,7,FALSE)=BK336,1,0)</f>
        <v>#N/A</v>
      </c>
      <c r="EX336" s="138" t="e">
        <f>IF(VLOOKUP(CONCATENATE(H336,F336,EX$2),Ciencias!$A:$H,7,FALSE)=BL336,1,0)</f>
        <v>#N/A</v>
      </c>
      <c r="EY336" s="138" t="e">
        <f>IF(VLOOKUP(CONCATENATE(H336,F336,EY$2),Ciencias!$A:$H,7,FALSE)=BM336,1,0)</f>
        <v>#N/A</v>
      </c>
      <c r="EZ336" s="138" t="e">
        <f>IF(VLOOKUP(CONCATENATE(H336,F336,EZ$2),Ciencias!$A:$H,7,FALSE)=BN336,1,0)</f>
        <v>#N/A</v>
      </c>
      <c r="FA336" s="138" t="e">
        <f>IF(VLOOKUP(CONCATENATE(H336,F336,FA$2),Ciencias!$A:$H,7,FALSE)=BO336,1,0)</f>
        <v>#N/A</v>
      </c>
      <c r="FB336" s="138" t="e">
        <f>IF(VLOOKUP(CONCATENATE(H336,F336,FB$2),Ciencias!$A:$H,7,FALSE)=BP336,1,0)</f>
        <v>#N/A</v>
      </c>
      <c r="FC336" s="138" t="e">
        <f>IF(VLOOKUP(CONCATENATE(H336,F336,FC$2),Ciencias!$A:$H,7,FALSE)=BQ336,1,0)</f>
        <v>#N/A</v>
      </c>
      <c r="FD336" s="138" t="e">
        <f>IF(VLOOKUP(CONCATENATE(H336,F336,FD$2),Ciencias!$A:$H,7,FALSE)=BR336,1,0)</f>
        <v>#N/A</v>
      </c>
      <c r="FE336" s="138" t="e">
        <f>IF(VLOOKUP(CONCATENATE(H336,F336,FE$2),Ciencias!$A:$H,7,FALSE)=BS336,1,0)</f>
        <v>#N/A</v>
      </c>
      <c r="FF336" s="138" t="e">
        <f>IF(VLOOKUP(CONCATENATE(H336,F336,FF$2),Ciencias!$A:$H,7,FALSE)=BT336,1,0)</f>
        <v>#N/A</v>
      </c>
      <c r="FG336" s="138" t="e">
        <f>IF(VLOOKUP(CONCATENATE(H336,F336,FG$2),Ciencias!$A:$H,7,FALSE)=BU336,1,0)</f>
        <v>#N/A</v>
      </c>
      <c r="FH336" s="138" t="e">
        <f>IF(VLOOKUP(CONCATENATE(H336,F336,FH$2),Ciencias!$A:$H,7,FALSE)=BV336,1,0)</f>
        <v>#N/A</v>
      </c>
      <c r="FI336" s="138" t="e">
        <f>IF(VLOOKUP(CONCATENATE(H336,F336,FI$2),Ciencias!$A:$H,7,FALSE)=BW336,1,0)</f>
        <v>#N/A</v>
      </c>
      <c r="FJ336" s="138" t="e">
        <f>IF(VLOOKUP(CONCATENATE(H336,F336,FJ$2),Ciencias!$A:$H,7,FALSE)=BX336,1,0)</f>
        <v>#N/A</v>
      </c>
      <c r="FK336" s="138" t="e">
        <f>IF(VLOOKUP(CONCATENATE(H336,F336,FK$2),Ciencias!$A:$H,7,FALSE)=BY336,1,0)</f>
        <v>#N/A</v>
      </c>
      <c r="FL336" s="138" t="e">
        <f>IF(VLOOKUP(CONCATENATE(H336,F336,FL$2),Ciencias!$A:$H,7,FALSE)=BZ336,1,0)</f>
        <v>#N/A</v>
      </c>
      <c r="FM336" s="138" t="e">
        <f>IF(VLOOKUP(CONCATENATE(H336,F336,FM$2),Ciencias!$A:$H,7,FALSE)=CA336,1,0)</f>
        <v>#N/A</v>
      </c>
      <c r="FN336" s="138" t="e">
        <f>IF(VLOOKUP(CONCATENATE(H336,F336,FN$2),Ciencias!$A:$H,7,FALSE)=CB336,1,0)</f>
        <v>#N/A</v>
      </c>
      <c r="FO336" s="138" t="e">
        <f>IF(VLOOKUP(CONCATENATE(H336,F336,FO$2),Ciencias!$A:$H,7,FALSE)=CC336,1,0)</f>
        <v>#N/A</v>
      </c>
      <c r="FP336" s="138" t="e">
        <f>IF(VLOOKUP(CONCATENATE(H336,F336,FP$2),GeoHis!$A:$H,7,FALSE)=CD336,1,0)</f>
        <v>#N/A</v>
      </c>
      <c r="FQ336" s="138" t="e">
        <f>IF(VLOOKUP(CONCATENATE(H336,F336,FQ$2),GeoHis!$A:$H,7,FALSE)=CE336,1,0)</f>
        <v>#N/A</v>
      </c>
      <c r="FR336" s="138" t="e">
        <f>IF(VLOOKUP(CONCATENATE(H336,F336,FR$2),GeoHis!$A:$H,7,FALSE)=CF336,1,0)</f>
        <v>#N/A</v>
      </c>
      <c r="FS336" s="138" t="e">
        <f>IF(VLOOKUP(CONCATENATE(H336,F336,FS$2),GeoHis!$A:$H,7,FALSE)=CG336,1,0)</f>
        <v>#N/A</v>
      </c>
      <c r="FT336" s="138" t="e">
        <f>IF(VLOOKUP(CONCATENATE(H336,F336,FT$2),GeoHis!$A:$H,7,FALSE)=CH336,1,0)</f>
        <v>#N/A</v>
      </c>
      <c r="FU336" s="138" t="e">
        <f>IF(VLOOKUP(CONCATENATE(H336,F336,FU$2),GeoHis!$A:$H,7,FALSE)=CI336,1,0)</f>
        <v>#N/A</v>
      </c>
      <c r="FV336" s="138" t="e">
        <f>IF(VLOOKUP(CONCATENATE(H336,F336,FV$2),GeoHis!$A:$H,7,FALSE)=CJ336,1,0)</f>
        <v>#N/A</v>
      </c>
      <c r="FW336" s="138" t="e">
        <f>IF(VLOOKUP(CONCATENATE(H336,F336,FW$2),GeoHis!$A:$H,7,FALSE)=CK336,1,0)</f>
        <v>#N/A</v>
      </c>
      <c r="FX336" s="138" t="e">
        <f>IF(VLOOKUP(CONCATENATE(H336,F336,FX$2),GeoHis!$A:$H,7,FALSE)=CL336,1,0)</f>
        <v>#N/A</v>
      </c>
      <c r="FY336" s="138" t="e">
        <f>IF(VLOOKUP(CONCATENATE(H336,F336,FY$2),GeoHis!$A:$H,7,FALSE)=CM336,1,0)</f>
        <v>#N/A</v>
      </c>
      <c r="FZ336" s="138" t="e">
        <f>IF(VLOOKUP(CONCATENATE(H336,F336,FZ$2),GeoHis!$A:$H,7,FALSE)=CN336,1,0)</f>
        <v>#N/A</v>
      </c>
      <c r="GA336" s="138" t="e">
        <f>IF(VLOOKUP(CONCATENATE(H336,F336,GA$2),GeoHis!$A:$H,7,FALSE)=CO336,1,0)</f>
        <v>#N/A</v>
      </c>
      <c r="GB336" s="138" t="e">
        <f>IF(VLOOKUP(CONCATENATE(H336,F336,GB$2),GeoHis!$A:$H,7,FALSE)=CP336,1,0)</f>
        <v>#N/A</v>
      </c>
      <c r="GC336" s="138" t="e">
        <f>IF(VLOOKUP(CONCATENATE(H336,F336,GC$2),GeoHis!$A:$H,7,FALSE)=CQ336,1,0)</f>
        <v>#N/A</v>
      </c>
      <c r="GD336" s="138" t="e">
        <f>IF(VLOOKUP(CONCATENATE(H336,F336,GD$2),GeoHis!$A:$H,7,FALSE)=CR336,1,0)</f>
        <v>#N/A</v>
      </c>
      <c r="GE336" s="135" t="str">
        <f t="shared" si="47"/>
        <v/>
      </c>
    </row>
    <row r="337" spans="1:187" x14ac:dyDescent="0.25">
      <c r="A337" s="127" t="str">
        <f>IF(C337="","",'Datos Generales'!$A$25)</f>
        <v/>
      </c>
      <c r="D337" s="126" t="str">
        <f t="shared" si="40"/>
        <v/>
      </c>
      <c r="E337" s="126">
        <f t="shared" si="41"/>
        <v>0</v>
      </c>
      <c r="F337" s="126" t="str">
        <f t="shared" si="42"/>
        <v/>
      </c>
      <c r="G337" s="126" t="str">
        <f>IF(C337="","",'Datos Generales'!$D$19)</f>
        <v/>
      </c>
      <c r="H337" s="21" t="str">
        <f>IF(C337="","",'Datos Generales'!$A$19)</f>
        <v/>
      </c>
      <c r="I337" s="126" t="str">
        <f>IF(C337="","",'Datos Generales'!$A$7)</f>
        <v/>
      </c>
      <c r="J337" s="21" t="str">
        <f>IF(C337="","",'Datos Generales'!$A$13)</f>
        <v/>
      </c>
      <c r="K337" s="21" t="str">
        <f>IF(C337="","",'Datos Generales'!$A$10)</f>
        <v/>
      </c>
      <c r="CS337" s="142" t="str">
        <f t="shared" si="43"/>
        <v/>
      </c>
      <c r="CT337" s="142" t="str">
        <f t="shared" si="44"/>
        <v/>
      </c>
      <c r="CU337" s="142" t="str">
        <f t="shared" si="45"/>
        <v/>
      </c>
      <c r="CV337" s="142" t="str">
        <f t="shared" si="46"/>
        <v/>
      </c>
      <c r="CW337" s="142" t="str">
        <f>IF(C337="","",IF('Datos Generales'!$A$19=1,AVERAGE(FP337:GD337),AVERAGE(Captura!FP337:FY337)))</f>
        <v/>
      </c>
      <c r="CX337" s="138" t="e">
        <f>IF(VLOOKUP(CONCATENATE($H$4,$F$4,CX$2),Español!$A:$H,7,FALSE)=L337,1,0)</f>
        <v>#N/A</v>
      </c>
      <c r="CY337" s="138" t="e">
        <f>IF(VLOOKUP(CONCATENATE(H337,F337,CY$2),Español!$A:$H,7,FALSE)=M337,1,0)</f>
        <v>#N/A</v>
      </c>
      <c r="CZ337" s="138" t="e">
        <f>IF(VLOOKUP(CONCATENATE(H337,F337,CZ$2),Español!$A:$H,7,FALSE)=N337,1,0)</f>
        <v>#N/A</v>
      </c>
      <c r="DA337" s="138" t="e">
        <f>IF(VLOOKUP(CONCATENATE(H337,F337,DA$2),Español!$A:$H,7,FALSE)=O337,1,0)</f>
        <v>#N/A</v>
      </c>
      <c r="DB337" s="138" t="e">
        <f>IF(VLOOKUP(CONCATENATE(H337,F337,DB$2),Español!$A:$H,7,FALSE)=P337,1,0)</f>
        <v>#N/A</v>
      </c>
      <c r="DC337" s="138" t="e">
        <f>IF(VLOOKUP(CONCATENATE(H337,F337,DC$2),Español!$A:$H,7,FALSE)=Q337,1,0)</f>
        <v>#N/A</v>
      </c>
      <c r="DD337" s="138" t="e">
        <f>IF(VLOOKUP(CONCATENATE(H337,F337,DD$2),Español!$A:$H,7,FALSE)=R337,1,0)</f>
        <v>#N/A</v>
      </c>
      <c r="DE337" s="138" t="e">
        <f>IF(VLOOKUP(CONCATENATE(H337,F337,DE$2),Español!$A:$H,7,FALSE)=S337,1,0)</f>
        <v>#N/A</v>
      </c>
      <c r="DF337" s="138" t="e">
        <f>IF(VLOOKUP(CONCATENATE(H337,F337,DF$2),Español!$A:$H,7,FALSE)=T337,1,0)</f>
        <v>#N/A</v>
      </c>
      <c r="DG337" s="138" t="e">
        <f>IF(VLOOKUP(CONCATENATE(H337,F337,DG$2),Español!$A:$H,7,FALSE)=U337,1,0)</f>
        <v>#N/A</v>
      </c>
      <c r="DH337" s="138" t="e">
        <f>IF(VLOOKUP(CONCATENATE(H337,F337,DH$2),Español!$A:$H,7,FALSE)=V337,1,0)</f>
        <v>#N/A</v>
      </c>
      <c r="DI337" s="138" t="e">
        <f>IF(VLOOKUP(CONCATENATE(H337,F337,DI$2),Español!$A:$H,7,FALSE)=W337,1,0)</f>
        <v>#N/A</v>
      </c>
      <c r="DJ337" s="138" t="e">
        <f>IF(VLOOKUP(CONCATENATE(H337,F337,DJ$2),Español!$A:$H,7,FALSE)=X337,1,0)</f>
        <v>#N/A</v>
      </c>
      <c r="DK337" s="138" t="e">
        <f>IF(VLOOKUP(CONCATENATE(H337,F337,DK$2),Español!$A:$H,7,FALSE)=Y337,1,0)</f>
        <v>#N/A</v>
      </c>
      <c r="DL337" s="138" t="e">
        <f>IF(VLOOKUP(CONCATENATE(H337,F337,DL$2),Español!$A:$H,7,FALSE)=Z337,1,0)</f>
        <v>#N/A</v>
      </c>
      <c r="DM337" s="138" t="e">
        <f>IF(VLOOKUP(CONCATENATE(H337,F337,DM$2),Español!$A:$H,7,FALSE)=AA337,1,0)</f>
        <v>#N/A</v>
      </c>
      <c r="DN337" s="138" t="e">
        <f>IF(VLOOKUP(CONCATENATE(H337,F337,DN$2),Español!$A:$H,7,FALSE)=AB337,1,0)</f>
        <v>#N/A</v>
      </c>
      <c r="DO337" s="138" t="e">
        <f>IF(VLOOKUP(CONCATENATE(H337,F337,DO$2),Español!$A:$H,7,FALSE)=AC337,1,0)</f>
        <v>#N/A</v>
      </c>
      <c r="DP337" s="138" t="e">
        <f>IF(VLOOKUP(CONCATENATE(H337,F337,DP$2),Español!$A:$H,7,FALSE)=AD337,1,0)</f>
        <v>#N/A</v>
      </c>
      <c r="DQ337" s="138" t="e">
        <f>IF(VLOOKUP(CONCATENATE(H337,F337,DQ$2),Español!$A:$H,7,FALSE)=AE337,1,0)</f>
        <v>#N/A</v>
      </c>
      <c r="DR337" s="138" t="e">
        <f>IF(VLOOKUP(CONCATENATE(H337,F337,DR$2),Inglés!$A:$H,7,FALSE)=AF337,1,0)</f>
        <v>#N/A</v>
      </c>
      <c r="DS337" s="138" t="e">
        <f>IF(VLOOKUP(CONCATENATE(H337,F337,DS$2),Inglés!$A:$H,7,FALSE)=AG337,1,0)</f>
        <v>#N/A</v>
      </c>
      <c r="DT337" s="138" t="e">
        <f>IF(VLOOKUP(CONCATENATE(H337,F337,DT$2),Inglés!$A:$H,7,FALSE)=AH337,1,0)</f>
        <v>#N/A</v>
      </c>
      <c r="DU337" s="138" t="e">
        <f>IF(VLOOKUP(CONCATENATE(H337,F337,DU$2),Inglés!$A:$H,7,FALSE)=AI337,1,0)</f>
        <v>#N/A</v>
      </c>
      <c r="DV337" s="138" t="e">
        <f>IF(VLOOKUP(CONCATENATE(H337,F337,DV$2),Inglés!$A:$H,7,FALSE)=AJ337,1,0)</f>
        <v>#N/A</v>
      </c>
      <c r="DW337" s="138" t="e">
        <f>IF(VLOOKUP(CONCATENATE(H337,F337,DW$2),Inglés!$A:$H,7,FALSE)=AK337,1,0)</f>
        <v>#N/A</v>
      </c>
      <c r="DX337" s="138" t="e">
        <f>IF(VLOOKUP(CONCATENATE(H337,F337,DX$2),Inglés!$A:$H,7,FALSE)=AL337,1,0)</f>
        <v>#N/A</v>
      </c>
      <c r="DY337" s="138" t="e">
        <f>IF(VLOOKUP(CONCATENATE(H337,F337,DY$2),Inglés!$A:$H,7,FALSE)=AM337,1,0)</f>
        <v>#N/A</v>
      </c>
      <c r="DZ337" s="138" t="e">
        <f>IF(VLOOKUP(CONCATENATE(H337,F337,DZ$2),Inglés!$A:$H,7,FALSE)=AN337,1,0)</f>
        <v>#N/A</v>
      </c>
      <c r="EA337" s="138" t="e">
        <f>IF(VLOOKUP(CONCATENATE(H337,F337,EA$2),Inglés!$A:$H,7,FALSE)=AO337,1,0)</f>
        <v>#N/A</v>
      </c>
      <c r="EB337" s="138" t="e">
        <f>IF(VLOOKUP(CONCATENATE(H337,F337,EB$2),Matemáticas!$A:$H,7,FALSE)=AP337,1,0)</f>
        <v>#N/A</v>
      </c>
      <c r="EC337" s="138" t="e">
        <f>IF(VLOOKUP(CONCATENATE(H337,F337,EC$2),Matemáticas!$A:$H,7,FALSE)=AQ337,1,0)</f>
        <v>#N/A</v>
      </c>
      <c r="ED337" s="138" t="e">
        <f>IF(VLOOKUP(CONCATENATE(H337,F337,ED$2),Matemáticas!$A:$H,7,FALSE)=AR337,1,0)</f>
        <v>#N/A</v>
      </c>
      <c r="EE337" s="138" t="e">
        <f>IF(VLOOKUP(CONCATENATE(H337,F337,EE$2),Matemáticas!$A:$H,7,FALSE)=AS337,1,0)</f>
        <v>#N/A</v>
      </c>
      <c r="EF337" s="138" t="e">
        <f>IF(VLOOKUP(CONCATENATE(H337,F337,EF$2),Matemáticas!$A:$H,7,FALSE)=AT337,1,0)</f>
        <v>#N/A</v>
      </c>
      <c r="EG337" s="138" t="e">
        <f>IF(VLOOKUP(CONCATENATE(H337,F337,EG$2),Matemáticas!$A:$H,7,FALSE)=AU337,1,0)</f>
        <v>#N/A</v>
      </c>
      <c r="EH337" s="138" t="e">
        <f>IF(VLOOKUP(CONCATENATE(H337,F337,EH$2),Matemáticas!$A:$H,7,FALSE)=AV337,1,0)</f>
        <v>#N/A</v>
      </c>
      <c r="EI337" s="138" t="e">
        <f>IF(VLOOKUP(CONCATENATE(H337,F337,EI$2),Matemáticas!$A:$H,7,FALSE)=AW337,1,0)</f>
        <v>#N/A</v>
      </c>
      <c r="EJ337" s="138" t="e">
        <f>IF(VLOOKUP(CONCATENATE(H337,F337,EJ$2),Matemáticas!$A:$H,7,FALSE)=AX337,1,0)</f>
        <v>#N/A</v>
      </c>
      <c r="EK337" s="138" t="e">
        <f>IF(VLOOKUP(CONCATENATE(H337,F337,EK$2),Matemáticas!$A:$H,7,FALSE)=AY337,1,0)</f>
        <v>#N/A</v>
      </c>
      <c r="EL337" s="138" t="e">
        <f>IF(VLOOKUP(CONCATENATE(H337,F337,EL$2),Matemáticas!$A:$H,7,FALSE)=AZ337,1,0)</f>
        <v>#N/A</v>
      </c>
      <c r="EM337" s="138" t="e">
        <f>IF(VLOOKUP(CONCATENATE(H337,F337,EM$2),Matemáticas!$A:$H,7,FALSE)=BA337,1,0)</f>
        <v>#N/A</v>
      </c>
      <c r="EN337" s="138" t="e">
        <f>IF(VLOOKUP(CONCATENATE(H337,F337,EN$2),Matemáticas!$A:$H,7,FALSE)=BB337,1,0)</f>
        <v>#N/A</v>
      </c>
      <c r="EO337" s="138" t="e">
        <f>IF(VLOOKUP(CONCATENATE(H337,F337,EO$2),Matemáticas!$A:$H,7,FALSE)=BC337,1,0)</f>
        <v>#N/A</v>
      </c>
      <c r="EP337" s="138" t="e">
        <f>IF(VLOOKUP(CONCATENATE(H337,F337,EP$2),Matemáticas!$A:$H,7,FALSE)=BD337,1,0)</f>
        <v>#N/A</v>
      </c>
      <c r="EQ337" s="138" t="e">
        <f>IF(VLOOKUP(CONCATENATE(H337,F337,EQ$2),Matemáticas!$A:$H,7,FALSE)=BE337,1,0)</f>
        <v>#N/A</v>
      </c>
      <c r="ER337" s="138" t="e">
        <f>IF(VLOOKUP(CONCATENATE(H337,F337,ER$2),Matemáticas!$A:$H,7,FALSE)=BF337,1,0)</f>
        <v>#N/A</v>
      </c>
      <c r="ES337" s="138" t="e">
        <f>IF(VLOOKUP(CONCATENATE(H337,F337,ES$2),Matemáticas!$A:$H,7,FALSE)=BG337,1,0)</f>
        <v>#N/A</v>
      </c>
      <c r="ET337" s="138" t="e">
        <f>IF(VLOOKUP(CONCATENATE(H337,F337,ET$2),Matemáticas!$A:$H,7,FALSE)=BH337,1,0)</f>
        <v>#N/A</v>
      </c>
      <c r="EU337" s="138" t="e">
        <f>IF(VLOOKUP(CONCATENATE(H337,F337,EU$2),Matemáticas!$A:$H,7,FALSE)=BI337,1,0)</f>
        <v>#N/A</v>
      </c>
      <c r="EV337" s="138" t="e">
        <f>IF(VLOOKUP(CONCATENATE(H337,F337,EV$2),Ciencias!$A:$H,7,FALSE)=BJ337,1,0)</f>
        <v>#N/A</v>
      </c>
      <c r="EW337" s="138" t="e">
        <f>IF(VLOOKUP(CONCATENATE(H337,F337,EW$2),Ciencias!$A:$H,7,FALSE)=BK337,1,0)</f>
        <v>#N/A</v>
      </c>
      <c r="EX337" s="138" t="e">
        <f>IF(VLOOKUP(CONCATENATE(H337,F337,EX$2),Ciencias!$A:$H,7,FALSE)=BL337,1,0)</f>
        <v>#N/A</v>
      </c>
      <c r="EY337" s="138" t="e">
        <f>IF(VLOOKUP(CONCATENATE(H337,F337,EY$2),Ciencias!$A:$H,7,FALSE)=BM337,1,0)</f>
        <v>#N/A</v>
      </c>
      <c r="EZ337" s="138" t="e">
        <f>IF(VLOOKUP(CONCATENATE(H337,F337,EZ$2),Ciencias!$A:$H,7,FALSE)=BN337,1,0)</f>
        <v>#N/A</v>
      </c>
      <c r="FA337" s="138" t="e">
        <f>IF(VLOOKUP(CONCATENATE(H337,F337,FA$2),Ciencias!$A:$H,7,FALSE)=BO337,1,0)</f>
        <v>#N/A</v>
      </c>
      <c r="FB337" s="138" t="e">
        <f>IF(VLOOKUP(CONCATENATE(H337,F337,FB$2),Ciencias!$A:$H,7,FALSE)=BP337,1,0)</f>
        <v>#N/A</v>
      </c>
      <c r="FC337" s="138" t="e">
        <f>IF(VLOOKUP(CONCATENATE(H337,F337,FC$2),Ciencias!$A:$H,7,FALSE)=BQ337,1,0)</f>
        <v>#N/A</v>
      </c>
      <c r="FD337" s="138" t="e">
        <f>IF(VLOOKUP(CONCATENATE(H337,F337,FD$2),Ciencias!$A:$H,7,FALSE)=BR337,1,0)</f>
        <v>#N/A</v>
      </c>
      <c r="FE337" s="138" t="e">
        <f>IF(VLOOKUP(CONCATENATE(H337,F337,FE$2),Ciencias!$A:$H,7,FALSE)=BS337,1,0)</f>
        <v>#N/A</v>
      </c>
      <c r="FF337" s="138" t="e">
        <f>IF(VLOOKUP(CONCATENATE(H337,F337,FF$2),Ciencias!$A:$H,7,FALSE)=BT337,1,0)</f>
        <v>#N/A</v>
      </c>
      <c r="FG337" s="138" t="e">
        <f>IF(VLOOKUP(CONCATENATE(H337,F337,FG$2),Ciencias!$A:$H,7,FALSE)=BU337,1,0)</f>
        <v>#N/A</v>
      </c>
      <c r="FH337" s="138" t="e">
        <f>IF(VLOOKUP(CONCATENATE(H337,F337,FH$2),Ciencias!$A:$H,7,FALSE)=BV337,1,0)</f>
        <v>#N/A</v>
      </c>
      <c r="FI337" s="138" t="e">
        <f>IF(VLOOKUP(CONCATENATE(H337,F337,FI$2),Ciencias!$A:$H,7,FALSE)=BW337,1,0)</f>
        <v>#N/A</v>
      </c>
      <c r="FJ337" s="138" t="e">
        <f>IF(VLOOKUP(CONCATENATE(H337,F337,FJ$2),Ciencias!$A:$H,7,FALSE)=BX337,1,0)</f>
        <v>#N/A</v>
      </c>
      <c r="FK337" s="138" t="e">
        <f>IF(VLOOKUP(CONCATENATE(H337,F337,FK$2),Ciencias!$A:$H,7,FALSE)=BY337,1,0)</f>
        <v>#N/A</v>
      </c>
      <c r="FL337" s="138" t="e">
        <f>IF(VLOOKUP(CONCATENATE(H337,F337,FL$2),Ciencias!$A:$H,7,FALSE)=BZ337,1,0)</f>
        <v>#N/A</v>
      </c>
      <c r="FM337" s="138" t="e">
        <f>IF(VLOOKUP(CONCATENATE(H337,F337,FM$2),Ciencias!$A:$H,7,FALSE)=CA337,1,0)</f>
        <v>#N/A</v>
      </c>
      <c r="FN337" s="138" t="e">
        <f>IF(VLOOKUP(CONCATENATE(H337,F337,FN$2),Ciencias!$A:$H,7,FALSE)=CB337,1,0)</f>
        <v>#N/A</v>
      </c>
      <c r="FO337" s="138" t="e">
        <f>IF(VLOOKUP(CONCATENATE(H337,F337,FO$2),Ciencias!$A:$H,7,FALSE)=CC337,1,0)</f>
        <v>#N/A</v>
      </c>
      <c r="FP337" s="138" t="e">
        <f>IF(VLOOKUP(CONCATENATE(H337,F337,FP$2),GeoHis!$A:$H,7,FALSE)=CD337,1,0)</f>
        <v>#N/A</v>
      </c>
      <c r="FQ337" s="138" t="e">
        <f>IF(VLOOKUP(CONCATENATE(H337,F337,FQ$2),GeoHis!$A:$H,7,FALSE)=CE337,1,0)</f>
        <v>#N/A</v>
      </c>
      <c r="FR337" s="138" t="e">
        <f>IF(VLOOKUP(CONCATENATE(H337,F337,FR$2),GeoHis!$A:$H,7,FALSE)=CF337,1,0)</f>
        <v>#N/A</v>
      </c>
      <c r="FS337" s="138" t="e">
        <f>IF(VLOOKUP(CONCATENATE(H337,F337,FS$2),GeoHis!$A:$H,7,FALSE)=CG337,1,0)</f>
        <v>#N/A</v>
      </c>
      <c r="FT337" s="138" t="e">
        <f>IF(VLOOKUP(CONCATENATE(H337,F337,FT$2),GeoHis!$A:$H,7,FALSE)=CH337,1,0)</f>
        <v>#N/A</v>
      </c>
      <c r="FU337" s="138" t="e">
        <f>IF(VLOOKUP(CONCATENATE(H337,F337,FU$2),GeoHis!$A:$H,7,FALSE)=CI337,1,0)</f>
        <v>#N/A</v>
      </c>
      <c r="FV337" s="138" t="e">
        <f>IF(VLOOKUP(CONCATENATE(H337,F337,FV$2),GeoHis!$A:$H,7,FALSE)=CJ337,1,0)</f>
        <v>#N/A</v>
      </c>
      <c r="FW337" s="138" t="e">
        <f>IF(VLOOKUP(CONCATENATE(H337,F337,FW$2),GeoHis!$A:$H,7,FALSE)=CK337,1,0)</f>
        <v>#N/A</v>
      </c>
      <c r="FX337" s="138" t="e">
        <f>IF(VLOOKUP(CONCATENATE(H337,F337,FX$2),GeoHis!$A:$H,7,FALSE)=CL337,1,0)</f>
        <v>#N/A</v>
      </c>
      <c r="FY337" s="138" t="e">
        <f>IF(VLOOKUP(CONCATENATE(H337,F337,FY$2),GeoHis!$A:$H,7,FALSE)=CM337,1,0)</f>
        <v>#N/A</v>
      </c>
      <c r="FZ337" s="138" t="e">
        <f>IF(VLOOKUP(CONCATENATE(H337,F337,FZ$2),GeoHis!$A:$H,7,FALSE)=CN337,1,0)</f>
        <v>#N/A</v>
      </c>
      <c r="GA337" s="138" t="e">
        <f>IF(VLOOKUP(CONCATENATE(H337,F337,GA$2),GeoHis!$A:$H,7,FALSE)=CO337,1,0)</f>
        <v>#N/A</v>
      </c>
      <c r="GB337" s="138" t="e">
        <f>IF(VLOOKUP(CONCATENATE(H337,F337,GB$2),GeoHis!$A:$H,7,FALSE)=CP337,1,0)</f>
        <v>#N/A</v>
      </c>
      <c r="GC337" s="138" t="e">
        <f>IF(VLOOKUP(CONCATENATE(H337,F337,GC$2),GeoHis!$A:$H,7,FALSE)=CQ337,1,0)</f>
        <v>#N/A</v>
      </c>
      <c r="GD337" s="138" t="e">
        <f>IF(VLOOKUP(CONCATENATE(H337,F337,GD$2),GeoHis!$A:$H,7,FALSE)=CR337,1,0)</f>
        <v>#N/A</v>
      </c>
      <c r="GE337" s="135" t="str">
        <f t="shared" si="47"/>
        <v/>
      </c>
    </row>
    <row r="338" spans="1:187" x14ac:dyDescent="0.25">
      <c r="A338" s="127" t="str">
        <f>IF(C338="","",'Datos Generales'!$A$25)</f>
        <v/>
      </c>
      <c r="D338" s="126" t="str">
        <f t="shared" si="40"/>
        <v/>
      </c>
      <c r="E338" s="126">
        <f t="shared" si="41"/>
        <v>0</v>
      </c>
      <c r="F338" s="126" t="str">
        <f t="shared" si="42"/>
        <v/>
      </c>
      <c r="G338" s="126" t="str">
        <f>IF(C338="","",'Datos Generales'!$D$19)</f>
        <v/>
      </c>
      <c r="H338" s="21" t="str">
        <f>IF(C338="","",'Datos Generales'!$A$19)</f>
        <v/>
      </c>
      <c r="I338" s="126" t="str">
        <f>IF(C338="","",'Datos Generales'!$A$7)</f>
        <v/>
      </c>
      <c r="J338" s="21" t="str">
        <f>IF(C338="","",'Datos Generales'!$A$13)</f>
        <v/>
      </c>
      <c r="K338" s="21" t="str">
        <f>IF(C338="","",'Datos Generales'!$A$10)</f>
        <v/>
      </c>
      <c r="CS338" s="142" t="str">
        <f t="shared" si="43"/>
        <v/>
      </c>
      <c r="CT338" s="142" t="str">
        <f t="shared" si="44"/>
        <v/>
      </c>
      <c r="CU338" s="142" t="str">
        <f t="shared" si="45"/>
        <v/>
      </c>
      <c r="CV338" s="142" t="str">
        <f t="shared" si="46"/>
        <v/>
      </c>
      <c r="CW338" s="142" t="str">
        <f>IF(C338="","",IF('Datos Generales'!$A$19=1,AVERAGE(FP338:GD338),AVERAGE(Captura!FP338:FY338)))</f>
        <v/>
      </c>
      <c r="CX338" s="138" t="e">
        <f>IF(VLOOKUP(CONCATENATE($H$4,$F$4,CX$2),Español!$A:$H,7,FALSE)=L338,1,0)</f>
        <v>#N/A</v>
      </c>
      <c r="CY338" s="138" t="e">
        <f>IF(VLOOKUP(CONCATENATE(H338,F338,CY$2),Español!$A:$H,7,FALSE)=M338,1,0)</f>
        <v>#N/A</v>
      </c>
      <c r="CZ338" s="138" t="e">
        <f>IF(VLOOKUP(CONCATENATE(H338,F338,CZ$2),Español!$A:$H,7,FALSE)=N338,1,0)</f>
        <v>#N/A</v>
      </c>
      <c r="DA338" s="138" t="e">
        <f>IF(VLOOKUP(CONCATENATE(H338,F338,DA$2),Español!$A:$H,7,FALSE)=O338,1,0)</f>
        <v>#N/A</v>
      </c>
      <c r="DB338" s="138" t="e">
        <f>IF(VLOOKUP(CONCATENATE(H338,F338,DB$2),Español!$A:$H,7,FALSE)=P338,1,0)</f>
        <v>#N/A</v>
      </c>
      <c r="DC338" s="138" t="e">
        <f>IF(VLOOKUP(CONCATENATE(H338,F338,DC$2),Español!$A:$H,7,FALSE)=Q338,1,0)</f>
        <v>#N/A</v>
      </c>
      <c r="DD338" s="138" t="e">
        <f>IF(VLOOKUP(CONCATENATE(H338,F338,DD$2),Español!$A:$H,7,FALSE)=R338,1,0)</f>
        <v>#N/A</v>
      </c>
      <c r="DE338" s="138" t="e">
        <f>IF(VLOOKUP(CONCATENATE(H338,F338,DE$2),Español!$A:$H,7,FALSE)=S338,1,0)</f>
        <v>#N/A</v>
      </c>
      <c r="DF338" s="138" t="e">
        <f>IF(VLOOKUP(CONCATENATE(H338,F338,DF$2),Español!$A:$H,7,FALSE)=T338,1,0)</f>
        <v>#N/A</v>
      </c>
      <c r="DG338" s="138" t="e">
        <f>IF(VLOOKUP(CONCATENATE(H338,F338,DG$2),Español!$A:$H,7,FALSE)=U338,1,0)</f>
        <v>#N/A</v>
      </c>
      <c r="DH338" s="138" t="e">
        <f>IF(VLOOKUP(CONCATENATE(H338,F338,DH$2),Español!$A:$H,7,FALSE)=V338,1,0)</f>
        <v>#N/A</v>
      </c>
      <c r="DI338" s="138" t="e">
        <f>IF(VLOOKUP(CONCATENATE(H338,F338,DI$2),Español!$A:$H,7,FALSE)=W338,1,0)</f>
        <v>#N/A</v>
      </c>
      <c r="DJ338" s="138" t="e">
        <f>IF(VLOOKUP(CONCATENATE(H338,F338,DJ$2),Español!$A:$H,7,FALSE)=X338,1,0)</f>
        <v>#N/A</v>
      </c>
      <c r="DK338" s="138" t="e">
        <f>IF(VLOOKUP(CONCATENATE(H338,F338,DK$2),Español!$A:$H,7,FALSE)=Y338,1,0)</f>
        <v>#N/A</v>
      </c>
      <c r="DL338" s="138" t="e">
        <f>IF(VLOOKUP(CONCATENATE(H338,F338,DL$2),Español!$A:$H,7,FALSE)=Z338,1,0)</f>
        <v>#N/A</v>
      </c>
      <c r="DM338" s="138" t="e">
        <f>IF(VLOOKUP(CONCATENATE(H338,F338,DM$2),Español!$A:$H,7,FALSE)=AA338,1,0)</f>
        <v>#N/A</v>
      </c>
      <c r="DN338" s="138" t="e">
        <f>IF(VLOOKUP(CONCATENATE(H338,F338,DN$2),Español!$A:$H,7,FALSE)=AB338,1,0)</f>
        <v>#N/A</v>
      </c>
      <c r="DO338" s="138" t="e">
        <f>IF(VLOOKUP(CONCATENATE(H338,F338,DO$2),Español!$A:$H,7,FALSE)=AC338,1,0)</f>
        <v>#N/A</v>
      </c>
      <c r="DP338" s="138" t="e">
        <f>IF(VLOOKUP(CONCATENATE(H338,F338,DP$2),Español!$A:$H,7,FALSE)=AD338,1,0)</f>
        <v>#N/A</v>
      </c>
      <c r="DQ338" s="138" t="e">
        <f>IF(VLOOKUP(CONCATENATE(H338,F338,DQ$2),Español!$A:$H,7,FALSE)=AE338,1,0)</f>
        <v>#N/A</v>
      </c>
      <c r="DR338" s="138" t="e">
        <f>IF(VLOOKUP(CONCATENATE(H338,F338,DR$2),Inglés!$A:$H,7,FALSE)=AF338,1,0)</f>
        <v>#N/A</v>
      </c>
      <c r="DS338" s="138" t="e">
        <f>IF(VLOOKUP(CONCATENATE(H338,F338,DS$2),Inglés!$A:$H,7,FALSE)=AG338,1,0)</f>
        <v>#N/A</v>
      </c>
      <c r="DT338" s="138" t="e">
        <f>IF(VLOOKUP(CONCATENATE(H338,F338,DT$2),Inglés!$A:$H,7,FALSE)=AH338,1,0)</f>
        <v>#N/A</v>
      </c>
      <c r="DU338" s="138" t="e">
        <f>IF(VLOOKUP(CONCATENATE(H338,F338,DU$2),Inglés!$A:$H,7,FALSE)=AI338,1,0)</f>
        <v>#N/A</v>
      </c>
      <c r="DV338" s="138" t="e">
        <f>IF(VLOOKUP(CONCATENATE(H338,F338,DV$2),Inglés!$A:$H,7,FALSE)=AJ338,1,0)</f>
        <v>#N/A</v>
      </c>
      <c r="DW338" s="138" t="e">
        <f>IF(VLOOKUP(CONCATENATE(H338,F338,DW$2),Inglés!$A:$H,7,FALSE)=AK338,1,0)</f>
        <v>#N/A</v>
      </c>
      <c r="DX338" s="138" t="e">
        <f>IF(VLOOKUP(CONCATENATE(H338,F338,DX$2),Inglés!$A:$H,7,FALSE)=AL338,1,0)</f>
        <v>#N/A</v>
      </c>
      <c r="DY338" s="138" t="e">
        <f>IF(VLOOKUP(CONCATENATE(H338,F338,DY$2),Inglés!$A:$H,7,FALSE)=AM338,1,0)</f>
        <v>#N/A</v>
      </c>
      <c r="DZ338" s="138" t="e">
        <f>IF(VLOOKUP(CONCATENATE(H338,F338,DZ$2),Inglés!$A:$H,7,FALSE)=AN338,1,0)</f>
        <v>#N/A</v>
      </c>
      <c r="EA338" s="138" t="e">
        <f>IF(VLOOKUP(CONCATENATE(H338,F338,EA$2),Inglés!$A:$H,7,FALSE)=AO338,1,0)</f>
        <v>#N/A</v>
      </c>
      <c r="EB338" s="138" t="e">
        <f>IF(VLOOKUP(CONCATENATE(H338,F338,EB$2),Matemáticas!$A:$H,7,FALSE)=AP338,1,0)</f>
        <v>#N/A</v>
      </c>
      <c r="EC338" s="138" t="e">
        <f>IF(VLOOKUP(CONCATENATE(H338,F338,EC$2),Matemáticas!$A:$H,7,FALSE)=AQ338,1,0)</f>
        <v>#N/A</v>
      </c>
      <c r="ED338" s="138" t="e">
        <f>IF(VLOOKUP(CONCATENATE(H338,F338,ED$2),Matemáticas!$A:$H,7,FALSE)=AR338,1,0)</f>
        <v>#N/A</v>
      </c>
      <c r="EE338" s="138" t="e">
        <f>IF(VLOOKUP(CONCATENATE(H338,F338,EE$2),Matemáticas!$A:$H,7,FALSE)=AS338,1,0)</f>
        <v>#N/A</v>
      </c>
      <c r="EF338" s="138" t="e">
        <f>IF(VLOOKUP(CONCATENATE(H338,F338,EF$2),Matemáticas!$A:$H,7,FALSE)=AT338,1,0)</f>
        <v>#N/A</v>
      </c>
      <c r="EG338" s="138" t="e">
        <f>IF(VLOOKUP(CONCATENATE(H338,F338,EG$2),Matemáticas!$A:$H,7,FALSE)=AU338,1,0)</f>
        <v>#N/A</v>
      </c>
      <c r="EH338" s="138" t="e">
        <f>IF(VLOOKUP(CONCATENATE(H338,F338,EH$2),Matemáticas!$A:$H,7,FALSE)=AV338,1,0)</f>
        <v>#N/A</v>
      </c>
      <c r="EI338" s="138" t="e">
        <f>IF(VLOOKUP(CONCATENATE(H338,F338,EI$2),Matemáticas!$A:$H,7,FALSE)=AW338,1,0)</f>
        <v>#N/A</v>
      </c>
      <c r="EJ338" s="138" t="e">
        <f>IF(VLOOKUP(CONCATENATE(H338,F338,EJ$2),Matemáticas!$A:$H,7,FALSE)=AX338,1,0)</f>
        <v>#N/A</v>
      </c>
      <c r="EK338" s="138" t="e">
        <f>IF(VLOOKUP(CONCATENATE(H338,F338,EK$2),Matemáticas!$A:$H,7,FALSE)=AY338,1,0)</f>
        <v>#N/A</v>
      </c>
      <c r="EL338" s="138" t="e">
        <f>IF(VLOOKUP(CONCATENATE(H338,F338,EL$2),Matemáticas!$A:$H,7,FALSE)=AZ338,1,0)</f>
        <v>#N/A</v>
      </c>
      <c r="EM338" s="138" t="e">
        <f>IF(VLOOKUP(CONCATENATE(H338,F338,EM$2),Matemáticas!$A:$H,7,FALSE)=BA338,1,0)</f>
        <v>#N/A</v>
      </c>
      <c r="EN338" s="138" t="e">
        <f>IF(VLOOKUP(CONCATENATE(H338,F338,EN$2),Matemáticas!$A:$H,7,FALSE)=BB338,1,0)</f>
        <v>#N/A</v>
      </c>
      <c r="EO338" s="138" t="e">
        <f>IF(VLOOKUP(CONCATENATE(H338,F338,EO$2),Matemáticas!$A:$H,7,FALSE)=BC338,1,0)</f>
        <v>#N/A</v>
      </c>
      <c r="EP338" s="138" t="e">
        <f>IF(VLOOKUP(CONCATENATE(H338,F338,EP$2),Matemáticas!$A:$H,7,FALSE)=BD338,1,0)</f>
        <v>#N/A</v>
      </c>
      <c r="EQ338" s="138" t="e">
        <f>IF(VLOOKUP(CONCATENATE(H338,F338,EQ$2),Matemáticas!$A:$H,7,FALSE)=BE338,1,0)</f>
        <v>#N/A</v>
      </c>
      <c r="ER338" s="138" t="e">
        <f>IF(VLOOKUP(CONCATENATE(H338,F338,ER$2),Matemáticas!$A:$H,7,FALSE)=BF338,1,0)</f>
        <v>#N/A</v>
      </c>
      <c r="ES338" s="138" t="e">
        <f>IF(VLOOKUP(CONCATENATE(H338,F338,ES$2),Matemáticas!$A:$H,7,FALSE)=BG338,1,0)</f>
        <v>#N/A</v>
      </c>
      <c r="ET338" s="138" t="e">
        <f>IF(VLOOKUP(CONCATENATE(H338,F338,ET$2),Matemáticas!$A:$H,7,FALSE)=BH338,1,0)</f>
        <v>#N/A</v>
      </c>
      <c r="EU338" s="138" t="e">
        <f>IF(VLOOKUP(CONCATENATE(H338,F338,EU$2),Matemáticas!$A:$H,7,FALSE)=BI338,1,0)</f>
        <v>#N/A</v>
      </c>
      <c r="EV338" s="138" t="e">
        <f>IF(VLOOKUP(CONCATENATE(H338,F338,EV$2),Ciencias!$A:$H,7,FALSE)=BJ338,1,0)</f>
        <v>#N/A</v>
      </c>
      <c r="EW338" s="138" t="e">
        <f>IF(VLOOKUP(CONCATENATE(H338,F338,EW$2),Ciencias!$A:$H,7,FALSE)=BK338,1,0)</f>
        <v>#N/A</v>
      </c>
      <c r="EX338" s="138" t="e">
        <f>IF(VLOOKUP(CONCATENATE(H338,F338,EX$2),Ciencias!$A:$H,7,FALSE)=BL338,1,0)</f>
        <v>#N/A</v>
      </c>
      <c r="EY338" s="138" t="e">
        <f>IF(VLOOKUP(CONCATENATE(H338,F338,EY$2),Ciencias!$A:$H,7,FALSE)=BM338,1,0)</f>
        <v>#N/A</v>
      </c>
      <c r="EZ338" s="138" t="e">
        <f>IF(VLOOKUP(CONCATENATE(H338,F338,EZ$2),Ciencias!$A:$H,7,FALSE)=BN338,1,0)</f>
        <v>#N/A</v>
      </c>
      <c r="FA338" s="138" t="e">
        <f>IF(VLOOKUP(CONCATENATE(H338,F338,FA$2),Ciencias!$A:$H,7,FALSE)=BO338,1,0)</f>
        <v>#N/A</v>
      </c>
      <c r="FB338" s="138" t="e">
        <f>IF(VLOOKUP(CONCATENATE(H338,F338,FB$2),Ciencias!$A:$H,7,FALSE)=BP338,1,0)</f>
        <v>#N/A</v>
      </c>
      <c r="FC338" s="138" t="e">
        <f>IF(VLOOKUP(CONCATENATE(H338,F338,FC$2),Ciencias!$A:$H,7,FALSE)=BQ338,1,0)</f>
        <v>#N/A</v>
      </c>
      <c r="FD338" s="138" t="e">
        <f>IF(VLOOKUP(CONCATENATE(H338,F338,FD$2),Ciencias!$A:$H,7,FALSE)=BR338,1,0)</f>
        <v>#N/A</v>
      </c>
      <c r="FE338" s="138" t="e">
        <f>IF(VLOOKUP(CONCATENATE(H338,F338,FE$2),Ciencias!$A:$H,7,FALSE)=BS338,1,0)</f>
        <v>#N/A</v>
      </c>
      <c r="FF338" s="138" t="e">
        <f>IF(VLOOKUP(CONCATENATE(H338,F338,FF$2),Ciencias!$A:$H,7,FALSE)=BT338,1,0)</f>
        <v>#N/A</v>
      </c>
      <c r="FG338" s="138" t="e">
        <f>IF(VLOOKUP(CONCATENATE(H338,F338,FG$2),Ciencias!$A:$H,7,FALSE)=BU338,1,0)</f>
        <v>#N/A</v>
      </c>
      <c r="FH338" s="138" t="e">
        <f>IF(VLOOKUP(CONCATENATE(H338,F338,FH$2),Ciencias!$A:$H,7,FALSE)=BV338,1,0)</f>
        <v>#N/A</v>
      </c>
      <c r="FI338" s="138" t="e">
        <f>IF(VLOOKUP(CONCATENATE(H338,F338,FI$2),Ciencias!$A:$H,7,FALSE)=BW338,1,0)</f>
        <v>#N/A</v>
      </c>
      <c r="FJ338" s="138" t="e">
        <f>IF(VLOOKUP(CONCATENATE(H338,F338,FJ$2),Ciencias!$A:$H,7,FALSE)=BX338,1,0)</f>
        <v>#N/A</v>
      </c>
      <c r="FK338" s="138" t="e">
        <f>IF(VLOOKUP(CONCATENATE(H338,F338,FK$2),Ciencias!$A:$H,7,FALSE)=BY338,1,0)</f>
        <v>#N/A</v>
      </c>
      <c r="FL338" s="138" t="e">
        <f>IF(VLOOKUP(CONCATENATE(H338,F338,FL$2),Ciencias!$A:$H,7,FALSE)=BZ338,1,0)</f>
        <v>#N/A</v>
      </c>
      <c r="FM338" s="138" t="e">
        <f>IF(VLOOKUP(CONCATENATE(H338,F338,FM$2),Ciencias!$A:$H,7,FALSE)=CA338,1,0)</f>
        <v>#N/A</v>
      </c>
      <c r="FN338" s="138" t="e">
        <f>IF(VLOOKUP(CONCATENATE(H338,F338,FN$2),Ciencias!$A:$H,7,FALSE)=CB338,1,0)</f>
        <v>#N/A</v>
      </c>
      <c r="FO338" s="138" t="e">
        <f>IF(VLOOKUP(CONCATENATE(H338,F338,FO$2),Ciencias!$A:$H,7,FALSE)=CC338,1,0)</f>
        <v>#N/A</v>
      </c>
      <c r="FP338" s="138" t="e">
        <f>IF(VLOOKUP(CONCATENATE(H338,F338,FP$2),GeoHis!$A:$H,7,FALSE)=CD338,1,0)</f>
        <v>#N/A</v>
      </c>
      <c r="FQ338" s="138" t="e">
        <f>IF(VLOOKUP(CONCATENATE(H338,F338,FQ$2),GeoHis!$A:$H,7,FALSE)=CE338,1,0)</f>
        <v>#N/A</v>
      </c>
      <c r="FR338" s="138" t="e">
        <f>IF(VLOOKUP(CONCATENATE(H338,F338,FR$2),GeoHis!$A:$H,7,FALSE)=CF338,1,0)</f>
        <v>#N/A</v>
      </c>
      <c r="FS338" s="138" t="e">
        <f>IF(VLOOKUP(CONCATENATE(H338,F338,FS$2),GeoHis!$A:$H,7,FALSE)=CG338,1,0)</f>
        <v>#N/A</v>
      </c>
      <c r="FT338" s="138" t="e">
        <f>IF(VLOOKUP(CONCATENATE(H338,F338,FT$2),GeoHis!$A:$H,7,FALSE)=CH338,1,0)</f>
        <v>#N/A</v>
      </c>
      <c r="FU338" s="138" t="e">
        <f>IF(VLOOKUP(CONCATENATE(H338,F338,FU$2),GeoHis!$A:$H,7,FALSE)=CI338,1,0)</f>
        <v>#N/A</v>
      </c>
      <c r="FV338" s="138" t="e">
        <f>IF(VLOOKUP(CONCATENATE(H338,F338,FV$2),GeoHis!$A:$H,7,FALSE)=CJ338,1,0)</f>
        <v>#N/A</v>
      </c>
      <c r="FW338" s="138" t="e">
        <f>IF(VLOOKUP(CONCATENATE(H338,F338,FW$2),GeoHis!$A:$H,7,FALSE)=CK338,1,0)</f>
        <v>#N/A</v>
      </c>
      <c r="FX338" s="138" t="e">
        <f>IF(VLOOKUP(CONCATENATE(H338,F338,FX$2),GeoHis!$A:$H,7,FALSE)=CL338,1,0)</f>
        <v>#N/A</v>
      </c>
      <c r="FY338" s="138" t="e">
        <f>IF(VLOOKUP(CONCATENATE(H338,F338,FY$2),GeoHis!$A:$H,7,FALSE)=CM338,1,0)</f>
        <v>#N/A</v>
      </c>
      <c r="FZ338" s="138" t="e">
        <f>IF(VLOOKUP(CONCATENATE(H338,F338,FZ$2),GeoHis!$A:$H,7,FALSE)=CN338,1,0)</f>
        <v>#N/A</v>
      </c>
      <c r="GA338" s="138" t="e">
        <f>IF(VLOOKUP(CONCATENATE(H338,F338,GA$2),GeoHis!$A:$H,7,FALSE)=CO338,1,0)</f>
        <v>#N/A</v>
      </c>
      <c r="GB338" s="138" t="e">
        <f>IF(VLOOKUP(CONCATENATE(H338,F338,GB$2),GeoHis!$A:$H,7,FALSE)=CP338,1,0)</f>
        <v>#N/A</v>
      </c>
      <c r="GC338" s="138" t="e">
        <f>IF(VLOOKUP(CONCATENATE(H338,F338,GC$2),GeoHis!$A:$H,7,FALSE)=CQ338,1,0)</f>
        <v>#N/A</v>
      </c>
      <c r="GD338" s="138" t="e">
        <f>IF(VLOOKUP(CONCATENATE(H338,F338,GD$2),GeoHis!$A:$H,7,FALSE)=CR338,1,0)</f>
        <v>#N/A</v>
      </c>
      <c r="GE338" s="135" t="str">
        <f t="shared" si="47"/>
        <v/>
      </c>
    </row>
    <row r="339" spans="1:187" x14ac:dyDescent="0.25">
      <c r="A339" s="127" t="str">
        <f>IF(C339="","",'Datos Generales'!$A$25)</f>
        <v/>
      </c>
      <c r="D339" s="126" t="str">
        <f t="shared" si="40"/>
        <v/>
      </c>
      <c r="E339" s="126">
        <f t="shared" si="41"/>
        <v>0</v>
      </c>
      <c r="F339" s="126" t="str">
        <f t="shared" si="42"/>
        <v/>
      </c>
      <c r="G339" s="126" t="str">
        <f>IF(C339="","",'Datos Generales'!$D$19)</f>
        <v/>
      </c>
      <c r="H339" s="21" t="str">
        <f>IF(C339="","",'Datos Generales'!$A$19)</f>
        <v/>
      </c>
      <c r="I339" s="126" t="str">
        <f>IF(C339="","",'Datos Generales'!$A$7)</f>
        <v/>
      </c>
      <c r="J339" s="21" t="str">
        <f>IF(C339="","",'Datos Generales'!$A$13)</f>
        <v/>
      </c>
      <c r="K339" s="21" t="str">
        <f>IF(C339="","",'Datos Generales'!$A$10)</f>
        <v/>
      </c>
      <c r="CS339" s="142" t="str">
        <f t="shared" si="43"/>
        <v/>
      </c>
      <c r="CT339" s="142" t="str">
        <f t="shared" si="44"/>
        <v/>
      </c>
      <c r="CU339" s="142" t="str">
        <f t="shared" si="45"/>
        <v/>
      </c>
      <c r="CV339" s="142" t="str">
        <f t="shared" si="46"/>
        <v/>
      </c>
      <c r="CW339" s="142" t="str">
        <f>IF(C339="","",IF('Datos Generales'!$A$19=1,AVERAGE(FP339:GD339),AVERAGE(Captura!FP339:FY339)))</f>
        <v/>
      </c>
      <c r="CX339" s="138" t="e">
        <f>IF(VLOOKUP(CONCATENATE($H$4,$F$4,CX$2),Español!$A:$H,7,FALSE)=L339,1,0)</f>
        <v>#N/A</v>
      </c>
      <c r="CY339" s="138" t="e">
        <f>IF(VLOOKUP(CONCATENATE(H339,F339,CY$2),Español!$A:$H,7,FALSE)=M339,1,0)</f>
        <v>#N/A</v>
      </c>
      <c r="CZ339" s="138" t="e">
        <f>IF(VLOOKUP(CONCATENATE(H339,F339,CZ$2),Español!$A:$H,7,FALSE)=N339,1,0)</f>
        <v>#N/A</v>
      </c>
      <c r="DA339" s="138" t="e">
        <f>IF(VLOOKUP(CONCATENATE(H339,F339,DA$2),Español!$A:$H,7,FALSE)=O339,1,0)</f>
        <v>#N/A</v>
      </c>
      <c r="DB339" s="138" t="e">
        <f>IF(VLOOKUP(CONCATENATE(H339,F339,DB$2),Español!$A:$H,7,FALSE)=P339,1,0)</f>
        <v>#N/A</v>
      </c>
      <c r="DC339" s="138" t="e">
        <f>IF(VLOOKUP(CONCATENATE(H339,F339,DC$2),Español!$A:$H,7,FALSE)=Q339,1,0)</f>
        <v>#N/A</v>
      </c>
      <c r="DD339" s="138" t="e">
        <f>IF(VLOOKUP(CONCATENATE(H339,F339,DD$2),Español!$A:$H,7,FALSE)=R339,1,0)</f>
        <v>#N/A</v>
      </c>
      <c r="DE339" s="138" t="e">
        <f>IF(VLOOKUP(CONCATENATE(H339,F339,DE$2),Español!$A:$H,7,FALSE)=S339,1,0)</f>
        <v>#N/A</v>
      </c>
      <c r="DF339" s="138" t="e">
        <f>IF(VLOOKUP(CONCATENATE(H339,F339,DF$2),Español!$A:$H,7,FALSE)=T339,1,0)</f>
        <v>#N/A</v>
      </c>
      <c r="DG339" s="138" t="e">
        <f>IF(VLOOKUP(CONCATENATE(H339,F339,DG$2),Español!$A:$H,7,FALSE)=U339,1,0)</f>
        <v>#N/A</v>
      </c>
      <c r="DH339" s="138" t="e">
        <f>IF(VLOOKUP(CONCATENATE(H339,F339,DH$2),Español!$A:$H,7,FALSE)=V339,1,0)</f>
        <v>#N/A</v>
      </c>
      <c r="DI339" s="138" t="e">
        <f>IF(VLOOKUP(CONCATENATE(H339,F339,DI$2),Español!$A:$H,7,FALSE)=W339,1,0)</f>
        <v>#N/A</v>
      </c>
      <c r="DJ339" s="138" t="e">
        <f>IF(VLOOKUP(CONCATENATE(H339,F339,DJ$2),Español!$A:$H,7,FALSE)=X339,1,0)</f>
        <v>#N/A</v>
      </c>
      <c r="DK339" s="138" t="e">
        <f>IF(VLOOKUP(CONCATENATE(H339,F339,DK$2),Español!$A:$H,7,FALSE)=Y339,1,0)</f>
        <v>#N/A</v>
      </c>
      <c r="DL339" s="138" t="e">
        <f>IF(VLOOKUP(CONCATENATE(H339,F339,DL$2),Español!$A:$H,7,FALSE)=Z339,1,0)</f>
        <v>#N/A</v>
      </c>
      <c r="DM339" s="138" t="e">
        <f>IF(VLOOKUP(CONCATENATE(H339,F339,DM$2),Español!$A:$H,7,FALSE)=AA339,1,0)</f>
        <v>#N/A</v>
      </c>
      <c r="DN339" s="138" t="e">
        <f>IF(VLOOKUP(CONCATENATE(H339,F339,DN$2),Español!$A:$H,7,FALSE)=AB339,1,0)</f>
        <v>#N/A</v>
      </c>
      <c r="DO339" s="138" t="e">
        <f>IF(VLOOKUP(CONCATENATE(H339,F339,DO$2),Español!$A:$H,7,FALSE)=AC339,1,0)</f>
        <v>#N/A</v>
      </c>
      <c r="DP339" s="138" t="e">
        <f>IF(VLOOKUP(CONCATENATE(H339,F339,DP$2),Español!$A:$H,7,FALSE)=AD339,1,0)</f>
        <v>#N/A</v>
      </c>
      <c r="DQ339" s="138" t="e">
        <f>IF(VLOOKUP(CONCATENATE(H339,F339,DQ$2),Español!$A:$H,7,FALSE)=AE339,1,0)</f>
        <v>#N/A</v>
      </c>
      <c r="DR339" s="138" t="e">
        <f>IF(VLOOKUP(CONCATENATE(H339,F339,DR$2),Inglés!$A:$H,7,FALSE)=AF339,1,0)</f>
        <v>#N/A</v>
      </c>
      <c r="DS339" s="138" t="e">
        <f>IF(VLOOKUP(CONCATENATE(H339,F339,DS$2),Inglés!$A:$H,7,FALSE)=AG339,1,0)</f>
        <v>#N/A</v>
      </c>
      <c r="DT339" s="138" t="e">
        <f>IF(VLOOKUP(CONCATENATE(H339,F339,DT$2),Inglés!$A:$H,7,FALSE)=AH339,1,0)</f>
        <v>#N/A</v>
      </c>
      <c r="DU339" s="138" t="e">
        <f>IF(VLOOKUP(CONCATENATE(H339,F339,DU$2),Inglés!$A:$H,7,FALSE)=AI339,1,0)</f>
        <v>#N/A</v>
      </c>
      <c r="DV339" s="138" t="e">
        <f>IF(VLOOKUP(CONCATENATE(H339,F339,DV$2),Inglés!$A:$H,7,FALSE)=AJ339,1,0)</f>
        <v>#N/A</v>
      </c>
      <c r="DW339" s="138" t="e">
        <f>IF(VLOOKUP(CONCATENATE(H339,F339,DW$2),Inglés!$A:$H,7,FALSE)=AK339,1,0)</f>
        <v>#N/A</v>
      </c>
      <c r="DX339" s="138" t="e">
        <f>IF(VLOOKUP(CONCATENATE(H339,F339,DX$2),Inglés!$A:$H,7,FALSE)=AL339,1,0)</f>
        <v>#N/A</v>
      </c>
      <c r="DY339" s="138" t="e">
        <f>IF(VLOOKUP(CONCATENATE(H339,F339,DY$2),Inglés!$A:$H,7,FALSE)=AM339,1,0)</f>
        <v>#N/A</v>
      </c>
      <c r="DZ339" s="138" t="e">
        <f>IF(VLOOKUP(CONCATENATE(H339,F339,DZ$2),Inglés!$A:$H,7,FALSE)=AN339,1,0)</f>
        <v>#N/A</v>
      </c>
      <c r="EA339" s="138" t="e">
        <f>IF(VLOOKUP(CONCATENATE(H339,F339,EA$2),Inglés!$A:$H,7,FALSE)=AO339,1,0)</f>
        <v>#N/A</v>
      </c>
      <c r="EB339" s="138" t="e">
        <f>IF(VLOOKUP(CONCATENATE(H339,F339,EB$2),Matemáticas!$A:$H,7,FALSE)=AP339,1,0)</f>
        <v>#N/A</v>
      </c>
      <c r="EC339" s="138" t="e">
        <f>IF(VLOOKUP(CONCATENATE(H339,F339,EC$2),Matemáticas!$A:$H,7,FALSE)=AQ339,1,0)</f>
        <v>#N/A</v>
      </c>
      <c r="ED339" s="138" t="e">
        <f>IF(VLOOKUP(CONCATENATE(H339,F339,ED$2),Matemáticas!$A:$H,7,FALSE)=AR339,1,0)</f>
        <v>#N/A</v>
      </c>
      <c r="EE339" s="138" t="e">
        <f>IF(VLOOKUP(CONCATENATE(H339,F339,EE$2),Matemáticas!$A:$H,7,FALSE)=AS339,1,0)</f>
        <v>#N/A</v>
      </c>
      <c r="EF339" s="138" t="e">
        <f>IF(VLOOKUP(CONCATENATE(H339,F339,EF$2),Matemáticas!$A:$H,7,FALSE)=AT339,1,0)</f>
        <v>#N/A</v>
      </c>
      <c r="EG339" s="138" t="e">
        <f>IF(VLOOKUP(CONCATENATE(H339,F339,EG$2),Matemáticas!$A:$H,7,FALSE)=AU339,1,0)</f>
        <v>#N/A</v>
      </c>
      <c r="EH339" s="138" t="e">
        <f>IF(VLOOKUP(CONCATENATE(H339,F339,EH$2),Matemáticas!$A:$H,7,FALSE)=AV339,1,0)</f>
        <v>#N/A</v>
      </c>
      <c r="EI339" s="138" t="e">
        <f>IF(VLOOKUP(CONCATENATE(H339,F339,EI$2),Matemáticas!$A:$H,7,FALSE)=AW339,1,0)</f>
        <v>#N/A</v>
      </c>
      <c r="EJ339" s="138" t="e">
        <f>IF(VLOOKUP(CONCATENATE(H339,F339,EJ$2),Matemáticas!$A:$H,7,FALSE)=AX339,1,0)</f>
        <v>#N/A</v>
      </c>
      <c r="EK339" s="138" t="e">
        <f>IF(VLOOKUP(CONCATENATE(H339,F339,EK$2),Matemáticas!$A:$H,7,FALSE)=AY339,1,0)</f>
        <v>#N/A</v>
      </c>
      <c r="EL339" s="138" t="e">
        <f>IF(VLOOKUP(CONCATENATE(H339,F339,EL$2),Matemáticas!$A:$H,7,FALSE)=AZ339,1,0)</f>
        <v>#N/A</v>
      </c>
      <c r="EM339" s="138" t="e">
        <f>IF(VLOOKUP(CONCATENATE(H339,F339,EM$2),Matemáticas!$A:$H,7,FALSE)=BA339,1,0)</f>
        <v>#N/A</v>
      </c>
      <c r="EN339" s="138" t="e">
        <f>IF(VLOOKUP(CONCATENATE(H339,F339,EN$2),Matemáticas!$A:$H,7,FALSE)=BB339,1,0)</f>
        <v>#N/A</v>
      </c>
      <c r="EO339" s="138" t="e">
        <f>IF(VLOOKUP(CONCATENATE(H339,F339,EO$2),Matemáticas!$A:$H,7,FALSE)=BC339,1,0)</f>
        <v>#N/A</v>
      </c>
      <c r="EP339" s="138" t="e">
        <f>IF(VLOOKUP(CONCATENATE(H339,F339,EP$2),Matemáticas!$A:$H,7,FALSE)=BD339,1,0)</f>
        <v>#N/A</v>
      </c>
      <c r="EQ339" s="138" t="e">
        <f>IF(VLOOKUP(CONCATENATE(H339,F339,EQ$2),Matemáticas!$A:$H,7,FALSE)=BE339,1,0)</f>
        <v>#N/A</v>
      </c>
      <c r="ER339" s="138" t="e">
        <f>IF(VLOOKUP(CONCATENATE(H339,F339,ER$2),Matemáticas!$A:$H,7,FALSE)=BF339,1,0)</f>
        <v>#N/A</v>
      </c>
      <c r="ES339" s="138" t="e">
        <f>IF(VLOOKUP(CONCATENATE(H339,F339,ES$2),Matemáticas!$A:$H,7,FALSE)=BG339,1,0)</f>
        <v>#N/A</v>
      </c>
      <c r="ET339" s="138" t="e">
        <f>IF(VLOOKUP(CONCATENATE(H339,F339,ET$2),Matemáticas!$A:$H,7,FALSE)=BH339,1,0)</f>
        <v>#N/A</v>
      </c>
      <c r="EU339" s="138" t="e">
        <f>IF(VLOOKUP(CONCATENATE(H339,F339,EU$2),Matemáticas!$A:$H,7,FALSE)=BI339,1,0)</f>
        <v>#N/A</v>
      </c>
      <c r="EV339" s="138" t="e">
        <f>IF(VLOOKUP(CONCATENATE(H339,F339,EV$2),Ciencias!$A:$H,7,FALSE)=BJ339,1,0)</f>
        <v>#N/A</v>
      </c>
      <c r="EW339" s="138" t="e">
        <f>IF(VLOOKUP(CONCATENATE(H339,F339,EW$2),Ciencias!$A:$H,7,FALSE)=BK339,1,0)</f>
        <v>#N/A</v>
      </c>
      <c r="EX339" s="138" t="e">
        <f>IF(VLOOKUP(CONCATENATE(H339,F339,EX$2),Ciencias!$A:$H,7,FALSE)=BL339,1,0)</f>
        <v>#N/A</v>
      </c>
      <c r="EY339" s="138" t="e">
        <f>IF(VLOOKUP(CONCATENATE(H339,F339,EY$2),Ciencias!$A:$H,7,FALSE)=BM339,1,0)</f>
        <v>#N/A</v>
      </c>
      <c r="EZ339" s="138" t="e">
        <f>IF(VLOOKUP(CONCATENATE(H339,F339,EZ$2),Ciencias!$A:$H,7,FALSE)=BN339,1,0)</f>
        <v>#N/A</v>
      </c>
      <c r="FA339" s="138" t="e">
        <f>IF(VLOOKUP(CONCATENATE(H339,F339,FA$2),Ciencias!$A:$H,7,FALSE)=BO339,1,0)</f>
        <v>#N/A</v>
      </c>
      <c r="FB339" s="138" t="e">
        <f>IF(VLOOKUP(CONCATENATE(H339,F339,FB$2),Ciencias!$A:$H,7,FALSE)=BP339,1,0)</f>
        <v>#N/A</v>
      </c>
      <c r="FC339" s="138" t="e">
        <f>IF(VLOOKUP(CONCATENATE(H339,F339,FC$2),Ciencias!$A:$H,7,FALSE)=BQ339,1,0)</f>
        <v>#N/A</v>
      </c>
      <c r="FD339" s="138" t="e">
        <f>IF(VLOOKUP(CONCATENATE(H339,F339,FD$2),Ciencias!$A:$H,7,FALSE)=BR339,1,0)</f>
        <v>#N/A</v>
      </c>
      <c r="FE339" s="138" t="e">
        <f>IF(VLOOKUP(CONCATENATE(H339,F339,FE$2),Ciencias!$A:$H,7,FALSE)=BS339,1,0)</f>
        <v>#N/A</v>
      </c>
      <c r="FF339" s="138" t="e">
        <f>IF(VLOOKUP(CONCATENATE(H339,F339,FF$2),Ciencias!$A:$H,7,FALSE)=BT339,1,0)</f>
        <v>#N/A</v>
      </c>
      <c r="FG339" s="138" t="e">
        <f>IF(VLOOKUP(CONCATENATE(H339,F339,FG$2),Ciencias!$A:$H,7,FALSE)=BU339,1,0)</f>
        <v>#N/A</v>
      </c>
      <c r="FH339" s="138" t="e">
        <f>IF(VLOOKUP(CONCATENATE(H339,F339,FH$2),Ciencias!$A:$H,7,FALSE)=BV339,1,0)</f>
        <v>#N/A</v>
      </c>
      <c r="FI339" s="138" t="e">
        <f>IF(VLOOKUP(CONCATENATE(H339,F339,FI$2),Ciencias!$A:$H,7,FALSE)=BW339,1,0)</f>
        <v>#N/A</v>
      </c>
      <c r="FJ339" s="138" t="e">
        <f>IF(VLOOKUP(CONCATENATE(H339,F339,FJ$2),Ciencias!$A:$H,7,FALSE)=BX339,1,0)</f>
        <v>#N/A</v>
      </c>
      <c r="FK339" s="138" t="e">
        <f>IF(VLOOKUP(CONCATENATE(H339,F339,FK$2),Ciencias!$A:$H,7,FALSE)=BY339,1,0)</f>
        <v>#N/A</v>
      </c>
      <c r="FL339" s="138" t="e">
        <f>IF(VLOOKUP(CONCATENATE(H339,F339,FL$2),Ciencias!$A:$H,7,FALSE)=BZ339,1,0)</f>
        <v>#N/A</v>
      </c>
      <c r="FM339" s="138" t="e">
        <f>IF(VLOOKUP(CONCATENATE(H339,F339,FM$2),Ciencias!$A:$H,7,FALSE)=CA339,1,0)</f>
        <v>#N/A</v>
      </c>
      <c r="FN339" s="138" t="e">
        <f>IF(VLOOKUP(CONCATENATE(H339,F339,FN$2),Ciencias!$A:$H,7,FALSE)=CB339,1,0)</f>
        <v>#N/A</v>
      </c>
      <c r="FO339" s="138" t="e">
        <f>IF(VLOOKUP(CONCATENATE(H339,F339,FO$2),Ciencias!$A:$H,7,FALSE)=CC339,1,0)</f>
        <v>#N/A</v>
      </c>
      <c r="FP339" s="138" t="e">
        <f>IF(VLOOKUP(CONCATENATE(H339,F339,FP$2),GeoHis!$A:$H,7,FALSE)=CD339,1,0)</f>
        <v>#N/A</v>
      </c>
      <c r="FQ339" s="138" t="e">
        <f>IF(VLOOKUP(CONCATENATE(H339,F339,FQ$2),GeoHis!$A:$H,7,FALSE)=CE339,1,0)</f>
        <v>#N/A</v>
      </c>
      <c r="FR339" s="138" t="e">
        <f>IF(VLOOKUP(CONCATENATE(H339,F339,FR$2),GeoHis!$A:$H,7,FALSE)=CF339,1,0)</f>
        <v>#N/A</v>
      </c>
      <c r="FS339" s="138" t="e">
        <f>IF(VLOOKUP(CONCATENATE(H339,F339,FS$2),GeoHis!$A:$H,7,FALSE)=CG339,1,0)</f>
        <v>#N/A</v>
      </c>
      <c r="FT339" s="138" t="e">
        <f>IF(VLOOKUP(CONCATENATE(H339,F339,FT$2),GeoHis!$A:$H,7,FALSE)=CH339,1,0)</f>
        <v>#N/A</v>
      </c>
      <c r="FU339" s="138" t="e">
        <f>IF(VLOOKUP(CONCATENATE(H339,F339,FU$2),GeoHis!$A:$H,7,FALSE)=CI339,1,0)</f>
        <v>#N/A</v>
      </c>
      <c r="FV339" s="138" t="e">
        <f>IF(VLOOKUP(CONCATENATE(H339,F339,FV$2),GeoHis!$A:$H,7,FALSE)=CJ339,1,0)</f>
        <v>#N/A</v>
      </c>
      <c r="FW339" s="138" t="e">
        <f>IF(VLOOKUP(CONCATENATE(H339,F339,FW$2),GeoHis!$A:$H,7,FALSE)=CK339,1,0)</f>
        <v>#N/A</v>
      </c>
      <c r="FX339" s="138" t="e">
        <f>IF(VLOOKUP(CONCATENATE(H339,F339,FX$2),GeoHis!$A:$H,7,FALSE)=CL339,1,0)</f>
        <v>#N/A</v>
      </c>
      <c r="FY339" s="138" t="e">
        <f>IF(VLOOKUP(CONCATENATE(H339,F339,FY$2),GeoHis!$A:$H,7,FALSE)=CM339,1,0)</f>
        <v>#N/A</v>
      </c>
      <c r="FZ339" s="138" t="e">
        <f>IF(VLOOKUP(CONCATENATE(H339,F339,FZ$2),GeoHis!$A:$H,7,FALSE)=CN339,1,0)</f>
        <v>#N/A</v>
      </c>
      <c r="GA339" s="138" t="e">
        <f>IF(VLOOKUP(CONCATENATE(H339,F339,GA$2),GeoHis!$A:$H,7,FALSE)=CO339,1,0)</f>
        <v>#N/A</v>
      </c>
      <c r="GB339" s="138" t="e">
        <f>IF(VLOOKUP(CONCATENATE(H339,F339,GB$2),GeoHis!$A:$H,7,FALSE)=CP339,1,0)</f>
        <v>#N/A</v>
      </c>
      <c r="GC339" s="138" t="e">
        <f>IF(VLOOKUP(CONCATENATE(H339,F339,GC$2),GeoHis!$A:$H,7,FALSE)=CQ339,1,0)</f>
        <v>#N/A</v>
      </c>
      <c r="GD339" s="138" t="e">
        <f>IF(VLOOKUP(CONCATENATE(H339,F339,GD$2),GeoHis!$A:$H,7,FALSE)=CR339,1,0)</f>
        <v>#N/A</v>
      </c>
      <c r="GE339" s="135" t="str">
        <f t="shared" si="47"/>
        <v/>
      </c>
    </row>
    <row r="340" spans="1:187" x14ac:dyDescent="0.25">
      <c r="A340" s="127" t="str">
        <f>IF(C340="","",'Datos Generales'!$A$25)</f>
        <v/>
      </c>
      <c r="D340" s="126" t="str">
        <f t="shared" si="40"/>
        <v/>
      </c>
      <c r="E340" s="126">
        <f t="shared" si="41"/>
        <v>0</v>
      </c>
      <c r="F340" s="126" t="str">
        <f t="shared" si="42"/>
        <v/>
      </c>
      <c r="G340" s="126" t="str">
        <f>IF(C340="","",'Datos Generales'!$D$19)</f>
        <v/>
      </c>
      <c r="H340" s="21" t="str">
        <f>IF(C340="","",'Datos Generales'!$A$19)</f>
        <v/>
      </c>
      <c r="I340" s="126" t="str">
        <f>IF(C340="","",'Datos Generales'!$A$7)</f>
        <v/>
      </c>
      <c r="J340" s="21" t="str">
        <f>IF(C340="","",'Datos Generales'!$A$13)</f>
        <v/>
      </c>
      <c r="K340" s="21" t="str">
        <f>IF(C340="","",'Datos Generales'!$A$10)</f>
        <v/>
      </c>
      <c r="CS340" s="142" t="str">
        <f t="shared" si="43"/>
        <v/>
      </c>
      <c r="CT340" s="142" t="str">
        <f t="shared" si="44"/>
        <v/>
      </c>
      <c r="CU340" s="142" t="str">
        <f t="shared" si="45"/>
        <v/>
      </c>
      <c r="CV340" s="142" t="str">
        <f t="shared" si="46"/>
        <v/>
      </c>
      <c r="CW340" s="142" t="str">
        <f>IF(C340="","",IF('Datos Generales'!$A$19=1,AVERAGE(FP340:GD340),AVERAGE(Captura!FP340:FY340)))</f>
        <v/>
      </c>
      <c r="CX340" s="138" t="e">
        <f>IF(VLOOKUP(CONCATENATE($H$4,$F$4,CX$2),Español!$A:$H,7,FALSE)=L340,1,0)</f>
        <v>#N/A</v>
      </c>
      <c r="CY340" s="138" t="e">
        <f>IF(VLOOKUP(CONCATENATE(H340,F340,CY$2),Español!$A:$H,7,FALSE)=M340,1,0)</f>
        <v>#N/A</v>
      </c>
      <c r="CZ340" s="138" t="e">
        <f>IF(VLOOKUP(CONCATENATE(H340,F340,CZ$2),Español!$A:$H,7,FALSE)=N340,1,0)</f>
        <v>#N/A</v>
      </c>
      <c r="DA340" s="138" t="e">
        <f>IF(VLOOKUP(CONCATENATE(H340,F340,DA$2),Español!$A:$H,7,FALSE)=O340,1,0)</f>
        <v>#N/A</v>
      </c>
      <c r="DB340" s="138" t="e">
        <f>IF(VLOOKUP(CONCATENATE(H340,F340,DB$2),Español!$A:$H,7,FALSE)=P340,1,0)</f>
        <v>#N/A</v>
      </c>
      <c r="DC340" s="138" t="e">
        <f>IF(VLOOKUP(CONCATENATE(H340,F340,DC$2),Español!$A:$H,7,FALSE)=Q340,1,0)</f>
        <v>#N/A</v>
      </c>
      <c r="DD340" s="138" t="e">
        <f>IF(VLOOKUP(CONCATENATE(H340,F340,DD$2),Español!$A:$H,7,FALSE)=R340,1,0)</f>
        <v>#N/A</v>
      </c>
      <c r="DE340" s="138" t="e">
        <f>IF(VLOOKUP(CONCATENATE(H340,F340,DE$2),Español!$A:$H,7,FALSE)=S340,1,0)</f>
        <v>#N/A</v>
      </c>
      <c r="DF340" s="138" t="e">
        <f>IF(VLOOKUP(CONCATENATE(H340,F340,DF$2),Español!$A:$H,7,FALSE)=T340,1,0)</f>
        <v>#N/A</v>
      </c>
      <c r="DG340" s="138" t="e">
        <f>IF(VLOOKUP(CONCATENATE(H340,F340,DG$2),Español!$A:$H,7,FALSE)=U340,1,0)</f>
        <v>#N/A</v>
      </c>
      <c r="DH340" s="138" t="e">
        <f>IF(VLOOKUP(CONCATENATE(H340,F340,DH$2),Español!$A:$H,7,FALSE)=V340,1,0)</f>
        <v>#N/A</v>
      </c>
      <c r="DI340" s="138" t="e">
        <f>IF(VLOOKUP(CONCATENATE(H340,F340,DI$2),Español!$A:$H,7,FALSE)=W340,1,0)</f>
        <v>#N/A</v>
      </c>
      <c r="DJ340" s="138" t="e">
        <f>IF(VLOOKUP(CONCATENATE(H340,F340,DJ$2),Español!$A:$H,7,FALSE)=X340,1,0)</f>
        <v>#N/A</v>
      </c>
      <c r="DK340" s="138" t="e">
        <f>IF(VLOOKUP(CONCATENATE(H340,F340,DK$2),Español!$A:$H,7,FALSE)=Y340,1,0)</f>
        <v>#N/A</v>
      </c>
      <c r="DL340" s="138" t="e">
        <f>IF(VLOOKUP(CONCATENATE(H340,F340,DL$2),Español!$A:$H,7,FALSE)=Z340,1,0)</f>
        <v>#N/A</v>
      </c>
      <c r="DM340" s="138" t="e">
        <f>IF(VLOOKUP(CONCATENATE(H340,F340,DM$2),Español!$A:$H,7,FALSE)=AA340,1,0)</f>
        <v>#N/A</v>
      </c>
      <c r="DN340" s="138" t="e">
        <f>IF(VLOOKUP(CONCATENATE(H340,F340,DN$2),Español!$A:$H,7,FALSE)=AB340,1,0)</f>
        <v>#N/A</v>
      </c>
      <c r="DO340" s="138" t="e">
        <f>IF(VLOOKUP(CONCATENATE(H340,F340,DO$2),Español!$A:$H,7,FALSE)=AC340,1,0)</f>
        <v>#N/A</v>
      </c>
      <c r="DP340" s="138" t="e">
        <f>IF(VLOOKUP(CONCATENATE(H340,F340,DP$2),Español!$A:$H,7,FALSE)=AD340,1,0)</f>
        <v>#N/A</v>
      </c>
      <c r="DQ340" s="138" t="e">
        <f>IF(VLOOKUP(CONCATENATE(H340,F340,DQ$2),Español!$A:$H,7,FALSE)=AE340,1,0)</f>
        <v>#N/A</v>
      </c>
      <c r="DR340" s="138" t="e">
        <f>IF(VLOOKUP(CONCATENATE(H340,F340,DR$2),Inglés!$A:$H,7,FALSE)=AF340,1,0)</f>
        <v>#N/A</v>
      </c>
      <c r="DS340" s="138" t="e">
        <f>IF(VLOOKUP(CONCATENATE(H340,F340,DS$2),Inglés!$A:$H,7,FALSE)=AG340,1,0)</f>
        <v>#N/A</v>
      </c>
      <c r="DT340" s="138" t="e">
        <f>IF(VLOOKUP(CONCATENATE(H340,F340,DT$2),Inglés!$A:$H,7,FALSE)=AH340,1,0)</f>
        <v>#N/A</v>
      </c>
      <c r="DU340" s="138" t="e">
        <f>IF(VLOOKUP(CONCATENATE(H340,F340,DU$2),Inglés!$A:$H,7,FALSE)=AI340,1,0)</f>
        <v>#N/A</v>
      </c>
      <c r="DV340" s="138" t="e">
        <f>IF(VLOOKUP(CONCATENATE(H340,F340,DV$2),Inglés!$A:$H,7,FALSE)=AJ340,1,0)</f>
        <v>#N/A</v>
      </c>
      <c r="DW340" s="138" t="e">
        <f>IF(VLOOKUP(CONCATENATE(H340,F340,DW$2),Inglés!$A:$H,7,FALSE)=AK340,1,0)</f>
        <v>#N/A</v>
      </c>
      <c r="DX340" s="138" t="e">
        <f>IF(VLOOKUP(CONCATENATE(H340,F340,DX$2),Inglés!$A:$H,7,FALSE)=AL340,1,0)</f>
        <v>#N/A</v>
      </c>
      <c r="DY340" s="138" t="e">
        <f>IF(VLOOKUP(CONCATENATE(H340,F340,DY$2),Inglés!$A:$H,7,FALSE)=AM340,1,0)</f>
        <v>#N/A</v>
      </c>
      <c r="DZ340" s="138" t="e">
        <f>IF(VLOOKUP(CONCATENATE(H340,F340,DZ$2),Inglés!$A:$H,7,FALSE)=AN340,1,0)</f>
        <v>#N/A</v>
      </c>
      <c r="EA340" s="138" t="e">
        <f>IF(VLOOKUP(CONCATENATE(H340,F340,EA$2),Inglés!$A:$H,7,FALSE)=AO340,1,0)</f>
        <v>#N/A</v>
      </c>
      <c r="EB340" s="138" t="e">
        <f>IF(VLOOKUP(CONCATENATE(H340,F340,EB$2),Matemáticas!$A:$H,7,FALSE)=AP340,1,0)</f>
        <v>#N/A</v>
      </c>
      <c r="EC340" s="138" t="e">
        <f>IF(VLOOKUP(CONCATENATE(H340,F340,EC$2),Matemáticas!$A:$H,7,FALSE)=AQ340,1,0)</f>
        <v>#N/A</v>
      </c>
      <c r="ED340" s="138" t="e">
        <f>IF(VLOOKUP(CONCATENATE(H340,F340,ED$2),Matemáticas!$A:$H,7,FALSE)=AR340,1,0)</f>
        <v>#N/A</v>
      </c>
      <c r="EE340" s="138" t="e">
        <f>IF(VLOOKUP(CONCATENATE(H340,F340,EE$2),Matemáticas!$A:$H,7,FALSE)=AS340,1,0)</f>
        <v>#N/A</v>
      </c>
      <c r="EF340" s="138" t="e">
        <f>IF(VLOOKUP(CONCATENATE(H340,F340,EF$2),Matemáticas!$A:$H,7,FALSE)=AT340,1,0)</f>
        <v>#N/A</v>
      </c>
      <c r="EG340" s="138" t="e">
        <f>IF(VLOOKUP(CONCATENATE(H340,F340,EG$2),Matemáticas!$A:$H,7,FALSE)=AU340,1,0)</f>
        <v>#N/A</v>
      </c>
      <c r="EH340" s="138" t="e">
        <f>IF(VLOOKUP(CONCATENATE(H340,F340,EH$2),Matemáticas!$A:$H,7,FALSE)=AV340,1,0)</f>
        <v>#N/A</v>
      </c>
      <c r="EI340" s="138" t="e">
        <f>IF(VLOOKUP(CONCATENATE(H340,F340,EI$2),Matemáticas!$A:$H,7,FALSE)=AW340,1,0)</f>
        <v>#N/A</v>
      </c>
      <c r="EJ340" s="138" t="e">
        <f>IF(VLOOKUP(CONCATENATE(H340,F340,EJ$2),Matemáticas!$A:$H,7,FALSE)=AX340,1,0)</f>
        <v>#N/A</v>
      </c>
      <c r="EK340" s="138" t="e">
        <f>IF(VLOOKUP(CONCATENATE(H340,F340,EK$2),Matemáticas!$A:$H,7,FALSE)=AY340,1,0)</f>
        <v>#N/A</v>
      </c>
      <c r="EL340" s="138" t="e">
        <f>IF(VLOOKUP(CONCATENATE(H340,F340,EL$2),Matemáticas!$A:$H,7,FALSE)=AZ340,1,0)</f>
        <v>#N/A</v>
      </c>
      <c r="EM340" s="138" t="e">
        <f>IF(VLOOKUP(CONCATENATE(H340,F340,EM$2),Matemáticas!$A:$H,7,FALSE)=BA340,1,0)</f>
        <v>#N/A</v>
      </c>
      <c r="EN340" s="138" t="e">
        <f>IF(VLOOKUP(CONCATENATE(H340,F340,EN$2),Matemáticas!$A:$H,7,FALSE)=BB340,1,0)</f>
        <v>#N/A</v>
      </c>
      <c r="EO340" s="138" t="e">
        <f>IF(VLOOKUP(CONCATENATE(H340,F340,EO$2),Matemáticas!$A:$H,7,FALSE)=BC340,1,0)</f>
        <v>#N/A</v>
      </c>
      <c r="EP340" s="138" t="e">
        <f>IF(VLOOKUP(CONCATENATE(H340,F340,EP$2),Matemáticas!$A:$H,7,FALSE)=BD340,1,0)</f>
        <v>#N/A</v>
      </c>
      <c r="EQ340" s="138" t="e">
        <f>IF(VLOOKUP(CONCATENATE(H340,F340,EQ$2),Matemáticas!$A:$H,7,FALSE)=BE340,1,0)</f>
        <v>#N/A</v>
      </c>
      <c r="ER340" s="138" t="e">
        <f>IF(VLOOKUP(CONCATENATE(H340,F340,ER$2),Matemáticas!$A:$H,7,FALSE)=BF340,1,0)</f>
        <v>#N/A</v>
      </c>
      <c r="ES340" s="138" t="e">
        <f>IF(VLOOKUP(CONCATENATE(H340,F340,ES$2),Matemáticas!$A:$H,7,FALSE)=BG340,1,0)</f>
        <v>#N/A</v>
      </c>
      <c r="ET340" s="138" t="e">
        <f>IF(VLOOKUP(CONCATENATE(H340,F340,ET$2),Matemáticas!$A:$H,7,FALSE)=BH340,1,0)</f>
        <v>#N/A</v>
      </c>
      <c r="EU340" s="138" t="e">
        <f>IF(VLOOKUP(CONCATENATE(H340,F340,EU$2),Matemáticas!$A:$H,7,FALSE)=BI340,1,0)</f>
        <v>#N/A</v>
      </c>
      <c r="EV340" s="138" t="e">
        <f>IF(VLOOKUP(CONCATENATE(H340,F340,EV$2),Ciencias!$A:$H,7,FALSE)=BJ340,1,0)</f>
        <v>#N/A</v>
      </c>
      <c r="EW340" s="138" t="e">
        <f>IF(VLOOKUP(CONCATENATE(H340,F340,EW$2),Ciencias!$A:$H,7,FALSE)=BK340,1,0)</f>
        <v>#N/A</v>
      </c>
      <c r="EX340" s="138" t="e">
        <f>IF(VLOOKUP(CONCATENATE(H340,F340,EX$2),Ciencias!$A:$H,7,FALSE)=BL340,1,0)</f>
        <v>#N/A</v>
      </c>
      <c r="EY340" s="138" t="e">
        <f>IF(VLOOKUP(CONCATENATE(H340,F340,EY$2),Ciencias!$A:$H,7,FALSE)=BM340,1,0)</f>
        <v>#N/A</v>
      </c>
      <c r="EZ340" s="138" t="e">
        <f>IF(VLOOKUP(CONCATENATE(H340,F340,EZ$2),Ciencias!$A:$H,7,FALSE)=BN340,1,0)</f>
        <v>#N/A</v>
      </c>
      <c r="FA340" s="138" t="e">
        <f>IF(VLOOKUP(CONCATENATE(H340,F340,FA$2),Ciencias!$A:$H,7,FALSE)=BO340,1,0)</f>
        <v>#N/A</v>
      </c>
      <c r="FB340" s="138" t="e">
        <f>IF(VLOOKUP(CONCATENATE(H340,F340,FB$2),Ciencias!$A:$H,7,FALSE)=BP340,1,0)</f>
        <v>#N/A</v>
      </c>
      <c r="FC340" s="138" t="e">
        <f>IF(VLOOKUP(CONCATENATE(H340,F340,FC$2),Ciencias!$A:$H,7,FALSE)=BQ340,1,0)</f>
        <v>#N/A</v>
      </c>
      <c r="FD340" s="138" t="e">
        <f>IF(VLOOKUP(CONCATENATE(H340,F340,FD$2),Ciencias!$A:$H,7,FALSE)=BR340,1,0)</f>
        <v>#N/A</v>
      </c>
      <c r="FE340" s="138" t="e">
        <f>IF(VLOOKUP(CONCATENATE(H340,F340,FE$2),Ciencias!$A:$H,7,FALSE)=BS340,1,0)</f>
        <v>#N/A</v>
      </c>
      <c r="FF340" s="138" t="e">
        <f>IF(VLOOKUP(CONCATENATE(H340,F340,FF$2),Ciencias!$A:$H,7,FALSE)=BT340,1,0)</f>
        <v>#N/A</v>
      </c>
      <c r="FG340" s="138" t="e">
        <f>IF(VLOOKUP(CONCATENATE(H340,F340,FG$2),Ciencias!$A:$H,7,FALSE)=BU340,1,0)</f>
        <v>#N/A</v>
      </c>
      <c r="FH340" s="138" t="e">
        <f>IF(VLOOKUP(CONCATENATE(H340,F340,FH$2),Ciencias!$A:$H,7,FALSE)=BV340,1,0)</f>
        <v>#N/A</v>
      </c>
      <c r="FI340" s="138" t="e">
        <f>IF(VLOOKUP(CONCATENATE(H340,F340,FI$2),Ciencias!$A:$H,7,FALSE)=BW340,1,0)</f>
        <v>#N/A</v>
      </c>
      <c r="FJ340" s="138" t="e">
        <f>IF(VLOOKUP(CONCATENATE(H340,F340,FJ$2),Ciencias!$A:$H,7,FALSE)=BX340,1,0)</f>
        <v>#N/A</v>
      </c>
      <c r="FK340" s="138" t="e">
        <f>IF(VLOOKUP(CONCATENATE(H340,F340,FK$2),Ciencias!$A:$H,7,FALSE)=BY340,1,0)</f>
        <v>#N/A</v>
      </c>
      <c r="FL340" s="138" t="e">
        <f>IF(VLOOKUP(CONCATENATE(H340,F340,FL$2),Ciencias!$A:$H,7,FALSE)=BZ340,1,0)</f>
        <v>#N/A</v>
      </c>
      <c r="FM340" s="138" t="e">
        <f>IF(VLOOKUP(CONCATENATE(H340,F340,FM$2),Ciencias!$A:$H,7,FALSE)=CA340,1,0)</f>
        <v>#N/A</v>
      </c>
      <c r="FN340" s="138" t="e">
        <f>IF(VLOOKUP(CONCATENATE(H340,F340,FN$2),Ciencias!$A:$H,7,FALSE)=CB340,1,0)</f>
        <v>#N/A</v>
      </c>
      <c r="FO340" s="138" t="e">
        <f>IF(VLOOKUP(CONCATENATE(H340,F340,FO$2),Ciencias!$A:$H,7,FALSE)=CC340,1,0)</f>
        <v>#N/A</v>
      </c>
      <c r="FP340" s="138" t="e">
        <f>IF(VLOOKUP(CONCATENATE(H340,F340,FP$2),GeoHis!$A:$H,7,FALSE)=CD340,1,0)</f>
        <v>#N/A</v>
      </c>
      <c r="FQ340" s="138" t="e">
        <f>IF(VLOOKUP(CONCATENATE(H340,F340,FQ$2),GeoHis!$A:$H,7,FALSE)=CE340,1,0)</f>
        <v>#N/A</v>
      </c>
      <c r="FR340" s="138" t="e">
        <f>IF(VLOOKUP(CONCATENATE(H340,F340,FR$2),GeoHis!$A:$H,7,FALSE)=CF340,1,0)</f>
        <v>#N/A</v>
      </c>
      <c r="FS340" s="138" t="e">
        <f>IF(VLOOKUP(CONCATENATE(H340,F340,FS$2),GeoHis!$A:$H,7,FALSE)=CG340,1,0)</f>
        <v>#N/A</v>
      </c>
      <c r="FT340" s="138" t="e">
        <f>IF(VLOOKUP(CONCATENATE(H340,F340,FT$2),GeoHis!$A:$H,7,FALSE)=CH340,1,0)</f>
        <v>#N/A</v>
      </c>
      <c r="FU340" s="138" t="e">
        <f>IF(VLOOKUP(CONCATENATE(H340,F340,FU$2),GeoHis!$A:$H,7,FALSE)=CI340,1,0)</f>
        <v>#N/A</v>
      </c>
      <c r="FV340" s="138" t="e">
        <f>IF(VLOOKUP(CONCATENATE(H340,F340,FV$2),GeoHis!$A:$H,7,FALSE)=CJ340,1,0)</f>
        <v>#N/A</v>
      </c>
      <c r="FW340" s="138" t="e">
        <f>IF(VLOOKUP(CONCATENATE(H340,F340,FW$2),GeoHis!$A:$H,7,FALSE)=CK340,1,0)</f>
        <v>#N/A</v>
      </c>
      <c r="FX340" s="138" t="e">
        <f>IF(VLOOKUP(CONCATENATE(H340,F340,FX$2),GeoHis!$A:$H,7,FALSE)=CL340,1,0)</f>
        <v>#N/A</v>
      </c>
      <c r="FY340" s="138" t="e">
        <f>IF(VLOOKUP(CONCATENATE(H340,F340,FY$2),GeoHis!$A:$H,7,FALSE)=CM340,1,0)</f>
        <v>#N/A</v>
      </c>
      <c r="FZ340" s="138" t="e">
        <f>IF(VLOOKUP(CONCATENATE(H340,F340,FZ$2),GeoHis!$A:$H,7,FALSE)=CN340,1,0)</f>
        <v>#N/A</v>
      </c>
      <c r="GA340" s="138" t="e">
        <f>IF(VLOOKUP(CONCATENATE(H340,F340,GA$2),GeoHis!$A:$H,7,FALSE)=CO340,1,0)</f>
        <v>#N/A</v>
      </c>
      <c r="GB340" s="138" t="e">
        <f>IF(VLOOKUP(CONCATENATE(H340,F340,GB$2),GeoHis!$A:$H,7,FALSE)=CP340,1,0)</f>
        <v>#N/A</v>
      </c>
      <c r="GC340" s="138" t="e">
        <f>IF(VLOOKUP(CONCATENATE(H340,F340,GC$2),GeoHis!$A:$H,7,FALSE)=CQ340,1,0)</f>
        <v>#N/A</v>
      </c>
      <c r="GD340" s="138" t="e">
        <f>IF(VLOOKUP(CONCATENATE(H340,F340,GD$2),GeoHis!$A:$H,7,FALSE)=CR340,1,0)</f>
        <v>#N/A</v>
      </c>
      <c r="GE340" s="135" t="str">
        <f t="shared" si="47"/>
        <v/>
      </c>
    </row>
    <row r="341" spans="1:187" x14ac:dyDescent="0.25">
      <c r="A341" s="127" t="str">
        <f>IF(C341="","",'Datos Generales'!$A$25)</f>
        <v/>
      </c>
      <c r="D341" s="126" t="str">
        <f t="shared" si="40"/>
        <v/>
      </c>
      <c r="E341" s="126">
        <f t="shared" si="41"/>
        <v>0</v>
      </c>
      <c r="F341" s="126" t="str">
        <f t="shared" si="42"/>
        <v/>
      </c>
      <c r="G341" s="126" t="str">
        <f>IF(C341="","",'Datos Generales'!$D$19)</f>
        <v/>
      </c>
      <c r="H341" s="21" t="str">
        <f>IF(C341="","",'Datos Generales'!$A$19)</f>
        <v/>
      </c>
      <c r="I341" s="126" t="str">
        <f>IF(C341="","",'Datos Generales'!$A$7)</f>
        <v/>
      </c>
      <c r="J341" s="21" t="str">
        <f>IF(C341="","",'Datos Generales'!$A$13)</f>
        <v/>
      </c>
      <c r="K341" s="21" t="str">
        <f>IF(C341="","",'Datos Generales'!$A$10)</f>
        <v/>
      </c>
      <c r="CS341" s="142" t="str">
        <f t="shared" si="43"/>
        <v/>
      </c>
      <c r="CT341" s="142" t="str">
        <f t="shared" si="44"/>
        <v/>
      </c>
      <c r="CU341" s="142" t="str">
        <f t="shared" si="45"/>
        <v/>
      </c>
      <c r="CV341" s="142" t="str">
        <f t="shared" si="46"/>
        <v/>
      </c>
      <c r="CW341" s="142" t="str">
        <f>IF(C341="","",IF('Datos Generales'!$A$19=1,AVERAGE(FP341:GD341),AVERAGE(Captura!FP341:FY341)))</f>
        <v/>
      </c>
      <c r="CX341" s="138" t="e">
        <f>IF(VLOOKUP(CONCATENATE($H$4,$F$4,CX$2),Español!$A:$H,7,FALSE)=L341,1,0)</f>
        <v>#N/A</v>
      </c>
      <c r="CY341" s="138" t="e">
        <f>IF(VLOOKUP(CONCATENATE(H341,F341,CY$2),Español!$A:$H,7,FALSE)=M341,1,0)</f>
        <v>#N/A</v>
      </c>
      <c r="CZ341" s="138" t="e">
        <f>IF(VLOOKUP(CONCATENATE(H341,F341,CZ$2),Español!$A:$H,7,FALSE)=N341,1,0)</f>
        <v>#N/A</v>
      </c>
      <c r="DA341" s="138" t="e">
        <f>IF(VLOOKUP(CONCATENATE(H341,F341,DA$2),Español!$A:$H,7,FALSE)=O341,1,0)</f>
        <v>#N/A</v>
      </c>
      <c r="DB341" s="138" t="e">
        <f>IF(VLOOKUP(CONCATENATE(H341,F341,DB$2),Español!$A:$H,7,FALSE)=P341,1,0)</f>
        <v>#N/A</v>
      </c>
      <c r="DC341" s="138" t="e">
        <f>IF(VLOOKUP(CONCATENATE(H341,F341,DC$2),Español!$A:$H,7,FALSE)=Q341,1,0)</f>
        <v>#N/A</v>
      </c>
      <c r="DD341" s="138" t="e">
        <f>IF(VLOOKUP(CONCATENATE(H341,F341,DD$2),Español!$A:$H,7,FALSE)=R341,1,0)</f>
        <v>#N/A</v>
      </c>
      <c r="DE341" s="138" t="e">
        <f>IF(VLOOKUP(CONCATENATE(H341,F341,DE$2),Español!$A:$H,7,FALSE)=S341,1,0)</f>
        <v>#N/A</v>
      </c>
      <c r="DF341" s="138" t="e">
        <f>IF(VLOOKUP(CONCATENATE(H341,F341,DF$2),Español!$A:$H,7,FALSE)=T341,1,0)</f>
        <v>#N/A</v>
      </c>
      <c r="DG341" s="138" t="e">
        <f>IF(VLOOKUP(CONCATENATE(H341,F341,DG$2),Español!$A:$H,7,FALSE)=U341,1,0)</f>
        <v>#N/A</v>
      </c>
      <c r="DH341" s="138" t="e">
        <f>IF(VLOOKUP(CONCATENATE(H341,F341,DH$2),Español!$A:$H,7,FALSE)=V341,1,0)</f>
        <v>#N/A</v>
      </c>
      <c r="DI341" s="138" t="e">
        <f>IF(VLOOKUP(CONCATENATE(H341,F341,DI$2),Español!$A:$H,7,FALSE)=W341,1,0)</f>
        <v>#N/A</v>
      </c>
      <c r="DJ341" s="138" t="e">
        <f>IF(VLOOKUP(CONCATENATE(H341,F341,DJ$2),Español!$A:$H,7,FALSE)=X341,1,0)</f>
        <v>#N/A</v>
      </c>
      <c r="DK341" s="138" t="e">
        <f>IF(VLOOKUP(CONCATENATE(H341,F341,DK$2),Español!$A:$H,7,FALSE)=Y341,1,0)</f>
        <v>#N/A</v>
      </c>
      <c r="DL341" s="138" t="e">
        <f>IF(VLOOKUP(CONCATENATE(H341,F341,DL$2),Español!$A:$H,7,FALSE)=Z341,1,0)</f>
        <v>#N/A</v>
      </c>
      <c r="DM341" s="138" t="e">
        <f>IF(VLOOKUP(CONCATENATE(H341,F341,DM$2),Español!$A:$H,7,FALSE)=AA341,1,0)</f>
        <v>#N/A</v>
      </c>
      <c r="DN341" s="138" t="e">
        <f>IF(VLOOKUP(CONCATENATE(H341,F341,DN$2),Español!$A:$H,7,FALSE)=AB341,1,0)</f>
        <v>#N/A</v>
      </c>
      <c r="DO341" s="138" t="e">
        <f>IF(VLOOKUP(CONCATENATE(H341,F341,DO$2),Español!$A:$H,7,FALSE)=AC341,1,0)</f>
        <v>#N/A</v>
      </c>
      <c r="DP341" s="138" t="e">
        <f>IF(VLOOKUP(CONCATENATE(H341,F341,DP$2),Español!$A:$H,7,FALSE)=AD341,1,0)</f>
        <v>#N/A</v>
      </c>
      <c r="DQ341" s="138" t="e">
        <f>IF(VLOOKUP(CONCATENATE(H341,F341,DQ$2),Español!$A:$H,7,FALSE)=AE341,1,0)</f>
        <v>#N/A</v>
      </c>
      <c r="DR341" s="138" t="e">
        <f>IF(VLOOKUP(CONCATENATE(H341,F341,DR$2),Inglés!$A:$H,7,FALSE)=AF341,1,0)</f>
        <v>#N/A</v>
      </c>
      <c r="DS341" s="138" t="e">
        <f>IF(VLOOKUP(CONCATENATE(H341,F341,DS$2),Inglés!$A:$H,7,FALSE)=AG341,1,0)</f>
        <v>#N/A</v>
      </c>
      <c r="DT341" s="138" t="e">
        <f>IF(VLOOKUP(CONCATENATE(H341,F341,DT$2),Inglés!$A:$H,7,FALSE)=AH341,1,0)</f>
        <v>#N/A</v>
      </c>
      <c r="DU341" s="138" t="e">
        <f>IF(VLOOKUP(CONCATENATE(H341,F341,DU$2),Inglés!$A:$H,7,FALSE)=AI341,1,0)</f>
        <v>#N/A</v>
      </c>
      <c r="DV341" s="138" t="e">
        <f>IF(VLOOKUP(CONCATENATE(H341,F341,DV$2),Inglés!$A:$H,7,FALSE)=AJ341,1,0)</f>
        <v>#N/A</v>
      </c>
      <c r="DW341" s="138" t="e">
        <f>IF(VLOOKUP(CONCATENATE(H341,F341,DW$2),Inglés!$A:$H,7,FALSE)=AK341,1,0)</f>
        <v>#N/A</v>
      </c>
      <c r="DX341" s="138" t="e">
        <f>IF(VLOOKUP(CONCATENATE(H341,F341,DX$2),Inglés!$A:$H,7,FALSE)=AL341,1,0)</f>
        <v>#N/A</v>
      </c>
      <c r="DY341" s="138" t="e">
        <f>IF(VLOOKUP(CONCATENATE(H341,F341,DY$2),Inglés!$A:$H,7,FALSE)=AM341,1,0)</f>
        <v>#N/A</v>
      </c>
      <c r="DZ341" s="138" t="e">
        <f>IF(VLOOKUP(CONCATENATE(H341,F341,DZ$2),Inglés!$A:$H,7,FALSE)=AN341,1,0)</f>
        <v>#N/A</v>
      </c>
      <c r="EA341" s="138" t="e">
        <f>IF(VLOOKUP(CONCATENATE(H341,F341,EA$2),Inglés!$A:$H,7,FALSE)=AO341,1,0)</f>
        <v>#N/A</v>
      </c>
      <c r="EB341" s="138" t="e">
        <f>IF(VLOOKUP(CONCATENATE(H341,F341,EB$2),Matemáticas!$A:$H,7,FALSE)=AP341,1,0)</f>
        <v>#N/A</v>
      </c>
      <c r="EC341" s="138" t="e">
        <f>IF(VLOOKUP(CONCATENATE(H341,F341,EC$2),Matemáticas!$A:$H,7,FALSE)=AQ341,1,0)</f>
        <v>#N/A</v>
      </c>
      <c r="ED341" s="138" t="e">
        <f>IF(VLOOKUP(CONCATENATE(H341,F341,ED$2),Matemáticas!$A:$H,7,FALSE)=AR341,1,0)</f>
        <v>#N/A</v>
      </c>
      <c r="EE341" s="138" t="e">
        <f>IF(VLOOKUP(CONCATENATE(H341,F341,EE$2),Matemáticas!$A:$H,7,FALSE)=AS341,1,0)</f>
        <v>#N/A</v>
      </c>
      <c r="EF341" s="138" t="e">
        <f>IF(VLOOKUP(CONCATENATE(H341,F341,EF$2),Matemáticas!$A:$H,7,FALSE)=AT341,1,0)</f>
        <v>#N/A</v>
      </c>
      <c r="EG341" s="138" t="e">
        <f>IF(VLOOKUP(CONCATENATE(H341,F341,EG$2),Matemáticas!$A:$H,7,FALSE)=AU341,1,0)</f>
        <v>#N/A</v>
      </c>
      <c r="EH341" s="138" t="e">
        <f>IF(VLOOKUP(CONCATENATE(H341,F341,EH$2),Matemáticas!$A:$H,7,FALSE)=AV341,1,0)</f>
        <v>#N/A</v>
      </c>
      <c r="EI341" s="138" t="e">
        <f>IF(VLOOKUP(CONCATENATE(H341,F341,EI$2),Matemáticas!$A:$H,7,FALSE)=AW341,1,0)</f>
        <v>#N/A</v>
      </c>
      <c r="EJ341" s="138" t="e">
        <f>IF(VLOOKUP(CONCATENATE(H341,F341,EJ$2),Matemáticas!$A:$H,7,FALSE)=AX341,1,0)</f>
        <v>#N/A</v>
      </c>
      <c r="EK341" s="138" t="e">
        <f>IF(VLOOKUP(CONCATENATE(H341,F341,EK$2),Matemáticas!$A:$H,7,FALSE)=AY341,1,0)</f>
        <v>#N/A</v>
      </c>
      <c r="EL341" s="138" t="e">
        <f>IF(VLOOKUP(CONCATENATE(H341,F341,EL$2),Matemáticas!$A:$H,7,FALSE)=AZ341,1,0)</f>
        <v>#N/A</v>
      </c>
      <c r="EM341" s="138" t="e">
        <f>IF(VLOOKUP(CONCATENATE(H341,F341,EM$2),Matemáticas!$A:$H,7,FALSE)=BA341,1,0)</f>
        <v>#N/A</v>
      </c>
      <c r="EN341" s="138" t="e">
        <f>IF(VLOOKUP(CONCATENATE(H341,F341,EN$2),Matemáticas!$A:$H,7,FALSE)=BB341,1,0)</f>
        <v>#N/A</v>
      </c>
      <c r="EO341" s="138" t="e">
        <f>IF(VLOOKUP(CONCATENATE(H341,F341,EO$2),Matemáticas!$A:$H,7,FALSE)=BC341,1,0)</f>
        <v>#N/A</v>
      </c>
      <c r="EP341" s="138" t="e">
        <f>IF(VLOOKUP(CONCATENATE(H341,F341,EP$2),Matemáticas!$A:$H,7,FALSE)=BD341,1,0)</f>
        <v>#N/A</v>
      </c>
      <c r="EQ341" s="138" t="e">
        <f>IF(VLOOKUP(CONCATENATE(H341,F341,EQ$2),Matemáticas!$A:$H,7,FALSE)=BE341,1,0)</f>
        <v>#N/A</v>
      </c>
      <c r="ER341" s="138" t="e">
        <f>IF(VLOOKUP(CONCATENATE(H341,F341,ER$2),Matemáticas!$A:$H,7,FALSE)=BF341,1,0)</f>
        <v>#N/A</v>
      </c>
      <c r="ES341" s="138" t="e">
        <f>IF(VLOOKUP(CONCATENATE(H341,F341,ES$2),Matemáticas!$A:$H,7,FALSE)=BG341,1,0)</f>
        <v>#N/A</v>
      </c>
      <c r="ET341" s="138" t="e">
        <f>IF(VLOOKUP(CONCATENATE(H341,F341,ET$2),Matemáticas!$A:$H,7,FALSE)=BH341,1,0)</f>
        <v>#N/A</v>
      </c>
      <c r="EU341" s="138" t="e">
        <f>IF(VLOOKUP(CONCATENATE(H341,F341,EU$2),Matemáticas!$A:$H,7,FALSE)=BI341,1,0)</f>
        <v>#N/A</v>
      </c>
      <c r="EV341" s="138" t="e">
        <f>IF(VLOOKUP(CONCATENATE(H341,F341,EV$2),Ciencias!$A:$H,7,FALSE)=BJ341,1,0)</f>
        <v>#N/A</v>
      </c>
      <c r="EW341" s="138" t="e">
        <f>IF(VLOOKUP(CONCATENATE(H341,F341,EW$2),Ciencias!$A:$H,7,FALSE)=BK341,1,0)</f>
        <v>#N/A</v>
      </c>
      <c r="EX341" s="138" t="e">
        <f>IF(VLOOKUP(CONCATENATE(H341,F341,EX$2),Ciencias!$A:$H,7,FALSE)=BL341,1,0)</f>
        <v>#N/A</v>
      </c>
      <c r="EY341" s="138" t="e">
        <f>IF(VLOOKUP(CONCATENATE(H341,F341,EY$2),Ciencias!$A:$H,7,FALSE)=BM341,1,0)</f>
        <v>#N/A</v>
      </c>
      <c r="EZ341" s="138" t="e">
        <f>IF(VLOOKUP(CONCATENATE(H341,F341,EZ$2),Ciencias!$A:$H,7,FALSE)=BN341,1,0)</f>
        <v>#N/A</v>
      </c>
      <c r="FA341" s="138" t="e">
        <f>IF(VLOOKUP(CONCATENATE(H341,F341,FA$2),Ciencias!$A:$H,7,FALSE)=BO341,1,0)</f>
        <v>#N/A</v>
      </c>
      <c r="FB341" s="138" t="e">
        <f>IF(VLOOKUP(CONCATENATE(H341,F341,FB$2),Ciencias!$A:$H,7,FALSE)=BP341,1,0)</f>
        <v>#N/A</v>
      </c>
      <c r="FC341" s="138" t="e">
        <f>IF(VLOOKUP(CONCATENATE(H341,F341,FC$2),Ciencias!$A:$H,7,FALSE)=BQ341,1,0)</f>
        <v>#N/A</v>
      </c>
      <c r="FD341" s="138" t="e">
        <f>IF(VLOOKUP(CONCATENATE(H341,F341,FD$2),Ciencias!$A:$H,7,FALSE)=BR341,1,0)</f>
        <v>#N/A</v>
      </c>
      <c r="FE341" s="138" t="e">
        <f>IF(VLOOKUP(CONCATENATE(H341,F341,FE$2),Ciencias!$A:$H,7,FALSE)=BS341,1,0)</f>
        <v>#N/A</v>
      </c>
      <c r="FF341" s="138" t="e">
        <f>IF(VLOOKUP(CONCATENATE(H341,F341,FF$2),Ciencias!$A:$H,7,FALSE)=BT341,1,0)</f>
        <v>#N/A</v>
      </c>
      <c r="FG341" s="138" t="e">
        <f>IF(VLOOKUP(CONCATENATE(H341,F341,FG$2),Ciencias!$A:$H,7,FALSE)=BU341,1,0)</f>
        <v>#N/A</v>
      </c>
      <c r="FH341" s="138" t="e">
        <f>IF(VLOOKUP(CONCATENATE(H341,F341,FH$2),Ciencias!$A:$H,7,FALSE)=BV341,1,0)</f>
        <v>#N/A</v>
      </c>
      <c r="FI341" s="138" t="e">
        <f>IF(VLOOKUP(CONCATENATE(H341,F341,FI$2),Ciencias!$A:$H,7,FALSE)=BW341,1,0)</f>
        <v>#N/A</v>
      </c>
      <c r="FJ341" s="138" t="e">
        <f>IF(VLOOKUP(CONCATENATE(H341,F341,FJ$2),Ciencias!$A:$H,7,FALSE)=BX341,1,0)</f>
        <v>#N/A</v>
      </c>
      <c r="FK341" s="138" t="e">
        <f>IF(VLOOKUP(CONCATENATE(H341,F341,FK$2),Ciencias!$A:$H,7,FALSE)=BY341,1,0)</f>
        <v>#N/A</v>
      </c>
      <c r="FL341" s="138" t="e">
        <f>IF(VLOOKUP(CONCATENATE(H341,F341,FL$2),Ciencias!$A:$H,7,FALSE)=BZ341,1,0)</f>
        <v>#N/A</v>
      </c>
      <c r="FM341" s="138" t="e">
        <f>IF(VLOOKUP(CONCATENATE(H341,F341,FM$2),Ciencias!$A:$H,7,FALSE)=CA341,1,0)</f>
        <v>#N/A</v>
      </c>
      <c r="FN341" s="138" t="e">
        <f>IF(VLOOKUP(CONCATENATE(H341,F341,FN$2),Ciencias!$A:$H,7,FALSE)=CB341,1,0)</f>
        <v>#N/A</v>
      </c>
      <c r="FO341" s="138" t="e">
        <f>IF(VLOOKUP(CONCATENATE(H341,F341,FO$2),Ciencias!$A:$H,7,FALSE)=CC341,1,0)</f>
        <v>#N/A</v>
      </c>
      <c r="FP341" s="138" t="e">
        <f>IF(VLOOKUP(CONCATENATE(H341,F341,FP$2),GeoHis!$A:$H,7,FALSE)=CD341,1,0)</f>
        <v>#N/A</v>
      </c>
      <c r="FQ341" s="138" t="e">
        <f>IF(VLOOKUP(CONCATENATE(H341,F341,FQ$2),GeoHis!$A:$H,7,FALSE)=CE341,1,0)</f>
        <v>#N/A</v>
      </c>
      <c r="FR341" s="138" t="e">
        <f>IF(VLOOKUP(CONCATENATE(H341,F341,FR$2),GeoHis!$A:$H,7,FALSE)=CF341,1,0)</f>
        <v>#N/A</v>
      </c>
      <c r="FS341" s="138" t="e">
        <f>IF(VLOOKUP(CONCATENATE(H341,F341,FS$2),GeoHis!$A:$H,7,FALSE)=CG341,1,0)</f>
        <v>#N/A</v>
      </c>
      <c r="FT341" s="138" t="e">
        <f>IF(VLOOKUP(CONCATENATE(H341,F341,FT$2),GeoHis!$A:$H,7,FALSE)=CH341,1,0)</f>
        <v>#N/A</v>
      </c>
      <c r="FU341" s="138" t="e">
        <f>IF(VLOOKUP(CONCATENATE(H341,F341,FU$2),GeoHis!$A:$H,7,FALSE)=CI341,1,0)</f>
        <v>#N/A</v>
      </c>
      <c r="FV341" s="138" t="e">
        <f>IF(VLOOKUP(CONCATENATE(H341,F341,FV$2),GeoHis!$A:$H,7,FALSE)=CJ341,1,0)</f>
        <v>#N/A</v>
      </c>
      <c r="FW341" s="138" t="e">
        <f>IF(VLOOKUP(CONCATENATE(H341,F341,FW$2),GeoHis!$A:$H,7,FALSE)=CK341,1,0)</f>
        <v>#N/A</v>
      </c>
      <c r="FX341" s="138" t="e">
        <f>IF(VLOOKUP(CONCATENATE(H341,F341,FX$2),GeoHis!$A:$H,7,FALSE)=CL341,1,0)</f>
        <v>#N/A</v>
      </c>
      <c r="FY341" s="138" t="e">
        <f>IF(VLOOKUP(CONCATENATE(H341,F341,FY$2),GeoHis!$A:$H,7,FALSE)=CM341,1,0)</f>
        <v>#N/A</v>
      </c>
      <c r="FZ341" s="138" t="e">
        <f>IF(VLOOKUP(CONCATENATE(H341,F341,FZ$2),GeoHis!$A:$H,7,FALSE)=CN341,1,0)</f>
        <v>#N/A</v>
      </c>
      <c r="GA341" s="138" t="e">
        <f>IF(VLOOKUP(CONCATENATE(H341,F341,GA$2),GeoHis!$A:$H,7,FALSE)=CO341,1,0)</f>
        <v>#N/A</v>
      </c>
      <c r="GB341" s="138" t="e">
        <f>IF(VLOOKUP(CONCATENATE(H341,F341,GB$2),GeoHis!$A:$H,7,FALSE)=CP341,1,0)</f>
        <v>#N/A</v>
      </c>
      <c r="GC341" s="138" t="e">
        <f>IF(VLOOKUP(CONCATENATE(H341,F341,GC$2),GeoHis!$A:$H,7,FALSE)=CQ341,1,0)</f>
        <v>#N/A</v>
      </c>
      <c r="GD341" s="138" t="e">
        <f>IF(VLOOKUP(CONCATENATE(H341,F341,GD$2),GeoHis!$A:$H,7,FALSE)=CR341,1,0)</f>
        <v>#N/A</v>
      </c>
      <c r="GE341" s="135" t="str">
        <f t="shared" si="47"/>
        <v/>
      </c>
    </row>
    <row r="342" spans="1:187" x14ac:dyDescent="0.25">
      <c r="A342" s="127" t="str">
        <f>IF(C342="","",'Datos Generales'!$A$25)</f>
        <v/>
      </c>
      <c r="D342" s="126" t="str">
        <f t="shared" si="40"/>
        <v/>
      </c>
      <c r="E342" s="126">
        <f t="shared" si="41"/>
        <v>0</v>
      </c>
      <c r="F342" s="126" t="str">
        <f t="shared" si="42"/>
        <v/>
      </c>
      <c r="G342" s="126" t="str">
        <f>IF(C342="","",'Datos Generales'!$D$19)</f>
        <v/>
      </c>
      <c r="H342" s="21" t="str">
        <f>IF(C342="","",'Datos Generales'!$A$19)</f>
        <v/>
      </c>
      <c r="I342" s="126" t="str">
        <f>IF(C342="","",'Datos Generales'!$A$7)</f>
        <v/>
      </c>
      <c r="J342" s="21" t="str">
        <f>IF(C342="","",'Datos Generales'!$A$13)</f>
        <v/>
      </c>
      <c r="K342" s="21" t="str">
        <f>IF(C342="","",'Datos Generales'!$A$10)</f>
        <v/>
      </c>
      <c r="CS342" s="142" t="str">
        <f t="shared" si="43"/>
        <v/>
      </c>
      <c r="CT342" s="142" t="str">
        <f t="shared" si="44"/>
        <v/>
      </c>
      <c r="CU342" s="142" t="str">
        <f t="shared" si="45"/>
        <v/>
      </c>
      <c r="CV342" s="142" t="str">
        <f t="shared" si="46"/>
        <v/>
      </c>
      <c r="CW342" s="142" t="str">
        <f>IF(C342="","",IF('Datos Generales'!$A$19=1,AVERAGE(FP342:GD342),AVERAGE(Captura!FP342:FY342)))</f>
        <v/>
      </c>
      <c r="CX342" s="138" t="e">
        <f>IF(VLOOKUP(CONCATENATE($H$4,$F$4,CX$2),Español!$A:$H,7,FALSE)=L342,1,0)</f>
        <v>#N/A</v>
      </c>
      <c r="CY342" s="138" t="e">
        <f>IF(VLOOKUP(CONCATENATE(H342,F342,CY$2),Español!$A:$H,7,FALSE)=M342,1,0)</f>
        <v>#N/A</v>
      </c>
      <c r="CZ342" s="138" t="e">
        <f>IF(VLOOKUP(CONCATENATE(H342,F342,CZ$2),Español!$A:$H,7,FALSE)=N342,1,0)</f>
        <v>#N/A</v>
      </c>
      <c r="DA342" s="138" t="e">
        <f>IF(VLOOKUP(CONCATENATE(H342,F342,DA$2),Español!$A:$H,7,FALSE)=O342,1,0)</f>
        <v>#N/A</v>
      </c>
      <c r="DB342" s="138" t="e">
        <f>IF(VLOOKUP(CONCATENATE(H342,F342,DB$2),Español!$A:$H,7,FALSE)=P342,1,0)</f>
        <v>#N/A</v>
      </c>
      <c r="DC342" s="138" t="e">
        <f>IF(VLOOKUP(CONCATENATE(H342,F342,DC$2),Español!$A:$H,7,FALSE)=Q342,1,0)</f>
        <v>#N/A</v>
      </c>
      <c r="DD342" s="138" t="e">
        <f>IF(VLOOKUP(CONCATENATE(H342,F342,DD$2),Español!$A:$H,7,FALSE)=R342,1,0)</f>
        <v>#N/A</v>
      </c>
      <c r="DE342" s="138" t="e">
        <f>IF(VLOOKUP(CONCATENATE(H342,F342,DE$2),Español!$A:$H,7,FALSE)=S342,1,0)</f>
        <v>#N/A</v>
      </c>
      <c r="DF342" s="138" t="e">
        <f>IF(VLOOKUP(CONCATENATE(H342,F342,DF$2),Español!$A:$H,7,FALSE)=T342,1,0)</f>
        <v>#N/A</v>
      </c>
      <c r="DG342" s="138" t="e">
        <f>IF(VLOOKUP(CONCATENATE(H342,F342,DG$2),Español!$A:$H,7,FALSE)=U342,1,0)</f>
        <v>#N/A</v>
      </c>
      <c r="DH342" s="138" t="e">
        <f>IF(VLOOKUP(CONCATENATE(H342,F342,DH$2),Español!$A:$H,7,FALSE)=V342,1,0)</f>
        <v>#N/A</v>
      </c>
      <c r="DI342" s="138" t="e">
        <f>IF(VLOOKUP(CONCATENATE(H342,F342,DI$2),Español!$A:$H,7,FALSE)=W342,1,0)</f>
        <v>#N/A</v>
      </c>
      <c r="DJ342" s="138" t="e">
        <f>IF(VLOOKUP(CONCATENATE(H342,F342,DJ$2),Español!$A:$H,7,FALSE)=X342,1,0)</f>
        <v>#N/A</v>
      </c>
      <c r="DK342" s="138" t="e">
        <f>IF(VLOOKUP(CONCATENATE(H342,F342,DK$2),Español!$A:$H,7,FALSE)=Y342,1,0)</f>
        <v>#N/A</v>
      </c>
      <c r="DL342" s="138" t="e">
        <f>IF(VLOOKUP(CONCATENATE(H342,F342,DL$2),Español!$A:$H,7,FALSE)=Z342,1,0)</f>
        <v>#N/A</v>
      </c>
      <c r="DM342" s="138" t="e">
        <f>IF(VLOOKUP(CONCATENATE(H342,F342,DM$2),Español!$A:$H,7,FALSE)=AA342,1,0)</f>
        <v>#N/A</v>
      </c>
      <c r="DN342" s="138" t="e">
        <f>IF(VLOOKUP(CONCATENATE(H342,F342,DN$2),Español!$A:$H,7,FALSE)=AB342,1,0)</f>
        <v>#N/A</v>
      </c>
      <c r="DO342" s="138" t="e">
        <f>IF(VLOOKUP(CONCATENATE(H342,F342,DO$2),Español!$A:$H,7,FALSE)=AC342,1,0)</f>
        <v>#N/A</v>
      </c>
      <c r="DP342" s="138" t="e">
        <f>IF(VLOOKUP(CONCATENATE(H342,F342,DP$2),Español!$A:$H,7,FALSE)=AD342,1,0)</f>
        <v>#N/A</v>
      </c>
      <c r="DQ342" s="138" t="e">
        <f>IF(VLOOKUP(CONCATENATE(H342,F342,DQ$2),Español!$A:$H,7,FALSE)=AE342,1,0)</f>
        <v>#N/A</v>
      </c>
      <c r="DR342" s="138" t="e">
        <f>IF(VLOOKUP(CONCATENATE(H342,F342,DR$2),Inglés!$A:$H,7,FALSE)=AF342,1,0)</f>
        <v>#N/A</v>
      </c>
      <c r="DS342" s="138" t="e">
        <f>IF(VLOOKUP(CONCATENATE(H342,F342,DS$2),Inglés!$A:$H,7,FALSE)=AG342,1,0)</f>
        <v>#N/A</v>
      </c>
      <c r="DT342" s="138" t="e">
        <f>IF(VLOOKUP(CONCATENATE(H342,F342,DT$2),Inglés!$A:$H,7,FALSE)=AH342,1,0)</f>
        <v>#N/A</v>
      </c>
      <c r="DU342" s="138" t="e">
        <f>IF(VLOOKUP(CONCATENATE(H342,F342,DU$2),Inglés!$A:$H,7,FALSE)=AI342,1,0)</f>
        <v>#N/A</v>
      </c>
      <c r="DV342" s="138" t="e">
        <f>IF(VLOOKUP(CONCATENATE(H342,F342,DV$2),Inglés!$A:$H,7,FALSE)=AJ342,1,0)</f>
        <v>#N/A</v>
      </c>
      <c r="DW342" s="138" t="e">
        <f>IF(VLOOKUP(CONCATENATE(H342,F342,DW$2),Inglés!$A:$H,7,FALSE)=AK342,1,0)</f>
        <v>#N/A</v>
      </c>
      <c r="DX342" s="138" t="e">
        <f>IF(VLOOKUP(CONCATENATE(H342,F342,DX$2),Inglés!$A:$H,7,FALSE)=AL342,1,0)</f>
        <v>#N/A</v>
      </c>
      <c r="DY342" s="138" t="e">
        <f>IF(VLOOKUP(CONCATENATE(H342,F342,DY$2),Inglés!$A:$H,7,FALSE)=AM342,1,0)</f>
        <v>#N/A</v>
      </c>
      <c r="DZ342" s="138" t="e">
        <f>IF(VLOOKUP(CONCATENATE(H342,F342,DZ$2),Inglés!$A:$H,7,FALSE)=AN342,1,0)</f>
        <v>#N/A</v>
      </c>
      <c r="EA342" s="138" t="e">
        <f>IF(VLOOKUP(CONCATENATE(H342,F342,EA$2),Inglés!$A:$H,7,FALSE)=AO342,1,0)</f>
        <v>#N/A</v>
      </c>
      <c r="EB342" s="138" t="e">
        <f>IF(VLOOKUP(CONCATENATE(H342,F342,EB$2),Matemáticas!$A:$H,7,FALSE)=AP342,1,0)</f>
        <v>#N/A</v>
      </c>
      <c r="EC342" s="138" t="e">
        <f>IF(VLOOKUP(CONCATENATE(H342,F342,EC$2),Matemáticas!$A:$H,7,FALSE)=AQ342,1,0)</f>
        <v>#N/A</v>
      </c>
      <c r="ED342" s="138" t="e">
        <f>IF(VLOOKUP(CONCATENATE(H342,F342,ED$2),Matemáticas!$A:$H,7,FALSE)=AR342,1,0)</f>
        <v>#N/A</v>
      </c>
      <c r="EE342" s="138" t="e">
        <f>IF(VLOOKUP(CONCATENATE(H342,F342,EE$2),Matemáticas!$A:$H,7,FALSE)=AS342,1,0)</f>
        <v>#N/A</v>
      </c>
      <c r="EF342" s="138" t="e">
        <f>IF(VLOOKUP(CONCATENATE(H342,F342,EF$2),Matemáticas!$A:$H,7,FALSE)=AT342,1,0)</f>
        <v>#N/A</v>
      </c>
      <c r="EG342" s="138" t="e">
        <f>IF(VLOOKUP(CONCATENATE(H342,F342,EG$2),Matemáticas!$A:$H,7,FALSE)=AU342,1,0)</f>
        <v>#N/A</v>
      </c>
      <c r="EH342" s="138" t="e">
        <f>IF(VLOOKUP(CONCATENATE(H342,F342,EH$2),Matemáticas!$A:$H,7,FALSE)=AV342,1,0)</f>
        <v>#N/A</v>
      </c>
      <c r="EI342" s="138" t="e">
        <f>IF(VLOOKUP(CONCATENATE(H342,F342,EI$2),Matemáticas!$A:$H,7,FALSE)=AW342,1,0)</f>
        <v>#N/A</v>
      </c>
      <c r="EJ342" s="138" t="e">
        <f>IF(VLOOKUP(CONCATENATE(H342,F342,EJ$2),Matemáticas!$A:$H,7,FALSE)=AX342,1,0)</f>
        <v>#N/A</v>
      </c>
      <c r="EK342" s="138" t="e">
        <f>IF(VLOOKUP(CONCATENATE(H342,F342,EK$2),Matemáticas!$A:$H,7,FALSE)=AY342,1,0)</f>
        <v>#N/A</v>
      </c>
      <c r="EL342" s="138" t="e">
        <f>IF(VLOOKUP(CONCATENATE(H342,F342,EL$2),Matemáticas!$A:$H,7,FALSE)=AZ342,1,0)</f>
        <v>#N/A</v>
      </c>
      <c r="EM342" s="138" t="e">
        <f>IF(VLOOKUP(CONCATENATE(H342,F342,EM$2),Matemáticas!$A:$H,7,FALSE)=BA342,1,0)</f>
        <v>#N/A</v>
      </c>
      <c r="EN342" s="138" t="e">
        <f>IF(VLOOKUP(CONCATENATE(H342,F342,EN$2),Matemáticas!$A:$H,7,FALSE)=BB342,1,0)</f>
        <v>#N/A</v>
      </c>
      <c r="EO342" s="138" t="e">
        <f>IF(VLOOKUP(CONCATENATE(H342,F342,EO$2),Matemáticas!$A:$H,7,FALSE)=BC342,1,0)</f>
        <v>#N/A</v>
      </c>
      <c r="EP342" s="138" t="e">
        <f>IF(VLOOKUP(CONCATENATE(H342,F342,EP$2),Matemáticas!$A:$H,7,FALSE)=BD342,1,0)</f>
        <v>#N/A</v>
      </c>
      <c r="EQ342" s="138" t="e">
        <f>IF(VLOOKUP(CONCATENATE(H342,F342,EQ$2),Matemáticas!$A:$H,7,FALSE)=BE342,1,0)</f>
        <v>#N/A</v>
      </c>
      <c r="ER342" s="138" t="e">
        <f>IF(VLOOKUP(CONCATENATE(H342,F342,ER$2),Matemáticas!$A:$H,7,FALSE)=BF342,1,0)</f>
        <v>#N/A</v>
      </c>
      <c r="ES342" s="138" t="e">
        <f>IF(VLOOKUP(CONCATENATE(H342,F342,ES$2),Matemáticas!$A:$H,7,FALSE)=BG342,1,0)</f>
        <v>#N/A</v>
      </c>
      <c r="ET342" s="138" t="e">
        <f>IF(VLOOKUP(CONCATENATE(H342,F342,ET$2),Matemáticas!$A:$H,7,FALSE)=BH342,1,0)</f>
        <v>#N/A</v>
      </c>
      <c r="EU342" s="138" t="e">
        <f>IF(VLOOKUP(CONCATENATE(H342,F342,EU$2),Matemáticas!$A:$H,7,FALSE)=BI342,1,0)</f>
        <v>#N/A</v>
      </c>
      <c r="EV342" s="138" t="e">
        <f>IF(VLOOKUP(CONCATENATE(H342,F342,EV$2),Ciencias!$A:$H,7,FALSE)=BJ342,1,0)</f>
        <v>#N/A</v>
      </c>
      <c r="EW342" s="138" t="e">
        <f>IF(VLOOKUP(CONCATENATE(H342,F342,EW$2),Ciencias!$A:$H,7,FALSE)=BK342,1,0)</f>
        <v>#N/A</v>
      </c>
      <c r="EX342" s="138" t="e">
        <f>IF(VLOOKUP(CONCATENATE(H342,F342,EX$2),Ciencias!$A:$H,7,FALSE)=BL342,1,0)</f>
        <v>#N/A</v>
      </c>
      <c r="EY342" s="138" t="e">
        <f>IF(VLOOKUP(CONCATENATE(H342,F342,EY$2),Ciencias!$A:$H,7,FALSE)=BM342,1,0)</f>
        <v>#N/A</v>
      </c>
      <c r="EZ342" s="138" t="e">
        <f>IF(VLOOKUP(CONCATENATE(H342,F342,EZ$2),Ciencias!$A:$H,7,FALSE)=BN342,1,0)</f>
        <v>#N/A</v>
      </c>
      <c r="FA342" s="138" t="e">
        <f>IF(VLOOKUP(CONCATENATE(H342,F342,FA$2),Ciencias!$A:$H,7,FALSE)=BO342,1,0)</f>
        <v>#N/A</v>
      </c>
      <c r="FB342" s="138" t="e">
        <f>IF(VLOOKUP(CONCATENATE(H342,F342,FB$2),Ciencias!$A:$H,7,FALSE)=BP342,1,0)</f>
        <v>#N/A</v>
      </c>
      <c r="FC342" s="138" t="e">
        <f>IF(VLOOKUP(CONCATENATE(H342,F342,FC$2),Ciencias!$A:$H,7,FALSE)=BQ342,1,0)</f>
        <v>#N/A</v>
      </c>
      <c r="FD342" s="138" t="e">
        <f>IF(VLOOKUP(CONCATENATE(H342,F342,FD$2),Ciencias!$A:$H,7,FALSE)=BR342,1,0)</f>
        <v>#N/A</v>
      </c>
      <c r="FE342" s="138" t="e">
        <f>IF(VLOOKUP(CONCATENATE(H342,F342,FE$2),Ciencias!$A:$H,7,FALSE)=BS342,1,0)</f>
        <v>#N/A</v>
      </c>
      <c r="FF342" s="138" t="e">
        <f>IF(VLOOKUP(CONCATENATE(H342,F342,FF$2),Ciencias!$A:$H,7,FALSE)=BT342,1,0)</f>
        <v>#N/A</v>
      </c>
      <c r="FG342" s="138" t="e">
        <f>IF(VLOOKUP(CONCATENATE(H342,F342,FG$2),Ciencias!$A:$H,7,FALSE)=BU342,1,0)</f>
        <v>#N/A</v>
      </c>
      <c r="FH342" s="138" t="e">
        <f>IF(VLOOKUP(CONCATENATE(H342,F342,FH$2),Ciencias!$A:$H,7,FALSE)=BV342,1,0)</f>
        <v>#N/A</v>
      </c>
      <c r="FI342" s="138" t="e">
        <f>IF(VLOOKUP(CONCATENATE(H342,F342,FI$2),Ciencias!$A:$H,7,FALSE)=BW342,1,0)</f>
        <v>#N/A</v>
      </c>
      <c r="FJ342" s="138" t="e">
        <f>IF(VLOOKUP(CONCATENATE(H342,F342,FJ$2),Ciencias!$A:$H,7,FALSE)=BX342,1,0)</f>
        <v>#N/A</v>
      </c>
      <c r="FK342" s="138" t="e">
        <f>IF(VLOOKUP(CONCATENATE(H342,F342,FK$2),Ciencias!$A:$H,7,FALSE)=BY342,1,0)</f>
        <v>#N/A</v>
      </c>
      <c r="FL342" s="138" t="e">
        <f>IF(VLOOKUP(CONCATENATE(H342,F342,FL$2),Ciencias!$A:$H,7,FALSE)=BZ342,1,0)</f>
        <v>#N/A</v>
      </c>
      <c r="FM342" s="138" t="e">
        <f>IF(VLOOKUP(CONCATENATE(H342,F342,FM$2),Ciencias!$A:$H,7,FALSE)=CA342,1,0)</f>
        <v>#N/A</v>
      </c>
      <c r="FN342" s="138" t="e">
        <f>IF(VLOOKUP(CONCATENATE(H342,F342,FN$2),Ciencias!$A:$H,7,FALSE)=CB342,1,0)</f>
        <v>#N/A</v>
      </c>
      <c r="FO342" s="138" t="e">
        <f>IF(VLOOKUP(CONCATENATE(H342,F342,FO$2),Ciencias!$A:$H,7,FALSE)=CC342,1,0)</f>
        <v>#N/A</v>
      </c>
      <c r="FP342" s="138" t="e">
        <f>IF(VLOOKUP(CONCATENATE(H342,F342,FP$2),GeoHis!$A:$H,7,FALSE)=CD342,1,0)</f>
        <v>#N/A</v>
      </c>
      <c r="FQ342" s="138" t="e">
        <f>IF(VLOOKUP(CONCATENATE(H342,F342,FQ$2),GeoHis!$A:$H,7,FALSE)=CE342,1,0)</f>
        <v>#N/A</v>
      </c>
      <c r="FR342" s="138" t="e">
        <f>IF(VLOOKUP(CONCATENATE(H342,F342,FR$2),GeoHis!$A:$H,7,FALSE)=CF342,1,0)</f>
        <v>#N/A</v>
      </c>
      <c r="FS342" s="138" t="e">
        <f>IF(VLOOKUP(CONCATENATE(H342,F342,FS$2),GeoHis!$A:$H,7,FALSE)=CG342,1,0)</f>
        <v>#N/A</v>
      </c>
      <c r="FT342" s="138" t="e">
        <f>IF(VLOOKUP(CONCATENATE(H342,F342,FT$2),GeoHis!$A:$H,7,FALSE)=CH342,1,0)</f>
        <v>#N/A</v>
      </c>
      <c r="FU342" s="138" t="e">
        <f>IF(VLOOKUP(CONCATENATE(H342,F342,FU$2),GeoHis!$A:$H,7,FALSE)=CI342,1,0)</f>
        <v>#N/A</v>
      </c>
      <c r="FV342" s="138" t="e">
        <f>IF(VLOOKUP(CONCATENATE(H342,F342,FV$2),GeoHis!$A:$H,7,FALSE)=CJ342,1,0)</f>
        <v>#N/A</v>
      </c>
      <c r="FW342" s="138" t="e">
        <f>IF(VLOOKUP(CONCATENATE(H342,F342,FW$2),GeoHis!$A:$H,7,FALSE)=CK342,1,0)</f>
        <v>#N/A</v>
      </c>
      <c r="FX342" s="138" t="e">
        <f>IF(VLOOKUP(CONCATENATE(H342,F342,FX$2),GeoHis!$A:$H,7,FALSE)=CL342,1,0)</f>
        <v>#N/A</v>
      </c>
      <c r="FY342" s="138" t="e">
        <f>IF(VLOOKUP(CONCATENATE(H342,F342,FY$2),GeoHis!$A:$H,7,FALSE)=CM342,1,0)</f>
        <v>#N/A</v>
      </c>
      <c r="FZ342" s="138" t="e">
        <f>IF(VLOOKUP(CONCATENATE(H342,F342,FZ$2),GeoHis!$A:$H,7,FALSE)=CN342,1,0)</f>
        <v>#N/A</v>
      </c>
      <c r="GA342" s="138" t="e">
        <f>IF(VLOOKUP(CONCATENATE(H342,F342,GA$2),GeoHis!$A:$H,7,FALSE)=CO342,1,0)</f>
        <v>#N/A</v>
      </c>
      <c r="GB342" s="138" t="e">
        <f>IF(VLOOKUP(CONCATENATE(H342,F342,GB$2),GeoHis!$A:$H,7,FALSE)=CP342,1,0)</f>
        <v>#N/A</v>
      </c>
      <c r="GC342" s="138" t="e">
        <f>IF(VLOOKUP(CONCATENATE(H342,F342,GC$2),GeoHis!$A:$H,7,FALSE)=CQ342,1,0)</f>
        <v>#N/A</v>
      </c>
      <c r="GD342" s="138" t="e">
        <f>IF(VLOOKUP(CONCATENATE(H342,F342,GD$2),GeoHis!$A:$H,7,FALSE)=CR342,1,0)</f>
        <v>#N/A</v>
      </c>
      <c r="GE342" s="135" t="str">
        <f t="shared" si="47"/>
        <v/>
      </c>
    </row>
    <row r="343" spans="1:187" x14ac:dyDescent="0.25">
      <c r="A343" s="127" t="str">
        <f>IF(C343="","",'Datos Generales'!$A$25)</f>
        <v/>
      </c>
      <c r="D343" s="126" t="str">
        <f t="shared" si="40"/>
        <v/>
      </c>
      <c r="E343" s="126">
        <f t="shared" si="41"/>
        <v>0</v>
      </c>
      <c r="F343" s="126" t="str">
        <f t="shared" si="42"/>
        <v/>
      </c>
      <c r="G343" s="126" t="str">
        <f>IF(C343="","",'Datos Generales'!$D$19)</f>
        <v/>
      </c>
      <c r="H343" s="21" t="str">
        <f>IF(C343="","",'Datos Generales'!$A$19)</f>
        <v/>
      </c>
      <c r="I343" s="126" t="str">
        <f>IF(C343="","",'Datos Generales'!$A$7)</f>
        <v/>
      </c>
      <c r="J343" s="21" t="str">
        <f>IF(C343="","",'Datos Generales'!$A$13)</f>
        <v/>
      </c>
      <c r="K343" s="21" t="str">
        <f>IF(C343="","",'Datos Generales'!$A$10)</f>
        <v/>
      </c>
      <c r="CS343" s="142" t="str">
        <f t="shared" si="43"/>
        <v/>
      </c>
      <c r="CT343" s="142" t="str">
        <f t="shared" si="44"/>
        <v/>
      </c>
      <c r="CU343" s="142" t="str">
        <f t="shared" si="45"/>
        <v/>
      </c>
      <c r="CV343" s="142" t="str">
        <f t="shared" si="46"/>
        <v/>
      </c>
      <c r="CW343" s="142" t="str">
        <f>IF(C343="","",IF('Datos Generales'!$A$19=1,AVERAGE(FP343:GD343),AVERAGE(Captura!FP343:FY343)))</f>
        <v/>
      </c>
      <c r="CX343" s="138" t="e">
        <f>IF(VLOOKUP(CONCATENATE($H$4,$F$4,CX$2),Español!$A:$H,7,FALSE)=L343,1,0)</f>
        <v>#N/A</v>
      </c>
      <c r="CY343" s="138" t="e">
        <f>IF(VLOOKUP(CONCATENATE(H343,F343,CY$2),Español!$A:$H,7,FALSE)=M343,1,0)</f>
        <v>#N/A</v>
      </c>
      <c r="CZ343" s="138" t="e">
        <f>IF(VLOOKUP(CONCATENATE(H343,F343,CZ$2),Español!$A:$H,7,FALSE)=N343,1,0)</f>
        <v>#N/A</v>
      </c>
      <c r="DA343" s="138" t="e">
        <f>IF(VLOOKUP(CONCATENATE(H343,F343,DA$2),Español!$A:$H,7,FALSE)=O343,1,0)</f>
        <v>#N/A</v>
      </c>
      <c r="DB343" s="138" t="e">
        <f>IF(VLOOKUP(CONCATENATE(H343,F343,DB$2),Español!$A:$H,7,FALSE)=P343,1,0)</f>
        <v>#N/A</v>
      </c>
      <c r="DC343" s="138" t="e">
        <f>IF(VLOOKUP(CONCATENATE(H343,F343,DC$2),Español!$A:$H,7,FALSE)=Q343,1,0)</f>
        <v>#N/A</v>
      </c>
      <c r="DD343" s="138" t="e">
        <f>IF(VLOOKUP(CONCATENATE(H343,F343,DD$2),Español!$A:$H,7,FALSE)=R343,1,0)</f>
        <v>#N/A</v>
      </c>
      <c r="DE343" s="138" t="e">
        <f>IF(VLOOKUP(CONCATENATE(H343,F343,DE$2),Español!$A:$H,7,FALSE)=S343,1,0)</f>
        <v>#N/A</v>
      </c>
      <c r="DF343" s="138" t="e">
        <f>IF(VLOOKUP(CONCATENATE(H343,F343,DF$2),Español!$A:$H,7,FALSE)=T343,1,0)</f>
        <v>#N/A</v>
      </c>
      <c r="DG343" s="138" t="e">
        <f>IF(VLOOKUP(CONCATENATE(H343,F343,DG$2),Español!$A:$H,7,FALSE)=U343,1,0)</f>
        <v>#N/A</v>
      </c>
      <c r="DH343" s="138" t="e">
        <f>IF(VLOOKUP(CONCATENATE(H343,F343,DH$2),Español!$A:$H,7,FALSE)=V343,1,0)</f>
        <v>#N/A</v>
      </c>
      <c r="DI343" s="138" t="e">
        <f>IF(VLOOKUP(CONCATENATE(H343,F343,DI$2),Español!$A:$H,7,FALSE)=W343,1,0)</f>
        <v>#N/A</v>
      </c>
      <c r="DJ343" s="138" t="e">
        <f>IF(VLOOKUP(CONCATENATE(H343,F343,DJ$2),Español!$A:$H,7,FALSE)=X343,1,0)</f>
        <v>#N/A</v>
      </c>
      <c r="DK343" s="138" t="e">
        <f>IF(VLOOKUP(CONCATENATE(H343,F343,DK$2),Español!$A:$H,7,FALSE)=Y343,1,0)</f>
        <v>#N/A</v>
      </c>
      <c r="DL343" s="138" t="e">
        <f>IF(VLOOKUP(CONCATENATE(H343,F343,DL$2),Español!$A:$H,7,FALSE)=Z343,1,0)</f>
        <v>#N/A</v>
      </c>
      <c r="DM343" s="138" t="e">
        <f>IF(VLOOKUP(CONCATENATE(H343,F343,DM$2),Español!$A:$H,7,FALSE)=AA343,1,0)</f>
        <v>#N/A</v>
      </c>
      <c r="DN343" s="138" t="e">
        <f>IF(VLOOKUP(CONCATENATE(H343,F343,DN$2),Español!$A:$H,7,FALSE)=AB343,1,0)</f>
        <v>#N/A</v>
      </c>
      <c r="DO343" s="138" t="e">
        <f>IF(VLOOKUP(CONCATENATE(H343,F343,DO$2),Español!$A:$H,7,FALSE)=AC343,1,0)</f>
        <v>#N/A</v>
      </c>
      <c r="DP343" s="138" t="e">
        <f>IF(VLOOKUP(CONCATENATE(H343,F343,DP$2),Español!$A:$H,7,FALSE)=AD343,1,0)</f>
        <v>#N/A</v>
      </c>
      <c r="DQ343" s="138" t="e">
        <f>IF(VLOOKUP(CONCATENATE(H343,F343,DQ$2),Español!$A:$H,7,FALSE)=AE343,1,0)</f>
        <v>#N/A</v>
      </c>
      <c r="DR343" s="138" t="e">
        <f>IF(VLOOKUP(CONCATENATE(H343,F343,DR$2),Inglés!$A:$H,7,FALSE)=AF343,1,0)</f>
        <v>#N/A</v>
      </c>
      <c r="DS343" s="138" t="e">
        <f>IF(VLOOKUP(CONCATENATE(H343,F343,DS$2),Inglés!$A:$H,7,FALSE)=AG343,1,0)</f>
        <v>#N/A</v>
      </c>
      <c r="DT343" s="138" t="e">
        <f>IF(VLOOKUP(CONCATENATE(H343,F343,DT$2),Inglés!$A:$H,7,FALSE)=AH343,1,0)</f>
        <v>#N/A</v>
      </c>
      <c r="DU343" s="138" t="e">
        <f>IF(VLOOKUP(CONCATENATE(H343,F343,DU$2),Inglés!$A:$H,7,FALSE)=AI343,1,0)</f>
        <v>#N/A</v>
      </c>
      <c r="DV343" s="138" t="e">
        <f>IF(VLOOKUP(CONCATENATE(H343,F343,DV$2),Inglés!$A:$H,7,FALSE)=AJ343,1,0)</f>
        <v>#N/A</v>
      </c>
      <c r="DW343" s="138" t="e">
        <f>IF(VLOOKUP(CONCATENATE(H343,F343,DW$2),Inglés!$A:$H,7,FALSE)=AK343,1,0)</f>
        <v>#N/A</v>
      </c>
      <c r="DX343" s="138" t="e">
        <f>IF(VLOOKUP(CONCATENATE(H343,F343,DX$2),Inglés!$A:$H,7,FALSE)=AL343,1,0)</f>
        <v>#N/A</v>
      </c>
      <c r="DY343" s="138" t="e">
        <f>IF(VLOOKUP(CONCATENATE(H343,F343,DY$2),Inglés!$A:$H,7,FALSE)=AM343,1,0)</f>
        <v>#N/A</v>
      </c>
      <c r="DZ343" s="138" t="e">
        <f>IF(VLOOKUP(CONCATENATE(H343,F343,DZ$2),Inglés!$A:$H,7,FALSE)=AN343,1,0)</f>
        <v>#N/A</v>
      </c>
      <c r="EA343" s="138" t="e">
        <f>IF(VLOOKUP(CONCATENATE(H343,F343,EA$2),Inglés!$A:$H,7,FALSE)=AO343,1,0)</f>
        <v>#N/A</v>
      </c>
      <c r="EB343" s="138" t="e">
        <f>IF(VLOOKUP(CONCATENATE(H343,F343,EB$2),Matemáticas!$A:$H,7,FALSE)=AP343,1,0)</f>
        <v>#N/A</v>
      </c>
      <c r="EC343" s="138" t="e">
        <f>IF(VLOOKUP(CONCATENATE(H343,F343,EC$2),Matemáticas!$A:$H,7,FALSE)=AQ343,1,0)</f>
        <v>#N/A</v>
      </c>
      <c r="ED343" s="138" t="e">
        <f>IF(VLOOKUP(CONCATENATE(H343,F343,ED$2),Matemáticas!$A:$H,7,FALSE)=AR343,1,0)</f>
        <v>#N/A</v>
      </c>
      <c r="EE343" s="138" t="e">
        <f>IF(VLOOKUP(CONCATENATE(H343,F343,EE$2),Matemáticas!$A:$H,7,FALSE)=AS343,1,0)</f>
        <v>#N/A</v>
      </c>
      <c r="EF343" s="138" t="e">
        <f>IF(VLOOKUP(CONCATENATE(H343,F343,EF$2),Matemáticas!$A:$H,7,FALSE)=AT343,1,0)</f>
        <v>#N/A</v>
      </c>
      <c r="EG343" s="138" t="e">
        <f>IF(VLOOKUP(CONCATENATE(H343,F343,EG$2),Matemáticas!$A:$H,7,FALSE)=AU343,1,0)</f>
        <v>#N/A</v>
      </c>
      <c r="EH343" s="138" t="e">
        <f>IF(VLOOKUP(CONCATENATE(H343,F343,EH$2),Matemáticas!$A:$H,7,FALSE)=AV343,1,0)</f>
        <v>#N/A</v>
      </c>
      <c r="EI343" s="138" t="e">
        <f>IF(VLOOKUP(CONCATENATE(H343,F343,EI$2),Matemáticas!$A:$H,7,FALSE)=AW343,1,0)</f>
        <v>#N/A</v>
      </c>
      <c r="EJ343" s="138" t="e">
        <f>IF(VLOOKUP(CONCATENATE(H343,F343,EJ$2),Matemáticas!$A:$H,7,FALSE)=AX343,1,0)</f>
        <v>#N/A</v>
      </c>
      <c r="EK343" s="138" t="e">
        <f>IF(VLOOKUP(CONCATENATE(H343,F343,EK$2),Matemáticas!$A:$H,7,FALSE)=AY343,1,0)</f>
        <v>#N/A</v>
      </c>
      <c r="EL343" s="138" t="e">
        <f>IF(VLOOKUP(CONCATENATE(H343,F343,EL$2),Matemáticas!$A:$H,7,FALSE)=AZ343,1,0)</f>
        <v>#N/A</v>
      </c>
      <c r="EM343" s="138" t="e">
        <f>IF(VLOOKUP(CONCATENATE(H343,F343,EM$2),Matemáticas!$A:$H,7,FALSE)=BA343,1,0)</f>
        <v>#N/A</v>
      </c>
      <c r="EN343" s="138" t="e">
        <f>IF(VLOOKUP(CONCATENATE(H343,F343,EN$2),Matemáticas!$A:$H,7,FALSE)=BB343,1,0)</f>
        <v>#N/A</v>
      </c>
      <c r="EO343" s="138" t="e">
        <f>IF(VLOOKUP(CONCATENATE(H343,F343,EO$2),Matemáticas!$A:$H,7,FALSE)=BC343,1,0)</f>
        <v>#N/A</v>
      </c>
      <c r="EP343" s="138" t="e">
        <f>IF(VLOOKUP(CONCATENATE(H343,F343,EP$2),Matemáticas!$A:$H,7,FALSE)=BD343,1,0)</f>
        <v>#N/A</v>
      </c>
      <c r="EQ343" s="138" t="e">
        <f>IF(VLOOKUP(CONCATENATE(H343,F343,EQ$2),Matemáticas!$A:$H,7,FALSE)=BE343,1,0)</f>
        <v>#N/A</v>
      </c>
      <c r="ER343" s="138" t="e">
        <f>IF(VLOOKUP(CONCATENATE(H343,F343,ER$2),Matemáticas!$A:$H,7,FALSE)=BF343,1,0)</f>
        <v>#N/A</v>
      </c>
      <c r="ES343" s="138" t="e">
        <f>IF(VLOOKUP(CONCATENATE(H343,F343,ES$2),Matemáticas!$A:$H,7,FALSE)=BG343,1,0)</f>
        <v>#N/A</v>
      </c>
      <c r="ET343" s="138" t="e">
        <f>IF(VLOOKUP(CONCATENATE(H343,F343,ET$2),Matemáticas!$A:$H,7,FALSE)=BH343,1,0)</f>
        <v>#N/A</v>
      </c>
      <c r="EU343" s="138" t="e">
        <f>IF(VLOOKUP(CONCATENATE(H343,F343,EU$2),Matemáticas!$A:$H,7,FALSE)=BI343,1,0)</f>
        <v>#N/A</v>
      </c>
      <c r="EV343" s="138" t="e">
        <f>IF(VLOOKUP(CONCATENATE(H343,F343,EV$2),Ciencias!$A:$H,7,FALSE)=BJ343,1,0)</f>
        <v>#N/A</v>
      </c>
      <c r="EW343" s="138" t="e">
        <f>IF(VLOOKUP(CONCATENATE(H343,F343,EW$2),Ciencias!$A:$H,7,FALSE)=BK343,1,0)</f>
        <v>#N/A</v>
      </c>
      <c r="EX343" s="138" t="e">
        <f>IF(VLOOKUP(CONCATENATE(H343,F343,EX$2),Ciencias!$A:$H,7,FALSE)=BL343,1,0)</f>
        <v>#N/A</v>
      </c>
      <c r="EY343" s="138" t="e">
        <f>IF(VLOOKUP(CONCATENATE(H343,F343,EY$2),Ciencias!$A:$H,7,FALSE)=BM343,1,0)</f>
        <v>#N/A</v>
      </c>
      <c r="EZ343" s="138" t="e">
        <f>IF(VLOOKUP(CONCATENATE(H343,F343,EZ$2),Ciencias!$A:$H,7,FALSE)=BN343,1,0)</f>
        <v>#N/A</v>
      </c>
      <c r="FA343" s="138" t="e">
        <f>IF(VLOOKUP(CONCATENATE(H343,F343,FA$2),Ciencias!$A:$H,7,FALSE)=BO343,1,0)</f>
        <v>#N/A</v>
      </c>
      <c r="FB343" s="138" t="e">
        <f>IF(VLOOKUP(CONCATENATE(H343,F343,FB$2),Ciencias!$A:$H,7,FALSE)=BP343,1,0)</f>
        <v>#N/A</v>
      </c>
      <c r="FC343" s="138" t="e">
        <f>IF(VLOOKUP(CONCATENATE(H343,F343,FC$2),Ciencias!$A:$H,7,FALSE)=BQ343,1,0)</f>
        <v>#N/A</v>
      </c>
      <c r="FD343" s="138" t="e">
        <f>IF(VLOOKUP(CONCATENATE(H343,F343,FD$2),Ciencias!$A:$H,7,FALSE)=BR343,1,0)</f>
        <v>#N/A</v>
      </c>
      <c r="FE343" s="138" t="e">
        <f>IF(VLOOKUP(CONCATENATE(H343,F343,FE$2),Ciencias!$A:$H,7,FALSE)=BS343,1,0)</f>
        <v>#N/A</v>
      </c>
      <c r="FF343" s="138" t="e">
        <f>IF(VLOOKUP(CONCATENATE(H343,F343,FF$2),Ciencias!$A:$H,7,FALSE)=BT343,1,0)</f>
        <v>#N/A</v>
      </c>
      <c r="FG343" s="138" t="e">
        <f>IF(VLOOKUP(CONCATENATE(H343,F343,FG$2),Ciencias!$A:$H,7,FALSE)=BU343,1,0)</f>
        <v>#N/A</v>
      </c>
      <c r="FH343" s="138" t="e">
        <f>IF(VLOOKUP(CONCATENATE(H343,F343,FH$2),Ciencias!$A:$H,7,FALSE)=BV343,1,0)</f>
        <v>#N/A</v>
      </c>
      <c r="FI343" s="138" t="e">
        <f>IF(VLOOKUP(CONCATENATE(H343,F343,FI$2),Ciencias!$A:$H,7,FALSE)=BW343,1,0)</f>
        <v>#N/A</v>
      </c>
      <c r="FJ343" s="138" t="e">
        <f>IF(VLOOKUP(CONCATENATE(H343,F343,FJ$2),Ciencias!$A:$H,7,FALSE)=BX343,1,0)</f>
        <v>#N/A</v>
      </c>
      <c r="FK343" s="138" t="e">
        <f>IF(VLOOKUP(CONCATENATE(H343,F343,FK$2),Ciencias!$A:$H,7,FALSE)=BY343,1,0)</f>
        <v>#N/A</v>
      </c>
      <c r="FL343" s="138" t="e">
        <f>IF(VLOOKUP(CONCATENATE(H343,F343,FL$2),Ciencias!$A:$H,7,FALSE)=BZ343,1,0)</f>
        <v>#N/A</v>
      </c>
      <c r="FM343" s="138" t="e">
        <f>IF(VLOOKUP(CONCATENATE(H343,F343,FM$2),Ciencias!$A:$H,7,FALSE)=CA343,1,0)</f>
        <v>#N/A</v>
      </c>
      <c r="FN343" s="138" t="e">
        <f>IF(VLOOKUP(CONCATENATE(H343,F343,FN$2),Ciencias!$A:$H,7,FALSE)=CB343,1,0)</f>
        <v>#N/A</v>
      </c>
      <c r="FO343" s="138" t="e">
        <f>IF(VLOOKUP(CONCATENATE(H343,F343,FO$2),Ciencias!$A:$H,7,FALSE)=CC343,1,0)</f>
        <v>#N/A</v>
      </c>
      <c r="FP343" s="138" t="e">
        <f>IF(VLOOKUP(CONCATENATE(H343,F343,FP$2),GeoHis!$A:$H,7,FALSE)=CD343,1,0)</f>
        <v>#N/A</v>
      </c>
      <c r="FQ343" s="138" t="e">
        <f>IF(VLOOKUP(CONCATENATE(H343,F343,FQ$2),GeoHis!$A:$H,7,FALSE)=CE343,1,0)</f>
        <v>#N/A</v>
      </c>
      <c r="FR343" s="138" t="e">
        <f>IF(VLOOKUP(CONCATENATE(H343,F343,FR$2),GeoHis!$A:$H,7,FALSE)=CF343,1,0)</f>
        <v>#N/A</v>
      </c>
      <c r="FS343" s="138" t="e">
        <f>IF(VLOOKUP(CONCATENATE(H343,F343,FS$2),GeoHis!$A:$H,7,FALSE)=CG343,1,0)</f>
        <v>#N/A</v>
      </c>
      <c r="FT343" s="138" t="e">
        <f>IF(VLOOKUP(CONCATENATE(H343,F343,FT$2),GeoHis!$A:$H,7,FALSE)=CH343,1,0)</f>
        <v>#N/A</v>
      </c>
      <c r="FU343" s="138" t="e">
        <f>IF(VLOOKUP(CONCATENATE(H343,F343,FU$2),GeoHis!$A:$H,7,FALSE)=CI343,1,0)</f>
        <v>#N/A</v>
      </c>
      <c r="FV343" s="138" t="e">
        <f>IF(VLOOKUP(CONCATENATE(H343,F343,FV$2),GeoHis!$A:$H,7,FALSE)=CJ343,1,0)</f>
        <v>#N/A</v>
      </c>
      <c r="FW343" s="138" t="e">
        <f>IF(VLOOKUP(CONCATENATE(H343,F343,FW$2),GeoHis!$A:$H,7,FALSE)=CK343,1,0)</f>
        <v>#N/A</v>
      </c>
      <c r="FX343" s="138" t="e">
        <f>IF(VLOOKUP(CONCATENATE(H343,F343,FX$2),GeoHis!$A:$H,7,FALSE)=CL343,1,0)</f>
        <v>#N/A</v>
      </c>
      <c r="FY343" s="138" t="e">
        <f>IF(VLOOKUP(CONCATENATE(H343,F343,FY$2),GeoHis!$A:$H,7,FALSE)=CM343,1,0)</f>
        <v>#N/A</v>
      </c>
      <c r="FZ343" s="138" t="e">
        <f>IF(VLOOKUP(CONCATENATE(H343,F343,FZ$2),GeoHis!$A:$H,7,FALSE)=CN343,1,0)</f>
        <v>#N/A</v>
      </c>
      <c r="GA343" s="138" t="e">
        <f>IF(VLOOKUP(CONCATENATE(H343,F343,GA$2),GeoHis!$A:$H,7,FALSE)=CO343,1,0)</f>
        <v>#N/A</v>
      </c>
      <c r="GB343" s="138" t="e">
        <f>IF(VLOOKUP(CONCATENATE(H343,F343,GB$2),GeoHis!$A:$H,7,FALSE)=CP343,1,0)</f>
        <v>#N/A</v>
      </c>
      <c r="GC343" s="138" t="e">
        <f>IF(VLOOKUP(CONCATENATE(H343,F343,GC$2),GeoHis!$A:$H,7,FALSE)=CQ343,1,0)</f>
        <v>#N/A</v>
      </c>
      <c r="GD343" s="138" t="e">
        <f>IF(VLOOKUP(CONCATENATE(H343,F343,GD$2),GeoHis!$A:$H,7,FALSE)=CR343,1,0)</f>
        <v>#N/A</v>
      </c>
      <c r="GE343" s="135" t="str">
        <f t="shared" si="47"/>
        <v/>
      </c>
    </row>
    <row r="344" spans="1:187" x14ac:dyDescent="0.25">
      <c r="A344" s="127" t="str">
        <f>IF(C344="","",'Datos Generales'!$A$25)</f>
        <v/>
      </c>
      <c r="D344" s="126" t="str">
        <f t="shared" si="40"/>
        <v/>
      </c>
      <c r="E344" s="126">
        <f t="shared" si="41"/>
        <v>0</v>
      </c>
      <c r="F344" s="126" t="str">
        <f t="shared" si="42"/>
        <v/>
      </c>
      <c r="G344" s="126" t="str">
        <f>IF(C344="","",'Datos Generales'!$D$19)</f>
        <v/>
      </c>
      <c r="H344" s="21" t="str">
        <f>IF(C344="","",'Datos Generales'!$A$19)</f>
        <v/>
      </c>
      <c r="I344" s="126" t="str">
        <f>IF(C344="","",'Datos Generales'!$A$7)</f>
        <v/>
      </c>
      <c r="J344" s="21" t="str">
        <f>IF(C344="","",'Datos Generales'!$A$13)</f>
        <v/>
      </c>
      <c r="K344" s="21" t="str">
        <f>IF(C344="","",'Datos Generales'!$A$10)</f>
        <v/>
      </c>
      <c r="CS344" s="142" t="str">
        <f t="shared" si="43"/>
        <v/>
      </c>
      <c r="CT344" s="142" t="str">
        <f t="shared" si="44"/>
        <v/>
      </c>
      <c r="CU344" s="142" t="str">
        <f t="shared" si="45"/>
        <v/>
      </c>
      <c r="CV344" s="142" t="str">
        <f t="shared" si="46"/>
        <v/>
      </c>
      <c r="CW344" s="142" t="str">
        <f>IF(C344="","",IF('Datos Generales'!$A$19=1,AVERAGE(FP344:GD344),AVERAGE(Captura!FP344:FY344)))</f>
        <v/>
      </c>
      <c r="CX344" s="138" t="e">
        <f>IF(VLOOKUP(CONCATENATE($H$4,$F$4,CX$2),Español!$A:$H,7,FALSE)=L344,1,0)</f>
        <v>#N/A</v>
      </c>
      <c r="CY344" s="138" t="e">
        <f>IF(VLOOKUP(CONCATENATE(H344,F344,CY$2),Español!$A:$H,7,FALSE)=M344,1,0)</f>
        <v>#N/A</v>
      </c>
      <c r="CZ344" s="138" t="e">
        <f>IF(VLOOKUP(CONCATENATE(H344,F344,CZ$2),Español!$A:$H,7,FALSE)=N344,1,0)</f>
        <v>#N/A</v>
      </c>
      <c r="DA344" s="138" t="e">
        <f>IF(VLOOKUP(CONCATENATE(H344,F344,DA$2),Español!$A:$H,7,FALSE)=O344,1,0)</f>
        <v>#N/A</v>
      </c>
      <c r="DB344" s="138" t="e">
        <f>IF(VLOOKUP(CONCATENATE(H344,F344,DB$2),Español!$A:$H,7,FALSE)=P344,1,0)</f>
        <v>#N/A</v>
      </c>
      <c r="DC344" s="138" t="e">
        <f>IF(VLOOKUP(CONCATENATE(H344,F344,DC$2),Español!$A:$H,7,FALSE)=Q344,1,0)</f>
        <v>#N/A</v>
      </c>
      <c r="DD344" s="138" t="e">
        <f>IF(VLOOKUP(CONCATENATE(H344,F344,DD$2),Español!$A:$H,7,FALSE)=R344,1,0)</f>
        <v>#N/A</v>
      </c>
      <c r="DE344" s="138" t="e">
        <f>IF(VLOOKUP(CONCATENATE(H344,F344,DE$2),Español!$A:$H,7,FALSE)=S344,1,0)</f>
        <v>#N/A</v>
      </c>
      <c r="DF344" s="138" t="e">
        <f>IF(VLOOKUP(CONCATENATE(H344,F344,DF$2),Español!$A:$H,7,FALSE)=T344,1,0)</f>
        <v>#N/A</v>
      </c>
      <c r="DG344" s="138" t="e">
        <f>IF(VLOOKUP(CONCATENATE(H344,F344,DG$2),Español!$A:$H,7,FALSE)=U344,1,0)</f>
        <v>#N/A</v>
      </c>
      <c r="DH344" s="138" t="e">
        <f>IF(VLOOKUP(CONCATENATE(H344,F344,DH$2),Español!$A:$H,7,FALSE)=V344,1,0)</f>
        <v>#N/A</v>
      </c>
      <c r="DI344" s="138" t="e">
        <f>IF(VLOOKUP(CONCATENATE(H344,F344,DI$2),Español!$A:$H,7,FALSE)=W344,1,0)</f>
        <v>#N/A</v>
      </c>
      <c r="DJ344" s="138" t="e">
        <f>IF(VLOOKUP(CONCATENATE(H344,F344,DJ$2),Español!$A:$H,7,FALSE)=X344,1,0)</f>
        <v>#N/A</v>
      </c>
      <c r="DK344" s="138" t="e">
        <f>IF(VLOOKUP(CONCATENATE(H344,F344,DK$2),Español!$A:$H,7,FALSE)=Y344,1,0)</f>
        <v>#N/A</v>
      </c>
      <c r="DL344" s="138" t="e">
        <f>IF(VLOOKUP(CONCATENATE(H344,F344,DL$2),Español!$A:$H,7,FALSE)=Z344,1,0)</f>
        <v>#N/A</v>
      </c>
      <c r="DM344" s="138" t="e">
        <f>IF(VLOOKUP(CONCATENATE(H344,F344,DM$2),Español!$A:$H,7,FALSE)=AA344,1,0)</f>
        <v>#N/A</v>
      </c>
      <c r="DN344" s="138" t="e">
        <f>IF(VLOOKUP(CONCATENATE(H344,F344,DN$2),Español!$A:$H,7,FALSE)=AB344,1,0)</f>
        <v>#N/A</v>
      </c>
      <c r="DO344" s="138" t="e">
        <f>IF(VLOOKUP(CONCATENATE(H344,F344,DO$2),Español!$A:$H,7,FALSE)=AC344,1,0)</f>
        <v>#N/A</v>
      </c>
      <c r="DP344" s="138" t="e">
        <f>IF(VLOOKUP(CONCATENATE(H344,F344,DP$2),Español!$A:$H,7,FALSE)=AD344,1,0)</f>
        <v>#N/A</v>
      </c>
      <c r="DQ344" s="138" t="e">
        <f>IF(VLOOKUP(CONCATENATE(H344,F344,DQ$2),Español!$A:$H,7,FALSE)=AE344,1,0)</f>
        <v>#N/A</v>
      </c>
      <c r="DR344" s="138" t="e">
        <f>IF(VLOOKUP(CONCATENATE(H344,F344,DR$2),Inglés!$A:$H,7,FALSE)=AF344,1,0)</f>
        <v>#N/A</v>
      </c>
      <c r="DS344" s="138" t="e">
        <f>IF(VLOOKUP(CONCATENATE(H344,F344,DS$2),Inglés!$A:$H,7,FALSE)=AG344,1,0)</f>
        <v>#N/A</v>
      </c>
      <c r="DT344" s="138" t="e">
        <f>IF(VLOOKUP(CONCATENATE(H344,F344,DT$2),Inglés!$A:$H,7,FALSE)=AH344,1,0)</f>
        <v>#N/A</v>
      </c>
      <c r="DU344" s="138" t="e">
        <f>IF(VLOOKUP(CONCATENATE(H344,F344,DU$2),Inglés!$A:$H,7,FALSE)=AI344,1,0)</f>
        <v>#N/A</v>
      </c>
      <c r="DV344" s="138" t="e">
        <f>IF(VLOOKUP(CONCATENATE(H344,F344,DV$2),Inglés!$A:$H,7,FALSE)=AJ344,1,0)</f>
        <v>#N/A</v>
      </c>
      <c r="DW344" s="138" t="e">
        <f>IF(VLOOKUP(CONCATENATE(H344,F344,DW$2),Inglés!$A:$H,7,FALSE)=AK344,1,0)</f>
        <v>#N/A</v>
      </c>
      <c r="DX344" s="138" t="e">
        <f>IF(VLOOKUP(CONCATENATE(H344,F344,DX$2),Inglés!$A:$H,7,FALSE)=AL344,1,0)</f>
        <v>#N/A</v>
      </c>
      <c r="DY344" s="138" t="e">
        <f>IF(VLOOKUP(CONCATENATE(H344,F344,DY$2),Inglés!$A:$H,7,FALSE)=AM344,1,0)</f>
        <v>#N/A</v>
      </c>
      <c r="DZ344" s="138" t="e">
        <f>IF(VLOOKUP(CONCATENATE(H344,F344,DZ$2),Inglés!$A:$H,7,FALSE)=AN344,1,0)</f>
        <v>#N/A</v>
      </c>
      <c r="EA344" s="138" t="e">
        <f>IF(VLOOKUP(CONCATENATE(H344,F344,EA$2),Inglés!$A:$H,7,FALSE)=AO344,1,0)</f>
        <v>#N/A</v>
      </c>
      <c r="EB344" s="138" t="e">
        <f>IF(VLOOKUP(CONCATENATE(H344,F344,EB$2),Matemáticas!$A:$H,7,FALSE)=AP344,1,0)</f>
        <v>#N/A</v>
      </c>
      <c r="EC344" s="138" t="e">
        <f>IF(VLOOKUP(CONCATENATE(H344,F344,EC$2),Matemáticas!$A:$H,7,FALSE)=AQ344,1,0)</f>
        <v>#N/A</v>
      </c>
      <c r="ED344" s="138" t="e">
        <f>IF(VLOOKUP(CONCATENATE(H344,F344,ED$2),Matemáticas!$A:$H,7,FALSE)=AR344,1,0)</f>
        <v>#N/A</v>
      </c>
      <c r="EE344" s="138" t="e">
        <f>IF(VLOOKUP(CONCATENATE(H344,F344,EE$2),Matemáticas!$A:$H,7,FALSE)=AS344,1,0)</f>
        <v>#N/A</v>
      </c>
      <c r="EF344" s="138" t="e">
        <f>IF(VLOOKUP(CONCATENATE(H344,F344,EF$2),Matemáticas!$A:$H,7,FALSE)=AT344,1,0)</f>
        <v>#N/A</v>
      </c>
      <c r="EG344" s="138" t="e">
        <f>IF(VLOOKUP(CONCATENATE(H344,F344,EG$2),Matemáticas!$A:$H,7,FALSE)=AU344,1,0)</f>
        <v>#N/A</v>
      </c>
      <c r="EH344" s="138" t="e">
        <f>IF(VLOOKUP(CONCATENATE(H344,F344,EH$2),Matemáticas!$A:$H,7,FALSE)=AV344,1,0)</f>
        <v>#N/A</v>
      </c>
      <c r="EI344" s="138" t="e">
        <f>IF(VLOOKUP(CONCATENATE(H344,F344,EI$2),Matemáticas!$A:$H,7,FALSE)=AW344,1,0)</f>
        <v>#N/A</v>
      </c>
      <c r="EJ344" s="138" t="e">
        <f>IF(VLOOKUP(CONCATENATE(H344,F344,EJ$2),Matemáticas!$A:$H,7,FALSE)=AX344,1,0)</f>
        <v>#N/A</v>
      </c>
      <c r="EK344" s="138" t="e">
        <f>IF(VLOOKUP(CONCATENATE(H344,F344,EK$2),Matemáticas!$A:$H,7,FALSE)=AY344,1,0)</f>
        <v>#N/A</v>
      </c>
      <c r="EL344" s="138" t="e">
        <f>IF(VLOOKUP(CONCATENATE(H344,F344,EL$2),Matemáticas!$A:$H,7,FALSE)=AZ344,1,0)</f>
        <v>#N/A</v>
      </c>
      <c r="EM344" s="138" t="e">
        <f>IF(VLOOKUP(CONCATENATE(H344,F344,EM$2),Matemáticas!$A:$H,7,FALSE)=BA344,1,0)</f>
        <v>#N/A</v>
      </c>
      <c r="EN344" s="138" t="e">
        <f>IF(VLOOKUP(CONCATENATE(H344,F344,EN$2),Matemáticas!$A:$H,7,FALSE)=BB344,1,0)</f>
        <v>#N/A</v>
      </c>
      <c r="EO344" s="138" t="e">
        <f>IF(VLOOKUP(CONCATENATE(H344,F344,EO$2),Matemáticas!$A:$H,7,FALSE)=BC344,1,0)</f>
        <v>#N/A</v>
      </c>
      <c r="EP344" s="138" t="e">
        <f>IF(VLOOKUP(CONCATENATE(H344,F344,EP$2),Matemáticas!$A:$H,7,FALSE)=BD344,1,0)</f>
        <v>#N/A</v>
      </c>
      <c r="EQ344" s="138" t="e">
        <f>IF(VLOOKUP(CONCATENATE(H344,F344,EQ$2),Matemáticas!$A:$H,7,FALSE)=BE344,1,0)</f>
        <v>#N/A</v>
      </c>
      <c r="ER344" s="138" t="e">
        <f>IF(VLOOKUP(CONCATENATE(H344,F344,ER$2),Matemáticas!$A:$H,7,FALSE)=BF344,1,0)</f>
        <v>#N/A</v>
      </c>
      <c r="ES344" s="138" t="e">
        <f>IF(VLOOKUP(CONCATENATE(H344,F344,ES$2),Matemáticas!$A:$H,7,FALSE)=BG344,1,0)</f>
        <v>#N/A</v>
      </c>
      <c r="ET344" s="138" t="e">
        <f>IF(VLOOKUP(CONCATENATE(H344,F344,ET$2),Matemáticas!$A:$H,7,FALSE)=BH344,1,0)</f>
        <v>#N/A</v>
      </c>
      <c r="EU344" s="138" t="e">
        <f>IF(VLOOKUP(CONCATENATE(H344,F344,EU$2),Matemáticas!$A:$H,7,FALSE)=BI344,1,0)</f>
        <v>#N/A</v>
      </c>
      <c r="EV344" s="138" t="e">
        <f>IF(VLOOKUP(CONCATENATE(H344,F344,EV$2),Ciencias!$A:$H,7,FALSE)=BJ344,1,0)</f>
        <v>#N/A</v>
      </c>
      <c r="EW344" s="138" t="e">
        <f>IF(VLOOKUP(CONCATENATE(H344,F344,EW$2),Ciencias!$A:$H,7,FALSE)=BK344,1,0)</f>
        <v>#N/A</v>
      </c>
      <c r="EX344" s="138" t="e">
        <f>IF(VLOOKUP(CONCATENATE(H344,F344,EX$2),Ciencias!$A:$H,7,FALSE)=BL344,1,0)</f>
        <v>#N/A</v>
      </c>
      <c r="EY344" s="138" t="e">
        <f>IF(VLOOKUP(CONCATENATE(H344,F344,EY$2),Ciencias!$A:$H,7,FALSE)=BM344,1,0)</f>
        <v>#N/A</v>
      </c>
      <c r="EZ344" s="138" t="e">
        <f>IF(VLOOKUP(CONCATENATE(H344,F344,EZ$2),Ciencias!$A:$H,7,FALSE)=BN344,1,0)</f>
        <v>#N/A</v>
      </c>
      <c r="FA344" s="138" t="e">
        <f>IF(VLOOKUP(CONCATENATE(H344,F344,FA$2),Ciencias!$A:$H,7,FALSE)=BO344,1,0)</f>
        <v>#N/A</v>
      </c>
      <c r="FB344" s="138" t="e">
        <f>IF(VLOOKUP(CONCATENATE(H344,F344,FB$2),Ciencias!$A:$H,7,FALSE)=BP344,1,0)</f>
        <v>#N/A</v>
      </c>
      <c r="FC344" s="138" t="e">
        <f>IF(VLOOKUP(CONCATENATE(H344,F344,FC$2),Ciencias!$A:$H,7,FALSE)=BQ344,1,0)</f>
        <v>#N/A</v>
      </c>
      <c r="FD344" s="138" t="e">
        <f>IF(VLOOKUP(CONCATENATE(H344,F344,FD$2),Ciencias!$A:$H,7,FALSE)=BR344,1,0)</f>
        <v>#N/A</v>
      </c>
      <c r="FE344" s="138" t="e">
        <f>IF(VLOOKUP(CONCATENATE(H344,F344,FE$2),Ciencias!$A:$H,7,FALSE)=BS344,1,0)</f>
        <v>#N/A</v>
      </c>
      <c r="FF344" s="138" t="e">
        <f>IF(VLOOKUP(CONCATENATE(H344,F344,FF$2),Ciencias!$A:$H,7,FALSE)=BT344,1,0)</f>
        <v>#N/A</v>
      </c>
      <c r="FG344" s="138" t="e">
        <f>IF(VLOOKUP(CONCATENATE(H344,F344,FG$2),Ciencias!$A:$H,7,FALSE)=BU344,1,0)</f>
        <v>#N/A</v>
      </c>
      <c r="FH344" s="138" t="e">
        <f>IF(VLOOKUP(CONCATENATE(H344,F344,FH$2),Ciencias!$A:$H,7,FALSE)=BV344,1,0)</f>
        <v>#N/A</v>
      </c>
      <c r="FI344" s="138" t="e">
        <f>IF(VLOOKUP(CONCATENATE(H344,F344,FI$2),Ciencias!$A:$H,7,FALSE)=BW344,1,0)</f>
        <v>#N/A</v>
      </c>
      <c r="FJ344" s="138" t="e">
        <f>IF(VLOOKUP(CONCATENATE(H344,F344,FJ$2),Ciencias!$A:$H,7,FALSE)=BX344,1,0)</f>
        <v>#N/A</v>
      </c>
      <c r="FK344" s="138" t="e">
        <f>IF(VLOOKUP(CONCATENATE(H344,F344,FK$2),Ciencias!$A:$H,7,FALSE)=BY344,1,0)</f>
        <v>#N/A</v>
      </c>
      <c r="FL344" s="138" t="e">
        <f>IF(VLOOKUP(CONCATENATE(H344,F344,FL$2),Ciencias!$A:$H,7,FALSE)=BZ344,1,0)</f>
        <v>#N/A</v>
      </c>
      <c r="FM344" s="138" t="e">
        <f>IF(VLOOKUP(CONCATENATE(H344,F344,FM$2),Ciencias!$A:$H,7,FALSE)=CA344,1,0)</f>
        <v>#N/A</v>
      </c>
      <c r="FN344" s="138" t="e">
        <f>IF(VLOOKUP(CONCATENATE(H344,F344,FN$2),Ciencias!$A:$H,7,FALSE)=CB344,1,0)</f>
        <v>#N/A</v>
      </c>
      <c r="FO344" s="138" t="e">
        <f>IF(VLOOKUP(CONCATENATE(H344,F344,FO$2),Ciencias!$A:$H,7,FALSE)=CC344,1,0)</f>
        <v>#N/A</v>
      </c>
      <c r="FP344" s="138" t="e">
        <f>IF(VLOOKUP(CONCATENATE(H344,F344,FP$2),GeoHis!$A:$H,7,FALSE)=CD344,1,0)</f>
        <v>#N/A</v>
      </c>
      <c r="FQ344" s="138" t="e">
        <f>IF(VLOOKUP(CONCATENATE(H344,F344,FQ$2),GeoHis!$A:$H,7,FALSE)=CE344,1,0)</f>
        <v>#N/A</v>
      </c>
      <c r="FR344" s="138" t="e">
        <f>IF(VLOOKUP(CONCATENATE(H344,F344,FR$2),GeoHis!$A:$H,7,FALSE)=CF344,1,0)</f>
        <v>#N/A</v>
      </c>
      <c r="FS344" s="138" t="e">
        <f>IF(VLOOKUP(CONCATENATE(H344,F344,FS$2),GeoHis!$A:$H,7,FALSE)=CG344,1,0)</f>
        <v>#N/A</v>
      </c>
      <c r="FT344" s="138" t="e">
        <f>IF(VLOOKUP(CONCATENATE(H344,F344,FT$2),GeoHis!$A:$H,7,FALSE)=CH344,1,0)</f>
        <v>#N/A</v>
      </c>
      <c r="FU344" s="138" t="e">
        <f>IF(VLOOKUP(CONCATENATE(H344,F344,FU$2),GeoHis!$A:$H,7,FALSE)=CI344,1,0)</f>
        <v>#N/A</v>
      </c>
      <c r="FV344" s="138" t="e">
        <f>IF(VLOOKUP(CONCATENATE(H344,F344,FV$2),GeoHis!$A:$H,7,FALSE)=CJ344,1,0)</f>
        <v>#N/A</v>
      </c>
      <c r="FW344" s="138" t="e">
        <f>IF(VLOOKUP(CONCATENATE(H344,F344,FW$2),GeoHis!$A:$H,7,FALSE)=CK344,1,0)</f>
        <v>#N/A</v>
      </c>
      <c r="FX344" s="138" t="e">
        <f>IF(VLOOKUP(CONCATENATE(H344,F344,FX$2),GeoHis!$A:$H,7,FALSE)=CL344,1,0)</f>
        <v>#N/A</v>
      </c>
      <c r="FY344" s="138" t="e">
        <f>IF(VLOOKUP(CONCATENATE(H344,F344,FY$2),GeoHis!$A:$H,7,FALSE)=CM344,1,0)</f>
        <v>#N/A</v>
      </c>
      <c r="FZ344" s="138" t="e">
        <f>IF(VLOOKUP(CONCATENATE(H344,F344,FZ$2),GeoHis!$A:$H,7,FALSE)=CN344,1,0)</f>
        <v>#N/A</v>
      </c>
      <c r="GA344" s="138" t="e">
        <f>IF(VLOOKUP(CONCATENATE(H344,F344,GA$2),GeoHis!$A:$H,7,FALSE)=CO344,1,0)</f>
        <v>#N/A</v>
      </c>
      <c r="GB344" s="138" t="e">
        <f>IF(VLOOKUP(CONCATENATE(H344,F344,GB$2),GeoHis!$A:$H,7,FALSE)=CP344,1,0)</f>
        <v>#N/A</v>
      </c>
      <c r="GC344" s="138" t="e">
        <f>IF(VLOOKUP(CONCATENATE(H344,F344,GC$2),GeoHis!$A:$H,7,FALSE)=CQ344,1,0)</f>
        <v>#N/A</v>
      </c>
      <c r="GD344" s="138" t="e">
        <f>IF(VLOOKUP(CONCATENATE(H344,F344,GD$2),GeoHis!$A:$H,7,FALSE)=CR344,1,0)</f>
        <v>#N/A</v>
      </c>
      <c r="GE344" s="135" t="str">
        <f t="shared" si="47"/>
        <v/>
      </c>
    </row>
    <row r="345" spans="1:187" x14ac:dyDescent="0.25">
      <c r="A345" s="127" t="str">
        <f>IF(C345="","",'Datos Generales'!$A$25)</f>
        <v/>
      </c>
      <c r="D345" s="126" t="str">
        <f t="shared" si="40"/>
        <v/>
      </c>
      <c r="E345" s="126">
        <f t="shared" si="41"/>
        <v>0</v>
      </c>
      <c r="F345" s="126" t="str">
        <f t="shared" si="42"/>
        <v/>
      </c>
      <c r="G345" s="126" t="str">
        <f>IF(C345="","",'Datos Generales'!$D$19)</f>
        <v/>
      </c>
      <c r="H345" s="21" t="str">
        <f>IF(C345="","",'Datos Generales'!$A$19)</f>
        <v/>
      </c>
      <c r="I345" s="126" t="str">
        <f>IF(C345="","",'Datos Generales'!$A$7)</f>
        <v/>
      </c>
      <c r="J345" s="21" t="str">
        <f>IF(C345="","",'Datos Generales'!$A$13)</f>
        <v/>
      </c>
      <c r="K345" s="21" t="str">
        <f>IF(C345="","",'Datos Generales'!$A$10)</f>
        <v/>
      </c>
      <c r="CS345" s="142" t="str">
        <f t="shared" si="43"/>
        <v/>
      </c>
      <c r="CT345" s="142" t="str">
        <f t="shared" si="44"/>
        <v/>
      </c>
      <c r="CU345" s="142" t="str">
        <f t="shared" si="45"/>
        <v/>
      </c>
      <c r="CV345" s="142" t="str">
        <f t="shared" si="46"/>
        <v/>
      </c>
      <c r="CW345" s="142" t="str">
        <f>IF(C345="","",IF('Datos Generales'!$A$19=1,AVERAGE(FP345:GD345),AVERAGE(Captura!FP345:FY345)))</f>
        <v/>
      </c>
      <c r="CX345" s="138" t="e">
        <f>IF(VLOOKUP(CONCATENATE($H$4,$F$4,CX$2),Español!$A:$H,7,FALSE)=L345,1,0)</f>
        <v>#N/A</v>
      </c>
      <c r="CY345" s="138" t="e">
        <f>IF(VLOOKUP(CONCATENATE(H345,F345,CY$2),Español!$A:$H,7,FALSE)=M345,1,0)</f>
        <v>#N/A</v>
      </c>
      <c r="CZ345" s="138" t="e">
        <f>IF(VLOOKUP(CONCATENATE(H345,F345,CZ$2),Español!$A:$H,7,FALSE)=N345,1,0)</f>
        <v>#N/A</v>
      </c>
      <c r="DA345" s="138" t="e">
        <f>IF(VLOOKUP(CONCATENATE(H345,F345,DA$2),Español!$A:$H,7,FALSE)=O345,1,0)</f>
        <v>#N/A</v>
      </c>
      <c r="DB345" s="138" t="e">
        <f>IF(VLOOKUP(CONCATENATE(H345,F345,DB$2),Español!$A:$H,7,FALSE)=P345,1,0)</f>
        <v>#N/A</v>
      </c>
      <c r="DC345" s="138" t="e">
        <f>IF(VLOOKUP(CONCATENATE(H345,F345,DC$2),Español!$A:$H,7,FALSE)=Q345,1,0)</f>
        <v>#N/A</v>
      </c>
      <c r="DD345" s="138" t="e">
        <f>IF(VLOOKUP(CONCATENATE(H345,F345,DD$2),Español!$A:$H,7,FALSE)=R345,1,0)</f>
        <v>#N/A</v>
      </c>
      <c r="DE345" s="138" t="e">
        <f>IF(VLOOKUP(CONCATENATE(H345,F345,DE$2),Español!$A:$H,7,FALSE)=S345,1,0)</f>
        <v>#N/A</v>
      </c>
      <c r="DF345" s="138" t="e">
        <f>IF(VLOOKUP(CONCATENATE(H345,F345,DF$2),Español!$A:$H,7,FALSE)=T345,1,0)</f>
        <v>#N/A</v>
      </c>
      <c r="DG345" s="138" t="e">
        <f>IF(VLOOKUP(CONCATENATE(H345,F345,DG$2),Español!$A:$H,7,FALSE)=U345,1,0)</f>
        <v>#N/A</v>
      </c>
      <c r="DH345" s="138" t="e">
        <f>IF(VLOOKUP(CONCATENATE(H345,F345,DH$2),Español!$A:$H,7,FALSE)=V345,1,0)</f>
        <v>#N/A</v>
      </c>
      <c r="DI345" s="138" t="e">
        <f>IF(VLOOKUP(CONCATENATE(H345,F345,DI$2),Español!$A:$H,7,FALSE)=W345,1,0)</f>
        <v>#N/A</v>
      </c>
      <c r="DJ345" s="138" t="e">
        <f>IF(VLOOKUP(CONCATENATE(H345,F345,DJ$2),Español!$A:$H,7,FALSE)=X345,1,0)</f>
        <v>#N/A</v>
      </c>
      <c r="DK345" s="138" t="e">
        <f>IF(VLOOKUP(CONCATENATE(H345,F345,DK$2),Español!$A:$H,7,FALSE)=Y345,1,0)</f>
        <v>#N/A</v>
      </c>
      <c r="DL345" s="138" t="e">
        <f>IF(VLOOKUP(CONCATENATE(H345,F345,DL$2),Español!$A:$H,7,FALSE)=Z345,1,0)</f>
        <v>#N/A</v>
      </c>
      <c r="DM345" s="138" t="e">
        <f>IF(VLOOKUP(CONCATENATE(H345,F345,DM$2),Español!$A:$H,7,FALSE)=AA345,1,0)</f>
        <v>#N/A</v>
      </c>
      <c r="DN345" s="138" t="e">
        <f>IF(VLOOKUP(CONCATENATE(H345,F345,DN$2),Español!$A:$H,7,FALSE)=AB345,1,0)</f>
        <v>#N/A</v>
      </c>
      <c r="DO345" s="138" t="e">
        <f>IF(VLOOKUP(CONCATENATE(H345,F345,DO$2),Español!$A:$H,7,FALSE)=AC345,1,0)</f>
        <v>#N/A</v>
      </c>
      <c r="DP345" s="138" t="e">
        <f>IF(VLOOKUP(CONCATENATE(H345,F345,DP$2),Español!$A:$H,7,FALSE)=AD345,1,0)</f>
        <v>#N/A</v>
      </c>
      <c r="DQ345" s="138" t="e">
        <f>IF(VLOOKUP(CONCATENATE(H345,F345,DQ$2),Español!$A:$H,7,FALSE)=AE345,1,0)</f>
        <v>#N/A</v>
      </c>
      <c r="DR345" s="138" t="e">
        <f>IF(VLOOKUP(CONCATENATE(H345,F345,DR$2),Inglés!$A:$H,7,FALSE)=AF345,1,0)</f>
        <v>#N/A</v>
      </c>
      <c r="DS345" s="138" t="e">
        <f>IF(VLOOKUP(CONCATENATE(H345,F345,DS$2),Inglés!$A:$H,7,FALSE)=AG345,1,0)</f>
        <v>#N/A</v>
      </c>
      <c r="DT345" s="138" t="e">
        <f>IF(VLOOKUP(CONCATENATE(H345,F345,DT$2),Inglés!$A:$H,7,FALSE)=AH345,1,0)</f>
        <v>#N/A</v>
      </c>
      <c r="DU345" s="138" t="e">
        <f>IF(VLOOKUP(CONCATENATE(H345,F345,DU$2),Inglés!$A:$H,7,FALSE)=AI345,1,0)</f>
        <v>#N/A</v>
      </c>
      <c r="DV345" s="138" t="e">
        <f>IF(VLOOKUP(CONCATENATE(H345,F345,DV$2),Inglés!$A:$H,7,FALSE)=AJ345,1,0)</f>
        <v>#N/A</v>
      </c>
      <c r="DW345" s="138" t="e">
        <f>IF(VLOOKUP(CONCATENATE(H345,F345,DW$2),Inglés!$A:$H,7,FALSE)=AK345,1,0)</f>
        <v>#N/A</v>
      </c>
      <c r="DX345" s="138" t="e">
        <f>IF(VLOOKUP(CONCATENATE(H345,F345,DX$2),Inglés!$A:$H,7,FALSE)=AL345,1,0)</f>
        <v>#N/A</v>
      </c>
      <c r="DY345" s="138" t="e">
        <f>IF(VLOOKUP(CONCATENATE(H345,F345,DY$2),Inglés!$A:$H,7,FALSE)=AM345,1,0)</f>
        <v>#N/A</v>
      </c>
      <c r="DZ345" s="138" t="e">
        <f>IF(VLOOKUP(CONCATENATE(H345,F345,DZ$2),Inglés!$A:$H,7,FALSE)=AN345,1,0)</f>
        <v>#N/A</v>
      </c>
      <c r="EA345" s="138" t="e">
        <f>IF(VLOOKUP(CONCATENATE(H345,F345,EA$2),Inglés!$A:$H,7,FALSE)=AO345,1,0)</f>
        <v>#N/A</v>
      </c>
      <c r="EB345" s="138" t="e">
        <f>IF(VLOOKUP(CONCATENATE(H345,F345,EB$2),Matemáticas!$A:$H,7,FALSE)=AP345,1,0)</f>
        <v>#N/A</v>
      </c>
      <c r="EC345" s="138" t="e">
        <f>IF(VLOOKUP(CONCATENATE(H345,F345,EC$2),Matemáticas!$A:$H,7,FALSE)=AQ345,1,0)</f>
        <v>#N/A</v>
      </c>
      <c r="ED345" s="138" t="e">
        <f>IF(VLOOKUP(CONCATENATE(H345,F345,ED$2),Matemáticas!$A:$H,7,FALSE)=AR345,1,0)</f>
        <v>#N/A</v>
      </c>
      <c r="EE345" s="138" t="e">
        <f>IF(VLOOKUP(CONCATENATE(H345,F345,EE$2),Matemáticas!$A:$H,7,FALSE)=AS345,1,0)</f>
        <v>#N/A</v>
      </c>
      <c r="EF345" s="138" t="e">
        <f>IF(VLOOKUP(CONCATENATE(H345,F345,EF$2),Matemáticas!$A:$H,7,FALSE)=AT345,1,0)</f>
        <v>#N/A</v>
      </c>
      <c r="EG345" s="138" t="e">
        <f>IF(VLOOKUP(CONCATENATE(H345,F345,EG$2),Matemáticas!$A:$H,7,FALSE)=AU345,1,0)</f>
        <v>#N/A</v>
      </c>
      <c r="EH345" s="138" t="e">
        <f>IF(VLOOKUP(CONCATENATE(H345,F345,EH$2),Matemáticas!$A:$H,7,FALSE)=AV345,1,0)</f>
        <v>#N/A</v>
      </c>
      <c r="EI345" s="138" t="e">
        <f>IF(VLOOKUP(CONCATENATE(H345,F345,EI$2),Matemáticas!$A:$H,7,FALSE)=AW345,1,0)</f>
        <v>#N/A</v>
      </c>
      <c r="EJ345" s="138" t="e">
        <f>IF(VLOOKUP(CONCATENATE(H345,F345,EJ$2),Matemáticas!$A:$H,7,FALSE)=AX345,1,0)</f>
        <v>#N/A</v>
      </c>
      <c r="EK345" s="138" t="e">
        <f>IF(VLOOKUP(CONCATENATE(H345,F345,EK$2),Matemáticas!$A:$H,7,FALSE)=AY345,1,0)</f>
        <v>#N/A</v>
      </c>
      <c r="EL345" s="138" t="e">
        <f>IF(VLOOKUP(CONCATENATE(H345,F345,EL$2),Matemáticas!$A:$H,7,FALSE)=AZ345,1,0)</f>
        <v>#N/A</v>
      </c>
      <c r="EM345" s="138" t="e">
        <f>IF(VLOOKUP(CONCATENATE(H345,F345,EM$2),Matemáticas!$A:$H,7,FALSE)=BA345,1,0)</f>
        <v>#N/A</v>
      </c>
      <c r="EN345" s="138" t="e">
        <f>IF(VLOOKUP(CONCATENATE(H345,F345,EN$2),Matemáticas!$A:$H,7,FALSE)=BB345,1,0)</f>
        <v>#N/A</v>
      </c>
      <c r="EO345" s="138" t="e">
        <f>IF(VLOOKUP(CONCATENATE(H345,F345,EO$2),Matemáticas!$A:$H,7,FALSE)=BC345,1,0)</f>
        <v>#N/A</v>
      </c>
      <c r="EP345" s="138" t="e">
        <f>IF(VLOOKUP(CONCATENATE(H345,F345,EP$2),Matemáticas!$A:$H,7,FALSE)=BD345,1,0)</f>
        <v>#N/A</v>
      </c>
      <c r="EQ345" s="138" t="e">
        <f>IF(VLOOKUP(CONCATENATE(H345,F345,EQ$2),Matemáticas!$A:$H,7,FALSE)=BE345,1,0)</f>
        <v>#N/A</v>
      </c>
      <c r="ER345" s="138" t="e">
        <f>IF(VLOOKUP(CONCATENATE(H345,F345,ER$2),Matemáticas!$A:$H,7,FALSE)=BF345,1,0)</f>
        <v>#N/A</v>
      </c>
      <c r="ES345" s="138" t="e">
        <f>IF(VLOOKUP(CONCATENATE(H345,F345,ES$2),Matemáticas!$A:$H,7,FALSE)=BG345,1,0)</f>
        <v>#N/A</v>
      </c>
      <c r="ET345" s="138" t="e">
        <f>IF(VLOOKUP(CONCATENATE(H345,F345,ET$2),Matemáticas!$A:$H,7,FALSE)=BH345,1,0)</f>
        <v>#N/A</v>
      </c>
      <c r="EU345" s="138" t="e">
        <f>IF(VLOOKUP(CONCATENATE(H345,F345,EU$2),Matemáticas!$A:$H,7,FALSE)=BI345,1,0)</f>
        <v>#N/A</v>
      </c>
      <c r="EV345" s="138" t="e">
        <f>IF(VLOOKUP(CONCATENATE(H345,F345,EV$2),Ciencias!$A:$H,7,FALSE)=BJ345,1,0)</f>
        <v>#N/A</v>
      </c>
      <c r="EW345" s="138" t="e">
        <f>IF(VLOOKUP(CONCATENATE(H345,F345,EW$2),Ciencias!$A:$H,7,FALSE)=BK345,1,0)</f>
        <v>#N/A</v>
      </c>
      <c r="EX345" s="138" t="e">
        <f>IF(VLOOKUP(CONCATENATE(H345,F345,EX$2),Ciencias!$A:$H,7,FALSE)=BL345,1,0)</f>
        <v>#N/A</v>
      </c>
      <c r="EY345" s="138" t="e">
        <f>IF(VLOOKUP(CONCATENATE(H345,F345,EY$2),Ciencias!$A:$H,7,FALSE)=BM345,1,0)</f>
        <v>#N/A</v>
      </c>
      <c r="EZ345" s="138" t="e">
        <f>IF(VLOOKUP(CONCATENATE(H345,F345,EZ$2),Ciencias!$A:$H,7,FALSE)=BN345,1,0)</f>
        <v>#N/A</v>
      </c>
      <c r="FA345" s="138" t="e">
        <f>IF(VLOOKUP(CONCATENATE(H345,F345,FA$2),Ciencias!$A:$H,7,FALSE)=BO345,1,0)</f>
        <v>#N/A</v>
      </c>
      <c r="FB345" s="138" t="e">
        <f>IF(VLOOKUP(CONCATENATE(H345,F345,FB$2),Ciencias!$A:$H,7,FALSE)=BP345,1,0)</f>
        <v>#N/A</v>
      </c>
      <c r="FC345" s="138" t="e">
        <f>IF(VLOOKUP(CONCATENATE(H345,F345,FC$2),Ciencias!$A:$H,7,FALSE)=BQ345,1,0)</f>
        <v>#N/A</v>
      </c>
      <c r="FD345" s="138" t="e">
        <f>IF(VLOOKUP(CONCATENATE(H345,F345,FD$2),Ciencias!$A:$H,7,FALSE)=BR345,1,0)</f>
        <v>#N/A</v>
      </c>
      <c r="FE345" s="138" t="e">
        <f>IF(VLOOKUP(CONCATENATE(H345,F345,FE$2),Ciencias!$A:$H,7,FALSE)=BS345,1,0)</f>
        <v>#N/A</v>
      </c>
      <c r="FF345" s="138" t="e">
        <f>IF(VLOOKUP(CONCATENATE(H345,F345,FF$2),Ciencias!$A:$H,7,FALSE)=BT345,1,0)</f>
        <v>#N/A</v>
      </c>
      <c r="FG345" s="138" t="e">
        <f>IF(VLOOKUP(CONCATENATE(H345,F345,FG$2),Ciencias!$A:$H,7,FALSE)=BU345,1,0)</f>
        <v>#N/A</v>
      </c>
      <c r="FH345" s="138" t="e">
        <f>IF(VLOOKUP(CONCATENATE(H345,F345,FH$2),Ciencias!$A:$H,7,FALSE)=BV345,1,0)</f>
        <v>#N/A</v>
      </c>
      <c r="FI345" s="138" t="e">
        <f>IF(VLOOKUP(CONCATENATE(H345,F345,FI$2),Ciencias!$A:$H,7,FALSE)=BW345,1,0)</f>
        <v>#N/A</v>
      </c>
      <c r="FJ345" s="138" t="e">
        <f>IF(VLOOKUP(CONCATENATE(H345,F345,FJ$2),Ciencias!$A:$H,7,FALSE)=BX345,1,0)</f>
        <v>#N/A</v>
      </c>
      <c r="FK345" s="138" t="e">
        <f>IF(VLOOKUP(CONCATENATE(H345,F345,FK$2),Ciencias!$A:$H,7,FALSE)=BY345,1,0)</f>
        <v>#N/A</v>
      </c>
      <c r="FL345" s="138" t="e">
        <f>IF(VLOOKUP(CONCATENATE(H345,F345,FL$2),Ciencias!$A:$H,7,FALSE)=BZ345,1,0)</f>
        <v>#N/A</v>
      </c>
      <c r="FM345" s="138" t="e">
        <f>IF(VLOOKUP(CONCATENATE(H345,F345,FM$2),Ciencias!$A:$H,7,FALSE)=CA345,1,0)</f>
        <v>#N/A</v>
      </c>
      <c r="FN345" s="138" t="e">
        <f>IF(VLOOKUP(CONCATENATE(H345,F345,FN$2),Ciencias!$A:$H,7,FALSE)=CB345,1,0)</f>
        <v>#N/A</v>
      </c>
      <c r="FO345" s="138" t="e">
        <f>IF(VLOOKUP(CONCATENATE(H345,F345,FO$2),Ciencias!$A:$H,7,FALSE)=CC345,1,0)</f>
        <v>#N/A</v>
      </c>
      <c r="FP345" s="138" t="e">
        <f>IF(VLOOKUP(CONCATENATE(H345,F345,FP$2),GeoHis!$A:$H,7,FALSE)=CD345,1,0)</f>
        <v>#N/A</v>
      </c>
      <c r="FQ345" s="138" t="e">
        <f>IF(VLOOKUP(CONCATENATE(H345,F345,FQ$2),GeoHis!$A:$H,7,FALSE)=CE345,1,0)</f>
        <v>#N/A</v>
      </c>
      <c r="FR345" s="138" t="e">
        <f>IF(VLOOKUP(CONCATENATE(H345,F345,FR$2),GeoHis!$A:$H,7,FALSE)=CF345,1,0)</f>
        <v>#N/A</v>
      </c>
      <c r="FS345" s="138" t="e">
        <f>IF(VLOOKUP(CONCATENATE(H345,F345,FS$2),GeoHis!$A:$H,7,FALSE)=CG345,1,0)</f>
        <v>#N/A</v>
      </c>
      <c r="FT345" s="138" t="e">
        <f>IF(VLOOKUP(CONCATENATE(H345,F345,FT$2),GeoHis!$A:$H,7,FALSE)=CH345,1,0)</f>
        <v>#N/A</v>
      </c>
      <c r="FU345" s="138" t="e">
        <f>IF(VLOOKUP(CONCATENATE(H345,F345,FU$2),GeoHis!$A:$H,7,FALSE)=CI345,1,0)</f>
        <v>#N/A</v>
      </c>
      <c r="FV345" s="138" t="e">
        <f>IF(VLOOKUP(CONCATENATE(H345,F345,FV$2),GeoHis!$A:$H,7,FALSE)=CJ345,1,0)</f>
        <v>#N/A</v>
      </c>
      <c r="FW345" s="138" t="e">
        <f>IF(VLOOKUP(CONCATENATE(H345,F345,FW$2),GeoHis!$A:$H,7,FALSE)=CK345,1,0)</f>
        <v>#N/A</v>
      </c>
      <c r="FX345" s="138" t="e">
        <f>IF(VLOOKUP(CONCATENATE(H345,F345,FX$2),GeoHis!$A:$H,7,FALSE)=CL345,1,0)</f>
        <v>#N/A</v>
      </c>
      <c r="FY345" s="138" t="e">
        <f>IF(VLOOKUP(CONCATENATE(H345,F345,FY$2),GeoHis!$A:$H,7,FALSE)=CM345,1,0)</f>
        <v>#N/A</v>
      </c>
      <c r="FZ345" s="138" t="e">
        <f>IF(VLOOKUP(CONCATENATE(H345,F345,FZ$2),GeoHis!$A:$H,7,FALSE)=CN345,1,0)</f>
        <v>#N/A</v>
      </c>
      <c r="GA345" s="138" t="e">
        <f>IF(VLOOKUP(CONCATENATE(H345,F345,GA$2),GeoHis!$A:$H,7,FALSE)=CO345,1,0)</f>
        <v>#N/A</v>
      </c>
      <c r="GB345" s="138" t="e">
        <f>IF(VLOOKUP(CONCATENATE(H345,F345,GB$2),GeoHis!$A:$H,7,FALSE)=CP345,1,0)</f>
        <v>#N/A</v>
      </c>
      <c r="GC345" s="138" t="e">
        <f>IF(VLOOKUP(CONCATENATE(H345,F345,GC$2),GeoHis!$A:$H,7,FALSE)=CQ345,1,0)</f>
        <v>#N/A</v>
      </c>
      <c r="GD345" s="138" t="e">
        <f>IF(VLOOKUP(CONCATENATE(H345,F345,GD$2),GeoHis!$A:$H,7,FALSE)=CR345,1,0)</f>
        <v>#N/A</v>
      </c>
      <c r="GE345" s="135" t="str">
        <f t="shared" si="47"/>
        <v/>
      </c>
    </row>
    <row r="346" spans="1:187" x14ac:dyDescent="0.25">
      <c r="A346" s="127" t="str">
        <f>IF(C346="","",'Datos Generales'!$A$25)</f>
        <v/>
      </c>
      <c r="D346" s="126" t="str">
        <f t="shared" si="40"/>
        <v/>
      </c>
      <c r="E346" s="126">
        <f t="shared" si="41"/>
        <v>0</v>
      </c>
      <c r="F346" s="126" t="str">
        <f t="shared" si="42"/>
        <v/>
      </c>
      <c r="G346" s="126" t="str">
        <f>IF(C346="","",'Datos Generales'!$D$19)</f>
        <v/>
      </c>
      <c r="H346" s="21" t="str">
        <f>IF(C346="","",'Datos Generales'!$A$19)</f>
        <v/>
      </c>
      <c r="I346" s="126" t="str">
        <f>IF(C346="","",'Datos Generales'!$A$7)</f>
        <v/>
      </c>
      <c r="J346" s="21" t="str">
        <f>IF(C346="","",'Datos Generales'!$A$13)</f>
        <v/>
      </c>
      <c r="K346" s="21" t="str">
        <f>IF(C346="","",'Datos Generales'!$A$10)</f>
        <v/>
      </c>
      <c r="CS346" s="142" t="str">
        <f t="shared" si="43"/>
        <v/>
      </c>
      <c r="CT346" s="142" t="str">
        <f t="shared" si="44"/>
        <v/>
      </c>
      <c r="CU346" s="142" t="str">
        <f t="shared" si="45"/>
        <v/>
      </c>
      <c r="CV346" s="142" t="str">
        <f t="shared" si="46"/>
        <v/>
      </c>
      <c r="CW346" s="142" t="str">
        <f>IF(C346="","",IF('Datos Generales'!$A$19=1,AVERAGE(FP346:GD346),AVERAGE(Captura!FP346:FY346)))</f>
        <v/>
      </c>
      <c r="CX346" s="138" t="e">
        <f>IF(VLOOKUP(CONCATENATE($H$4,$F$4,CX$2),Español!$A:$H,7,FALSE)=L346,1,0)</f>
        <v>#N/A</v>
      </c>
      <c r="CY346" s="138" t="e">
        <f>IF(VLOOKUP(CONCATENATE(H346,F346,CY$2),Español!$A:$H,7,FALSE)=M346,1,0)</f>
        <v>#N/A</v>
      </c>
      <c r="CZ346" s="138" t="e">
        <f>IF(VLOOKUP(CONCATENATE(H346,F346,CZ$2),Español!$A:$H,7,FALSE)=N346,1,0)</f>
        <v>#N/A</v>
      </c>
      <c r="DA346" s="138" t="e">
        <f>IF(VLOOKUP(CONCATENATE(H346,F346,DA$2),Español!$A:$H,7,FALSE)=O346,1,0)</f>
        <v>#N/A</v>
      </c>
      <c r="DB346" s="138" t="e">
        <f>IF(VLOOKUP(CONCATENATE(H346,F346,DB$2),Español!$A:$H,7,FALSE)=P346,1,0)</f>
        <v>#N/A</v>
      </c>
      <c r="DC346" s="138" t="e">
        <f>IF(VLOOKUP(CONCATENATE(H346,F346,DC$2),Español!$A:$H,7,FALSE)=Q346,1,0)</f>
        <v>#N/A</v>
      </c>
      <c r="DD346" s="138" t="e">
        <f>IF(VLOOKUP(CONCATENATE(H346,F346,DD$2),Español!$A:$H,7,FALSE)=R346,1,0)</f>
        <v>#N/A</v>
      </c>
      <c r="DE346" s="138" t="e">
        <f>IF(VLOOKUP(CONCATENATE(H346,F346,DE$2),Español!$A:$H,7,FALSE)=S346,1,0)</f>
        <v>#N/A</v>
      </c>
      <c r="DF346" s="138" t="e">
        <f>IF(VLOOKUP(CONCATENATE(H346,F346,DF$2),Español!$A:$H,7,FALSE)=T346,1,0)</f>
        <v>#N/A</v>
      </c>
      <c r="DG346" s="138" t="e">
        <f>IF(VLOOKUP(CONCATENATE(H346,F346,DG$2),Español!$A:$H,7,FALSE)=U346,1,0)</f>
        <v>#N/A</v>
      </c>
      <c r="DH346" s="138" t="e">
        <f>IF(VLOOKUP(CONCATENATE(H346,F346,DH$2),Español!$A:$H,7,FALSE)=V346,1,0)</f>
        <v>#N/A</v>
      </c>
      <c r="DI346" s="138" t="e">
        <f>IF(VLOOKUP(CONCATENATE(H346,F346,DI$2),Español!$A:$H,7,FALSE)=W346,1,0)</f>
        <v>#N/A</v>
      </c>
      <c r="DJ346" s="138" t="e">
        <f>IF(VLOOKUP(CONCATENATE(H346,F346,DJ$2),Español!$A:$H,7,FALSE)=X346,1,0)</f>
        <v>#N/A</v>
      </c>
      <c r="DK346" s="138" t="e">
        <f>IF(VLOOKUP(CONCATENATE(H346,F346,DK$2),Español!$A:$H,7,FALSE)=Y346,1,0)</f>
        <v>#N/A</v>
      </c>
      <c r="DL346" s="138" t="e">
        <f>IF(VLOOKUP(CONCATENATE(H346,F346,DL$2),Español!$A:$H,7,FALSE)=Z346,1,0)</f>
        <v>#N/A</v>
      </c>
      <c r="DM346" s="138" t="e">
        <f>IF(VLOOKUP(CONCATENATE(H346,F346,DM$2),Español!$A:$H,7,FALSE)=AA346,1,0)</f>
        <v>#N/A</v>
      </c>
      <c r="DN346" s="138" t="e">
        <f>IF(VLOOKUP(CONCATENATE(H346,F346,DN$2),Español!$A:$H,7,FALSE)=AB346,1,0)</f>
        <v>#N/A</v>
      </c>
      <c r="DO346" s="138" t="e">
        <f>IF(VLOOKUP(CONCATENATE(H346,F346,DO$2),Español!$A:$H,7,FALSE)=AC346,1,0)</f>
        <v>#N/A</v>
      </c>
      <c r="DP346" s="138" t="e">
        <f>IF(VLOOKUP(CONCATENATE(H346,F346,DP$2),Español!$A:$H,7,FALSE)=AD346,1,0)</f>
        <v>#N/A</v>
      </c>
      <c r="DQ346" s="138" t="e">
        <f>IF(VLOOKUP(CONCATENATE(H346,F346,DQ$2),Español!$A:$H,7,FALSE)=AE346,1,0)</f>
        <v>#N/A</v>
      </c>
      <c r="DR346" s="138" t="e">
        <f>IF(VLOOKUP(CONCATENATE(H346,F346,DR$2),Inglés!$A:$H,7,FALSE)=AF346,1,0)</f>
        <v>#N/A</v>
      </c>
      <c r="DS346" s="138" t="e">
        <f>IF(VLOOKUP(CONCATENATE(H346,F346,DS$2),Inglés!$A:$H,7,FALSE)=AG346,1,0)</f>
        <v>#N/A</v>
      </c>
      <c r="DT346" s="138" t="e">
        <f>IF(VLOOKUP(CONCATENATE(H346,F346,DT$2),Inglés!$A:$H,7,FALSE)=AH346,1,0)</f>
        <v>#N/A</v>
      </c>
      <c r="DU346" s="138" t="e">
        <f>IF(VLOOKUP(CONCATENATE(H346,F346,DU$2),Inglés!$A:$H,7,FALSE)=AI346,1,0)</f>
        <v>#N/A</v>
      </c>
      <c r="DV346" s="138" t="e">
        <f>IF(VLOOKUP(CONCATENATE(H346,F346,DV$2),Inglés!$A:$H,7,FALSE)=AJ346,1,0)</f>
        <v>#N/A</v>
      </c>
      <c r="DW346" s="138" t="e">
        <f>IF(VLOOKUP(CONCATENATE(H346,F346,DW$2),Inglés!$A:$H,7,FALSE)=AK346,1,0)</f>
        <v>#N/A</v>
      </c>
      <c r="DX346" s="138" t="e">
        <f>IF(VLOOKUP(CONCATENATE(H346,F346,DX$2),Inglés!$A:$H,7,FALSE)=AL346,1,0)</f>
        <v>#N/A</v>
      </c>
      <c r="DY346" s="138" t="e">
        <f>IF(VLOOKUP(CONCATENATE(H346,F346,DY$2),Inglés!$A:$H,7,FALSE)=AM346,1,0)</f>
        <v>#N/A</v>
      </c>
      <c r="DZ346" s="138" t="e">
        <f>IF(VLOOKUP(CONCATENATE(H346,F346,DZ$2),Inglés!$A:$H,7,FALSE)=AN346,1,0)</f>
        <v>#N/A</v>
      </c>
      <c r="EA346" s="138" t="e">
        <f>IF(VLOOKUP(CONCATENATE(H346,F346,EA$2),Inglés!$A:$H,7,FALSE)=AO346,1,0)</f>
        <v>#N/A</v>
      </c>
      <c r="EB346" s="138" t="e">
        <f>IF(VLOOKUP(CONCATENATE(H346,F346,EB$2),Matemáticas!$A:$H,7,FALSE)=AP346,1,0)</f>
        <v>#N/A</v>
      </c>
      <c r="EC346" s="138" t="e">
        <f>IF(VLOOKUP(CONCATENATE(H346,F346,EC$2),Matemáticas!$A:$H,7,FALSE)=AQ346,1,0)</f>
        <v>#N/A</v>
      </c>
      <c r="ED346" s="138" t="e">
        <f>IF(VLOOKUP(CONCATENATE(H346,F346,ED$2),Matemáticas!$A:$H,7,FALSE)=AR346,1,0)</f>
        <v>#N/A</v>
      </c>
      <c r="EE346" s="138" t="e">
        <f>IF(VLOOKUP(CONCATENATE(H346,F346,EE$2),Matemáticas!$A:$H,7,FALSE)=AS346,1,0)</f>
        <v>#N/A</v>
      </c>
      <c r="EF346" s="138" t="e">
        <f>IF(VLOOKUP(CONCATENATE(H346,F346,EF$2),Matemáticas!$A:$H,7,FALSE)=AT346,1,0)</f>
        <v>#N/A</v>
      </c>
      <c r="EG346" s="138" t="e">
        <f>IF(VLOOKUP(CONCATENATE(H346,F346,EG$2),Matemáticas!$A:$H,7,FALSE)=AU346,1,0)</f>
        <v>#N/A</v>
      </c>
      <c r="EH346" s="138" t="e">
        <f>IF(VLOOKUP(CONCATENATE(H346,F346,EH$2),Matemáticas!$A:$H,7,FALSE)=AV346,1,0)</f>
        <v>#N/A</v>
      </c>
      <c r="EI346" s="138" t="e">
        <f>IF(VLOOKUP(CONCATENATE(H346,F346,EI$2),Matemáticas!$A:$H,7,FALSE)=AW346,1,0)</f>
        <v>#N/A</v>
      </c>
      <c r="EJ346" s="138" t="e">
        <f>IF(VLOOKUP(CONCATENATE(H346,F346,EJ$2),Matemáticas!$A:$H,7,FALSE)=AX346,1,0)</f>
        <v>#N/A</v>
      </c>
      <c r="EK346" s="138" t="e">
        <f>IF(VLOOKUP(CONCATENATE(H346,F346,EK$2),Matemáticas!$A:$H,7,FALSE)=AY346,1,0)</f>
        <v>#N/A</v>
      </c>
      <c r="EL346" s="138" t="e">
        <f>IF(VLOOKUP(CONCATENATE(H346,F346,EL$2),Matemáticas!$A:$H,7,FALSE)=AZ346,1,0)</f>
        <v>#N/A</v>
      </c>
      <c r="EM346" s="138" t="e">
        <f>IF(VLOOKUP(CONCATENATE(H346,F346,EM$2),Matemáticas!$A:$H,7,FALSE)=BA346,1,0)</f>
        <v>#N/A</v>
      </c>
      <c r="EN346" s="138" t="e">
        <f>IF(VLOOKUP(CONCATENATE(H346,F346,EN$2),Matemáticas!$A:$H,7,FALSE)=BB346,1,0)</f>
        <v>#N/A</v>
      </c>
      <c r="EO346" s="138" t="e">
        <f>IF(VLOOKUP(CONCATENATE(H346,F346,EO$2),Matemáticas!$A:$H,7,FALSE)=BC346,1,0)</f>
        <v>#N/A</v>
      </c>
      <c r="EP346" s="138" t="e">
        <f>IF(VLOOKUP(CONCATENATE(H346,F346,EP$2),Matemáticas!$A:$H,7,FALSE)=BD346,1,0)</f>
        <v>#N/A</v>
      </c>
      <c r="EQ346" s="138" t="e">
        <f>IF(VLOOKUP(CONCATENATE(H346,F346,EQ$2),Matemáticas!$A:$H,7,FALSE)=BE346,1,0)</f>
        <v>#N/A</v>
      </c>
      <c r="ER346" s="138" t="e">
        <f>IF(VLOOKUP(CONCATENATE(H346,F346,ER$2),Matemáticas!$A:$H,7,FALSE)=BF346,1,0)</f>
        <v>#N/A</v>
      </c>
      <c r="ES346" s="138" t="e">
        <f>IF(VLOOKUP(CONCATENATE(H346,F346,ES$2),Matemáticas!$A:$H,7,FALSE)=BG346,1,0)</f>
        <v>#N/A</v>
      </c>
      <c r="ET346" s="138" t="e">
        <f>IF(VLOOKUP(CONCATENATE(H346,F346,ET$2),Matemáticas!$A:$H,7,FALSE)=BH346,1,0)</f>
        <v>#N/A</v>
      </c>
      <c r="EU346" s="138" t="e">
        <f>IF(VLOOKUP(CONCATENATE(H346,F346,EU$2),Matemáticas!$A:$H,7,FALSE)=BI346,1,0)</f>
        <v>#N/A</v>
      </c>
      <c r="EV346" s="138" t="e">
        <f>IF(VLOOKUP(CONCATENATE(H346,F346,EV$2),Ciencias!$A:$H,7,FALSE)=BJ346,1,0)</f>
        <v>#N/A</v>
      </c>
      <c r="EW346" s="138" t="e">
        <f>IF(VLOOKUP(CONCATENATE(H346,F346,EW$2),Ciencias!$A:$H,7,FALSE)=BK346,1,0)</f>
        <v>#N/A</v>
      </c>
      <c r="EX346" s="138" t="e">
        <f>IF(VLOOKUP(CONCATENATE(H346,F346,EX$2),Ciencias!$A:$H,7,FALSE)=BL346,1,0)</f>
        <v>#N/A</v>
      </c>
      <c r="EY346" s="138" t="e">
        <f>IF(VLOOKUP(CONCATENATE(H346,F346,EY$2),Ciencias!$A:$H,7,FALSE)=BM346,1,0)</f>
        <v>#N/A</v>
      </c>
      <c r="EZ346" s="138" t="e">
        <f>IF(VLOOKUP(CONCATENATE(H346,F346,EZ$2),Ciencias!$A:$H,7,FALSE)=BN346,1,0)</f>
        <v>#N/A</v>
      </c>
      <c r="FA346" s="138" t="e">
        <f>IF(VLOOKUP(CONCATENATE(H346,F346,FA$2),Ciencias!$A:$H,7,FALSE)=BO346,1,0)</f>
        <v>#N/A</v>
      </c>
      <c r="FB346" s="138" t="e">
        <f>IF(VLOOKUP(CONCATENATE(H346,F346,FB$2),Ciencias!$A:$H,7,FALSE)=BP346,1,0)</f>
        <v>#N/A</v>
      </c>
      <c r="FC346" s="138" t="e">
        <f>IF(VLOOKUP(CONCATENATE(H346,F346,FC$2),Ciencias!$A:$H,7,FALSE)=BQ346,1,0)</f>
        <v>#N/A</v>
      </c>
      <c r="FD346" s="138" t="e">
        <f>IF(VLOOKUP(CONCATENATE(H346,F346,FD$2),Ciencias!$A:$H,7,FALSE)=BR346,1,0)</f>
        <v>#N/A</v>
      </c>
      <c r="FE346" s="138" t="e">
        <f>IF(VLOOKUP(CONCATENATE(H346,F346,FE$2),Ciencias!$A:$H,7,FALSE)=BS346,1,0)</f>
        <v>#N/A</v>
      </c>
      <c r="FF346" s="138" t="e">
        <f>IF(VLOOKUP(CONCATENATE(H346,F346,FF$2),Ciencias!$A:$H,7,FALSE)=BT346,1,0)</f>
        <v>#N/A</v>
      </c>
      <c r="FG346" s="138" t="e">
        <f>IF(VLOOKUP(CONCATENATE(H346,F346,FG$2),Ciencias!$A:$H,7,FALSE)=BU346,1,0)</f>
        <v>#N/A</v>
      </c>
      <c r="FH346" s="138" t="e">
        <f>IF(VLOOKUP(CONCATENATE(H346,F346,FH$2),Ciencias!$A:$H,7,FALSE)=BV346,1,0)</f>
        <v>#N/A</v>
      </c>
      <c r="FI346" s="138" t="e">
        <f>IF(VLOOKUP(CONCATENATE(H346,F346,FI$2),Ciencias!$A:$H,7,FALSE)=BW346,1,0)</f>
        <v>#N/A</v>
      </c>
      <c r="FJ346" s="138" t="e">
        <f>IF(VLOOKUP(CONCATENATE(H346,F346,FJ$2),Ciencias!$A:$H,7,FALSE)=BX346,1,0)</f>
        <v>#N/A</v>
      </c>
      <c r="FK346" s="138" t="e">
        <f>IF(VLOOKUP(CONCATENATE(H346,F346,FK$2),Ciencias!$A:$H,7,FALSE)=BY346,1,0)</f>
        <v>#N/A</v>
      </c>
      <c r="FL346" s="138" t="e">
        <f>IF(VLOOKUP(CONCATENATE(H346,F346,FL$2),Ciencias!$A:$H,7,FALSE)=BZ346,1,0)</f>
        <v>#N/A</v>
      </c>
      <c r="FM346" s="138" t="e">
        <f>IF(VLOOKUP(CONCATENATE(H346,F346,FM$2),Ciencias!$A:$H,7,FALSE)=CA346,1,0)</f>
        <v>#N/A</v>
      </c>
      <c r="FN346" s="138" t="e">
        <f>IF(VLOOKUP(CONCATENATE(H346,F346,FN$2),Ciencias!$A:$H,7,FALSE)=CB346,1,0)</f>
        <v>#N/A</v>
      </c>
      <c r="FO346" s="138" t="e">
        <f>IF(VLOOKUP(CONCATENATE(H346,F346,FO$2),Ciencias!$A:$H,7,FALSE)=CC346,1,0)</f>
        <v>#N/A</v>
      </c>
      <c r="FP346" s="138" t="e">
        <f>IF(VLOOKUP(CONCATENATE(H346,F346,FP$2),GeoHis!$A:$H,7,FALSE)=CD346,1,0)</f>
        <v>#N/A</v>
      </c>
      <c r="FQ346" s="138" t="e">
        <f>IF(VLOOKUP(CONCATENATE(H346,F346,FQ$2),GeoHis!$A:$H,7,FALSE)=CE346,1,0)</f>
        <v>#N/A</v>
      </c>
      <c r="FR346" s="138" t="e">
        <f>IF(VLOOKUP(CONCATENATE(H346,F346,FR$2),GeoHis!$A:$H,7,FALSE)=CF346,1,0)</f>
        <v>#N/A</v>
      </c>
      <c r="FS346" s="138" t="e">
        <f>IF(VLOOKUP(CONCATENATE(H346,F346,FS$2),GeoHis!$A:$H,7,FALSE)=CG346,1,0)</f>
        <v>#N/A</v>
      </c>
      <c r="FT346" s="138" t="e">
        <f>IF(VLOOKUP(CONCATENATE(H346,F346,FT$2),GeoHis!$A:$H,7,FALSE)=CH346,1,0)</f>
        <v>#N/A</v>
      </c>
      <c r="FU346" s="138" t="e">
        <f>IF(VLOOKUP(CONCATENATE(H346,F346,FU$2),GeoHis!$A:$H,7,FALSE)=CI346,1,0)</f>
        <v>#N/A</v>
      </c>
      <c r="FV346" s="138" t="e">
        <f>IF(VLOOKUP(CONCATENATE(H346,F346,FV$2),GeoHis!$A:$H,7,FALSE)=CJ346,1,0)</f>
        <v>#N/A</v>
      </c>
      <c r="FW346" s="138" t="e">
        <f>IF(VLOOKUP(CONCATENATE(H346,F346,FW$2),GeoHis!$A:$H,7,FALSE)=CK346,1,0)</f>
        <v>#N/A</v>
      </c>
      <c r="FX346" s="138" t="e">
        <f>IF(VLOOKUP(CONCATENATE(H346,F346,FX$2),GeoHis!$A:$H,7,FALSE)=CL346,1,0)</f>
        <v>#N/A</v>
      </c>
      <c r="FY346" s="138" t="e">
        <f>IF(VLOOKUP(CONCATENATE(H346,F346,FY$2),GeoHis!$A:$H,7,FALSE)=CM346,1,0)</f>
        <v>#N/A</v>
      </c>
      <c r="FZ346" s="138" t="e">
        <f>IF(VLOOKUP(CONCATENATE(H346,F346,FZ$2),GeoHis!$A:$H,7,FALSE)=CN346,1,0)</f>
        <v>#N/A</v>
      </c>
      <c r="GA346" s="138" t="e">
        <f>IF(VLOOKUP(CONCATENATE(H346,F346,GA$2),GeoHis!$A:$H,7,FALSE)=CO346,1,0)</f>
        <v>#N/A</v>
      </c>
      <c r="GB346" s="138" t="e">
        <f>IF(VLOOKUP(CONCATENATE(H346,F346,GB$2),GeoHis!$A:$H,7,FALSE)=CP346,1,0)</f>
        <v>#N/A</v>
      </c>
      <c r="GC346" s="138" t="e">
        <f>IF(VLOOKUP(CONCATENATE(H346,F346,GC$2),GeoHis!$A:$H,7,FALSE)=CQ346,1,0)</f>
        <v>#N/A</v>
      </c>
      <c r="GD346" s="138" t="e">
        <f>IF(VLOOKUP(CONCATENATE(H346,F346,GD$2),GeoHis!$A:$H,7,FALSE)=CR346,1,0)</f>
        <v>#N/A</v>
      </c>
      <c r="GE346" s="135" t="str">
        <f t="shared" si="47"/>
        <v/>
      </c>
    </row>
    <row r="347" spans="1:187" x14ac:dyDescent="0.25">
      <c r="A347" s="127" t="str">
        <f>IF(C347="","",'Datos Generales'!$A$25)</f>
        <v/>
      </c>
      <c r="D347" s="126" t="str">
        <f t="shared" si="40"/>
        <v/>
      </c>
      <c r="E347" s="126">
        <f t="shared" si="41"/>
        <v>0</v>
      </c>
      <c r="F347" s="126" t="str">
        <f t="shared" si="42"/>
        <v/>
      </c>
      <c r="G347" s="126" t="str">
        <f>IF(C347="","",'Datos Generales'!$D$19)</f>
        <v/>
      </c>
      <c r="H347" s="21" t="str">
        <f>IF(C347="","",'Datos Generales'!$A$19)</f>
        <v/>
      </c>
      <c r="I347" s="126" t="str">
        <f>IF(C347="","",'Datos Generales'!$A$7)</f>
        <v/>
      </c>
      <c r="J347" s="21" t="str">
        <f>IF(C347="","",'Datos Generales'!$A$13)</f>
        <v/>
      </c>
      <c r="K347" s="21" t="str">
        <f>IF(C347="","",'Datos Generales'!$A$10)</f>
        <v/>
      </c>
      <c r="CS347" s="142" t="str">
        <f t="shared" si="43"/>
        <v/>
      </c>
      <c r="CT347" s="142" t="str">
        <f t="shared" si="44"/>
        <v/>
      </c>
      <c r="CU347" s="142" t="str">
        <f t="shared" si="45"/>
        <v/>
      </c>
      <c r="CV347" s="142" t="str">
        <f t="shared" si="46"/>
        <v/>
      </c>
      <c r="CW347" s="142" t="str">
        <f>IF(C347="","",IF('Datos Generales'!$A$19=1,AVERAGE(FP347:GD347),AVERAGE(Captura!FP347:FY347)))</f>
        <v/>
      </c>
      <c r="CX347" s="138" t="e">
        <f>IF(VLOOKUP(CONCATENATE($H$4,$F$4,CX$2),Español!$A:$H,7,FALSE)=L347,1,0)</f>
        <v>#N/A</v>
      </c>
      <c r="CY347" s="138" t="e">
        <f>IF(VLOOKUP(CONCATENATE(H347,F347,CY$2),Español!$A:$H,7,FALSE)=M347,1,0)</f>
        <v>#N/A</v>
      </c>
      <c r="CZ347" s="138" t="e">
        <f>IF(VLOOKUP(CONCATENATE(H347,F347,CZ$2),Español!$A:$H,7,FALSE)=N347,1,0)</f>
        <v>#N/A</v>
      </c>
      <c r="DA347" s="138" t="e">
        <f>IF(VLOOKUP(CONCATENATE(H347,F347,DA$2),Español!$A:$H,7,FALSE)=O347,1,0)</f>
        <v>#N/A</v>
      </c>
      <c r="DB347" s="138" t="e">
        <f>IF(VLOOKUP(CONCATENATE(H347,F347,DB$2),Español!$A:$H,7,FALSE)=P347,1,0)</f>
        <v>#N/A</v>
      </c>
      <c r="DC347" s="138" t="e">
        <f>IF(VLOOKUP(CONCATENATE(H347,F347,DC$2),Español!$A:$H,7,FALSE)=Q347,1,0)</f>
        <v>#N/A</v>
      </c>
      <c r="DD347" s="138" t="e">
        <f>IF(VLOOKUP(CONCATENATE(H347,F347,DD$2),Español!$A:$H,7,FALSE)=R347,1,0)</f>
        <v>#N/A</v>
      </c>
      <c r="DE347" s="138" t="e">
        <f>IF(VLOOKUP(CONCATENATE(H347,F347,DE$2),Español!$A:$H,7,FALSE)=S347,1,0)</f>
        <v>#N/A</v>
      </c>
      <c r="DF347" s="138" t="e">
        <f>IF(VLOOKUP(CONCATENATE(H347,F347,DF$2),Español!$A:$H,7,FALSE)=T347,1,0)</f>
        <v>#N/A</v>
      </c>
      <c r="DG347" s="138" t="e">
        <f>IF(VLOOKUP(CONCATENATE(H347,F347,DG$2),Español!$A:$H,7,FALSE)=U347,1,0)</f>
        <v>#N/A</v>
      </c>
      <c r="DH347" s="138" t="e">
        <f>IF(VLOOKUP(CONCATENATE(H347,F347,DH$2),Español!$A:$H,7,FALSE)=V347,1,0)</f>
        <v>#N/A</v>
      </c>
      <c r="DI347" s="138" t="e">
        <f>IF(VLOOKUP(CONCATENATE(H347,F347,DI$2),Español!$A:$H,7,FALSE)=W347,1,0)</f>
        <v>#N/A</v>
      </c>
      <c r="DJ347" s="138" t="e">
        <f>IF(VLOOKUP(CONCATENATE(H347,F347,DJ$2),Español!$A:$H,7,FALSE)=X347,1,0)</f>
        <v>#N/A</v>
      </c>
      <c r="DK347" s="138" t="e">
        <f>IF(VLOOKUP(CONCATENATE(H347,F347,DK$2),Español!$A:$H,7,FALSE)=Y347,1,0)</f>
        <v>#N/A</v>
      </c>
      <c r="DL347" s="138" t="e">
        <f>IF(VLOOKUP(CONCATENATE(H347,F347,DL$2),Español!$A:$H,7,FALSE)=Z347,1,0)</f>
        <v>#N/A</v>
      </c>
      <c r="DM347" s="138" t="e">
        <f>IF(VLOOKUP(CONCATENATE(H347,F347,DM$2),Español!$A:$H,7,FALSE)=AA347,1,0)</f>
        <v>#N/A</v>
      </c>
      <c r="DN347" s="138" t="e">
        <f>IF(VLOOKUP(CONCATENATE(H347,F347,DN$2),Español!$A:$H,7,FALSE)=AB347,1,0)</f>
        <v>#N/A</v>
      </c>
      <c r="DO347" s="138" t="e">
        <f>IF(VLOOKUP(CONCATENATE(H347,F347,DO$2),Español!$A:$H,7,FALSE)=AC347,1,0)</f>
        <v>#N/A</v>
      </c>
      <c r="DP347" s="138" t="e">
        <f>IF(VLOOKUP(CONCATENATE(H347,F347,DP$2),Español!$A:$H,7,FALSE)=AD347,1,0)</f>
        <v>#N/A</v>
      </c>
      <c r="DQ347" s="138" t="e">
        <f>IF(VLOOKUP(CONCATENATE(H347,F347,DQ$2),Español!$A:$H,7,FALSE)=AE347,1,0)</f>
        <v>#N/A</v>
      </c>
      <c r="DR347" s="138" t="e">
        <f>IF(VLOOKUP(CONCATENATE(H347,F347,DR$2),Inglés!$A:$H,7,FALSE)=AF347,1,0)</f>
        <v>#N/A</v>
      </c>
      <c r="DS347" s="138" t="e">
        <f>IF(VLOOKUP(CONCATENATE(H347,F347,DS$2),Inglés!$A:$H,7,FALSE)=AG347,1,0)</f>
        <v>#N/A</v>
      </c>
      <c r="DT347" s="138" t="e">
        <f>IF(VLOOKUP(CONCATENATE(H347,F347,DT$2),Inglés!$A:$H,7,FALSE)=AH347,1,0)</f>
        <v>#N/A</v>
      </c>
      <c r="DU347" s="138" t="e">
        <f>IF(VLOOKUP(CONCATENATE(H347,F347,DU$2),Inglés!$A:$H,7,FALSE)=AI347,1,0)</f>
        <v>#N/A</v>
      </c>
      <c r="DV347" s="138" t="e">
        <f>IF(VLOOKUP(CONCATENATE(H347,F347,DV$2),Inglés!$A:$H,7,FALSE)=AJ347,1,0)</f>
        <v>#N/A</v>
      </c>
      <c r="DW347" s="138" t="e">
        <f>IF(VLOOKUP(CONCATENATE(H347,F347,DW$2),Inglés!$A:$H,7,FALSE)=AK347,1,0)</f>
        <v>#N/A</v>
      </c>
      <c r="DX347" s="138" t="e">
        <f>IF(VLOOKUP(CONCATENATE(H347,F347,DX$2),Inglés!$A:$H,7,FALSE)=AL347,1,0)</f>
        <v>#N/A</v>
      </c>
      <c r="DY347" s="138" t="e">
        <f>IF(VLOOKUP(CONCATENATE(H347,F347,DY$2),Inglés!$A:$H,7,FALSE)=AM347,1,0)</f>
        <v>#N/A</v>
      </c>
      <c r="DZ347" s="138" t="e">
        <f>IF(VLOOKUP(CONCATENATE(H347,F347,DZ$2),Inglés!$A:$H,7,FALSE)=AN347,1,0)</f>
        <v>#N/A</v>
      </c>
      <c r="EA347" s="138" t="e">
        <f>IF(VLOOKUP(CONCATENATE(H347,F347,EA$2),Inglés!$A:$H,7,FALSE)=AO347,1,0)</f>
        <v>#N/A</v>
      </c>
      <c r="EB347" s="138" t="e">
        <f>IF(VLOOKUP(CONCATENATE(H347,F347,EB$2),Matemáticas!$A:$H,7,FALSE)=AP347,1,0)</f>
        <v>#N/A</v>
      </c>
      <c r="EC347" s="138" t="e">
        <f>IF(VLOOKUP(CONCATENATE(H347,F347,EC$2),Matemáticas!$A:$H,7,FALSE)=AQ347,1,0)</f>
        <v>#N/A</v>
      </c>
      <c r="ED347" s="138" t="e">
        <f>IF(VLOOKUP(CONCATENATE(H347,F347,ED$2),Matemáticas!$A:$H,7,FALSE)=AR347,1,0)</f>
        <v>#N/A</v>
      </c>
      <c r="EE347" s="138" t="e">
        <f>IF(VLOOKUP(CONCATENATE(H347,F347,EE$2),Matemáticas!$A:$H,7,FALSE)=AS347,1,0)</f>
        <v>#N/A</v>
      </c>
      <c r="EF347" s="138" t="e">
        <f>IF(VLOOKUP(CONCATENATE(H347,F347,EF$2),Matemáticas!$A:$H,7,FALSE)=AT347,1,0)</f>
        <v>#N/A</v>
      </c>
      <c r="EG347" s="138" t="e">
        <f>IF(VLOOKUP(CONCATENATE(H347,F347,EG$2),Matemáticas!$A:$H,7,FALSE)=AU347,1,0)</f>
        <v>#N/A</v>
      </c>
      <c r="EH347" s="138" t="e">
        <f>IF(VLOOKUP(CONCATENATE(H347,F347,EH$2),Matemáticas!$A:$H,7,FALSE)=AV347,1,0)</f>
        <v>#N/A</v>
      </c>
      <c r="EI347" s="138" t="e">
        <f>IF(VLOOKUP(CONCATENATE(H347,F347,EI$2),Matemáticas!$A:$H,7,FALSE)=AW347,1,0)</f>
        <v>#N/A</v>
      </c>
      <c r="EJ347" s="138" t="e">
        <f>IF(VLOOKUP(CONCATENATE(H347,F347,EJ$2),Matemáticas!$A:$H,7,FALSE)=AX347,1,0)</f>
        <v>#N/A</v>
      </c>
      <c r="EK347" s="138" t="e">
        <f>IF(VLOOKUP(CONCATENATE(H347,F347,EK$2),Matemáticas!$A:$H,7,FALSE)=AY347,1,0)</f>
        <v>#N/A</v>
      </c>
      <c r="EL347" s="138" t="e">
        <f>IF(VLOOKUP(CONCATENATE(H347,F347,EL$2),Matemáticas!$A:$H,7,FALSE)=AZ347,1,0)</f>
        <v>#N/A</v>
      </c>
      <c r="EM347" s="138" t="e">
        <f>IF(VLOOKUP(CONCATENATE(H347,F347,EM$2),Matemáticas!$A:$H,7,FALSE)=BA347,1,0)</f>
        <v>#N/A</v>
      </c>
      <c r="EN347" s="138" t="e">
        <f>IF(VLOOKUP(CONCATENATE(H347,F347,EN$2),Matemáticas!$A:$H,7,FALSE)=BB347,1,0)</f>
        <v>#N/A</v>
      </c>
      <c r="EO347" s="138" t="e">
        <f>IF(VLOOKUP(CONCATENATE(H347,F347,EO$2),Matemáticas!$A:$H,7,FALSE)=BC347,1,0)</f>
        <v>#N/A</v>
      </c>
      <c r="EP347" s="138" t="e">
        <f>IF(VLOOKUP(CONCATENATE(H347,F347,EP$2),Matemáticas!$A:$H,7,FALSE)=BD347,1,0)</f>
        <v>#N/A</v>
      </c>
      <c r="EQ347" s="138" t="e">
        <f>IF(VLOOKUP(CONCATENATE(H347,F347,EQ$2),Matemáticas!$A:$H,7,FALSE)=BE347,1,0)</f>
        <v>#N/A</v>
      </c>
      <c r="ER347" s="138" t="e">
        <f>IF(VLOOKUP(CONCATENATE(H347,F347,ER$2),Matemáticas!$A:$H,7,FALSE)=BF347,1,0)</f>
        <v>#N/A</v>
      </c>
      <c r="ES347" s="138" t="e">
        <f>IF(VLOOKUP(CONCATENATE(H347,F347,ES$2),Matemáticas!$A:$H,7,FALSE)=BG347,1,0)</f>
        <v>#N/A</v>
      </c>
      <c r="ET347" s="138" t="e">
        <f>IF(VLOOKUP(CONCATENATE(H347,F347,ET$2),Matemáticas!$A:$H,7,FALSE)=BH347,1,0)</f>
        <v>#N/A</v>
      </c>
      <c r="EU347" s="138" t="e">
        <f>IF(VLOOKUP(CONCATENATE(H347,F347,EU$2),Matemáticas!$A:$H,7,FALSE)=BI347,1,0)</f>
        <v>#N/A</v>
      </c>
      <c r="EV347" s="138" t="e">
        <f>IF(VLOOKUP(CONCATENATE(H347,F347,EV$2),Ciencias!$A:$H,7,FALSE)=BJ347,1,0)</f>
        <v>#N/A</v>
      </c>
      <c r="EW347" s="138" t="e">
        <f>IF(VLOOKUP(CONCATENATE(H347,F347,EW$2),Ciencias!$A:$H,7,FALSE)=BK347,1,0)</f>
        <v>#N/A</v>
      </c>
      <c r="EX347" s="138" t="e">
        <f>IF(VLOOKUP(CONCATENATE(H347,F347,EX$2),Ciencias!$A:$H,7,FALSE)=BL347,1,0)</f>
        <v>#N/A</v>
      </c>
      <c r="EY347" s="138" t="e">
        <f>IF(VLOOKUP(CONCATENATE(H347,F347,EY$2),Ciencias!$A:$H,7,FALSE)=BM347,1,0)</f>
        <v>#N/A</v>
      </c>
      <c r="EZ347" s="138" t="e">
        <f>IF(VLOOKUP(CONCATENATE(H347,F347,EZ$2),Ciencias!$A:$H,7,FALSE)=BN347,1,0)</f>
        <v>#N/A</v>
      </c>
      <c r="FA347" s="138" t="e">
        <f>IF(VLOOKUP(CONCATENATE(H347,F347,FA$2),Ciencias!$A:$H,7,FALSE)=BO347,1,0)</f>
        <v>#N/A</v>
      </c>
      <c r="FB347" s="138" t="e">
        <f>IF(VLOOKUP(CONCATENATE(H347,F347,FB$2),Ciencias!$A:$H,7,FALSE)=BP347,1,0)</f>
        <v>#N/A</v>
      </c>
      <c r="FC347" s="138" t="e">
        <f>IF(VLOOKUP(CONCATENATE(H347,F347,FC$2),Ciencias!$A:$H,7,FALSE)=BQ347,1,0)</f>
        <v>#N/A</v>
      </c>
      <c r="FD347" s="138" t="e">
        <f>IF(VLOOKUP(CONCATENATE(H347,F347,FD$2),Ciencias!$A:$H,7,FALSE)=BR347,1,0)</f>
        <v>#N/A</v>
      </c>
      <c r="FE347" s="138" t="e">
        <f>IF(VLOOKUP(CONCATENATE(H347,F347,FE$2),Ciencias!$A:$H,7,FALSE)=BS347,1,0)</f>
        <v>#N/A</v>
      </c>
      <c r="FF347" s="138" t="e">
        <f>IF(VLOOKUP(CONCATENATE(H347,F347,FF$2),Ciencias!$A:$H,7,FALSE)=BT347,1,0)</f>
        <v>#N/A</v>
      </c>
      <c r="FG347" s="138" t="e">
        <f>IF(VLOOKUP(CONCATENATE(H347,F347,FG$2),Ciencias!$A:$H,7,FALSE)=BU347,1,0)</f>
        <v>#N/A</v>
      </c>
      <c r="FH347" s="138" t="e">
        <f>IF(VLOOKUP(CONCATENATE(H347,F347,FH$2),Ciencias!$A:$H,7,FALSE)=BV347,1,0)</f>
        <v>#N/A</v>
      </c>
      <c r="FI347" s="138" t="e">
        <f>IF(VLOOKUP(CONCATENATE(H347,F347,FI$2),Ciencias!$A:$H,7,FALSE)=BW347,1,0)</f>
        <v>#N/A</v>
      </c>
      <c r="FJ347" s="138" t="e">
        <f>IF(VLOOKUP(CONCATENATE(H347,F347,FJ$2),Ciencias!$A:$H,7,FALSE)=BX347,1,0)</f>
        <v>#N/A</v>
      </c>
      <c r="FK347" s="138" t="e">
        <f>IF(VLOOKUP(CONCATENATE(H347,F347,FK$2),Ciencias!$A:$H,7,FALSE)=BY347,1,0)</f>
        <v>#N/A</v>
      </c>
      <c r="FL347" s="138" t="e">
        <f>IF(VLOOKUP(CONCATENATE(H347,F347,FL$2),Ciencias!$A:$H,7,FALSE)=BZ347,1,0)</f>
        <v>#N/A</v>
      </c>
      <c r="FM347" s="138" t="e">
        <f>IF(VLOOKUP(CONCATENATE(H347,F347,FM$2),Ciencias!$A:$H,7,FALSE)=CA347,1,0)</f>
        <v>#N/A</v>
      </c>
      <c r="FN347" s="138" t="e">
        <f>IF(VLOOKUP(CONCATENATE(H347,F347,FN$2),Ciencias!$A:$H,7,FALSE)=CB347,1,0)</f>
        <v>#N/A</v>
      </c>
      <c r="FO347" s="138" t="e">
        <f>IF(VLOOKUP(CONCATENATE(H347,F347,FO$2),Ciencias!$A:$H,7,FALSE)=CC347,1,0)</f>
        <v>#N/A</v>
      </c>
      <c r="FP347" s="138" t="e">
        <f>IF(VLOOKUP(CONCATENATE(H347,F347,FP$2),GeoHis!$A:$H,7,FALSE)=CD347,1,0)</f>
        <v>#N/A</v>
      </c>
      <c r="FQ347" s="138" t="e">
        <f>IF(VLOOKUP(CONCATENATE(H347,F347,FQ$2),GeoHis!$A:$H,7,FALSE)=CE347,1,0)</f>
        <v>#N/A</v>
      </c>
      <c r="FR347" s="138" t="e">
        <f>IF(VLOOKUP(CONCATENATE(H347,F347,FR$2),GeoHis!$A:$H,7,FALSE)=CF347,1,0)</f>
        <v>#N/A</v>
      </c>
      <c r="FS347" s="138" t="e">
        <f>IF(VLOOKUP(CONCATENATE(H347,F347,FS$2),GeoHis!$A:$H,7,FALSE)=CG347,1,0)</f>
        <v>#N/A</v>
      </c>
      <c r="FT347" s="138" t="e">
        <f>IF(VLOOKUP(CONCATENATE(H347,F347,FT$2),GeoHis!$A:$H,7,FALSE)=CH347,1,0)</f>
        <v>#N/A</v>
      </c>
      <c r="FU347" s="138" t="e">
        <f>IF(VLOOKUP(CONCATENATE(H347,F347,FU$2),GeoHis!$A:$H,7,FALSE)=CI347,1,0)</f>
        <v>#N/A</v>
      </c>
      <c r="FV347" s="138" t="e">
        <f>IF(VLOOKUP(CONCATENATE(H347,F347,FV$2),GeoHis!$A:$H,7,FALSE)=CJ347,1,0)</f>
        <v>#N/A</v>
      </c>
      <c r="FW347" s="138" t="e">
        <f>IF(VLOOKUP(CONCATENATE(H347,F347,FW$2),GeoHis!$A:$H,7,FALSE)=CK347,1,0)</f>
        <v>#N/A</v>
      </c>
      <c r="FX347" s="138" t="e">
        <f>IF(VLOOKUP(CONCATENATE(H347,F347,FX$2),GeoHis!$A:$H,7,FALSE)=CL347,1,0)</f>
        <v>#N/A</v>
      </c>
      <c r="FY347" s="138" t="e">
        <f>IF(VLOOKUP(CONCATENATE(H347,F347,FY$2),GeoHis!$A:$H,7,FALSE)=CM347,1,0)</f>
        <v>#N/A</v>
      </c>
      <c r="FZ347" s="138" t="e">
        <f>IF(VLOOKUP(CONCATENATE(H347,F347,FZ$2),GeoHis!$A:$H,7,FALSE)=CN347,1,0)</f>
        <v>#N/A</v>
      </c>
      <c r="GA347" s="138" t="e">
        <f>IF(VLOOKUP(CONCATENATE(H347,F347,GA$2),GeoHis!$A:$H,7,FALSE)=CO347,1,0)</f>
        <v>#N/A</v>
      </c>
      <c r="GB347" s="138" t="e">
        <f>IF(VLOOKUP(CONCATENATE(H347,F347,GB$2),GeoHis!$A:$H,7,FALSE)=CP347,1,0)</f>
        <v>#N/A</v>
      </c>
      <c r="GC347" s="138" t="e">
        <f>IF(VLOOKUP(CONCATENATE(H347,F347,GC$2),GeoHis!$A:$H,7,FALSE)=CQ347,1,0)</f>
        <v>#N/A</v>
      </c>
      <c r="GD347" s="138" t="e">
        <f>IF(VLOOKUP(CONCATENATE(H347,F347,GD$2),GeoHis!$A:$H,7,FALSE)=CR347,1,0)</f>
        <v>#N/A</v>
      </c>
      <c r="GE347" s="135" t="str">
        <f t="shared" si="47"/>
        <v/>
      </c>
    </row>
    <row r="348" spans="1:187" x14ac:dyDescent="0.25">
      <c r="A348" s="127" t="str">
        <f>IF(C348="","",'Datos Generales'!$A$25)</f>
        <v/>
      </c>
      <c r="D348" s="126" t="str">
        <f t="shared" si="40"/>
        <v/>
      </c>
      <c r="E348" s="126">
        <f t="shared" si="41"/>
        <v>0</v>
      </c>
      <c r="F348" s="126" t="str">
        <f t="shared" si="42"/>
        <v/>
      </c>
      <c r="G348" s="126" t="str">
        <f>IF(C348="","",'Datos Generales'!$D$19)</f>
        <v/>
      </c>
      <c r="H348" s="21" t="str">
        <f>IF(C348="","",'Datos Generales'!$A$19)</f>
        <v/>
      </c>
      <c r="I348" s="126" t="str">
        <f>IF(C348="","",'Datos Generales'!$A$7)</f>
        <v/>
      </c>
      <c r="J348" s="21" t="str">
        <f>IF(C348="","",'Datos Generales'!$A$13)</f>
        <v/>
      </c>
      <c r="K348" s="21" t="str">
        <f>IF(C348="","",'Datos Generales'!$A$10)</f>
        <v/>
      </c>
      <c r="CS348" s="142" t="str">
        <f t="shared" si="43"/>
        <v/>
      </c>
      <c r="CT348" s="142" t="str">
        <f t="shared" si="44"/>
        <v/>
      </c>
      <c r="CU348" s="142" t="str">
        <f t="shared" si="45"/>
        <v/>
      </c>
      <c r="CV348" s="142" t="str">
        <f t="shared" si="46"/>
        <v/>
      </c>
      <c r="CW348" s="142" t="str">
        <f>IF(C348="","",IF('Datos Generales'!$A$19=1,AVERAGE(FP348:GD348),AVERAGE(Captura!FP348:FY348)))</f>
        <v/>
      </c>
      <c r="CX348" s="138" t="e">
        <f>IF(VLOOKUP(CONCATENATE($H$4,$F$4,CX$2),Español!$A:$H,7,FALSE)=L348,1,0)</f>
        <v>#N/A</v>
      </c>
      <c r="CY348" s="138" t="e">
        <f>IF(VLOOKUP(CONCATENATE(H348,F348,CY$2),Español!$A:$H,7,FALSE)=M348,1,0)</f>
        <v>#N/A</v>
      </c>
      <c r="CZ348" s="138" t="e">
        <f>IF(VLOOKUP(CONCATENATE(H348,F348,CZ$2),Español!$A:$H,7,FALSE)=N348,1,0)</f>
        <v>#N/A</v>
      </c>
      <c r="DA348" s="138" t="e">
        <f>IF(VLOOKUP(CONCATENATE(H348,F348,DA$2),Español!$A:$H,7,FALSE)=O348,1,0)</f>
        <v>#N/A</v>
      </c>
      <c r="DB348" s="138" t="e">
        <f>IF(VLOOKUP(CONCATENATE(H348,F348,DB$2),Español!$A:$H,7,FALSE)=P348,1,0)</f>
        <v>#N/A</v>
      </c>
      <c r="DC348" s="138" t="e">
        <f>IF(VLOOKUP(CONCATENATE(H348,F348,DC$2),Español!$A:$H,7,FALSE)=Q348,1,0)</f>
        <v>#N/A</v>
      </c>
      <c r="DD348" s="138" t="e">
        <f>IF(VLOOKUP(CONCATENATE(H348,F348,DD$2),Español!$A:$H,7,FALSE)=R348,1,0)</f>
        <v>#N/A</v>
      </c>
      <c r="DE348" s="138" t="e">
        <f>IF(VLOOKUP(CONCATENATE(H348,F348,DE$2),Español!$A:$H,7,FALSE)=S348,1,0)</f>
        <v>#N/A</v>
      </c>
      <c r="DF348" s="138" t="e">
        <f>IF(VLOOKUP(CONCATENATE(H348,F348,DF$2),Español!$A:$H,7,FALSE)=T348,1,0)</f>
        <v>#N/A</v>
      </c>
      <c r="DG348" s="138" t="e">
        <f>IF(VLOOKUP(CONCATENATE(H348,F348,DG$2),Español!$A:$H,7,FALSE)=U348,1,0)</f>
        <v>#N/A</v>
      </c>
      <c r="DH348" s="138" t="e">
        <f>IF(VLOOKUP(CONCATENATE(H348,F348,DH$2),Español!$A:$H,7,FALSE)=V348,1,0)</f>
        <v>#N/A</v>
      </c>
      <c r="DI348" s="138" t="e">
        <f>IF(VLOOKUP(CONCATENATE(H348,F348,DI$2),Español!$A:$H,7,FALSE)=W348,1,0)</f>
        <v>#N/A</v>
      </c>
      <c r="DJ348" s="138" t="e">
        <f>IF(VLOOKUP(CONCATENATE(H348,F348,DJ$2),Español!$A:$H,7,FALSE)=X348,1,0)</f>
        <v>#N/A</v>
      </c>
      <c r="DK348" s="138" t="e">
        <f>IF(VLOOKUP(CONCATENATE(H348,F348,DK$2),Español!$A:$H,7,FALSE)=Y348,1,0)</f>
        <v>#N/A</v>
      </c>
      <c r="DL348" s="138" t="e">
        <f>IF(VLOOKUP(CONCATENATE(H348,F348,DL$2),Español!$A:$H,7,FALSE)=Z348,1,0)</f>
        <v>#N/A</v>
      </c>
      <c r="DM348" s="138" t="e">
        <f>IF(VLOOKUP(CONCATENATE(H348,F348,DM$2),Español!$A:$H,7,FALSE)=AA348,1,0)</f>
        <v>#N/A</v>
      </c>
      <c r="DN348" s="138" t="e">
        <f>IF(VLOOKUP(CONCATENATE(H348,F348,DN$2),Español!$A:$H,7,FALSE)=AB348,1,0)</f>
        <v>#N/A</v>
      </c>
      <c r="DO348" s="138" t="e">
        <f>IF(VLOOKUP(CONCATENATE(H348,F348,DO$2),Español!$A:$H,7,FALSE)=AC348,1,0)</f>
        <v>#N/A</v>
      </c>
      <c r="DP348" s="138" t="e">
        <f>IF(VLOOKUP(CONCATENATE(H348,F348,DP$2),Español!$A:$H,7,FALSE)=AD348,1,0)</f>
        <v>#N/A</v>
      </c>
      <c r="DQ348" s="138" t="e">
        <f>IF(VLOOKUP(CONCATENATE(H348,F348,DQ$2),Español!$A:$H,7,FALSE)=AE348,1,0)</f>
        <v>#N/A</v>
      </c>
      <c r="DR348" s="138" t="e">
        <f>IF(VLOOKUP(CONCATENATE(H348,F348,DR$2),Inglés!$A:$H,7,FALSE)=AF348,1,0)</f>
        <v>#N/A</v>
      </c>
      <c r="DS348" s="138" t="e">
        <f>IF(VLOOKUP(CONCATENATE(H348,F348,DS$2),Inglés!$A:$H,7,FALSE)=AG348,1,0)</f>
        <v>#N/A</v>
      </c>
      <c r="DT348" s="138" t="e">
        <f>IF(VLOOKUP(CONCATENATE(H348,F348,DT$2),Inglés!$A:$H,7,FALSE)=AH348,1,0)</f>
        <v>#N/A</v>
      </c>
      <c r="DU348" s="138" t="e">
        <f>IF(VLOOKUP(CONCATENATE(H348,F348,DU$2),Inglés!$A:$H,7,FALSE)=AI348,1,0)</f>
        <v>#N/A</v>
      </c>
      <c r="DV348" s="138" t="e">
        <f>IF(VLOOKUP(CONCATENATE(H348,F348,DV$2),Inglés!$A:$H,7,FALSE)=AJ348,1,0)</f>
        <v>#N/A</v>
      </c>
      <c r="DW348" s="138" t="e">
        <f>IF(VLOOKUP(CONCATENATE(H348,F348,DW$2),Inglés!$A:$H,7,FALSE)=AK348,1,0)</f>
        <v>#N/A</v>
      </c>
      <c r="DX348" s="138" t="e">
        <f>IF(VLOOKUP(CONCATENATE(H348,F348,DX$2),Inglés!$A:$H,7,FALSE)=AL348,1,0)</f>
        <v>#N/A</v>
      </c>
      <c r="DY348" s="138" t="e">
        <f>IF(VLOOKUP(CONCATENATE(H348,F348,DY$2),Inglés!$A:$H,7,FALSE)=AM348,1,0)</f>
        <v>#N/A</v>
      </c>
      <c r="DZ348" s="138" t="e">
        <f>IF(VLOOKUP(CONCATENATE(H348,F348,DZ$2),Inglés!$A:$H,7,FALSE)=AN348,1,0)</f>
        <v>#N/A</v>
      </c>
      <c r="EA348" s="138" t="e">
        <f>IF(VLOOKUP(CONCATENATE(H348,F348,EA$2),Inglés!$A:$H,7,FALSE)=AO348,1,0)</f>
        <v>#N/A</v>
      </c>
      <c r="EB348" s="138" t="e">
        <f>IF(VLOOKUP(CONCATENATE(H348,F348,EB$2),Matemáticas!$A:$H,7,FALSE)=AP348,1,0)</f>
        <v>#N/A</v>
      </c>
      <c r="EC348" s="138" t="e">
        <f>IF(VLOOKUP(CONCATENATE(H348,F348,EC$2),Matemáticas!$A:$H,7,FALSE)=AQ348,1,0)</f>
        <v>#N/A</v>
      </c>
      <c r="ED348" s="138" t="e">
        <f>IF(VLOOKUP(CONCATENATE(H348,F348,ED$2),Matemáticas!$A:$H,7,FALSE)=AR348,1,0)</f>
        <v>#N/A</v>
      </c>
      <c r="EE348" s="138" t="e">
        <f>IF(VLOOKUP(CONCATENATE(H348,F348,EE$2),Matemáticas!$A:$H,7,FALSE)=AS348,1,0)</f>
        <v>#N/A</v>
      </c>
      <c r="EF348" s="138" t="e">
        <f>IF(VLOOKUP(CONCATENATE(H348,F348,EF$2),Matemáticas!$A:$H,7,FALSE)=AT348,1,0)</f>
        <v>#N/A</v>
      </c>
      <c r="EG348" s="138" t="e">
        <f>IF(VLOOKUP(CONCATENATE(H348,F348,EG$2),Matemáticas!$A:$H,7,FALSE)=AU348,1,0)</f>
        <v>#N/A</v>
      </c>
      <c r="EH348" s="138" t="e">
        <f>IF(VLOOKUP(CONCATENATE(H348,F348,EH$2),Matemáticas!$A:$H,7,FALSE)=AV348,1,0)</f>
        <v>#N/A</v>
      </c>
      <c r="EI348" s="138" t="e">
        <f>IF(VLOOKUP(CONCATENATE(H348,F348,EI$2),Matemáticas!$A:$H,7,FALSE)=AW348,1,0)</f>
        <v>#N/A</v>
      </c>
      <c r="EJ348" s="138" t="e">
        <f>IF(VLOOKUP(CONCATENATE(H348,F348,EJ$2),Matemáticas!$A:$H,7,FALSE)=AX348,1,0)</f>
        <v>#N/A</v>
      </c>
      <c r="EK348" s="138" t="e">
        <f>IF(VLOOKUP(CONCATENATE(H348,F348,EK$2),Matemáticas!$A:$H,7,FALSE)=AY348,1,0)</f>
        <v>#N/A</v>
      </c>
      <c r="EL348" s="138" t="e">
        <f>IF(VLOOKUP(CONCATENATE(H348,F348,EL$2),Matemáticas!$A:$H,7,FALSE)=AZ348,1,0)</f>
        <v>#N/A</v>
      </c>
      <c r="EM348" s="138" t="e">
        <f>IF(VLOOKUP(CONCATENATE(H348,F348,EM$2),Matemáticas!$A:$H,7,FALSE)=BA348,1,0)</f>
        <v>#N/A</v>
      </c>
      <c r="EN348" s="138" t="e">
        <f>IF(VLOOKUP(CONCATENATE(H348,F348,EN$2),Matemáticas!$A:$H,7,FALSE)=BB348,1,0)</f>
        <v>#N/A</v>
      </c>
      <c r="EO348" s="138" t="e">
        <f>IF(VLOOKUP(CONCATENATE(H348,F348,EO$2),Matemáticas!$A:$H,7,FALSE)=BC348,1,0)</f>
        <v>#N/A</v>
      </c>
      <c r="EP348" s="138" t="e">
        <f>IF(VLOOKUP(CONCATENATE(H348,F348,EP$2),Matemáticas!$A:$H,7,FALSE)=BD348,1,0)</f>
        <v>#N/A</v>
      </c>
      <c r="EQ348" s="138" t="e">
        <f>IF(VLOOKUP(CONCATENATE(H348,F348,EQ$2),Matemáticas!$A:$H,7,FALSE)=BE348,1,0)</f>
        <v>#N/A</v>
      </c>
      <c r="ER348" s="138" t="e">
        <f>IF(VLOOKUP(CONCATENATE(H348,F348,ER$2),Matemáticas!$A:$H,7,FALSE)=BF348,1,0)</f>
        <v>#N/A</v>
      </c>
      <c r="ES348" s="138" t="e">
        <f>IF(VLOOKUP(CONCATENATE(H348,F348,ES$2),Matemáticas!$A:$H,7,FALSE)=BG348,1,0)</f>
        <v>#N/A</v>
      </c>
      <c r="ET348" s="138" t="e">
        <f>IF(VLOOKUP(CONCATENATE(H348,F348,ET$2),Matemáticas!$A:$H,7,FALSE)=BH348,1,0)</f>
        <v>#N/A</v>
      </c>
      <c r="EU348" s="138" t="e">
        <f>IF(VLOOKUP(CONCATENATE(H348,F348,EU$2),Matemáticas!$A:$H,7,FALSE)=BI348,1,0)</f>
        <v>#N/A</v>
      </c>
      <c r="EV348" s="138" t="e">
        <f>IF(VLOOKUP(CONCATENATE(H348,F348,EV$2),Ciencias!$A:$H,7,FALSE)=BJ348,1,0)</f>
        <v>#N/A</v>
      </c>
      <c r="EW348" s="138" t="e">
        <f>IF(VLOOKUP(CONCATENATE(H348,F348,EW$2),Ciencias!$A:$H,7,FALSE)=BK348,1,0)</f>
        <v>#N/A</v>
      </c>
      <c r="EX348" s="138" t="e">
        <f>IF(VLOOKUP(CONCATENATE(H348,F348,EX$2),Ciencias!$A:$H,7,FALSE)=BL348,1,0)</f>
        <v>#N/A</v>
      </c>
      <c r="EY348" s="138" t="e">
        <f>IF(VLOOKUP(CONCATENATE(H348,F348,EY$2),Ciencias!$A:$H,7,FALSE)=BM348,1,0)</f>
        <v>#N/A</v>
      </c>
      <c r="EZ348" s="138" t="e">
        <f>IF(VLOOKUP(CONCATENATE(H348,F348,EZ$2),Ciencias!$A:$H,7,FALSE)=BN348,1,0)</f>
        <v>#N/A</v>
      </c>
      <c r="FA348" s="138" t="e">
        <f>IF(VLOOKUP(CONCATENATE(H348,F348,FA$2),Ciencias!$A:$H,7,FALSE)=BO348,1,0)</f>
        <v>#N/A</v>
      </c>
      <c r="FB348" s="138" t="e">
        <f>IF(VLOOKUP(CONCATENATE(H348,F348,FB$2),Ciencias!$A:$H,7,FALSE)=BP348,1,0)</f>
        <v>#N/A</v>
      </c>
      <c r="FC348" s="138" t="e">
        <f>IF(VLOOKUP(CONCATENATE(H348,F348,FC$2),Ciencias!$A:$H,7,FALSE)=BQ348,1,0)</f>
        <v>#N/A</v>
      </c>
      <c r="FD348" s="138" t="e">
        <f>IF(VLOOKUP(CONCATENATE(H348,F348,FD$2),Ciencias!$A:$H,7,FALSE)=BR348,1,0)</f>
        <v>#N/A</v>
      </c>
      <c r="FE348" s="138" t="e">
        <f>IF(VLOOKUP(CONCATENATE(H348,F348,FE$2),Ciencias!$A:$H,7,FALSE)=BS348,1,0)</f>
        <v>#N/A</v>
      </c>
      <c r="FF348" s="138" t="e">
        <f>IF(VLOOKUP(CONCATENATE(H348,F348,FF$2),Ciencias!$A:$H,7,FALSE)=BT348,1,0)</f>
        <v>#N/A</v>
      </c>
      <c r="FG348" s="138" t="e">
        <f>IF(VLOOKUP(CONCATENATE(H348,F348,FG$2),Ciencias!$A:$H,7,FALSE)=BU348,1,0)</f>
        <v>#N/A</v>
      </c>
      <c r="FH348" s="138" t="e">
        <f>IF(VLOOKUP(CONCATENATE(H348,F348,FH$2),Ciencias!$A:$H,7,FALSE)=BV348,1,0)</f>
        <v>#N/A</v>
      </c>
      <c r="FI348" s="138" t="e">
        <f>IF(VLOOKUP(CONCATENATE(H348,F348,FI$2),Ciencias!$A:$H,7,FALSE)=BW348,1,0)</f>
        <v>#N/A</v>
      </c>
      <c r="FJ348" s="138" t="e">
        <f>IF(VLOOKUP(CONCATENATE(H348,F348,FJ$2),Ciencias!$A:$H,7,FALSE)=BX348,1,0)</f>
        <v>#N/A</v>
      </c>
      <c r="FK348" s="138" t="e">
        <f>IF(VLOOKUP(CONCATENATE(H348,F348,FK$2),Ciencias!$A:$H,7,FALSE)=BY348,1,0)</f>
        <v>#N/A</v>
      </c>
      <c r="FL348" s="138" t="e">
        <f>IF(VLOOKUP(CONCATENATE(H348,F348,FL$2),Ciencias!$A:$H,7,FALSE)=BZ348,1,0)</f>
        <v>#N/A</v>
      </c>
      <c r="FM348" s="138" t="e">
        <f>IF(VLOOKUP(CONCATENATE(H348,F348,FM$2),Ciencias!$A:$H,7,FALSE)=CA348,1,0)</f>
        <v>#N/A</v>
      </c>
      <c r="FN348" s="138" t="e">
        <f>IF(VLOOKUP(CONCATENATE(H348,F348,FN$2),Ciencias!$A:$H,7,FALSE)=CB348,1,0)</f>
        <v>#N/A</v>
      </c>
      <c r="FO348" s="138" t="e">
        <f>IF(VLOOKUP(CONCATENATE(H348,F348,FO$2),Ciencias!$A:$H,7,FALSE)=CC348,1,0)</f>
        <v>#N/A</v>
      </c>
      <c r="FP348" s="138" t="e">
        <f>IF(VLOOKUP(CONCATENATE(H348,F348,FP$2),GeoHis!$A:$H,7,FALSE)=CD348,1,0)</f>
        <v>#N/A</v>
      </c>
      <c r="FQ348" s="138" t="e">
        <f>IF(VLOOKUP(CONCATENATE(H348,F348,FQ$2),GeoHis!$A:$H,7,FALSE)=CE348,1,0)</f>
        <v>#N/A</v>
      </c>
      <c r="FR348" s="138" t="e">
        <f>IF(VLOOKUP(CONCATENATE(H348,F348,FR$2),GeoHis!$A:$H,7,FALSE)=CF348,1,0)</f>
        <v>#N/A</v>
      </c>
      <c r="FS348" s="138" t="e">
        <f>IF(VLOOKUP(CONCATENATE(H348,F348,FS$2),GeoHis!$A:$H,7,FALSE)=CG348,1,0)</f>
        <v>#N/A</v>
      </c>
      <c r="FT348" s="138" t="e">
        <f>IF(VLOOKUP(CONCATENATE(H348,F348,FT$2),GeoHis!$A:$H,7,FALSE)=CH348,1,0)</f>
        <v>#N/A</v>
      </c>
      <c r="FU348" s="138" t="e">
        <f>IF(VLOOKUP(CONCATENATE(H348,F348,FU$2),GeoHis!$A:$H,7,FALSE)=CI348,1,0)</f>
        <v>#N/A</v>
      </c>
      <c r="FV348" s="138" t="e">
        <f>IF(VLOOKUP(CONCATENATE(H348,F348,FV$2),GeoHis!$A:$H,7,FALSE)=CJ348,1,0)</f>
        <v>#N/A</v>
      </c>
      <c r="FW348" s="138" t="e">
        <f>IF(VLOOKUP(CONCATENATE(H348,F348,FW$2),GeoHis!$A:$H,7,FALSE)=CK348,1,0)</f>
        <v>#N/A</v>
      </c>
      <c r="FX348" s="138" t="e">
        <f>IF(VLOOKUP(CONCATENATE(H348,F348,FX$2),GeoHis!$A:$H,7,FALSE)=CL348,1,0)</f>
        <v>#N/A</v>
      </c>
      <c r="FY348" s="138" t="e">
        <f>IF(VLOOKUP(CONCATENATE(H348,F348,FY$2),GeoHis!$A:$H,7,FALSE)=CM348,1,0)</f>
        <v>#N/A</v>
      </c>
      <c r="FZ348" s="138" t="e">
        <f>IF(VLOOKUP(CONCATENATE(H348,F348,FZ$2),GeoHis!$A:$H,7,FALSE)=CN348,1,0)</f>
        <v>#N/A</v>
      </c>
      <c r="GA348" s="138" t="e">
        <f>IF(VLOOKUP(CONCATENATE(H348,F348,GA$2),GeoHis!$A:$H,7,FALSE)=CO348,1,0)</f>
        <v>#N/A</v>
      </c>
      <c r="GB348" s="138" t="e">
        <f>IF(VLOOKUP(CONCATENATE(H348,F348,GB$2),GeoHis!$A:$H,7,FALSE)=CP348,1,0)</f>
        <v>#N/A</v>
      </c>
      <c r="GC348" s="138" t="e">
        <f>IF(VLOOKUP(CONCATENATE(H348,F348,GC$2),GeoHis!$A:$H,7,FALSE)=CQ348,1,0)</f>
        <v>#N/A</v>
      </c>
      <c r="GD348" s="138" t="e">
        <f>IF(VLOOKUP(CONCATENATE(H348,F348,GD$2),GeoHis!$A:$H,7,FALSE)=CR348,1,0)</f>
        <v>#N/A</v>
      </c>
      <c r="GE348" s="135" t="str">
        <f t="shared" si="47"/>
        <v/>
      </c>
    </row>
    <row r="349" spans="1:187" x14ac:dyDescent="0.25">
      <c r="A349" s="127" t="str">
        <f>IF(C349="","",'Datos Generales'!$A$25)</f>
        <v/>
      </c>
      <c r="D349" s="126" t="str">
        <f t="shared" si="40"/>
        <v/>
      </c>
      <c r="E349" s="126">
        <f t="shared" si="41"/>
        <v>0</v>
      </c>
      <c r="F349" s="126" t="str">
        <f t="shared" si="42"/>
        <v/>
      </c>
      <c r="G349" s="126" t="str">
        <f>IF(C349="","",'Datos Generales'!$D$19)</f>
        <v/>
      </c>
      <c r="H349" s="21" t="str">
        <f>IF(C349="","",'Datos Generales'!$A$19)</f>
        <v/>
      </c>
      <c r="I349" s="126" t="str">
        <f>IF(C349="","",'Datos Generales'!$A$7)</f>
        <v/>
      </c>
      <c r="J349" s="21" t="str">
        <f>IF(C349="","",'Datos Generales'!$A$13)</f>
        <v/>
      </c>
      <c r="K349" s="21" t="str">
        <f>IF(C349="","",'Datos Generales'!$A$10)</f>
        <v/>
      </c>
      <c r="CS349" s="142" t="str">
        <f t="shared" si="43"/>
        <v/>
      </c>
      <c r="CT349" s="142" t="str">
        <f t="shared" si="44"/>
        <v/>
      </c>
      <c r="CU349" s="142" t="str">
        <f t="shared" si="45"/>
        <v/>
      </c>
      <c r="CV349" s="142" t="str">
        <f t="shared" si="46"/>
        <v/>
      </c>
      <c r="CW349" s="142" t="str">
        <f>IF(C349="","",IF('Datos Generales'!$A$19=1,AVERAGE(FP349:GD349),AVERAGE(Captura!FP349:FY349)))</f>
        <v/>
      </c>
      <c r="CX349" s="138" t="e">
        <f>IF(VLOOKUP(CONCATENATE($H$4,$F$4,CX$2),Español!$A:$H,7,FALSE)=L349,1,0)</f>
        <v>#N/A</v>
      </c>
      <c r="CY349" s="138" t="e">
        <f>IF(VLOOKUP(CONCATENATE(H349,F349,CY$2),Español!$A:$H,7,FALSE)=M349,1,0)</f>
        <v>#N/A</v>
      </c>
      <c r="CZ349" s="138" t="e">
        <f>IF(VLOOKUP(CONCATENATE(H349,F349,CZ$2),Español!$A:$H,7,FALSE)=N349,1,0)</f>
        <v>#N/A</v>
      </c>
      <c r="DA349" s="138" t="e">
        <f>IF(VLOOKUP(CONCATENATE(H349,F349,DA$2),Español!$A:$H,7,FALSE)=O349,1,0)</f>
        <v>#N/A</v>
      </c>
      <c r="DB349" s="138" t="e">
        <f>IF(VLOOKUP(CONCATENATE(H349,F349,DB$2),Español!$A:$H,7,FALSE)=P349,1,0)</f>
        <v>#N/A</v>
      </c>
      <c r="DC349" s="138" t="e">
        <f>IF(VLOOKUP(CONCATENATE(H349,F349,DC$2),Español!$A:$H,7,FALSE)=Q349,1,0)</f>
        <v>#N/A</v>
      </c>
      <c r="DD349" s="138" t="e">
        <f>IF(VLOOKUP(CONCATENATE(H349,F349,DD$2),Español!$A:$H,7,FALSE)=R349,1,0)</f>
        <v>#N/A</v>
      </c>
      <c r="DE349" s="138" t="e">
        <f>IF(VLOOKUP(CONCATENATE(H349,F349,DE$2),Español!$A:$H,7,FALSE)=S349,1,0)</f>
        <v>#N/A</v>
      </c>
      <c r="DF349" s="138" t="e">
        <f>IF(VLOOKUP(CONCATENATE(H349,F349,DF$2),Español!$A:$H,7,FALSE)=T349,1,0)</f>
        <v>#N/A</v>
      </c>
      <c r="DG349" s="138" t="e">
        <f>IF(VLOOKUP(CONCATENATE(H349,F349,DG$2),Español!$A:$H,7,FALSE)=U349,1,0)</f>
        <v>#N/A</v>
      </c>
      <c r="DH349" s="138" t="e">
        <f>IF(VLOOKUP(CONCATENATE(H349,F349,DH$2),Español!$A:$H,7,FALSE)=V349,1,0)</f>
        <v>#N/A</v>
      </c>
      <c r="DI349" s="138" t="e">
        <f>IF(VLOOKUP(CONCATENATE(H349,F349,DI$2),Español!$A:$H,7,FALSE)=W349,1,0)</f>
        <v>#N/A</v>
      </c>
      <c r="DJ349" s="138" t="e">
        <f>IF(VLOOKUP(CONCATENATE(H349,F349,DJ$2),Español!$A:$H,7,FALSE)=X349,1,0)</f>
        <v>#N/A</v>
      </c>
      <c r="DK349" s="138" t="e">
        <f>IF(VLOOKUP(CONCATENATE(H349,F349,DK$2),Español!$A:$H,7,FALSE)=Y349,1,0)</f>
        <v>#N/A</v>
      </c>
      <c r="DL349" s="138" t="e">
        <f>IF(VLOOKUP(CONCATENATE(H349,F349,DL$2),Español!$A:$H,7,FALSE)=Z349,1,0)</f>
        <v>#N/A</v>
      </c>
      <c r="DM349" s="138" t="e">
        <f>IF(VLOOKUP(CONCATENATE(H349,F349,DM$2),Español!$A:$H,7,FALSE)=AA349,1,0)</f>
        <v>#N/A</v>
      </c>
      <c r="DN349" s="138" t="e">
        <f>IF(VLOOKUP(CONCATENATE(H349,F349,DN$2),Español!$A:$H,7,FALSE)=AB349,1,0)</f>
        <v>#N/A</v>
      </c>
      <c r="DO349" s="138" t="e">
        <f>IF(VLOOKUP(CONCATENATE(H349,F349,DO$2),Español!$A:$H,7,FALSE)=AC349,1,0)</f>
        <v>#N/A</v>
      </c>
      <c r="DP349" s="138" t="e">
        <f>IF(VLOOKUP(CONCATENATE(H349,F349,DP$2),Español!$A:$H,7,FALSE)=AD349,1,0)</f>
        <v>#N/A</v>
      </c>
      <c r="DQ349" s="138" t="e">
        <f>IF(VLOOKUP(CONCATENATE(H349,F349,DQ$2),Español!$A:$H,7,FALSE)=AE349,1,0)</f>
        <v>#N/A</v>
      </c>
      <c r="DR349" s="138" t="e">
        <f>IF(VLOOKUP(CONCATENATE(H349,F349,DR$2),Inglés!$A:$H,7,FALSE)=AF349,1,0)</f>
        <v>#N/A</v>
      </c>
      <c r="DS349" s="138" t="e">
        <f>IF(VLOOKUP(CONCATENATE(H349,F349,DS$2),Inglés!$A:$H,7,FALSE)=AG349,1,0)</f>
        <v>#N/A</v>
      </c>
      <c r="DT349" s="138" t="e">
        <f>IF(VLOOKUP(CONCATENATE(H349,F349,DT$2),Inglés!$A:$H,7,FALSE)=AH349,1,0)</f>
        <v>#N/A</v>
      </c>
      <c r="DU349" s="138" t="e">
        <f>IF(VLOOKUP(CONCATENATE(H349,F349,DU$2),Inglés!$A:$H,7,FALSE)=AI349,1,0)</f>
        <v>#N/A</v>
      </c>
      <c r="DV349" s="138" t="e">
        <f>IF(VLOOKUP(CONCATENATE(H349,F349,DV$2),Inglés!$A:$H,7,FALSE)=AJ349,1,0)</f>
        <v>#N/A</v>
      </c>
      <c r="DW349" s="138" t="e">
        <f>IF(VLOOKUP(CONCATENATE(H349,F349,DW$2),Inglés!$A:$H,7,FALSE)=AK349,1,0)</f>
        <v>#N/A</v>
      </c>
      <c r="DX349" s="138" t="e">
        <f>IF(VLOOKUP(CONCATENATE(H349,F349,DX$2),Inglés!$A:$H,7,FALSE)=AL349,1,0)</f>
        <v>#N/A</v>
      </c>
      <c r="DY349" s="138" t="e">
        <f>IF(VLOOKUP(CONCATENATE(H349,F349,DY$2),Inglés!$A:$H,7,FALSE)=AM349,1,0)</f>
        <v>#N/A</v>
      </c>
      <c r="DZ349" s="138" t="e">
        <f>IF(VLOOKUP(CONCATENATE(H349,F349,DZ$2),Inglés!$A:$H,7,FALSE)=AN349,1,0)</f>
        <v>#N/A</v>
      </c>
      <c r="EA349" s="138" t="e">
        <f>IF(VLOOKUP(CONCATENATE(H349,F349,EA$2),Inglés!$A:$H,7,FALSE)=AO349,1,0)</f>
        <v>#N/A</v>
      </c>
      <c r="EB349" s="138" t="e">
        <f>IF(VLOOKUP(CONCATENATE(H349,F349,EB$2),Matemáticas!$A:$H,7,FALSE)=AP349,1,0)</f>
        <v>#N/A</v>
      </c>
      <c r="EC349" s="138" t="e">
        <f>IF(VLOOKUP(CONCATENATE(H349,F349,EC$2),Matemáticas!$A:$H,7,FALSE)=AQ349,1,0)</f>
        <v>#N/A</v>
      </c>
      <c r="ED349" s="138" t="e">
        <f>IF(VLOOKUP(CONCATENATE(H349,F349,ED$2),Matemáticas!$A:$H,7,FALSE)=AR349,1,0)</f>
        <v>#N/A</v>
      </c>
      <c r="EE349" s="138" t="e">
        <f>IF(VLOOKUP(CONCATENATE(H349,F349,EE$2),Matemáticas!$A:$H,7,FALSE)=AS349,1,0)</f>
        <v>#N/A</v>
      </c>
      <c r="EF349" s="138" t="e">
        <f>IF(VLOOKUP(CONCATENATE(H349,F349,EF$2),Matemáticas!$A:$H,7,FALSE)=AT349,1,0)</f>
        <v>#N/A</v>
      </c>
      <c r="EG349" s="138" t="e">
        <f>IF(VLOOKUP(CONCATENATE(H349,F349,EG$2),Matemáticas!$A:$H,7,FALSE)=AU349,1,0)</f>
        <v>#N/A</v>
      </c>
      <c r="EH349" s="138" t="e">
        <f>IF(VLOOKUP(CONCATENATE(H349,F349,EH$2),Matemáticas!$A:$H,7,FALSE)=AV349,1,0)</f>
        <v>#N/A</v>
      </c>
      <c r="EI349" s="138" t="e">
        <f>IF(VLOOKUP(CONCATENATE(H349,F349,EI$2),Matemáticas!$A:$H,7,FALSE)=AW349,1,0)</f>
        <v>#N/A</v>
      </c>
      <c r="EJ349" s="138" t="e">
        <f>IF(VLOOKUP(CONCATENATE(H349,F349,EJ$2),Matemáticas!$A:$H,7,FALSE)=AX349,1,0)</f>
        <v>#N/A</v>
      </c>
      <c r="EK349" s="138" t="e">
        <f>IF(VLOOKUP(CONCATENATE(H349,F349,EK$2),Matemáticas!$A:$H,7,FALSE)=AY349,1,0)</f>
        <v>#N/A</v>
      </c>
      <c r="EL349" s="138" t="e">
        <f>IF(VLOOKUP(CONCATENATE(H349,F349,EL$2),Matemáticas!$A:$H,7,FALSE)=AZ349,1,0)</f>
        <v>#N/A</v>
      </c>
      <c r="EM349" s="138" t="e">
        <f>IF(VLOOKUP(CONCATENATE(H349,F349,EM$2),Matemáticas!$A:$H,7,FALSE)=BA349,1,0)</f>
        <v>#N/A</v>
      </c>
      <c r="EN349" s="138" t="e">
        <f>IF(VLOOKUP(CONCATENATE(H349,F349,EN$2),Matemáticas!$A:$H,7,FALSE)=BB349,1,0)</f>
        <v>#N/A</v>
      </c>
      <c r="EO349" s="138" t="e">
        <f>IF(VLOOKUP(CONCATENATE(H349,F349,EO$2),Matemáticas!$A:$H,7,FALSE)=BC349,1,0)</f>
        <v>#N/A</v>
      </c>
      <c r="EP349" s="138" t="e">
        <f>IF(VLOOKUP(CONCATENATE(H349,F349,EP$2),Matemáticas!$A:$H,7,FALSE)=BD349,1,0)</f>
        <v>#N/A</v>
      </c>
      <c r="EQ349" s="138" t="e">
        <f>IF(VLOOKUP(CONCATENATE(H349,F349,EQ$2),Matemáticas!$A:$H,7,FALSE)=BE349,1,0)</f>
        <v>#N/A</v>
      </c>
      <c r="ER349" s="138" t="e">
        <f>IF(VLOOKUP(CONCATENATE(H349,F349,ER$2),Matemáticas!$A:$H,7,FALSE)=BF349,1,0)</f>
        <v>#N/A</v>
      </c>
      <c r="ES349" s="138" t="e">
        <f>IF(VLOOKUP(CONCATENATE(H349,F349,ES$2),Matemáticas!$A:$H,7,FALSE)=BG349,1,0)</f>
        <v>#N/A</v>
      </c>
      <c r="ET349" s="138" t="e">
        <f>IF(VLOOKUP(CONCATENATE(H349,F349,ET$2),Matemáticas!$A:$H,7,FALSE)=BH349,1,0)</f>
        <v>#N/A</v>
      </c>
      <c r="EU349" s="138" t="e">
        <f>IF(VLOOKUP(CONCATENATE(H349,F349,EU$2),Matemáticas!$A:$H,7,FALSE)=BI349,1,0)</f>
        <v>#N/A</v>
      </c>
      <c r="EV349" s="138" t="e">
        <f>IF(VLOOKUP(CONCATENATE(H349,F349,EV$2),Ciencias!$A:$H,7,FALSE)=BJ349,1,0)</f>
        <v>#N/A</v>
      </c>
      <c r="EW349" s="138" t="e">
        <f>IF(VLOOKUP(CONCATENATE(H349,F349,EW$2),Ciencias!$A:$H,7,FALSE)=BK349,1,0)</f>
        <v>#N/A</v>
      </c>
      <c r="EX349" s="138" t="e">
        <f>IF(VLOOKUP(CONCATENATE(H349,F349,EX$2),Ciencias!$A:$H,7,FALSE)=BL349,1,0)</f>
        <v>#N/A</v>
      </c>
      <c r="EY349" s="138" t="e">
        <f>IF(VLOOKUP(CONCATENATE(H349,F349,EY$2),Ciencias!$A:$H,7,FALSE)=BM349,1,0)</f>
        <v>#N/A</v>
      </c>
      <c r="EZ349" s="138" t="e">
        <f>IF(VLOOKUP(CONCATENATE(H349,F349,EZ$2),Ciencias!$A:$H,7,FALSE)=BN349,1,0)</f>
        <v>#N/A</v>
      </c>
      <c r="FA349" s="138" t="e">
        <f>IF(VLOOKUP(CONCATENATE(H349,F349,FA$2),Ciencias!$A:$H,7,FALSE)=BO349,1,0)</f>
        <v>#N/A</v>
      </c>
      <c r="FB349" s="138" t="e">
        <f>IF(VLOOKUP(CONCATENATE(H349,F349,FB$2),Ciencias!$A:$H,7,FALSE)=BP349,1,0)</f>
        <v>#N/A</v>
      </c>
      <c r="FC349" s="138" t="e">
        <f>IF(VLOOKUP(CONCATENATE(H349,F349,FC$2),Ciencias!$A:$H,7,FALSE)=BQ349,1,0)</f>
        <v>#N/A</v>
      </c>
      <c r="FD349" s="138" t="e">
        <f>IF(VLOOKUP(CONCATENATE(H349,F349,FD$2),Ciencias!$A:$H,7,FALSE)=BR349,1,0)</f>
        <v>#N/A</v>
      </c>
      <c r="FE349" s="138" t="e">
        <f>IF(VLOOKUP(CONCATENATE(H349,F349,FE$2),Ciencias!$A:$H,7,FALSE)=BS349,1,0)</f>
        <v>#N/A</v>
      </c>
      <c r="FF349" s="138" t="e">
        <f>IF(VLOOKUP(CONCATENATE(H349,F349,FF$2),Ciencias!$A:$H,7,FALSE)=BT349,1,0)</f>
        <v>#N/A</v>
      </c>
      <c r="FG349" s="138" t="e">
        <f>IF(VLOOKUP(CONCATENATE(H349,F349,FG$2),Ciencias!$A:$H,7,FALSE)=BU349,1,0)</f>
        <v>#N/A</v>
      </c>
      <c r="FH349" s="138" t="e">
        <f>IF(VLOOKUP(CONCATENATE(H349,F349,FH$2),Ciencias!$A:$H,7,FALSE)=BV349,1,0)</f>
        <v>#N/A</v>
      </c>
      <c r="FI349" s="138" t="e">
        <f>IF(VLOOKUP(CONCATENATE(H349,F349,FI$2),Ciencias!$A:$H,7,FALSE)=BW349,1,0)</f>
        <v>#N/A</v>
      </c>
      <c r="FJ349" s="138" t="e">
        <f>IF(VLOOKUP(CONCATENATE(H349,F349,FJ$2),Ciencias!$A:$H,7,FALSE)=BX349,1,0)</f>
        <v>#N/A</v>
      </c>
      <c r="FK349" s="138" t="e">
        <f>IF(VLOOKUP(CONCATENATE(H349,F349,FK$2),Ciencias!$A:$H,7,FALSE)=BY349,1,0)</f>
        <v>#N/A</v>
      </c>
      <c r="FL349" s="138" t="e">
        <f>IF(VLOOKUP(CONCATENATE(H349,F349,FL$2),Ciencias!$A:$H,7,FALSE)=BZ349,1,0)</f>
        <v>#N/A</v>
      </c>
      <c r="FM349" s="138" t="e">
        <f>IF(VLOOKUP(CONCATENATE(H349,F349,FM$2),Ciencias!$A:$H,7,FALSE)=CA349,1,0)</f>
        <v>#N/A</v>
      </c>
      <c r="FN349" s="138" t="e">
        <f>IF(VLOOKUP(CONCATENATE(H349,F349,FN$2),Ciencias!$A:$H,7,FALSE)=CB349,1,0)</f>
        <v>#N/A</v>
      </c>
      <c r="FO349" s="138" t="e">
        <f>IF(VLOOKUP(CONCATENATE(H349,F349,FO$2),Ciencias!$A:$H,7,FALSE)=CC349,1,0)</f>
        <v>#N/A</v>
      </c>
      <c r="FP349" s="138" t="e">
        <f>IF(VLOOKUP(CONCATENATE(H349,F349,FP$2),GeoHis!$A:$H,7,FALSE)=CD349,1,0)</f>
        <v>#N/A</v>
      </c>
      <c r="FQ349" s="138" t="e">
        <f>IF(VLOOKUP(CONCATENATE(H349,F349,FQ$2),GeoHis!$A:$H,7,FALSE)=CE349,1,0)</f>
        <v>#N/A</v>
      </c>
      <c r="FR349" s="138" t="e">
        <f>IF(VLOOKUP(CONCATENATE(H349,F349,FR$2),GeoHis!$A:$H,7,FALSE)=CF349,1,0)</f>
        <v>#N/A</v>
      </c>
      <c r="FS349" s="138" t="e">
        <f>IF(VLOOKUP(CONCATENATE(H349,F349,FS$2),GeoHis!$A:$H,7,FALSE)=CG349,1,0)</f>
        <v>#N/A</v>
      </c>
      <c r="FT349" s="138" t="e">
        <f>IF(VLOOKUP(CONCATENATE(H349,F349,FT$2),GeoHis!$A:$H,7,FALSE)=CH349,1,0)</f>
        <v>#N/A</v>
      </c>
      <c r="FU349" s="138" t="e">
        <f>IF(VLOOKUP(CONCATENATE(H349,F349,FU$2),GeoHis!$A:$H,7,FALSE)=CI349,1,0)</f>
        <v>#N/A</v>
      </c>
      <c r="FV349" s="138" t="e">
        <f>IF(VLOOKUP(CONCATENATE(H349,F349,FV$2),GeoHis!$A:$H,7,FALSE)=CJ349,1,0)</f>
        <v>#N/A</v>
      </c>
      <c r="FW349" s="138" t="e">
        <f>IF(VLOOKUP(CONCATENATE(H349,F349,FW$2),GeoHis!$A:$H,7,FALSE)=CK349,1,0)</f>
        <v>#N/A</v>
      </c>
      <c r="FX349" s="138" t="e">
        <f>IF(VLOOKUP(CONCATENATE(H349,F349,FX$2),GeoHis!$A:$H,7,FALSE)=CL349,1,0)</f>
        <v>#N/A</v>
      </c>
      <c r="FY349" s="138" t="e">
        <f>IF(VLOOKUP(CONCATENATE(H349,F349,FY$2),GeoHis!$A:$H,7,FALSE)=CM349,1,0)</f>
        <v>#N/A</v>
      </c>
      <c r="FZ349" s="138" t="e">
        <f>IF(VLOOKUP(CONCATENATE(H349,F349,FZ$2),GeoHis!$A:$H,7,FALSE)=CN349,1,0)</f>
        <v>#N/A</v>
      </c>
      <c r="GA349" s="138" t="e">
        <f>IF(VLOOKUP(CONCATENATE(H349,F349,GA$2),GeoHis!$A:$H,7,FALSE)=CO349,1,0)</f>
        <v>#N/A</v>
      </c>
      <c r="GB349" s="138" t="e">
        <f>IF(VLOOKUP(CONCATENATE(H349,F349,GB$2),GeoHis!$A:$H,7,FALSE)=CP349,1,0)</f>
        <v>#N/A</v>
      </c>
      <c r="GC349" s="138" t="e">
        <f>IF(VLOOKUP(CONCATENATE(H349,F349,GC$2),GeoHis!$A:$H,7,FALSE)=CQ349,1,0)</f>
        <v>#N/A</v>
      </c>
      <c r="GD349" s="138" t="e">
        <f>IF(VLOOKUP(CONCATENATE(H349,F349,GD$2),GeoHis!$A:$H,7,FALSE)=CR349,1,0)</f>
        <v>#N/A</v>
      </c>
      <c r="GE349" s="135" t="str">
        <f t="shared" si="47"/>
        <v/>
      </c>
    </row>
    <row r="350" spans="1:187" x14ac:dyDescent="0.25">
      <c r="A350" s="127" t="str">
        <f>IF(C350="","",'Datos Generales'!$A$25)</f>
        <v/>
      </c>
      <c r="D350" s="126" t="str">
        <f t="shared" si="40"/>
        <v/>
      </c>
      <c r="E350" s="126">
        <f t="shared" si="41"/>
        <v>0</v>
      </c>
      <c r="F350" s="126" t="str">
        <f t="shared" si="42"/>
        <v/>
      </c>
      <c r="G350" s="126" t="str">
        <f>IF(C350="","",'Datos Generales'!$D$19)</f>
        <v/>
      </c>
      <c r="H350" s="21" t="str">
        <f>IF(C350="","",'Datos Generales'!$A$19)</f>
        <v/>
      </c>
      <c r="I350" s="126" t="str">
        <f>IF(C350="","",'Datos Generales'!$A$7)</f>
        <v/>
      </c>
      <c r="J350" s="21" t="str">
        <f>IF(C350="","",'Datos Generales'!$A$13)</f>
        <v/>
      </c>
      <c r="K350" s="21" t="str">
        <f>IF(C350="","",'Datos Generales'!$A$10)</f>
        <v/>
      </c>
      <c r="CS350" s="142" t="str">
        <f t="shared" si="43"/>
        <v/>
      </c>
      <c r="CT350" s="142" t="str">
        <f t="shared" si="44"/>
        <v/>
      </c>
      <c r="CU350" s="142" t="str">
        <f t="shared" si="45"/>
        <v/>
      </c>
      <c r="CV350" s="142" t="str">
        <f t="shared" si="46"/>
        <v/>
      </c>
      <c r="CW350" s="142" t="str">
        <f>IF(C350="","",IF('Datos Generales'!$A$19=1,AVERAGE(FP350:GD350),AVERAGE(Captura!FP350:FY350)))</f>
        <v/>
      </c>
      <c r="CX350" s="138" t="e">
        <f>IF(VLOOKUP(CONCATENATE($H$4,$F$4,CX$2),Español!$A:$H,7,FALSE)=L350,1,0)</f>
        <v>#N/A</v>
      </c>
      <c r="CY350" s="138" t="e">
        <f>IF(VLOOKUP(CONCATENATE(H350,F350,CY$2),Español!$A:$H,7,FALSE)=M350,1,0)</f>
        <v>#N/A</v>
      </c>
      <c r="CZ350" s="138" t="e">
        <f>IF(VLOOKUP(CONCATENATE(H350,F350,CZ$2),Español!$A:$H,7,FALSE)=N350,1,0)</f>
        <v>#N/A</v>
      </c>
      <c r="DA350" s="138" t="e">
        <f>IF(VLOOKUP(CONCATENATE(H350,F350,DA$2),Español!$A:$H,7,FALSE)=O350,1,0)</f>
        <v>#N/A</v>
      </c>
      <c r="DB350" s="138" t="e">
        <f>IF(VLOOKUP(CONCATENATE(H350,F350,DB$2),Español!$A:$H,7,FALSE)=P350,1,0)</f>
        <v>#N/A</v>
      </c>
      <c r="DC350" s="138" t="e">
        <f>IF(VLOOKUP(CONCATENATE(H350,F350,DC$2),Español!$A:$H,7,FALSE)=Q350,1,0)</f>
        <v>#N/A</v>
      </c>
      <c r="DD350" s="138" t="e">
        <f>IF(VLOOKUP(CONCATENATE(H350,F350,DD$2),Español!$A:$H,7,FALSE)=R350,1,0)</f>
        <v>#N/A</v>
      </c>
      <c r="DE350" s="138" t="e">
        <f>IF(VLOOKUP(CONCATENATE(H350,F350,DE$2),Español!$A:$H,7,FALSE)=S350,1,0)</f>
        <v>#N/A</v>
      </c>
      <c r="DF350" s="138" t="e">
        <f>IF(VLOOKUP(CONCATENATE(H350,F350,DF$2),Español!$A:$H,7,FALSE)=T350,1,0)</f>
        <v>#N/A</v>
      </c>
      <c r="DG350" s="138" t="e">
        <f>IF(VLOOKUP(CONCATENATE(H350,F350,DG$2),Español!$A:$H,7,FALSE)=U350,1,0)</f>
        <v>#N/A</v>
      </c>
      <c r="DH350" s="138" t="e">
        <f>IF(VLOOKUP(CONCATENATE(H350,F350,DH$2),Español!$A:$H,7,FALSE)=V350,1,0)</f>
        <v>#N/A</v>
      </c>
      <c r="DI350" s="138" t="e">
        <f>IF(VLOOKUP(CONCATENATE(H350,F350,DI$2),Español!$A:$H,7,FALSE)=W350,1,0)</f>
        <v>#N/A</v>
      </c>
      <c r="DJ350" s="138" t="e">
        <f>IF(VLOOKUP(CONCATENATE(H350,F350,DJ$2),Español!$A:$H,7,FALSE)=X350,1,0)</f>
        <v>#N/A</v>
      </c>
      <c r="DK350" s="138" t="e">
        <f>IF(VLOOKUP(CONCATENATE(H350,F350,DK$2),Español!$A:$H,7,FALSE)=Y350,1,0)</f>
        <v>#N/A</v>
      </c>
      <c r="DL350" s="138" t="e">
        <f>IF(VLOOKUP(CONCATENATE(H350,F350,DL$2),Español!$A:$H,7,FALSE)=Z350,1,0)</f>
        <v>#N/A</v>
      </c>
      <c r="DM350" s="138" t="e">
        <f>IF(VLOOKUP(CONCATENATE(H350,F350,DM$2),Español!$A:$H,7,FALSE)=AA350,1,0)</f>
        <v>#N/A</v>
      </c>
      <c r="DN350" s="138" t="e">
        <f>IF(VLOOKUP(CONCATENATE(H350,F350,DN$2),Español!$A:$H,7,FALSE)=AB350,1,0)</f>
        <v>#N/A</v>
      </c>
      <c r="DO350" s="138" t="e">
        <f>IF(VLOOKUP(CONCATENATE(H350,F350,DO$2),Español!$A:$H,7,FALSE)=AC350,1,0)</f>
        <v>#N/A</v>
      </c>
      <c r="DP350" s="138" t="e">
        <f>IF(VLOOKUP(CONCATENATE(H350,F350,DP$2),Español!$A:$H,7,FALSE)=AD350,1,0)</f>
        <v>#N/A</v>
      </c>
      <c r="DQ350" s="138" t="e">
        <f>IF(VLOOKUP(CONCATENATE(H350,F350,DQ$2),Español!$A:$H,7,FALSE)=AE350,1,0)</f>
        <v>#N/A</v>
      </c>
      <c r="DR350" s="138" t="e">
        <f>IF(VLOOKUP(CONCATENATE(H350,F350,DR$2),Inglés!$A:$H,7,FALSE)=AF350,1,0)</f>
        <v>#N/A</v>
      </c>
      <c r="DS350" s="138" t="e">
        <f>IF(VLOOKUP(CONCATENATE(H350,F350,DS$2),Inglés!$A:$H,7,FALSE)=AG350,1,0)</f>
        <v>#N/A</v>
      </c>
      <c r="DT350" s="138" t="e">
        <f>IF(VLOOKUP(CONCATENATE(H350,F350,DT$2),Inglés!$A:$H,7,FALSE)=AH350,1,0)</f>
        <v>#N/A</v>
      </c>
      <c r="DU350" s="138" t="e">
        <f>IF(VLOOKUP(CONCATENATE(H350,F350,DU$2),Inglés!$A:$H,7,FALSE)=AI350,1,0)</f>
        <v>#N/A</v>
      </c>
      <c r="DV350" s="138" t="e">
        <f>IF(VLOOKUP(CONCATENATE(H350,F350,DV$2),Inglés!$A:$H,7,FALSE)=AJ350,1,0)</f>
        <v>#N/A</v>
      </c>
      <c r="DW350" s="138" t="e">
        <f>IF(VLOOKUP(CONCATENATE(H350,F350,DW$2),Inglés!$A:$H,7,FALSE)=AK350,1,0)</f>
        <v>#N/A</v>
      </c>
      <c r="DX350" s="138" t="e">
        <f>IF(VLOOKUP(CONCATENATE(H350,F350,DX$2),Inglés!$A:$H,7,FALSE)=AL350,1,0)</f>
        <v>#N/A</v>
      </c>
      <c r="DY350" s="138" t="e">
        <f>IF(VLOOKUP(CONCATENATE(H350,F350,DY$2),Inglés!$A:$H,7,FALSE)=AM350,1,0)</f>
        <v>#N/A</v>
      </c>
      <c r="DZ350" s="138" t="e">
        <f>IF(VLOOKUP(CONCATENATE(H350,F350,DZ$2),Inglés!$A:$H,7,FALSE)=AN350,1,0)</f>
        <v>#N/A</v>
      </c>
      <c r="EA350" s="138" t="e">
        <f>IF(VLOOKUP(CONCATENATE(H350,F350,EA$2),Inglés!$A:$H,7,FALSE)=AO350,1,0)</f>
        <v>#N/A</v>
      </c>
      <c r="EB350" s="138" t="e">
        <f>IF(VLOOKUP(CONCATENATE(H350,F350,EB$2),Matemáticas!$A:$H,7,FALSE)=AP350,1,0)</f>
        <v>#N/A</v>
      </c>
      <c r="EC350" s="138" t="e">
        <f>IF(VLOOKUP(CONCATENATE(H350,F350,EC$2),Matemáticas!$A:$H,7,FALSE)=AQ350,1,0)</f>
        <v>#N/A</v>
      </c>
      <c r="ED350" s="138" t="e">
        <f>IF(VLOOKUP(CONCATENATE(H350,F350,ED$2),Matemáticas!$A:$H,7,FALSE)=AR350,1,0)</f>
        <v>#N/A</v>
      </c>
      <c r="EE350" s="138" t="e">
        <f>IF(VLOOKUP(CONCATENATE(H350,F350,EE$2),Matemáticas!$A:$H,7,FALSE)=AS350,1,0)</f>
        <v>#N/A</v>
      </c>
      <c r="EF350" s="138" t="e">
        <f>IF(VLOOKUP(CONCATENATE(H350,F350,EF$2),Matemáticas!$A:$H,7,FALSE)=AT350,1,0)</f>
        <v>#N/A</v>
      </c>
      <c r="EG350" s="138" t="e">
        <f>IF(VLOOKUP(CONCATENATE(H350,F350,EG$2),Matemáticas!$A:$H,7,FALSE)=AU350,1,0)</f>
        <v>#N/A</v>
      </c>
      <c r="EH350" s="138" t="e">
        <f>IF(VLOOKUP(CONCATENATE(H350,F350,EH$2),Matemáticas!$A:$H,7,FALSE)=AV350,1,0)</f>
        <v>#N/A</v>
      </c>
      <c r="EI350" s="138" t="e">
        <f>IF(VLOOKUP(CONCATENATE(H350,F350,EI$2),Matemáticas!$A:$H,7,FALSE)=AW350,1,0)</f>
        <v>#N/A</v>
      </c>
      <c r="EJ350" s="138" t="e">
        <f>IF(VLOOKUP(CONCATENATE(H350,F350,EJ$2),Matemáticas!$A:$H,7,FALSE)=AX350,1,0)</f>
        <v>#N/A</v>
      </c>
      <c r="EK350" s="138" t="e">
        <f>IF(VLOOKUP(CONCATENATE(H350,F350,EK$2),Matemáticas!$A:$H,7,FALSE)=AY350,1,0)</f>
        <v>#N/A</v>
      </c>
      <c r="EL350" s="138" t="e">
        <f>IF(VLOOKUP(CONCATENATE(H350,F350,EL$2),Matemáticas!$A:$H,7,FALSE)=AZ350,1,0)</f>
        <v>#N/A</v>
      </c>
      <c r="EM350" s="138" t="e">
        <f>IF(VLOOKUP(CONCATENATE(H350,F350,EM$2),Matemáticas!$A:$H,7,FALSE)=BA350,1,0)</f>
        <v>#N/A</v>
      </c>
      <c r="EN350" s="138" t="e">
        <f>IF(VLOOKUP(CONCATENATE(H350,F350,EN$2),Matemáticas!$A:$H,7,FALSE)=BB350,1,0)</f>
        <v>#N/A</v>
      </c>
      <c r="EO350" s="138" t="e">
        <f>IF(VLOOKUP(CONCATENATE(H350,F350,EO$2),Matemáticas!$A:$H,7,FALSE)=BC350,1,0)</f>
        <v>#N/A</v>
      </c>
      <c r="EP350" s="138" t="e">
        <f>IF(VLOOKUP(CONCATENATE(H350,F350,EP$2),Matemáticas!$A:$H,7,FALSE)=BD350,1,0)</f>
        <v>#N/A</v>
      </c>
      <c r="EQ350" s="138" t="e">
        <f>IF(VLOOKUP(CONCATENATE(H350,F350,EQ$2),Matemáticas!$A:$H,7,FALSE)=BE350,1,0)</f>
        <v>#N/A</v>
      </c>
      <c r="ER350" s="138" t="e">
        <f>IF(VLOOKUP(CONCATENATE(H350,F350,ER$2),Matemáticas!$A:$H,7,FALSE)=BF350,1,0)</f>
        <v>#N/A</v>
      </c>
      <c r="ES350" s="138" t="e">
        <f>IF(VLOOKUP(CONCATENATE(H350,F350,ES$2),Matemáticas!$A:$H,7,FALSE)=BG350,1,0)</f>
        <v>#N/A</v>
      </c>
      <c r="ET350" s="138" t="e">
        <f>IF(VLOOKUP(CONCATENATE(H350,F350,ET$2),Matemáticas!$A:$H,7,FALSE)=BH350,1,0)</f>
        <v>#N/A</v>
      </c>
      <c r="EU350" s="138" t="e">
        <f>IF(VLOOKUP(CONCATENATE(H350,F350,EU$2),Matemáticas!$A:$H,7,FALSE)=BI350,1,0)</f>
        <v>#N/A</v>
      </c>
      <c r="EV350" s="138" t="e">
        <f>IF(VLOOKUP(CONCATENATE(H350,F350,EV$2),Ciencias!$A:$H,7,FALSE)=BJ350,1,0)</f>
        <v>#N/A</v>
      </c>
      <c r="EW350" s="138" t="e">
        <f>IF(VLOOKUP(CONCATENATE(H350,F350,EW$2),Ciencias!$A:$H,7,FALSE)=BK350,1,0)</f>
        <v>#N/A</v>
      </c>
      <c r="EX350" s="138" t="e">
        <f>IF(VLOOKUP(CONCATENATE(H350,F350,EX$2),Ciencias!$A:$H,7,FALSE)=BL350,1,0)</f>
        <v>#N/A</v>
      </c>
      <c r="EY350" s="138" t="e">
        <f>IF(VLOOKUP(CONCATENATE(H350,F350,EY$2),Ciencias!$A:$H,7,FALSE)=BM350,1,0)</f>
        <v>#N/A</v>
      </c>
      <c r="EZ350" s="138" t="e">
        <f>IF(VLOOKUP(CONCATENATE(H350,F350,EZ$2),Ciencias!$A:$H,7,FALSE)=BN350,1,0)</f>
        <v>#N/A</v>
      </c>
      <c r="FA350" s="138" t="e">
        <f>IF(VLOOKUP(CONCATENATE(H350,F350,FA$2),Ciencias!$A:$H,7,FALSE)=BO350,1,0)</f>
        <v>#N/A</v>
      </c>
      <c r="FB350" s="138" t="e">
        <f>IF(VLOOKUP(CONCATENATE(H350,F350,FB$2),Ciencias!$A:$H,7,FALSE)=BP350,1,0)</f>
        <v>#N/A</v>
      </c>
      <c r="FC350" s="138" t="e">
        <f>IF(VLOOKUP(CONCATENATE(H350,F350,FC$2),Ciencias!$A:$H,7,FALSE)=BQ350,1,0)</f>
        <v>#N/A</v>
      </c>
      <c r="FD350" s="138" t="e">
        <f>IF(VLOOKUP(CONCATENATE(H350,F350,FD$2),Ciencias!$A:$H,7,FALSE)=BR350,1,0)</f>
        <v>#N/A</v>
      </c>
      <c r="FE350" s="138" t="e">
        <f>IF(VLOOKUP(CONCATENATE(H350,F350,FE$2),Ciencias!$A:$H,7,FALSE)=BS350,1,0)</f>
        <v>#N/A</v>
      </c>
      <c r="FF350" s="138" t="e">
        <f>IF(VLOOKUP(CONCATENATE(H350,F350,FF$2),Ciencias!$A:$H,7,FALSE)=BT350,1,0)</f>
        <v>#N/A</v>
      </c>
      <c r="FG350" s="138" t="e">
        <f>IF(VLOOKUP(CONCATENATE(H350,F350,FG$2),Ciencias!$A:$H,7,FALSE)=BU350,1,0)</f>
        <v>#N/A</v>
      </c>
      <c r="FH350" s="138" t="e">
        <f>IF(VLOOKUP(CONCATENATE(H350,F350,FH$2),Ciencias!$A:$H,7,FALSE)=BV350,1,0)</f>
        <v>#N/A</v>
      </c>
      <c r="FI350" s="138" t="e">
        <f>IF(VLOOKUP(CONCATENATE(H350,F350,FI$2),Ciencias!$A:$H,7,FALSE)=BW350,1,0)</f>
        <v>#N/A</v>
      </c>
      <c r="FJ350" s="138" t="e">
        <f>IF(VLOOKUP(CONCATENATE(H350,F350,FJ$2),Ciencias!$A:$H,7,FALSE)=BX350,1,0)</f>
        <v>#N/A</v>
      </c>
      <c r="FK350" s="138" t="e">
        <f>IF(VLOOKUP(CONCATENATE(H350,F350,FK$2),Ciencias!$A:$H,7,FALSE)=BY350,1,0)</f>
        <v>#N/A</v>
      </c>
      <c r="FL350" s="138" t="e">
        <f>IF(VLOOKUP(CONCATENATE(H350,F350,FL$2),Ciencias!$A:$H,7,FALSE)=BZ350,1,0)</f>
        <v>#N/A</v>
      </c>
      <c r="FM350" s="138" t="e">
        <f>IF(VLOOKUP(CONCATENATE(H350,F350,FM$2),Ciencias!$A:$H,7,FALSE)=CA350,1,0)</f>
        <v>#N/A</v>
      </c>
      <c r="FN350" s="138" t="e">
        <f>IF(VLOOKUP(CONCATENATE(H350,F350,FN$2),Ciencias!$A:$H,7,FALSE)=CB350,1,0)</f>
        <v>#N/A</v>
      </c>
      <c r="FO350" s="138" t="e">
        <f>IF(VLOOKUP(CONCATENATE(H350,F350,FO$2),Ciencias!$A:$H,7,FALSE)=CC350,1,0)</f>
        <v>#N/A</v>
      </c>
      <c r="FP350" s="138" t="e">
        <f>IF(VLOOKUP(CONCATENATE(H350,F350,FP$2),GeoHis!$A:$H,7,FALSE)=CD350,1,0)</f>
        <v>#N/A</v>
      </c>
      <c r="FQ350" s="138" t="e">
        <f>IF(VLOOKUP(CONCATENATE(H350,F350,FQ$2),GeoHis!$A:$H,7,FALSE)=CE350,1,0)</f>
        <v>#N/A</v>
      </c>
      <c r="FR350" s="138" t="e">
        <f>IF(VLOOKUP(CONCATENATE(H350,F350,FR$2),GeoHis!$A:$H,7,FALSE)=CF350,1,0)</f>
        <v>#N/A</v>
      </c>
      <c r="FS350" s="138" t="e">
        <f>IF(VLOOKUP(CONCATENATE(H350,F350,FS$2),GeoHis!$A:$H,7,FALSE)=CG350,1,0)</f>
        <v>#N/A</v>
      </c>
      <c r="FT350" s="138" t="e">
        <f>IF(VLOOKUP(CONCATENATE(H350,F350,FT$2),GeoHis!$A:$H,7,FALSE)=CH350,1,0)</f>
        <v>#N/A</v>
      </c>
      <c r="FU350" s="138" t="e">
        <f>IF(VLOOKUP(CONCATENATE(H350,F350,FU$2),GeoHis!$A:$H,7,FALSE)=CI350,1,0)</f>
        <v>#N/A</v>
      </c>
      <c r="FV350" s="138" t="e">
        <f>IF(VLOOKUP(CONCATENATE(H350,F350,FV$2),GeoHis!$A:$H,7,FALSE)=CJ350,1,0)</f>
        <v>#N/A</v>
      </c>
      <c r="FW350" s="138" t="e">
        <f>IF(VLOOKUP(CONCATENATE(H350,F350,FW$2),GeoHis!$A:$H,7,FALSE)=CK350,1,0)</f>
        <v>#N/A</v>
      </c>
      <c r="FX350" s="138" t="e">
        <f>IF(VLOOKUP(CONCATENATE(H350,F350,FX$2),GeoHis!$A:$H,7,FALSE)=CL350,1,0)</f>
        <v>#N/A</v>
      </c>
      <c r="FY350" s="138" t="e">
        <f>IF(VLOOKUP(CONCATENATE(H350,F350,FY$2),GeoHis!$A:$H,7,FALSE)=CM350,1,0)</f>
        <v>#N/A</v>
      </c>
      <c r="FZ350" s="138" t="e">
        <f>IF(VLOOKUP(CONCATENATE(H350,F350,FZ$2),GeoHis!$A:$H,7,FALSE)=CN350,1,0)</f>
        <v>#N/A</v>
      </c>
      <c r="GA350" s="138" t="e">
        <f>IF(VLOOKUP(CONCATENATE(H350,F350,GA$2),GeoHis!$A:$H,7,FALSE)=CO350,1,0)</f>
        <v>#N/A</v>
      </c>
      <c r="GB350" s="138" t="e">
        <f>IF(VLOOKUP(CONCATENATE(H350,F350,GB$2),GeoHis!$A:$H,7,FALSE)=CP350,1,0)</f>
        <v>#N/A</v>
      </c>
      <c r="GC350" s="138" t="e">
        <f>IF(VLOOKUP(CONCATENATE(H350,F350,GC$2),GeoHis!$A:$H,7,FALSE)=CQ350,1,0)</f>
        <v>#N/A</v>
      </c>
      <c r="GD350" s="138" t="e">
        <f>IF(VLOOKUP(CONCATENATE(H350,F350,GD$2),GeoHis!$A:$H,7,FALSE)=CR350,1,0)</f>
        <v>#N/A</v>
      </c>
      <c r="GE350" s="135" t="str">
        <f t="shared" si="47"/>
        <v/>
      </c>
    </row>
    <row r="351" spans="1:187" x14ac:dyDescent="0.25">
      <c r="A351" s="127" t="str">
        <f>IF(C351="","",'Datos Generales'!$A$25)</f>
        <v/>
      </c>
      <c r="D351" s="126" t="str">
        <f t="shared" si="40"/>
        <v/>
      </c>
      <c r="E351" s="126">
        <f t="shared" si="41"/>
        <v>0</v>
      </c>
      <c r="F351" s="126" t="str">
        <f t="shared" si="42"/>
        <v/>
      </c>
      <c r="G351" s="126" t="str">
        <f>IF(C351="","",'Datos Generales'!$D$19)</f>
        <v/>
      </c>
      <c r="H351" s="21" t="str">
        <f>IF(C351="","",'Datos Generales'!$A$19)</f>
        <v/>
      </c>
      <c r="I351" s="126" t="str">
        <f>IF(C351="","",'Datos Generales'!$A$7)</f>
        <v/>
      </c>
      <c r="J351" s="21" t="str">
        <f>IF(C351="","",'Datos Generales'!$A$13)</f>
        <v/>
      </c>
      <c r="K351" s="21" t="str">
        <f>IF(C351="","",'Datos Generales'!$A$10)</f>
        <v/>
      </c>
      <c r="CS351" s="142" t="str">
        <f t="shared" si="43"/>
        <v/>
      </c>
      <c r="CT351" s="142" t="str">
        <f t="shared" si="44"/>
        <v/>
      </c>
      <c r="CU351" s="142" t="str">
        <f t="shared" si="45"/>
        <v/>
      </c>
      <c r="CV351" s="142" t="str">
        <f t="shared" si="46"/>
        <v/>
      </c>
      <c r="CW351" s="142" t="str">
        <f>IF(C351="","",IF('Datos Generales'!$A$19=1,AVERAGE(FP351:GD351),AVERAGE(Captura!FP351:FY351)))</f>
        <v/>
      </c>
      <c r="CX351" s="138" t="e">
        <f>IF(VLOOKUP(CONCATENATE($H$4,$F$4,CX$2),Español!$A:$H,7,FALSE)=L351,1,0)</f>
        <v>#N/A</v>
      </c>
      <c r="CY351" s="138" t="e">
        <f>IF(VLOOKUP(CONCATENATE(H351,F351,CY$2),Español!$A:$H,7,FALSE)=M351,1,0)</f>
        <v>#N/A</v>
      </c>
      <c r="CZ351" s="138" t="e">
        <f>IF(VLOOKUP(CONCATENATE(H351,F351,CZ$2),Español!$A:$H,7,FALSE)=N351,1,0)</f>
        <v>#N/A</v>
      </c>
      <c r="DA351" s="138" t="e">
        <f>IF(VLOOKUP(CONCATENATE(H351,F351,DA$2),Español!$A:$H,7,FALSE)=O351,1,0)</f>
        <v>#N/A</v>
      </c>
      <c r="DB351" s="138" t="e">
        <f>IF(VLOOKUP(CONCATENATE(H351,F351,DB$2),Español!$A:$H,7,FALSE)=P351,1,0)</f>
        <v>#N/A</v>
      </c>
      <c r="DC351" s="138" t="e">
        <f>IF(VLOOKUP(CONCATENATE(H351,F351,DC$2),Español!$A:$H,7,FALSE)=Q351,1,0)</f>
        <v>#N/A</v>
      </c>
      <c r="DD351" s="138" t="e">
        <f>IF(VLOOKUP(CONCATENATE(H351,F351,DD$2),Español!$A:$H,7,FALSE)=R351,1,0)</f>
        <v>#N/A</v>
      </c>
      <c r="DE351" s="138" t="e">
        <f>IF(VLOOKUP(CONCATENATE(H351,F351,DE$2),Español!$A:$H,7,FALSE)=S351,1,0)</f>
        <v>#N/A</v>
      </c>
      <c r="DF351" s="138" t="e">
        <f>IF(VLOOKUP(CONCATENATE(H351,F351,DF$2),Español!$A:$H,7,FALSE)=T351,1,0)</f>
        <v>#N/A</v>
      </c>
      <c r="DG351" s="138" t="e">
        <f>IF(VLOOKUP(CONCATENATE(H351,F351,DG$2),Español!$A:$H,7,FALSE)=U351,1,0)</f>
        <v>#N/A</v>
      </c>
      <c r="DH351" s="138" t="e">
        <f>IF(VLOOKUP(CONCATENATE(H351,F351,DH$2),Español!$A:$H,7,FALSE)=V351,1,0)</f>
        <v>#N/A</v>
      </c>
      <c r="DI351" s="138" t="e">
        <f>IF(VLOOKUP(CONCATENATE(H351,F351,DI$2),Español!$A:$H,7,FALSE)=W351,1,0)</f>
        <v>#N/A</v>
      </c>
      <c r="DJ351" s="138" t="e">
        <f>IF(VLOOKUP(CONCATENATE(H351,F351,DJ$2),Español!$A:$H,7,FALSE)=X351,1,0)</f>
        <v>#N/A</v>
      </c>
      <c r="DK351" s="138" t="e">
        <f>IF(VLOOKUP(CONCATENATE(H351,F351,DK$2),Español!$A:$H,7,FALSE)=Y351,1,0)</f>
        <v>#N/A</v>
      </c>
      <c r="DL351" s="138" t="e">
        <f>IF(VLOOKUP(CONCATENATE(H351,F351,DL$2),Español!$A:$H,7,FALSE)=Z351,1,0)</f>
        <v>#N/A</v>
      </c>
      <c r="DM351" s="138" t="e">
        <f>IF(VLOOKUP(CONCATENATE(H351,F351,DM$2),Español!$A:$H,7,FALSE)=AA351,1,0)</f>
        <v>#N/A</v>
      </c>
      <c r="DN351" s="138" t="e">
        <f>IF(VLOOKUP(CONCATENATE(H351,F351,DN$2),Español!$A:$H,7,FALSE)=AB351,1,0)</f>
        <v>#N/A</v>
      </c>
      <c r="DO351" s="138" t="e">
        <f>IF(VLOOKUP(CONCATENATE(H351,F351,DO$2),Español!$A:$H,7,FALSE)=AC351,1,0)</f>
        <v>#N/A</v>
      </c>
      <c r="DP351" s="138" t="e">
        <f>IF(VLOOKUP(CONCATENATE(H351,F351,DP$2),Español!$A:$H,7,FALSE)=AD351,1,0)</f>
        <v>#N/A</v>
      </c>
      <c r="DQ351" s="138" t="e">
        <f>IF(VLOOKUP(CONCATENATE(H351,F351,DQ$2),Español!$A:$H,7,FALSE)=AE351,1,0)</f>
        <v>#N/A</v>
      </c>
      <c r="DR351" s="138" t="e">
        <f>IF(VLOOKUP(CONCATENATE(H351,F351,DR$2),Inglés!$A:$H,7,FALSE)=AF351,1,0)</f>
        <v>#N/A</v>
      </c>
      <c r="DS351" s="138" t="e">
        <f>IF(VLOOKUP(CONCATENATE(H351,F351,DS$2),Inglés!$A:$H,7,FALSE)=AG351,1,0)</f>
        <v>#N/A</v>
      </c>
      <c r="DT351" s="138" t="e">
        <f>IF(VLOOKUP(CONCATENATE(H351,F351,DT$2),Inglés!$A:$H,7,FALSE)=AH351,1,0)</f>
        <v>#N/A</v>
      </c>
      <c r="DU351" s="138" t="e">
        <f>IF(VLOOKUP(CONCATENATE(H351,F351,DU$2),Inglés!$A:$H,7,FALSE)=AI351,1,0)</f>
        <v>#N/A</v>
      </c>
      <c r="DV351" s="138" t="e">
        <f>IF(VLOOKUP(CONCATENATE(H351,F351,DV$2),Inglés!$A:$H,7,FALSE)=AJ351,1,0)</f>
        <v>#N/A</v>
      </c>
      <c r="DW351" s="138" t="e">
        <f>IF(VLOOKUP(CONCATENATE(H351,F351,DW$2),Inglés!$A:$H,7,FALSE)=AK351,1,0)</f>
        <v>#N/A</v>
      </c>
      <c r="DX351" s="138" t="e">
        <f>IF(VLOOKUP(CONCATENATE(H351,F351,DX$2),Inglés!$A:$H,7,FALSE)=AL351,1,0)</f>
        <v>#N/A</v>
      </c>
      <c r="DY351" s="138" t="e">
        <f>IF(VLOOKUP(CONCATENATE(H351,F351,DY$2),Inglés!$A:$H,7,FALSE)=AM351,1,0)</f>
        <v>#N/A</v>
      </c>
      <c r="DZ351" s="138" t="e">
        <f>IF(VLOOKUP(CONCATENATE(H351,F351,DZ$2),Inglés!$A:$H,7,FALSE)=AN351,1,0)</f>
        <v>#N/A</v>
      </c>
      <c r="EA351" s="138" t="e">
        <f>IF(VLOOKUP(CONCATENATE(H351,F351,EA$2),Inglés!$A:$H,7,FALSE)=AO351,1,0)</f>
        <v>#N/A</v>
      </c>
      <c r="EB351" s="138" t="e">
        <f>IF(VLOOKUP(CONCATENATE(H351,F351,EB$2),Matemáticas!$A:$H,7,FALSE)=AP351,1,0)</f>
        <v>#N/A</v>
      </c>
      <c r="EC351" s="138" t="e">
        <f>IF(VLOOKUP(CONCATENATE(H351,F351,EC$2),Matemáticas!$A:$H,7,FALSE)=AQ351,1,0)</f>
        <v>#N/A</v>
      </c>
      <c r="ED351" s="138" t="e">
        <f>IF(VLOOKUP(CONCATENATE(H351,F351,ED$2),Matemáticas!$A:$H,7,FALSE)=AR351,1,0)</f>
        <v>#N/A</v>
      </c>
      <c r="EE351" s="138" t="e">
        <f>IF(VLOOKUP(CONCATENATE(H351,F351,EE$2),Matemáticas!$A:$H,7,FALSE)=AS351,1,0)</f>
        <v>#N/A</v>
      </c>
      <c r="EF351" s="138" t="e">
        <f>IF(VLOOKUP(CONCATENATE(H351,F351,EF$2),Matemáticas!$A:$H,7,FALSE)=AT351,1,0)</f>
        <v>#N/A</v>
      </c>
      <c r="EG351" s="138" t="e">
        <f>IF(VLOOKUP(CONCATENATE(H351,F351,EG$2),Matemáticas!$A:$H,7,FALSE)=AU351,1,0)</f>
        <v>#N/A</v>
      </c>
      <c r="EH351" s="138" t="e">
        <f>IF(VLOOKUP(CONCATENATE(H351,F351,EH$2),Matemáticas!$A:$H,7,FALSE)=AV351,1,0)</f>
        <v>#N/A</v>
      </c>
      <c r="EI351" s="138" t="e">
        <f>IF(VLOOKUP(CONCATENATE(H351,F351,EI$2),Matemáticas!$A:$H,7,FALSE)=AW351,1,0)</f>
        <v>#N/A</v>
      </c>
      <c r="EJ351" s="138" t="e">
        <f>IF(VLOOKUP(CONCATENATE(H351,F351,EJ$2),Matemáticas!$A:$H,7,FALSE)=AX351,1,0)</f>
        <v>#N/A</v>
      </c>
      <c r="EK351" s="138" t="e">
        <f>IF(VLOOKUP(CONCATENATE(H351,F351,EK$2),Matemáticas!$A:$H,7,FALSE)=AY351,1,0)</f>
        <v>#N/A</v>
      </c>
      <c r="EL351" s="138" t="e">
        <f>IF(VLOOKUP(CONCATENATE(H351,F351,EL$2),Matemáticas!$A:$H,7,FALSE)=AZ351,1,0)</f>
        <v>#N/A</v>
      </c>
      <c r="EM351" s="138" t="e">
        <f>IF(VLOOKUP(CONCATENATE(H351,F351,EM$2),Matemáticas!$A:$H,7,FALSE)=BA351,1,0)</f>
        <v>#N/A</v>
      </c>
      <c r="EN351" s="138" t="e">
        <f>IF(VLOOKUP(CONCATENATE(H351,F351,EN$2),Matemáticas!$A:$H,7,FALSE)=BB351,1,0)</f>
        <v>#N/A</v>
      </c>
      <c r="EO351" s="138" t="e">
        <f>IF(VLOOKUP(CONCATENATE(H351,F351,EO$2),Matemáticas!$A:$H,7,FALSE)=BC351,1,0)</f>
        <v>#N/A</v>
      </c>
      <c r="EP351" s="138" t="e">
        <f>IF(VLOOKUP(CONCATENATE(H351,F351,EP$2),Matemáticas!$A:$H,7,FALSE)=BD351,1,0)</f>
        <v>#N/A</v>
      </c>
      <c r="EQ351" s="138" t="e">
        <f>IF(VLOOKUP(CONCATENATE(H351,F351,EQ$2),Matemáticas!$A:$H,7,FALSE)=BE351,1,0)</f>
        <v>#N/A</v>
      </c>
      <c r="ER351" s="138" t="e">
        <f>IF(VLOOKUP(CONCATENATE(H351,F351,ER$2),Matemáticas!$A:$H,7,FALSE)=BF351,1,0)</f>
        <v>#N/A</v>
      </c>
      <c r="ES351" s="138" t="e">
        <f>IF(VLOOKUP(CONCATENATE(H351,F351,ES$2),Matemáticas!$A:$H,7,FALSE)=BG351,1,0)</f>
        <v>#N/A</v>
      </c>
      <c r="ET351" s="138" t="e">
        <f>IF(VLOOKUP(CONCATENATE(H351,F351,ET$2),Matemáticas!$A:$H,7,FALSE)=BH351,1,0)</f>
        <v>#N/A</v>
      </c>
      <c r="EU351" s="138" t="e">
        <f>IF(VLOOKUP(CONCATENATE(H351,F351,EU$2),Matemáticas!$A:$H,7,FALSE)=BI351,1,0)</f>
        <v>#N/A</v>
      </c>
      <c r="EV351" s="138" t="e">
        <f>IF(VLOOKUP(CONCATENATE(H351,F351,EV$2),Ciencias!$A:$H,7,FALSE)=BJ351,1,0)</f>
        <v>#N/A</v>
      </c>
      <c r="EW351" s="138" t="e">
        <f>IF(VLOOKUP(CONCATENATE(H351,F351,EW$2),Ciencias!$A:$H,7,FALSE)=BK351,1,0)</f>
        <v>#N/A</v>
      </c>
      <c r="EX351" s="138" t="e">
        <f>IF(VLOOKUP(CONCATENATE(H351,F351,EX$2),Ciencias!$A:$H,7,FALSE)=BL351,1,0)</f>
        <v>#N/A</v>
      </c>
      <c r="EY351" s="138" t="e">
        <f>IF(VLOOKUP(CONCATENATE(H351,F351,EY$2),Ciencias!$A:$H,7,FALSE)=BM351,1,0)</f>
        <v>#N/A</v>
      </c>
      <c r="EZ351" s="138" t="e">
        <f>IF(VLOOKUP(CONCATENATE(H351,F351,EZ$2),Ciencias!$A:$H,7,FALSE)=BN351,1,0)</f>
        <v>#N/A</v>
      </c>
      <c r="FA351" s="138" t="e">
        <f>IF(VLOOKUP(CONCATENATE(H351,F351,FA$2),Ciencias!$A:$H,7,FALSE)=BO351,1,0)</f>
        <v>#N/A</v>
      </c>
      <c r="FB351" s="138" t="e">
        <f>IF(VLOOKUP(CONCATENATE(H351,F351,FB$2),Ciencias!$A:$H,7,FALSE)=BP351,1,0)</f>
        <v>#N/A</v>
      </c>
      <c r="FC351" s="138" t="e">
        <f>IF(VLOOKUP(CONCATENATE(H351,F351,FC$2),Ciencias!$A:$H,7,FALSE)=BQ351,1,0)</f>
        <v>#N/A</v>
      </c>
      <c r="FD351" s="138" t="e">
        <f>IF(VLOOKUP(CONCATENATE(H351,F351,FD$2),Ciencias!$A:$H,7,FALSE)=BR351,1,0)</f>
        <v>#N/A</v>
      </c>
      <c r="FE351" s="138" t="e">
        <f>IF(VLOOKUP(CONCATENATE(H351,F351,FE$2),Ciencias!$A:$H,7,FALSE)=BS351,1,0)</f>
        <v>#N/A</v>
      </c>
      <c r="FF351" s="138" t="e">
        <f>IF(VLOOKUP(CONCATENATE(H351,F351,FF$2),Ciencias!$A:$H,7,FALSE)=BT351,1,0)</f>
        <v>#N/A</v>
      </c>
      <c r="FG351" s="138" t="e">
        <f>IF(VLOOKUP(CONCATENATE(H351,F351,FG$2),Ciencias!$A:$H,7,FALSE)=BU351,1,0)</f>
        <v>#N/A</v>
      </c>
      <c r="FH351" s="138" t="e">
        <f>IF(VLOOKUP(CONCATENATE(H351,F351,FH$2),Ciencias!$A:$H,7,FALSE)=BV351,1,0)</f>
        <v>#N/A</v>
      </c>
      <c r="FI351" s="138" t="e">
        <f>IF(VLOOKUP(CONCATENATE(H351,F351,FI$2),Ciencias!$A:$H,7,FALSE)=BW351,1,0)</f>
        <v>#N/A</v>
      </c>
      <c r="FJ351" s="138" t="e">
        <f>IF(VLOOKUP(CONCATENATE(H351,F351,FJ$2),Ciencias!$A:$H,7,FALSE)=BX351,1,0)</f>
        <v>#N/A</v>
      </c>
      <c r="FK351" s="138" t="e">
        <f>IF(VLOOKUP(CONCATENATE(H351,F351,FK$2),Ciencias!$A:$H,7,FALSE)=BY351,1,0)</f>
        <v>#N/A</v>
      </c>
      <c r="FL351" s="138" t="e">
        <f>IF(VLOOKUP(CONCATENATE(H351,F351,FL$2),Ciencias!$A:$H,7,FALSE)=BZ351,1,0)</f>
        <v>#N/A</v>
      </c>
      <c r="FM351" s="138" t="e">
        <f>IF(VLOOKUP(CONCATENATE(H351,F351,FM$2),Ciencias!$A:$H,7,FALSE)=CA351,1,0)</f>
        <v>#N/A</v>
      </c>
      <c r="FN351" s="138" t="e">
        <f>IF(VLOOKUP(CONCATENATE(H351,F351,FN$2),Ciencias!$A:$H,7,FALSE)=CB351,1,0)</f>
        <v>#N/A</v>
      </c>
      <c r="FO351" s="138" t="e">
        <f>IF(VLOOKUP(CONCATENATE(H351,F351,FO$2),Ciencias!$A:$H,7,FALSE)=CC351,1,0)</f>
        <v>#N/A</v>
      </c>
      <c r="FP351" s="138" t="e">
        <f>IF(VLOOKUP(CONCATENATE(H351,F351,FP$2),GeoHis!$A:$H,7,FALSE)=CD351,1,0)</f>
        <v>#N/A</v>
      </c>
      <c r="FQ351" s="138" t="e">
        <f>IF(VLOOKUP(CONCATENATE(H351,F351,FQ$2),GeoHis!$A:$H,7,FALSE)=CE351,1,0)</f>
        <v>#N/A</v>
      </c>
      <c r="FR351" s="138" t="e">
        <f>IF(VLOOKUP(CONCATENATE(H351,F351,FR$2),GeoHis!$A:$H,7,FALSE)=CF351,1,0)</f>
        <v>#N/A</v>
      </c>
      <c r="FS351" s="138" t="e">
        <f>IF(VLOOKUP(CONCATENATE(H351,F351,FS$2),GeoHis!$A:$H,7,FALSE)=CG351,1,0)</f>
        <v>#N/A</v>
      </c>
      <c r="FT351" s="138" t="e">
        <f>IF(VLOOKUP(CONCATENATE(H351,F351,FT$2),GeoHis!$A:$H,7,FALSE)=CH351,1,0)</f>
        <v>#N/A</v>
      </c>
      <c r="FU351" s="138" t="e">
        <f>IF(VLOOKUP(CONCATENATE(H351,F351,FU$2),GeoHis!$A:$H,7,FALSE)=CI351,1,0)</f>
        <v>#N/A</v>
      </c>
      <c r="FV351" s="138" t="e">
        <f>IF(VLOOKUP(CONCATENATE(H351,F351,FV$2),GeoHis!$A:$H,7,FALSE)=CJ351,1,0)</f>
        <v>#N/A</v>
      </c>
      <c r="FW351" s="138" t="e">
        <f>IF(VLOOKUP(CONCATENATE(H351,F351,FW$2),GeoHis!$A:$H,7,FALSE)=CK351,1,0)</f>
        <v>#N/A</v>
      </c>
      <c r="FX351" s="138" t="e">
        <f>IF(VLOOKUP(CONCATENATE(H351,F351,FX$2),GeoHis!$A:$H,7,FALSE)=CL351,1,0)</f>
        <v>#N/A</v>
      </c>
      <c r="FY351" s="138" t="e">
        <f>IF(VLOOKUP(CONCATENATE(H351,F351,FY$2),GeoHis!$A:$H,7,FALSE)=CM351,1,0)</f>
        <v>#N/A</v>
      </c>
      <c r="FZ351" s="138" t="e">
        <f>IF(VLOOKUP(CONCATENATE(H351,F351,FZ$2),GeoHis!$A:$H,7,FALSE)=CN351,1,0)</f>
        <v>#N/A</v>
      </c>
      <c r="GA351" s="138" t="e">
        <f>IF(VLOOKUP(CONCATENATE(H351,F351,GA$2),GeoHis!$A:$H,7,FALSE)=CO351,1,0)</f>
        <v>#N/A</v>
      </c>
      <c r="GB351" s="138" t="e">
        <f>IF(VLOOKUP(CONCATENATE(H351,F351,GB$2),GeoHis!$A:$H,7,FALSE)=CP351,1,0)</f>
        <v>#N/A</v>
      </c>
      <c r="GC351" s="138" t="e">
        <f>IF(VLOOKUP(CONCATENATE(H351,F351,GC$2),GeoHis!$A:$H,7,FALSE)=CQ351,1,0)</f>
        <v>#N/A</v>
      </c>
      <c r="GD351" s="138" t="e">
        <f>IF(VLOOKUP(CONCATENATE(H351,F351,GD$2),GeoHis!$A:$H,7,FALSE)=CR351,1,0)</f>
        <v>#N/A</v>
      </c>
      <c r="GE351" s="135" t="str">
        <f t="shared" si="47"/>
        <v/>
      </c>
    </row>
    <row r="352" spans="1:187" x14ac:dyDescent="0.25">
      <c r="A352" s="127" t="str">
        <f>IF(C352="","",'Datos Generales'!$A$25)</f>
        <v/>
      </c>
      <c r="D352" s="126" t="str">
        <f t="shared" si="40"/>
        <v/>
      </c>
      <c r="E352" s="126">
        <f t="shared" si="41"/>
        <v>0</v>
      </c>
      <c r="F352" s="126" t="str">
        <f t="shared" si="42"/>
        <v/>
      </c>
      <c r="G352" s="126" t="str">
        <f>IF(C352="","",'Datos Generales'!$D$19)</f>
        <v/>
      </c>
      <c r="H352" s="21" t="str">
        <f>IF(C352="","",'Datos Generales'!$A$19)</f>
        <v/>
      </c>
      <c r="I352" s="126" t="str">
        <f>IF(C352="","",'Datos Generales'!$A$7)</f>
        <v/>
      </c>
      <c r="J352" s="21" t="str">
        <f>IF(C352="","",'Datos Generales'!$A$13)</f>
        <v/>
      </c>
      <c r="K352" s="21" t="str">
        <f>IF(C352="","",'Datos Generales'!$A$10)</f>
        <v/>
      </c>
      <c r="CS352" s="142" t="str">
        <f t="shared" si="43"/>
        <v/>
      </c>
      <c r="CT352" s="142" t="str">
        <f t="shared" si="44"/>
        <v/>
      </c>
      <c r="CU352" s="142" t="str">
        <f t="shared" si="45"/>
        <v/>
      </c>
      <c r="CV352" s="142" t="str">
        <f t="shared" si="46"/>
        <v/>
      </c>
      <c r="CW352" s="142" t="str">
        <f>IF(C352="","",IF('Datos Generales'!$A$19=1,AVERAGE(FP352:GD352),AVERAGE(Captura!FP352:FY352)))</f>
        <v/>
      </c>
      <c r="CX352" s="138" t="e">
        <f>IF(VLOOKUP(CONCATENATE($H$4,$F$4,CX$2),Español!$A:$H,7,FALSE)=L352,1,0)</f>
        <v>#N/A</v>
      </c>
      <c r="CY352" s="138" t="e">
        <f>IF(VLOOKUP(CONCATENATE(H352,F352,CY$2),Español!$A:$H,7,FALSE)=M352,1,0)</f>
        <v>#N/A</v>
      </c>
      <c r="CZ352" s="138" t="e">
        <f>IF(VLOOKUP(CONCATENATE(H352,F352,CZ$2),Español!$A:$H,7,FALSE)=N352,1,0)</f>
        <v>#N/A</v>
      </c>
      <c r="DA352" s="138" t="e">
        <f>IF(VLOOKUP(CONCATENATE(H352,F352,DA$2),Español!$A:$H,7,FALSE)=O352,1,0)</f>
        <v>#N/A</v>
      </c>
      <c r="DB352" s="138" t="e">
        <f>IF(VLOOKUP(CONCATENATE(H352,F352,DB$2),Español!$A:$H,7,FALSE)=P352,1,0)</f>
        <v>#N/A</v>
      </c>
      <c r="DC352" s="138" t="e">
        <f>IF(VLOOKUP(CONCATENATE(H352,F352,DC$2),Español!$A:$H,7,FALSE)=Q352,1,0)</f>
        <v>#N/A</v>
      </c>
      <c r="DD352" s="138" t="e">
        <f>IF(VLOOKUP(CONCATENATE(H352,F352,DD$2),Español!$A:$H,7,FALSE)=R352,1,0)</f>
        <v>#N/A</v>
      </c>
      <c r="DE352" s="138" t="e">
        <f>IF(VLOOKUP(CONCATENATE(H352,F352,DE$2),Español!$A:$H,7,FALSE)=S352,1,0)</f>
        <v>#N/A</v>
      </c>
      <c r="DF352" s="138" t="e">
        <f>IF(VLOOKUP(CONCATENATE(H352,F352,DF$2),Español!$A:$H,7,FALSE)=T352,1,0)</f>
        <v>#N/A</v>
      </c>
      <c r="DG352" s="138" t="e">
        <f>IF(VLOOKUP(CONCATENATE(H352,F352,DG$2),Español!$A:$H,7,FALSE)=U352,1,0)</f>
        <v>#N/A</v>
      </c>
      <c r="DH352" s="138" t="e">
        <f>IF(VLOOKUP(CONCATENATE(H352,F352,DH$2),Español!$A:$H,7,FALSE)=V352,1,0)</f>
        <v>#N/A</v>
      </c>
      <c r="DI352" s="138" t="e">
        <f>IF(VLOOKUP(CONCATENATE(H352,F352,DI$2),Español!$A:$H,7,FALSE)=W352,1,0)</f>
        <v>#N/A</v>
      </c>
      <c r="DJ352" s="138" t="e">
        <f>IF(VLOOKUP(CONCATENATE(H352,F352,DJ$2),Español!$A:$H,7,FALSE)=X352,1,0)</f>
        <v>#N/A</v>
      </c>
      <c r="DK352" s="138" t="e">
        <f>IF(VLOOKUP(CONCATENATE(H352,F352,DK$2),Español!$A:$H,7,FALSE)=Y352,1,0)</f>
        <v>#N/A</v>
      </c>
      <c r="DL352" s="138" t="e">
        <f>IF(VLOOKUP(CONCATENATE(H352,F352,DL$2),Español!$A:$H,7,FALSE)=Z352,1,0)</f>
        <v>#N/A</v>
      </c>
      <c r="DM352" s="138" t="e">
        <f>IF(VLOOKUP(CONCATENATE(H352,F352,DM$2),Español!$A:$H,7,FALSE)=AA352,1,0)</f>
        <v>#N/A</v>
      </c>
      <c r="DN352" s="138" t="e">
        <f>IF(VLOOKUP(CONCATENATE(H352,F352,DN$2),Español!$A:$H,7,FALSE)=AB352,1,0)</f>
        <v>#N/A</v>
      </c>
      <c r="DO352" s="138" t="e">
        <f>IF(VLOOKUP(CONCATENATE(H352,F352,DO$2),Español!$A:$H,7,FALSE)=AC352,1,0)</f>
        <v>#N/A</v>
      </c>
      <c r="DP352" s="138" t="e">
        <f>IF(VLOOKUP(CONCATENATE(H352,F352,DP$2),Español!$A:$H,7,FALSE)=AD352,1,0)</f>
        <v>#N/A</v>
      </c>
      <c r="DQ352" s="138" t="e">
        <f>IF(VLOOKUP(CONCATENATE(H352,F352,DQ$2),Español!$A:$H,7,FALSE)=AE352,1,0)</f>
        <v>#N/A</v>
      </c>
      <c r="DR352" s="138" t="e">
        <f>IF(VLOOKUP(CONCATENATE(H352,F352,DR$2),Inglés!$A:$H,7,FALSE)=AF352,1,0)</f>
        <v>#N/A</v>
      </c>
      <c r="DS352" s="138" t="e">
        <f>IF(VLOOKUP(CONCATENATE(H352,F352,DS$2),Inglés!$A:$H,7,FALSE)=AG352,1,0)</f>
        <v>#N/A</v>
      </c>
      <c r="DT352" s="138" t="e">
        <f>IF(VLOOKUP(CONCATENATE(H352,F352,DT$2),Inglés!$A:$H,7,FALSE)=AH352,1,0)</f>
        <v>#N/A</v>
      </c>
      <c r="DU352" s="138" t="e">
        <f>IF(VLOOKUP(CONCATENATE(H352,F352,DU$2),Inglés!$A:$H,7,FALSE)=AI352,1,0)</f>
        <v>#N/A</v>
      </c>
      <c r="DV352" s="138" t="e">
        <f>IF(VLOOKUP(CONCATENATE(H352,F352,DV$2),Inglés!$A:$H,7,FALSE)=AJ352,1,0)</f>
        <v>#N/A</v>
      </c>
      <c r="DW352" s="138" t="e">
        <f>IF(VLOOKUP(CONCATENATE(H352,F352,DW$2),Inglés!$A:$H,7,FALSE)=AK352,1,0)</f>
        <v>#N/A</v>
      </c>
      <c r="DX352" s="138" t="e">
        <f>IF(VLOOKUP(CONCATENATE(H352,F352,DX$2),Inglés!$A:$H,7,FALSE)=AL352,1,0)</f>
        <v>#N/A</v>
      </c>
      <c r="DY352" s="138" t="e">
        <f>IF(VLOOKUP(CONCATENATE(H352,F352,DY$2),Inglés!$A:$H,7,FALSE)=AM352,1,0)</f>
        <v>#N/A</v>
      </c>
      <c r="DZ352" s="138" t="e">
        <f>IF(VLOOKUP(CONCATENATE(H352,F352,DZ$2),Inglés!$A:$H,7,FALSE)=AN352,1,0)</f>
        <v>#N/A</v>
      </c>
      <c r="EA352" s="138" t="e">
        <f>IF(VLOOKUP(CONCATENATE(H352,F352,EA$2),Inglés!$A:$H,7,FALSE)=AO352,1,0)</f>
        <v>#N/A</v>
      </c>
      <c r="EB352" s="138" t="e">
        <f>IF(VLOOKUP(CONCATENATE(H352,F352,EB$2),Matemáticas!$A:$H,7,FALSE)=AP352,1,0)</f>
        <v>#N/A</v>
      </c>
      <c r="EC352" s="138" t="e">
        <f>IF(VLOOKUP(CONCATENATE(H352,F352,EC$2),Matemáticas!$A:$H,7,FALSE)=AQ352,1,0)</f>
        <v>#N/A</v>
      </c>
      <c r="ED352" s="138" t="e">
        <f>IF(VLOOKUP(CONCATENATE(H352,F352,ED$2),Matemáticas!$A:$H,7,FALSE)=AR352,1,0)</f>
        <v>#N/A</v>
      </c>
      <c r="EE352" s="138" t="e">
        <f>IF(VLOOKUP(CONCATENATE(H352,F352,EE$2),Matemáticas!$A:$H,7,FALSE)=AS352,1,0)</f>
        <v>#N/A</v>
      </c>
      <c r="EF352" s="138" t="e">
        <f>IF(VLOOKUP(CONCATENATE(H352,F352,EF$2),Matemáticas!$A:$H,7,FALSE)=AT352,1,0)</f>
        <v>#N/A</v>
      </c>
      <c r="EG352" s="138" t="e">
        <f>IF(VLOOKUP(CONCATENATE(H352,F352,EG$2),Matemáticas!$A:$H,7,FALSE)=AU352,1,0)</f>
        <v>#N/A</v>
      </c>
      <c r="EH352" s="138" t="e">
        <f>IF(VLOOKUP(CONCATENATE(H352,F352,EH$2),Matemáticas!$A:$H,7,FALSE)=AV352,1,0)</f>
        <v>#N/A</v>
      </c>
      <c r="EI352" s="138" t="e">
        <f>IF(VLOOKUP(CONCATENATE(H352,F352,EI$2),Matemáticas!$A:$H,7,FALSE)=AW352,1,0)</f>
        <v>#N/A</v>
      </c>
      <c r="EJ352" s="138" t="e">
        <f>IF(VLOOKUP(CONCATENATE(H352,F352,EJ$2),Matemáticas!$A:$H,7,FALSE)=AX352,1,0)</f>
        <v>#N/A</v>
      </c>
      <c r="EK352" s="138" t="e">
        <f>IF(VLOOKUP(CONCATENATE(H352,F352,EK$2),Matemáticas!$A:$H,7,FALSE)=AY352,1,0)</f>
        <v>#N/A</v>
      </c>
      <c r="EL352" s="138" t="e">
        <f>IF(VLOOKUP(CONCATENATE(H352,F352,EL$2),Matemáticas!$A:$H,7,FALSE)=AZ352,1,0)</f>
        <v>#N/A</v>
      </c>
      <c r="EM352" s="138" t="e">
        <f>IF(VLOOKUP(CONCATENATE(H352,F352,EM$2),Matemáticas!$A:$H,7,FALSE)=BA352,1,0)</f>
        <v>#N/A</v>
      </c>
      <c r="EN352" s="138" t="e">
        <f>IF(VLOOKUP(CONCATENATE(H352,F352,EN$2),Matemáticas!$A:$H,7,FALSE)=BB352,1,0)</f>
        <v>#N/A</v>
      </c>
      <c r="EO352" s="138" t="e">
        <f>IF(VLOOKUP(CONCATENATE(H352,F352,EO$2),Matemáticas!$A:$H,7,FALSE)=BC352,1,0)</f>
        <v>#N/A</v>
      </c>
      <c r="EP352" s="138" t="e">
        <f>IF(VLOOKUP(CONCATENATE(H352,F352,EP$2),Matemáticas!$A:$H,7,FALSE)=BD352,1,0)</f>
        <v>#N/A</v>
      </c>
      <c r="EQ352" s="138" t="e">
        <f>IF(VLOOKUP(CONCATENATE(H352,F352,EQ$2),Matemáticas!$A:$H,7,FALSE)=BE352,1,0)</f>
        <v>#N/A</v>
      </c>
      <c r="ER352" s="138" t="e">
        <f>IF(VLOOKUP(CONCATENATE(H352,F352,ER$2),Matemáticas!$A:$H,7,FALSE)=BF352,1,0)</f>
        <v>#N/A</v>
      </c>
      <c r="ES352" s="138" t="e">
        <f>IF(VLOOKUP(CONCATENATE(H352,F352,ES$2),Matemáticas!$A:$H,7,FALSE)=BG352,1,0)</f>
        <v>#N/A</v>
      </c>
      <c r="ET352" s="138" t="e">
        <f>IF(VLOOKUP(CONCATENATE(H352,F352,ET$2),Matemáticas!$A:$H,7,FALSE)=BH352,1,0)</f>
        <v>#N/A</v>
      </c>
      <c r="EU352" s="138" t="e">
        <f>IF(VLOOKUP(CONCATENATE(H352,F352,EU$2),Matemáticas!$A:$H,7,FALSE)=BI352,1,0)</f>
        <v>#N/A</v>
      </c>
      <c r="EV352" s="138" t="e">
        <f>IF(VLOOKUP(CONCATENATE(H352,F352,EV$2),Ciencias!$A:$H,7,FALSE)=BJ352,1,0)</f>
        <v>#N/A</v>
      </c>
      <c r="EW352" s="138" t="e">
        <f>IF(VLOOKUP(CONCATENATE(H352,F352,EW$2),Ciencias!$A:$H,7,FALSE)=BK352,1,0)</f>
        <v>#N/A</v>
      </c>
      <c r="EX352" s="138" t="e">
        <f>IF(VLOOKUP(CONCATENATE(H352,F352,EX$2),Ciencias!$A:$H,7,FALSE)=BL352,1,0)</f>
        <v>#N/A</v>
      </c>
      <c r="EY352" s="138" t="e">
        <f>IF(VLOOKUP(CONCATENATE(H352,F352,EY$2),Ciencias!$A:$H,7,FALSE)=BM352,1,0)</f>
        <v>#N/A</v>
      </c>
      <c r="EZ352" s="138" t="e">
        <f>IF(VLOOKUP(CONCATENATE(H352,F352,EZ$2),Ciencias!$A:$H,7,FALSE)=BN352,1,0)</f>
        <v>#N/A</v>
      </c>
      <c r="FA352" s="138" t="e">
        <f>IF(VLOOKUP(CONCATENATE(H352,F352,FA$2),Ciencias!$A:$H,7,FALSE)=BO352,1,0)</f>
        <v>#N/A</v>
      </c>
      <c r="FB352" s="138" t="e">
        <f>IF(VLOOKUP(CONCATENATE(H352,F352,FB$2),Ciencias!$A:$H,7,FALSE)=BP352,1,0)</f>
        <v>#N/A</v>
      </c>
      <c r="FC352" s="138" t="e">
        <f>IF(VLOOKUP(CONCATENATE(H352,F352,FC$2),Ciencias!$A:$H,7,FALSE)=BQ352,1,0)</f>
        <v>#N/A</v>
      </c>
      <c r="FD352" s="138" t="e">
        <f>IF(VLOOKUP(CONCATENATE(H352,F352,FD$2),Ciencias!$A:$H,7,FALSE)=BR352,1,0)</f>
        <v>#N/A</v>
      </c>
      <c r="FE352" s="138" t="e">
        <f>IF(VLOOKUP(CONCATENATE(H352,F352,FE$2),Ciencias!$A:$H,7,FALSE)=BS352,1,0)</f>
        <v>#N/A</v>
      </c>
      <c r="FF352" s="138" t="e">
        <f>IF(VLOOKUP(CONCATENATE(H352,F352,FF$2),Ciencias!$A:$H,7,FALSE)=BT352,1,0)</f>
        <v>#N/A</v>
      </c>
      <c r="FG352" s="138" t="e">
        <f>IF(VLOOKUP(CONCATENATE(H352,F352,FG$2),Ciencias!$A:$H,7,FALSE)=BU352,1,0)</f>
        <v>#N/A</v>
      </c>
      <c r="FH352" s="138" t="e">
        <f>IF(VLOOKUP(CONCATENATE(H352,F352,FH$2),Ciencias!$A:$H,7,FALSE)=BV352,1,0)</f>
        <v>#N/A</v>
      </c>
      <c r="FI352" s="138" t="e">
        <f>IF(VLOOKUP(CONCATENATE(H352,F352,FI$2),Ciencias!$A:$H,7,FALSE)=BW352,1,0)</f>
        <v>#N/A</v>
      </c>
      <c r="FJ352" s="138" t="e">
        <f>IF(VLOOKUP(CONCATENATE(H352,F352,FJ$2),Ciencias!$A:$H,7,FALSE)=BX352,1,0)</f>
        <v>#N/A</v>
      </c>
      <c r="FK352" s="138" t="e">
        <f>IF(VLOOKUP(CONCATENATE(H352,F352,FK$2),Ciencias!$A:$H,7,FALSE)=BY352,1,0)</f>
        <v>#N/A</v>
      </c>
      <c r="FL352" s="138" t="e">
        <f>IF(VLOOKUP(CONCATENATE(H352,F352,FL$2),Ciencias!$A:$H,7,FALSE)=BZ352,1,0)</f>
        <v>#N/A</v>
      </c>
      <c r="FM352" s="138" t="e">
        <f>IF(VLOOKUP(CONCATENATE(H352,F352,FM$2),Ciencias!$A:$H,7,FALSE)=CA352,1,0)</f>
        <v>#N/A</v>
      </c>
      <c r="FN352" s="138" t="e">
        <f>IF(VLOOKUP(CONCATENATE(H352,F352,FN$2),Ciencias!$A:$H,7,FALSE)=CB352,1,0)</f>
        <v>#N/A</v>
      </c>
      <c r="FO352" s="138" t="e">
        <f>IF(VLOOKUP(CONCATENATE(H352,F352,FO$2),Ciencias!$A:$H,7,FALSE)=CC352,1,0)</f>
        <v>#N/A</v>
      </c>
      <c r="FP352" s="138" t="e">
        <f>IF(VLOOKUP(CONCATENATE(H352,F352,FP$2),GeoHis!$A:$H,7,FALSE)=CD352,1,0)</f>
        <v>#N/A</v>
      </c>
      <c r="FQ352" s="138" t="e">
        <f>IF(VLOOKUP(CONCATENATE(H352,F352,FQ$2),GeoHis!$A:$H,7,FALSE)=CE352,1,0)</f>
        <v>#N/A</v>
      </c>
      <c r="FR352" s="138" t="e">
        <f>IF(VLOOKUP(CONCATENATE(H352,F352,FR$2),GeoHis!$A:$H,7,FALSE)=CF352,1,0)</f>
        <v>#N/A</v>
      </c>
      <c r="FS352" s="138" t="e">
        <f>IF(VLOOKUP(CONCATENATE(H352,F352,FS$2),GeoHis!$A:$H,7,FALSE)=CG352,1,0)</f>
        <v>#N/A</v>
      </c>
      <c r="FT352" s="138" t="e">
        <f>IF(VLOOKUP(CONCATENATE(H352,F352,FT$2),GeoHis!$A:$H,7,FALSE)=CH352,1,0)</f>
        <v>#N/A</v>
      </c>
      <c r="FU352" s="138" t="e">
        <f>IF(VLOOKUP(CONCATENATE(H352,F352,FU$2),GeoHis!$A:$H,7,FALSE)=CI352,1,0)</f>
        <v>#N/A</v>
      </c>
      <c r="FV352" s="138" t="e">
        <f>IF(VLOOKUP(CONCATENATE(H352,F352,FV$2),GeoHis!$A:$H,7,FALSE)=CJ352,1,0)</f>
        <v>#N/A</v>
      </c>
      <c r="FW352" s="138" t="e">
        <f>IF(VLOOKUP(CONCATENATE(H352,F352,FW$2),GeoHis!$A:$H,7,FALSE)=CK352,1,0)</f>
        <v>#N/A</v>
      </c>
      <c r="FX352" s="138" t="e">
        <f>IF(VLOOKUP(CONCATENATE(H352,F352,FX$2),GeoHis!$A:$H,7,FALSE)=CL352,1,0)</f>
        <v>#N/A</v>
      </c>
      <c r="FY352" s="138" t="e">
        <f>IF(VLOOKUP(CONCATENATE(H352,F352,FY$2),GeoHis!$A:$H,7,FALSE)=CM352,1,0)</f>
        <v>#N/A</v>
      </c>
      <c r="FZ352" s="138" t="e">
        <f>IF(VLOOKUP(CONCATENATE(H352,F352,FZ$2),GeoHis!$A:$H,7,FALSE)=CN352,1,0)</f>
        <v>#N/A</v>
      </c>
      <c r="GA352" s="138" t="e">
        <f>IF(VLOOKUP(CONCATENATE(H352,F352,GA$2),GeoHis!$A:$H,7,FALSE)=CO352,1,0)</f>
        <v>#N/A</v>
      </c>
      <c r="GB352" s="138" t="e">
        <f>IF(VLOOKUP(CONCATENATE(H352,F352,GB$2),GeoHis!$A:$H,7,FALSE)=CP352,1,0)</f>
        <v>#N/A</v>
      </c>
      <c r="GC352" s="138" t="e">
        <f>IF(VLOOKUP(CONCATENATE(H352,F352,GC$2),GeoHis!$A:$H,7,FALSE)=CQ352,1,0)</f>
        <v>#N/A</v>
      </c>
      <c r="GD352" s="138" t="e">
        <f>IF(VLOOKUP(CONCATENATE(H352,F352,GD$2),GeoHis!$A:$H,7,FALSE)=CR352,1,0)</f>
        <v>#N/A</v>
      </c>
      <c r="GE352" s="135" t="str">
        <f t="shared" si="47"/>
        <v/>
      </c>
    </row>
    <row r="353" spans="1:187" x14ac:dyDescent="0.25">
      <c r="A353" s="127" t="str">
        <f>IF(C353="","",'Datos Generales'!$A$25)</f>
        <v/>
      </c>
      <c r="D353" s="126" t="str">
        <f t="shared" si="40"/>
        <v/>
      </c>
      <c r="E353" s="126">
        <f t="shared" si="41"/>
        <v>0</v>
      </c>
      <c r="F353" s="126" t="str">
        <f t="shared" si="42"/>
        <v/>
      </c>
      <c r="G353" s="126" t="str">
        <f>IF(C353="","",'Datos Generales'!$D$19)</f>
        <v/>
      </c>
      <c r="H353" s="21" t="str">
        <f>IF(C353="","",'Datos Generales'!$A$19)</f>
        <v/>
      </c>
      <c r="I353" s="126" t="str">
        <f>IF(C353="","",'Datos Generales'!$A$7)</f>
        <v/>
      </c>
      <c r="J353" s="21" t="str">
        <f>IF(C353="","",'Datos Generales'!$A$13)</f>
        <v/>
      </c>
      <c r="K353" s="21" t="str">
        <f>IF(C353="","",'Datos Generales'!$A$10)</f>
        <v/>
      </c>
      <c r="CS353" s="142" t="str">
        <f t="shared" si="43"/>
        <v/>
      </c>
      <c r="CT353" s="142" t="str">
        <f t="shared" si="44"/>
        <v/>
      </c>
      <c r="CU353" s="142" t="str">
        <f t="shared" si="45"/>
        <v/>
      </c>
      <c r="CV353" s="142" t="str">
        <f t="shared" si="46"/>
        <v/>
      </c>
      <c r="CW353" s="142" t="str">
        <f>IF(C353="","",IF('Datos Generales'!$A$19=1,AVERAGE(FP353:GD353),AVERAGE(Captura!FP353:FY353)))</f>
        <v/>
      </c>
      <c r="CX353" s="138" t="e">
        <f>IF(VLOOKUP(CONCATENATE($H$4,$F$4,CX$2),Español!$A:$H,7,FALSE)=L353,1,0)</f>
        <v>#N/A</v>
      </c>
      <c r="CY353" s="138" t="e">
        <f>IF(VLOOKUP(CONCATENATE(H353,F353,CY$2),Español!$A:$H,7,FALSE)=M353,1,0)</f>
        <v>#N/A</v>
      </c>
      <c r="CZ353" s="138" t="e">
        <f>IF(VLOOKUP(CONCATENATE(H353,F353,CZ$2),Español!$A:$H,7,FALSE)=N353,1,0)</f>
        <v>#N/A</v>
      </c>
      <c r="DA353" s="138" t="e">
        <f>IF(VLOOKUP(CONCATENATE(H353,F353,DA$2),Español!$A:$H,7,FALSE)=O353,1,0)</f>
        <v>#N/A</v>
      </c>
      <c r="DB353" s="138" t="e">
        <f>IF(VLOOKUP(CONCATENATE(H353,F353,DB$2),Español!$A:$H,7,FALSE)=P353,1,0)</f>
        <v>#N/A</v>
      </c>
      <c r="DC353" s="138" t="e">
        <f>IF(VLOOKUP(CONCATENATE(H353,F353,DC$2),Español!$A:$H,7,FALSE)=Q353,1,0)</f>
        <v>#N/A</v>
      </c>
      <c r="DD353" s="138" t="e">
        <f>IF(VLOOKUP(CONCATENATE(H353,F353,DD$2),Español!$A:$H,7,FALSE)=R353,1,0)</f>
        <v>#N/A</v>
      </c>
      <c r="DE353" s="138" t="e">
        <f>IF(VLOOKUP(CONCATENATE(H353,F353,DE$2),Español!$A:$H,7,FALSE)=S353,1,0)</f>
        <v>#N/A</v>
      </c>
      <c r="DF353" s="138" t="e">
        <f>IF(VLOOKUP(CONCATENATE(H353,F353,DF$2),Español!$A:$H,7,FALSE)=T353,1,0)</f>
        <v>#N/A</v>
      </c>
      <c r="DG353" s="138" t="e">
        <f>IF(VLOOKUP(CONCATENATE(H353,F353,DG$2),Español!$A:$H,7,FALSE)=U353,1,0)</f>
        <v>#N/A</v>
      </c>
      <c r="DH353" s="138" t="e">
        <f>IF(VLOOKUP(CONCATENATE(H353,F353,DH$2),Español!$A:$H,7,FALSE)=V353,1,0)</f>
        <v>#N/A</v>
      </c>
      <c r="DI353" s="138" t="e">
        <f>IF(VLOOKUP(CONCATENATE(H353,F353,DI$2),Español!$A:$H,7,FALSE)=W353,1,0)</f>
        <v>#N/A</v>
      </c>
      <c r="DJ353" s="138" t="e">
        <f>IF(VLOOKUP(CONCATENATE(H353,F353,DJ$2),Español!$A:$H,7,FALSE)=X353,1,0)</f>
        <v>#N/A</v>
      </c>
      <c r="DK353" s="138" t="e">
        <f>IF(VLOOKUP(CONCATENATE(H353,F353,DK$2),Español!$A:$H,7,FALSE)=Y353,1,0)</f>
        <v>#N/A</v>
      </c>
      <c r="DL353" s="138" t="e">
        <f>IF(VLOOKUP(CONCATENATE(H353,F353,DL$2),Español!$A:$H,7,FALSE)=Z353,1,0)</f>
        <v>#N/A</v>
      </c>
      <c r="DM353" s="138" t="e">
        <f>IF(VLOOKUP(CONCATENATE(H353,F353,DM$2),Español!$A:$H,7,FALSE)=AA353,1,0)</f>
        <v>#N/A</v>
      </c>
      <c r="DN353" s="138" t="e">
        <f>IF(VLOOKUP(CONCATENATE(H353,F353,DN$2),Español!$A:$H,7,FALSE)=AB353,1,0)</f>
        <v>#N/A</v>
      </c>
      <c r="DO353" s="138" t="e">
        <f>IF(VLOOKUP(CONCATENATE(H353,F353,DO$2),Español!$A:$H,7,FALSE)=AC353,1,0)</f>
        <v>#N/A</v>
      </c>
      <c r="DP353" s="138" t="e">
        <f>IF(VLOOKUP(CONCATENATE(H353,F353,DP$2),Español!$A:$H,7,FALSE)=AD353,1,0)</f>
        <v>#N/A</v>
      </c>
      <c r="DQ353" s="138" t="e">
        <f>IF(VLOOKUP(CONCATENATE(H353,F353,DQ$2),Español!$A:$H,7,FALSE)=AE353,1,0)</f>
        <v>#N/A</v>
      </c>
      <c r="DR353" s="138" t="e">
        <f>IF(VLOOKUP(CONCATENATE(H353,F353,DR$2),Inglés!$A:$H,7,FALSE)=AF353,1,0)</f>
        <v>#N/A</v>
      </c>
      <c r="DS353" s="138" t="e">
        <f>IF(VLOOKUP(CONCATENATE(H353,F353,DS$2),Inglés!$A:$H,7,FALSE)=AG353,1,0)</f>
        <v>#N/A</v>
      </c>
      <c r="DT353" s="138" t="e">
        <f>IF(VLOOKUP(CONCATENATE(H353,F353,DT$2),Inglés!$A:$H,7,FALSE)=AH353,1,0)</f>
        <v>#N/A</v>
      </c>
      <c r="DU353" s="138" t="e">
        <f>IF(VLOOKUP(CONCATENATE(H353,F353,DU$2),Inglés!$A:$H,7,FALSE)=AI353,1,0)</f>
        <v>#N/A</v>
      </c>
      <c r="DV353" s="138" t="e">
        <f>IF(VLOOKUP(CONCATENATE(H353,F353,DV$2),Inglés!$A:$H,7,FALSE)=AJ353,1,0)</f>
        <v>#N/A</v>
      </c>
      <c r="DW353" s="138" t="e">
        <f>IF(VLOOKUP(CONCATENATE(H353,F353,DW$2),Inglés!$A:$H,7,FALSE)=AK353,1,0)</f>
        <v>#N/A</v>
      </c>
      <c r="DX353" s="138" t="e">
        <f>IF(VLOOKUP(CONCATENATE(H353,F353,DX$2),Inglés!$A:$H,7,FALSE)=AL353,1,0)</f>
        <v>#N/A</v>
      </c>
      <c r="DY353" s="138" t="e">
        <f>IF(VLOOKUP(CONCATENATE(H353,F353,DY$2),Inglés!$A:$H,7,FALSE)=AM353,1,0)</f>
        <v>#N/A</v>
      </c>
      <c r="DZ353" s="138" t="e">
        <f>IF(VLOOKUP(CONCATENATE(H353,F353,DZ$2),Inglés!$A:$H,7,FALSE)=AN353,1,0)</f>
        <v>#N/A</v>
      </c>
      <c r="EA353" s="138" t="e">
        <f>IF(VLOOKUP(CONCATENATE(H353,F353,EA$2),Inglés!$A:$H,7,FALSE)=AO353,1,0)</f>
        <v>#N/A</v>
      </c>
      <c r="EB353" s="138" t="e">
        <f>IF(VLOOKUP(CONCATENATE(H353,F353,EB$2),Matemáticas!$A:$H,7,FALSE)=AP353,1,0)</f>
        <v>#N/A</v>
      </c>
      <c r="EC353" s="138" t="e">
        <f>IF(VLOOKUP(CONCATENATE(H353,F353,EC$2),Matemáticas!$A:$H,7,FALSE)=AQ353,1,0)</f>
        <v>#N/A</v>
      </c>
      <c r="ED353" s="138" t="e">
        <f>IF(VLOOKUP(CONCATENATE(H353,F353,ED$2),Matemáticas!$A:$H,7,FALSE)=AR353,1,0)</f>
        <v>#N/A</v>
      </c>
      <c r="EE353" s="138" t="e">
        <f>IF(VLOOKUP(CONCATENATE(H353,F353,EE$2),Matemáticas!$A:$H,7,FALSE)=AS353,1,0)</f>
        <v>#N/A</v>
      </c>
      <c r="EF353" s="138" t="e">
        <f>IF(VLOOKUP(CONCATENATE(H353,F353,EF$2),Matemáticas!$A:$H,7,FALSE)=AT353,1,0)</f>
        <v>#N/A</v>
      </c>
      <c r="EG353" s="138" t="e">
        <f>IF(VLOOKUP(CONCATENATE(H353,F353,EG$2),Matemáticas!$A:$H,7,FALSE)=AU353,1,0)</f>
        <v>#N/A</v>
      </c>
      <c r="EH353" s="138" t="e">
        <f>IF(VLOOKUP(CONCATENATE(H353,F353,EH$2),Matemáticas!$A:$H,7,FALSE)=AV353,1,0)</f>
        <v>#N/A</v>
      </c>
      <c r="EI353" s="138" t="e">
        <f>IF(VLOOKUP(CONCATENATE(H353,F353,EI$2),Matemáticas!$A:$H,7,FALSE)=AW353,1,0)</f>
        <v>#N/A</v>
      </c>
      <c r="EJ353" s="138" t="e">
        <f>IF(VLOOKUP(CONCATENATE(H353,F353,EJ$2),Matemáticas!$A:$H,7,FALSE)=AX353,1,0)</f>
        <v>#N/A</v>
      </c>
      <c r="EK353" s="138" t="e">
        <f>IF(VLOOKUP(CONCATENATE(H353,F353,EK$2),Matemáticas!$A:$H,7,FALSE)=AY353,1,0)</f>
        <v>#N/A</v>
      </c>
      <c r="EL353" s="138" t="e">
        <f>IF(VLOOKUP(CONCATENATE(H353,F353,EL$2),Matemáticas!$A:$H,7,FALSE)=AZ353,1,0)</f>
        <v>#N/A</v>
      </c>
      <c r="EM353" s="138" t="e">
        <f>IF(VLOOKUP(CONCATENATE(H353,F353,EM$2),Matemáticas!$A:$H,7,FALSE)=BA353,1,0)</f>
        <v>#N/A</v>
      </c>
      <c r="EN353" s="138" t="e">
        <f>IF(VLOOKUP(CONCATENATE(H353,F353,EN$2),Matemáticas!$A:$H,7,FALSE)=BB353,1,0)</f>
        <v>#N/A</v>
      </c>
      <c r="EO353" s="138" t="e">
        <f>IF(VLOOKUP(CONCATENATE(H353,F353,EO$2),Matemáticas!$A:$H,7,FALSE)=BC353,1,0)</f>
        <v>#N/A</v>
      </c>
      <c r="EP353" s="138" t="e">
        <f>IF(VLOOKUP(CONCATENATE(H353,F353,EP$2),Matemáticas!$A:$H,7,FALSE)=BD353,1,0)</f>
        <v>#N/A</v>
      </c>
      <c r="EQ353" s="138" t="e">
        <f>IF(VLOOKUP(CONCATENATE(H353,F353,EQ$2),Matemáticas!$A:$H,7,FALSE)=BE353,1,0)</f>
        <v>#N/A</v>
      </c>
      <c r="ER353" s="138" t="e">
        <f>IF(VLOOKUP(CONCATENATE(H353,F353,ER$2),Matemáticas!$A:$H,7,FALSE)=BF353,1,0)</f>
        <v>#N/A</v>
      </c>
      <c r="ES353" s="138" t="e">
        <f>IF(VLOOKUP(CONCATENATE(H353,F353,ES$2),Matemáticas!$A:$H,7,FALSE)=BG353,1,0)</f>
        <v>#N/A</v>
      </c>
      <c r="ET353" s="138" t="e">
        <f>IF(VLOOKUP(CONCATENATE(H353,F353,ET$2),Matemáticas!$A:$H,7,FALSE)=BH353,1,0)</f>
        <v>#N/A</v>
      </c>
      <c r="EU353" s="138" t="e">
        <f>IF(VLOOKUP(CONCATENATE(H353,F353,EU$2),Matemáticas!$A:$H,7,FALSE)=BI353,1,0)</f>
        <v>#N/A</v>
      </c>
      <c r="EV353" s="138" t="e">
        <f>IF(VLOOKUP(CONCATENATE(H353,F353,EV$2),Ciencias!$A:$H,7,FALSE)=BJ353,1,0)</f>
        <v>#N/A</v>
      </c>
      <c r="EW353" s="138" t="e">
        <f>IF(VLOOKUP(CONCATENATE(H353,F353,EW$2),Ciencias!$A:$H,7,FALSE)=BK353,1,0)</f>
        <v>#N/A</v>
      </c>
      <c r="EX353" s="138" t="e">
        <f>IF(VLOOKUP(CONCATENATE(H353,F353,EX$2),Ciencias!$A:$H,7,FALSE)=BL353,1,0)</f>
        <v>#N/A</v>
      </c>
      <c r="EY353" s="138" t="e">
        <f>IF(VLOOKUP(CONCATENATE(H353,F353,EY$2),Ciencias!$A:$H,7,FALSE)=BM353,1,0)</f>
        <v>#N/A</v>
      </c>
      <c r="EZ353" s="138" t="e">
        <f>IF(VLOOKUP(CONCATENATE(H353,F353,EZ$2),Ciencias!$A:$H,7,FALSE)=BN353,1,0)</f>
        <v>#N/A</v>
      </c>
      <c r="FA353" s="138" t="e">
        <f>IF(VLOOKUP(CONCATENATE(H353,F353,FA$2),Ciencias!$A:$H,7,FALSE)=BO353,1,0)</f>
        <v>#N/A</v>
      </c>
      <c r="FB353" s="138" t="e">
        <f>IF(VLOOKUP(CONCATENATE(H353,F353,FB$2),Ciencias!$A:$H,7,FALSE)=BP353,1,0)</f>
        <v>#N/A</v>
      </c>
      <c r="FC353" s="138" t="e">
        <f>IF(VLOOKUP(CONCATENATE(H353,F353,FC$2),Ciencias!$A:$H,7,FALSE)=BQ353,1,0)</f>
        <v>#N/A</v>
      </c>
      <c r="FD353" s="138" t="e">
        <f>IF(VLOOKUP(CONCATENATE(H353,F353,FD$2),Ciencias!$A:$H,7,FALSE)=BR353,1,0)</f>
        <v>#N/A</v>
      </c>
      <c r="FE353" s="138" t="e">
        <f>IF(VLOOKUP(CONCATENATE(H353,F353,FE$2),Ciencias!$A:$H,7,FALSE)=BS353,1,0)</f>
        <v>#N/A</v>
      </c>
      <c r="FF353" s="138" t="e">
        <f>IF(VLOOKUP(CONCATENATE(H353,F353,FF$2),Ciencias!$A:$H,7,FALSE)=BT353,1,0)</f>
        <v>#N/A</v>
      </c>
      <c r="FG353" s="138" t="e">
        <f>IF(VLOOKUP(CONCATENATE(H353,F353,FG$2),Ciencias!$A:$H,7,FALSE)=BU353,1,0)</f>
        <v>#N/A</v>
      </c>
      <c r="FH353" s="138" t="e">
        <f>IF(VLOOKUP(CONCATENATE(H353,F353,FH$2),Ciencias!$A:$H,7,FALSE)=BV353,1,0)</f>
        <v>#N/A</v>
      </c>
      <c r="FI353" s="138" t="e">
        <f>IF(VLOOKUP(CONCATENATE(H353,F353,FI$2),Ciencias!$A:$H,7,FALSE)=BW353,1,0)</f>
        <v>#N/A</v>
      </c>
      <c r="FJ353" s="138" t="e">
        <f>IF(VLOOKUP(CONCATENATE(H353,F353,FJ$2),Ciencias!$A:$H,7,FALSE)=BX353,1,0)</f>
        <v>#N/A</v>
      </c>
      <c r="FK353" s="138" t="e">
        <f>IF(VLOOKUP(CONCATENATE(H353,F353,FK$2),Ciencias!$A:$H,7,FALSE)=BY353,1,0)</f>
        <v>#N/A</v>
      </c>
      <c r="FL353" s="138" t="e">
        <f>IF(VLOOKUP(CONCATENATE(H353,F353,FL$2),Ciencias!$A:$H,7,FALSE)=BZ353,1,0)</f>
        <v>#N/A</v>
      </c>
      <c r="FM353" s="138" t="e">
        <f>IF(VLOOKUP(CONCATENATE(H353,F353,FM$2),Ciencias!$A:$H,7,FALSE)=CA353,1,0)</f>
        <v>#N/A</v>
      </c>
      <c r="FN353" s="138" t="e">
        <f>IF(VLOOKUP(CONCATENATE(H353,F353,FN$2),Ciencias!$A:$H,7,FALSE)=CB353,1,0)</f>
        <v>#N/A</v>
      </c>
      <c r="FO353" s="138" t="e">
        <f>IF(VLOOKUP(CONCATENATE(H353,F353,FO$2),Ciencias!$A:$H,7,FALSE)=CC353,1,0)</f>
        <v>#N/A</v>
      </c>
      <c r="FP353" s="138" t="e">
        <f>IF(VLOOKUP(CONCATENATE(H353,F353,FP$2),GeoHis!$A:$H,7,FALSE)=CD353,1,0)</f>
        <v>#N/A</v>
      </c>
      <c r="FQ353" s="138" t="e">
        <f>IF(VLOOKUP(CONCATENATE(H353,F353,FQ$2),GeoHis!$A:$H,7,FALSE)=CE353,1,0)</f>
        <v>#N/A</v>
      </c>
      <c r="FR353" s="138" t="e">
        <f>IF(VLOOKUP(CONCATENATE(H353,F353,FR$2),GeoHis!$A:$H,7,FALSE)=CF353,1,0)</f>
        <v>#N/A</v>
      </c>
      <c r="FS353" s="138" t="e">
        <f>IF(VLOOKUP(CONCATENATE(H353,F353,FS$2),GeoHis!$A:$H,7,FALSE)=CG353,1,0)</f>
        <v>#N/A</v>
      </c>
      <c r="FT353" s="138" t="e">
        <f>IF(VLOOKUP(CONCATENATE(H353,F353,FT$2),GeoHis!$A:$H,7,FALSE)=CH353,1,0)</f>
        <v>#N/A</v>
      </c>
      <c r="FU353" s="138" t="e">
        <f>IF(VLOOKUP(CONCATENATE(H353,F353,FU$2),GeoHis!$A:$H,7,FALSE)=CI353,1,0)</f>
        <v>#N/A</v>
      </c>
      <c r="FV353" s="138" t="e">
        <f>IF(VLOOKUP(CONCATENATE(H353,F353,FV$2),GeoHis!$A:$H,7,FALSE)=CJ353,1,0)</f>
        <v>#N/A</v>
      </c>
      <c r="FW353" s="138" t="e">
        <f>IF(VLOOKUP(CONCATENATE(H353,F353,FW$2),GeoHis!$A:$H,7,FALSE)=CK353,1,0)</f>
        <v>#N/A</v>
      </c>
      <c r="FX353" s="138" t="e">
        <f>IF(VLOOKUP(CONCATENATE(H353,F353,FX$2),GeoHis!$A:$H,7,FALSE)=CL353,1,0)</f>
        <v>#N/A</v>
      </c>
      <c r="FY353" s="138" t="e">
        <f>IF(VLOOKUP(CONCATENATE(H353,F353,FY$2),GeoHis!$A:$H,7,FALSE)=CM353,1,0)</f>
        <v>#N/A</v>
      </c>
      <c r="FZ353" s="138" t="e">
        <f>IF(VLOOKUP(CONCATENATE(H353,F353,FZ$2),GeoHis!$A:$H,7,FALSE)=CN353,1,0)</f>
        <v>#N/A</v>
      </c>
      <c r="GA353" s="138" t="e">
        <f>IF(VLOOKUP(CONCATENATE(H353,F353,GA$2),GeoHis!$A:$H,7,FALSE)=CO353,1,0)</f>
        <v>#N/A</v>
      </c>
      <c r="GB353" s="138" t="e">
        <f>IF(VLOOKUP(CONCATENATE(H353,F353,GB$2),GeoHis!$A:$H,7,FALSE)=CP353,1,0)</f>
        <v>#N/A</v>
      </c>
      <c r="GC353" s="138" t="e">
        <f>IF(VLOOKUP(CONCATENATE(H353,F353,GC$2),GeoHis!$A:$H,7,FALSE)=CQ353,1,0)</f>
        <v>#N/A</v>
      </c>
      <c r="GD353" s="138" t="e">
        <f>IF(VLOOKUP(CONCATENATE(H353,F353,GD$2),GeoHis!$A:$H,7,FALSE)=CR353,1,0)</f>
        <v>#N/A</v>
      </c>
      <c r="GE353" s="135" t="str">
        <f t="shared" si="47"/>
        <v/>
      </c>
    </row>
    <row r="354" spans="1:187" x14ac:dyDescent="0.25">
      <c r="A354" s="127" t="str">
        <f>IF(C354="","",'Datos Generales'!$A$25)</f>
        <v/>
      </c>
      <c r="D354" s="126" t="str">
        <f t="shared" si="40"/>
        <v/>
      </c>
      <c r="E354" s="126">
        <f t="shared" si="41"/>
        <v>0</v>
      </c>
      <c r="F354" s="126" t="str">
        <f t="shared" si="42"/>
        <v/>
      </c>
      <c r="G354" s="126" t="str">
        <f>IF(C354="","",'Datos Generales'!$D$19)</f>
        <v/>
      </c>
      <c r="H354" s="21" t="str">
        <f>IF(C354="","",'Datos Generales'!$A$19)</f>
        <v/>
      </c>
      <c r="I354" s="126" t="str">
        <f>IF(C354="","",'Datos Generales'!$A$7)</f>
        <v/>
      </c>
      <c r="J354" s="21" t="str">
        <f>IF(C354="","",'Datos Generales'!$A$13)</f>
        <v/>
      </c>
      <c r="K354" s="21" t="str">
        <f>IF(C354="","",'Datos Generales'!$A$10)</f>
        <v/>
      </c>
      <c r="CS354" s="142" t="str">
        <f t="shared" si="43"/>
        <v/>
      </c>
      <c r="CT354" s="142" t="str">
        <f t="shared" si="44"/>
        <v/>
      </c>
      <c r="CU354" s="142" t="str">
        <f t="shared" si="45"/>
        <v/>
      </c>
      <c r="CV354" s="142" t="str">
        <f t="shared" si="46"/>
        <v/>
      </c>
      <c r="CW354" s="142" t="str">
        <f>IF(C354="","",IF('Datos Generales'!$A$19=1,AVERAGE(FP354:GD354),AVERAGE(Captura!FP354:FY354)))</f>
        <v/>
      </c>
      <c r="CX354" s="138" t="e">
        <f>IF(VLOOKUP(CONCATENATE($H$4,$F$4,CX$2),Español!$A:$H,7,FALSE)=L354,1,0)</f>
        <v>#N/A</v>
      </c>
      <c r="CY354" s="138" t="e">
        <f>IF(VLOOKUP(CONCATENATE(H354,F354,CY$2),Español!$A:$H,7,FALSE)=M354,1,0)</f>
        <v>#N/A</v>
      </c>
      <c r="CZ354" s="138" t="e">
        <f>IF(VLOOKUP(CONCATENATE(H354,F354,CZ$2),Español!$A:$H,7,FALSE)=N354,1,0)</f>
        <v>#N/A</v>
      </c>
      <c r="DA354" s="138" t="e">
        <f>IF(VLOOKUP(CONCATENATE(H354,F354,DA$2),Español!$A:$H,7,FALSE)=O354,1,0)</f>
        <v>#N/A</v>
      </c>
      <c r="DB354" s="138" t="e">
        <f>IF(VLOOKUP(CONCATENATE(H354,F354,DB$2),Español!$A:$H,7,FALSE)=P354,1,0)</f>
        <v>#N/A</v>
      </c>
      <c r="DC354" s="138" t="e">
        <f>IF(VLOOKUP(CONCATENATE(H354,F354,DC$2),Español!$A:$H,7,FALSE)=Q354,1,0)</f>
        <v>#N/A</v>
      </c>
      <c r="DD354" s="138" t="e">
        <f>IF(VLOOKUP(CONCATENATE(H354,F354,DD$2),Español!$A:$H,7,FALSE)=R354,1,0)</f>
        <v>#N/A</v>
      </c>
      <c r="DE354" s="138" t="e">
        <f>IF(VLOOKUP(CONCATENATE(H354,F354,DE$2),Español!$A:$H,7,FALSE)=S354,1,0)</f>
        <v>#N/A</v>
      </c>
      <c r="DF354" s="138" t="e">
        <f>IF(VLOOKUP(CONCATENATE(H354,F354,DF$2),Español!$A:$H,7,FALSE)=T354,1,0)</f>
        <v>#N/A</v>
      </c>
      <c r="DG354" s="138" t="e">
        <f>IF(VLOOKUP(CONCATENATE(H354,F354,DG$2),Español!$A:$H,7,FALSE)=U354,1,0)</f>
        <v>#N/A</v>
      </c>
      <c r="DH354" s="138" t="e">
        <f>IF(VLOOKUP(CONCATENATE(H354,F354,DH$2),Español!$A:$H,7,FALSE)=V354,1,0)</f>
        <v>#N/A</v>
      </c>
      <c r="DI354" s="138" t="e">
        <f>IF(VLOOKUP(CONCATENATE(H354,F354,DI$2),Español!$A:$H,7,FALSE)=W354,1,0)</f>
        <v>#N/A</v>
      </c>
      <c r="DJ354" s="138" t="e">
        <f>IF(VLOOKUP(CONCATENATE(H354,F354,DJ$2),Español!$A:$H,7,FALSE)=X354,1,0)</f>
        <v>#N/A</v>
      </c>
      <c r="DK354" s="138" t="e">
        <f>IF(VLOOKUP(CONCATENATE(H354,F354,DK$2),Español!$A:$H,7,FALSE)=Y354,1,0)</f>
        <v>#N/A</v>
      </c>
      <c r="DL354" s="138" t="e">
        <f>IF(VLOOKUP(CONCATENATE(H354,F354,DL$2),Español!$A:$H,7,FALSE)=Z354,1,0)</f>
        <v>#N/A</v>
      </c>
      <c r="DM354" s="138" t="e">
        <f>IF(VLOOKUP(CONCATENATE(H354,F354,DM$2),Español!$A:$H,7,FALSE)=AA354,1,0)</f>
        <v>#N/A</v>
      </c>
      <c r="DN354" s="138" t="e">
        <f>IF(VLOOKUP(CONCATENATE(H354,F354,DN$2),Español!$A:$H,7,FALSE)=AB354,1,0)</f>
        <v>#N/A</v>
      </c>
      <c r="DO354" s="138" t="e">
        <f>IF(VLOOKUP(CONCATENATE(H354,F354,DO$2),Español!$A:$H,7,FALSE)=AC354,1,0)</f>
        <v>#N/A</v>
      </c>
      <c r="DP354" s="138" t="e">
        <f>IF(VLOOKUP(CONCATENATE(H354,F354,DP$2),Español!$A:$H,7,FALSE)=AD354,1,0)</f>
        <v>#N/A</v>
      </c>
      <c r="DQ354" s="138" t="e">
        <f>IF(VLOOKUP(CONCATENATE(H354,F354,DQ$2),Español!$A:$H,7,FALSE)=AE354,1,0)</f>
        <v>#N/A</v>
      </c>
      <c r="DR354" s="138" t="e">
        <f>IF(VLOOKUP(CONCATENATE(H354,F354,DR$2),Inglés!$A:$H,7,FALSE)=AF354,1,0)</f>
        <v>#N/A</v>
      </c>
      <c r="DS354" s="138" t="e">
        <f>IF(VLOOKUP(CONCATENATE(H354,F354,DS$2),Inglés!$A:$H,7,FALSE)=AG354,1,0)</f>
        <v>#N/A</v>
      </c>
      <c r="DT354" s="138" t="e">
        <f>IF(VLOOKUP(CONCATENATE(H354,F354,DT$2),Inglés!$A:$H,7,FALSE)=AH354,1,0)</f>
        <v>#N/A</v>
      </c>
      <c r="DU354" s="138" t="e">
        <f>IF(VLOOKUP(CONCATENATE(H354,F354,DU$2),Inglés!$A:$H,7,FALSE)=AI354,1,0)</f>
        <v>#N/A</v>
      </c>
      <c r="DV354" s="138" t="e">
        <f>IF(VLOOKUP(CONCATENATE(H354,F354,DV$2),Inglés!$A:$H,7,FALSE)=AJ354,1,0)</f>
        <v>#N/A</v>
      </c>
      <c r="DW354" s="138" t="e">
        <f>IF(VLOOKUP(CONCATENATE(H354,F354,DW$2),Inglés!$A:$H,7,FALSE)=AK354,1,0)</f>
        <v>#N/A</v>
      </c>
      <c r="DX354" s="138" t="e">
        <f>IF(VLOOKUP(CONCATENATE(H354,F354,DX$2),Inglés!$A:$H,7,FALSE)=AL354,1,0)</f>
        <v>#N/A</v>
      </c>
      <c r="DY354" s="138" t="e">
        <f>IF(VLOOKUP(CONCATENATE(H354,F354,DY$2),Inglés!$A:$H,7,FALSE)=AM354,1,0)</f>
        <v>#N/A</v>
      </c>
      <c r="DZ354" s="138" t="e">
        <f>IF(VLOOKUP(CONCATENATE(H354,F354,DZ$2),Inglés!$A:$H,7,FALSE)=AN354,1,0)</f>
        <v>#N/A</v>
      </c>
      <c r="EA354" s="138" t="e">
        <f>IF(VLOOKUP(CONCATENATE(H354,F354,EA$2),Inglés!$A:$H,7,FALSE)=AO354,1,0)</f>
        <v>#N/A</v>
      </c>
      <c r="EB354" s="138" t="e">
        <f>IF(VLOOKUP(CONCATENATE(H354,F354,EB$2),Matemáticas!$A:$H,7,FALSE)=AP354,1,0)</f>
        <v>#N/A</v>
      </c>
      <c r="EC354" s="138" t="e">
        <f>IF(VLOOKUP(CONCATENATE(H354,F354,EC$2),Matemáticas!$A:$H,7,FALSE)=AQ354,1,0)</f>
        <v>#N/A</v>
      </c>
      <c r="ED354" s="138" t="e">
        <f>IF(VLOOKUP(CONCATENATE(H354,F354,ED$2),Matemáticas!$A:$H,7,FALSE)=AR354,1,0)</f>
        <v>#N/A</v>
      </c>
      <c r="EE354" s="138" t="e">
        <f>IF(VLOOKUP(CONCATENATE(H354,F354,EE$2),Matemáticas!$A:$H,7,FALSE)=AS354,1,0)</f>
        <v>#N/A</v>
      </c>
      <c r="EF354" s="138" t="e">
        <f>IF(VLOOKUP(CONCATENATE(H354,F354,EF$2),Matemáticas!$A:$H,7,FALSE)=AT354,1,0)</f>
        <v>#N/A</v>
      </c>
      <c r="EG354" s="138" t="e">
        <f>IF(VLOOKUP(CONCATENATE(H354,F354,EG$2),Matemáticas!$A:$H,7,FALSE)=AU354,1,0)</f>
        <v>#N/A</v>
      </c>
      <c r="EH354" s="138" t="e">
        <f>IF(VLOOKUP(CONCATENATE(H354,F354,EH$2),Matemáticas!$A:$H,7,FALSE)=AV354,1,0)</f>
        <v>#N/A</v>
      </c>
      <c r="EI354" s="138" t="e">
        <f>IF(VLOOKUP(CONCATENATE(H354,F354,EI$2),Matemáticas!$A:$H,7,FALSE)=AW354,1,0)</f>
        <v>#N/A</v>
      </c>
      <c r="EJ354" s="138" t="e">
        <f>IF(VLOOKUP(CONCATENATE(H354,F354,EJ$2),Matemáticas!$A:$H,7,FALSE)=AX354,1,0)</f>
        <v>#N/A</v>
      </c>
      <c r="EK354" s="138" t="e">
        <f>IF(VLOOKUP(CONCATENATE(H354,F354,EK$2),Matemáticas!$A:$H,7,FALSE)=AY354,1,0)</f>
        <v>#N/A</v>
      </c>
      <c r="EL354" s="138" t="e">
        <f>IF(VLOOKUP(CONCATENATE(H354,F354,EL$2),Matemáticas!$A:$H,7,FALSE)=AZ354,1,0)</f>
        <v>#N/A</v>
      </c>
      <c r="EM354" s="138" t="e">
        <f>IF(VLOOKUP(CONCATENATE(H354,F354,EM$2),Matemáticas!$A:$H,7,FALSE)=BA354,1,0)</f>
        <v>#N/A</v>
      </c>
      <c r="EN354" s="138" t="e">
        <f>IF(VLOOKUP(CONCATENATE(H354,F354,EN$2),Matemáticas!$A:$H,7,FALSE)=BB354,1,0)</f>
        <v>#N/A</v>
      </c>
      <c r="EO354" s="138" t="e">
        <f>IF(VLOOKUP(CONCATENATE(H354,F354,EO$2),Matemáticas!$A:$H,7,FALSE)=BC354,1,0)</f>
        <v>#N/A</v>
      </c>
      <c r="EP354" s="138" t="e">
        <f>IF(VLOOKUP(CONCATENATE(H354,F354,EP$2),Matemáticas!$A:$H,7,FALSE)=BD354,1,0)</f>
        <v>#N/A</v>
      </c>
      <c r="EQ354" s="138" t="e">
        <f>IF(VLOOKUP(CONCATENATE(H354,F354,EQ$2),Matemáticas!$A:$H,7,FALSE)=BE354,1,0)</f>
        <v>#N/A</v>
      </c>
      <c r="ER354" s="138" t="e">
        <f>IF(VLOOKUP(CONCATENATE(H354,F354,ER$2),Matemáticas!$A:$H,7,FALSE)=BF354,1,0)</f>
        <v>#N/A</v>
      </c>
      <c r="ES354" s="138" t="e">
        <f>IF(VLOOKUP(CONCATENATE(H354,F354,ES$2),Matemáticas!$A:$H,7,FALSE)=BG354,1,0)</f>
        <v>#N/A</v>
      </c>
      <c r="ET354" s="138" t="e">
        <f>IF(VLOOKUP(CONCATENATE(H354,F354,ET$2),Matemáticas!$A:$H,7,FALSE)=BH354,1,0)</f>
        <v>#N/A</v>
      </c>
      <c r="EU354" s="138" t="e">
        <f>IF(VLOOKUP(CONCATENATE(H354,F354,EU$2),Matemáticas!$A:$H,7,FALSE)=BI354,1,0)</f>
        <v>#N/A</v>
      </c>
      <c r="EV354" s="138" t="e">
        <f>IF(VLOOKUP(CONCATENATE(H354,F354,EV$2),Ciencias!$A:$H,7,FALSE)=BJ354,1,0)</f>
        <v>#N/A</v>
      </c>
      <c r="EW354" s="138" t="e">
        <f>IF(VLOOKUP(CONCATENATE(H354,F354,EW$2),Ciencias!$A:$H,7,FALSE)=BK354,1,0)</f>
        <v>#N/A</v>
      </c>
      <c r="EX354" s="138" t="e">
        <f>IF(VLOOKUP(CONCATENATE(H354,F354,EX$2),Ciencias!$A:$H,7,FALSE)=BL354,1,0)</f>
        <v>#N/A</v>
      </c>
      <c r="EY354" s="138" t="e">
        <f>IF(VLOOKUP(CONCATENATE(H354,F354,EY$2),Ciencias!$A:$H,7,FALSE)=BM354,1,0)</f>
        <v>#N/A</v>
      </c>
      <c r="EZ354" s="138" t="e">
        <f>IF(VLOOKUP(CONCATENATE(H354,F354,EZ$2),Ciencias!$A:$H,7,FALSE)=BN354,1,0)</f>
        <v>#N/A</v>
      </c>
      <c r="FA354" s="138" t="e">
        <f>IF(VLOOKUP(CONCATENATE(H354,F354,FA$2),Ciencias!$A:$H,7,FALSE)=BO354,1,0)</f>
        <v>#N/A</v>
      </c>
      <c r="FB354" s="138" t="e">
        <f>IF(VLOOKUP(CONCATENATE(H354,F354,FB$2),Ciencias!$A:$H,7,FALSE)=BP354,1,0)</f>
        <v>#N/A</v>
      </c>
      <c r="FC354" s="138" t="e">
        <f>IF(VLOOKUP(CONCATENATE(H354,F354,FC$2),Ciencias!$A:$H,7,FALSE)=BQ354,1,0)</f>
        <v>#N/A</v>
      </c>
      <c r="FD354" s="138" t="e">
        <f>IF(VLOOKUP(CONCATENATE(H354,F354,FD$2),Ciencias!$A:$H,7,FALSE)=BR354,1,0)</f>
        <v>#N/A</v>
      </c>
      <c r="FE354" s="138" t="e">
        <f>IF(VLOOKUP(CONCATENATE(H354,F354,FE$2),Ciencias!$A:$H,7,FALSE)=BS354,1,0)</f>
        <v>#N/A</v>
      </c>
      <c r="FF354" s="138" t="e">
        <f>IF(VLOOKUP(CONCATENATE(H354,F354,FF$2),Ciencias!$A:$H,7,FALSE)=BT354,1,0)</f>
        <v>#N/A</v>
      </c>
      <c r="FG354" s="138" t="e">
        <f>IF(VLOOKUP(CONCATENATE(H354,F354,FG$2),Ciencias!$A:$H,7,FALSE)=BU354,1,0)</f>
        <v>#N/A</v>
      </c>
      <c r="FH354" s="138" t="e">
        <f>IF(VLOOKUP(CONCATENATE(H354,F354,FH$2),Ciencias!$A:$H,7,FALSE)=BV354,1,0)</f>
        <v>#N/A</v>
      </c>
      <c r="FI354" s="138" t="e">
        <f>IF(VLOOKUP(CONCATENATE(H354,F354,FI$2),Ciencias!$A:$H,7,FALSE)=BW354,1,0)</f>
        <v>#N/A</v>
      </c>
      <c r="FJ354" s="138" t="e">
        <f>IF(VLOOKUP(CONCATENATE(H354,F354,FJ$2),Ciencias!$A:$H,7,FALSE)=BX354,1,0)</f>
        <v>#N/A</v>
      </c>
      <c r="FK354" s="138" t="e">
        <f>IF(VLOOKUP(CONCATENATE(H354,F354,FK$2),Ciencias!$A:$H,7,FALSE)=BY354,1,0)</f>
        <v>#N/A</v>
      </c>
      <c r="FL354" s="138" t="e">
        <f>IF(VLOOKUP(CONCATENATE(H354,F354,FL$2),Ciencias!$A:$H,7,FALSE)=BZ354,1,0)</f>
        <v>#N/A</v>
      </c>
      <c r="FM354" s="138" t="e">
        <f>IF(VLOOKUP(CONCATENATE(H354,F354,FM$2),Ciencias!$A:$H,7,FALSE)=CA354,1,0)</f>
        <v>#N/A</v>
      </c>
      <c r="FN354" s="138" t="e">
        <f>IF(VLOOKUP(CONCATENATE(H354,F354,FN$2),Ciencias!$A:$H,7,FALSE)=CB354,1,0)</f>
        <v>#N/A</v>
      </c>
      <c r="FO354" s="138" t="e">
        <f>IF(VLOOKUP(CONCATENATE(H354,F354,FO$2),Ciencias!$A:$H,7,FALSE)=CC354,1,0)</f>
        <v>#N/A</v>
      </c>
      <c r="FP354" s="138" t="e">
        <f>IF(VLOOKUP(CONCATENATE(H354,F354,FP$2),GeoHis!$A:$H,7,FALSE)=CD354,1,0)</f>
        <v>#N/A</v>
      </c>
      <c r="FQ354" s="138" t="e">
        <f>IF(VLOOKUP(CONCATENATE(H354,F354,FQ$2),GeoHis!$A:$H,7,FALSE)=CE354,1,0)</f>
        <v>#N/A</v>
      </c>
      <c r="FR354" s="138" t="e">
        <f>IF(VLOOKUP(CONCATENATE(H354,F354,FR$2),GeoHis!$A:$H,7,FALSE)=CF354,1,0)</f>
        <v>#N/A</v>
      </c>
      <c r="FS354" s="138" t="e">
        <f>IF(VLOOKUP(CONCATENATE(H354,F354,FS$2),GeoHis!$A:$H,7,FALSE)=CG354,1,0)</f>
        <v>#N/A</v>
      </c>
      <c r="FT354" s="138" t="e">
        <f>IF(VLOOKUP(CONCATENATE(H354,F354,FT$2),GeoHis!$A:$H,7,FALSE)=CH354,1,0)</f>
        <v>#N/A</v>
      </c>
      <c r="FU354" s="138" t="e">
        <f>IF(VLOOKUP(CONCATENATE(H354,F354,FU$2),GeoHis!$A:$H,7,FALSE)=CI354,1,0)</f>
        <v>#N/A</v>
      </c>
      <c r="FV354" s="138" t="e">
        <f>IF(VLOOKUP(CONCATENATE(H354,F354,FV$2),GeoHis!$A:$H,7,FALSE)=CJ354,1,0)</f>
        <v>#N/A</v>
      </c>
      <c r="FW354" s="138" t="e">
        <f>IF(VLOOKUP(CONCATENATE(H354,F354,FW$2),GeoHis!$A:$H,7,FALSE)=CK354,1,0)</f>
        <v>#N/A</v>
      </c>
      <c r="FX354" s="138" t="e">
        <f>IF(VLOOKUP(CONCATENATE(H354,F354,FX$2),GeoHis!$A:$H,7,FALSE)=CL354,1,0)</f>
        <v>#N/A</v>
      </c>
      <c r="FY354" s="138" t="e">
        <f>IF(VLOOKUP(CONCATENATE(H354,F354,FY$2),GeoHis!$A:$H,7,FALSE)=CM354,1,0)</f>
        <v>#N/A</v>
      </c>
      <c r="FZ354" s="138" t="e">
        <f>IF(VLOOKUP(CONCATENATE(H354,F354,FZ$2),GeoHis!$A:$H,7,FALSE)=CN354,1,0)</f>
        <v>#N/A</v>
      </c>
      <c r="GA354" s="138" t="e">
        <f>IF(VLOOKUP(CONCATENATE(H354,F354,GA$2),GeoHis!$A:$H,7,FALSE)=CO354,1,0)</f>
        <v>#N/A</v>
      </c>
      <c r="GB354" s="138" t="e">
        <f>IF(VLOOKUP(CONCATENATE(H354,F354,GB$2),GeoHis!$A:$H,7,FALSE)=CP354,1,0)</f>
        <v>#N/A</v>
      </c>
      <c r="GC354" s="138" t="e">
        <f>IF(VLOOKUP(CONCATENATE(H354,F354,GC$2),GeoHis!$A:$H,7,FALSE)=CQ354,1,0)</f>
        <v>#N/A</v>
      </c>
      <c r="GD354" s="138" t="e">
        <f>IF(VLOOKUP(CONCATENATE(H354,F354,GD$2),GeoHis!$A:$H,7,FALSE)=CR354,1,0)</f>
        <v>#N/A</v>
      </c>
      <c r="GE354" s="135" t="str">
        <f t="shared" si="47"/>
        <v/>
      </c>
    </row>
    <row r="355" spans="1:187" x14ac:dyDescent="0.25">
      <c r="A355" s="127" t="str">
        <f>IF(C355="","",'Datos Generales'!$A$25)</f>
        <v/>
      </c>
      <c r="D355" s="126" t="str">
        <f t="shared" si="40"/>
        <v/>
      </c>
      <c r="E355" s="126">
        <f t="shared" si="41"/>
        <v>0</v>
      </c>
      <c r="F355" s="126" t="str">
        <f t="shared" si="42"/>
        <v/>
      </c>
      <c r="G355" s="126" t="str">
        <f>IF(C355="","",'Datos Generales'!$D$19)</f>
        <v/>
      </c>
      <c r="H355" s="21" t="str">
        <f>IF(C355="","",'Datos Generales'!$A$19)</f>
        <v/>
      </c>
      <c r="I355" s="126" t="str">
        <f>IF(C355="","",'Datos Generales'!$A$7)</f>
        <v/>
      </c>
      <c r="J355" s="21" t="str">
        <f>IF(C355="","",'Datos Generales'!$A$13)</f>
        <v/>
      </c>
      <c r="K355" s="21" t="str">
        <f>IF(C355="","",'Datos Generales'!$A$10)</f>
        <v/>
      </c>
      <c r="CS355" s="142" t="str">
        <f t="shared" si="43"/>
        <v/>
      </c>
      <c r="CT355" s="142" t="str">
        <f t="shared" si="44"/>
        <v/>
      </c>
      <c r="CU355" s="142" t="str">
        <f t="shared" si="45"/>
        <v/>
      </c>
      <c r="CV355" s="142" t="str">
        <f t="shared" si="46"/>
        <v/>
      </c>
      <c r="CW355" s="142" t="str">
        <f>IF(C355="","",IF('Datos Generales'!$A$19=1,AVERAGE(FP355:GD355),AVERAGE(Captura!FP355:FY355)))</f>
        <v/>
      </c>
      <c r="CX355" s="138" t="e">
        <f>IF(VLOOKUP(CONCATENATE($H$4,$F$4,CX$2),Español!$A:$H,7,FALSE)=L355,1,0)</f>
        <v>#N/A</v>
      </c>
      <c r="CY355" s="138" t="e">
        <f>IF(VLOOKUP(CONCATENATE(H355,F355,CY$2),Español!$A:$H,7,FALSE)=M355,1,0)</f>
        <v>#N/A</v>
      </c>
      <c r="CZ355" s="138" t="e">
        <f>IF(VLOOKUP(CONCATENATE(H355,F355,CZ$2),Español!$A:$H,7,FALSE)=N355,1,0)</f>
        <v>#N/A</v>
      </c>
      <c r="DA355" s="138" t="e">
        <f>IF(VLOOKUP(CONCATENATE(H355,F355,DA$2),Español!$A:$H,7,FALSE)=O355,1,0)</f>
        <v>#N/A</v>
      </c>
      <c r="DB355" s="138" t="e">
        <f>IF(VLOOKUP(CONCATENATE(H355,F355,DB$2),Español!$A:$H,7,FALSE)=P355,1,0)</f>
        <v>#N/A</v>
      </c>
      <c r="DC355" s="138" t="e">
        <f>IF(VLOOKUP(CONCATENATE(H355,F355,DC$2),Español!$A:$H,7,FALSE)=Q355,1,0)</f>
        <v>#N/A</v>
      </c>
      <c r="DD355" s="138" t="e">
        <f>IF(VLOOKUP(CONCATENATE(H355,F355,DD$2),Español!$A:$H,7,FALSE)=R355,1,0)</f>
        <v>#N/A</v>
      </c>
      <c r="DE355" s="138" t="e">
        <f>IF(VLOOKUP(CONCATENATE(H355,F355,DE$2),Español!$A:$H,7,FALSE)=S355,1,0)</f>
        <v>#N/A</v>
      </c>
      <c r="DF355" s="138" t="e">
        <f>IF(VLOOKUP(CONCATENATE(H355,F355,DF$2),Español!$A:$H,7,FALSE)=T355,1,0)</f>
        <v>#N/A</v>
      </c>
      <c r="DG355" s="138" t="e">
        <f>IF(VLOOKUP(CONCATENATE(H355,F355,DG$2),Español!$A:$H,7,FALSE)=U355,1,0)</f>
        <v>#N/A</v>
      </c>
      <c r="DH355" s="138" t="e">
        <f>IF(VLOOKUP(CONCATENATE(H355,F355,DH$2),Español!$A:$H,7,FALSE)=V355,1,0)</f>
        <v>#N/A</v>
      </c>
      <c r="DI355" s="138" t="e">
        <f>IF(VLOOKUP(CONCATENATE(H355,F355,DI$2),Español!$A:$H,7,FALSE)=W355,1,0)</f>
        <v>#N/A</v>
      </c>
      <c r="DJ355" s="138" t="e">
        <f>IF(VLOOKUP(CONCATENATE(H355,F355,DJ$2),Español!$A:$H,7,FALSE)=X355,1,0)</f>
        <v>#N/A</v>
      </c>
      <c r="DK355" s="138" t="e">
        <f>IF(VLOOKUP(CONCATENATE(H355,F355,DK$2),Español!$A:$H,7,FALSE)=Y355,1,0)</f>
        <v>#N/A</v>
      </c>
      <c r="DL355" s="138" t="e">
        <f>IF(VLOOKUP(CONCATENATE(H355,F355,DL$2),Español!$A:$H,7,FALSE)=Z355,1,0)</f>
        <v>#N/A</v>
      </c>
      <c r="DM355" s="138" t="e">
        <f>IF(VLOOKUP(CONCATENATE(H355,F355,DM$2),Español!$A:$H,7,FALSE)=AA355,1,0)</f>
        <v>#N/A</v>
      </c>
      <c r="DN355" s="138" t="e">
        <f>IF(VLOOKUP(CONCATENATE(H355,F355,DN$2),Español!$A:$H,7,FALSE)=AB355,1,0)</f>
        <v>#N/A</v>
      </c>
      <c r="DO355" s="138" t="e">
        <f>IF(VLOOKUP(CONCATENATE(H355,F355,DO$2),Español!$A:$H,7,FALSE)=AC355,1,0)</f>
        <v>#N/A</v>
      </c>
      <c r="DP355" s="138" t="e">
        <f>IF(VLOOKUP(CONCATENATE(H355,F355,DP$2),Español!$A:$H,7,FALSE)=AD355,1,0)</f>
        <v>#N/A</v>
      </c>
      <c r="DQ355" s="138" t="e">
        <f>IF(VLOOKUP(CONCATENATE(H355,F355,DQ$2),Español!$A:$H,7,FALSE)=AE355,1,0)</f>
        <v>#N/A</v>
      </c>
      <c r="DR355" s="138" t="e">
        <f>IF(VLOOKUP(CONCATENATE(H355,F355,DR$2),Inglés!$A:$H,7,FALSE)=AF355,1,0)</f>
        <v>#N/A</v>
      </c>
      <c r="DS355" s="138" t="e">
        <f>IF(VLOOKUP(CONCATENATE(H355,F355,DS$2),Inglés!$A:$H,7,FALSE)=AG355,1,0)</f>
        <v>#N/A</v>
      </c>
      <c r="DT355" s="138" t="e">
        <f>IF(VLOOKUP(CONCATENATE(H355,F355,DT$2),Inglés!$A:$H,7,FALSE)=AH355,1,0)</f>
        <v>#N/A</v>
      </c>
      <c r="DU355" s="138" t="e">
        <f>IF(VLOOKUP(CONCATENATE(H355,F355,DU$2),Inglés!$A:$H,7,FALSE)=AI355,1,0)</f>
        <v>#N/A</v>
      </c>
      <c r="DV355" s="138" t="e">
        <f>IF(VLOOKUP(CONCATENATE(H355,F355,DV$2),Inglés!$A:$H,7,FALSE)=AJ355,1,0)</f>
        <v>#N/A</v>
      </c>
      <c r="DW355" s="138" t="e">
        <f>IF(VLOOKUP(CONCATENATE(H355,F355,DW$2),Inglés!$A:$H,7,FALSE)=AK355,1,0)</f>
        <v>#N/A</v>
      </c>
      <c r="DX355" s="138" t="e">
        <f>IF(VLOOKUP(CONCATENATE(H355,F355,DX$2),Inglés!$A:$H,7,FALSE)=AL355,1,0)</f>
        <v>#N/A</v>
      </c>
      <c r="DY355" s="138" t="e">
        <f>IF(VLOOKUP(CONCATENATE(H355,F355,DY$2),Inglés!$A:$H,7,FALSE)=AM355,1,0)</f>
        <v>#N/A</v>
      </c>
      <c r="DZ355" s="138" t="e">
        <f>IF(VLOOKUP(CONCATENATE(H355,F355,DZ$2),Inglés!$A:$H,7,FALSE)=AN355,1,0)</f>
        <v>#N/A</v>
      </c>
      <c r="EA355" s="138" t="e">
        <f>IF(VLOOKUP(CONCATENATE(H355,F355,EA$2),Inglés!$A:$H,7,FALSE)=AO355,1,0)</f>
        <v>#N/A</v>
      </c>
      <c r="EB355" s="138" t="e">
        <f>IF(VLOOKUP(CONCATENATE(H355,F355,EB$2),Matemáticas!$A:$H,7,FALSE)=AP355,1,0)</f>
        <v>#N/A</v>
      </c>
      <c r="EC355" s="138" t="e">
        <f>IF(VLOOKUP(CONCATENATE(H355,F355,EC$2),Matemáticas!$A:$H,7,FALSE)=AQ355,1,0)</f>
        <v>#N/A</v>
      </c>
      <c r="ED355" s="138" t="e">
        <f>IF(VLOOKUP(CONCATENATE(H355,F355,ED$2),Matemáticas!$A:$H,7,FALSE)=AR355,1,0)</f>
        <v>#N/A</v>
      </c>
      <c r="EE355" s="138" t="e">
        <f>IF(VLOOKUP(CONCATENATE(H355,F355,EE$2),Matemáticas!$A:$H,7,FALSE)=AS355,1,0)</f>
        <v>#N/A</v>
      </c>
      <c r="EF355" s="138" t="e">
        <f>IF(VLOOKUP(CONCATENATE(H355,F355,EF$2),Matemáticas!$A:$H,7,FALSE)=AT355,1,0)</f>
        <v>#N/A</v>
      </c>
      <c r="EG355" s="138" t="e">
        <f>IF(VLOOKUP(CONCATENATE(H355,F355,EG$2),Matemáticas!$A:$H,7,FALSE)=AU355,1,0)</f>
        <v>#N/A</v>
      </c>
      <c r="EH355" s="138" t="e">
        <f>IF(VLOOKUP(CONCATENATE(H355,F355,EH$2),Matemáticas!$A:$H,7,FALSE)=AV355,1,0)</f>
        <v>#N/A</v>
      </c>
      <c r="EI355" s="138" t="e">
        <f>IF(VLOOKUP(CONCATENATE(H355,F355,EI$2),Matemáticas!$A:$H,7,FALSE)=AW355,1,0)</f>
        <v>#N/A</v>
      </c>
      <c r="EJ355" s="138" t="e">
        <f>IF(VLOOKUP(CONCATENATE(H355,F355,EJ$2),Matemáticas!$A:$H,7,FALSE)=AX355,1,0)</f>
        <v>#N/A</v>
      </c>
      <c r="EK355" s="138" t="e">
        <f>IF(VLOOKUP(CONCATENATE(H355,F355,EK$2),Matemáticas!$A:$H,7,FALSE)=AY355,1,0)</f>
        <v>#N/A</v>
      </c>
      <c r="EL355" s="138" t="e">
        <f>IF(VLOOKUP(CONCATENATE(H355,F355,EL$2),Matemáticas!$A:$H,7,FALSE)=AZ355,1,0)</f>
        <v>#N/A</v>
      </c>
      <c r="EM355" s="138" t="e">
        <f>IF(VLOOKUP(CONCATENATE(H355,F355,EM$2),Matemáticas!$A:$H,7,FALSE)=BA355,1,0)</f>
        <v>#N/A</v>
      </c>
      <c r="EN355" s="138" t="e">
        <f>IF(VLOOKUP(CONCATENATE(H355,F355,EN$2),Matemáticas!$A:$H,7,FALSE)=BB355,1,0)</f>
        <v>#N/A</v>
      </c>
      <c r="EO355" s="138" t="e">
        <f>IF(VLOOKUP(CONCATENATE(H355,F355,EO$2),Matemáticas!$A:$H,7,FALSE)=BC355,1,0)</f>
        <v>#N/A</v>
      </c>
      <c r="EP355" s="138" t="e">
        <f>IF(VLOOKUP(CONCATENATE(H355,F355,EP$2),Matemáticas!$A:$H,7,FALSE)=BD355,1,0)</f>
        <v>#N/A</v>
      </c>
      <c r="EQ355" s="138" t="e">
        <f>IF(VLOOKUP(CONCATENATE(H355,F355,EQ$2),Matemáticas!$A:$H,7,FALSE)=BE355,1,0)</f>
        <v>#N/A</v>
      </c>
      <c r="ER355" s="138" t="e">
        <f>IF(VLOOKUP(CONCATENATE(H355,F355,ER$2),Matemáticas!$A:$H,7,FALSE)=BF355,1,0)</f>
        <v>#N/A</v>
      </c>
      <c r="ES355" s="138" t="e">
        <f>IF(VLOOKUP(CONCATENATE(H355,F355,ES$2),Matemáticas!$A:$H,7,FALSE)=BG355,1,0)</f>
        <v>#N/A</v>
      </c>
      <c r="ET355" s="138" t="e">
        <f>IF(VLOOKUP(CONCATENATE(H355,F355,ET$2),Matemáticas!$A:$H,7,FALSE)=BH355,1,0)</f>
        <v>#N/A</v>
      </c>
      <c r="EU355" s="138" t="e">
        <f>IF(VLOOKUP(CONCATENATE(H355,F355,EU$2),Matemáticas!$A:$H,7,FALSE)=BI355,1,0)</f>
        <v>#N/A</v>
      </c>
      <c r="EV355" s="138" t="e">
        <f>IF(VLOOKUP(CONCATENATE(H355,F355,EV$2),Ciencias!$A:$H,7,FALSE)=BJ355,1,0)</f>
        <v>#N/A</v>
      </c>
      <c r="EW355" s="138" t="e">
        <f>IF(VLOOKUP(CONCATENATE(H355,F355,EW$2),Ciencias!$A:$H,7,FALSE)=BK355,1,0)</f>
        <v>#N/A</v>
      </c>
      <c r="EX355" s="138" t="e">
        <f>IF(VLOOKUP(CONCATENATE(H355,F355,EX$2),Ciencias!$A:$H,7,FALSE)=BL355,1,0)</f>
        <v>#N/A</v>
      </c>
      <c r="EY355" s="138" t="e">
        <f>IF(VLOOKUP(CONCATENATE(H355,F355,EY$2),Ciencias!$A:$H,7,FALSE)=BM355,1,0)</f>
        <v>#N/A</v>
      </c>
      <c r="EZ355" s="138" t="e">
        <f>IF(VLOOKUP(CONCATENATE(H355,F355,EZ$2),Ciencias!$A:$H,7,FALSE)=BN355,1,0)</f>
        <v>#N/A</v>
      </c>
      <c r="FA355" s="138" t="e">
        <f>IF(VLOOKUP(CONCATENATE(H355,F355,FA$2),Ciencias!$A:$H,7,FALSE)=BO355,1,0)</f>
        <v>#N/A</v>
      </c>
      <c r="FB355" s="138" t="e">
        <f>IF(VLOOKUP(CONCATENATE(H355,F355,FB$2),Ciencias!$A:$H,7,FALSE)=BP355,1,0)</f>
        <v>#N/A</v>
      </c>
      <c r="FC355" s="138" t="e">
        <f>IF(VLOOKUP(CONCATENATE(H355,F355,FC$2),Ciencias!$A:$H,7,FALSE)=BQ355,1,0)</f>
        <v>#N/A</v>
      </c>
      <c r="FD355" s="138" t="e">
        <f>IF(VLOOKUP(CONCATENATE(H355,F355,FD$2),Ciencias!$A:$H,7,FALSE)=BR355,1,0)</f>
        <v>#N/A</v>
      </c>
      <c r="FE355" s="138" t="e">
        <f>IF(VLOOKUP(CONCATENATE(H355,F355,FE$2),Ciencias!$A:$H,7,FALSE)=BS355,1,0)</f>
        <v>#N/A</v>
      </c>
      <c r="FF355" s="138" t="e">
        <f>IF(VLOOKUP(CONCATENATE(H355,F355,FF$2),Ciencias!$A:$H,7,FALSE)=BT355,1,0)</f>
        <v>#N/A</v>
      </c>
      <c r="FG355" s="138" t="e">
        <f>IF(VLOOKUP(CONCATENATE(H355,F355,FG$2),Ciencias!$A:$H,7,FALSE)=BU355,1,0)</f>
        <v>#N/A</v>
      </c>
      <c r="FH355" s="138" t="e">
        <f>IF(VLOOKUP(CONCATENATE(H355,F355,FH$2),Ciencias!$A:$H,7,FALSE)=BV355,1,0)</f>
        <v>#N/A</v>
      </c>
      <c r="FI355" s="138" t="e">
        <f>IF(VLOOKUP(CONCATENATE(H355,F355,FI$2),Ciencias!$A:$H,7,FALSE)=BW355,1,0)</f>
        <v>#N/A</v>
      </c>
      <c r="FJ355" s="138" t="e">
        <f>IF(VLOOKUP(CONCATENATE(H355,F355,FJ$2),Ciencias!$A:$H,7,FALSE)=BX355,1,0)</f>
        <v>#N/A</v>
      </c>
      <c r="FK355" s="138" t="e">
        <f>IF(VLOOKUP(CONCATENATE(H355,F355,FK$2),Ciencias!$A:$H,7,FALSE)=BY355,1,0)</f>
        <v>#N/A</v>
      </c>
      <c r="FL355" s="138" t="e">
        <f>IF(VLOOKUP(CONCATENATE(H355,F355,FL$2),Ciencias!$A:$H,7,FALSE)=BZ355,1,0)</f>
        <v>#N/A</v>
      </c>
      <c r="FM355" s="138" t="e">
        <f>IF(VLOOKUP(CONCATENATE(H355,F355,FM$2),Ciencias!$A:$H,7,FALSE)=CA355,1,0)</f>
        <v>#N/A</v>
      </c>
      <c r="FN355" s="138" t="e">
        <f>IF(VLOOKUP(CONCATENATE(H355,F355,FN$2),Ciencias!$A:$H,7,FALSE)=CB355,1,0)</f>
        <v>#N/A</v>
      </c>
      <c r="FO355" s="138" t="e">
        <f>IF(VLOOKUP(CONCATENATE(H355,F355,FO$2),Ciencias!$A:$H,7,FALSE)=CC355,1,0)</f>
        <v>#N/A</v>
      </c>
      <c r="FP355" s="138" t="e">
        <f>IF(VLOOKUP(CONCATENATE(H355,F355,FP$2),GeoHis!$A:$H,7,FALSE)=CD355,1,0)</f>
        <v>#N/A</v>
      </c>
      <c r="FQ355" s="138" t="e">
        <f>IF(VLOOKUP(CONCATENATE(H355,F355,FQ$2),GeoHis!$A:$H,7,FALSE)=CE355,1,0)</f>
        <v>#N/A</v>
      </c>
      <c r="FR355" s="138" t="e">
        <f>IF(VLOOKUP(CONCATENATE(H355,F355,FR$2),GeoHis!$A:$H,7,FALSE)=CF355,1,0)</f>
        <v>#N/A</v>
      </c>
      <c r="FS355" s="138" t="e">
        <f>IF(VLOOKUP(CONCATENATE(H355,F355,FS$2),GeoHis!$A:$H,7,FALSE)=CG355,1,0)</f>
        <v>#N/A</v>
      </c>
      <c r="FT355" s="138" t="e">
        <f>IF(VLOOKUP(CONCATENATE(H355,F355,FT$2),GeoHis!$A:$H,7,FALSE)=CH355,1,0)</f>
        <v>#N/A</v>
      </c>
      <c r="FU355" s="138" t="e">
        <f>IF(VLOOKUP(CONCATENATE(H355,F355,FU$2),GeoHis!$A:$H,7,FALSE)=CI355,1,0)</f>
        <v>#N/A</v>
      </c>
      <c r="FV355" s="138" t="e">
        <f>IF(VLOOKUP(CONCATENATE(H355,F355,FV$2),GeoHis!$A:$H,7,FALSE)=CJ355,1,0)</f>
        <v>#N/A</v>
      </c>
      <c r="FW355" s="138" t="e">
        <f>IF(VLOOKUP(CONCATENATE(H355,F355,FW$2),GeoHis!$A:$H,7,FALSE)=CK355,1,0)</f>
        <v>#N/A</v>
      </c>
      <c r="FX355" s="138" t="e">
        <f>IF(VLOOKUP(CONCATENATE(H355,F355,FX$2),GeoHis!$A:$H,7,FALSE)=CL355,1,0)</f>
        <v>#N/A</v>
      </c>
      <c r="FY355" s="138" t="e">
        <f>IF(VLOOKUP(CONCATENATE(H355,F355,FY$2),GeoHis!$A:$H,7,FALSE)=CM355,1,0)</f>
        <v>#N/A</v>
      </c>
      <c r="FZ355" s="138" t="e">
        <f>IF(VLOOKUP(CONCATENATE(H355,F355,FZ$2),GeoHis!$A:$H,7,FALSE)=CN355,1,0)</f>
        <v>#N/A</v>
      </c>
      <c r="GA355" s="138" t="e">
        <f>IF(VLOOKUP(CONCATENATE(H355,F355,GA$2),GeoHis!$A:$H,7,FALSE)=CO355,1,0)</f>
        <v>#N/A</v>
      </c>
      <c r="GB355" s="138" t="e">
        <f>IF(VLOOKUP(CONCATENATE(H355,F355,GB$2),GeoHis!$A:$H,7,FALSE)=CP355,1,0)</f>
        <v>#N/A</v>
      </c>
      <c r="GC355" s="138" t="e">
        <f>IF(VLOOKUP(CONCATENATE(H355,F355,GC$2),GeoHis!$A:$H,7,FALSE)=CQ355,1,0)</f>
        <v>#N/A</v>
      </c>
      <c r="GD355" s="138" t="e">
        <f>IF(VLOOKUP(CONCATENATE(H355,F355,GD$2),GeoHis!$A:$H,7,FALSE)=CR355,1,0)</f>
        <v>#N/A</v>
      </c>
      <c r="GE355" s="135" t="str">
        <f t="shared" si="47"/>
        <v/>
      </c>
    </row>
    <row r="356" spans="1:187" x14ac:dyDescent="0.25">
      <c r="A356" s="127" t="str">
        <f>IF(C356="","",'Datos Generales'!$A$25)</f>
        <v/>
      </c>
      <c r="D356" s="126" t="str">
        <f t="shared" si="40"/>
        <v/>
      </c>
      <c r="E356" s="126">
        <f t="shared" si="41"/>
        <v>0</v>
      </c>
      <c r="F356" s="126" t="str">
        <f t="shared" si="42"/>
        <v/>
      </c>
      <c r="G356" s="126" t="str">
        <f>IF(C356="","",'Datos Generales'!$D$19)</f>
        <v/>
      </c>
      <c r="H356" s="21" t="str">
        <f>IF(C356="","",'Datos Generales'!$A$19)</f>
        <v/>
      </c>
      <c r="I356" s="126" t="str">
        <f>IF(C356="","",'Datos Generales'!$A$7)</f>
        <v/>
      </c>
      <c r="J356" s="21" t="str">
        <f>IF(C356="","",'Datos Generales'!$A$13)</f>
        <v/>
      </c>
      <c r="K356" s="21" t="str">
        <f>IF(C356="","",'Datos Generales'!$A$10)</f>
        <v/>
      </c>
      <c r="CS356" s="142" t="str">
        <f t="shared" si="43"/>
        <v/>
      </c>
      <c r="CT356" s="142" t="str">
        <f t="shared" si="44"/>
        <v/>
      </c>
      <c r="CU356" s="142" t="str">
        <f t="shared" si="45"/>
        <v/>
      </c>
      <c r="CV356" s="142" t="str">
        <f t="shared" si="46"/>
        <v/>
      </c>
      <c r="CW356" s="142" t="str">
        <f>IF(C356="","",IF('Datos Generales'!$A$19=1,AVERAGE(FP356:GD356),AVERAGE(Captura!FP356:FY356)))</f>
        <v/>
      </c>
      <c r="CX356" s="138" t="e">
        <f>IF(VLOOKUP(CONCATENATE($H$4,$F$4,CX$2),Español!$A:$H,7,FALSE)=L356,1,0)</f>
        <v>#N/A</v>
      </c>
      <c r="CY356" s="138" t="e">
        <f>IF(VLOOKUP(CONCATENATE(H356,F356,CY$2),Español!$A:$H,7,FALSE)=M356,1,0)</f>
        <v>#N/A</v>
      </c>
      <c r="CZ356" s="138" t="e">
        <f>IF(VLOOKUP(CONCATENATE(H356,F356,CZ$2),Español!$A:$H,7,FALSE)=N356,1,0)</f>
        <v>#N/A</v>
      </c>
      <c r="DA356" s="138" t="e">
        <f>IF(VLOOKUP(CONCATENATE(H356,F356,DA$2),Español!$A:$H,7,FALSE)=O356,1,0)</f>
        <v>#N/A</v>
      </c>
      <c r="DB356" s="138" t="e">
        <f>IF(VLOOKUP(CONCATENATE(H356,F356,DB$2),Español!$A:$H,7,FALSE)=P356,1,0)</f>
        <v>#N/A</v>
      </c>
      <c r="DC356" s="138" t="e">
        <f>IF(VLOOKUP(CONCATENATE(H356,F356,DC$2),Español!$A:$H,7,FALSE)=Q356,1,0)</f>
        <v>#N/A</v>
      </c>
      <c r="DD356" s="138" t="e">
        <f>IF(VLOOKUP(CONCATENATE(H356,F356,DD$2),Español!$A:$H,7,FALSE)=R356,1,0)</f>
        <v>#N/A</v>
      </c>
      <c r="DE356" s="138" t="e">
        <f>IF(VLOOKUP(CONCATENATE(H356,F356,DE$2),Español!$A:$H,7,FALSE)=S356,1,0)</f>
        <v>#N/A</v>
      </c>
      <c r="DF356" s="138" t="e">
        <f>IF(VLOOKUP(CONCATENATE(H356,F356,DF$2),Español!$A:$H,7,FALSE)=T356,1,0)</f>
        <v>#N/A</v>
      </c>
      <c r="DG356" s="138" t="e">
        <f>IF(VLOOKUP(CONCATENATE(H356,F356,DG$2),Español!$A:$H,7,FALSE)=U356,1,0)</f>
        <v>#N/A</v>
      </c>
      <c r="DH356" s="138" t="e">
        <f>IF(VLOOKUP(CONCATENATE(H356,F356,DH$2),Español!$A:$H,7,FALSE)=V356,1,0)</f>
        <v>#N/A</v>
      </c>
      <c r="DI356" s="138" t="e">
        <f>IF(VLOOKUP(CONCATENATE(H356,F356,DI$2),Español!$A:$H,7,FALSE)=W356,1,0)</f>
        <v>#N/A</v>
      </c>
      <c r="DJ356" s="138" t="e">
        <f>IF(VLOOKUP(CONCATENATE(H356,F356,DJ$2),Español!$A:$H,7,FALSE)=X356,1,0)</f>
        <v>#N/A</v>
      </c>
      <c r="DK356" s="138" t="e">
        <f>IF(VLOOKUP(CONCATENATE(H356,F356,DK$2),Español!$A:$H,7,FALSE)=Y356,1,0)</f>
        <v>#N/A</v>
      </c>
      <c r="DL356" s="138" t="e">
        <f>IF(VLOOKUP(CONCATENATE(H356,F356,DL$2),Español!$A:$H,7,FALSE)=Z356,1,0)</f>
        <v>#N/A</v>
      </c>
      <c r="DM356" s="138" t="e">
        <f>IF(VLOOKUP(CONCATENATE(H356,F356,DM$2),Español!$A:$H,7,FALSE)=AA356,1,0)</f>
        <v>#N/A</v>
      </c>
      <c r="DN356" s="138" t="e">
        <f>IF(VLOOKUP(CONCATENATE(H356,F356,DN$2),Español!$A:$H,7,FALSE)=AB356,1,0)</f>
        <v>#N/A</v>
      </c>
      <c r="DO356" s="138" t="e">
        <f>IF(VLOOKUP(CONCATENATE(H356,F356,DO$2),Español!$A:$H,7,FALSE)=AC356,1,0)</f>
        <v>#N/A</v>
      </c>
      <c r="DP356" s="138" t="e">
        <f>IF(VLOOKUP(CONCATENATE(H356,F356,DP$2),Español!$A:$H,7,FALSE)=AD356,1,0)</f>
        <v>#N/A</v>
      </c>
      <c r="DQ356" s="138" t="e">
        <f>IF(VLOOKUP(CONCATENATE(H356,F356,DQ$2),Español!$A:$H,7,FALSE)=AE356,1,0)</f>
        <v>#N/A</v>
      </c>
      <c r="DR356" s="138" t="e">
        <f>IF(VLOOKUP(CONCATENATE(H356,F356,DR$2),Inglés!$A:$H,7,FALSE)=AF356,1,0)</f>
        <v>#N/A</v>
      </c>
      <c r="DS356" s="138" t="e">
        <f>IF(VLOOKUP(CONCATENATE(H356,F356,DS$2),Inglés!$A:$H,7,FALSE)=AG356,1,0)</f>
        <v>#N/A</v>
      </c>
      <c r="DT356" s="138" t="e">
        <f>IF(VLOOKUP(CONCATENATE(H356,F356,DT$2),Inglés!$A:$H,7,FALSE)=AH356,1,0)</f>
        <v>#N/A</v>
      </c>
      <c r="DU356" s="138" t="e">
        <f>IF(VLOOKUP(CONCATENATE(H356,F356,DU$2),Inglés!$A:$H,7,FALSE)=AI356,1,0)</f>
        <v>#N/A</v>
      </c>
      <c r="DV356" s="138" t="e">
        <f>IF(VLOOKUP(CONCATENATE(H356,F356,DV$2),Inglés!$A:$H,7,FALSE)=AJ356,1,0)</f>
        <v>#N/A</v>
      </c>
      <c r="DW356" s="138" t="e">
        <f>IF(VLOOKUP(CONCATENATE(H356,F356,DW$2),Inglés!$A:$H,7,FALSE)=AK356,1,0)</f>
        <v>#N/A</v>
      </c>
      <c r="DX356" s="138" t="e">
        <f>IF(VLOOKUP(CONCATENATE(H356,F356,DX$2),Inglés!$A:$H,7,FALSE)=AL356,1,0)</f>
        <v>#N/A</v>
      </c>
      <c r="DY356" s="138" t="e">
        <f>IF(VLOOKUP(CONCATENATE(H356,F356,DY$2),Inglés!$A:$H,7,FALSE)=AM356,1,0)</f>
        <v>#N/A</v>
      </c>
      <c r="DZ356" s="138" t="e">
        <f>IF(VLOOKUP(CONCATENATE(H356,F356,DZ$2),Inglés!$A:$H,7,FALSE)=AN356,1,0)</f>
        <v>#N/A</v>
      </c>
      <c r="EA356" s="138" t="e">
        <f>IF(VLOOKUP(CONCATENATE(H356,F356,EA$2),Inglés!$A:$H,7,FALSE)=AO356,1,0)</f>
        <v>#N/A</v>
      </c>
      <c r="EB356" s="138" t="e">
        <f>IF(VLOOKUP(CONCATENATE(H356,F356,EB$2),Matemáticas!$A:$H,7,FALSE)=AP356,1,0)</f>
        <v>#N/A</v>
      </c>
      <c r="EC356" s="138" t="e">
        <f>IF(VLOOKUP(CONCATENATE(H356,F356,EC$2),Matemáticas!$A:$H,7,FALSE)=AQ356,1,0)</f>
        <v>#N/A</v>
      </c>
      <c r="ED356" s="138" t="e">
        <f>IF(VLOOKUP(CONCATENATE(H356,F356,ED$2),Matemáticas!$A:$H,7,FALSE)=AR356,1,0)</f>
        <v>#N/A</v>
      </c>
      <c r="EE356" s="138" t="e">
        <f>IF(VLOOKUP(CONCATENATE(H356,F356,EE$2),Matemáticas!$A:$H,7,FALSE)=AS356,1,0)</f>
        <v>#N/A</v>
      </c>
      <c r="EF356" s="138" t="e">
        <f>IF(VLOOKUP(CONCATENATE(H356,F356,EF$2),Matemáticas!$A:$H,7,FALSE)=AT356,1,0)</f>
        <v>#N/A</v>
      </c>
      <c r="EG356" s="138" t="e">
        <f>IF(VLOOKUP(CONCATENATE(H356,F356,EG$2),Matemáticas!$A:$H,7,FALSE)=AU356,1,0)</f>
        <v>#N/A</v>
      </c>
      <c r="EH356" s="138" t="e">
        <f>IF(VLOOKUP(CONCATENATE(H356,F356,EH$2),Matemáticas!$A:$H,7,FALSE)=AV356,1,0)</f>
        <v>#N/A</v>
      </c>
      <c r="EI356" s="138" t="e">
        <f>IF(VLOOKUP(CONCATENATE(H356,F356,EI$2),Matemáticas!$A:$H,7,FALSE)=AW356,1,0)</f>
        <v>#N/A</v>
      </c>
      <c r="EJ356" s="138" t="e">
        <f>IF(VLOOKUP(CONCATENATE(H356,F356,EJ$2),Matemáticas!$A:$H,7,FALSE)=AX356,1,0)</f>
        <v>#N/A</v>
      </c>
      <c r="EK356" s="138" t="e">
        <f>IF(VLOOKUP(CONCATENATE(H356,F356,EK$2),Matemáticas!$A:$H,7,FALSE)=AY356,1,0)</f>
        <v>#N/A</v>
      </c>
      <c r="EL356" s="138" t="e">
        <f>IF(VLOOKUP(CONCATENATE(H356,F356,EL$2),Matemáticas!$A:$H,7,FALSE)=AZ356,1,0)</f>
        <v>#N/A</v>
      </c>
      <c r="EM356" s="138" t="e">
        <f>IF(VLOOKUP(CONCATENATE(H356,F356,EM$2),Matemáticas!$A:$H,7,FALSE)=BA356,1,0)</f>
        <v>#N/A</v>
      </c>
      <c r="EN356" s="138" t="e">
        <f>IF(VLOOKUP(CONCATENATE(H356,F356,EN$2),Matemáticas!$A:$H,7,FALSE)=BB356,1,0)</f>
        <v>#N/A</v>
      </c>
      <c r="EO356" s="138" t="e">
        <f>IF(VLOOKUP(CONCATENATE(H356,F356,EO$2),Matemáticas!$A:$H,7,FALSE)=BC356,1,0)</f>
        <v>#N/A</v>
      </c>
      <c r="EP356" s="138" t="e">
        <f>IF(VLOOKUP(CONCATENATE(H356,F356,EP$2),Matemáticas!$A:$H,7,FALSE)=BD356,1,0)</f>
        <v>#N/A</v>
      </c>
      <c r="EQ356" s="138" t="e">
        <f>IF(VLOOKUP(CONCATENATE(H356,F356,EQ$2),Matemáticas!$A:$H,7,FALSE)=BE356,1,0)</f>
        <v>#N/A</v>
      </c>
      <c r="ER356" s="138" t="e">
        <f>IF(VLOOKUP(CONCATENATE(H356,F356,ER$2),Matemáticas!$A:$H,7,FALSE)=BF356,1,0)</f>
        <v>#N/A</v>
      </c>
      <c r="ES356" s="138" t="e">
        <f>IF(VLOOKUP(CONCATENATE(H356,F356,ES$2),Matemáticas!$A:$H,7,FALSE)=BG356,1,0)</f>
        <v>#N/A</v>
      </c>
      <c r="ET356" s="138" t="e">
        <f>IF(VLOOKUP(CONCATENATE(H356,F356,ET$2),Matemáticas!$A:$H,7,FALSE)=BH356,1,0)</f>
        <v>#N/A</v>
      </c>
      <c r="EU356" s="138" t="e">
        <f>IF(VLOOKUP(CONCATENATE(H356,F356,EU$2),Matemáticas!$A:$H,7,FALSE)=BI356,1,0)</f>
        <v>#N/A</v>
      </c>
      <c r="EV356" s="138" t="e">
        <f>IF(VLOOKUP(CONCATENATE(H356,F356,EV$2),Ciencias!$A:$H,7,FALSE)=BJ356,1,0)</f>
        <v>#N/A</v>
      </c>
      <c r="EW356" s="138" t="e">
        <f>IF(VLOOKUP(CONCATENATE(H356,F356,EW$2),Ciencias!$A:$H,7,FALSE)=BK356,1,0)</f>
        <v>#N/A</v>
      </c>
      <c r="EX356" s="138" t="e">
        <f>IF(VLOOKUP(CONCATENATE(H356,F356,EX$2),Ciencias!$A:$H,7,FALSE)=BL356,1,0)</f>
        <v>#N/A</v>
      </c>
      <c r="EY356" s="138" t="e">
        <f>IF(VLOOKUP(CONCATENATE(H356,F356,EY$2),Ciencias!$A:$H,7,FALSE)=BM356,1,0)</f>
        <v>#N/A</v>
      </c>
      <c r="EZ356" s="138" t="e">
        <f>IF(VLOOKUP(CONCATENATE(H356,F356,EZ$2),Ciencias!$A:$H,7,FALSE)=BN356,1,0)</f>
        <v>#N/A</v>
      </c>
      <c r="FA356" s="138" t="e">
        <f>IF(VLOOKUP(CONCATENATE(H356,F356,FA$2),Ciencias!$A:$H,7,FALSE)=BO356,1,0)</f>
        <v>#N/A</v>
      </c>
      <c r="FB356" s="138" t="e">
        <f>IF(VLOOKUP(CONCATENATE(H356,F356,FB$2),Ciencias!$A:$H,7,FALSE)=BP356,1,0)</f>
        <v>#N/A</v>
      </c>
      <c r="FC356" s="138" t="e">
        <f>IF(VLOOKUP(CONCATENATE(H356,F356,FC$2),Ciencias!$A:$H,7,FALSE)=BQ356,1,0)</f>
        <v>#N/A</v>
      </c>
      <c r="FD356" s="138" t="e">
        <f>IF(VLOOKUP(CONCATENATE(H356,F356,FD$2),Ciencias!$A:$H,7,FALSE)=BR356,1,0)</f>
        <v>#N/A</v>
      </c>
      <c r="FE356" s="138" t="e">
        <f>IF(VLOOKUP(CONCATENATE(H356,F356,FE$2),Ciencias!$A:$H,7,FALSE)=BS356,1,0)</f>
        <v>#N/A</v>
      </c>
      <c r="FF356" s="138" t="e">
        <f>IF(VLOOKUP(CONCATENATE(H356,F356,FF$2),Ciencias!$A:$H,7,FALSE)=BT356,1,0)</f>
        <v>#N/A</v>
      </c>
      <c r="FG356" s="138" t="e">
        <f>IF(VLOOKUP(CONCATENATE(H356,F356,FG$2),Ciencias!$A:$H,7,FALSE)=BU356,1,0)</f>
        <v>#N/A</v>
      </c>
      <c r="FH356" s="138" t="e">
        <f>IF(VLOOKUP(CONCATENATE(H356,F356,FH$2),Ciencias!$A:$H,7,FALSE)=BV356,1,0)</f>
        <v>#N/A</v>
      </c>
      <c r="FI356" s="138" t="e">
        <f>IF(VLOOKUP(CONCATENATE(H356,F356,FI$2),Ciencias!$A:$H,7,FALSE)=BW356,1,0)</f>
        <v>#N/A</v>
      </c>
      <c r="FJ356" s="138" t="e">
        <f>IF(VLOOKUP(CONCATENATE(H356,F356,FJ$2),Ciencias!$A:$H,7,FALSE)=BX356,1,0)</f>
        <v>#N/A</v>
      </c>
      <c r="FK356" s="138" t="e">
        <f>IF(VLOOKUP(CONCATENATE(H356,F356,FK$2),Ciencias!$A:$H,7,FALSE)=BY356,1,0)</f>
        <v>#N/A</v>
      </c>
      <c r="FL356" s="138" t="e">
        <f>IF(VLOOKUP(CONCATENATE(H356,F356,FL$2),Ciencias!$A:$H,7,FALSE)=BZ356,1,0)</f>
        <v>#N/A</v>
      </c>
      <c r="FM356" s="138" t="e">
        <f>IF(VLOOKUP(CONCATENATE(H356,F356,FM$2),Ciencias!$A:$H,7,FALSE)=CA356,1,0)</f>
        <v>#N/A</v>
      </c>
      <c r="FN356" s="138" t="e">
        <f>IF(VLOOKUP(CONCATENATE(H356,F356,FN$2),Ciencias!$A:$H,7,FALSE)=CB356,1,0)</f>
        <v>#N/A</v>
      </c>
      <c r="FO356" s="138" t="e">
        <f>IF(VLOOKUP(CONCATENATE(H356,F356,FO$2),Ciencias!$A:$H,7,FALSE)=CC356,1,0)</f>
        <v>#N/A</v>
      </c>
      <c r="FP356" s="138" t="e">
        <f>IF(VLOOKUP(CONCATENATE(H356,F356,FP$2),GeoHis!$A:$H,7,FALSE)=CD356,1,0)</f>
        <v>#N/A</v>
      </c>
      <c r="FQ356" s="138" t="e">
        <f>IF(VLOOKUP(CONCATENATE(H356,F356,FQ$2),GeoHis!$A:$H,7,FALSE)=CE356,1,0)</f>
        <v>#N/A</v>
      </c>
      <c r="FR356" s="138" t="e">
        <f>IF(VLOOKUP(CONCATENATE(H356,F356,FR$2),GeoHis!$A:$H,7,FALSE)=CF356,1,0)</f>
        <v>#N/A</v>
      </c>
      <c r="FS356" s="138" t="e">
        <f>IF(VLOOKUP(CONCATENATE(H356,F356,FS$2),GeoHis!$A:$H,7,FALSE)=CG356,1,0)</f>
        <v>#N/A</v>
      </c>
      <c r="FT356" s="138" t="e">
        <f>IF(VLOOKUP(CONCATENATE(H356,F356,FT$2),GeoHis!$A:$H,7,FALSE)=CH356,1,0)</f>
        <v>#N/A</v>
      </c>
      <c r="FU356" s="138" t="e">
        <f>IF(VLOOKUP(CONCATENATE(H356,F356,FU$2),GeoHis!$A:$H,7,FALSE)=CI356,1,0)</f>
        <v>#N/A</v>
      </c>
      <c r="FV356" s="138" t="e">
        <f>IF(VLOOKUP(CONCATENATE(H356,F356,FV$2),GeoHis!$A:$H,7,FALSE)=CJ356,1,0)</f>
        <v>#N/A</v>
      </c>
      <c r="FW356" s="138" t="e">
        <f>IF(VLOOKUP(CONCATENATE(H356,F356,FW$2),GeoHis!$A:$H,7,FALSE)=CK356,1,0)</f>
        <v>#N/A</v>
      </c>
      <c r="FX356" s="138" t="e">
        <f>IF(VLOOKUP(CONCATENATE(H356,F356,FX$2),GeoHis!$A:$H,7,FALSE)=CL356,1,0)</f>
        <v>#N/A</v>
      </c>
      <c r="FY356" s="138" t="e">
        <f>IF(VLOOKUP(CONCATENATE(H356,F356,FY$2),GeoHis!$A:$H,7,FALSE)=CM356,1,0)</f>
        <v>#N/A</v>
      </c>
      <c r="FZ356" s="138" t="e">
        <f>IF(VLOOKUP(CONCATENATE(H356,F356,FZ$2),GeoHis!$A:$H,7,FALSE)=CN356,1,0)</f>
        <v>#N/A</v>
      </c>
      <c r="GA356" s="138" t="e">
        <f>IF(VLOOKUP(CONCATENATE(H356,F356,GA$2),GeoHis!$A:$H,7,FALSE)=CO356,1,0)</f>
        <v>#N/A</v>
      </c>
      <c r="GB356" s="138" t="e">
        <f>IF(VLOOKUP(CONCATENATE(H356,F356,GB$2),GeoHis!$A:$H,7,FALSE)=CP356,1,0)</f>
        <v>#N/A</v>
      </c>
      <c r="GC356" s="138" t="e">
        <f>IF(VLOOKUP(CONCATENATE(H356,F356,GC$2),GeoHis!$A:$H,7,FALSE)=CQ356,1,0)</f>
        <v>#N/A</v>
      </c>
      <c r="GD356" s="138" t="e">
        <f>IF(VLOOKUP(CONCATENATE(H356,F356,GD$2),GeoHis!$A:$H,7,FALSE)=CR356,1,0)</f>
        <v>#N/A</v>
      </c>
      <c r="GE356" s="135" t="str">
        <f t="shared" si="47"/>
        <v/>
      </c>
    </row>
    <row r="357" spans="1:187" x14ac:dyDescent="0.25">
      <c r="A357" s="127" t="str">
        <f>IF(C357="","",'Datos Generales'!$A$25)</f>
        <v/>
      </c>
      <c r="D357" s="126" t="str">
        <f t="shared" si="40"/>
        <v/>
      </c>
      <c r="E357" s="126">
        <f t="shared" si="41"/>
        <v>0</v>
      </c>
      <c r="F357" s="126" t="str">
        <f t="shared" si="42"/>
        <v/>
      </c>
      <c r="G357" s="126" t="str">
        <f>IF(C357="","",'Datos Generales'!$D$19)</f>
        <v/>
      </c>
      <c r="H357" s="21" t="str">
        <f>IF(C357="","",'Datos Generales'!$A$19)</f>
        <v/>
      </c>
      <c r="I357" s="126" t="str">
        <f>IF(C357="","",'Datos Generales'!$A$7)</f>
        <v/>
      </c>
      <c r="J357" s="21" t="str">
        <f>IF(C357="","",'Datos Generales'!$A$13)</f>
        <v/>
      </c>
      <c r="K357" s="21" t="str">
        <f>IF(C357="","",'Datos Generales'!$A$10)</f>
        <v/>
      </c>
      <c r="CS357" s="142" t="str">
        <f t="shared" si="43"/>
        <v/>
      </c>
      <c r="CT357" s="142" t="str">
        <f t="shared" si="44"/>
        <v/>
      </c>
      <c r="CU357" s="142" t="str">
        <f t="shared" si="45"/>
        <v/>
      </c>
      <c r="CV357" s="142" t="str">
        <f t="shared" si="46"/>
        <v/>
      </c>
      <c r="CW357" s="142" t="str">
        <f>IF(C357="","",IF('Datos Generales'!$A$19=1,AVERAGE(FP357:GD357),AVERAGE(Captura!FP357:FY357)))</f>
        <v/>
      </c>
      <c r="CX357" s="138" t="e">
        <f>IF(VLOOKUP(CONCATENATE($H$4,$F$4,CX$2),Español!$A:$H,7,FALSE)=L357,1,0)</f>
        <v>#N/A</v>
      </c>
      <c r="CY357" s="138" t="e">
        <f>IF(VLOOKUP(CONCATENATE(H357,F357,CY$2),Español!$A:$H,7,FALSE)=M357,1,0)</f>
        <v>#N/A</v>
      </c>
      <c r="CZ357" s="138" t="e">
        <f>IF(VLOOKUP(CONCATENATE(H357,F357,CZ$2),Español!$A:$H,7,FALSE)=N357,1,0)</f>
        <v>#N/A</v>
      </c>
      <c r="DA357" s="138" t="e">
        <f>IF(VLOOKUP(CONCATENATE(H357,F357,DA$2),Español!$A:$H,7,FALSE)=O357,1,0)</f>
        <v>#N/A</v>
      </c>
      <c r="DB357" s="138" t="e">
        <f>IF(VLOOKUP(CONCATENATE(H357,F357,DB$2),Español!$A:$H,7,FALSE)=P357,1,0)</f>
        <v>#N/A</v>
      </c>
      <c r="DC357" s="138" t="e">
        <f>IF(VLOOKUP(CONCATENATE(H357,F357,DC$2),Español!$A:$H,7,FALSE)=Q357,1,0)</f>
        <v>#N/A</v>
      </c>
      <c r="DD357" s="138" t="e">
        <f>IF(VLOOKUP(CONCATENATE(H357,F357,DD$2),Español!$A:$H,7,FALSE)=R357,1,0)</f>
        <v>#N/A</v>
      </c>
      <c r="DE357" s="138" t="e">
        <f>IF(VLOOKUP(CONCATENATE(H357,F357,DE$2),Español!$A:$H,7,FALSE)=S357,1,0)</f>
        <v>#N/A</v>
      </c>
      <c r="DF357" s="138" t="e">
        <f>IF(VLOOKUP(CONCATENATE(H357,F357,DF$2),Español!$A:$H,7,FALSE)=T357,1,0)</f>
        <v>#N/A</v>
      </c>
      <c r="DG357" s="138" t="e">
        <f>IF(VLOOKUP(CONCATENATE(H357,F357,DG$2),Español!$A:$H,7,FALSE)=U357,1,0)</f>
        <v>#N/A</v>
      </c>
      <c r="DH357" s="138" t="e">
        <f>IF(VLOOKUP(CONCATENATE(H357,F357,DH$2),Español!$A:$H,7,FALSE)=V357,1,0)</f>
        <v>#N/A</v>
      </c>
      <c r="DI357" s="138" t="e">
        <f>IF(VLOOKUP(CONCATENATE(H357,F357,DI$2),Español!$A:$H,7,FALSE)=W357,1,0)</f>
        <v>#N/A</v>
      </c>
      <c r="DJ357" s="138" t="e">
        <f>IF(VLOOKUP(CONCATENATE(H357,F357,DJ$2),Español!$A:$H,7,FALSE)=X357,1,0)</f>
        <v>#N/A</v>
      </c>
      <c r="DK357" s="138" t="e">
        <f>IF(VLOOKUP(CONCATENATE(H357,F357,DK$2),Español!$A:$H,7,FALSE)=Y357,1,0)</f>
        <v>#N/A</v>
      </c>
      <c r="DL357" s="138" t="e">
        <f>IF(VLOOKUP(CONCATENATE(H357,F357,DL$2),Español!$A:$H,7,FALSE)=Z357,1,0)</f>
        <v>#N/A</v>
      </c>
      <c r="DM357" s="138" t="e">
        <f>IF(VLOOKUP(CONCATENATE(H357,F357,DM$2),Español!$A:$H,7,FALSE)=AA357,1,0)</f>
        <v>#N/A</v>
      </c>
      <c r="DN357" s="138" t="e">
        <f>IF(VLOOKUP(CONCATENATE(H357,F357,DN$2),Español!$A:$H,7,FALSE)=AB357,1,0)</f>
        <v>#N/A</v>
      </c>
      <c r="DO357" s="138" t="e">
        <f>IF(VLOOKUP(CONCATENATE(H357,F357,DO$2),Español!$A:$H,7,FALSE)=AC357,1,0)</f>
        <v>#N/A</v>
      </c>
      <c r="DP357" s="138" t="e">
        <f>IF(VLOOKUP(CONCATENATE(H357,F357,DP$2),Español!$A:$H,7,FALSE)=AD357,1,0)</f>
        <v>#N/A</v>
      </c>
      <c r="DQ357" s="138" t="e">
        <f>IF(VLOOKUP(CONCATENATE(H357,F357,DQ$2),Español!$A:$H,7,FALSE)=AE357,1,0)</f>
        <v>#N/A</v>
      </c>
      <c r="DR357" s="138" t="e">
        <f>IF(VLOOKUP(CONCATENATE(H357,F357,DR$2),Inglés!$A:$H,7,FALSE)=AF357,1,0)</f>
        <v>#N/A</v>
      </c>
      <c r="DS357" s="138" t="e">
        <f>IF(VLOOKUP(CONCATENATE(H357,F357,DS$2),Inglés!$A:$H,7,FALSE)=AG357,1,0)</f>
        <v>#N/A</v>
      </c>
      <c r="DT357" s="138" t="e">
        <f>IF(VLOOKUP(CONCATENATE(H357,F357,DT$2),Inglés!$A:$H,7,FALSE)=AH357,1,0)</f>
        <v>#N/A</v>
      </c>
      <c r="DU357" s="138" t="e">
        <f>IF(VLOOKUP(CONCATENATE(H357,F357,DU$2),Inglés!$A:$H,7,FALSE)=AI357,1,0)</f>
        <v>#N/A</v>
      </c>
      <c r="DV357" s="138" t="e">
        <f>IF(VLOOKUP(CONCATENATE(H357,F357,DV$2),Inglés!$A:$H,7,FALSE)=AJ357,1,0)</f>
        <v>#N/A</v>
      </c>
      <c r="DW357" s="138" t="e">
        <f>IF(VLOOKUP(CONCATENATE(H357,F357,DW$2),Inglés!$A:$H,7,FALSE)=AK357,1,0)</f>
        <v>#N/A</v>
      </c>
      <c r="DX357" s="138" t="e">
        <f>IF(VLOOKUP(CONCATENATE(H357,F357,DX$2),Inglés!$A:$H,7,FALSE)=AL357,1,0)</f>
        <v>#N/A</v>
      </c>
      <c r="DY357" s="138" t="e">
        <f>IF(VLOOKUP(CONCATENATE(H357,F357,DY$2),Inglés!$A:$H,7,FALSE)=AM357,1,0)</f>
        <v>#N/A</v>
      </c>
      <c r="DZ357" s="138" t="e">
        <f>IF(VLOOKUP(CONCATENATE(H357,F357,DZ$2),Inglés!$A:$H,7,FALSE)=AN357,1,0)</f>
        <v>#N/A</v>
      </c>
      <c r="EA357" s="138" t="e">
        <f>IF(VLOOKUP(CONCATENATE(H357,F357,EA$2),Inglés!$A:$H,7,FALSE)=AO357,1,0)</f>
        <v>#N/A</v>
      </c>
      <c r="EB357" s="138" t="e">
        <f>IF(VLOOKUP(CONCATENATE(H357,F357,EB$2),Matemáticas!$A:$H,7,FALSE)=AP357,1,0)</f>
        <v>#N/A</v>
      </c>
      <c r="EC357" s="138" t="e">
        <f>IF(VLOOKUP(CONCATENATE(H357,F357,EC$2),Matemáticas!$A:$H,7,FALSE)=AQ357,1,0)</f>
        <v>#N/A</v>
      </c>
      <c r="ED357" s="138" t="e">
        <f>IF(VLOOKUP(CONCATENATE(H357,F357,ED$2),Matemáticas!$A:$H,7,FALSE)=AR357,1,0)</f>
        <v>#N/A</v>
      </c>
      <c r="EE357" s="138" t="e">
        <f>IF(VLOOKUP(CONCATENATE(H357,F357,EE$2),Matemáticas!$A:$H,7,FALSE)=AS357,1,0)</f>
        <v>#N/A</v>
      </c>
      <c r="EF357" s="138" t="e">
        <f>IF(VLOOKUP(CONCATENATE(H357,F357,EF$2),Matemáticas!$A:$H,7,FALSE)=AT357,1,0)</f>
        <v>#N/A</v>
      </c>
      <c r="EG357" s="138" t="e">
        <f>IF(VLOOKUP(CONCATENATE(H357,F357,EG$2),Matemáticas!$A:$H,7,FALSE)=AU357,1,0)</f>
        <v>#N/A</v>
      </c>
      <c r="EH357" s="138" t="e">
        <f>IF(VLOOKUP(CONCATENATE(H357,F357,EH$2),Matemáticas!$A:$H,7,FALSE)=AV357,1,0)</f>
        <v>#N/A</v>
      </c>
      <c r="EI357" s="138" t="e">
        <f>IF(VLOOKUP(CONCATENATE(H357,F357,EI$2),Matemáticas!$A:$H,7,FALSE)=AW357,1,0)</f>
        <v>#N/A</v>
      </c>
      <c r="EJ357" s="138" t="e">
        <f>IF(VLOOKUP(CONCATENATE(H357,F357,EJ$2),Matemáticas!$A:$H,7,FALSE)=AX357,1,0)</f>
        <v>#N/A</v>
      </c>
      <c r="EK357" s="138" t="e">
        <f>IF(VLOOKUP(CONCATENATE(H357,F357,EK$2),Matemáticas!$A:$H,7,FALSE)=AY357,1,0)</f>
        <v>#N/A</v>
      </c>
      <c r="EL357" s="138" t="e">
        <f>IF(VLOOKUP(CONCATENATE(H357,F357,EL$2),Matemáticas!$A:$H,7,FALSE)=AZ357,1,0)</f>
        <v>#N/A</v>
      </c>
      <c r="EM357" s="138" t="e">
        <f>IF(VLOOKUP(CONCATENATE(H357,F357,EM$2),Matemáticas!$A:$H,7,FALSE)=BA357,1,0)</f>
        <v>#N/A</v>
      </c>
      <c r="EN357" s="138" t="e">
        <f>IF(VLOOKUP(CONCATENATE(H357,F357,EN$2),Matemáticas!$A:$H,7,FALSE)=BB357,1,0)</f>
        <v>#N/A</v>
      </c>
      <c r="EO357" s="138" t="e">
        <f>IF(VLOOKUP(CONCATENATE(H357,F357,EO$2),Matemáticas!$A:$H,7,FALSE)=BC357,1,0)</f>
        <v>#N/A</v>
      </c>
      <c r="EP357" s="138" t="e">
        <f>IF(VLOOKUP(CONCATENATE(H357,F357,EP$2),Matemáticas!$A:$H,7,FALSE)=BD357,1,0)</f>
        <v>#N/A</v>
      </c>
      <c r="EQ357" s="138" t="e">
        <f>IF(VLOOKUP(CONCATENATE(H357,F357,EQ$2),Matemáticas!$A:$H,7,FALSE)=BE357,1,0)</f>
        <v>#N/A</v>
      </c>
      <c r="ER357" s="138" t="e">
        <f>IF(VLOOKUP(CONCATENATE(H357,F357,ER$2),Matemáticas!$A:$H,7,FALSE)=BF357,1,0)</f>
        <v>#N/A</v>
      </c>
      <c r="ES357" s="138" t="e">
        <f>IF(VLOOKUP(CONCATENATE(H357,F357,ES$2),Matemáticas!$A:$H,7,FALSE)=BG357,1,0)</f>
        <v>#N/A</v>
      </c>
      <c r="ET357" s="138" t="e">
        <f>IF(VLOOKUP(CONCATENATE(H357,F357,ET$2),Matemáticas!$A:$H,7,FALSE)=BH357,1,0)</f>
        <v>#N/A</v>
      </c>
      <c r="EU357" s="138" t="e">
        <f>IF(VLOOKUP(CONCATENATE(H357,F357,EU$2),Matemáticas!$A:$H,7,FALSE)=BI357,1,0)</f>
        <v>#N/A</v>
      </c>
      <c r="EV357" s="138" t="e">
        <f>IF(VLOOKUP(CONCATENATE(H357,F357,EV$2),Ciencias!$A:$H,7,FALSE)=BJ357,1,0)</f>
        <v>#N/A</v>
      </c>
      <c r="EW357" s="138" t="e">
        <f>IF(VLOOKUP(CONCATENATE(H357,F357,EW$2),Ciencias!$A:$H,7,FALSE)=BK357,1,0)</f>
        <v>#N/A</v>
      </c>
      <c r="EX357" s="138" t="e">
        <f>IF(VLOOKUP(CONCATENATE(H357,F357,EX$2),Ciencias!$A:$H,7,FALSE)=BL357,1,0)</f>
        <v>#N/A</v>
      </c>
      <c r="EY357" s="138" t="e">
        <f>IF(VLOOKUP(CONCATENATE(H357,F357,EY$2),Ciencias!$A:$H,7,FALSE)=BM357,1,0)</f>
        <v>#N/A</v>
      </c>
      <c r="EZ357" s="138" t="e">
        <f>IF(VLOOKUP(CONCATENATE(H357,F357,EZ$2),Ciencias!$A:$H,7,FALSE)=BN357,1,0)</f>
        <v>#N/A</v>
      </c>
      <c r="FA357" s="138" t="e">
        <f>IF(VLOOKUP(CONCATENATE(H357,F357,FA$2),Ciencias!$A:$H,7,FALSE)=BO357,1,0)</f>
        <v>#N/A</v>
      </c>
      <c r="FB357" s="138" t="e">
        <f>IF(VLOOKUP(CONCATENATE(H357,F357,FB$2),Ciencias!$A:$H,7,FALSE)=BP357,1,0)</f>
        <v>#N/A</v>
      </c>
      <c r="FC357" s="138" t="e">
        <f>IF(VLOOKUP(CONCATENATE(H357,F357,FC$2),Ciencias!$A:$H,7,FALSE)=BQ357,1,0)</f>
        <v>#N/A</v>
      </c>
      <c r="FD357" s="138" t="e">
        <f>IF(VLOOKUP(CONCATENATE(H357,F357,FD$2),Ciencias!$A:$H,7,FALSE)=BR357,1,0)</f>
        <v>#N/A</v>
      </c>
      <c r="FE357" s="138" t="e">
        <f>IF(VLOOKUP(CONCATENATE(H357,F357,FE$2),Ciencias!$A:$H,7,FALSE)=BS357,1,0)</f>
        <v>#N/A</v>
      </c>
      <c r="FF357" s="138" t="e">
        <f>IF(VLOOKUP(CONCATENATE(H357,F357,FF$2),Ciencias!$A:$H,7,FALSE)=BT357,1,0)</f>
        <v>#N/A</v>
      </c>
      <c r="FG357" s="138" t="e">
        <f>IF(VLOOKUP(CONCATENATE(H357,F357,FG$2),Ciencias!$A:$H,7,FALSE)=BU357,1,0)</f>
        <v>#N/A</v>
      </c>
      <c r="FH357" s="138" t="e">
        <f>IF(VLOOKUP(CONCATENATE(H357,F357,FH$2),Ciencias!$A:$H,7,FALSE)=BV357,1,0)</f>
        <v>#N/A</v>
      </c>
      <c r="FI357" s="138" t="e">
        <f>IF(VLOOKUP(CONCATENATE(H357,F357,FI$2),Ciencias!$A:$H,7,FALSE)=BW357,1,0)</f>
        <v>#N/A</v>
      </c>
      <c r="FJ357" s="138" t="e">
        <f>IF(VLOOKUP(CONCATENATE(H357,F357,FJ$2),Ciencias!$A:$H,7,FALSE)=BX357,1,0)</f>
        <v>#N/A</v>
      </c>
      <c r="FK357" s="138" t="e">
        <f>IF(VLOOKUP(CONCATENATE(H357,F357,FK$2),Ciencias!$A:$H,7,FALSE)=BY357,1,0)</f>
        <v>#N/A</v>
      </c>
      <c r="FL357" s="138" t="e">
        <f>IF(VLOOKUP(CONCATENATE(H357,F357,FL$2),Ciencias!$A:$H,7,FALSE)=BZ357,1,0)</f>
        <v>#N/A</v>
      </c>
      <c r="FM357" s="138" t="e">
        <f>IF(VLOOKUP(CONCATENATE(H357,F357,FM$2),Ciencias!$A:$H,7,FALSE)=CA357,1,0)</f>
        <v>#N/A</v>
      </c>
      <c r="FN357" s="138" t="e">
        <f>IF(VLOOKUP(CONCATENATE(H357,F357,FN$2),Ciencias!$A:$H,7,FALSE)=CB357,1,0)</f>
        <v>#N/A</v>
      </c>
      <c r="FO357" s="138" t="e">
        <f>IF(VLOOKUP(CONCATENATE(H357,F357,FO$2),Ciencias!$A:$H,7,FALSE)=CC357,1,0)</f>
        <v>#N/A</v>
      </c>
      <c r="FP357" s="138" t="e">
        <f>IF(VLOOKUP(CONCATENATE(H357,F357,FP$2),GeoHis!$A:$H,7,FALSE)=CD357,1,0)</f>
        <v>#N/A</v>
      </c>
      <c r="FQ357" s="138" t="e">
        <f>IF(VLOOKUP(CONCATENATE(H357,F357,FQ$2),GeoHis!$A:$H,7,FALSE)=CE357,1,0)</f>
        <v>#N/A</v>
      </c>
      <c r="FR357" s="138" t="e">
        <f>IF(VLOOKUP(CONCATENATE(H357,F357,FR$2),GeoHis!$A:$H,7,FALSE)=CF357,1,0)</f>
        <v>#N/A</v>
      </c>
      <c r="FS357" s="138" t="e">
        <f>IF(VLOOKUP(CONCATENATE(H357,F357,FS$2),GeoHis!$A:$H,7,FALSE)=CG357,1,0)</f>
        <v>#N/A</v>
      </c>
      <c r="FT357" s="138" t="e">
        <f>IF(VLOOKUP(CONCATENATE(H357,F357,FT$2),GeoHis!$A:$H,7,FALSE)=CH357,1,0)</f>
        <v>#N/A</v>
      </c>
      <c r="FU357" s="138" t="e">
        <f>IF(VLOOKUP(CONCATENATE(H357,F357,FU$2),GeoHis!$A:$H,7,FALSE)=CI357,1,0)</f>
        <v>#N/A</v>
      </c>
      <c r="FV357" s="138" t="e">
        <f>IF(VLOOKUP(CONCATENATE(H357,F357,FV$2),GeoHis!$A:$H,7,FALSE)=CJ357,1,0)</f>
        <v>#N/A</v>
      </c>
      <c r="FW357" s="138" t="e">
        <f>IF(VLOOKUP(CONCATENATE(H357,F357,FW$2),GeoHis!$A:$H,7,FALSE)=CK357,1,0)</f>
        <v>#N/A</v>
      </c>
      <c r="FX357" s="138" t="e">
        <f>IF(VLOOKUP(CONCATENATE(H357,F357,FX$2),GeoHis!$A:$H,7,FALSE)=CL357,1,0)</f>
        <v>#N/A</v>
      </c>
      <c r="FY357" s="138" t="e">
        <f>IF(VLOOKUP(CONCATENATE(H357,F357,FY$2),GeoHis!$A:$H,7,FALSE)=CM357,1,0)</f>
        <v>#N/A</v>
      </c>
      <c r="FZ357" s="138" t="e">
        <f>IF(VLOOKUP(CONCATENATE(H357,F357,FZ$2),GeoHis!$A:$H,7,FALSE)=CN357,1,0)</f>
        <v>#N/A</v>
      </c>
      <c r="GA357" s="138" t="e">
        <f>IF(VLOOKUP(CONCATENATE(H357,F357,GA$2),GeoHis!$A:$H,7,FALSE)=CO357,1,0)</f>
        <v>#N/A</v>
      </c>
      <c r="GB357" s="138" t="e">
        <f>IF(VLOOKUP(CONCATENATE(H357,F357,GB$2),GeoHis!$A:$H,7,FALSE)=CP357,1,0)</f>
        <v>#N/A</v>
      </c>
      <c r="GC357" s="138" t="e">
        <f>IF(VLOOKUP(CONCATENATE(H357,F357,GC$2),GeoHis!$A:$H,7,FALSE)=CQ357,1,0)</f>
        <v>#N/A</v>
      </c>
      <c r="GD357" s="138" t="e">
        <f>IF(VLOOKUP(CONCATENATE(H357,F357,GD$2),GeoHis!$A:$H,7,FALSE)=CR357,1,0)</f>
        <v>#N/A</v>
      </c>
      <c r="GE357" s="135" t="str">
        <f t="shared" si="47"/>
        <v/>
      </c>
    </row>
    <row r="358" spans="1:187" x14ac:dyDescent="0.25">
      <c r="A358" s="127" t="str">
        <f>IF(C358="","",'Datos Generales'!$A$25)</f>
        <v/>
      </c>
      <c r="D358" s="126" t="str">
        <f t="shared" si="40"/>
        <v/>
      </c>
      <c r="E358" s="126">
        <f t="shared" si="41"/>
        <v>0</v>
      </c>
      <c r="F358" s="126" t="str">
        <f t="shared" si="42"/>
        <v/>
      </c>
      <c r="G358" s="126" t="str">
        <f>IF(C358="","",'Datos Generales'!$D$19)</f>
        <v/>
      </c>
      <c r="H358" s="21" t="str">
        <f>IF(C358="","",'Datos Generales'!$A$19)</f>
        <v/>
      </c>
      <c r="I358" s="126" t="str">
        <f>IF(C358="","",'Datos Generales'!$A$7)</f>
        <v/>
      </c>
      <c r="J358" s="21" t="str">
        <f>IF(C358="","",'Datos Generales'!$A$13)</f>
        <v/>
      </c>
      <c r="K358" s="21" t="str">
        <f>IF(C358="","",'Datos Generales'!$A$10)</f>
        <v/>
      </c>
      <c r="CS358" s="142" t="str">
        <f t="shared" si="43"/>
        <v/>
      </c>
      <c r="CT358" s="142" t="str">
        <f t="shared" si="44"/>
        <v/>
      </c>
      <c r="CU358" s="142" t="str">
        <f t="shared" si="45"/>
        <v/>
      </c>
      <c r="CV358" s="142" t="str">
        <f t="shared" si="46"/>
        <v/>
      </c>
      <c r="CW358" s="142" t="str">
        <f>IF(C358="","",IF('Datos Generales'!$A$19=1,AVERAGE(FP358:GD358),AVERAGE(Captura!FP358:FY358)))</f>
        <v/>
      </c>
      <c r="CX358" s="138" t="e">
        <f>IF(VLOOKUP(CONCATENATE($H$4,$F$4,CX$2),Español!$A:$H,7,FALSE)=L358,1,0)</f>
        <v>#N/A</v>
      </c>
      <c r="CY358" s="138" t="e">
        <f>IF(VLOOKUP(CONCATENATE(H358,F358,CY$2),Español!$A:$H,7,FALSE)=M358,1,0)</f>
        <v>#N/A</v>
      </c>
      <c r="CZ358" s="138" t="e">
        <f>IF(VLOOKUP(CONCATENATE(H358,F358,CZ$2),Español!$A:$H,7,FALSE)=N358,1,0)</f>
        <v>#N/A</v>
      </c>
      <c r="DA358" s="138" t="e">
        <f>IF(VLOOKUP(CONCATENATE(H358,F358,DA$2),Español!$A:$H,7,FALSE)=O358,1,0)</f>
        <v>#N/A</v>
      </c>
      <c r="DB358" s="138" t="e">
        <f>IF(VLOOKUP(CONCATENATE(H358,F358,DB$2),Español!$A:$H,7,FALSE)=P358,1,0)</f>
        <v>#N/A</v>
      </c>
      <c r="DC358" s="138" t="e">
        <f>IF(VLOOKUP(CONCATENATE(H358,F358,DC$2),Español!$A:$H,7,FALSE)=Q358,1,0)</f>
        <v>#N/A</v>
      </c>
      <c r="DD358" s="138" t="e">
        <f>IF(VLOOKUP(CONCATENATE(H358,F358,DD$2),Español!$A:$H,7,FALSE)=R358,1,0)</f>
        <v>#N/A</v>
      </c>
      <c r="DE358" s="138" t="e">
        <f>IF(VLOOKUP(CONCATENATE(H358,F358,DE$2),Español!$A:$H,7,FALSE)=S358,1,0)</f>
        <v>#N/A</v>
      </c>
      <c r="DF358" s="138" t="e">
        <f>IF(VLOOKUP(CONCATENATE(H358,F358,DF$2),Español!$A:$H,7,FALSE)=T358,1,0)</f>
        <v>#N/A</v>
      </c>
      <c r="DG358" s="138" t="e">
        <f>IF(VLOOKUP(CONCATENATE(H358,F358,DG$2),Español!$A:$H,7,FALSE)=U358,1,0)</f>
        <v>#N/A</v>
      </c>
      <c r="DH358" s="138" t="e">
        <f>IF(VLOOKUP(CONCATENATE(H358,F358,DH$2),Español!$A:$H,7,FALSE)=V358,1,0)</f>
        <v>#N/A</v>
      </c>
      <c r="DI358" s="138" t="e">
        <f>IF(VLOOKUP(CONCATENATE(H358,F358,DI$2),Español!$A:$H,7,FALSE)=W358,1,0)</f>
        <v>#N/A</v>
      </c>
      <c r="DJ358" s="138" t="e">
        <f>IF(VLOOKUP(CONCATENATE(H358,F358,DJ$2),Español!$A:$H,7,FALSE)=X358,1,0)</f>
        <v>#N/A</v>
      </c>
      <c r="DK358" s="138" t="e">
        <f>IF(VLOOKUP(CONCATENATE(H358,F358,DK$2),Español!$A:$H,7,FALSE)=Y358,1,0)</f>
        <v>#N/A</v>
      </c>
      <c r="DL358" s="138" t="e">
        <f>IF(VLOOKUP(CONCATENATE(H358,F358,DL$2),Español!$A:$H,7,FALSE)=Z358,1,0)</f>
        <v>#N/A</v>
      </c>
      <c r="DM358" s="138" t="e">
        <f>IF(VLOOKUP(CONCATENATE(H358,F358,DM$2),Español!$A:$H,7,FALSE)=AA358,1,0)</f>
        <v>#N/A</v>
      </c>
      <c r="DN358" s="138" t="e">
        <f>IF(VLOOKUP(CONCATENATE(H358,F358,DN$2),Español!$A:$H,7,FALSE)=AB358,1,0)</f>
        <v>#N/A</v>
      </c>
      <c r="DO358" s="138" t="e">
        <f>IF(VLOOKUP(CONCATENATE(H358,F358,DO$2),Español!$A:$H,7,FALSE)=AC358,1,0)</f>
        <v>#N/A</v>
      </c>
      <c r="DP358" s="138" t="e">
        <f>IF(VLOOKUP(CONCATENATE(H358,F358,DP$2),Español!$A:$H,7,FALSE)=AD358,1,0)</f>
        <v>#N/A</v>
      </c>
      <c r="DQ358" s="138" t="e">
        <f>IF(VLOOKUP(CONCATENATE(H358,F358,DQ$2),Español!$A:$H,7,FALSE)=AE358,1,0)</f>
        <v>#N/A</v>
      </c>
      <c r="DR358" s="138" t="e">
        <f>IF(VLOOKUP(CONCATENATE(H358,F358,DR$2),Inglés!$A:$H,7,FALSE)=AF358,1,0)</f>
        <v>#N/A</v>
      </c>
      <c r="DS358" s="138" t="e">
        <f>IF(VLOOKUP(CONCATENATE(H358,F358,DS$2),Inglés!$A:$H,7,FALSE)=AG358,1,0)</f>
        <v>#N/A</v>
      </c>
      <c r="DT358" s="138" t="e">
        <f>IF(VLOOKUP(CONCATENATE(H358,F358,DT$2),Inglés!$A:$H,7,FALSE)=AH358,1,0)</f>
        <v>#N/A</v>
      </c>
      <c r="DU358" s="138" t="e">
        <f>IF(VLOOKUP(CONCATENATE(H358,F358,DU$2),Inglés!$A:$H,7,FALSE)=AI358,1,0)</f>
        <v>#N/A</v>
      </c>
      <c r="DV358" s="138" t="e">
        <f>IF(VLOOKUP(CONCATENATE(H358,F358,DV$2),Inglés!$A:$H,7,FALSE)=AJ358,1,0)</f>
        <v>#N/A</v>
      </c>
      <c r="DW358" s="138" t="e">
        <f>IF(VLOOKUP(CONCATENATE(H358,F358,DW$2),Inglés!$A:$H,7,FALSE)=AK358,1,0)</f>
        <v>#N/A</v>
      </c>
      <c r="DX358" s="138" t="e">
        <f>IF(VLOOKUP(CONCATENATE(H358,F358,DX$2),Inglés!$A:$H,7,FALSE)=AL358,1,0)</f>
        <v>#N/A</v>
      </c>
      <c r="DY358" s="138" t="e">
        <f>IF(VLOOKUP(CONCATENATE(H358,F358,DY$2),Inglés!$A:$H,7,FALSE)=AM358,1,0)</f>
        <v>#N/A</v>
      </c>
      <c r="DZ358" s="138" t="e">
        <f>IF(VLOOKUP(CONCATENATE(H358,F358,DZ$2),Inglés!$A:$H,7,FALSE)=AN358,1,0)</f>
        <v>#N/A</v>
      </c>
      <c r="EA358" s="138" t="e">
        <f>IF(VLOOKUP(CONCATENATE(H358,F358,EA$2),Inglés!$A:$H,7,FALSE)=AO358,1,0)</f>
        <v>#N/A</v>
      </c>
      <c r="EB358" s="138" t="e">
        <f>IF(VLOOKUP(CONCATENATE(H358,F358,EB$2),Matemáticas!$A:$H,7,FALSE)=AP358,1,0)</f>
        <v>#N/A</v>
      </c>
      <c r="EC358" s="138" t="e">
        <f>IF(VLOOKUP(CONCATENATE(H358,F358,EC$2),Matemáticas!$A:$H,7,FALSE)=AQ358,1,0)</f>
        <v>#N/A</v>
      </c>
      <c r="ED358" s="138" t="e">
        <f>IF(VLOOKUP(CONCATENATE(H358,F358,ED$2),Matemáticas!$A:$H,7,FALSE)=AR358,1,0)</f>
        <v>#N/A</v>
      </c>
      <c r="EE358" s="138" t="e">
        <f>IF(VLOOKUP(CONCATENATE(H358,F358,EE$2),Matemáticas!$A:$H,7,FALSE)=AS358,1,0)</f>
        <v>#N/A</v>
      </c>
      <c r="EF358" s="138" t="e">
        <f>IF(VLOOKUP(CONCATENATE(H358,F358,EF$2),Matemáticas!$A:$H,7,FALSE)=AT358,1,0)</f>
        <v>#N/A</v>
      </c>
      <c r="EG358" s="138" t="e">
        <f>IF(VLOOKUP(CONCATENATE(H358,F358,EG$2),Matemáticas!$A:$H,7,FALSE)=AU358,1,0)</f>
        <v>#N/A</v>
      </c>
      <c r="EH358" s="138" t="e">
        <f>IF(VLOOKUP(CONCATENATE(H358,F358,EH$2),Matemáticas!$A:$H,7,FALSE)=AV358,1,0)</f>
        <v>#N/A</v>
      </c>
      <c r="EI358" s="138" t="e">
        <f>IF(VLOOKUP(CONCATENATE(H358,F358,EI$2),Matemáticas!$A:$H,7,FALSE)=AW358,1,0)</f>
        <v>#N/A</v>
      </c>
      <c r="EJ358" s="138" t="e">
        <f>IF(VLOOKUP(CONCATENATE(H358,F358,EJ$2),Matemáticas!$A:$H,7,FALSE)=AX358,1,0)</f>
        <v>#N/A</v>
      </c>
      <c r="EK358" s="138" t="e">
        <f>IF(VLOOKUP(CONCATENATE(H358,F358,EK$2),Matemáticas!$A:$H,7,FALSE)=AY358,1,0)</f>
        <v>#N/A</v>
      </c>
      <c r="EL358" s="138" t="e">
        <f>IF(VLOOKUP(CONCATENATE(H358,F358,EL$2),Matemáticas!$A:$H,7,FALSE)=AZ358,1,0)</f>
        <v>#N/A</v>
      </c>
      <c r="EM358" s="138" t="e">
        <f>IF(VLOOKUP(CONCATENATE(H358,F358,EM$2),Matemáticas!$A:$H,7,FALSE)=BA358,1,0)</f>
        <v>#N/A</v>
      </c>
      <c r="EN358" s="138" t="e">
        <f>IF(VLOOKUP(CONCATENATE(H358,F358,EN$2),Matemáticas!$A:$H,7,FALSE)=BB358,1,0)</f>
        <v>#N/A</v>
      </c>
      <c r="EO358" s="138" t="e">
        <f>IF(VLOOKUP(CONCATENATE(H358,F358,EO$2),Matemáticas!$A:$H,7,FALSE)=BC358,1,0)</f>
        <v>#N/A</v>
      </c>
      <c r="EP358" s="138" t="e">
        <f>IF(VLOOKUP(CONCATENATE(H358,F358,EP$2),Matemáticas!$A:$H,7,FALSE)=BD358,1,0)</f>
        <v>#N/A</v>
      </c>
      <c r="EQ358" s="138" t="e">
        <f>IF(VLOOKUP(CONCATENATE(H358,F358,EQ$2),Matemáticas!$A:$H,7,FALSE)=BE358,1,0)</f>
        <v>#N/A</v>
      </c>
      <c r="ER358" s="138" t="e">
        <f>IF(VLOOKUP(CONCATENATE(H358,F358,ER$2),Matemáticas!$A:$H,7,FALSE)=BF358,1,0)</f>
        <v>#N/A</v>
      </c>
      <c r="ES358" s="138" t="e">
        <f>IF(VLOOKUP(CONCATENATE(H358,F358,ES$2),Matemáticas!$A:$H,7,FALSE)=BG358,1,0)</f>
        <v>#N/A</v>
      </c>
      <c r="ET358" s="138" t="e">
        <f>IF(VLOOKUP(CONCATENATE(H358,F358,ET$2),Matemáticas!$A:$H,7,FALSE)=BH358,1,0)</f>
        <v>#N/A</v>
      </c>
      <c r="EU358" s="138" t="e">
        <f>IF(VLOOKUP(CONCATENATE(H358,F358,EU$2),Matemáticas!$A:$H,7,FALSE)=BI358,1,0)</f>
        <v>#N/A</v>
      </c>
      <c r="EV358" s="138" t="e">
        <f>IF(VLOOKUP(CONCATENATE(H358,F358,EV$2),Ciencias!$A:$H,7,FALSE)=BJ358,1,0)</f>
        <v>#N/A</v>
      </c>
      <c r="EW358" s="138" t="e">
        <f>IF(VLOOKUP(CONCATENATE(H358,F358,EW$2),Ciencias!$A:$H,7,FALSE)=BK358,1,0)</f>
        <v>#N/A</v>
      </c>
      <c r="EX358" s="138" t="e">
        <f>IF(VLOOKUP(CONCATENATE(H358,F358,EX$2),Ciencias!$A:$H,7,FALSE)=BL358,1,0)</f>
        <v>#N/A</v>
      </c>
      <c r="EY358" s="138" t="e">
        <f>IF(VLOOKUP(CONCATENATE(H358,F358,EY$2),Ciencias!$A:$H,7,FALSE)=BM358,1,0)</f>
        <v>#N/A</v>
      </c>
      <c r="EZ358" s="138" t="e">
        <f>IF(VLOOKUP(CONCATENATE(H358,F358,EZ$2),Ciencias!$A:$H,7,FALSE)=BN358,1,0)</f>
        <v>#N/A</v>
      </c>
      <c r="FA358" s="138" t="e">
        <f>IF(VLOOKUP(CONCATENATE(H358,F358,FA$2),Ciencias!$A:$H,7,FALSE)=BO358,1,0)</f>
        <v>#N/A</v>
      </c>
      <c r="FB358" s="138" t="e">
        <f>IF(VLOOKUP(CONCATENATE(H358,F358,FB$2),Ciencias!$A:$H,7,FALSE)=BP358,1,0)</f>
        <v>#N/A</v>
      </c>
      <c r="FC358" s="138" t="e">
        <f>IF(VLOOKUP(CONCATENATE(H358,F358,FC$2),Ciencias!$A:$H,7,FALSE)=BQ358,1,0)</f>
        <v>#N/A</v>
      </c>
      <c r="FD358" s="138" t="e">
        <f>IF(VLOOKUP(CONCATENATE(H358,F358,FD$2),Ciencias!$A:$H,7,FALSE)=BR358,1,0)</f>
        <v>#N/A</v>
      </c>
      <c r="FE358" s="138" t="e">
        <f>IF(VLOOKUP(CONCATENATE(H358,F358,FE$2),Ciencias!$A:$H,7,FALSE)=BS358,1,0)</f>
        <v>#N/A</v>
      </c>
      <c r="FF358" s="138" t="e">
        <f>IF(VLOOKUP(CONCATENATE(H358,F358,FF$2),Ciencias!$A:$H,7,FALSE)=BT358,1,0)</f>
        <v>#N/A</v>
      </c>
      <c r="FG358" s="138" t="e">
        <f>IF(VLOOKUP(CONCATENATE(H358,F358,FG$2),Ciencias!$A:$H,7,FALSE)=BU358,1,0)</f>
        <v>#N/A</v>
      </c>
      <c r="FH358" s="138" t="e">
        <f>IF(VLOOKUP(CONCATENATE(H358,F358,FH$2),Ciencias!$A:$H,7,FALSE)=BV358,1,0)</f>
        <v>#N/A</v>
      </c>
      <c r="FI358" s="138" t="e">
        <f>IF(VLOOKUP(CONCATENATE(H358,F358,FI$2),Ciencias!$A:$H,7,FALSE)=BW358,1,0)</f>
        <v>#N/A</v>
      </c>
      <c r="FJ358" s="138" t="e">
        <f>IF(VLOOKUP(CONCATENATE(H358,F358,FJ$2),Ciencias!$A:$H,7,FALSE)=BX358,1,0)</f>
        <v>#N/A</v>
      </c>
      <c r="FK358" s="138" t="e">
        <f>IF(VLOOKUP(CONCATENATE(H358,F358,FK$2),Ciencias!$A:$H,7,FALSE)=BY358,1,0)</f>
        <v>#N/A</v>
      </c>
      <c r="FL358" s="138" t="e">
        <f>IF(VLOOKUP(CONCATENATE(H358,F358,FL$2),Ciencias!$A:$H,7,FALSE)=BZ358,1,0)</f>
        <v>#N/A</v>
      </c>
      <c r="FM358" s="138" t="e">
        <f>IF(VLOOKUP(CONCATENATE(H358,F358,FM$2),Ciencias!$A:$H,7,FALSE)=CA358,1,0)</f>
        <v>#N/A</v>
      </c>
      <c r="FN358" s="138" t="e">
        <f>IF(VLOOKUP(CONCATENATE(H358,F358,FN$2),Ciencias!$A:$H,7,FALSE)=CB358,1,0)</f>
        <v>#N/A</v>
      </c>
      <c r="FO358" s="138" t="e">
        <f>IF(VLOOKUP(CONCATENATE(H358,F358,FO$2),Ciencias!$A:$H,7,FALSE)=CC358,1,0)</f>
        <v>#N/A</v>
      </c>
      <c r="FP358" s="138" t="e">
        <f>IF(VLOOKUP(CONCATENATE(H358,F358,FP$2),GeoHis!$A:$H,7,FALSE)=CD358,1,0)</f>
        <v>#N/A</v>
      </c>
      <c r="FQ358" s="138" t="e">
        <f>IF(VLOOKUP(CONCATENATE(H358,F358,FQ$2),GeoHis!$A:$H,7,FALSE)=CE358,1,0)</f>
        <v>#N/A</v>
      </c>
      <c r="FR358" s="138" t="e">
        <f>IF(VLOOKUP(CONCATENATE(H358,F358,FR$2),GeoHis!$A:$H,7,FALSE)=CF358,1,0)</f>
        <v>#N/A</v>
      </c>
      <c r="FS358" s="138" t="e">
        <f>IF(VLOOKUP(CONCATENATE(H358,F358,FS$2),GeoHis!$A:$H,7,FALSE)=CG358,1,0)</f>
        <v>#N/A</v>
      </c>
      <c r="FT358" s="138" t="e">
        <f>IF(VLOOKUP(CONCATENATE(H358,F358,FT$2),GeoHis!$A:$H,7,FALSE)=CH358,1,0)</f>
        <v>#N/A</v>
      </c>
      <c r="FU358" s="138" t="e">
        <f>IF(VLOOKUP(CONCATENATE(H358,F358,FU$2),GeoHis!$A:$H,7,FALSE)=CI358,1,0)</f>
        <v>#N/A</v>
      </c>
      <c r="FV358" s="138" t="e">
        <f>IF(VLOOKUP(CONCATENATE(H358,F358,FV$2),GeoHis!$A:$H,7,FALSE)=CJ358,1,0)</f>
        <v>#N/A</v>
      </c>
      <c r="FW358" s="138" t="e">
        <f>IF(VLOOKUP(CONCATENATE(H358,F358,FW$2),GeoHis!$A:$H,7,FALSE)=CK358,1,0)</f>
        <v>#N/A</v>
      </c>
      <c r="FX358" s="138" t="e">
        <f>IF(VLOOKUP(CONCATENATE(H358,F358,FX$2),GeoHis!$A:$H,7,FALSE)=CL358,1,0)</f>
        <v>#N/A</v>
      </c>
      <c r="FY358" s="138" t="e">
        <f>IF(VLOOKUP(CONCATENATE(H358,F358,FY$2),GeoHis!$A:$H,7,FALSE)=CM358,1,0)</f>
        <v>#N/A</v>
      </c>
      <c r="FZ358" s="138" t="e">
        <f>IF(VLOOKUP(CONCATENATE(H358,F358,FZ$2),GeoHis!$A:$H,7,FALSE)=CN358,1,0)</f>
        <v>#N/A</v>
      </c>
      <c r="GA358" s="138" t="e">
        <f>IF(VLOOKUP(CONCATENATE(H358,F358,GA$2),GeoHis!$A:$H,7,FALSE)=CO358,1,0)</f>
        <v>#N/A</v>
      </c>
      <c r="GB358" s="138" t="e">
        <f>IF(VLOOKUP(CONCATENATE(H358,F358,GB$2),GeoHis!$A:$H,7,FALSE)=CP358,1,0)</f>
        <v>#N/A</v>
      </c>
      <c r="GC358" s="138" t="e">
        <f>IF(VLOOKUP(CONCATENATE(H358,F358,GC$2),GeoHis!$A:$H,7,FALSE)=CQ358,1,0)</f>
        <v>#N/A</v>
      </c>
      <c r="GD358" s="138" t="e">
        <f>IF(VLOOKUP(CONCATENATE(H358,F358,GD$2),GeoHis!$A:$H,7,FALSE)=CR358,1,0)</f>
        <v>#N/A</v>
      </c>
      <c r="GE358" s="135" t="str">
        <f t="shared" si="47"/>
        <v/>
      </c>
    </row>
    <row r="359" spans="1:187" x14ac:dyDescent="0.25">
      <c r="A359" s="127" t="str">
        <f>IF(C359="","",'Datos Generales'!$A$25)</f>
        <v/>
      </c>
      <c r="D359" s="126" t="str">
        <f t="shared" si="40"/>
        <v/>
      </c>
      <c r="E359" s="126">
        <f t="shared" si="41"/>
        <v>0</v>
      </c>
      <c r="F359" s="126" t="str">
        <f t="shared" si="42"/>
        <v/>
      </c>
      <c r="G359" s="126" t="str">
        <f>IF(C359="","",'Datos Generales'!$D$19)</f>
        <v/>
      </c>
      <c r="H359" s="21" t="str">
        <f>IF(C359="","",'Datos Generales'!$A$19)</f>
        <v/>
      </c>
      <c r="I359" s="126" t="str">
        <f>IF(C359="","",'Datos Generales'!$A$7)</f>
        <v/>
      </c>
      <c r="J359" s="21" t="str">
        <f>IF(C359="","",'Datos Generales'!$A$13)</f>
        <v/>
      </c>
      <c r="K359" s="21" t="str">
        <f>IF(C359="","",'Datos Generales'!$A$10)</f>
        <v/>
      </c>
      <c r="CS359" s="142" t="str">
        <f t="shared" si="43"/>
        <v/>
      </c>
      <c r="CT359" s="142" t="str">
        <f t="shared" si="44"/>
        <v/>
      </c>
      <c r="CU359" s="142" t="str">
        <f t="shared" si="45"/>
        <v/>
      </c>
      <c r="CV359" s="142" t="str">
        <f t="shared" si="46"/>
        <v/>
      </c>
      <c r="CW359" s="142" t="str">
        <f>IF(C359="","",IF('Datos Generales'!$A$19=1,AVERAGE(FP359:GD359),AVERAGE(Captura!FP359:FY359)))</f>
        <v/>
      </c>
      <c r="CX359" s="138" t="e">
        <f>IF(VLOOKUP(CONCATENATE($H$4,$F$4,CX$2),Español!$A:$H,7,FALSE)=L359,1,0)</f>
        <v>#N/A</v>
      </c>
      <c r="CY359" s="138" t="e">
        <f>IF(VLOOKUP(CONCATENATE(H359,F359,CY$2),Español!$A:$H,7,FALSE)=M359,1,0)</f>
        <v>#N/A</v>
      </c>
      <c r="CZ359" s="138" t="e">
        <f>IF(VLOOKUP(CONCATENATE(H359,F359,CZ$2),Español!$A:$H,7,FALSE)=N359,1,0)</f>
        <v>#N/A</v>
      </c>
      <c r="DA359" s="138" t="e">
        <f>IF(VLOOKUP(CONCATENATE(H359,F359,DA$2),Español!$A:$H,7,FALSE)=O359,1,0)</f>
        <v>#N/A</v>
      </c>
      <c r="DB359" s="138" t="e">
        <f>IF(VLOOKUP(CONCATENATE(H359,F359,DB$2),Español!$A:$H,7,FALSE)=P359,1,0)</f>
        <v>#N/A</v>
      </c>
      <c r="DC359" s="138" t="e">
        <f>IF(VLOOKUP(CONCATENATE(H359,F359,DC$2),Español!$A:$H,7,FALSE)=Q359,1,0)</f>
        <v>#N/A</v>
      </c>
      <c r="DD359" s="138" t="e">
        <f>IF(VLOOKUP(CONCATENATE(H359,F359,DD$2),Español!$A:$H,7,FALSE)=R359,1,0)</f>
        <v>#N/A</v>
      </c>
      <c r="DE359" s="138" t="e">
        <f>IF(VLOOKUP(CONCATENATE(H359,F359,DE$2),Español!$A:$H,7,FALSE)=S359,1,0)</f>
        <v>#N/A</v>
      </c>
      <c r="DF359" s="138" t="e">
        <f>IF(VLOOKUP(CONCATENATE(H359,F359,DF$2),Español!$A:$H,7,FALSE)=T359,1,0)</f>
        <v>#N/A</v>
      </c>
      <c r="DG359" s="138" t="e">
        <f>IF(VLOOKUP(CONCATENATE(H359,F359,DG$2),Español!$A:$H,7,FALSE)=U359,1,0)</f>
        <v>#N/A</v>
      </c>
      <c r="DH359" s="138" t="e">
        <f>IF(VLOOKUP(CONCATENATE(H359,F359,DH$2),Español!$A:$H,7,FALSE)=V359,1,0)</f>
        <v>#N/A</v>
      </c>
      <c r="DI359" s="138" t="e">
        <f>IF(VLOOKUP(CONCATENATE(H359,F359,DI$2),Español!$A:$H,7,FALSE)=W359,1,0)</f>
        <v>#N/A</v>
      </c>
      <c r="DJ359" s="138" t="e">
        <f>IF(VLOOKUP(CONCATENATE(H359,F359,DJ$2),Español!$A:$H,7,FALSE)=X359,1,0)</f>
        <v>#N/A</v>
      </c>
      <c r="DK359" s="138" t="e">
        <f>IF(VLOOKUP(CONCATENATE(H359,F359,DK$2),Español!$A:$H,7,FALSE)=Y359,1,0)</f>
        <v>#N/A</v>
      </c>
      <c r="DL359" s="138" t="e">
        <f>IF(VLOOKUP(CONCATENATE(H359,F359,DL$2),Español!$A:$H,7,FALSE)=Z359,1,0)</f>
        <v>#N/A</v>
      </c>
      <c r="DM359" s="138" t="e">
        <f>IF(VLOOKUP(CONCATENATE(H359,F359,DM$2),Español!$A:$H,7,FALSE)=AA359,1,0)</f>
        <v>#N/A</v>
      </c>
      <c r="DN359" s="138" t="e">
        <f>IF(VLOOKUP(CONCATENATE(H359,F359,DN$2),Español!$A:$H,7,FALSE)=AB359,1,0)</f>
        <v>#N/A</v>
      </c>
      <c r="DO359" s="138" t="e">
        <f>IF(VLOOKUP(CONCATENATE(H359,F359,DO$2),Español!$A:$H,7,FALSE)=AC359,1,0)</f>
        <v>#N/A</v>
      </c>
      <c r="DP359" s="138" t="e">
        <f>IF(VLOOKUP(CONCATENATE(H359,F359,DP$2),Español!$A:$H,7,FALSE)=AD359,1,0)</f>
        <v>#N/A</v>
      </c>
      <c r="DQ359" s="138" t="e">
        <f>IF(VLOOKUP(CONCATENATE(H359,F359,DQ$2),Español!$A:$H,7,FALSE)=AE359,1,0)</f>
        <v>#N/A</v>
      </c>
      <c r="DR359" s="138" t="e">
        <f>IF(VLOOKUP(CONCATENATE(H359,F359,DR$2),Inglés!$A:$H,7,FALSE)=AF359,1,0)</f>
        <v>#N/A</v>
      </c>
      <c r="DS359" s="138" t="e">
        <f>IF(VLOOKUP(CONCATENATE(H359,F359,DS$2),Inglés!$A:$H,7,FALSE)=AG359,1,0)</f>
        <v>#N/A</v>
      </c>
      <c r="DT359" s="138" t="e">
        <f>IF(VLOOKUP(CONCATENATE(H359,F359,DT$2),Inglés!$A:$H,7,FALSE)=AH359,1,0)</f>
        <v>#N/A</v>
      </c>
      <c r="DU359" s="138" t="e">
        <f>IF(VLOOKUP(CONCATENATE(H359,F359,DU$2),Inglés!$A:$H,7,FALSE)=AI359,1,0)</f>
        <v>#N/A</v>
      </c>
      <c r="DV359" s="138" t="e">
        <f>IF(VLOOKUP(CONCATENATE(H359,F359,DV$2),Inglés!$A:$H,7,FALSE)=AJ359,1,0)</f>
        <v>#N/A</v>
      </c>
      <c r="DW359" s="138" t="e">
        <f>IF(VLOOKUP(CONCATENATE(H359,F359,DW$2),Inglés!$A:$H,7,FALSE)=AK359,1,0)</f>
        <v>#N/A</v>
      </c>
      <c r="DX359" s="138" t="e">
        <f>IF(VLOOKUP(CONCATENATE(H359,F359,DX$2),Inglés!$A:$H,7,FALSE)=AL359,1,0)</f>
        <v>#N/A</v>
      </c>
      <c r="DY359" s="138" t="e">
        <f>IF(VLOOKUP(CONCATENATE(H359,F359,DY$2),Inglés!$A:$H,7,FALSE)=AM359,1,0)</f>
        <v>#N/A</v>
      </c>
      <c r="DZ359" s="138" t="e">
        <f>IF(VLOOKUP(CONCATENATE(H359,F359,DZ$2),Inglés!$A:$H,7,FALSE)=AN359,1,0)</f>
        <v>#N/A</v>
      </c>
      <c r="EA359" s="138" t="e">
        <f>IF(VLOOKUP(CONCATENATE(H359,F359,EA$2),Inglés!$A:$H,7,FALSE)=AO359,1,0)</f>
        <v>#N/A</v>
      </c>
      <c r="EB359" s="138" t="e">
        <f>IF(VLOOKUP(CONCATENATE(H359,F359,EB$2),Matemáticas!$A:$H,7,FALSE)=AP359,1,0)</f>
        <v>#N/A</v>
      </c>
      <c r="EC359" s="138" t="e">
        <f>IF(VLOOKUP(CONCATENATE(H359,F359,EC$2),Matemáticas!$A:$H,7,FALSE)=AQ359,1,0)</f>
        <v>#N/A</v>
      </c>
      <c r="ED359" s="138" t="e">
        <f>IF(VLOOKUP(CONCATENATE(H359,F359,ED$2),Matemáticas!$A:$H,7,FALSE)=AR359,1,0)</f>
        <v>#N/A</v>
      </c>
      <c r="EE359" s="138" t="e">
        <f>IF(VLOOKUP(CONCATENATE(H359,F359,EE$2),Matemáticas!$A:$H,7,FALSE)=AS359,1,0)</f>
        <v>#N/A</v>
      </c>
      <c r="EF359" s="138" t="e">
        <f>IF(VLOOKUP(CONCATENATE(H359,F359,EF$2),Matemáticas!$A:$H,7,FALSE)=AT359,1,0)</f>
        <v>#N/A</v>
      </c>
      <c r="EG359" s="138" t="e">
        <f>IF(VLOOKUP(CONCATENATE(H359,F359,EG$2),Matemáticas!$A:$H,7,FALSE)=AU359,1,0)</f>
        <v>#N/A</v>
      </c>
      <c r="EH359" s="138" t="e">
        <f>IF(VLOOKUP(CONCATENATE(H359,F359,EH$2),Matemáticas!$A:$H,7,FALSE)=AV359,1,0)</f>
        <v>#N/A</v>
      </c>
      <c r="EI359" s="138" t="e">
        <f>IF(VLOOKUP(CONCATENATE(H359,F359,EI$2),Matemáticas!$A:$H,7,FALSE)=AW359,1,0)</f>
        <v>#N/A</v>
      </c>
      <c r="EJ359" s="138" t="e">
        <f>IF(VLOOKUP(CONCATENATE(H359,F359,EJ$2),Matemáticas!$A:$H,7,FALSE)=AX359,1,0)</f>
        <v>#N/A</v>
      </c>
      <c r="EK359" s="138" t="e">
        <f>IF(VLOOKUP(CONCATENATE(H359,F359,EK$2),Matemáticas!$A:$H,7,FALSE)=AY359,1,0)</f>
        <v>#N/A</v>
      </c>
      <c r="EL359" s="138" t="e">
        <f>IF(VLOOKUP(CONCATENATE(H359,F359,EL$2),Matemáticas!$A:$H,7,FALSE)=AZ359,1,0)</f>
        <v>#N/A</v>
      </c>
      <c r="EM359" s="138" t="e">
        <f>IF(VLOOKUP(CONCATENATE(H359,F359,EM$2),Matemáticas!$A:$H,7,FALSE)=BA359,1,0)</f>
        <v>#N/A</v>
      </c>
      <c r="EN359" s="138" t="e">
        <f>IF(VLOOKUP(CONCATENATE(H359,F359,EN$2),Matemáticas!$A:$H,7,FALSE)=BB359,1,0)</f>
        <v>#N/A</v>
      </c>
      <c r="EO359" s="138" t="e">
        <f>IF(VLOOKUP(CONCATENATE(H359,F359,EO$2),Matemáticas!$A:$H,7,FALSE)=BC359,1,0)</f>
        <v>#N/A</v>
      </c>
      <c r="EP359" s="138" t="e">
        <f>IF(VLOOKUP(CONCATENATE(H359,F359,EP$2),Matemáticas!$A:$H,7,FALSE)=BD359,1,0)</f>
        <v>#N/A</v>
      </c>
      <c r="EQ359" s="138" t="e">
        <f>IF(VLOOKUP(CONCATENATE(H359,F359,EQ$2),Matemáticas!$A:$H,7,FALSE)=BE359,1,0)</f>
        <v>#N/A</v>
      </c>
      <c r="ER359" s="138" t="e">
        <f>IF(VLOOKUP(CONCATENATE(H359,F359,ER$2),Matemáticas!$A:$H,7,FALSE)=BF359,1,0)</f>
        <v>#N/A</v>
      </c>
      <c r="ES359" s="138" t="e">
        <f>IF(VLOOKUP(CONCATENATE(H359,F359,ES$2),Matemáticas!$A:$H,7,FALSE)=BG359,1,0)</f>
        <v>#N/A</v>
      </c>
      <c r="ET359" s="138" t="e">
        <f>IF(VLOOKUP(CONCATENATE(H359,F359,ET$2),Matemáticas!$A:$H,7,FALSE)=BH359,1,0)</f>
        <v>#N/A</v>
      </c>
      <c r="EU359" s="138" t="e">
        <f>IF(VLOOKUP(CONCATENATE(H359,F359,EU$2),Matemáticas!$A:$H,7,FALSE)=BI359,1,0)</f>
        <v>#N/A</v>
      </c>
      <c r="EV359" s="138" t="e">
        <f>IF(VLOOKUP(CONCATENATE(H359,F359,EV$2),Ciencias!$A:$H,7,FALSE)=BJ359,1,0)</f>
        <v>#N/A</v>
      </c>
      <c r="EW359" s="138" t="e">
        <f>IF(VLOOKUP(CONCATENATE(H359,F359,EW$2),Ciencias!$A:$H,7,FALSE)=BK359,1,0)</f>
        <v>#N/A</v>
      </c>
      <c r="EX359" s="138" t="e">
        <f>IF(VLOOKUP(CONCATENATE(H359,F359,EX$2),Ciencias!$A:$H,7,FALSE)=BL359,1,0)</f>
        <v>#N/A</v>
      </c>
      <c r="EY359" s="138" t="e">
        <f>IF(VLOOKUP(CONCATENATE(H359,F359,EY$2),Ciencias!$A:$H,7,FALSE)=BM359,1,0)</f>
        <v>#N/A</v>
      </c>
      <c r="EZ359" s="138" t="e">
        <f>IF(VLOOKUP(CONCATENATE(H359,F359,EZ$2),Ciencias!$A:$H,7,FALSE)=BN359,1,0)</f>
        <v>#N/A</v>
      </c>
      <c r="FA359" s="138" t="e">
        <f>IF(VLOOKUP(CONCATENATE(H359,F359,FA$2),Ciencias!$A:$H,7,FALSE)=BO359,1,0)</f>
        <v>#N/A</v>
      </c>
      <c r="FB359" s="138" t="e">
        <f>IF(VLOOKUP(CONCATENATE(H359,F359,FB$2),Ciencias!$A:$H,7,FALSE)=BP359,1,0)</f>
        <v>#N/A</v>
      </c>
      <c r="FC359" s="138" t="e">
        <f>IF(VLOOKUP(CONCATENATE(H359,F359,FC$2),Ciencias!$A:$H,7,FALSE)=BQ359,1,0)</f>
        <v>#N/A</v>
      </c>
      <c r="FD359" s="138" t="e">
        <f>IF(VLOOKUP(CONCATENATE(H359,F359,FD$2),Ciencias!$A:$H,7,FALSE)=BR359,1,0)</f>
        <v>#N/A</v>
      </c>
      <c r="FE359" s="138" t="e">
        <f>IF(VLOOKUP(CONCATENATE(H359,F359,FE$2),Ciencias!$A:$H,7,FALSE)=BS359,1,0)</f>
        <v>#N/A</v>
      </c>
      <c r="FF359" s="138" t="e">
        <f>IF(VLOOKUP(CONCATENATE(H359,F359,FF$2),Ciencias!$A:$H,7,FALSE)=BT359,1,0)</f>
        <v>#N/A</v>
      </c>
      <c r="FG359" s="138" t="e">
        <f>IF(VLOOKUP(CONCATENATE(H359,F359,FG$2),Ciencias!$A:$H,7,FALSE)=BU359,1,0)</f>
        <v>#N/A</v>
      </c>
      <c r="FH359" s="138" t="e">
        <f>IF(VLOOKUP(CONCATENATE(H359,F359,FH$2),Ciencias!$A:$H,7,FALSE)=BV359,1,0)</f>
        <v>#N/A</v>
      </c>
      <c r="FI359" s="138" t="e">
        <f>IF(VLOOKUP(CONCATENATE(H359,F359,FI$2),Ciencias!$A:$H,7,FALSE)=BW359,1,0)</f>
        <v>#N/A</v>
      </c>
      <c r="FJ359" s="138" t="e">
        <f>IF(VLOOKUP(CONCATENATE(H359,F359,FJ$2),Ciencias!$A:$H,7,FALSE)=BX359,1,0)</f>
        <v>#N/A</v>
      </c>
      <c r="FK359" s="138" t="e">
        <f>IF(VLOOKUP(CONCATENATE(H359,F359,FK$2),Ciencias!$A:$H,7,FALSE)=BY359,1,0)</f>
        <v>#N/A</v>
      </c>
      <c r="FL359" s="138" t="e">
        <f>IF(VLOOKUP(CONCATENATE(H359,F359,FL$2),Ciencias!$A:$H,7,FALSE)=BZ359,1,0)</f>
        <v>#N/A</v>
      </c>
      <c r="FM359" s="138" t="e">
        <f>IF(VLOOKUP(CONCATENATE(H359,F359,FM$2),Ciencias!$A:$H,7,FALSE)=CA359,1,0)</f>
        <v>#N/A</v>
      </c>
      <c r="FN359" s="138" t="e">
        <f>IF(VLOOKUP(CONCATENATE(H359,F359,FN$2),Ciencias!$A:$H,7,FALSE)=CB359,1,0)</f>
        <v>#N/A</v>
      </c>
      <c r="FO359" s="138" t="e">
        <f>IF(VLOOKUP(CONCATENATE(H359,F359,FO$2),Ciencias!$A:$H,7,FALSE)=CC359,1,0)</f>
        <v>#N/A</v>
      </c>
      <c r="FP359" s="138" t="e">
        <f>IF(VLOOKUP(CONCATENATE(H359,F359,FP$2),GeoHis!$A:$H,7,FALSE)=CD359,1,0)</f>
        <v>#N/A</v>
      </c>
      <c r="FQ359" s="138" t="e">
        <f>IF(VLOOKUP(CONCATENATE(H359,F359,FQ$2),GeoHis!$A:$H,7,FALSE)=CE359,1,0)</f>
        <v>#N/A</v>
      </c>
      <c r="FR359" s="138" t="e">
        <f>IF(VLOOKUP(CONCATENATE(H359,F359,FR$2),GeoHis!$A:$H,7,FALSE)=CF359,1,0)</f>
        <v>#N/A</v>
      </c>
      <c r="FS359" s="138" t="e">
        <f>IF(VLOOKUP(CONCATENATE(H359,F359,FS$2),GeoHis!$A:$H,7,FALSE)=CG359,1,0)</f>
        <v>#N/A</v>
      </c>
      <c r="FT359" s="138" t="e">
        <f>IF(VLOOKUP(CONCATENATE(H359,F359,FT$2),GeoHis!$A:$H,7,FALSE)=CH359,1,0)</f>
        <v>#N/A</v>
      </c>
      <c r="FU359" s="138" t="e">
        <f>IF(VLOOKUP(CONCATENATE(H359,F359,FU$2),GeoHis!$A:$H,7,FALSE)=CI359,1,0)</f>
        <v>#N/A</v>
      </c>
      <c r="FV359" s="138" t="e">
        <f>IF(VLOOKUP(CONCATENATE(H359,F359,FV$2),GeoHis!$A:$H,7,FALSE)=CJ359,1,0)</f>
        <v>#N/A</v>
      </c>
      <c r="FW359" s="138" t="e">
        <f>IF(VLOOKUP(CONCATENATE(H359,F359,FW$2),GeoHis!$A:$H,7,FALSE)=CK359,1,0)</f>
        <v>#N/A</v>
      </c>
      <c r="FX359" s="138" t="e">
        <f>IF(VLOOKUP(CONCATENATE(H359,F359,FX$2),GeoHis!$A:$H,7,FALSE)=CL359,1,0)</f>
        <v>#N/A</v>
      </c>
      <c r="FY359" s="138" t="e">
        <f>IF(VLOOKUP(CONCATENATE(H359,F359,FY$2),GeoHis!$A:$H,7,FALSE)=CM359,1,0)</f>
        <v>#N/A</v>
      </c>
      <c r="FZ359" s="138" t="e">
        <f>IF(VLOOKUP(CONCATENATE(H359,F359,FZ$2),GeoHis!$A:$H,7,FALSE)=CN359,1,0)</f>
        <v>#N/A</v>
      </c>
      <c r="GA359" s="138" t="e">
        <f>IF(VLOOKUP(CONCATENATE(H359,F359,GA$2),GeoHis!$A:$H,7,FALSE)=CO359,1,0)</f>
        <v>#N/A</v>
      </c>
      <c r="GB359" s="138" t="e">
        <f>IF(VLOOKUP(CONCATENATE(H359,F359,GB$2),GeoHis!$A:$H,7,FALSE)=CP359,1,0)</f>
        <v>#N/A</v>
      </c>
      <c r="GC359" s="138" t="e">
        <f>IF(VLOOKUP(CONCATENATE(H359,F359,GC$2),GeoHis!$A:$H,7,FALSE)=CQ359,1,0)</f>
        <v>#N/A</v>
      </c>
      <c r="GD359" s="138" t="e">
        <f>IF(VLOOKUP(CONCATENATE(H359,F359,GD$2),GeoHis!$A:$H,7,FALSE)=CR359,1,0)</f>
        <v>#N/A</v>
      </c>
      <c r="GE359" s="135" t="str">
        <f t="shared" si="47"/>
        <v/>
      </c>
    </row>
    <row r="360" spans="1:187" x14ac:dyDescent="0.25">
      <c r="A360" s="127" t="str">
        <f>IF(C360="","",'Datos Generales'!$A$25)</f>
        <v/>
      </c>
      <c r="D360" s="126" t="str">
        <f t="shared" si="40"/>
        <v/>
      </c>
      <c r="E360" s="126">
        <f t="shared" si="41"/>
        <v>0</v>
      </c>
      <c r="F360" s="126" t="str">
        <f t="shared" si="42"/>
        <v/>
      </c>
      <c r="G360" s="126" t="str">
        <f>IF(C360="","",'Datos Generales'!$D$19)</f>
        <v/>
      </c>
      <c r="H360" s="21" t="str">
        <f>IF(C360="","",'Datos Generales'!$A$19)</f>
        <v/>
      </c>
      <c r="I360" s="126" t="str">
        <f>IF(C360="","",'Datos Generales'!$A$7)</f>
        <v/>
      </c>
      <c r="J360" s="21" t="str">
        <f>IF(C360="","",'Datos Generales'!$A$13)</f>
        <v/>
      </c>
      <c r="K360" s="21" t="str">
        <f>IF(C360="","",'Datos Generales'!$A$10)</f>
        <v/>
      </c>
      <c r="CS360" s="142" t="str">
        <f t="shared" si="43"/>
        <v/>
      </c>
      <c r="CT360" s="142" t="str">
        <f t="shared" si="44"/>
        <v/>
      </c>
      <c r="CU360" s="142" t="str">
        <f t="shared" si="45"/>
        <v/>
      </c>
      <c r="CV360" s="142" t="str">
        <f t="shared" si="46"/>
        <v/>
      </c>
      <c r="CW360" s="142" t="str">
        <f>IF(C360="","",IF('Datos Generales'!$A$19=1,AVERAGE(FP360:GD360),AVERAGE(Captura!FP360:FY360)))</f>
        <v/>
      </c>
      <c r="CX360" s="138" t="e">
        <f>IF(VLOOKUP(CONCATENATE($H$4,$F$4,CX$2),Español!$A:$H,7,FALSE)=L360,1,0)</f>
        <v>#N/A</v>
      </c>
      <c r="CY360" s="138" t="e">
        <f>IF(VLOOKUP(CONCATENATE(H360,F360,CY$2),Español!$A:$H,7,FALSE)=M360,1,0)</f>
        <v>#N/A</v>
      </c>
      <c r="CZ360" s="138" t="e">
        <f>IF(VLOOKUP(CONCATENATE(H360,F360,CZ$2),Español!$A:$H,7,FALSE)=N360,1,0)</f>
        <v>#N/A</v>
      </c>
      <c r="DA360" s="138" t="e">
        <f>IF(VLOOKUP(CONCATENATE(H360,F360,DA$2),Español!$A:$H,7,FALSE)=O360,1,0)</f>
        <v>#N/A</v>
      </c>
      <c r="DB360" s="138" t="e">
        <f>IF(VLOOKUP(CONCATENATE(H360,F360,DB$2),Español!$A:$H,7,FALSE)=P360,1,0)</f>
        <v>#N/A</v>
      </c>
      <c r="DC360" s="138" t="e">
        <f>IF(VLOOKUP(CONCATENATE(H360,F360,DC$2),Español!$A:$H,7,FALSE)=Q360,1,0)</f>
        <v>#N/A</v>
      </c>
      <c r="DD360" s="138" t="e">
        <f>IF(VLOOKUP(CONCATENATE(H360,F360,DD$2),Español!$A:$H,7,FALSE)=R360,1,0)</f>
        <v>#N/A</v>
      </c>
      <c r="DE360" s="138" t="e">
        <f>IF(VLOOKUP(CONCATENATE(H360,F360,DE$2),Español!$A:$H,7,FALSE)=S360,1,0)</f>
        <v>#N/A</v>
      </c>
      <c r="DF360" s="138" t="e">
        <f>IF(VLOOKUP(CONCATENATE(H360,F360,DF$2),Español!$A:$H,7,FALSE)=T360,1,0)</f>
        <v>#N/A</v>
      </c>
      <c r="DG360" s="138" t="e">
        <f>IF(VLOOKUP(CONCATENATE(H360,F360,DG$2),Español!$A:$H,7,FALSE)=U360,1,0)</f>
        <v>#N/A</v>
      </c>
      <c r="DH360" s="138" t="e">
        <f>IF(VLOOKUP(CONCATENATE(H360,F360,DH$2),Español!$A:$H,7,FALSE)=V360,1,0)</f>
        <v>#N/A</v>
      </c>
      <c r="DI360" s="138" t="e">
        <f>IF(VLOOKUP(CONCATENATE(H360,F360,DI$2),Español!$A:$H,7,FALSE)=W360,1,0)</f>
        <v>#N/A</v>
      </c>
      <c r="DJ360" s="138" t="e">
        <f>IF(VLOOKUP(CONCATENATE(H360,F360,DJ$2),Español!$A:$H,7,FALSE)=X360,1,0)</f>
        <v>#N/A</v>
      </c>
      <c r="DK360" s="138" t="e">
        <f>IF(VLOOKUP(CONCATENATE(H360,F360,DK$2),Español!$A:$H,7,FALSE)=Y360,1,0)</f>
        <v>#N/A</v>
      </c>
      <c r="DL360" s="138" t="e">
        <f>IF(VLOOKUP(CONCATENATE(H360,F360,DL$2),Español!$A:$H,7,FALSE)=Z360,1,0)</f>
        <v>#N/A</v>
      </c>
      <c r="DM360" s="138" t="e">
        <f>IF(VLOOKUP(CONCATENATE(H360,F360,DM$2),Español!$A:$H,7,FALSE)=AA360,1,0)</f>
        <v>#N/A</v>
      </c>
      <c r="DN360" s="138" t="e">
        <f>IF(VLOOKUP(CONCATENATE(H360,F360,DN$2),Español!$A:$H,7,FALSE)=AB360,1,0)</f>
        <v>#N/A</v>
      </c>
      <c r="DO360" s="138" t="e">
        <f>IF(VLOOKUP(CONCATENATE(H360,F360,DO$2),Español!$A:$H,7,FALSE)=AC360,1,0)</f>
        <v>#N/A</v>
      </c>
      <c r="DP360" s="138" t="e">
        <f>IF(VLOOKUP(CONCATENATE(H360,F360,DP$2),Español!$A:$H,7,FALSE)=AD360,1,0)</f>
        <v>#N/A</v>
      </c>
      <c r="DQ360" s="138" t="e">
        <f>IF(VLOOKUP(CONCATENATE(H360,F360,DQ$2),Español!$A:$H,7,FALSE)=AE360,1,0)</f>
        <v>#N/A</v>
      </c>
      <c r="DR360" s="138" t="e">
        <f>IF(VLOOKUP(CONCATENATE(H360,F360,DR$2),Inglés!$A:$H,7,FALSE)=AF360,1,0)</f>
        <v>#N/A</v>
      </c>
      <c r="DS360" s="138" t="e">
        <f>IF(VLOOKUP(CONCATENATE(H360,F360,DS$2),Inglés!$A:$H,7,FALSE)=AG360,1,0)</f>
        <v>#N/A</v>
      </c>
      <c r="DT360" s="138" t="e">
        <f>IF(VLOOKUP(CONCATENATE(H360,F360,DT$2),Inglés!$A:$H,7,FALSE)=AH360,1,0)</f>
        <v>#N/A</v>
      </c>
      <c r="DU360" s="138" t="e">
        <f>IF(VLOOKUP(CONCATENATE(H360,F360,DU$2),Inglés!$A:$H,7,FALSE)=AI360,1,0)</f>
        <v>#N/A</v>
      </c>
      <c r="DV360" s="138" t="e">
        <f>IF(VLOOKUP(CONCATENATE(H360,F360,DV$2),Inglés!$A:$H,7,FALSE)=AJ360,1,0)</f>
        <v>#N/A</v>
      </c>
      <c r="DW360" s="138" t="e">
        <f>IF(VLOOKUP(CONCATENATE(H360,F360,DW$2),Inglés!$A:$H,7,FALSE)=AK360,1,0)</f>
        <v>#N/A</v>
      </c>
      <c r="DX360" s="138" t="e">
        <f>IF(VLOOKUP(CONCATENATE(H360,F360,DX$2),Inglés!$A:$H,7,FALSE)=AL360,1,0)</f>
        <v>#N/A</v>
      </c>
      <c r="DY360" s="138" t="e">
        <f>IF(VLOOKUP(CONCATENATE(H360,F360,DY$2),Inglés!$A:$H,7,FALSE)=AM360,1,0)</f>
        <v>#N/A</v>
      </c>
      <c r="DZ360" s="138" t="e">
        <f>IF(VLOOKUP(CONCATENATE(H360,F360,DZ$2),Inglés!$A:$H,7,FALSE)=AN360,1,0)</f>
        <v>#N/A</v>
      </c>
      <c r="EA360" s="138" t="e">
        <f>IF(VLOOKUP(CONCATENATE(H360,F360,EA$2),Inglés!$A:$H,7,FALSE)=AO360,1,0)</f>
        <v>#N/A</v>
      </c>
      <c r="EB360" s="138" t="e">
        <f>IF(VLOOKUP(CONCATENATE(H360,F360,EB$2),Matemáticas!$A:$H,7,FALSE)=AP360,1,0)</f>
        <v>#N/A</v>
      </c>
      <c r="EC360" s="138" t="e">
        <f>IF(VLOOKUP(CONCATENATE(H360,F360,EC$2),Matemáticas!$A:$H,7,FALSE)=AQ360,1,0)</f>
        <v>#N/A</v>
      </c>
      <c r="ED360" s="138" t="e">
        <f>IF(VLOOKUP(CONCATENATE(H360,F360,ED$2),Matemáticas!$A:$H,7,FALSE)=AR360,1,0)</f>
        <v>#N/A</v>
      </c>
      <c r="EE360" s="138" t="e">
        <f>IF(VLOOKUP(CONCATENATE(H360,F360,EE$2),Matemáticas!$A:$H,7,FALSE)=AS360,1,0)</f>
        <v>#N/A</v>
      </c>
      <c r="EF360" s="138" t="e">
        <f>IF(VLOOKUP(CONCATENATE(H360,F360,EF$2),Matemáticas!$A:$H,7,FALSE)=AT360,1,0)</f>
        <v>#N/A</v>
      </c>
      <c r="EG360" s="138" t="e">
        <f>IF(VLOOKUP(CONCATENATE(H360,F360,EG$2),Matemáticas!$A:$H,7,FALSE)=AU360,1,0)</f>
        <v>#N/A</v>
      </c>
      <c r="EH360" s="138" t="e">
        <f>IF(VLOOKUP(CONCATENATE(H360,F360,EH$2),Matemáticas!$A:$H,7,FALSE)=AV360,1,0)</f>
        <v>#N/A</v>
      </c>
      <c r="EI360" s="138" t="e">
        <f>IF(VLOOKUP(CONCATENATE(H360,F360,EI$2),Matemáticas!$A:$H,7,FALSE)=AW360,1,0)</f>
        <v>#N/A</v>
      </c>
      <c r="EJ360" s="138" t="e">
        <f>IF(VLOOKUP(CONCATENATE(H360,F360,EJ$2),Matemáticas!$A:$H,7,FALSE)=AX360,1,0)</f>
        <v>#N/A</v>
      </c>
      <c r="EK360" s="138" t="e">
        <f>IF(VLOOKUP(CONCATENATE(H360,F360,EK$2),Matemáticas!$A:$H,7,FALSE)=AY360,1,0)</f>
        <v>#N/A</v>
      </c>
      <c r="EL360" s="138" t="e">
        <f>IF(VLOOKUP(CONCATENATE(H360,F360,EL$2),Matemáticas!$A:$H,7,FALSE)=AZ360,1,0)</f>
        <v>#N/A</v>
      </c>
      <c r="EM360" s="138" t="e">
        <f>IF(VLOOKUP(CONCATENATE(H360,F360,EM$2),Matemáticas!$A:$H,7,FALSE)=BA360,1,0)</f>
        <v>#N/A</v>
      </c>
      <c r="EN360" s="138" t="e">
        <f>IF(VLOOKUP(CONCATENATE(H360,F360,EN$2),Matemáticas!$A:$H,7,FALSE)=BB360,1,0)</f>
        <v>#N/A</v>
      </c>
      <c r="EO360" s="138" t="e">
        <f>IF(VLOOKUP(CONCATENATE(H360,F360,EO$2),Matemáticas!$A:$H,7,FALSE)=BC360,1,0)</f>
        <v>#N/A</v>
      </c>
      <c r="EP360" s="138" t="e">
        <f>IF(VLOOKUP(CONCATENATE(H360,F360,EP$2),Matemáticas!$A:$H,7,FALSE)=BD360,1,0)</f>
        <v>#N/A</v>
      </c>
      <c r="EQ360" s="138" t="e">
        <f>IF(VLOOKUP(CONCATENATE(H360,F360,EQ$2),Matemáticas!$A:$H,7,FALSE)=BE360,1,0)</f>
        <v>#N/A</v>
      </c>
      <c r="ER360" s="138" t="e">
        <f>IF(VLOOKUP(CONCATENATE(H360,F360,ER$2),Matemáticas!$A:$H,7,FALSE)=BF360,1,0)</f>
        <v>#N/A</v>
      </c>
      <c r="ES360" s="138" t="e">
        <f>IF(VLOOKUP(CONCATENATE(H360,F360,ES$2),Matemáticas!$A:$H,7,FALSE)=BG360,1,0)</f>
        <v>#N/A</v>
      </c>
      <c r="ET360" s="138" t="e">
        <f>IF(VLOOKUP(CONCATENATE(H360,F360,ET$2),Matemáticas!$A:$H,7,FALSE)=BH360,1,0)</f>
        <v>#N/A</v>
      </c>
      <c r="EU360" s="138" t="e">
        <f>IF(VLOOKUP(CONCATENATE(H360,F360,EU$2),Matemáticas!$A:$H,7,FALSE)=BI360,1,0)</f>
        <v>#N/A</v>
      </c>
      <c r="EV360" s="138" t="e">
        <f>IF(VLOOKUP(CONCATENATE(H360,F360,EV$2),Ciencias!$A:$H,7,FALSE)=BJ360,1,0)</f>
        <v>#N/A</v>
      </c>
      <c r="EW360" s="138" t="e">
        <f>IF(VLOOKUP(CONCATENATE(H360,F360,EW$2),Ciencias!$A:$H,7,FALSE)=BK360,1,0)</f>
        <v>#N/A</v>
      </c>
      <c r="EX360" s="138" t="e">
        <f>IF(VLOOKUP(CONCATENATE(H360,F360,EX$2),Ciencias!$A:$H,7,FALSE)=BL360,1,0)</f>
        <v>#N/A</v>
      </c>
      <c r="EY360" s="138" t="e">
        <f>IF(VLOOKUP(CONCATENATE(H360,F360,EY$2),Ciencias!$A:$H,7,FALSE)=BM360,1,0)</f>
        <v>#N/A</v>
      </c>
      <c r="EZ360" s="138" t="e">
        <f>IF(VLOOKUP(CONCATENATE(H360,F360,EZ$2),Ciencias!$A:$H,7,FALSE)=BN360,1,0)</f>
        <v>#N/A</v>
      </c>
      <c r="FA360" s="138" t="e">
        <f>IF(VLOOKUP(CONCATENATE(H360,F360,FA$2),Ciencias!$A:$H,7,FALSE)=BO360,1,0)</f>
        <v>#N/A</v>
      </c>
      <c r="FB360" s="138" t="e">
        <f>IF(VLOOKUP(CONCATENATE(H360,F360,FB$2),Ciencias!$A:$H,7,FALSE)=BP360,1,0)</f>
        <v>#N/A</v>
      </c>
      <c r="FC360" s="138" t="e">
        <f>IF(VLOOKUP(CONCATENATE(H360,F360,FC$2),Ciencias!$A:$H,7,FALSE)=BQ360,1,0)</f>
        <v>#N/A</v>
      </c>
      <c r="FD360" s="138" t="e">
        <f>IF(VLOOKUP(CONCATENATE(H360,F360,FD$2),Ciencias!$A:$H,7,FALSE)=BR360,1,0)</f>
        <v>#N/A</v>
      </c>
      <c r="FE360" s="138" t="e">
        <f>IF(VLOOKUP(CONCATENATE(H360,F360,FE$2),Ciencias!$A:$H,7,FALSE)=BS360,1,0)</f>
        <v>#N/A</v>
      </c>
      <c r="FF360" s="138" t="e">
        <f>IF(VLOOKUP(CONCATENATE(H360,F360,FF$2),Ciencias!$A:$H,7,FALSE)=BT360,1,0)</f>
        <v>#N/A</v>
      </c>
      <c r="FG360" s="138" t="e">
        <f>IF(VLOOKUP(CONCATENATE(H360,F360,FG$2),Ciencias!$A:$H,7,FALSE)=BU360,1,0)</f>
        <v>#N/A</v>
      </c>
      <c r="FH360" s="138" t="e">
        <f>IF(VLOOKUP(CONCATENATE(H360,F360,FH$2),Ciencias!$A:$H,7,FALSE)=BV360,1,0)</f>
        <v>#N/A</v>
      </c>
      <c r="FI360" s="138" t="e">
        <f>IF(VLOOKUP(CONCATENATE(H360,F360,FI$2),Ciencias!$A:$H,7,FALSE)=BW360,1,0)</f>
        <v>#N/A</v>
      </c>
      <c r="FJ360" s="138" t="e">
        <f>IF(VLOOKUP(CONCATENATE(H360,F360,FJ$2),Ciencias!$A:$H,7,FALSE)=BX360,1,0)</f>
        <v>#N/A</v>
      </c>
      <c r="FK360" s="138" t="e">
        <f>IF(VLOOKUP(CONCATENATE(H360,F360,FK$2),Ciencias!$A:$H,7,FALSE)=BY360,1,0)</f>
        <v>#N/A</v>
      </c>
      <c r="FL360" s="138" t="e">
        <f>IF(VLOOKUP(CONCATENATE(H360,F360,FL$2),Ciencias!$A:$H,7,FALSE)=BZ360,1,0)</f>
        <v>#N/A</v>
      </c>
      <c r="FM360" s="138" t="e">
        <f>IF(VLOOKUP(CONCATENATE(H360,F360,FM$2),Ciencias!$A:$H,7,FALSE)=CA360,1,0)</f>
        <v>#N/A</v>
      </c>
      <c r="FN360" s="138" t="e">
        <f>IF(VLOOKUP(CONCATENATE(H360,F360,FN$2),Ciencias!$A:$H,7,FALSE)=CB360,1,0)</f>
        <v>#N/A</v>
      </c>
      <c r="FO360" s="138" t="e">
        <f>IF(VLOOKUP(CONCATENATE(H360,F360,FO$2),Ciencias!$A:$H,7,FALSE)=CC360,1,0)</f>
        <v>#N/A</v>
      </c>
      <c r="FP360" s="138" t="e">
        <f>IF(VLOOKUP(CONCATENATE(H360,F360,FP$2),GeoHis!$A:$H,7,FALSE)=CD360,1,0)</f>
        <v>#N/A</v>
      </c>
      <c r="FQ360" s="138" t="e">
        <f>IF(VLOOKUP(CONCATENATE(H360,F360,FQ$2),GeoHis!$A:$H,7,FALSE)=CE360,1,0)</f>
        <v>#N/A</v>
      </c>
      <c r="FR360" s="138" t="e">
        <f>IF(VLOOKUP(CONCATENATE(H360,F360,FR$2),GeoHis!$A:$H,7,FALSE)=CF360,1,0)</f>
        <v>#N/A</v>
      </c>
      <c r="FS360" s="138" t="e">
        <f>IF(VLOOKUP(CONCATENATE(H360,F360,FS$2),GeoHis!$A:$H,7,FALSE)=CG360,1,0)</f>
        <v>#N/A</v>
      </c>
      <c r="FT360" s="138" t="e">
        <f>IF(VLOOKUP(CONCATENATE(H360,F360,FT$2),GeoHis!$A:$H,7,FALSE)=CH360,1,0)</f>
        <v>#N/A</v>
      </c>
      <c r="FU360" s="138" t="e">
        <f>IF(VLOOKUP(CONCATENATE(H360,F360,FU$2),GeoHis!$A:$H,7,FALSE)=CI360,1,0)</f>
        <v>#N/A</v>
      </c>
      <c r="FV360" s="138" t="e">
        <f>IF(VLOOKUP(CONCATENATE(H360,F360,FV$2),GeoHis!$A:$H,7,FALSE)=CJ360,1,0)</f>
        <v>#N/A</v>
      </c>
      <c r="FW360" s="138" t="e">
        <f>IF(VLOOKUP(CONCATENATE(H360,F360,FW$2),GeoHis!$A:$H,7,FALSE)=CK360,1,0)</f>
        <v>#N/A</v>
      </c>
      <c r="FX360" s="138" t="e">
        <f>IF(VLOOKUP(CONCATENATE(H360,F360,FX$2),GeoHis!$A:$H,7,FALSE)=CL360,1,0)</f>
        <v>#N/A</v>
      </c>
      <c r="FY360" s="138" t="e">
        <f>IF(VLOOKUP(CONCATENATE(H360,F360,FY$2),GeoHis!$A:$H,7,FALSE)=CM360,1,0)</f>
        <v>#N/A</v>
      </c>
      <c r="FZ360" s="138" t="e">
        <f>IF(VLOOKUP(CONCATENATE(H360,F360,FZ$2),GeoHis!$A:$H,7,FALSE)=CN360,1,0)</f>
        <v>#N/A</v>
      </c>
      <c r="GA360" s="138" t="e">
        <f>IF(VLOOKUP(CONCATENATE(H360,F360,GA$2),GeoHis!$A:$H,7,FALSE)=CO360,1,0)</f>
        <v>#N/A</v>
      </c>
      <c r="GB360" s="138" t="e">
        <f>IF(VLOOKUP(CONCATENATE(H360,F360,GB$2),GeoHis!$A:$H,7,FALSE)=CP360,1,0)</f>
        <v>#N/A</v>
      </c>
      <c r="GC360" s="138" t="e">
        <f>IF(VLOOKUP(CONCATENATE(H360,F360,GC$2),GeoHis!$A:$H,7,FALSE)=CQ360,1,0)</f>
        <v>#N/A</v>
      </c>
      <c r="GD360" s="138" t="e">
        <f>IF(VLOOKUP(CONCATENATE(H360,F360,GD$2),GeoHis!$A:$H,7,FALSE)=CR360,1,0)</f>
        <v>#N/A</v>
      </c>
      <c r="GE360" s="135" t="str">
        <f t="shared" si="47"/>
        <v/>
      </c>
    </row>
    <row r="361" spans="1:187" x14ac:dyDescent="0.25">
      <c r="A361" s="127" t="str">
        <f>IF(C361="","",'Datos Generales'!$A$25)</f>
        <v/>
      </c>
      <c r="D361" s="126" t="str">
        <f t="shared" si="40"/>
        <v/>
      </c>
      <c r="E361" s="126">
        <f t="shared" si="41"/>
        <v>0</v>
      </c>
      <c r="F361" s="126" t="str">
        <f t="shared" si="42"/>
        <v/>
      </c>
      <c r="G361" s="126" t="str">
        <f>IF(C361="","",'Datos Generales'!$D$19)</f>
        <v/>
      </c>
      <c r="H361" s="21" t="str">
        <f>IF(C361="","",'Datos Generales'!$A$19)</f>
        <v/>
      </c>
      <c r="I361" s="126" t="str">
        <f>IF(C361="","",'Datos Generales'!$A$7)</f>
        <v/>
      </c>
      <c r="J361" s="21" t="str">
        <f>IF(C361="","",'Datos Generales'!$A$13)</f>
        <v/>
      </c>
      <c r="K361" s="21" t="str">
        <f>IF(C361="","",'Datos Generales'!$A$10)</f>
        <v/>
      </c>
      <c r="CS361" s="142" t="str">
        <f t="shared" si="43"/>
        <v/>
      </c>
      <c r="CT361" s="142" t="str">
        <f t="shared" si="44"/>
        <v/>
      </c>
      <c r="CU361" s="142" t="str">
        <f t="shared" si="45"/>
        <v/>
      </c>
      <c r="CV361" s="142" t="str">
        <f t="shared" si="46"/>
        <v/>
      </c>
      <c r="CW361" s="142" t="str">
        <f>IF(C361="","",IF('Datos Generales'!$A$19=1,AVERAGE(FP361:GD361),AVERAGE(Captura!FP361:FY361)))</f>
        <v/>
      </c>
      <c r="CX361" s="138" t="e">
        <f>IF(VLOOKUP(CONCATENATE($H$4,$F$4,CX$2),Español!$A:$H,7,FALSE)=L361,1,0)</f>
        <v>#N/A</v>
      </c>
      <c r="CY361" s="138" t="e">
        <f>IF(VLOOKUP(CONCATENATE(H361,F361,CY$2),Español!$A:$H,7,FALSE)=M361,1,0)</f>
        <v>#N/A</v>
      </c>
      <c r="CZ361" s="138" t="e">
        <f>IF(VLOOKUP(CONCATENATE(H361,F361,CZ$2),Español!$A:$H,7,FALSE)=N361,1,0)</f>
        <v>#N/A</v>
      </c>
      <c r="DA361" s="138" t="e">
        <f>IF(VLOOKUP(CONCATENATE(H361,F361,DA$2),Español!$A:$H,7,FALSE)=O361,1,0)</f>
        <v>#N/A</v>
      </c>
      <c r="DB361" s="138" t="e">
        <f>IF(VLOOKUP(CONCATENATE(H361,F361,DB$2),Español!$A:$H,7,FALSE)=P361,1,0)</f>
        <v>#N/A</v>
      </c>
      <c r="DC361" s="138" t="e">
        <f>IF(VLOOKUP(CONCATENATE(H361,F361,DC$2),Español!$A:$H,7,FALSE)=Q361,1,0)</f>
        <v>#N/A</v>
      </c>
      <c r="DD361" s="138" t="e">
        <f>IF(VLOOKUP(CONCATENATE(H361,F361,DD$2),Español!$A:$H,7,FALSE)=R361,1,0)</f>
        <v>#N/A</v>
      </c>
      <c r="DE361" s="138" t="e">
        <f>IF(VLOOKUP(CONCATENATE(H361,F361,DE$2),Español!$A:$H,7,FALSE)=S361,1,0)</f>
        <v>#N/A</v>
      </c>
      <c r="DF361" s="138" t="e">
        <f>IF(VLOOKUP(CONCATENATE(H361,F361,DF$2),Español!$A:$H,7,FALSE)=T361,1,0)</f>
        <v>#N/A</v>
      </c>
      <c r="DG361" s="138" t="e">
        <f>IF(VLOOKUP(CONCATENATE(H361,F361,DG$2),Español!$A:$H,7,FALSE)=U361,1,0)</f>
        <v>#N/A</v>
      </c>
      <c r="DH361" s="138" t="e">
        <f>IF(VLOOKUP(CONCATENATE(H361,F361,DH$2),Español!$A:$H,7,FALSE)=V361,1,0)</f>
        <v>#N/A</v>
      </c>
      <c r="DI361" s="138" t="e">
        <f>IF(VLOOKUP(CONCATENATE(H361,F361,DI$2),Español!$A:$H,7,FALSE)=W361,1,0)</f>
        <v>#N/A</v>
      </c>
      <c r="DJ361" s="138" t="e">
        <f>IF(VLOOKUP(CONCATENATE(H361,F361,DJ$2),Español!$A:$H,7,FALSE)=X361,1,0)</f>
        <v>#N/A</v>
      </c>
      <c r="DK361" s="138" t="e">
        <f>IF(VLOOKUP(CONCATENATE(H361,F361,DK$2),Español!$A:$H,7,FALSE)=Y361,1,0)</f>
        <v>#N/A</v>
      </c>
      <c r="DL361" s="138" t="e">
        <f>IF(VLOOKUP(CONCATENATE(H361,F361,DL$2),Español!$A:$H,7,FALSE)=Z361,1,0)</f>
        <v>#N/A</v>
      </c>
      <c r="DM361" s="138" t="e">
        <f>IF(VLOOKUP(CONCATENATE(H361,F361,DM$2),Español!$A:$H,7,FALSE)=AA361,1,0)</f>
        <v>#N/A</v>
      </c>
      <c r="DN361" s="138" t="e">
        <f>IF(VLOOKUP(CONCATENATE(H361,F361,DN$2),Español!$A:$H,7,FALSE)=AB361,1,0)</f>
        <v>#N/A</v>
      </c>
      <c r="DO361" s="138" t="e">
        <f>IF(VLOOKUP(CONCATENATE(H361,F361,DO$2),Español!$A:$H,7,FALSE)=AC361,1,0)</f>
        <v>#N/A</v>
      </c>
      <c r="DP361" s="138" t="e">
        <f>IF(VLOOKUP(CONCATENATE(H361,F361,DP$2),Español!$A:$H,7,FALSE)=AD361,1,0)</f>
        <v>#N/A</v>
      </c>
      <c r="DQ361" s="138" t="e">
        <f>IF(VLOOKUP(CONCATENATE(H361,F361,DQ$2),Español!$A:$H,7,FALSE)=AE361,1,0)</f>
        <v>#N/A</v>
      </c>
      <c r="DR361" s="138" t="e">
        <f>IF(VLOOKUP(CONCATENATE(H361,F361,DR$2),Inglés!$A:$H,7,FALSE)=AF361,1,0)</f>
        <v>#N/A</v>
      </c>
      <c r="DS361" s="138" t="e">
        <f>IF(VLOOKUP(CONCATENATE(H361,F361,DS$2),Inglés!$A:$H,7,FALSE)=AG361,1,0)</f>
        <v>#N/A</v>
      </c>
      <c r="DT361" s="138" t="e">
        <f>IF(VLOOKUP(CONCATENATE(H361,F361,DT$2),Inglés!$A:$H,7,FALSE)=AH361,1,0)</f>
        <v>#N/A</v>
      </c>
      <c r="DU361" s="138" t="e">
        <f>IF(VLOOKUP(CONCATENATE(H361,F361,DU$2),Inglés!$A:$H,7,FALSE)=AI361,1,0)</f>
        <v>#N/A</v>
      </c>
      <c r="DV361" s="138" t="e">
        <f>IF(VLOOKUP(CONCATENATE(H361,F361,DV$2),Inglés!$A:$H,7,FALSE)=AJ361,1,0)</f>
        <v>#N/A</v>
      </c>
      <c r="DW361" s="138" t="e">
        <f>IF(VLOOKUP(CONCATENATE(H361,F361,DW$2),Inglés!$A:$H,7,FALSE)=AK361,1,0)</f>
        <v>#N/A</v>
      </c>
      <c r="DX361" s="138" t="e">
        <f>IF(VLOOKUP(CONCATENATE(H361,F361,DX$2),Inglés!$A:$H,7,FALSE)=AL361,1,0)</f>
        <v>#N/A</v>
      </c>
      <c r="DY361" s="138" t="e">
        <f>IF(VLOOKUP(CONCATENATE(H361,F361,DY$2),Inglés!$A:$H,7,FALSE)=AM361,1,0)</f>
        <v>#N/A</v>
      </c>
      <c r="DZ361" s="138" t="e">
        <f>IF(VLOOKUP(CONCATENATE(H361,F361,DZ$2),Inglés!$A:$H,7,FALSE)=AN361,1,0)</f>
        <v>#N/A</v>
      </c>
      <c r="EA361" s="138" t="e">
        <f>IF(VLOOKUP(CONCATENATE(H361,F361,EA$2),Inglés!$A:$H,7,FALSE)=AO361,1,0)</f>
        <v>#N/A</v>
      </c>
      <c r="EB361" s="138" t="e">
        <f>IF(VLOOKUP(CONCATENATE(H361,F361,EB$2),Matemáticas!$A:$H,7,FALSE)=AP361,1,0)</f>
        <v>#N/A</v>
      </c>
      <c r="EC361" s="138" t="e">
        <f>IF(VLOOKUP(CONCATENATE(H361,F361,EC$2),Matemáticas!$A:$H,7,FALSE)=AQ361,1,0)</f>
        <v>#N/A</v>
      </c>
      <c r="ED361" s="138" t="e">
        <f>IF(VLOOKUP(CONCATENATE(H361,F361,ED$2),Matemáticas!$A:$H,7,FALSE)=AR361,1,0)</f>
        <v>#N/A</v>
      </c>
      <c r="EE361" s="138" t="e">
        <f>IF(VLOOKUP(CONCATENATE(H361,F361,EE$2),Matemáticas!$A:$H,7,FALSE)=AS361,1,0)</f>
        <v>#N/A</v>
      </c>
      <c r="EF361" s="138" t="e">
        <f>IF(VLOOKUP(CONCATENATE(H361,F361,EF$2),Matemáticas!$A:$H,7,FALSE)=AT361,1,0)</f>
        <v>#N/A</v>
      </c>
      <c r="EG361" s="138" t="e">
        <f>IF(VLOOKUP(CONCATENATE(H361,F361,EG$2),Matemáticas!$A:$H,7,FALSE)=AU361,1,0)</f>
        <v>#N/A</v>
      </c>
      <c r="EH361" s="138" t="e">
        <f>IF(VLOOKUP(CONCATENATE(H361,F361,EH$2),Matemáticas!$A:$H,7,FALSE)=AV361,1,0)</f>
        <v>#N/A</v>
      </c>
      <c r="EI361" s="138" t="e">
        <f>IF(VLOOKUP(CONCATENATE(H361,F361,EI$2),Matemáticas!$A:$H,7,FALSE)=AW361,1,0)</f>
        <v>#N/A</v>
      </c>
      <c r="EJ361" s="138" t="e">
        <f>IF(VLOOKUP(CONCATENATE(H361,F361,EJ$2),Matemáticas!$A:$H,7,FALSE)=AX361,1,0)</f>
        <v>#N/A</v>
      </c>
      <c r="EK361" s="138" t="e">
        <f>IF(VLOOKUP(CONCATENATE(H361,F361,EK$2),Matemáticas!$A:$H,7,FALSE)=AY361,1,0)</f>
        <v>#N/A</v>
      </c>
      <c r="EL361" s="138" t="e">
        <f>IF(VLOOKUP(CONCATENATE(H361,F361,EL$2),Matemáticas!$A:$H,7,FALSE)=AZ361,1,0)</f>
        <v>#N/A</v>
      </c>
      <c r="EM361" s="138" t="e">
        <f>IF(VLOOKUP(CONCATENATE(H361,F361,EM$2),Matemáticas!$A:$H,7,FALSE)=BA361,1,0)</f>
        <v>#N/A</v>
      </c>
      <c r="EN361" s="138" t="e">
        <f>IF(VLOOKUP(CONCATENATE(H361,F361,EN$2),Matemáticas!$A:$H,7,FALSE)=BB361,1,0)</f>
        <v>#N/A</v>
      </c>
      <c r="EO361" s="138" t="e">
        <f>IF(VLOOKUP(CONCATENATE(H361,F361,EO$2),Matemáticas!$A:$H,7,FALSE)=BC361,1,0)</f>
        <v>#N/A</v>
      </c>
      <c r="EP361" s="138" t="e">
        <f>IF(VLOOKUP(CONCATENATE(H361,F361,EP$2),Matemáticas!$A:$H,7,FALSE)=BD361,1,0)</f>
        <v>#N/A</v>
      </c>
      <c r="EQ361" s="138" t="e">
        <f>IF(VLOOKUP(CONCATENATE(H361,F361,EQ$2),Matemáticas!$A:$H,7,FALSE)=BE361,1,0)</f>
        <v>#N/A</v>
      </c>
      <c r="ER361" s="138" t="e">
        <f>IF(VLOOKUP(CONCATENATE(H361,F361,ER$2),Matemáticas!$A:$H,7,FALSE)=BF361,1,0)</f>
        <v>#N/A</v>
      </c>
      <c r="ES361" s="138" t="e">
        <f>IF(VLOOKUP(CONCATENATE(H361,F361,ES$2),Matemáticas!$A:$H,7,FALSE)=BG361,1,0)</f>
        <v>#N/A</v>
      </c>
      <c r="ET361" s="138" t="e">
        <f>IF(VLOOKUP(CONCATENATE(H361,F361,ET$2),Matemáticas!$A:$H,7,FALSE)=BH361,1,0)</f>
        <v>#N/A</v>
      </c>
      <c r="EU361" s="138" t="e">
        <f>IF(VLOOKUP(CONCATENATE(H361,F361,EU$2),Matemáticas!$A:$H,7,FALSE)=BI361,1,0)</f>
        <v>#N/A</v>
      </c>
      <c r="EV361" s="138" t="e">
        <f>IF(VLOOKUP(CONCATENATE(H361,F361,EV$2),Ciencias!$A:$H,7,FALSE)=BJ361,1,0)</f>
        <v>#N/A</v>
      </c>
      <c r="EW361" s="138" t="e">
        <f>IF(VLOOKUP(CONCATENATE(H361,F361,EW$2),Ciencias!$A:$H,7,FALSE)=BK361,1,0)</f>
        <v>#N/A</v>
      </c>
      <c r="EX361" s="138" t="e">
        <f>IF(VLOOKUP(CONCATENATE(H361,F361,EX$2),Ciencias!$A:$H,7,FALSE)=BL361,1,0)</f>
        <v>#N/A</v>
      </c>
      <c r="EY361" s="138" t="e">
        <f>IF(VLOOKUP(CONCATENATE(H361,F361,EY$2),Ciencias!$A:$H,7,FALSE)=BM361,1,0)</f>
        <v>#N/A</v>
      </c>
      <c r="EZ361" s="138" t="e">
        <f>IF(VLOOKUP(CONCATENATE(H361,F361,EZ$2),Ciencias!$A:$H,7,FALSE)=BN361,1,0)</f>
        <v>#N/A</v>
      </c>
      <c r="FA361" s="138" t="e">
        <f>IF(VLOOKUP(CONCATENATE(H361,F361,FA$2),Ciencias!$A:$H,7,FALSE)=BO361,1,0)</f>
        <v>#N/A</v>
      </c>
      <c r="FB361" s="138" t="e">
        <f>IF(VLOOKUP(CONCATENATE(H361,F361,FB$2),Ciencias!$A:$H,7,FALSE)=BP361,1,0)</f>
        <v>#N/A</v>
      </c>
      <c r="FC361" s="138" t="e">
        <f>IF(VLOOKUP(CONCATENATE(H361,F361,FC$2),Ciencias!$A:$H,7,FALSE)=BQ361,1,0)</f>
        <v>#N/A</v>
      </c>
      <c r="FD361" s="138" t="e">
        <f>IF(VLOOKUP(CONCATENATE(H361,F361,FD$2),Ciencias!$A:$H,7,FALSE)=BR361,1,0)</f>
        <v>#N/A</v>
      </c>
      <c r="FE361" s="138" t="e">
        <f>IF(VLOOKUP(CONCATENATE(H361,F361,FE$2),Ciencias!$A:$H,7,FALSE)=BS361,1,0)</f>
        <v>#N/A</v>
      </c>
      <c r="FF361" s="138" t="e">
        <f>IF(VLOOKUP(CONCATENATE(H361,F361,FF$2),Ciencias!$A:$H,7,FALSE)=BT361,1,0)</f>
        <v>#N/A</v>
      </c>
      <c r="FG361" s="138" t="e">
        <f>IF(VLOOKUP(CONCATENATE(H361,F361,FG$2),Ciencias!$A:$H,7,FALSE)=BU361,1,0)</f>
        <v>#N/A</v>
      </c>
      <c r="FH361" s="138" t="e">
        <f>IF(VLOOKUP(CONCATENATE(H361,F361,FH$2),Ciencias!$A:$H,7,FALSE)=BV361,1,0)</f>
        <v>#N/A</v>
      </c>
      <c r="FI361" s="138" t="e">
        <f>IF(VLOOKUP(CONCATENATE(H361,F361,FI$2),Ciencias!$A:$H,7,FALSE)=BW361,1,0)</f>
        <v>#N/A</v>
      </c>
      <c r="FJ361" s="138" t="e">
        <f>IF(VLOOKUP(CONCATENATE(H361,F361,FJ$2),Ciencias!$A:$H,7,FALSE)=BX361,1,0)</f>
        <v>#N/A</v>
      </c>
      <c r="FK361" s="138" t="e">
        <f>IF(VLOOKUP(CONCATENATE(H361,F361,FK$2),Ciencias!$A:$H,7,FALSE)=BY361,1,0)</f>
        <v>#N/A</v>
      </c>
      <c r="FL361" s="138" t="e">
        <f>IF(VLOOKUP(CONCATENATE(H361,F361,FL$2),Ciencias!$A:$H,7,FALSE)=BZ361,1,0)</f>
        <v>#N/A</v>
      </c>
      <c r="FM361" s="138" t="e">
        <f>IF(VLOOKUP(CONCATENATE(H361,F361,FM$2),Ciencias!$A:$H,7,FALSE)=CA361,1,0)</f>
        <v>#N/A</v>
      </c>
      <c r="FN361" s="138" t="e">
        <f>IF(VLOOKUP(CONCATENATE(H361,F361,FN$2),Ciencias!$A:$H,7,FALSE)=CB361,1,0)</f>
        <v>#N/A</v>
      </c>
      <c r="FO361" s="138" t="e">
        <f>IF(VLOOKUP(CONCATENATE(H361,F361,FO$2),Ciencias!$A:$H,7,FALSE)=CC361,1,0)</f>
        <v>#N/A</v>
      </c>
      <c r="FP361" s="138" t="e">
        <f>IF(VLOOKUP(CONCATENATE(H361,F361,FP$2),GeoHis!$A:$H,7,FALSE)=CD361,1,0)</f>
        <v>#N/A</v>
      </c>
      <c r="FQ361" s="138" t="e">
        <f>IF(VLOOKUP(CONCATENATE(H361,F361,FQ$2),GeoHis!$A:$H,7,FALSE)=CE361,1,0)</f>
        <v>#N/A</v>
      </c>
      <c r="FR361" s="138" t="e">
        <f>IF(VLOOKUP(CONCATENATE(H361,F361,FR$2),GeoHis!$A:$H,7,FALSE)=CF361,1,0)</f>
        <v>#N/A</v>
      </c>
      <c r="FS361" s="138" t="e">
        <f>IF(VLOOKUP(CONCATENATE(H361,F361,FS$2),GeoHis!$A:$H,7,FALSE)=CG361,1,0)</f>
        <v>#N/A</v>
      </c>
      <c r="FT361" s="138" t="e">
        <f>IF(VLOOKUP(CONCATENATE(H361,F361,FT$2),GeoHis!$A:$H,7,FALSE)=CH361,1,0)</f>
        <v>#N/A</v>
      </c>
      <c r="FU361" s="138" t="e">
        <f>IF(VLOOKUP(CONCATENATE(H361,F361,FU$2),GeoHis!$A:$H,7,FALSE)=CI361,1,0)</f>
        <v>#N/A</v>
      </c>
      <c r="FV361" s="138" t="e">
        <f>IF(VLOOKUP(CONCATENATE(H361,F361,FV$2),GeoHis!$A:$H,7,FALSE)=CJ361,1,0)</f>
        <v>#N/A</v>
      </c>
      <c r="FW361" s="138" t="e">
        <f>IF(VLOOKUP(CONCATENATE(H361,F361,FW$2),GeoHis!$A:$H,7,FALSE)=CK361,1,0)</f>
        <v>#N/A</v>
      </c>
      <c r="FX361" s="138" t="e">
        <f>IF(VLOOKUP(CONCATENATE(H361,F361,FX$2),GeoHis!$A:$H,7,FALSE)=CL361,1,0)</f>
        <v>#N/A</v>
      </c>
      <c r="FY361" s="138" t="e">
        <f>IF(VLOOKUP(CONCATENATE(H361,F361,FY$2),GeoHis!$A:$H,7,FALSE)=CM361,1,0)</f>
        <v>#N/A</v>
      </c>
      <c r="FZ361" s="138" t="e">
        <f>IF(VLOOKUP(CONCATENATE(H361,F361,FZ$2),GeoHis!$A:$H,7,FALSE)=CN361,1,0)</f>
        <v>#N/A</v>
      </c>
      <c r="GA361" s="138" t="e">
        <f>IF(VLOOKUP(CONCATENATE(H361,F361,GA$2),GeoHis!$A:$H,7,FALSE)=CO361,1,0)</f>
        <v>#N/A</v>
      </c>
      <c r="GB361" s="138" t="e">
        <f>IF(VLOOKUP(CONCATENATE(H361,F361,GB$2),GeoHis!$A:$H,7,FALSE)=CP361,1,0)</f>
        <v>#N/A</v>
      </c>
      <c r="GC361" s="138" t="e">
        <f>IF(VLOOKUP(CONCATENATE(H361,F361,GC$2),GeoHis!$A:$H,7,FALSE)=CQ361,1,0)</f>
        <v>#N/A</v>
      </c>
      <c r="GD361" s="138" t="e">
        <f>IF(VLOOKUP(CONCATENATE(H361,F361,GD$2),GeoHis!$A:$H,7,FALSE)=CR361,1,0)</f>
        <v>#N/A</v>
      </c>
      <c r="GE361" s="135" t="str">
        <f t="shared" si="47"/>
        <v/>
      </c>
    </row>
    <row r="362" spans="1:187" x14ac:dyDescent="0.25">
      <c r="A362" s="127" t="str">
        <f>IF(C362="","",'Datos Generales'!$A$25)</f>
        <v/>
      </c>
      <c r="D362" s="126" t="str">
        <f t="shared" si="40"/>
        <v/>
      </c>
      <c r="E362" s="126">
        <f t="shared" si="41"/>
        <v>0</v>
      </c>
      <c r="F362" s="126" t="str">
        <f t="shared" si="42"/>
        <v/>
      </c>
      <c r="G362" s="126" t="str">
        <f>IF(C362="","",'Datos Generales'!$D$19)</f>
        <v/>
      </c>
      <c r="H362" s="21" t="str">
        <f>IF(C362="","",'Datos Generales'!$A$19)</f>
        <v/>
      </c>
      <c r="I362" s="126" t="str">
        <f>IF(C362="","",'Datos Generales'!$A$7)</f>
        <v/>
      </c>
      <c r="J362" s="21" t="str">
        <f>IF(C362="","",'Datos Generales'!$A$13)</f>
        <v/>
      </c>
      <c r="K362" s="21" t="str">
        <f>IF(C362="","",'Datos Generales'!$A$10)</f>
        <v/>
      </c>
      <c r="CS362" s="142" t="str">
        <f t="shared" si="43"/>
        <v/>
      </c>
      <c r="CT362" s="142" t="str">
        <f t="shared" si="44"/>
        <v/>
      </c>
      <c r="CU362" s="142" t="str">
        <f t="shared" si="45"/>
        <v/>
      </c>
      <c r="CV362" s="142" t="str">
        <f t="shared" si="46"/>
        <v/>
      </c>
      <c r="CW362" s="142" t="str">
        <f>IF(C362="","",IF('Datos Generales'!$A$19=1,AVERAGE(FP362:GD362),AVERAGE(Captura!FP362:FY362)))</f>
        <v/>
      </c>
      <c r="CX362" s="138" t="e">
        <f>IF(VLOOKUP(CONCATENATE($H$4,$F$4,CX$2),Español!$A:$H,7,FALSE)=L362,1,0)</f>
        <v>#N/A</v>
      </c>
      <c r="CY362" s="138" t="e">
        <f>IF(VLOOKUP(CONCATENATE(H362,F362,CY$2),Español!$A:$H,7,FALSE)=M362,1,0)</f>
        <v>#N/A</v>
      </c>
      <c r="CZ362" s="138" t="e">
        <f>IF(VLOOKUP(CONCATENATE(H362,F362,CZ$2),Español!$A:$H,7,FALSE)=N362,1,0)</f>
        <v>#N/A</v>
      </c>
      <c r="DA362" s="138" t="e">
        <f>IF(VLOOKUP(CONCATENATE(H362,F362,DA$2),Español!$A:$H,7,FALSE)=O362,1,0)</f>
        <v>#N/A</v>
      </c>
      <c r="DB362" s="138" t="e">
        <f>IF(VLOOKUP(CONCATENATE(H362,F362,DB$2),Español!$A:$H,7,FALSE)=P362,1,0)</f>
        <v>#N/A</v>
      </c>
      <c r="DC362" s="138" t="e">
        <f>IF(VLOOKUP(CONCATENATE(H362,F362,DC$2),Español!$A:$H,7,FALSE)=Q362,1,0)</f>
        <v>#N/A</v>
      </c>
      <c r="DD362" s="138" t="e">
        <f>IF(VLOOKUP(CONCATENATE(H362,F362,DD$2),Español!$A:$H,7,FALSE)=R362,1,0)</f>
        <v>#N/A</v>
      </c>
      <c r="DE362" s="138" t="e">
        <f>IF(VLOOKUP(CONCATENATE(H362,F362,DE$2),Español!$A:$H,7,FALSE)=S362,1,0)</f>
        <v>#N/A</v>
      </c>
      <c r="DF362" s="138" t="e">
        <f>IF(VLOOKUP(CONCATENATE(H362,F362,DF$2),Español!$A:$H,7,FALSE)=T362,1,0)</f>
        <v>#N/A</v>
      </c>
      <c r="DG362" s="138" t="e">
        <f>IF(VLOOKUP(CONCATENATE(H362,F362,DG$2),Español!$A:$H,7,FALSE)=U362,1,0)</f>
        <v>#N/A</v>
      </c>
      <c r="DH362" s="138" t="e">
        <f>IF(VLOOKUP(CONCATENATE(H362,F362,DH$2),Español!$A:$H,7,FALSE)=V362,1,0)</f>
        <v>#N/A</v>
      </c>
      <c r="DI362" s="138" t="e">
        <f>IF(VLOOKUP(CONCATENATE(H362,F362,DI$2),Español!$A:$H,7,FALSE)=W362,1,0)</f>
        <v>#N/A</v>
      </c>
      <c r="DJ362" s="138" t="e">
        <f>IF(VLOOKUP(CONCATENATE(H362,F362,DJ$2),Español!$A:$H,7,FALSE)=X362,1,0)</f>
        <v>#N/A</v>
      </c>
      <c r="DK362" s="138" t="e">
        <f>IF(VLOOKUP(CONCATENATE(H362,F362,DK$2),Español!$A:$H,7,FALSE)=Y362,1,0)</f>
        <v>#N/A</v>
      </c>
      <c r="DL362" s="138" t="e">
        <f>IF(VLOOKUP(CONCATENATE(H362,F362,DL$2),Español!$A:$H,7,FALSE)=Z362,1,0)</f>
        <v>#N/A</v>
      </c>
      <c r="DM362" s="138" t="e">
        <f>IF(VLOOKUP(CONCATENATE(H362,F362,DM$2),Español!$A:$H,7,FALSE)=AA362,1,0)</f>
        <v>#N/A</v>
      </c>
      <c r="DN362" s="138" t="e">
        <f>IF(VLOOKUP(CONCATENATE(H362,F362,DN$2),Español!$A:$H,7,FALSE)=AB362,1,0)</f>
        <v>#N/A</v>
      </c>
      <c r="DO362" s="138" t="e">
        <f>IF(VLOOKUP(CONCATENATE(H362,F362,DO$2),Español!$A:$H,7,FALSE)=AC362,1,0)</f>
        <v>#N/A</v>
      </c>
      <c r="DP362" s="138" t="e">
        <f>IF(VLOOKUP(CONCATENATE(H362,F362,DP$2),Español!$A:$H,7,FALSE)=AD362,1,0)</f>
        <v>#N/A</v>
      </c>
      <c r="DQ362" s="138" t="e">
        <f>IF(VLOOKUP(CONCATENATE(H362,F362,DQ$2),Español!$A:$H,7,FALSE)=AE362,1,0)</f>
        <v>#N/A</v>
      </c>
      <c r="DR362" s="138" t="e">
        <f>IF(VLOOKUP(CONCATENATE(H362,F362,DR$2),Inglés!$A:$H,7,FALSE)=AF362,1,0)</f>
        <v>#N/A</v>
      </c>
      <c r="DS362" s="138" t="e">
        <f>IF(VLOOKUP(CONCATENATE(H362,F362,DS$2),Inglés!$A:$H,7,FALSE)=AG362,1,0)</f>
        <v>#N/A</v>
      </c>
      <c r="DT362" s="138" t="e">
        <f>IF(VLOOKUP(CONCATENATE(H362,F362,DT$2),Inglés!$A:$H,7,FALSE)=AH362,1,0)</f>
        <v>#N/A</v>
      </c>
      <c r="DU362" s="138" t="e">
        <f>IF(VLOOKUP(CONCATENATE(H362,F362,DU$2),Inglés!$A:$H,7,FALSE)=AI362,1,0)</f>
        <v>#N/A</v>
      </c>
      <c r="DV362" s="138" t="e">
        <f>IF(VLOOKUP(CONCATENATE(H362,F362,DV$2),Inglés!$A:$H,7,FALSE)=AJ362,1,0)</f>
        <v>#N/A</v>
      </c>
      <c r="DW362" s="138" t="e">
        <f>IF(VLOOKUP(CONCATENATE(H362,F362,DW$2),Inglés!$A:$H,7,FALSE)=AK362,1,0)</f>
        <v>#N/A</v>
      </c>
      <c r="DX362" s="138" t="e">
        <f>IF(VLOOKUP(CONCATENATE(H362,F362,DX$2),Inglés!$A:$H,7,FALSE)=AL362,1,0)</f>
        <v>#N/A</v>
      </c>
      <c r="DY362" s="138" t="e">
        <f>IF(VLOOKUP(CONCATENATE(H362,F362,DY$2),Inglés!$A:$H,7,FALSE)=AM362,1,0)</f>
        <v>#N/A</v>
      </c>
      <c r="DZ362" s="138" t="e">
        <f>IF(VLOOKUP(CONCATENATE(H362,F362,DZ$2),Inglés!$A:$H,7,FALSE)=AN362,1,0)</f>
        <v>#N/A</v>
      </c>
      <c r="EA362" s="138" t="e">
        <f>IF(VLOOKUP(CONCATENATE(H362,F362,EA$2),Inglés!$A:$H,7,FALSE)=AO362,1,0)</f>
        <v>#N/A</v>
      </c>
      <c r="EB362" s="138" t="e">
        <f>IF(VLOOKUP(CONCATENATE(H362,F362,EB$2),Matemáticas!$A:$H,7,FALSE)=AP362,1,0)</f>
        <v>#N/A</v>
      </c>
      <c r="EC362" s="138" t="e">
        <f>IF(VLOOKUP(CONCATENATE(H362,F362,EC$2),Matemáticas!$A:$H,7,FALSE)=AQ362,1,0)</f>
        <v>#N/A</v>
      </c>
      <c r="ED362" s="138" t="e">
        <f>IF(VLOOKUP(CONCATENATE(H362,F362,ED$2),Matemáticas!$A:$H,7,FALSE)=AR362,1,0)</f>
        <v>#N/A</v>
      </c>
      <c r="EE362" s="138" t="e">
        <f>IF(VLOOKUP(CONCATENATE(H362,F362,EE$2),Matemáticas!$A:$H,7,FALSE)=AS362,1,0)</f>
        <v>#N/A</v>
      </c>
      <c r="EF362" s="138" t="e">
        <f>IF(VLOOKUP(CONCATENATE(H362,F362,EF$2),Matemáticas!$A:$H,7,FALSE)=AT362,1,0)</f>
        <v>#N/A</v>
      </c>
      <c r="EG362" s="138" t="e">
        <f>IF(VLOOKUP(CONCATENATE(H362,F362,EG$2),Matemáticas!$A:$H,7,FALSE)=AU362,1,0)</f>
        <v>#N/A</v>
      </c>
      <c r="EH362" s="138" t="e">
        <f>IF(VLOOKUP(CONCATENATE(H362,F362,EH$2),Matemáticas!$A:$H,7,FALSE)=AV362,1,0)</f>
        <v>#N/A</v>
      </c>
      <c r="EI362" s="138" t="e">
        <f>IF(VLOOKUP(CONCATENATE(H362,F362,EI$2),Matemáticas!$A:$H,7,FALSE)=AW362,1,0)</f>
        <v>#N/A</v>
      </c>
      <c r="EJ362" s="138" t="e">
        <f>IF(VLOOKUP(CONCATENATE(H362,F362,EJ$2),Matemáticas!$A:$H,7,FALSE)=AX362,1,0)</f>
        <v>#N/A</v>
      </c>
      <c r="EK362" s="138" t="e">
        <f>IF(VLOOKUP(CONCATENATE(H362,F362,EK$2),Matemáticas!$A:$H,7,FALSE)=AY362,1,0)</f>
        <v>#N/A</v>
      </c>
      <c r="EL362" s="138" t="e">
        <f>IF(VLOOKUP(CONCATENATE(H362,F362,EL$2),Matemáticas!$A:$H,7,FALSE)=AZ362,1,0)</f>
        <v>#N/A</v>
      </c>
      <c r="EM362" s="138" t="e">
        <f>IF(VLOOKUP(CONCATENATE(H362,F362,EM$2),Matemáticas!$A:$H,7,FALSE)=BA362,1,0)</f>
        <v>#N/A</v>
      </c>
      <c r="EN362" s="138" t="e">
        <f>IF(VLOOKUP(CONCATENATE(H362,F362,EN$2),Matemáticas!$A:$H,7,FALSE)=BB362,1,0)</f>
        <v>#N/A</v>
      </c>
      <c r="EO362" s="138" t="e">
        <f>IF(VLOOKUP(CONCATENATE(H362,F362,EO$2),Matemáticas!$A:$H,7,FALSE)=BC362,1,0)</f>
        <v>#N/A</v>
      </c>
      <c r="EP362" s="138" t="e">
        <f>IF(VLOOKUP(CONCATENATE(H362,F362,EP$2),Matemáticas!$A:$H,7,FALSE)=BD362,1,0)</f>
        <v>#N/A</v>
      </c>
      <c r="EQ362" s="138" t="e">
        <f>IF(VLOOKUP(CONCATENATE(H362,F362,EQ$2),Matemáticas!$A:$H,7,FALSE)=BE362,1,0)</f>
        <v>#N/A</v>
      </c>
      <c r="ER362" s="138" t="e">
        <f>IF(VLOOKUP(CONCATENATE(H362,F362,ER$2),Matemáticas!$A:$H,7,FALSE)=BF362,1,0)</f>
        <v>#N/A</v>
      </c>
      <c r="ES362" s="138" t="e">
        <f>IF(VLOOKUP(CONCATENATE(H362,F362,ES$2),Matemáticas!$A:$H,7,FALSE)=BG362,1,0)</f>
        <v>#N/A</v>
      </c>
      <c r="ET362" s="138" t="e">
        <f>IF(VLOOKUP(CONCATENATE(H362,F362,ET$2),Matemáticas!$A:$H,7,FALSE)=BH362,1,0)</f>
        <v>#N/A</v>
      </c>
      <c r="EU362" s="138" t="e">
        <f>IF(VLOOKUP(CONCATENATE(H362,F362,EU$2),Matemáticas!$A:$H,7,FALSE)=BI362,1,0)</f>
        <v>#N/A</v>
      </c>
      <c r="EV362" s="138" t="e">
        <f>IF(VLOOKUP(CONCATENATE(H362,F362,EV$2),Ciencias!$A:$H,7,FALSE)=BJ362,1,0)</f>
        <v>#N/A</v>
      </c>
      <c r="EW362" s="138" t="e">
        <f>IF(VLOOKUP(CONCATENATE(H362,F362,EW$2),Ciencias!$A:$H,7,FALSE)=BK362,1,0)</f>
        <v>#N/A</v>
      </c>
      <c r="EX362" s="138" t="e">
        <f>IF(VLOOKUP(CONCATENATE(H362,F362,EX$2),Ciencias!$A:$H,7,FALSE)=BL362,1,0)</f>
        <v>#N/A</v>
      </c>
      <c r="EY362" s="138" t="e">
        <f>IF(VLOOKUP(CONCATENATE(H362,F362,EY$2),Ciencias!$A:$H,7,FALSE)=BM362,1,0)</f>
        <v>#N/A</v>
      </c>
      <c r="EZ362" s="138" t="e">
        <f>IF(VLOOKUP(CONCATENATE(H362,F362,EZ$2),Ciencias!$A:$H,7,FALSE)=BN362,1,0)</f>
        <v>#N/A</v>
      </c>
      <c r="FA362" s="138" t="e">
        <f>IF(VLOOKUP(CONCATENATE(H362,F362,FA$2),Ciencias!$A:$H,7,FALSE)=BO362,1,0)</f>
        <v>#N/A</v>
      </c>
      <c r="FB362" s="138" t="e">
        <f>IF(VLOOKUP(CONCATENATE(H362,F362,FB$2),Ciencias!$A:$H,7,FALSE)=BP362,1,0)</f>
        <v>#N/A</v>
      </c>
      <c r="FC362" s="138" t="e">
        <f>IF(VLOOKUP(CONCATENATE(H362,F362,FC$2),Ciencias!$A:$H,7,FALSE)=BQ362,1,0)</f>
        <v>#N/A</v>
      </c>
      <c r="FD362" s="138" t="e">
        <f>IF(VLOOKUP(CONCATENATE(H362,F362,FD$2),Ciencias!$A:$H,7,FALSE)=BR362,1,0)</f>
        <v>#N/A</v>
      </c>
      <c r="FE362" s="138" t="e">
        <f>IF(VLOOKUP(CONCATENATE(H362,F362,FE$2),Ciencias!$A:$H,7,FALSE)=BS362,1,0)</f>
        <v>#N/A</v>
      </c>
      <c r="FF362" s="138" t="e">
        <f>IF(VLOOKUP(CONCATENATE(H362,F362,FF$2),Ciencias!$A:$H,7,FALSE)=BT362,1,0)</f>
        <v>#N/A</v>
      </c>
      <c r="FG362" s="138" t="e">
        <f>IF(VLOOKUP(CONCATENATE(H362,F362,FG$2),Ciencias!$A:$H,7,FALSE)=BU362,1,0)</f>
        <v>#N/A</v>
      </c>
      <c r="FH362" s="138" t="e">
        <f>IF(VLOOKUP(CONCATENATE(H362,F362,FH$2),Ciencias!$A:$H,7,FALSE)=BV362,1,0)</f>
        <v>#N/A</v>
      </c>
      <c r="FI362" s="138" t="e">
        <f>IF(VLOOKUP(CONCATENATE(H362,F362,FI$2),Ciencias!$A:$H,7,FALSE)=BW362,1,0)</f>
        <v>#N/A</v>
      </c>
      <c r="FJ362" s="138" t="e">
        <f>IF(VLOOKUP(CONCATENATE(H362,F362,FJ$2),Ciencias!$A:$H,7,FALSE)=BX362,1,0)</f>
        <v>#N/A</v>
      </c>
      <c r="FK362" s="138" t="e">
        <f>IF(VLOOKUP(CONCATENATE(H362,F362,FK$2),Ciencias!$A:$H,7,FALSE)=BY362,1,0)</f>
        <v>#N/A</v>
      </c>
      <c r="FL362" s="138" t="e">
        <f>IF(VLOOKUP(CONCATENATE(H362,F362,FL$2),Ciencias!$A:$H,7,FALSE)=BZ362,1,0)</f>
        <v>#N/A</v>
      </c>
      <c r="FM362" s="138" t="e">
        <f>IF(VLOOKUP(CONCATENATE(H362,F362,FM$2),Ciencias!$A:$H,7,FALSE)=CA362,1,0)</f>
        <v>#N/A</v>
      </c>
      <c r="FN362" s="138" t="e">
        <f>IF(VLOOKUP(CONCATENATE(H362,F362,FN$2),Ciencias!$A:$H,7,FALSE)=CB362,1,0)</f>
        <v>#N/A</v>
      </c>
      <c r="FO362" s="138" t="e">
        <f>IF(VLOOKUP(CONCATENATE(H362,F362,FO$2),Ciencias!$A:$H,7,FALSE)=CC362,1,0)</f>
        <v>#N/A</v>
      </c>
      <c r="FP362" s="138" t="e">
        <f>IF(VLOOKUP(CONCATENATE(H362,F362,FP$2),GeoHis!$A:$H,7,FALSE)=CD362,1,0)</f>
        <v>#N/A</v>
      </c>
      <c r="FQ362" s="138" t="e">
        <f>IF(VLOOKUP(CONCATENATE(H362,F362,FQ$2),GeoHis!$A:$H,7,FALSE)=CE362,1,0)</f>
        <v>#N/A</v>
      </c>
      <c r="FR362" s="138" t="e">
        <f>IF(VLOOKUP(CONCATENATE(H362,F362,FR$2),GeoHis!$A:$H,7,FALSE)=CF362,1,0)</f>
        <v>#N/A</v>
      </c>
      <c r="FS362" s="138" t="e">
        <f>IF(VLOOKUP(CONCATENATE(H362,F362,FS$2),GeoHis!$A:$H,7,FALSE)=CG362,1,0)</f>
        <v>#N/A</v>
      </c>
      <c r="FT362" s="138" t="e">
        <f>IF(VLOOKUP(CONCATENATE(H362,F362,FT$2),GeoHis!$A:$H,7,FALSE)=CH362,1,0)</f>
        <v>#N/A</v>
      </c>
      <c r="FU362" s="138" t="e">
        <f>IF(VLOOKUP(CONCATENATE(H362,F362,FU$2),GeoHis!$A:$H,7,FALSE)=CI362,1,0)</f>
        <v>#N/A</v>
      </c>
      <c r="FV362" s="138" t="e">
        <f>IF(VLOOKUP(CONCATENATE(H362,F362,FV$2),GeoHis!$A:$H,7,FALSE)=CJ362,1,0)</f>
        <v>#N/A</v>
      </c>
      <c r="FW362" s="138" t="e">
        <f>IF(VLOOKUP(CONCATENATE(H362,F362,FW$2),GeoHis!$A:$H,7,FALSE)=CK362,1,0)</f>
        <v>#N/A</v>
      </c>
      <c r="FX362" s="138" t="e">
        <f>IF(VLOOKUP(CONCATENATE(H362,F362,FX$2),GeoHis!$A:$H,7,FALSE)=CL362,1,0)</f>
        <v>#N/A</v>
      </c>
      <c r="FY362" s="138" t="e">
        <f>IF(VLOOKUP(CONCATENATE(H362,F362,FY$2),GeoHis!$A:$H,7,FALSE)=CM362,1,0)</f>
        <v>#N/A</v>
      </c>
      <c r="FZ362" s="138" t="e">
        <f>IF(VLOOKUP(CONCATENATE(H362,F362,FZ$2),GeoHis!$A:$H,7,FALSE)=CN362,1,0)</f>
        <v>#N/A</v>
      </c>
      <c r="GA362" s="138" t="e">
        <f>IF(VLOOKUP(CONCATENATE(H362,F362,GA$2),GeoHis!$A:$H,7,FALSE)=CO362,1,0)</f>
        <v>#N/A</v>
      </c>
      <c r="GB362" s="138" t="e">
        <f>IF(VLOOKUP(CONCATENATE(H362,F362,GB$2),GeoHis!$A:$H,7,FALSE)=CP362,1,0)</f>
        <v>#N/A</v>
      </c>
      <c r="GC362" s="138" t="e">
        <f>IF(VLOOKUP(CONCATENATE(H362,F362,GC$2),GeoHis!$A:$H,7,FALSE)=CQ362,1,0)</f>
        <v>#N/A</v>
      </c>
      <c r="GD362" s="138" t="e">
        <f>IF(VLOOKUP(CONCATENATE(H362,F362,GD$2),GeoHis!$A:$H,7,FALSE)=CR362,1,0)</f>
        <v>#N/A</v>
      </c>
      <c r="GE362" s="135" t="str">
        <f t="shared" si="47"/>
        <v/>
      </c>
    </row>
    <row r="363" spans="1:187" x14ac:dyDescent="0.25">
      <c r="A363" s="127" t="str">
        <f>IF(C363="","",'Datos Generales'!$A$25)</f>
        <v/>
      </c>
      <c r="D363" s="126" t="str">
        <f t="shared" si="40"/>
        <v/>
      </c>
      <c r="E363" s="126">
        <f t="shared" si="41"/>
        <v>0</v>
      </c>
      <c r="F363" s="126" t="str">
        <f t="shared" si="42"/>
        <v/>
      </c>
      <c r="G363" s="126" t="str">
        <f>IF(C363="","",'Datos Generales'!$D$19)</f>
        <v/>
      </c>
      <c r="H363" s="21" t="str">
        <f>IF(C363="","",'Datos Generales'!$A$19)</f>
        <v/>
      </c>
      <c r="I363" s="126" t="str">
        <f>IF(C363="","",'Datos Generales'!$A$7)</f>
        <v/>
      </c>
      <c r="J363" s="21" t="str">
        <f>IF(C363="","",'Datos Generales'!$A$13)</f>
        <v/>
      </c>
      <c r="K363" s="21" t="str">
        <f>IF(C363="","",'Datos Generales'!$A$10)</f>
        <v/>
      </c>
      <c r="CS363" s="142" t="str">
        <f t="shared" si="43"/>
        <v/>
      </c>
      <c r="CT363" s="142" t="str">
        <f t="shared" si="44"/>
        <v/>
      </c>
      <c r="CU363" s="142" t="str">
        <f t="shared" si="45"/>
        <v/>
      </c>
      <c r="CV363" s="142" t="str">
        <f t="shared" si="46"/>
        <v/>
      </c>
      <c r="CW363" s="142" t="str">
        <f>IF(C363="","",IF('Datos Generales'!$A$19=1,AVERAGE(FP363:GD363),AVERAGE(Captura!FP363:FY363)))</f>
        <v/>
      </c>
      <c r="CX363" s="138" t="e">
        <f>IF(VLOOKUP(CONCATENATE($H$4,$F$4,CX$2),Español!$A:$H,7,FALSE)=L363,1,0)</f>
        <v>#N/A</v>
      </c>
      <c r="CY363" s="138" t="e">
        <f>IF(VLOOKUP(CONCATENATE(H363,F363,CY$2),Español!$A:$H,7,FALSE)=M363,1,0)</f>
        <v>#N/A</v>
      </c>
      <c r="CZ363" s="138" t="e">
        <f>IF(VLOOKUP(CONCATENATE(H363,F363,CZ$2),Español!$A:$H,7,FALSE)=N363,1,0)</f>
        <v>#N/A</v>
      </c>
      <c r="DA363" s="138" t="e">
        <f>IF(VLOOKUP(CONCATENATE(H363,F363,DA$2),Español!$A:$H,7,FALSE)=O363,1,0)</f>
        <v>#N/A</v>
      </c>
      <c r="DB363" s="138" t="e">
        <f>IF(VLOOKUP(CONCATENATE(H363,F363,DB$2),Español!$A:$H,7,FALSE)=P363,1,0)</f>
        <v>#N/A</v>
      </c>
      <c r="DC363" s="138" t="e">
        <f>IF(VLOOKUP(CONCATENATE(H363,F363,DC$2),Español!$A:$H,7,FALSE)=Q363,1,0)</f>
        <v>#N/A</v>
      </c>
      <c r="DD363" s="138" t="e">
        <f>IF(VLOOKUP(CONCATENATE(H363,F363,DD$2),Español!$A:$H,7,FALSE)=R363,1,0)</f>
        <v>#N/A</v>
      </c>
      <c r="DE363" s="138" t="e">
        <f>IF(VLOOKUP(CONCATENATE(H363,F363,DE$2),Español!$A:$H,7,FALSE)=S363,1,0)</f>
        <v>#N/A</v>
      </c>
      <c r="DF363" s="138" t="e">
        <f>IF(VLOOKUP(CONCATENATE(H363,F363,DF$2),Español!$A:$H,7,FALSE)=T363,1,0)</f>
        <v>#N/A</v>
      </c>
      <c r="DG363" s="138" t="e">
        <f>IF(VLOOKUP(CONCATENATE(H363,F363,DG$2),Español!$A:$H,7,FALSE)=U363,1,0)</f>
        <v>#N/A</v>
      </c>
      <c r="DH363" s="138" t="e">
        <f>IF(VLOOKUP(CONCATENATE(H363,F363,DH$2),Español!$A:$H,7,FALSE)=V363,1,0)</f>
        <v>#N/A</v>
      </c>
      <c r="DI363" s="138" t="e">
        <f>IF(VLOOKUP(CONCATENATE(H363,F363,DI$2),Español!$A:$H,7,FALSE)=W363,1,0)</f>
        <v>#N/A</v>
      </c>
      <c r="DJ363" s="138" t="e">
        <f>IF(VLOOKUP(CONCATENATE(H363,F363,DJ$2),Español!$A:$H,7,FALSE)=X363,1,0)</f>
        <v>#N/A</v>
      </c>
      <c r="DK363" s="138" t="e">
        <f>IF(VLOOKUP(CONCATENATE(H363,F363,DK$2),Español!$A:$H,7,FALSE)=Y363,1,0)</f>
        <v>#N/A</v>
      </c>
      <c r="DL363" s="138" t="e">
        <f>IF(VLOOKUP(CONCATENATE(H363,F363,DL$2),Español!$A:$H,7,FALSE)=Z363,1,0)</f>
        <v>#N/A</v>
      </c>
      <c r="DM363" s="138" t="e">
        <f>IF(VLOOKUP(CONCATENATE(H363,F363,DM$2),Español!$A:$H,7,FALSE)=AA363,1,0)</f>
        <v>#N/A</v>
      </c>
      <c r="DN363" s="138" t="e">
        <f>IF(VLOOKUP(CONCATENATE(H363,F363,DN$2),Español!$A:$H,7,FALSE)=AB363,1,0)</f>
        <v>#N/A</v>
      </c>
      <c r="DO363" s="138" t="e">
        <f>IF(VLOOKUP(CONCATENATE(H363,F363,DO$2),Español!$A:$H,7,FALSE)=AC363,1,0)</f>
        <v>#N/A</v>
      </c>
      <c r="DP363" s="138" t="e">
        <f>IF(VLOOKUP(CONCATENATE(H363,F363,DP$2),Español!$A:$H,7,FALSE)=AD363,1,0)</f>
        <v>#N/A</v>
      </c>
      <c r="DQ363" s="138" t="e">
        <f>IF(VLOOKUP(CONCATENATE(H363,F363,DQ$2),Español!$A:$H,7,FALSE)=AE363,1,0)</f>
        <v>#N/A</v>
      </c>
      <c r="DR363" s="138" t="e">
        <f>IF(VLOOKUP(CONCATENATE(H363,F363,DR$2),Inglés!$A:$H,7,FALSE)=AF363,1,0)</f>
        <v>#N/A</v>
      </c>
      <c r="DS363" s="138" t="e">
        <f>IF(VLOOKUP(CONCATENATE(H363,F363,DS$2),Inglés!$A:$H,7,FALSE)=AG363,1,0)</f>
        <v>#N/A</v>
      </c>
      <c r="DT363" s="138" t="e">
        <f>IF(VLOOKUP(CONCATENATE(H363,F363,DT$2),Inglés!$A:$H,7,FALSE)=AH363,1,0)</f>
        <v>#N/A</v>
      </c>
      <c r="DU363" s="138" t="e">
        <f>IF(VLOOKUP(CONCATENATE(H363,F363,DU$2),Inglés!$A:$H,7,FALSE)=AI363,1,0)</f>
        <v>#N/A</v>
      </c>
      <c r="DV363" s="138" t="e">
        <f>IF(VLOOKUP(CONCATENATE(H363,F363,DV$2),Inglés!$A:$H,7,FALSE)=AJ363,1,0)</f>
        <v>#N/A</v>
      </c>
      <c r="DW363" s="138" t="e">
        <f>IF(VLOOKUP(CONCATENATE(H363,F363,DW$2),Inglés!$A:$H,7,FALSE)=AK363,1,0)</f>
        <v>#N/A</v>
      </c>
      <c r="DX363" s="138" t="e">
        <f>IF(VLOOKUP(CONCATENATE(H363,F363,DX$2),Inglés!$A:$H,7,FALSE)=AL363,1,0)</f>
        <v>#N/A</v>
      </c>
      <c r="DY363" s="138" t="e">
        <f>IF(VLOOKUP(CONCATENATE(H363,F363,DY$2),Inglés!$A:$H,7,FALSE)=AM363,1,0)</f>
        <v>#N/A</v>
      </c>
      <c r="DZ363" s="138" t="e">
        <f>IF(VLOOKUP(CONCATENATE(H363,F363,DZ$2),Inglés!$A:$H,7,FALSE)=AN363,1,0)</f>
        <v>#N/A</v>
      </c>
      <c r="EA363" s="138" t="e">
        <f>IF(VLOOKUP(CONCATENATE(H363,F363,EA$2),Inglés!$A:$H,7,FALSE)=AO363,1,0)</f>
        <v>#N/A</v>
      </c>
      <c r="EB363" s="138" t="e">
        <f>IF(VLOOKUP(CONCATENATE(H363,F363,EB$2),Matemáticas!$A:$H,7,FALSE)=AP363,1,0)</f>
        <v>#N/A</v>
      </c>
      <c r="EC363" s="138" t="e">
        <f>IF(VLOOKUP(CONCATENATE(H363,F363,EC$2),Matemáticas!$A:$H,7,FALSE)=AQ363,1,0)</f>
        <v>#N/A</v>
      </c>
      <c r="ED363" s="138" t="e">
        <f>IF(VLOOKUP(CONCATENATE(H363,F363,ED$2),Matemáticas!$A:$H,7,FALSE)=AR363,1,0)</f>
        <v>#N/A</v>
      </c>
      <c r="EE363" s="138" t="e">
        <f>IF(VLOOKUP(CONCATENATE(H363,F363,EE$2),Matemáticas!$A:$H,7,FALSE)=AS363,1,0)</f>
        <v>#N/A</v>
      </c>
      <c r="EF363" s="138" t="e">
        <f>IF(VLOOKUP(CONCATENATE(H363,F363,EF$2),Matemáticas!$A:$H,7,FALSE)=AT363,1,0)</f>
        <v>#N/A</v>
      </c>
      <c r="EG363" s="138" t="e">
        <f>IF(VLOOKUP(CONCATENATE(H363,F363,EG$2),Matemáticas!$A:$H,7,FALSE)=AU363,1,0)</f>
        <v>#N/A</v>
      </c>
      <c r="EH363" s="138" t="e">
        <f>IF(VLOOKUP(CONCATENATE(H363,F363,EH$2),Matemáticas!$A:$H,7,FALSE)=AV363,1,0)</f>
        <v>#N/A</v>
      </c>
      <c r="EI363" s="138" t="e">
        <f>IF(VLOOKUP(CONCATENATE(H363,F363,EI$2),Matemáticas!$A:$H,7,FALSE)=AW363,1,0)</f>
        <v>#N/A</v>
      </c>
      <c r="EJ363" s="138" t="e">
        <f>IF(VLOOKUP(CONCATENATE(H363,F363,EJ$2),Matemáticas!$A:$H,7,FALSE)=AX363,1,0)</f>
        <v>#N/A</v>
      </c>
      <c r="EK363" s="138" t="e">
        <f>IF(VLOOKUP(CONCATENATE(H363,F363,EK$2),Matemáticas!$A:$H,7,FALSE)=AY363,1,0)</f>
        <v>#N/A</v>
      </c>
      <c r="EL363" s="138" t="e">
        <f>IF(VLOOKUP(CONCATENATE(H363,F363,EL$2),Matemáticas!$A:$H,7,FALSE)=AZ363,1,0)</f>
        <v>#N/A</v>
      </c>
      <c r="EM363" s="138" t="e">
        <f>IF(VLOOKUP(CONCATENATE(H363,F363,EM$2),Matemáticas!$A:$H,7,FALSE)=BA363,1,0)</f>
        <v>#N/A</v>
      </c>
      <c r="EN363" s="138" t="e">
        <f>IF(VLOOKUP(CONCATENATE(H363,F363,EN$2),Matemáticas!$A:$H,7,FALSE)=BB363,1,0)</f>
        <v>#N/A</v>
      </c>
      <c r="EO363" s="138" t="e">
        <f>IF(VLOOKUP(CONCATENATE(H363,F363,EO$2),Matemáticas!$A:$H,7,FALSE)=BC363,1,0)</f>
        <v>#N/A</v>
      </c>
      <c r="EP363" s="138" t="e">
        <f>IF(VLOOKUP(CONCATENATE(H363,F363,EP$2),Matemáticas!$A:$H,7,FALSE)=BD363,1,0)</f>
        <v>#N/A</v>
      </c>
      <c r="EQ363" s="138" t="e">
        <f>IF(VLOOKUP(CONCATENATE(H363,F363,EQ$2),Matemáticas!$A:$H,7,FALSE)=BE363,1,0)</f>
        <v>#N/A</v>
      </c>
      <c r="ER363" s="138" t="e">
        <f>IF(VLOOKUP(CONCATENATE(H363,F363,ER$2),Matemáticas!$A:$H,7,FALSE)=BF363,1,0)</f>
        <v>#N/A</v>
      </c>
      <c r="ES363" s="138" t="e">
        <f>IF(VLOOKUP(CONCATENATE(H363,F363,ES$2),Matemáticas!$A:$H,7,FALSE)=BG363,1,0)</f>
        <v>#N/A</v>
      </c>
      <c r="ET363" s="138" t="e">
        <f>IF(VLOOKUP(CONCATENATE(H363,F363,ET$2),Matemáticas!$A:$H,7,FALSE)=BH363,1,0)</f>
        <v>#N/A</v>
      </c>
      <c r="EU363" s="138" t="e">
        <f>IF(VLOOKUP(CONCATENATE(H363,F363,EU$2),Matemáticas!$A:$H,7,FALSE)=BI363,1,0)</f>
        <v>#N/A</v>
      </c>
      <c r="EV363" s="138" t="e">
        <f>IF(VLOOKUP(CONCATENATE(H363,F363,EV$2),Ciencias!$A:$H,7,FALSE)=BJ363,1,0)</f>
        <v>#N/A</v>
      </c>
      <c r="EW363" s="138" t="e">
        <f>IF(VLOOKUP(CONCATENATE(H363,F363,EW$2),Ciencias!$A:$H,7,FALSE)=BK363,1,0)</f>
        <v>#N/A</v>
      </c>
      <c r="EX363" s="138" t="e">
        <f>IF(VLOOKUP(CONCATENATE(H363,F363,EX$2),Ciencias!$A:$H,7,FALSE)=BL363,1,0)</f>
        <v>#N/A</v>
      </c>
      <c r="EY363" s="138" t="e">
        <f>IF(VLOOKUP(CONCATENATE(H363,F363,EY$2),Ciencias!$A:$H,7,FALSE)=BM363,1,0)</f>
        <v>#N/A</v>
      </c>
      <c r="EZ363" s="138" t="e">
        <f>IF(VLOOKUP(CONCATENATE(H363,F363,EZ$2),Ciencias!$A:$H,7,FALSE)=BN363,1,0)</f>
        <v>#N/A</v>
      </c>
      <c r="FA363" s="138" t="e">
        <f>IF(VLOOKUP(CONCATENATE(H363,F363,FA$2),Ciencias!$A:$H,7,FALSE)=BO363,1,0)</f>
        <v>#N/A</v>
      </c>
      <c r="FB363" s="138" t="e">
        <f>IF(VLOOKUP(CONCATENATE(H363,F363,FB$2),Ciencias!$A:$H,7,FALSE)=BP363,1,0)</f>
        <v>#N/A</v>
      </c>
      <c r="FC363" s="138" t="e">
        <f>IF(VLOOKUP(CONCATENATE(H363,F363,FC$2),Ciencias!$A:$H,7,FALSE)=BQ363,1,0)</f>
        <v>#N/A</v>
      </c>
      <c r="FD363" s="138" t="e">
        <f>IF(VLOOKUP(CONCATENATE(H363,F363,FD$2),Ciencias!$A:$H,7,FALSE)=BR363,1,0)</f>
        <v>#N/A</v>
      </c>
      <c r="FE363" s="138" t="e">
        <f>IF(VLOOKUP(CONCATENATE(H363,F363,FE$2),Ciencias!$A:$H,7,FALSE)=BS363,1,0)</f>
        <v>#N/A</v>
      </c>
      <c r="FF363" s="138" t="e">
        <f>IF(VLOOKUP(CONCATENATE(H363,F363,FF$2),Ciencias!$A:$H,7,FALSE)=BT363,1,0)</f>
        <v>#N/A</v>
      </c>
      <c r="FG363" s="138" t="e">
        <f>IF(VLOOKUP(CONCATENATE(H363,F363,FG$2),Ciencias!$A:$H,7,FALSE)=BU363,1,0)</f>
        <v>#N/A</v>
      </c>
      <c r="FH363" s="138" t="e">
        <f>IF(VLOOKUP(CONCATENATE(H363,F363,FH$2),Ciencias!$A:$H,7,FALSE)=BV363,1,0)</f>
        <v>#N/A</v>
      </c>
      <c r="FI363" s="138" t="e">
        <f>IF(VLOOKUP(CONCATENATE(H363,F363,FI$2),Ciencias!$A:$H,7,FALSE)=BW363,1,0)</f>
        <v>#N/A</v>
      </c>
      <c r="FJ363" s="138" t="e">
        <f>IF(VLOOKUP(CONCATENATE(H363,F363,FJ$2),Ciencias!$A:$H,7,FALSE)=BX363,1,0)</f>
        <v>#N/A</v>
      </c>
      <c r="FK363" s="138" t="e">
        <f>IF(VLOOKUP(CONCATENATE(H363,F363,FK$2),Ciencias!$A:$H,7,FALSE)=BY363,1,0)</f>
        <v>#N/A</v>
      </c>
      <c r="FL363" s="138" t="e">
        <f>IF(VLOOKUP(CONCATENATE(H363,F363,FL$2),Ciencias!$A:$H,7,FALSE)=BZ363,1,0)</f>
        <v>#N/A</v>
      </c>
      <c r="FM363" s="138" t="e">
        <f>IF(VLOOKUP(CONCATENATE(H363,F363,FM$2),Ciencias!$A:$H,7,FALSE)=CA363,1,0)</f>
        <v>#N/A</v>
      </c>
      <c r="FN363" s="138" t="e">
        <f>IF(VLOOKUP(CONCATENATE(H363,F363,FN$2),Ciencias!$A:$H,7,FALSE)=CB363,1,0)</f>
        <v>#N/A</v>
      </c>
      <c r="FO363" s="138" t="e">
        <f>IF(VLOOKUP(CONCATENATE(H363,F363,FO$2),Ciencias!$A:$H,7,FALSE)=CC363,1,0)</f>
        <v>#N/A</v>
      </c>
      <c r="FP363" s="138" t="e">
        <f>IF(VLOOKUP(CONCATENATE(H363,F363,FP$2),GeoHis!$A:$H,7,FALSE)=CD363,1,0)</f>
        <v>#N/A</v>
      </c>
      <c r="FQ363" s="138" t="e">
        <f>IF(VLOOKUP(CONCATENATE(H363,F363,FQ$2),GeoHis!$A:$H,7,FALSE)=CE363,1,0)</f>
        <v>#N/A</v>
      </c>
      <c r="FR363" s="138" t="e">
        <f>IF(VLOOKUP(CONCATENATE(H363,F363,FR$2),GeoHis!$A:$H,7,FALSE)=CF363,1,0)</f>
        <v>#N/A</v>
      </c>
      <c r="FS363" s="138" t="e">
        <f>IF(VLOOKUP(CONCATENATE(H363,F363,FS$2),GeoHis!$A:$H,7,FALSE)=CG363,1,0)</f>
        <v>#N/A</v>
      </c>
      <c r="FT363" s="138" t="e">
        <f>IF(VLOOKUP(CONCATENATE(H363,F363,FT$2),GeoHis!$A:$H,7,FALSE)=CH363,1,0)</f>
        <v>#N/A</v>
      </c>
      <c r="FU363" s="138" t="e">
        <f>IF(VLOOKUP(CONCATENATE(H363,F363,FU$2),GeoHis!$A:$H,7,FALSE)=CI363,1,0)</f>
        <v>#N/A</v>
      </c>
      <c r="FV363" s="138" t="e">
        <f>IF(VLOOKUP(CONCATENATE(H363,F363,FV$2),GeoHis!$A:$H,7,FALSE)=CJ363,1,0)</f>
        <v>#N/A</v>
      </c>
      <c r="FW363" s="138" t="e">
        <f>IF(VLOOKUP(CONCATENATE(H363,F363,FW$2),GeoHis!$A:$H,7,FALSE)=CK363,1,0)</f>
        <v>#N/A</v>
      </c>
      <c r="FX363" s="138" t="e">
        <f>IF(VLOOKUP(CONCATENATE(H363,F363,FX$2),GeoHis!$A:$H,7,FALSE)=CL363,1,0)</f>
        <v>#N/A</v>
      </c>
      <c r="FY363" s="138" t="e">
        <f>IF(VLOOKUP(CONCATENATE(H363,F363,FY$2),GeoHis!$A:$H,7,FALSE)=CM363,1,0)</f>
        <v>#N/A</v>
      </c>
      <c r="FZ363" s="138" t="e">
        <f>IF(VLOOKUP(CONCATENATE(H363,F363,FZ$2),GeoHis!$A:$H,7,FALSE)=CN363,1,0)</f>
        <v>#N/A</v>
      </c>
      <c r="GA363" s="138" t="e">
        <f>IF(VLOOKUP(CONCATENATE(H363,F363,GA$2),GeoHis!$A:$H,7,FALSE)=CO363,1,0)</f>
        <v>#N/A</v>
      </c>
      <c r="GB363" s="138" t="e">
        <f>IF(VLOOKUP(CONCATENATE(H363,F363,GB$2),GeoHis!$A:$H,7,FALSE)=CP363,1,0)</f>
        <v>#N/A</v>
      </c>
      <c r="GC363" s="138" t="e">
        <f>IF(VLOOKUP(CONCATENATE(H363,F363,GC$2),GeoHis!$A:$H,7,FALSE)=CQ363,1,0)</f>
        <v>#N/A</v>
      </c>
      <c r="GD363" s="138" t="e">
        <f>IF(VLOOKUP(CONCATENATE(H363,F363,GD$2),GeoHis!$A:$H,7,FALSE)=CR363,1,0)</f>
        <v>#N/A</v>
      </c>
      <c r="GE363" s="135" t="str">
        <f t="shared" si="47"/>
        <v/>
      </c>
    </row>
    <row r="364" spans="1:187" x14ac:dyDescent="0.25">
      <c r="A364" s="127" t="str">
        <f>IF(C364="","",'Datos Generales'!$A$25)</f>
        <v/>
      </c>
      <c r="D364" s="126" t="str">
        <f t="shared" si="40"/>
        <v/>
      </c>
      <c r="E364" s="126">
        <f t="shared" si="41"/>
        <v>0</v>
      </c>
      <c r="F364" s="126" t="str">
        <f t="shared" si="42"/>
        <v/>
      </c>
      <c r="G364" s="126" t="str">
        <f>IF(C364="","",'Datos Generales'!$D$19)</f>
        <v/>
      </c>
      <c r="H364" s="21" t="str">
        <f>IF(C364="","",'Datos Generales'!$A$19)</f>
        <v/>
      </c>
      <c r="I364" s="126" t="str">
        <f>IF(C364="","",'Datos Generales'!$A$7)</f>
        <v/>
      </c>
      <c r="J364" s="21" t="str">
        <f>IF(C364="","",'Datos Generales'!$A$13)</f>
        <v/>
      </c>
      <c r="K364" s="21" t="str">
        <f>IF(C364="","",'Datos Generales'!$A$10)</f>
        <v/>
      </c>
      <c r="CS364" s="142" t="str">
        <f t="shared" si="43"/>
        <v/>
      </c>
      <c r="CT364" s="142" t="str">
        <f t="shared" si="44"/>
        <v/>
      </c>
      <c r="CU364" s="142" t="str">
        <f t="shared" si="45"/>
        <v/>
      </c>
      <c r="CV364" s="142" t="str">
        <f t="shared" si="46"/>
        <v/>
      </c>
      <c r="CW364" s="142" t="str">
        <f>IF(C364="","",IF('Datos Generales'!$A$19=1,AVERAGE(FP364:GD364),AVERAGE(Captura!FP364:FY364)))</f>
        <v/>
      </c>
      <c r="CX364" s="138" t="e">
        <f>IF(VLOOKUP(CONCATENATE($H$4,$F$4,CX$2),Español!$A:$H,7,FALSE)=L364,1,0)</f>
        <v>#N/A</v>
      </c>
      <c r="CY364" s="138" t="e">
        <f>IF(VLOOKUP(CONCATENATE(H364,F364,CY$2),Español!$A:$H,7,FALSE)=M364,1,0)</f>
        <v>#N/A</v>
      </c>
      <c r="CZ364" s="138" t="e">
        <f>IF(VLOOKUP(CONCATENATE(H364,F364,CZ$2),Español!$A:$H,7,FALSE)=N364,1,0)</f>
        <v>#N/A</v>
      </c>
      <c r="DA364" s="138" t="e">
        <f>IF(VLOOKUP(CONCATENATE(H364,F364,DA$2),Español!$A:$H,7,FALSE)=O364,1,0)</f>
        <v>#N/A</v>
      </c>
      <c r="DB364" s="138" t="e">
        <f>IF(VLOOKUP(CONCATENATE(H364,F364,DB$2),Español!$A:$H,7,FALSE)=P364,1,0)</f>
        <v>#N/A</v>
      </c>
      <c r="DC364" s="138" t="e">
        <f>IF(VLOOKUP(CONCATENATE(H364,F364,DC$2),Español!$A:$H,7,FALSE)=Q364,1,0)</f>
        <v>#N/A</v>
      </c>
      <c r="DD364" s="138" t="e">
        <f>IF(VLOOKUP(CONCATENATE(H364,F364,DD$2),Español!$A:$H,7,FALSE)=R364,1,0)</f>
        <v>#N/A</v>
      </c>
      <c r="DE364" s="138" t="e">
        <f>IF(VLOOKUP(CONCATENATE(H364,F364,DE$2),Español!$A:$H,7,FALSE)=S364,1,0)</f>
        <v>#N/A</v>
      </c>
      <c r="DF364" s="138" t="e">
        <f>IF(VLOOKUP(CONCATENATE(H364,F364,DF$2),Español!$A:$H,7,FALSE)=T364,1,0)</f>
        <v>#N/A</v>
      </c>
      <c r="DG364" s="138" t="e">
        <f>IF(VLOOKUP(CONCATENATE(H364,F364,DG$2),Español!$A:$H,7,FALSE)=U364,1,0)</f>
        <v>#N/A</v>
      </c>
      <c r="DH364" s="138" t="e">
        <f>IF(VLOOKUP(CONCATENATE(H364,F364,DH$2),Español!$A:$H,7,FALSE)=V364,1,0)</f>
        <v>#N/A</v>
      </c>
      <c r="DI364" s="138" t="e">
        <f>IF(VLOOKUP(CONCATENATE(H364,F364,DI$2),Español!$A:$H,7,FALSE)=W364,1,0)</f>
        <v>#N/A</v>
      </c>
      <c r="DJ364" s="138" t="e">
        <f>IF(VLOOKUP(CONCATENATE(H364,F364,DJ$2),Español!$A:$H,7,FALSE)=X364,1,0)</f>
        <v>#N/A</v>
      </c>
      <c r="DK364" s="138" t="e">
        <f>IF(VLOOKUP(CONCATENATE(H364,F364,DK$2),Español!$A:$H,7,FALSE)=Y364,1,0)</f>
        <v>#N/A</v>
      </c>
      <c r="DL364" s="138" t="e">
        <f>IF(VLOOKUP(CONCATENATE(H364,F364,DL$2),Español!$A:$H,7,FALSE)=Z364,1,0)</f>
        <v>#N/A</v>
      </c>
      <c r="DM364" s="138" t="e">
        <f>IF(VLOOKUP(CONCATENATE(H364,F364,DM$2),Español!$A:$H,7,FALSE)=AA364,1,0)</f>
        <v>#N/A</v>
      </c>
      <c r="DN364" s="138" t="e">
        <f>IF(VLOOKUP(CONCATENATE(H364,F364,DN$2),Español!$A:$H,7,FALSE)=AB364,1,0)</f>
        <v>#N/A</v>
      </c>
      <c r="DO364" s="138" t="e">
        <f>IF(VLOOKUP(CONCATENATE(H364,F364,DO$2),Español!$A:$H,7,FALSE)=AC364,1,0)</f>
        <v>#N/A</v>
      </c>
      <c r="DP364" s="138" t="e">
        <f>IF(VLOOKUP(CONCATENATE(H364,F364,DP$2),Español!$A:$H,7,FALSE)=AD364,1,0)</f>
        <v>#N/A</v>
      </c>
      <c r="DQ364" s="138" t="e">
        <f>IF(VLOOKUP(CONCATENATE(H364,F364,DQ$2),Español!$A:$H,7,FALSE)=AE364,1,0)</f>
        <v>#N/A</v>
      </c>
      <c r="DR364" s="138" t="e">
        <f>IF(VLOOKUP(CONCATENATE(H364,F364,DR$2),Inglés!$A:$H,7,FALSE)=AF364,1,0)</f>
        <v>#N/A</v>
      </c>
      <c r="DS364" s="138" t="e">
        <f>IF(VLOOKUP(CONCATENATE(H364,F364,DS$2),Inglés!$A:$H,7,FALSE)=AG364,1,0)</f>
        <v>#N/A</v>
      </c>
      <c r="DT364" s="138" t="e">
        <f>IF(VLOOKUP(CONCATENATE(H364,F364,DT$2),Inglés!$A:$H,7,FALSE)=AH364,1,0)</f>
        <v>#N/A</v>
      </c>
      <c r="DU364" s="138" t="e">
        <f>IF(VLOOKUP(CONCATENATE(H364,F364,DU$2),Inglés!$A:$H,7,FALSE)=AI364,1,0)</f>
        <v>#N/A</v>
      </c>
      <c r="DV364" s="138" t="e">
        <f>IF(VLOOKUP(CONCATENATE(H364,F364,DV$2),Inglés!$A:$H,7,FALSE)=AJ364,1,0)</f>
        <v>#N/A</v>
      </c>
      <c r="DW364" s="138" t="e">
        <f>IF(VLOOKUP(CONCATENATE(H364,F364,DW$2),Inglés!$A:$H,7,FALSE)=AK364,1,0)</f>
        <v>#N/A</v>
      </c>
      <c r="DX364" s="138" t="e">
        <f>IF(VLOOKUP(CONCATENATE(H364,F364,DX$2),Inglés!$A:$H,7,FALSE)=AL364,1,0)</f>
        <v>#N/A</v>
      </c>
      <c r="DY364" s="138" t="e">
        <f>IF(VLOOKUP(CONCATENATE(H364,F364,DY$2),Inglés!$A:$H,7,FALSE)=AM364,1,0)</f>
        <v>#N/A</v>
      </c>
      <c r="DZ364" s="138" t="e">
        <f>IF(VLOOKUP(CONCATENATE(H364,F364,DZ$2),Inglés!$A:$H,7,FALSE)=AN364,1,0)</f>
        <v>#N/A</v>
      </c>
      <c r="EA364" s="138" t="e">
        <f>IF(VLOOKUP(CONCATENATE(H364,F364,EA$2),Inglés!$A:$H,7,FALSE)=AO364,1,0)</f>
        <v>#N/A</v>
      </c>
      <c r="EB364" s="138" t="e">
        <f>IF(VLOOKUP(CONCATENATE(H364,F364,EB$2),Matemáticas!$A:$H,7,FALSE)=AP364,1,0)</f>
        <v>#N/A</v>
      </c>
      <c r="EC364" s="138" t="e">
        <f>IF(VLOOKUP(CONCATENATE(H364,F364,EC$2),Matemáticas!$A:$H,7,FALSE)=AQ364,1,0)</f>
        <v>#N/A</v>
      </c>
      <c r="ED364" s="138" t="e">
        <f>IF(VLOOKUP(CONCATENATE(H364,F364,ED$2),Matemáticas!$A:$H,7,FALSE)=AR364,1,0)</f>
        <v>#N/A</v>
      </c>
      <c r="EE364" s="138" t="e">
        <f>IF(VLOOKUP(CONCATENATE(H364,F364,EE$2),Matemáticas!$A:$H,7,FALSE)=AS364,1,0)</f>
        <v>#N/A</v>
      </c>
      <c r="EF364" s="138" t="e">
        <f>IF(VLOOKUP(CONCATENATE(H364,F364,EF$2),Matemáticas!$A:$H,7,FALSE)=AT364,1,0)</f>
        <v>#N/A</v>
      </c>
      <c r="EG364" s="138" t="e">
        <f>IF(VLOOKUP(CONCATENATE(H364,F364,EG$2),Matemáticas!$A:$H,7,FALSE)=AU364,1,0)</f>
        <v>#N/A</v>
      </c>
      <c r="EH364" s="138" t="e">
        <f>IF(VLOOKUP(CONCATENATE(H364,F364,EH$2),Matemáticas!$A:$H,7,FALSE)=AV364,1,0)</f>
        <v>#N/A</v>
      </c>
      <c r="EI364" s="138" t="e">
        <f>IF(VLOOKUP(CONCATENATE(H364,F364,EI$2),Matemáticas!$A:$H,7,FALSE)=AW364,1,0)</f>
        <v>#N/A</v>
      </c>
      <c r="EJ364" s="138" t="e">
        <f>IF(VLOOKUP(CONCATENATE(H364,F364,EJ$2),Matemáticas!$A:$H,7,FALSE)=AX364,1,0)</f>
        <v>#N/A</v>
      </c>
      <c r="EK364" s="138" t="e">
        <f>IF(VLOOKUP(CONCATENATE(H364,F364,EK$2),Matemáticas!$A:$H,7,FALSE)=AY364,1,0)</f>
        <v>#N/A</v>
      </c>
      <c r="EL364" s="138" t="e">
        <f>IF(VLOOKUP(CONCATENATE(H364,F364,EL$2),Matemáticas!$A:$H,7,FALSE)=AZ364,1,0)</f>
        <v>#N/A</v>
      </c>
      <c r="EM364" s="138" t="e">
        <f>IF(VLOOKUP(CONCATENATE(H364,F364,EM$2),Matemáticas!$A:$H,7,FALSE)=BA364,1,0)</f>
        <v>#N/A</v>
      </c>
      <c r="EN364" s="138" t="e">
        <f>IF(VLOOKUP(CONCATENATE(H364,F364,EN$2),Matemáticas!$A:$H,7,FALSE)=BB364,1,0)</f>
        <v>#N/A</v>
      </c>
      <c r="EO364" s="138" t="e">
        <f>IF(VLOOKUP(CONCATENATE(H364,F364,EO$2),Matemáticas!$A:$H,7,FALSE)=BC364,1,0)</f>
        <v>#N/A</v>
      </c>
      <c r="EP364" s="138" t="e">
        <f>IF(VLOOKUP(CONCATENATE(H364,F364,EP$2),Matemáticas!$A:$H,7,FALSE)=BD364,1,0)</f>
        <v>#N/A</v>
      </c>
      <c r="EQ364" s="138" t="e">
        <f>IF(VLOOKUP(CONCATENATE(H364,F364,EQ$2),Matemáticas!$A:$H,7,FALSE)=BE364,1,0)</f>
        <v>#N/A</v>
      </c>
      <c r="ER364" s="138" t="e">
        <f>IF(VLOOKUP(CONCATENATE(H364,F364,ER$2),Matemáticas!$A:$H,7,FALSE)=BF364,1,0)</f>
        <v>#N/A</v>
      </c>
      <c r="ES364" s="138" t="e">
        <f>IF(VLOOKUP(CONCATENATE(H364,F364,ES$2),Matemáticas!$A:$H,7,FALSE)=BG364,1,0)</f>
        <v>#N/A</v>
      </c>
      <c r="ET364" s="138" t="e">
        <f>IF(VLOOKUP(CONCATENATE(H364,F364,ET$2),Matemáticas!$A:$H,7,FALSE)=BH364,1,0)</f>
        <v>#N/A</v>
      </c>
      <c r="EU364" s="138" t="e">
        <f>IF(VLOOKUP(CONCATENATE(H364,F364,EU$2),Matemáticas!$A:$H,7,FALSE)=BI364,1,0)</f>
        <v>#N/A</v>
      </c>
      <c r="EV364" s="138" t="e">
        <f>IF(VLOOKUP(CONCATENATE(H364,F364,EV$2),Ciencias!$A:$H,7,FALSE)=BJ364,1,0)</f>
        <v>#N/A</v>
      </c>
      <c r="EW364" s="138" t="e">
        <f>IF(VLOOKUP(CONCATENATE(H364,F364,EW$2),Ciencias!$A:$H,7,FALSE)=BK364,1,0)</f>
        <v>#N/A</v>
      </c>
      <c r="EX364" s="138" t="e">
        <f>IF(VLOOKUP(CONCATENATE(H364,F364,EX$2),Ciencias!$A:$H,7,FALSE)=BL364,1,0)</f>
        <v>#N/A</v>
      </c>
      <c r="EY364" s="138" t="e">
        <f>IF(VLOOKUP(CONCATENATE(H364,F364,EY$2),Ciencias!$A:$H,7,FALSE)=BM364,1,0)</f>
        <v>#N/A</v>
      </c>
      <c r="EZ364" s="138" t="e">
        <f>IF(VLOOKUP(CONCATENATE(H364,F364,EZ$2),Ciencias!$A:$H,7,FALSE)=BN364,1,0)</f>
        <v>#N/A</v>
      </c>
      <c r="FA364" s="138" t="e">
        <f>IF(VLOOKUP(CONCATENATE(H364,F364,FA$2),Ciencias!$A:$H,7,FALSE)=BO364,1,0)</f>
        <v>#N/A</v>
      </c>
      <c r="FB364" s="138" t="e">
        <f>IF(VLOOKUP(CONCATENATE(H364,F364,FB$2),Ciencias!$A:$H,7,FALSE)=BP364,1,0)</f>
        <v>#N/A</v>
      </c>
      <c r="FC364" s="138" t="e">
        <f>IF(VLOOKUP(CONCATENATE(H364,F364,FC$2),Ciencias!$A:$H,7,FALSE)=BQ364,1,0)</f>
        <v>#N/A</v>
      </c>
      <c r="FD364" s="138" t="e">
        <f>IF(VLOOKUP(CONCATENATE(H364,F364,FD$2),Ciencias!$A:$H,7,FALSE)=BR364,1,0)</f>
        <v>#N/A</v>
      </c>
      <c r="FE364" s="138" t="e">
        <f>IF(VLOOKUP(CONCATENATE(H364,F364,FE$2),Ciencias!$A:$H,7,FALSE)=BS364,1,0)</f>
        <v>#N/A</v>
      </c>
      <c r="FF364" s="138" t="e">
        <f>IF(VLOOKUP(CONCATENATE(H364,F364,FF$2),Ciencias!$A:$H,7,FALSE)=BT364,1,0)</f>
        <v>#N/A</v>
      </c>
      <c r="FG364" s="138" t="e">
        <f>IF(VLOOKUP(CONCATENATE(H364,F364,FG$2),Ciencias!$A:$H,7,FALSE)=BU364,1,0)</f>
        <v>#N/A</v>
      </c>
      <c r="FH364" s="138" t="e">
        <f>IF(VLOOKUP(CONCATENATE(H364,F364,FH$2),Ciencias!$A:$H,7,FALSE)=BV364,1,0)</f>
        <v>#N/A</v>
      </c>
      <c r="FI364" s="138" t="e">
        <f>IF(VLOOKUP(CONCATENATE(H364,F364,FI$2),Ciencias!$A:$H,7,FALSE)=BW364,1,0)</f>
        <v>#N/A</v>
      </c>
      <c r="FJ364" s="138" t="e">
        <f>IF(VLOOKUP(CONCATENATE(H364,F364,FJ$2),Ciencias!$A:$H,7,FALSE)=BX364,1,0)</f>
        <v>#N/A</v>
      </c>
      <c r="FK364" s="138" t="e">
        <f>IF(VLOOKUP(CONCATENATE(H364,F364,FK$2),Ciencias!$A:$H,7,FALSE)=BY364,1,0)</f>
        <v>#N/A</v>
      </c>
      <c r="FL364" s="138" t="e">
        <f>IF(VLOOKUP(CONCATENATE(H364,F364,FL$2),Ciencias!$A:$H,7,FALSE)=BZ364,1,0)</f>
        <v>#N/A</v>
      </c>
      <c r="FM364" s="138" t="e">
        <f>IF(VLOOKUP(CONCATENATE(H364,F364,FM$2),Ciencias!$A:$H,7,FALSE)=CA364,1,0)</f>
        <v>#N/A</v>
      </c>
      <c r="FN364" s="138" t="e">
        <f>IF(VLOOKUP(CONCATENATE(H364,F364,FN$2),Ciencias!$A:$H,7,FALSE)=CB364,1,0)</f>
        <v>#N/A</v>
      </c>
      <c r="FO364" s="138" t="e">
        <f>IF(VLOOKUP(CONCATENATE(H364,F364,FO$2),Ciencias!$A:$H,7,FALSE)=CC364,1,0)</f>
        <v>#N/A</v>
      </c>
      <c r="FP364" s="138" t="e">
        <f>IF(VLOOKUP(CONCATENATE(H364,F364,FP$2),GeoHis!$A:$H,7,FALSE)=CD364,1,0)</f>
        <v>#N/A</v>
      </c>
      <c r="FQ364" s="138" t="e">
        <f>IF(VLOOKUP(CONCATENATE(H364,F364,FQ$2),GeoHis!$A:$H,7,FALSE)=CE364,1,0)</f>
        <v>#N/A</v>
      </c>
      <c r="FR364" s="138" t="e">
        <f>IF(VLOOKUP(CONCATENATE(H364,F364,FR$2),GeoHis!$A:$H,7,FALSE)=CF364,1,0)</f>
        <v>#N/A</v>
      </c>
      <c r="FS364" s="138" t="e">
        <f>IF(VLOOKUP(CONCATENATE(H364,F364,FS$2),GeoHis!$A:$H,7,FALSE)=CG364,1,0)</f>
        <v>#N/A</v>
      </c>
      <c r="FT364" s="138" t="e">
        <f>IF(VLOOKUP(CONCATENATE(H364,F364,FT$2),GeoHis!$A:$H,7,FALSE)=CH364,1,0)</f>
        <v>#N/A</v>
      </c>
      <c r="FU364" s="138" t="e">
        <f>IF(VLOOKUP(CONCATENATE(H364,F364,FU$2),GeoHis!$A:$H,7,FALSE)=CI364,1,0)</f>
        <v>#N/A</v>
      </c>
      <c r="FV364" s="138" t="e">
        <f>IF(VLOOKUP(CONCATENATE(H364,F364,FV$2),GeoHis!$A:$H,7,FALSE)=CJ364,1,0)</f>
        <v>#N/A</v>
      </c>
      <c r="FW364" s="138" t="e">
        <f>IF(VLOOKUP(CONCATENATE(H364,F364,FW$2),GeoHis!$A:$H,7,FALSE)=CK364,1,0)</f>
        <v>#N/A</v>
      </c>
      <c r="FX364" s="138" t="e">
        <f>IF(VLOOKUP(CONCATENATE(H364,F364,FX$2),GeoHis!$A:$H,7,FALSE)=CL364,1,0)</f>
        <v>#N/A</v>
      </c>
      <c r="FY364" s="138" t="e">
        <f>IF(VLOOKUP(CONCATENATE(H364,F364,FY$2),GeoHis!$A:$H,7,FALSE)=CM364,1,0)</f>
        <v>#N/A</v>
      </c>
      <c r="FZ364" s="138" t="e">
        <f>IF(VLOOKUP(CONCATENATE(H364,F364,FZ$2),GeoHis!$A:$H,7,FALSE)=CN364,1,0)</f>
        <v>#N/A</v>
      </c>
      <c r="GA364" s="138" t="e">
        <f>IF(VLOOKUP(CONCATENATE(H364,F364,GA$2),GeoHis!$A:$H,7,FALSE)=CO364,1,0)</f>
        <v>#N/A</v>
      </c>
      <c r="GB364" s="138" t="e">
        <f>IF(VLOOKUP(CONCATENATE(H364,F364,GB$2),GeoHis!$A:$H,7,FALSE)=CP364,1,0)</f>
        <v>#N/A</v>
      </c>
      <c r="GC364" s="138" t="e">
        <f>IF(VLOOKUP(CONCATENATE(H364,F364,GC$2),GeoHis!$A:$H,7,FALSE)=CQ364,1,0)</f>
        <v>#N/A</v>
      </c>
      <c r="GD364" s="138" t="e">
        <f>IF(VLOOKUP(CONCATENATE(H364,F364,GD$2),GeoHis!$A:$H,7,FALSE)=CR364,1,0)</f>
        <v>#N/A</v>
      </c>
      <c r="GE364" s="135" t="str">
        <f t="shared" si="47"/>
        <v/>
      </c>
    </row>
    <row r="365" spans="1:187" x14ac:dyDescent="0.25">
      <c r="A365" s="127" t="str">
        <f>IF(C365="","",'Datos Generales'!$A$25)</f>
        <v/>
      </c>
      <c r="D365" s="126" t="str">
        <f t="shared" si="40"/>
        <v/>
      </c>
      <c r="E365" s="126">
        <f t="shared" si="41"/>
        <v>0</v>
      </c>
      <c r="F365" s="126" t="str">
        <f t="shared" si="42"/>
        <v/>
      </c>
      <c r="G365" s="126" t="str">
        <f>IF(C365="","",'Datos Generales'!$D$19)</f>
        <v/>
      </c>
      <c r="H365" s="21" t="str">
        <f>IF(C365="","",'Datos Generales'!$A$19)</f>
        <v/>
      </c>
      <c r="I365" s="126" t="str">
        <f>IF(C365="","",'Datos Generales'!$A$7)</f>
        <v/>
      </c>
      <c r="J365" s="21" t="str">
        <f>IF(C365="","",'Datos Generales'!$A$13)</f>
        <v/>
      </c>
      <c r="K365" s="21" t="str">
        <f>IF(C365="","",'Datos Generales'!$A$10)</f>
        <v/>
      </c>
      <c r="CS365" s="142" t="str">
        <f t="shared" si="43"/>
        <v/>
      </c>
      <c r="CT365" s="142" t="str">
        <f t="shared" si="44"/>
        <v/>
      </c>
      <c r="CU365" s="142" t="str">
        <f t="shared" si="45"/>
        <v/>
      </c>
      <c r="CV365" s="142" t="str">
        <f t="shared" si="46"/>
        <v/>
      </c>
      <c r="CW365" s="142" t="str">
        <f>IF(C365="","",IF('Datos Generales'!$A$19=1,AVERAGE(FP365:GD365),AVERAGE(Captura!FP365:FY365)))</f>
        <v/>
      </c>
      <c r="CX365" s="138" t="e">
        <f>IF(VLOOKUP(CONCATENATE($H$4,$F$4,CX$2),Español!$A:$H,7,FALSE)=L365,1,0)</f>
        <v>#N/A</v>
      </c>
      <c r="CY365" s="138" t="e">
        <f>IF(VLOOKUP(CONCATENATE(H365,F365,CY$2),Español!$A:$H,7,FALSE)=M365,1,0)</f>
        <v>#N/A</v>
      </c>
      <c r="CZ365" s="138" t="e">
        <f>IF(VLOOKUP(CONCATENATE(H365,F365,CZ$2),Español!$A:$H,7,FALSE)=N365,1,0)</f>
        <v>#N/A</v>
      </c>
      <c r="DA365" s="138" t="e">
        <f>IF(VLOOKUP(CONCATENATE(H365,F365,DA$2),Español!$A:$H,7,FALSE)=O365,1,0)</f>
        <v>#N/A</v>
      </c>
      <c r="DB365" s="138" t="e">
        <f>IF(VLOOKUP(CONCATENATE(H365,F365,DB$2),Español!$A:$H,7,FALSE)=P365,1,0)</f>
        <v>#N/A</v>
      </c>
      <c r="DC365" s="138" t="e">
        <f>IF(VLOOKUP(CONCATENATE(H365,F365,DC$2),Español!$A:$H,7,FALSE)=Q365,1,0)</f>
        <v>#N/A</v>
      </c>
      <c r="DD365" s="138" t="e">
        <f>IF(VLOOKUP(CONCATENATE(H365,F365,DD$2),Español!$A:$H,7,FALSE)=R365,1,0)</f>
        <v>#N/A</v>
      </c>
      <c r="DE365" s="138" t="e">
        <f>IF(VLOOKUP(CONCATENATE(H365,F365,DE$2),Español!$A:$H,7,FALSE)=S365,1,0)</f>
        <v>#N/A</v>
      </c>
      <c r="DF365" s="138" t="e">
        <f>IF(VLOOKUP(CONCATENATE(H365,F365,DF$2),Español!$A:$H,7,FALSE)=T365,1,0)</f>
        <v>#N/A</v>
      </c>
      <c r="DG365" s="138" t="e">
        <f>IF(VLOOKUP(CONCATENATE(H365,F365,DG$2),Español!$A:$H,7,FALSE)=U365,1,0)</f>
        <v>#N/A</v>
      </c>
      <c r="DH365" s="138" t="e">
        <f>IF(VLOOKUP(CONCATENATE(H365,F365,DH$2),Español!$A:$H,7,FALSE)=V365,1,0)</f>
        <v>#N/A</v>
      </c>
      <c r="DI365" s="138" t="e">
        <f>IF(VLOOKUP(CONCATENATE(H365,F365,DI$2),Español!$A:$H,7,FALSE)=W365,1,0)</f>
        <v>#N/A</v>
      </c>
      <c r="DJ365" s="138" t="e">
        <f>IF(VLOOKUP(CONCATENATE(H365,F365,DJ$2),Español!$A:$H,7,FALSE)=X365,1,0)</f>
        <v>#N/A</v>
      </c>
      <c r="DK365" s="138" t="e">
        <f>IF(VLOOKUP(CONCATENATE(H365,F365,DK$2),Español!$A:$H,7,FALSE)=Y365,1,0)</f>
        <v>#N/A</v>
      </c>
      <c r="DL365" s="138" t="e">
        <f>IF(VLOOKUP(CONCATENATE(H365,F365,DL$2),Español!$A:$H,7,FALSE)=Z365,1,0)</f>
        <v>#N/A</v>
      </c>
      <c r="DM365" s="138" t="e">
        <f>IF(VLOOKUP(CONCATENATE(H365,F365,DM$2),Español!$A:$H,7,FALSE)=AA365,1,0)</f>
        <v>#N/A</v>
      </c>
      <c r="DN365" s="138" t="e">
        <f>IF(VLOOKUP(CONCATENATE(H365,F365,DN$2),Español!$A:$H,7,FALSE)=AB365,1,0)</f>
        <v>#N/A</v>
      </c>
      <c r="DO365" s="138" t="e">
        <f>IF(VLOOKUP(CONCATENATE(H365,F365,DO$2),Español!$A:$H,7,FALSE)=AC365,1,0)</f>
        <v>#N/A</v>
      </c>
      <c r="DP365" s="138" t="e">
        <f>IF(VLOOKUP(CONCATENATE(H365,F365,DP$2),Español!$A:$H,7,FALSE)=AD365,1,0)</f>
        <v>#N/A</v>
      </c>
      <c r="DQ365" s="138" t="e">
        <f>IF(VLOOKUP(CONCATENATE(H365,F365,DQ$2),Español!$A:$H,7,FALSE)=AE365,1,0)</f>
        <v>#N/A</v>
      </c>
      <c r="DR365" s="138" t="e">
        <f>IF(VLOOKUP(CONCATENATE(H365,F365,DR$2),Inglés!$A:$H,7,FALSE)=AF365,1,0)</f>
        <v>#N/A</v>
      </c>
      <c r="DS365" s="138" t="e">
        <f>IF(VLOOKUP(CONCATENATE(H365,F365,DS$2),Inglés!$A:$H,7,FALSE)=AG365,1,0)</f>
        <v>#N/A</v>
      </c>
      <c r="DT365" s="138" t="e">
        <f>IF(VLOOKUP(CONCATENATE(H365,F365,DT$2),Inglés!$A:$H,7,FALSE)=AH365,1,0)</f>
        <v>#N/A</v>
      </c>
      <c r="DU365" s="138" t="e">
        <f>IF(VLOOKUP(CONCATENATE(H365,F365,DU$2),Inglés!$A:$H,7,FALSE)=AI365,1,0)</f>
        <v>#N/A</v>
      </c>
      <c r="DV365" s="138" t="e">
        <f>IF(VLOOKUP(CONCATENATE(H365,F365,DV$2),Inglés!$A:$H,7,FALSE)=AJ365,1,0)</f>
        <v>#N/A</v>
      </c>
      <c r="DW365" s="138" t="e">
        <f>IF(VLOOKUP(CONCATENATE(H365,F365,DW$2),Inglés!$A:$H,7,FALSE)=AK365,1,0)</f>
        <v>#N/A</v>
      </c>
      <c r="DX365" s="138" t="e">
        <f>IF(VLOOKUP(CONCATENATE(H365,F365,DX$2),Inglés!$A:$H,7,FALSE)=AL365,1,0)</f>
        <v>#N/A</v>
      </c>
      <c r="DY365" s="138" t="e">
        <f>IF(VLOOKUP(CONCATENATE(H365,F365,DY$2),Inglés!$A:$H,7,FALSE)=AM365,1,0)</f>
        <v>#N/A</v>
      </c>
      <c r="DZ365" s="138" t="e">
        <f>IF(VLOOKUP(CONCATENATE(H365,F365,DZ$2),Inglés!$A:$H,7,FALSE)=AN365,1,0)</f>
        <v>#N/A</v>
      </c>
      <c r="EA365" s="138" t="e">
        <f>IF(VLOOKUP(CONCATENATE(H365,F365,EA$2),Inglés!$A:$H,7,FALSE)=AO365,1,0)</f>
        <v>#N/A</v>
      </c>
      <c r="EB365" s="138" t="e">
        <f>IF(VLOOKUP(CONCATENATE(H365,F365,EB$2),Matemáticas!$A:$H,7,FALSE)=AP365,1,0)</f>
        <v>#N/A</v>
      </c>
      <c r="EC365" s="138" t="e">
        <f>IF(VLOOKUP(CONCATENATE(H365,F365,EC$2),Matemáticas!$A:$H,7,FALSE)=AQ365,1,0)</f>
        <v>#N/A</v>
      </c>
      <c r="ED365" s="138" t="e">
        <f>IF(VLOOKUP(CONCATENATE(H365,F365,ED$2),Matemáticas!$A:$H,7,FALSE)=AR365,1,0)</f>
        <v>#N/A</v>
      </c>
      <c r="EE365" s="138" t="e">
        <f>IF(VLOOKUP(CONCATENATE(H365,F365,EE$2),Matemáticas!$A:$H,7,FALSE)=AS365,1,0)</f>
        <v>#N/A</v>
      </c>
      <c r="EF365" s="138" t="e">
        <f>IF(VLOOKUP(CONCATENATE(H365,F365,EF$2),Matemáticas!$A:$H,7,FALSE)=AT365,1,0)</f>
        <v>#N/A</v>
      </c>
      <c r="EG365" s="138" t="e">
        <f>IF(VLOOKUP(CONCATENATE(H365,F365,EG$2),Matemáticas!$A:$H,7,FALSE)=AU365,1,0)</f>
        <v>#N/A</v>
      </c>
      <c r="EH365" s="138" t="e">
        <f>IF(VLOOKUP(CONCATENATE(H365,F365,EH$2),Matemáticas!$A:$H,7,FALSE)=AV365,1,0)</f>
        <v>#N/A</v>
      </c>
      <c r="EI365" s="138" t="e">
        <f>IF(VLOOKUP(CONCATENATE(H365,F365,EI$2),Matemáticas!$A:$H,7,FALSE)=AW365,1,0)</f>
        <v>#N/A</v>
      </c>
      <c r="EJ365" s="138" t="e">
        <f>IF(VLOOKUP(CONCATENATE(H365,F365,EJ$2),Matemáticas!$A:$H,7,FALSE)=AX365,1,0)</f>
        <v>#N/A</v>
      </c>
      <c r="EK365" s="138" t="e">
        <f>IF(VLOOKUP(CONCATENATE(H365,F365,EK$2),Matemáticas!$A:$H,7,FALSE)=AY365,1,0)</f>
        <v>#N/A</v>
      </c>
      <c r="EL365" s="138" t="e">
        <f>IF(VLOOKUP(CONCATENATE(H365,F365,EL$2),Matemáticas!$A:$H,7,FALSE)=AZ365,1,0)</f>
        <v>#N/A</v>
      </c>
      <c r="EM365" s="138" t="e">
        <f>IF(VLOOKUP(CONCATENATE(H365,F365,EM$2),Matemáticas!$A:$H,7,FALSE)=BA365,1,0)</f>
        <v>#N/A</v>
      </c>
      <c r="EN365" s="138" t="e">
        <f>IF(VLOOKUP(CONCATENATE(H365,F365,EN$2),Matemáticas!$A:$H,7,FALSE)=BB365,1,0)</f>
        <v>#N/A</v>
      </c>
      <c r="EO365" s="138" t="e">
        <f>IF(VLOOKUP(CONCATENATE(H365,F365,EO$2),Matemáticas!$A:$H,7,FALSE)=BC365,1,0)</f>
        <v>#N/A</v>
      </c>
      <c r="EP365" s="138" t="e">
        <f>IF(VLOOKUP(CONCATENATE(H365,F365,EP$2),Matemáticas!$A:$H,7,FALSE)=BD365,1,0)</f>
        <v>#N/A</v>
      </c>
      <c r="EQ365" s="138" t="e">
        <f>IF(VLOOKUP(CONCATENATE(H365,F365,EQ$2),Matemáticas!$A:$H,7,FALSE)=BE365,1,0)</f>
        <v>#N/A</v>
      </c>
      <c r="ER365" s="138" t="e">
        <f>IF(VLOOKUP(CONCATENATE(H365,F365,ER$2),Matemáticas!$A:$H,7,FALSE)=BF365,1,0)</f>
        <v>#N/A</v>
      </c>
      <c r="ES365" s="138" t="e">
        <f>IF(VLOOKUP(CONCATENATE(H365,F365,ES$2),Matemáticas!$A:$H,7,FALSE)=BG365,1,0)</f>
        <v>#N/A</v>
      </c>
      <c r="ET365" s="138" t="e">
        <f>IF(VLOOKUP(CONCATENATE(H365,F365,ET$2),Matemáticas!$A:$H,7,FALSE)=BH365,1,0)</f>
        <v>#N/A</v>
      </c>
      <c r="EU365" s="138" t="e">
        <f>IF(VLOOKUP(CONCATENATE(H365,F365,EU$2),Matemáticas!$A:$H,7,FALSE)=BI365,1,0)</f>
        <v>#N/A</v>
      </c>
      <c r="EV365" s="138" t="e">
        <f>IF(VLOOKUP(CONCATENATE(H365,F365,EV$2),Ciencias!$A:$H,7,FALSE)=BJ365,1,0)</f>
        <v>#N/A</v>
      </c>
      <c r="EW365" s="138" t="e">
        <f>IF(VLOOKUP(CONCATENATE(H365,F365,EW$2),Ciencias!$A:$H,7,FALSE)=BK365,1,0)</f>
        <v>#N/A</v>
      </c>
      <c r="EX365" s="138" t="e">
        <f>IF(VLOOKUP(CONCATENATE(H365,F365,EX$2),Ciencias!$A:$H,7,FALSE)=BL365,1,0)</f>
        <v>#N/A</v>
      </c>
      <c r="EY365" s="138" t="e">
        <f>IF(VLOOKUP(CONCATENATE(H365,F365,EY$2),Ciencias!$A:$H,7,FALSE)=BM365,1,0)</f>
        <v>#N/A</v>
      </c>
      <c r="EZ365" s="138" t="e">
        <f>IF(VLOOKUP(CONCATENATE(H365,F365,EZ$2),Ciencias!$A:$H,7,FALSE)=BN365,1,0)</f>
        <v>#N/A</v>
      </c>
      <c r="FA365" s="138" t="e">
        <f>IF(VLOOKUP(CONCATENATE(H365,F365,FA$2),Ciencias!$A:$H,7,FALSE)=BO365,1,0)</f>
        <v>#N/A</v>
      </c>
      <c r="FB365" s="138" t="e">
        <f>IF(VLOOKUP(CONCATENATE(H365,F365,FB$2),Ciencias!$A:$H,7,FALSE)=BP365,1,0)</f>
        <v>#N/A</v>
      </c>
      <c r="FC365" s="138" t="e">
        <f>IF(VLOOKUP(CONCATENATE(H365,F365,FC$2),Ciencias!$A:$H,7,FALSE)=BQ365,1,0)</f>
        <v>#N/A</v>
      </c>
      <c r="FD365" s="138" t="e">
        <f>IF(VLOOKUP(CONCATENATE(H365,F365,FD$2),Ciencias!$A:$H,7,FALSE)=BR365,1,0)</f>
        <v>#N/A</v>
      </c>
      <c r="FE365" s="138" t="e">
        <f>IF(VLOOKUP(CONCATENATE(H365,F365,FE$2),Ciencias!$A:$H,7,FALSE)=BS365,1,0)</f>
        <v>#N/A</v>
      </c>
      <c r="FF365" s="138" t="e">
        <f>IF(VLOOKUP(CONCATENATE(H365,F365,FF$2),Ciencias!$A:$H,7,FALSE)=BT365,1,0)</f>
        <v>#N/A</v>
      </c>
      <c r="FG365" s="138" t="e">
        <f>IF(VLOOKUP(CONCATENATE(H365,F365,FG$2),Ciencias!$A:$H,7,FALSE)=BU365,1,0)</f>
        <v>#N/A</v>
      </c>
      <c r="FH365" s="138" t="e">
        <f>IF(VLOOKUP(CONCATENATE(H365,F365,FH$2),Ciencias!$A:$H,7,FALSE)=BV365,1,0)</f>
        <v>#N/A</v>
      </c>
      <c r="FI365" s="138" t="e">
        <f>IF(VLOOKUP(CONCATENATE(H365,F365,FI$2),Ciencias!$A:$H,7,FALSE)=BW365,1,0)</f>
        <v>#N/A</v>
      </c>
      <c r="FJ365" s="138" t="e">
        <f>IF(VLOOKUP(CONCATENATE(H365,F365,FJ$2),Ciencias!$A:$H,7,FALSE)=BX365,1,0)</f>
        <v>#N/A</v>
      </c>
      <c r="FK365" s="138" t="e">
        <f>IF(VLOOKUP(CONCATENATE(H365,F365,FK$2),Ciencias!$A:$H,7,FALSE)=BY365,1,0)</f>
        <v>#N/A</v>
      </c>
      <c r="FL365" s="138" t="e">
        <f>IF(VLOOKUP(CONCATENATE(H365,F365,FL$2),Ciencias!$A:$H,7,FALSE)=BZ365,1,0)</f>
        <v>#N/A</v>
      </c>
      <c r="FM365" s="138" t="e">
        <f>IF(VLOOKUP(CONCATENATE(H365,F365,FM$2),Ciencias!$A:$H,7,FALSE)=CA365,1,0)</f>
        <v>#N/A</v>
      </c>
      <c r="FN365" s="138" t="e">
        <f>IF(VLOOKUP(CONCATENATE(H365,F365,FN$2),Ciencias!$A:$H,7,FALSE)=CB365,1,0)</f>
        <v>#N/A</v>
      </c>
      <c r="FO365" s="138" t="e">
        <f>IF(VLOOKUP(CONCATENATE(H365,F365,FO$2),Ciencias!$A:$H,7,FALSE)=CC365,1,0)</f>
        <v>#N/A</v>
      </c>
      <c r="FP365" s="138" t="e">
        <f>IF(VLOOKUP(CONCATENATE(H365,F365,FP$2),GeoHis!$A:$H,7,FALSE)=CD365,1,0)</f>
        <v>#N/A</v>
      </c>
      <c r="FQ365" s="138" t="e">
        <f>IF(VLOOKUP(CONCATENATE(H365,F365,FQ$2),GeoHis!$A:$H,7,FALSE)=CE365,1,0)</f>
        <v>#N/A</v>
      </c>
      <c r="FR365" s="138" t="e">
        <f>IF(VLOOKUP(CONCATENATE(H365,F365,FR$2),GeoHis!$A:$H,7,FALSE)=CF365,1,0)</f>
        <v>#N/A</v>
      </c>
      <c r="FS365" s="138" t="e">
        <f>IF(VLOOKUP(CONCATENATE(H365,F365,FS$2),GeoHis!$A:$H,7,FALSE)=CG365,1,0)</f>
        <v>#N/A</v>
      </c>
      <c r="FT365" s="138" t="e">
        <f>IF(VLOOKUP(CONCATENATE(H365,F365,FT$2),GeoHis!$A:$H,7,FALSE)=CH365,1,0)</f>
        <v>#N/A</v>
      </c>
      <c r="FU365" s="138" t="e">
        <f>IF(VLOOKUP(CONCATENATE(H365,F365,FU$2),GeoHis!$A:$H,7,FALSE)=CI365,1,0)</f>
        <v>#N/A</v>
      </c>
      <c r="FV365" s="138" t="e">
        <f>IF(VLOOKUP(CONCATENATE(H365,F365,FV$2),GeoHis!$A:$H,7,FALSE)=CJ365,1,0)</f>
        <v>#N/A</v>
      </c>
      <c r="FW365" s="138" t="e">
        <f>IF(VLOOKUP(CONCATENATE(H365,F365,FW$2),GeoHis!$A:$H,7,FALSE)=CK365,1,0)</f>
        <v>#N/A</v>
      </c>
      <c r="FX365" s="138" t="e">
        <f>IF(VLOOKUP(CONCATENATE(H365,F365,FX$2),GeoHis!$A:$H,7,FALSE)=CL365,1,0)</f>
        <v>#N/A</v>
      </c>
      <c r="FY365" s="138" t="e">
        <f>IF(VLOOKUP(CONCATENATE(H365,F365,FY$2),GeoHis!$A:$H,7,FALSE)=CM365,1,0)</f>
        <v>#N/A</v>
      </c>
      <c r="FZ365" s="138" t="e">
        <f>IF(VLOOKUP(CONCATENATE(H365,F365,FZ$2),GeoHis!$A:$H,7,FALSE)=CN365,1,0)</f>
        <v>#N/A</v>
      </c>
      <c r="GA365" s="138" t="e">
        <f>IF(VLOOKUP(CONCATENATE(H365,F365,GA$2),GeoHis!$A:$H,7,FALSE)=CO365,1,0)</f>
        <v>#N/A</v>
      </c>
      <c r="GB365" s="138" t="e">
        <f>IF(VLOOKUP(CONCATENATE(H365,F365,GB$2),GeoHis!$A:$H,7,FALSE)=CP365,1,0)</f>
        <v>#N/A</v>
      </c>
      <c r="GC365" s="138" t="e">
        <f>IF(VLOOKUP(CONCATENATE(H365,F365,GC$2),GeoHis!$A:$H,7,FALSE)=CQ365,1,0)</f>
        <v>#N/A</v>
      </c>
      <c r="GD365" s="138" t="e">
        <f>IF(VLOOKUP(CONCATENATE(H365,F365,GD$2),GeoHis!$A:$H,7,FALSE)=CR365,1,0)</f>
        <v>#N/A</v>
      </c>
      <c r="GE365" s="135" t="str">
        <f t="shared" si="47"/>
        <v/>
      </c>
    </row>
    <row r="366" spans="1:187" x14ac:dyDescent="0.25">
      <c r="A366" s="127" t="str">
        <f>IF(C366="","",'Datos Generales'!$A$25)</f>
        <v/>
      </c>
      <c r="D366" s="126" t="str">
        <f t="shared" si="40"/>
        <v/>
      </c>
      <c r="E366" s="126">
        <f t="shared" si="41"/>
        <v>0</v>
      </c>
      <c r="F366" s="126" t="str">
        <f t="shared" si="42"/>
        <v/>
      </c>
      <c r="G366" s="126" t="str">
        <f>IF(C366="","",'Datos Generales'!$D$19)</f>
        <v/>
      </c>
      <c r="H366" s="21" t="str">
        <f>IF(C366="","",'Datos Generales'!$A$19)</f>
        <v/>
      </c>
      <c r="I366" s="126" t="str">
        <f>IF(C366="","",'Datos Generales'!$A$7)</f>
        <v/>
      </c>
      <c r="J366" s="21" t="str">
        <f>IF(C366="","",'Datos Generales'!$A$13)</f>
        <v/>
      </c>
      <c r="K366" s="21" t="str">
        <f>IF(C366="","",'Datos Generales'!$A$10)</f>
        <v/>
      </c>
      <c r="CS366" s="142" t="str">
        <f t="shared" si="43"/>
        <v/>
      </c>
      <c r="CT366" s="142" t="str">
        <f t="shared" si="44"/>
        <v/>
      </c>
      <c r="CU366" s="142" t="str">
        <f t="shared" si="45"/>
        <v/>
      </c>
      <c r="CV366" s="142" t="str">
        <f t="shared" si="46"/>
        <v/>
      </c>
      <c r="CW366" s="142" t="str">
        <f>IF(C366="","",IF('Datos Generales'!$A$19=1,AVERAGE(FP366:GD366),AVERAGE(Captura!FP366:FY366)))</f>
        <v/>
      </c>
      <c r="CX366" s="138" t="e">
        <f>IF(VLOOKUP(CONCATENATE($H$4,$F$4,CX$2),Español!$A:$H,7,FALSE)=L366,1,0)</f>
        <v>#N/A</v>
      </c>
      <c r="CY366" s="138" t="e">
        <f>IF(VLOOKUP(CONCATENATE(H366,F366,CY$2),Español!$A:$H,7,FALSE)=M366,1,0)</f>
        <v>#N/A</v>
      </c>
      <c r="CZ366" s="138" t="e">
        <f>IF(VLOOKUP(CONCATENATE(H366,F366,CZ$2),Español!$A:$H,7,FALSE)=N366,1,0)</f>
        <v>#N/A</v>
      </c>
      <c r="DA366" s="138" t="e">
        <f>IF(VLOOKUP(CONCATENATE(H366,F366,DA$2),Español!$A:$H,7,FALSE)=O366,1,0)</f>
        <v>#N/A</v>
      </c>
      <c r="DB366" s="138" t="e">
        <f>IF(VLOOKUP(CONCATENATE(H366,F366,DB$2),Español!$A:$H,7,FALSE)=P366,1,0)</f>
        <v>#N/A</v>
      </c>
      <c r="DC366" s="138" t="e">
        <f>IF(VLOOKUP(CONCATENATE(H366,F366,DC$2),Español!$A:$H,7,FALSE)=Q366,1,0)</f>
        <v>#N/A</v>
      </c>
      <c r="DD366" s="138" t="e">
        <f>IF(VLOOKUP(CONCATENATE(H366,F366,DD$2),Español!$A:$H,7,FALSE)=R366,1,0)</f>
        <v>#N/A</v>
      </c>
      <c r="DE366" s="138" t="e">
        <f>IF(VLOOKUP(CONCATENATE(H366,F366,DE$2),Español!$A:$H,7,FALSE)=S366,1,0)</f>
        <v>#N/A</v>
      </c>
      <c r="DF366" s="138" t="e">
        <f>IF(VLOOKUP(CONCATENATE(H366,F366,DF$2),Español!$A:$H,7,FALSE)=T366,1,0)</f>
        <v>#N/A</v>
      </c>
      <c r="DG366" s="138" t="e">
        <f>IF(VLOOKUP(CONCATENATE(H366,F366,DG$2),Español!$A:$H,7,FALSE)=U366,1,0)</f>
        <v>#N/A</v>
      </c>
      <c r="DH366" s="138" t="e">
        <f>IF(VLOOKUP(CONCATENATE(H366,F366,DH$2),Español!$A:$H,7,FALSE)=V366,1,0)</f>
        <v>#N/A</v>
      </c>
      <c r="DI366" s="138" t="e">
        <f>IF(VLOOKUP(CONCATENATE(H366,F366,DI$2),Español!$A:$H,7,FALSE)=W366,1,0)</f>
        <v>#N/A</v>
      </c>
      <c r="DJ366" s="138" t="e">
        <f>IF(VLOOKUP(CONCATENATE(H366,F366,DJ$2),Español!$A:$H,7,FALSE)=X366,1,0)</f>
        <v>#N/A</v>
      </c>
      <c r="DK366" s="138" t="e">
        <f>IF(VLOOKUP(CONCATENATE(H366,F366,DK$2),Español!$A:$H,7,FALSE)=Y366,1,0)</f>
        <v>#N/A</v>
      </c>
      <c r="DL366" s="138" t="e">
        <f>IF(VLOOKUP(CONCATENATE(H366,F366,DL$2),Español!$A:$H,7,FALSE)=Z366,1,0)</f>
        <v>#N/A</v>
      </c>
      <c r="DM366" s="138" t="e">
        <f>IF(VLOOKUP(CONCATENATE(H366,F366,DM$2),Español!$A:$H,7,FALSE)=AA366,1,0)</f>
        <v>#N/A</v>
      </c>
      <c r="DN366" s="138" t="e">
        <f>IF(VLOOKUP(CONCATENATE(H366,F366,DN$2),Español!$A:$H,7,FALSE)=AB366,1,0)</f>
        <v>#N/A</v>
      </c>
      <c r="DO366" s="138" t="e">
        <f>IF(VLOOKUP(CONCATENATE(H366,F366,DO$2),Español!$A:$H,7,FALSE)=AC366,1,0)</f>
        <v>#N/A</v>
      </c>
      <c r="DP366" s="138" t="e">
        <f>IF(VLOOKUP(CONCATENATE(H366,F366,DP$2),Español!$A:$H,7,FALSE)=AD366,1,0)</f>
        <v>#N/A</v>
      </c>
      <c r="DQ366" s="138" t="e">
        <f>IF(VLOOKUP(CONCATENATE(H366,F366,DQ$2),Español!$A:$H,7,FALSE)=AE366,1,0)</f>
        <v>#N/A</v>
      </c>
      <c r="DR366" s="138" t="e">
        <f>IF(VLOOKUP(CONCATENATE(H366,F366,DR$2),Inglés!$A:$H,7,FALSE)=AF366,1,0)</f>
        <v>#N/A</v>
      </c>
      <c r="DS366" s="138" t="e">
        <f>IF(VLOOKUP(CONCATENATE(H366,F366,DS$2),Inglés!$A:$H,7,FALSE)=AG366,1,0)</f>
        <v>#N/A</v>
      </c>
      <c r="DT366" s="138" t="e">
        <f>IF(VLOOKUP(CONCATENATE(H366,F366,DT$2),Inglés!$A:$H,7,FALSE)=AH366,1,0)</f>
        <v>#N/A</v>
      </c>
      <c r="DU366" s="138" t="e">
        <f>IF(VLOOKUP(CONCATENATE(H366,F366,DU$2),Inglés!$A:$H,7,FALSE)=AI366,1,0)</f>
        <v>#N/A</v>
      </c>
      <c r="DV366" s="138" t="e">
        <f>IF(VLOOKUP(CONCATENATE(H366,F366,DV$2),Inglés!$A:$H,7,FALSE)=AJ366,1,0)</f>
        <v>#N/A</v>
      </c>
      <c r="DW366" s="138" t="e">
        <f>IF(VLOOKUP(CONCATENATE(H366,F366,DW$2),Inglés!$A:$H,7,FALSE)=AK366,1,0)</f>
        <v>#N/A</v>
      </c>
      <c r="DX366" s="138" t="e">
        <f>IF(VLOOKUP(CONCATENATE(H366,F366,DX$2),Inglés!$A:$H,7,FALSE)=AL366,1,0)</f>
        <v>#N/A</v>
      </c>
      <c r="DY366" s="138" t="e">
        <f>IF(VLOOKUP(CONCATENATE(H366,F366,DY$2),Inglés!$A:$H,7,FALSE)=AM366,1,0)</f>
        <v>#N/A</v>
      </c>
      <c r="DZ366" s="138" t="e">
        <f>IF(VLOOKUP(CONCATENATE(H366,F366,DZ$2),Inglés!$A:$H,7,FALSE)=AN366,1,0)</f>
        <v>#N/A</v>
      </c>
      <c r="EA366" s="138" t="e">
        <f>IF(VLOOKUP(CONCATENATE(H366,F366,EA$2),Inglés!$A:$H,7,FALSE)=AO366,1,0)</f>
        <v>#N/A</v>
      </c>
      <c r="EB366" s="138" t="e">
        <f>IF(VLOOKUP(CONCATENATE(H366,F366,EB$2),Matemáticas!$A:$H,7,FALSE)=AP366,1,0)</f>
        <v>#N/A</v>
      </c>
      <c r="EC366" s="138" t="e">
        <f>IF(VLOOKUP(CONCATENATE(H366,F366,EC$2),Matemáticas!$A:$H,7,FALSE)=AQ366,1,0)</f>
        <v>#N/A</v>
      </c>
      <c r="ED366" s="138" t="e">
        <f>IF(VLOOKUP(CONCATENATE(H366,F366,ED$2),Matemáticas!$A:$H,7,FALSE)=AR366,1,0)</f>
        <v>#N/A</v>
      </c>
      <c r="EE366" s="138" t="e">
        <f>IF(VLOOKUP(CONCATENATE(H366,F366,EE$2),Matemáticas!$A:$H,7,FALSE)=AS366,1,0)</f>
        <v>#N/A</v>
      </c>
      <c r="EF366" s="138" t="e">
        <f>IF(VLOOKUP(CONCATENATE(H366,F366,EF$2),Matemáticas!$A:$H,7,FALSE)=AT366,1,0)</f>
        <v>#N/A</v>
      </c>
      <c r="EG366" s="138" t="e">
        <f>IF(VLOOKUP(CONCATENATE(H366,F366,EG$2),Matemáticas!$A:$H,7,FALSE)=AU366,1,0)</f>
        <v>#N/A</v>
      </c>
      <c r="EH366" s="138" t="e">
        <f>IF(VLOOKUP(CONCATENATE(H366,F366,EH$2),Matemáticas!$A:$H,7,FALSE)=AV366,1,0)</f>
        <v>#N/A</v>
      </c>
      <c r="EI366" s="138" t="e">
        <f>IF(VLOOKUP(CONCATENATE(H366,F366,EI$2),Matemáticas!$A:$H,7,FALSE)=AW366,1,0)</f>
        <v>#N/A</v>
      </c>
      <c r="EJ366" s="138" t="e">
        <f>IF(VLOOKUP(CONCATENATE(H366,F366,EJ$2),Matemáticas!$A:$H,7,FALSE)=AX366,1,0)</f>
        <v>#N/A</v>
      </c>
      <c r="EK366" s="138" t="e">
        <f>IF(VLOOKUP(CONCATENATE(H366,F366,EK$2),Matemáticas!$A:$H,7,FALSE)=AY366,1,0)</f>
        <v>#N/A</v>
      </c>
      <c r="EL366" s="138" t="e">
        <f>IF(VLOOKUP(CONCATENATE(H366,F366,EL$2),Matemáticas!$A:$H,7,FALSE)=AZ366,1,0)</f>
        <v>#N/A</v>
      </c>
      <c r="EM366" s="138" t="e">
        <f>IF(VLOOKUP(CONCATENATE(H366,F366,EM$2),Matemáticas!$A:$H,7,FALSE)=BA366,1,0)</f>
        <v>#N/A</v>
      </c>
      <c r="EN366" s="138" t="e">
        <f>IF(VLOOKUP(CONCATENATE(H366,F366,EN$2),Matemáticas!$A:$H,7,FALSE)=BB366,1,0)</f>
        <v>#N/A</v>
      </c>
      <c r="EO366" s="138" t="e">
        <f>IF(VLOOKUP(CONCATENATE(H366,F366,EO$2),Matemáticas!$A:$H,7,FALSE)=BC366,1,0)</f>
        <v>#N/A</v>
      </c>
      <c r="EP366" s="138" t="e">
        <f>IF(VLOOKUP(CONCATENATE(H366,F366,EP$2),Matemáticas!$A:$H,7,FALSE)=BD366,1,0)</f>
        <v>#N/A</v>
      </c>
      <c r="EQ366" s="138" t="e">
        <f>IF(VLOOKUP(CONCATENATE(H366,F366,EQ$2),Matemáticas!$A:$H,7,FALSE)=BE366,1,0)</f>
        <v>#N/A</v>
      </c>
      <c r="ER366" s="138" t="e">
        <f>IF(VLOOKUP(CONCATENATE(H366,F366,ER$2),Matemáticas!$A:$H,7,FALSE)=BF366,1,0)</f>
        <v>#N/A</v>
      </c>
      <c r="ES366" s="138" t="e">
        <f>IF(VLOOKUP(CONCATENATE(H366,F366,ES$2),Matemáticas!$A:$H,7,FALSE)=BG366,1,0)</f>
        <v>#N/A</v>
      </c>
      <c r="ET366" s="138" t="e">
        <f>IF(VLOOKUP(CONCATENATE(H366,F366,ET$2),Matemáticas!$A:$H,7,FALSE)=BH366,1,0)</f>
        <v>#N/A</v>
      </c>
      <c r="EU366" s="138" t="e">
        <f>IF(VLOOKUP(CONCATENATE(H366,F366,EU$2),Matemáticas!$A:$H,7,FALSE)=BI366,1,0)</f>
        <v>#N/A</v>
      </c>
      <c r="EV366" s="138" t="e">
        <f>IF(VLOOKUP(CONCATENATE(H366,F366,EV$2),Ciencias!$A:$H,7,FALSE)=BJ366,1,0)</f>
        <v>#N/A</v>
      </c>
      <c r="EW366" s="138" t="e">
        <f>IF(VLOOKUP(CONCATENATE(H366,F366,EW$2),Ciencias!$A:$H,7,FALSE)=BK366,1,0)</f>
        <v>#N/A</v>
      </c>
      <c r="EX366" s="138" t="e">
        <f>IF(VLOOKUP(CONCATENATE(H366,F366,EX$2),Ciencias!$A:$H,7,FALSE)=BL366,1,0)</f>
        <v>#N/A</v>
      </c>
      <c r="EY366" s="138" t="e">
        <f>IF(VLOOKUP(CONCATENATE(H366,F366,EY$2),Ciencias!$A:$H,7,FALSE)=BM366,1,0)</f>
        <v>#N/A</v>
      </c>
      <c r="EZ366" s="138" t="e">
        <f>IF(VLOOKUP(CONCATENATE(H366,F366,EZ$2),Ciencias!$A:$H,7,FALSE)=BN366,1,0)</f>
        <v>#N/A</v>
      </c>
      <c r="FA366" s="138" t="e">
        <f>IF(VLOOKUP(CONCATENATE(H366,F366,FA$2),Ciencias!$A:$H,7,FALSE)=BO366,1,0)</f>
        <v>#N/A</v>
      </c>
      <c r="FB366" s="138" t="e">
        <f>IF(VLOOKUP(CONCATENATE(H366,F366,FB$2),Ciencias!$A:$H,7,FALSE)=BP366,1,0)</f>
        <v>#N/A</v>
      </c>
      <c r="FC366" s="138" t="e">
        <f>IF(VLOOKUP(CONCATENATE(H366,F366,FC$2),Ciencias!$A:$H,7,FALSE)=BQ366,1,0)</f>
        <v>#N/A</v>
      </c>
      <c r="FD366" s="138" t="e">
        <f>IF(VLOOKUP(CONCATENATE(H366,F366,FD$2),Ciencias!$A:$H,7,FALSE)=BR366,1,0)</f>
        <v>#N/A</v>
      </c>
      <c r="FE366" s="138" t="e">
        <f>IF(VLOOKUP(CONCATENATE(H366,F366,FE$2),Ciencias!$A:$H,7,FALSE)=BS366,1,0)</f>
        <v>#N/A</v>
      </c>
      <c r="FF366" s="138" t="e">
        <f>IF(VLOOKUP(CONCATENATE(H366,F366,FF$2),Ciencias!$A:$H,7,FALSE)=BT366,1,0)</f>
        <v>#N/A</v>
      </c>
      <c r="FG366" s="138" t="e">
        <f>IF(VLOOKUP(CONCATENATE(H366,F366,FG$2),Ciencias!$A:$H,7,FALSE)=BU366,1,0)</f>
        <v>#N/A</v>
      </c>
      <c r="FH366" s="138" t="e">
        <f>IF(VLOOKUP(CONCATENATE(H366,F366,FH$2),Ciencias!$A:$H,7,FALSE)=BV366,1,0)</f>
        <v>#N/A</v>
      </c>
      <c r="FI366" s="138" t="e">
        <f>IF(VLOOKUP(CONCATENATE(H366,F366,FI$2),Ciencias!$A:$H,7,FALSE)=BW366,1,0)</f>
        <v>#N/A</v>
      </c>
      <c r="FJ366" s="138" t="e">
        <f>IF(VLOOKUP(CONCATENATE(H366,F366,FJ$2),Ciencias!$A:$H,7,FALSE)=BX366,1,0)</f>
        <v>#N/A</v>
      </c>
      <c r="FK366" s="138" t="e">
        <f>IF(VLOOKUP(CONCATENATE(H366,F366,FK$2),Ciencias!$A:$H,7,FALSE)=BY366,1,0)</f>
        <v>#N/A</v>
      </c>
      <c r="FL366" s="138" t="e">
        <f>IF(VLOOKUP(CONCATENATE(H366,F366,FL$2),Ciencias!$A:$H,7,FALSE)=BZ366,1,0)</f>
        <v>#N/A</v>
      </c>
      <c r="FM366" s="138" t="e">
        <f>IF(VLOOKUP(CONCATENATE(H366,F366,FM$2),Ciencias!$A:$H,7,FALSE)=CA366,1,0)</f>
        <v>#N/A</v>
      </c>
      <c r="FN366" s="138" t="e">
        <f>IF(VLOOKUP(CONCATENATE(H366,F366,FN$2),Ciencias!$A:$H,7,FALSE)=CB366,1,0)</f>
        <v>#N/A</v>
      </c>
      <c r="FO366" s="138" t="e">
        <f>IF(VLOOKUP(CONCATENATE(H366,F366,FO$2),Ciencias!$A:$H,7,FALSE)=CC366,1,0)</f>
        <v>#N/A</v>
      </c>
      <c r="FP366" s="138" t="e">
        <f>IF(VLOOKUP(CONCATENATE(H366,F366,FP$2),GeoHis!$A:$H,7,FALSE)=CD366,1,0)</f>
        <v>#N/A</v>
      </c>
      <c r="FQ366" s="138" t="e">
        <f>IF(VLOOKUP(CONCATENATE(H366,F366,FQ$2),GeoHis!$A:$H,7,FALSE)=CE366,1,0)</f>
        <v>#N/A</v>
      </c>
      <c r="FR366" s="138" t="e">
        <f>IF(VLOOKUP(CONCATENATE(H366,F366,FR$2),GeoHis!$A:$H,7,FALSE)=CF366,1,0)</f>
        <v>#N/A</v>
      </c>
      <c r="FS366" s="138" t="e">
        <f>IF(VLOOKUP(CONCATENATE(H366,F366,FS$2),GeoHis!$A:$H,7,FALSE)=CG366,1,0)</f>
        <v>#N/A</v>
      </c>
      <c r="FT366" s="138" t="e">
        <f>IF(VLOOKUP(CONCATENATE(H366,F366,FT$2),GeoHis!$A:$H,7,FALSE)=CH366,1,0)</f>
        <v>#N/A</v>
      </c>
      <c r="FU366" s="138" t="e">
        <f>IF(VLOOKUP(CONCATENATE(H366,F366,FU$2),GeoHis!$A:$H,7,FALSE)=CI366,1,0)</f>
        <v>#N/A</v>
      </c>
      <c r="FV366" s="138" t="e">
        <f>IF(VLOOKUP(CONCATENATE(H366,F366,FV$2),GeoHis!$A:$H,7,FALSE)=CJ366,1,0)</f>
        <v>#N/A</v>
      </c>
      <c r="FW366" s="138" t="e">
        <f>IF(VLOOKUP(CONCATENATE(H366,F366,FW$2),GeoHis!$A:$H,7,FALSE)=CK366,1,0)</f>
        <v>#N/A</v>
      </c>
      <c r="FX366" s="138" t="e">
        <f>IF(VLOOKUP(CONCATENATE(H366,F366,FX$2),GeoHis!$A:$H,7,FALSE)=CL366,1,0)</f>
        <v>#N/A</v>
      </c>
      <c r="FY366" s="138" t="e">
        <f>IF(VLOOKUP(CONCATENATE(H366,F366,FY$2),GeoHis!$A:$H,7,FALSE)=CM366,1,0)</f>
        <v>#N/A</v>
      </c>
      <c r="FZ366" s="138" t="e">
        <f>IF(VLOOKUP(CONCATENATE(H366,F366,FZ$2),GeoHis!$A:$H,7,FALSE)=CN366,1,0)</f>
        <v>#N/A</v>
      </c>
      <c r="GA366" s="138" t="e">
        <f>IF(VLOOKUP(CONCATENATE(H366,F366,GA$2),GeoHis!$A:$H,7,FALSE)=CO366,1,0)</f>
        <v>#N/A</v>
      </c>
      <c r="GB366" s="138" t="e">
        <f>IF(VLOOKUP(CONCATENATE(H366,F366,GB$2),GeoHis!$A:$H,7,FALSE)=CP366,1,0)</f>
        <v>#N/A</v>
      </c>
      <c r="GC366" s="138" t="e">
        <f>IF(VLOOKUP(CONCATENATE(H366,F366,GC$2),GeoHis!$A:$H,7,FALSE)=CQ366,1,0)</f>
        <v>#N/A</v>
      </c>
      <c r="GD366" s="138" t="e">
        <f>IF(VLOOKUP(CONCATENATE(H366,F366,GD$2),GeoHis!$A:$H,7,FALSE)=CR366,1,0)</f>
        <v>#N/A</v>
      </c>
      <c r="GE366" s="135" t="str">
        <f t="shared" si="47"/>
        <v/>
      </c>
    </row>
    <row r="367" spans="1:187" x14ac:dyDescent="0.25">
      <c r="A367" s="127" t="str">
        <f>IF(C367="","",'Datos Generales'!$A$25)</f>
        <v/>
      </c>
      <c r="D367" s="126" t="str">
        <f t="shared" si="40"/>
        <v/>
      </c>
      <c r="E367" s="126">
        <f t="shared" si="41"/>
        <v>0</v>
      </c>
      <c r="F367" s="126" t="str">
        <f t="shared" si="42"/>
        <v/>
      </c>
      <c r="G367" s="126" t="str">
        <f>IF(C367="","",'Datos Generales'!$D$19)</f>
        <v/>
      </c>
      <c r="H367" s="21" t="str">
        <f>IF(C367="","",'Datos Generales'!$A$19)</f>
        <v/>
      </c>
      <c r="I367" s="126" t="str">
        <f>IF(C367="","",'Datos Generales'!$A$7)</f>
        <v/>
      </c>
      <c r="J367" s="21" t="str">
        <f>IF(C367="","",'Datos Generales'!$A$13)</f>
        <v/>
      </c>
      <c r="K367" s="21" t="str">
        <f>IF(C367="","",'Datos Generales'!$A$10)</f>
        <v/>
      </c>
      <c r="CS367" s="142" t="str">
        <f t="shared" si="43"/>
        <v/>
      </c>
      <c r="CT367" s="142" t="str">
        <f t="shared" si="44"/>
        <v/>
      </c>
      <c r="CU367" s="142" t="str">
        <f t="shared" si="45"/>
        <v/>
      </c>
      <c r="CV367" s="142" t="str">
        <f t="shared" si="46"/>
        <v/>
      </c>
      <c r="CW367" s="142" t="str">
        <f>IF(C367="","",IF('Datos Generales'!$A$19=1,AVERAGE(FP367:GD367),AVERAGE(Captura!FP367:FY367)))</f>
        <v/>
      </c>
      <c r="CX367" s="138" t="e">
        <f>IF(VLOOKUP(CONCATENATE($H$4,$F$4,CX$2),Español!$A:$H,7,FALSE)=L367,1,0)</f>
        <v>#N/A</v>
      </c>
      <c r="CY367" s="138" t="e">
        <f>IF(VLOOKUP(CONCATENATE(H367,F367,CY$2),Español!$A:$H,7,FALSE)=M367,1,0)</f>
        <v>#N/A</v>
      </c>
      <c r="CZ367" s="138" t="e">
        <f>IF(VLOOKUP(CONCATENATE(H367,F367,CZ$2),Español!$A:$H,7,FALSE)=N367,1,0)</f>
        <v>#N/A</v>
      </c>
      <c r="DA367" s="138" t="e">
        <f>IF(VLOOKUP(CONCATENATE(H367,F367,DA$2),Español!$A:$H,7,FALSE)=O367,1,0)</f>
        <v>#N/A</v>
      </c>
      <c r="DB367" s="138" t="e">
        <f>IF(VLOOKUP(CONCATENATE(H367,F367,DB$2),Español!$A:$H,7,FALSE)=P367,1,0)</f>
        <v>#N/A</v>
      </c>
      <c r="DC367" s="138" t="e">
        <f>IF(VLOOKUP(CONCATENATE(H367,F367,DC$2),Español!$A:$H,7,FALSE)=Q367,1,0)</f>
        <v>#N/A</v>
      </c>
      <c r="DD367" s="138" t="e">
        <f>IF(VLOOKUP(CONCATENATE(H367,F367,DD$2),Español!$A:$H,7,FALSE)=R367,1,0)</f>
        <v>#N/A</v>
      </c>
      <c r="DE367" s="138" t="e">
        <f>IF(VLOOKUP(CONCATENATE(H367,F367,DE$2),Español!$A:$H,7,FALSE)=S367,1,0)</f>
        <v>#N/A</v>
      </c>
      <c r="DF367" s="138" t="e">
        <f>IF(VLOOKUP(CONCATENATE(H367,F367,DF$2),Español!$A:$H,7,FALSE)=T367,1,0)</f>
        <v>#N/A</v>
      </c>
      <c r="DG367" s="138" t="e">
        <f>IF(VLOOKUP(CONCATENATE(H367,F367,DG$2),Español!$A:$H,7,FALSE)=U367,1,0)</f>
        <v>#N/A</v>
      </c>
      <c r="DH367" s="138" t="e">
        <f>IF(VLOOKUP(CONCATENATE(H367,F367,DH$2),Español!$A:$H,7,FALSE)=V367,1,0)</f>
        <v>#N/A</v>
      </c>
      <c r="DI367" s="138" t="e">
        <f>IF(VLOOKUP(CONCATENATE(H367,F367,DI$2),Español!$A:$H,7,FALSE)=W367,1,0)</f>
        <v>#N/A</v>
      </c>
      <c r="DJ367" s="138" t="e">
        <f>IF(VLOOKUP(CONCATENATE(H367,F367,DJ$2),Español!$A:$H,7,FALSE)=X367,1,0)</f>
        <v>#N/A</v>
      </c>
      <c r="DK367" s="138" t="e">
        <f>IF(VLOOKUP(CONCATENATE(H367,F367,DK$2),Español!$A:$H,7,FALSE)=Y367,1,0)</f>
        <v>#N/A</v>
      </c>
      <c r="DL367" s="138" t="e">
        <f>IF(VLOOKUP(CONCATENATE(H367,F367,DL$2),Español!$A:$H,7,FALSE)=Z367,1,0)</f>
        <v>#N/A</v>
      </c>
      <c r="DM367" s="138" t="e">
        <f>IF(VLOOKUP(CONCATENATE(H367,F367,DM$2),Español!$A:$H,7,FALSE)=AA367,1,0)</f>
        <v>#N/A</v>
      </c>
      <c r="DN367" s="138" t="e">
        <f>IF(VLOOKUP(CONCATENATE(H367,F367,DN$2),Español!$A:$H,7,FALSE)=AB367,1,0)</f>
        <v>#N/A</v>
      </c>
      <c r="DO367" s="138" t="e">
        <f>IF(VLOOKUP(CONCATENATE(H367,F367,DO$2),Español!$A:$H,7,FALSE)=AC367,1,0)</f>
        <v>#N/A</v>
      </c>
      <c r="DP367" s="138" t="e">
        <f>IF(VLOOKUP(CONCATENATE(H367,F367,DP$2),Español!$A:$H,7,FALSE)=AD367,1,0)</f>
        <v>#N/A</v>
      </c>
      <c r="DQ367" s="138" t="e">
        <f>IF(VLOOKUP(CONCATENATE(H367,F367,DQ$2),Español!$A:$H,7,FALSE)=AE367,1,0)</f>
        <v>#N/A</v>
      </c>
      <c r="DR367" s="138" t="e">
        <f>IF(VLOOKUP(CONCATENATE(H367,F367,DR$2),Inglés!$A:$H,7,FALSE)=AF367,1,0)</f>
        <v>#N/A</v>
      </c>
      <c r="DS367" s="138" t="e">
        <f>IF(VLOOKUP(CONCATENATE(H367,F367,DS$2),Inglés!$A:$H,7,FALSE)=AG367,1,0)</f>
        <v>#N/A</v>
      </c>
      <c r="DT367" s="138" t="e">
        <f>IF(VLOOKUP(CONCATENATE(H367,F367,DT$2),Inglés!$A:$H,7,FALSE)=AH367,1,0)</f>
        <v>#N/A</v>
      </c>
      <c r="DU367" s="138" t="e">
        <f>IF(VLOOKUP(CONCATENATE(H367,F367,DU$2),Inglés!$A:$H,7,FALSE)=AI367,1,0)</f>
        <v>#N/A</v>
      </c>
      <c r="DV367" s="138" t="e">
        <f>IF(VLOOKUP(CONCATENATE(H367,F367,DV$2),Inglés!$A:$H,7,FALSE)=AJ367,1,0)</f>
        <v>#N/A</v>
      </c>
      <c r="DW367" s="138" t="e">
        <f>IF(VLOOKUP(CONCATENATE(H367,F367,DW$2),Inglés!$A:$H,7,FALSE)=AK367,1,0)</f>
        <v>#N/A</v>
      </c>
      <c r="DX367" s="138" t="e">
        <f>IF(VLOOKUP(CONCATENATE(H367,F367,DX$2),Inglés!$A:$H,7,FALSE)=AL367,1,0)</f>
        <v>#N/A</v>
      </c>
      <c r="DY367" s="138" t="e">
        <f>IF(VLOOKUP(CONCATENATE(H367,F367,DY$2),Inglés!$A:$H,7,FALSE)=AM367,1,0)</f>
        <v>#N/A</v>
      </c>
      <c r="DZ367" s="138" t="e">
        <f>IF(VLOOKUP(CONCATENATE(H367,F367,DZ$2),Inglés!$A:$H,7,FALSE)=AN367,1,0)</f>
        <v>#N/A</v>
      </c>
      <c r="EA367" s="138" t="e">
        <f>IF(VLOOKUP(CONCATENATE(H367,F367,EA$2),Inglés!$A:$H,7,FALSE)=AO367,1,0)</f>
        <v>#N/A</v>
      </c>
      <c r="EB367" s="138" t="e">
        <f>IF(VLOOKUP(CONCATENATE(H367,F367,EB$2),Matemáticas!$A:$H,7,FALSE)=AP367,1,0)</f>
        <v>#N/A</v>
      </c>
      <c r="EC367" s="138" t="e">
        <f>IF(VLOOKUP(CONCATENATE(H367,F367,EC$2),Matemáticas!$A:$H,7,FALSE)=AQ367,1,0)</f>
        <v>#N/A</v>
      </c>
      <c r="ED367" s="138" t="e">
        <f>IF(VLOOKUP(CONCATENATE(H367,F367,ED$2),Matemáticas!$A:$H,7,FALSE)=AR367,1,0)</f>
        <v>#N/A</v>
      </c>
      <c r="EE367" s="138" t="e">
        <f>IF(VLOOKUP(CONCATENATE(H367,F367,EE$2),Matemáticas!$A:$H,7,FALSE)=AS367,1,0)</f>
        <v>#N/A</v>
      </c>
      <c r="EF367" s="138" t="e">
        <f>IF(VLOOKUP(CONCATENATE(H367,F367,EF$2),Matemáticas!$A:$H,7,FALSE)=AT367,1,0)</f>
        <v>#N/A</v>
      </c>
      <c r="EG367" s="138" t="e">
        <f>IF(VLOOKUP(CONCATENATE(H367,F367,EG$2),Matemáticas!$A:$H,7,FALSE)=AU367,1,0)</f>
        <v>#N/A</v>
      </c>
      <c r="EH367" s="138" t="e">
        <f>IF(VLOOKUP(CONCATENATE(H367,F367,EH$2),Matemáticas!$A:$H,7,FALSE)=AV367,1,0)</f>
        <v>#N/A</v>
      </c>
      <c r="EI367" s="138" t="e">
        <f>IF(VLOOKUP(CONCATENATE(H367,F367,EI$2),Matemáticas!$A:$H,7,FALSE)=AW367,1,0)</f>
        <v>#N/A</v>
      </c>
      <c r="EJ367" s="138" t="e">
        <f>IF(VLOOKUP(CONCATENATE(H367,F367,EJ$2),Matemáticas!$A:$H,7,FALSE)=AX367,1,0)</f>
        <v>#N/A</v>
      </c>
      <c r="EK367" s="138" t="e">
        <f>IF(VLOOKUP(CONCATENATE(H367,F367,EK$2),Matemáticas!$A:$H,7,FALSE)=AY367,1,0)</f>
        <v>#N/A</v>
      </c>
      <c r="EL367" s="138" t="e">
        <f>IF(VLOOKUP(CONCATENATE(H367,F367,EL$2),Matemáticas!$A:$H,7,FALSE)=AZ367,1,0)</f>
        <v>#N/A</v>
      </c>
      <c r="EM367" s="138" t="e">
        <f>IF(VLOOKUP(CONCATENATE(H367,F367,EM$2),Matemáticas!$A:$H,7,FALSE)=BA367,1,0)</f>
        <v>#N/A</v>
      </c>
      <c r="EN367" s="138" t="e">
        <f>IF(VLOOKUP(CONCATENATE(H367,F367,EN$2),Matemáticas!$A:$H,7,FALSE)=BB367,1,0)</f>
        <v>#N/A</v>
      </c>
      <c r="EO367" s="138" t="e">
        <f>IF(VLOOKUP(CONCATENATE(H367,F367,EO$2),Matemáticas!$A:$H,7,FALSE)=BC367,1,0)</f>
        <v>#N/A</v>
      </c>
      <c r="EP367" s="138" t="e">
        <f>IF(VLOOKUP(CONCATENATE(H367,F367,EP$2),Matemáticas!$A:$H,7,FALSE)=BD367,1,0)</f>
        <v>#N/A</v>
      </c>
      <c r="EQ367" s="138" t="e">
        <f>IF(VLOOKUP(CONCATENATE(H367,F367,EQ$2),Matemáticas!$A:$H,7,FALSE)=BE367,1,0)</f>
        <v>#N/A</v>
      </c>
      <c r="ER367" s="138" t="e">
        <f>IF(VLOOKUP(CONCATENATE(H367,F367,ER$2),Matemáticas!$A:$H,7,FALSE)=BF367,1,0)</f>
        <v>#N/A</v>
      </c>
      <c r="ES367" s="138" t="e">
        <f>IF(VLOOKUP(CONCATENATE(H367,F367,ES$2),Matemáticas!$A:$H,7,FALSE)=BG367,1,0)</f>
        <v>#N/A</v>
      </c>
      <c r="ET367" s="138" t="e">
        <f>IF(VLOOKUP(CONCATENATE(H367,F367,ET$2),Matemáticas!$A:$H,7,FALSE)=BH367,1,0)</f>
        <v>#N/A</v>
      </c>
      <c r="EU367" s="138" t="e">
        <f>IF(VLOOKUP(CONCATENATE(H367,F367,EU$2),Matemáticas!$A:$H,7,FALSE)=BI367,1,0)</f>
        <v>#N/A</v>
      </c>
      <c r="EV367" s="138" t="e">
        <f>IF(VLOOKUP(CONCATENATE(H367,F367,EV$2),Ciencias!$A:$H,7,FALSE)=BJ367,1,0)</f>
        <v>#N/A</v>
      </c>
      <c r="EW367" s="138" t="e">
        <f>IF(VLOOKUP(CONCATENATE(H367,F367,EW$2),Ciencias!$A:$H,7,FALSE)=BK367,1,0)</f>
        <v>#N/A</v>
      </c>
      <c r="EX367" s="138" t="e">
        <f>IF(VLOOKUP(CONCATENATE(H367,F367,EX$2),Ciencias!$A:$H,7,FALSE)=BL367,1,0)</f>
        <v>#N/A</v>
      </c>
      <c r="EY367" s="138" t="e">
        <f>IF(VLOOKUP(CONCATENATE(H367,F367,EY$2),Ciencias!$A:$H,7,FALSE)=BM367,1,0)</f>
        <v>#N/A</v>
      </c>
      <c r="EZ367" s="138" t="e">
        <f>IF(VLOOKUP(CONCATENATE(H367,F367,EZ$2),Ciencias!$A:$H,7,FALSE)=BN367,1,0)</f>
        <v>#N/A</v>
      </c>
      <c r="FA367" s="138" t="e">
        <f>IF(VLOOKUP(CONCATENATE(H367,F367,FA$2),Ciencias!$A:$H,7,FALSE)=BO367,1,0)</f>
        <v>#N/A</v>
      </c>
      <c r="FB367" s="138" t="e">
        <f>IF(VLOOKUP(CONCATENATE(H367,F367,FB$2),Ciencias!$A:$H,7,FALSE)=BP367,1,0)</f>
        <v>#N/A</v>
      </c>
      <c r="FC367" s="138" t="e">
        <f>IF(VLOOKUP(CONCATENATE(H367,F367,FC$2),Ciencias!$A:$H,7,FALSE)=BQ367,1,0)</f>
        <v>#N/A</v>
      </c>
      <c r="FD367" s="138" t="e">
        <f>IF(VLOOKUP(CONCATENATE(H367,F367,FD$2),Ciencias!$A:$H,7,FALSE)=BR367,1,0)</f>
        <v>#N/A</v>
      </c>
      <c r="FE367" s="138" t="e">
        <f>IF(VLOOKUP(CONCATENATE(H367,F367,FE$2),Ciencias!$A:$H,7,FALSE)=BS367,1,0)</f>
        <v>#N/A</v>
      </c>
      <c r="FF367" s="138" t="e">
        <f>IF(VLOOKUP(CONCATENATE(H367,F367,FF$2),Ciencias!$A:$H,7,FALSE)=BT367,1,0)</f>
        <v>#N/A</v>
      </c>
      <c r="FG367" s="138" t="e">
        <f>IF(VLOOKUP(CONCATENATE(H367,F367,FG$2),Ciencias!$A:$H,7,FALSE)=BU367,1,0)</f>
        <v>#N/A</v>
      </c>
      <c r="FH367" s="138" t="e">
        <f>IF(VLOOKUP(CONCATENATE(H367,F367,FH$2),Ciencias!$A:$H,7,FALSE)=BV367,1,0)</f>
        <v>#N/A</v>
      </c>
      <c r="FI367" s="138" t="e">
        <f>IF(VLOOKUP(CONCATENATE(H367,F367,FI$2),Ciencias!$A:$H,7,FALSE)=BW367,1,0)</f>
        <v>#N/A</v>
      </c>
      <c r="FJ367" s="138" t="e">
        <f>IF(VLOOKUP(CONCATENATE(H367,F367,FJ$2),Ciencias!$A:$H,7,FALSE)=BX367,1,0)</f>
        <v>#N/A</v>
      </c>
      <c r="FK367" s="138" t="e">
        <f>IF(VLOOKUP(CONCATENATE(H367,F367,FK$2),Ciencias!$A:$H,7,FALSE)=BY367,1,0)</f>
        <v>#N/A</v>
      </c>
      <c r="FL367" s="138" t="e">
        <f>IF(VLOOKUP(CONCATENATE(H367,F367,FL$2),Ciencias!$A:$H,7,FALSE)=BZ367,1,0)</f>
        <v>#N/A</v>
      </c>
      <c r="FM367" s="138" t="e">
        <f>IF(VLOOKUP(CONCATENATE(H367,F367,FM$2),Ciencias!$A:$H,7,FALSE)=CA367,1,0)</f>
        <v>#N/A</v>
      </c>
      <c r="FN367" s="138" t="e">
        <f>IF(VLOOKUP(CONCATENATE(H367,F367,FN$2),Ciencias!$A:$H,7,FALSE)=CB367,1,0)</f>
        <v>#N/A</v>
      </c>
      <c r="FO367" s="138" t="e">
        <f>IF(VLOOKUP(CONCATENATE(H367,F367,FO$2),Ciencias!$A:$H,7,FALSE)=CC367,1,0)</f>
        <v>#N/A</v>
      </c>
      <c r="FP367" s="138" t="e">
        <f>IF(VLOOKUP(CONCATENATE(H367,F367,FP$2),GeoHis!$A:$H,7,FALSE)=CD367,1,0)</f>
        <v>#N/A</v>
      </c>
      <c r="FQ367" s="138" t="e">
        <f>IF(VLOOKUP(CONCATENATE(H367,F367,FQ$2),GeoHis!$A:$H,7,FALSE)=CE367,1,0)</f>
        <v>#N/A</v>
      </c>
      <c r="FR367" s="138" t="e">
        <f>IF(VLOOKUP(CONCATENATE(H367,F367,FR$2),GeoHis!$A:$H,7,FALSE)=CF367,1,0)</f>
        <v>#N/A</v>
      </c>
      <c r="FS367" s="138" t="e">
        <f>IF(VLOOKUP(CONCATENATE(H367,F367,FS$2),GeoHis!$A:$H,7,FALSE)=CG367,1,0)</f>
        <v>#N/A</v>
      </c>
      <c r="FT367" s="138" t="e">
        <f>IF(VLOOKUP(CONCATENATE(H367,F367,FT$2),GeoHis!$A:$H,7,FALSE)=CH367,1,0)</f>
        <v>#N/A</v>
      </c>
      <c r="FU367" s="138" t="e">
        <f>IF(VLOOKUP(CONCATENATE(H367,F367,FU$2),GeoHis!$A:$H,7,FALSE)=CI367,1,0)</f>
        <v>#N/A</v>
      </c>
      <c r="FV367" s="138" t="e">
        <f>IF(VLOOKUP(CONCATENATE(H367,F367,FV$2),GeoHis!$A:$H,7,FALSE)=CJ367,1,0)</f>
        <v>#N/A</v>
      </c>
      <c r="FW367" s="138" t="e">
        <f>IF(VLOOKUP(CONCATENATE(H367,F367,FW$2),GeoHis!$A:$H,7,FALSE)=CK367,1,0)</f>
        <v>#N/A</v>
      </c>
      <c r="FX367" s="138" t="e">
        <f>IF(VLOOKUP(CONCATENATE(H367,F367,FX$2),GeoHis!$A:$H,7,FALSE)=CL367,1,0)</f>
        <v>#N/A</v>
      </c>
      <c r="FY367" s="138" t="e">
        <f>IF(VLOOKUP(CONCATENATE(H367,F367,FY$2),GeoHis!$A:$H,7,FALSE)=CM367,1,0)</f>
        <v>#N/A</v>
      </c>
      <c r="FZ367" s="138" t="e">
        <f>IF(VLOOKUP(CONCATENATE(H367,F367,FZ$2),GeoHis!$A:$H,7,FALSE)=CN367,1,0)</f>
        <v>#N/A</v>
      </c>
      <c r="GA367" s="138" t="e">
        <f>IF(VLOOKUP(CONCATENATE(H367,F367,GA$2),GeoHis!$A:$H,7,FALSE)=CO367,1,0)</f>
        <v>#N/A</v>
      </c>
      <c r="GB367" s="138" t="e">
        <f>IF(VLOOKUP(CONCATENATE(H367,F367,GB$2),GeoHis!$A:$H,7,FALSE)=CP367,1,0)</f>
        <v>#N/A</v>
      </c>
      <c r="GC367" s="138" t="e">
        <f>IF(VLOOKUP(CONCATENATE(H367,F367,GC$2),GeoHis!$A:$H,7,FALSE)=CQ367,1,0)</f>
        <v>#N/A</v>
      </c>
      <c r="GD367" s="138" t="e">
        <f>IF(VLOOKUP(CONCATENATE(H367,F367,GD$2),GeoHis!$A:$H,7,FALSE)=CR367,1,0)</f>
        <v>#N/A</v>
      </c>
      <c r="GE367" s="135" t="str">
        <f t="shared" si="47"/>
        <v/>
      </c>
    </row>
    <row r="368" spans="1:187" x14ac:dyDescent="0.25">
      <c r="A368" s="127" t="str">
        <f>IF(C368="","",'Datos Generales'!$A$25)</f>
        <v/>
      </c>
      <c r="D368" s="126" t="str">
        <f t="shared" si="40"/>
        <v/>
      </c>
      <c r="E368" s="126">
        <f t="shared" si="41"/>
        <v>0</v>
      </c>
      <c r="F368" s="126" t="str">
        <f t="shared" si="42"/>
        <v/>
      </c>
      <c r="G368" s="126" t="str">
        <f>IF(C368="","",'Datos Generales'!$D$19)</f>
        <v/>
      </c>
      <c r="H368" s="21" t="str">
        <f>IF(C368="","",'Datos Generales'!$A$19)</f>
        <v/>
      </c>
      <c r="I368" s="126" t="str">
        <f>IF(C368="","",'Datos Generales'!$A$7)</f>
        <v/>
      </c>
      <c r="J368" s="21" t="str">
        <f>IF(C368="","",'Datos Generales'!$A$13)</f>
        <v/>
      </c>
      <c r="K368" s="21" t="str">
        <f>IF(C368="","",'Datos Generales'!$A$10)</f>
        <v/>
      </c>
      <c r="CS368" s="142" t="str">
        <f t="shared" si="43"/>
        <v/>
      </c>
      <c r="CT368" s="142" t="str">
        <f t="shared" si="44"/>
        <v/>
      </c>
      <c r="CU368" s="142" t="str">
        <f t="shared" si="45"/>
        <v/>
      </c>
      <c r="CV368" s="142" t="str">
        <f t="shared" si="46"/>
        <v/>
      </c>
      <c r="CW368" s="142" t="str">
        <f>IF(C368="","",IF('Datos Generales'!$A$19=1,AVERAGE(FP368:GD368),AVERAGE(Captura!FP368:FY368)))</f>
        <v/>
      </c>
      <c r="CX368" s="138" t="e">
        <f>IF(VLOOKUP(CONCATENATE($H$4,$F$4,CX$2),Español!$A:$H,7,FALSE)=L368,1,0)</f>
        <v>#N/A</v>
      </c>
      <c r="CY368" s="138" t="e">
        <f>IF(VLOOKUP(CONCATENATE(H368,F368,CY$2),Español!$A:$H,7,FALSE)=M368,1,0)</f>
        <v>#N/A</v>
      </c>
      <c r="CZ368" s="138" t="e">
        <f>IF(VLOOKUP(CONCATENATE(H368,F368,CZ$2),Español!$A:$H,7,FALSE)=N368,1,0)</f>
        <v>#N/A</v>
      </c>
      <c r="DA368" s="138" t="e">
        <f>IF(VLOOKUP(CONCATENATE(H368,F368,DA$2),Español!$A:$H,7,FALSE)=O368,1,0)</f>
        <v>#N/A</v>
      </c>
      <c r="DB368" s="138" t="e">
        <f>IF(VLOOKUP(CONCATENATE(H368,F368,DB$2),Español!$A:$H,7,FALSE)=P368,1,0)</f>
        <v>#N/A</v>
      </c>
      <c r="DC368" s="138" t="e">
        <f>IF(VLOOKUP(CONCATENATE(H368,F368,DC$2),Español!$A:$H,7,FALSE)=Q368,1,0)</f>
        <v>#N/A</v>
      </c>
      <c r="DD368" s="138" t="e">
        <f>IF(VLOOKUP(CONCATENATE(H368,F368,DD$2),Español!$A:$H,7,FALSE)=R368,1,0)</f>
        <v>#N/A</v>
      </c>
      <c r="DE368" s="138" t="e">
        <f>IF(VLOOKUP(CONCATENATE(H368,F368,DE$2),Español!$A:$H,7,FALSE)=S368,1,0)</f>
        <v>#N/A</v>
      </c>
      <c r="DF368" s="138" t="e">
        <f>IF(VLOOKUP(CONCATENATE(H368,F368,DF$2),Español!$A:$H,7,FALSE)=T368,1,0)</f>
        <v>#N/A</v>
      </c>
      <c r="DG368" s="138" t="e">
        <f>IF(VLOOKUP(CONCATENATE(H368,F368,DG$2),Español!$A:$H,7,FALSE)=U368,1,0)</f>
        <v>#N/A</v>
      </c>
      <c r="DH368" s="138" t="e">
        <f>IF(VLOOKUP(CONCATENATE(H368,F368,DH$2),Español!$A:$H,7,FALSE)=V368,1,0)</f>
        <v>#N/A</v>
      </c>
      <c r="DI368" s="138" t="e">
        <f>IF(VLOOKUP(CONCATENATE(H368,F368,DI$2),Español!$A:$H,7,FALSE)=W368,1,0)</f>
        <v>#N/A</v>
      </c>
      <c r="DJ368" s="138" t="e">
        <f>IF(VLOOKUP(CONCATENATE(H368,F368,DJ$2),Español!$A:$H,7,FALSE)=X368,1,0)</f>
        <v>#N/A</v>
      </c>
      <c r="DK368" s="138" t="e">
        <f>IF(VLOOKUP(CONCATENATE(H368,F368,DK$2),Español!$A:$H,7,FALSE)=Y368,1,0)</f>
        <v>#N/A</v>
      </c>
      <c r="DL368" s="138" t="e">
        <f>IF(VLOOKUP(CONCATENATE(H368,F368,DL$2),Español!$A:$H,7,FALSE)=Z368,1,0)</f>
        <v>#N/A</v>
      </c>
      <c r="DM368" s="138" t="e">
        <f>IF(VLOOKUP(CONCATENATE(H368,F368,DM$2),Español!$A:$H,7,FALSE)=AA368,1,0)</f>
        <v>#N/A</v>
      </c>
      <c r="DN368" s="138" t="e">
        <f>IF(VLOOKUP(CONCATENATE(H368,F368,DN$2),Español!$A:$H,7,FALSE)=AB368,1,0)</f>
        <v>#N/A</v>
      </c>
      <c r="DO368" s="138" t="e">
        <f>IF(VLOOKUP(CONCATENATE(H368,F368,DO$2),Español!$A:$H,7,FALSE)=AC368,1,0)</f>
        <v>#N/A</v>
      </c>
      <c r="DP368" s="138" t="e">
        <f>IF(VLOOKUP(CONCATENATE(H368,F368,DP$2),Español!$A:$H,7,FALSE)=AD368,1,0)</f>
        <v>#N/A</v>
      </c>
      <c r="DQ368" s="138" t="e">
        <f>IF(VLOOKUP(CONCATENATE(H368,F368,DQ$2),Español!$A:$H,7,FALSE)=AE368,1,0)</f>
        <v>#N/A</v>
      </c>
      <c r="DR368" s="138" t="e">
        <f>IF(VLOOKUP(CONCATENATE(H368,F368,DR$2),Inglés!$A:$H,7,FALSE)=AF368,1,0)</f>
        <v>#N/A</v>
      </c>
      <c r="DS368" s="138" t="e">
        <f>IF(VLOOKUP(CONCATENATE(H368,F368,DS$2),Inglés!$A:$H,7,FALSE)=AG368,1,0)</f>
        <v>#N/A</v>
      </c>
      <c r="DT368" s="138" t="e">
        <f>IF(VLOOKUP(CONCATENATE(H368,F368,DT$2),Inglés!$A:$H,7,FALSE)=AH368,1,0)</f>
        <v>#N/A</v>
      </c>
      <c r="DU368" s="138" t="e">
        <f>IF(VLOOKUP(CONCATENATE(H368,F368,DU$2),Inglés!$A:$H,7,FALSE)=AI368,1,0)</f>
        <v>#N/A</v>
      </c>
      <c r="DV368" s="138" t="e">
        <f>IF(VLOOKUP(CONCATENATE(H368,F368,DV$2),Inglés!$A:$H,7,FALSE)=AJ368,1,0)</f>
        <v>#N/A</v>
      </c>
      <c r="DW368" s="138" t="e">
        <f>IF(VLOOKUP(CONCATENATE(H368,F368,DW$2),Inglés!$A:$H,7,FALSE)=AK368,1,0)</f>
        <v>#N/A</v>
      </c>
      <c r="DX368" s="138" t="e">
        <f>IF(VLOOKUP(CONCATENATE(H368,F368,DX$2),Inglés!$A:$H,7,FALSE)=AL368,1,0)</f>
        <v>#N/A</v>
      </c>
      <c r="DY368" s="138" t="e">
        <f>IF(VLOOKUP(CONCATENATE(H368,F368,DY$2),Inglés!$A:$H,7,FALSE)=AM368,1,0)</f>
        <v>#N/A</v>
      </c>
      <c r="DZ368" s="138" t="e">
        <f>IF(VLOOKUP(CONCATENATE(H368,F368,DZ$2),Inglés!$A:$H,7,FALSE)=AN368,1,0)</f>
        <v>#N/A</v>
      </c>
      <c r="EA368" s="138" t="e">
        <f>IF(VLOOKUP(CONCATENATE(H368,F368,EA$2),Inglés!$A:$H,7,FALSE)=AO368,1,0)</f>
        <v>#N/A</v>
      </c>
      <c r="EB368" s="138" t="e">
        <f>IF(VLOOKUP(CONCATENATE(H368,F368,EB$2),Matemáticas!$A:$H,7,FALSE)=AP368,1,0)</f>
        <v>#N/A</v>
      </c>
      <c r="EC368" s="138" t="e">
        <f>IF(VLOOKUP(CONCATENATE(H368,F368,EC$2),Matemáticas!$A:$H,7,FALSE)=AQ368,1,0)</f>
        <v>#N/A</v>
      </c>
      <c r="ED368" s="138" t="e">
        <f>IF(VLOOKUP(CONCATENATE(H368,F368,ED$2),Matemáticas!$A:$H,7,FALSE)=AR368,1,0)</f>
        <v>#N/A</v>
      </c>
      <c r="EE368" s="138" t="e">
        <f>IF(VLOOKUP(CONCATENATE(H368,F368,EE$2),Matemáticas!$A:$H,7,FALSE)=AS368,1,0)</f>
        <v>#N/A</v>
      </c>
      <c r="EF368" s="138" t="e">
        <f>IF(VLOOKUP(CONCATENATE(H368,F368,EF$2),Matemáticas!$A:$H,7,FALSE)=AT368,1,0)</f>
        <v>#N/A</v>
      </c>
      <c r="EG368" s="138" t="e">
        <f>IF(VLOOKUP(CONCATENATE(H368,F368,EG$2),Matemáticas!$A:$H,7,FALSE)=AU368,1,0)</f>
        <v>#N/A</v>
      </c>
      <c r="EH368" s="138" t="e">
        <f>IF(VLOOKUP(CONCATENATE(H368,F368,EH$2),Matemáticas!$A:$H,7,FALSE)=AV368,1,0)</f>
        <v>#N/A</v>
      </c>
      <c r="EI368" s="138" t="e">
        <f>IF(VLOOKUP(CONCATENATE(H368,F368,EI$2),Matemáticas!$A:$H,7,FALSE)=AW368,1,0)</f>
        <v>#N/A</v>
      </c>
      <c r="EJ368" s="138" t="e">
        <f>IF(VLOOKUP(CONCATENATE(H368,F368,EJ$2),Matemáticas!$A:$H,7,FALSE)=AX368,1,0)</f>
        <v>#N/A</v>
      </c>
      <c r="EK368" s="138" t="e">
        <f>IF(VLOOKUP(CONCATENATE(H368,F368,EK$2),Matemáticas!$A:$H,7,FALSE)=AY368,1,0)</f>
        <v>#N/A</v>
      </c>
      <c r="EL368" s="138" t="e">
        <f>IF(VLOOKUP(CONCATENATE(H368,F368,EL$2),Matemáticas!$A:$H,7,FALSE)=AZ368,1,0)</f>
        <v>#N/A</v>
      </c>
      <c r="EM368" s="138" t="e">
        <f>IF(VLOOKUP(CONCATENATE(H368,F368,EM$2),Matemáticas!$A:$H,7,FALSE)=BA368,1,0)</f>
        <v>#N/A</v>
      </c>
      <c r="EN368" s="138" t="e">
        <f>IF(VLOOKUP(CONCATENATE(H368,F368,EN$2),Matemáticas!$A:$H,7,FALSE)=BB368,1,0)</f>
        <v>#N/A</v>
      </c>
      <c r="EO368" s="138" t="e">
        <f>IF(VLOOKUP(CONCATENATE(H368,F368,EO$2),Matemáticas!$A:$H,7,FALSE)=BC368,1,0)</f>
        <v>#N/A</v>
      </c>
      <c r="EP368" s="138" t="e">
        <f>IF(VLOOKUP(CONCATENATE(H368,F368,EP$2),Matemáticas!$A:$H,7,FALSE)=BD368,1,0)</f>
        <v>#N/A</v>
      </c>
      <c r="EQ368" s="138" t="e">
        <f>IF(VLOOKUP(CONCATENATE(H368,F368,EQ$2),Matemáticas!$A:$H,7,FALSE)=BE368,1,0)</f>
        <v>#N/A</v>
      </c>
      <c r="ER368" s="138" t="e">
        <f>IF(VLOOKUP(CONCATENATE(H368,F368,ER$2),Matemáticas!$A:$H,7,FALSE)=BF368,1,0)</f>
        <v>#N/A</v>
      </c>
      <c r="ES368" s="138" t="e">
        <f>IF(VLOOKUP(CONCATENATE(H368,F368,ES$2),Matemáticas!$A:$H,7,FALSE)=BG368,1,0)</f>
        <v>#N/A</v>
      </c>
      <c r="ET368" s="138" t="e">
        <f>IF(VLOOKUP(CONCATENATE(H368,F368,ET$2),Matemáticas!$A:$H,7,FALSE)=BH368,1,0)</f>
        <v>#N/A</v>
      </c>
      <c r="EU368" s="138" t="e">
        <f>IF(VLOOKUP(CONCATENATE(H368,F368,EU$2),Matemáticas!$A:$H,7,FALSE)=BI368,1,0)</f>
        <v>#N/A</v>
      </c>
      <c r="EV368" s="138" t="e">
        <f>IF(VLOOKUP(CONCATENATE(H368,F368,EV$2),Ciencias!$A:$H,7,FALSE)=BJ368,1,0)</f>
        <v>#N/A</v>
      </c>
      <c r="EW368" s="138" t="e">
        <f>IF(VLOOKUP(CONCATENATE(H368,F368,EW$2),Ciencias!$A:$H,7,FALSE)=BK368,1,0)</f>
        <v>#N/A</v>
      </c>
      <c r="EX368" s="138" t="e">
        <f>IF(VLOOKUP(CONCATENATE(H368,F368,EX$2),Ciencias!$A:$H,7,FALSE)=BL368,1,0)</f>
        <v>#N/A</v>
      </c>
      <c r="EY368" s="138" t="e">
        <f>IF(VLOOKUP(CONCATENATE(H368,F368,EY$2),Ciencias!$A:$H,7,FALSE)=BM368,1,0)</f>
        <v>#N/A</v>
      </c>
      <c r="EZ368" s="138" t="e">
        <f>IF(VLOOKUP(CONCATENATE(H368,F368,EZ$2),Ciencias!$A:$H,7,FALSE)=BN368,1,0)</f>
        <v>#N/A</v>
      </c>
      <c r="FA368" s="138" t="e">
        <f>IF(VLOOKUP(CONCATENATE(H368,F368,FA$2),Ciencias!$A:$H,7,FALSE)=BO368,1,0)</f>
        <v>#N/A</v>
      </c>
      <c r="FB368" s="138" t="e">
        <f>IF(VLOOKUP(CONCATENATE(H368,F368,FB$2),Ciencias!$A:$H,7,FALSE)=BP368,1,0)</f>
        <v>#N/A</v>
      </c>
      <c r="FC368" s="138" t="e">
        <f>IF(VLOOKUP(CONCATENATE(H368,F368,FC$2),Ciencias!$A:$H,7,FALSE)=BQ368,1,0)</f>
        <v>#N/A</v>
      </c>
      <c r="FD368" s="138" t="e">
        <f>IF(VLOOKUP(CONCATENATE(H368,F368,FD$2),Ciencias!$A:$H,7,FALSE)=BR368,1,0)</f>
        <v>#N/A</v>
      </c>
      <c r="FE368" s="138" t="e">
        <f>IF(VLOOKUP(CONCATENATE(H368,F368,FE$2),Ciencias!$A:$H,7,FALSE)=BS368,1,0)</f>
        <v>#N/A</v>
      </c>
      <c r="FF368" s="138" t="e">
        <f>IF(VLOOKUP(CONCATENATE(H368,F368,FF$2),Ciencias!$A:$H,7,FALSE)=BT368,1,0)</f>
        <v>#N/A</v>
      </c>
      <c r="FG368" s="138" t="e">
        <f>IF(VLOOKUP(CONCATENATE(H368,F368,FG$2),Ciencias!$A:$H,7,FALSE)=BU368,1,0)</f>
        <v>#N/A</v>
      </c>
      <c r="FH368" s="138" t="e">
        <f>IF(VLOOKUP(CONCATENATE(H368,F368,FH$2),Ciencias!$A:$H,7,FALSE)=BV368,1,0)</f>
        <v>#N/A</v>
      </c>
      <c r="FI368" s="138" t="e">
        <f>IF(VLOOKUP(CONCATENATE(H368,F368,FI$2),Ciencias!$A:$H,7,FALSE)=BW368,1,0)</f>
        <v>#N/A</v>
      </c>
      <c r="FJ368" s="138" t="e">
        <f>IF(VLOOKUP(CONCATENATE(H368,F368,FJ$2),Ciencias!$A:$H,7,FALSE)=BX368,1,0)</f>
        <v>#N/A</v>
      </c>
      <c r="FK368" s="138" t="e">
        <f>IF(VLOOKUP(CONCATENATE(H368,F368,FK$2),Ciencias!$A:$H,7,FALSE)=BY368,1,0)</f>
        <v>#N/A</v>
      </c>
      <c r="FL368" s="138" t="e">
        <f>IF(VLOOKUP(CONCATENATE(H368,F368,FL$2),Ciencias!$A:$H,7,FALSE)=BZ368,1,0)</f>
        <v>#N/A</v>
      </c>
      <c r="FM368" s="138" t="e">
        <f>IF(VLOOKUP(CONCATENATE(H368,F368,FM$2),Ciencias!$A:$H,7,FALSE)=CA368,1,0)</f>
        <v>#N/A</v>
      </c>
      <c r="FN368" s="138" t="e">
        <f>IF(VLOOKUP(CONCATENATE(H368,F368,FN$2),Ciencias!$A:$H,7,FALSE)=CB368,1,0)</f>
        <v>#N/A</v>
      </c>
      <c r="FO368" s="138" t="e">
        <f>IF(VLOOKUP(CONCATENATE(H368,F368,FO$2),Ciencias!$A:$H,7,FALSE)=CC368,1,0)</f>
        <v>#N/A</v>
      </c>
      <c r="FP368" s="138" t="e">
        <f>IF(VLOOKUP(CONCATENATE(H368,F368,FP$2),GeoHis!$A:$H,7,FALSE)=CD368,1,0)</f>
        <v>#N/A</v>
      </c>
      <c r="FQ368" s="138" t="e">
        <f>IF(VLOOKUP(CONCATENATE(H368,F368,FQ$2),GeoHis!$A:$H,7,FALSE)=CE368,1,0)</f>
        <v>#N/A</v>
      </c>
      <c r="FR368" s="138" t="e">
        <f>IF(VLOOKUP(CONCATENATE(H368,F368,FR$2),GeoHis!$A:$H,7,FALSE)=CF368,1,0)</f>
        <v>#N/A</v>
      </c>
      <c r="FS368" s="138" t="e">
        <f>IF(VLOOKUP(CONCATENATE(H368,F368,FS$2),GeoHis!$A:$H,7,FALSE)=CG368,1,0)</f>
        <v>#N/A</v>
      </c>
      <c r="FT368" s="138" t="e">
        <f>IF(VLOOKUP(CONCATENATE(H368,F368,FT$2),GeoHis!$A:$H,7,FALSE)=CH368,1,0)</f>
        <v>#N/A</v>
      </c>
      <c r="FU368" s="138" t="e">
        <f>IF(VLOOKUP(CONCATENATE(H368,F368,FU$2),GeoHis!$A:$H,7,FALSE)=CI368,1,0)</f>
        <v>#N/A</v>
      </c>
      <c r="FV368" s="138" t="e">
        <f>IF(VLOOKUP(CONCATENATE(H368,F368,FV$2),GeoHis!$A:$H,7,FALSE)=CJ368,1,0)</f>
        <v>#N/A</v>
      </c>
      <c r="FW368" s="138" t="e">
        <f>IF(VLOOKUP(CONCATENATE(H368,F368,FW$2),GeoHis!$A:$H,7,FALSE)=CK368,1,0)</f>
        <v>#N/A</v>
      </c>
      <c r="FX368" s="138" t="e">
        <f>IF(VLOOKUP(CONCATENATE(H368,F368,FX$2),GeoHis!$A:$H,7,FALSE)=CL368,1,0)</f>
        <v>#N/A</v>
      </c>
      <c r="FY368" s="138" t="e">
        <f>IF(VLOOKUP(CONCATENATE(H368,F368,FY$2),GeoHis!$A:$H,7,FALSE)=CM368,1,0)</f>
        <v>#N/A</v>
      </c>
      <c r="FZ368" s="138" t="e">
        <f>IF(VLOOKUP(CONCATENATE(H368,F368,FZ$2),GeoHis!$A:$H,7,FALSE)=CN368,1,0)</f>
        <v>#N/A</v>
      </c>
      <c r="GA368" s="138" t="e">
        <f>IF(VLOOKUP(CONCATENATE(H368,F368,GA$2),GeoHis!$A:$H,7,FALSE)=CO368,1,0)</f>
        <v>#N/A</v>
      </c>
      <c r="GB368" s="138" t="e">
        <f>IF(VLOOKUP(CONCATENATE(H368,F368,GB$2),GeoHis!$A:$H,7,FALSE)=CP368,1,0)</f>
        <v>#N/A</v>
      </c>
      <c r="GC368" s="138" t="e">
        <f>IF(VLOOKUP(CONCATENATE(H368,F368,GC$2),GeoHis!$A:$H,7,FALSE)=CQ368,1,0)</f>
        <v>#N/A</v>
      </c>
      <c r="GD368" s="138" t="e">
        <f>IF(VLOOKUP(CONCATENATE(H368,F368,GD$2),GeoHis!$A:$H,7,FALSE)=CR368,1,0)</f>
        <v>#N/A</v>
      </c>
      <c r="GE368" s="135" t="str">
        <f t="shared" si="47"/>
        <v/>
      </c>
    </row>
    <row r="369" spans="1:187" x14ac:dyDescent="0.25">
      <c r="A369" s="127" t="str">
        <f>IF(C369="","",'Datos Generales'!$A$25)</f>
        <v/>
      </c>
      <c r="D369" s="126" t="str">
        <f t="shared" si="40"/>
        <v/>
      </c>
      <c r="E369" s="126">
        <f t="shared" si="41"/>
        <v>0</v>
      </c>
      <c r="F369" s="126" t="str">
        <f t="shared" si="42"/>
        <v/>
      </c>
      <c r="G369" s="126" t="str">
        <f>IF(C369="","",'Datos Generales'!$D$19)</f>
        <v/>
      </c>
      <c r="H369" s="21" t="str">
        <f>IF(C369="","",'Datos Generales'!$A$19)</f>
        <v/>
      </c>
      <c r="I369" s="126" t="str">
        <f>IF(C369="","",'Datos Generales'!$A$7)</f>
        <v/>
      </c>
      <c r="J369" s="21" t="str">
        <f>IF(C369="","",'Datos Generales'!$A$13)</f>
        <v/>
      </c>
      <c r="K369" s="21" t="str">
        <f>IF(C369="","",'Datos Generales'!$A$10)</f>
        <v/>
      </c>
      <c r="CS369" s="142" t="str">
        <f t="shared" si="43"/>
        <v/>
      </c>
      <c r="CT369" s="142" t="str">
        <f t="shared" si="44"/>
        <v/>
      </c>
      <c r="CU369" s="142" t="str">
        <f t="shared" si="45"/>
        <v/>
      </c>
      <c r="CV369" s="142" t="str">
        <f t="shared" si="46"/>
        <v/>
      </c>
      <c r="CW369" s="142" t="str">
        <f>IF(C369="","",IF('Datos Generales'!$A$19=1,AVERAGE(FP369:GD369),AVERAGE(Captura!FP369:FY369)))</f>
        <v/>
      </c>
      <c r="CX369" s="138" t="e">
        <f>IF(VLOOKUP(CONCATENATE($H$4,$F$4,CX$2),Español!$A:$H,7,FALSE)=L369,1,0)</f>
        <v>#N/A</v>
      </c>
      <c r="CY369" s="138" t="e">
        <f>IF(VLOOKUP(CONCATENATE(H369,F369,CY$2),Español!$A:$H,7,FALSE)=M369,1,0)</f>
        <v>#N/A</v>
      </c>
      <c r="CZ369" s="138" t="e">
        <f>IF(VLOOKUP(CONCATENATE(H369,F369,CZ$2),Español!$A:$H,7,FALSE)=N369,1,0)</f>
        <v>#N/A</v>
      </c>
      <c r="DA369" s="138" t="e">
        <f>IF(VLOOKUP(CONCATENATE(H369,F369,DA$2),Español!$A:$H,7,FALSE)=O369,1,0)</f>
        <v>#N/A</v>
      </c>
      <c r="DB369" s="138" t="e">
        <f>IF(VLOOKUP(CONCATENATE(H369,F369,DB$2),Español!$A:$H,7,FALSE)=P369,1,0)</f>
        <v>#N/A</v>
      </c>
      <c r="DC369" s="138" t="e">
        <f>IF(VLOOKUP(CONCATENATE(H369,F369,DC$2),Español!$A:$H,7,FALSE)=Q369,1,0)</f>
        <v>#N/A</v>
      </c>
      <c r="DD369" s="138" t="e">
        <f>IF(VLOOKUP(CONCATENATE(H369,F369,DD$2),Español!$A:$H,7,FALSE)=R369,1,0)</f>
        <v>#N/A</v>
      </c>
      <c r="DE369" s="138" t="e">
        <f>IF(VLOOKUP(CONCATENATE(H369,F369,DE$2),Español!$A:$H,7,FALSE)=S369,1,0)</f>
        <v>#N/A</v>
      </c>
      <c r="DF369" s="138" t="e">
        <f>IF(VLOOKUP(CONCATENATE(H369,F369,DF$2),Español!$A:$H,7,FALSE)=T369,1,0)</f>
        <v>#N/A</v>
      </c>
      <c r="DG369" s="138" t="e">
        <f>IF(VLOOKUP(CONCATENATE(H369,F369,DG$2),Español!$A:$H,7,FALSE)=U369,1,0)</f>
        <v>#N/A</v>
      </c>
      <c r="DH369" s="138" t="e">
        <f>IF(VLOOKUP(CONCATENATE(H369,F369,DH$2),Español!$A:$H,7,FALSE)=V369,1,0)</f>
        <v>#N/A</v>
      </c>
      <c r="DI369" s="138" t="e">
        <f>IF(VLOOKUP(CONCATENATE(H369,F369,DI$2),Español!$A:$H,7,FALSE)=W369,1,0)</f>
        <v>#N/A</v>
      </c>
      <c r="DJ369" s="138" t="e">
        <f>IF(VLOOKUP(CONCATENATE(H369,F369,DJ$2),Español!$A:$H,7,FALSE)=X369,1,0)</f>
        <v>#N/A</v>
      </c>
      <c r="DK369" s="138" t="e">
        <f>IF(VLOOKUP(CONCATENATE(H369,F369,DK$2),Español!$A:$H,7,FALSE)=Y369,1,0)</f>
        <v>#N/A</v>
      </c>
      <c r="DL369" s="138" t="e">
        <f>IF(VLOOKUP(CONCATENATE(H369,F369,DL$2),Español!$A:$H,7,FALSE)=Z369,1,0)</f>
        <v>#N/A</v>
      </c>
      <c r="DM369" s="138" t="e">
        <f>IF(VLOOKUP(CONCATENATE(H369,F369,DM$2),Español!$A:$H,7,FALSE)=AA369,1,0)</f>
        <v>#N/A</v>
      </c>
      <c r="DN369" s="138" t="e">
        <f>IF(VLOOKUP(CONCATENATE(H369,F369,DN$2),Español!$A:$H,7,FALSE)=AB369,1,0)</f>
        <v>#N/A</v>
      </c>
      <c r="DO369" s="138" t="e">
        <f>IF(VLOOKUP(CONCATENATE(H369,F369,DO$2),Español!$A:$H,7,FALSE)=AC369,1,0)</f>
        <v>#N/A</v>
      </c>
      <c r="DP369" s="138" t="e">
        <f>IF(VLOOKUP(CONCATENATE(H369,F369,DP$2),Español!$A:$H,7,FALSE)=AD369,1,0)</f>
        <v>#N/A</v>
      </c>
      <c r="DQ369" s="138" t="e">
        <f>IF(VLOOKUP(CONCATENATE(H369,F369,DQ$2),Español!$A:$H,7,FALSE)=AE369,1,0)</f>
        <v>#N/A</v>
      </c>
      <c r="DR369" s="138" t="e">
        <f>IF(VLOOKUP(CONCATENATE(H369,F369,DR$2),Inglés!$A:$H,7,FALSE)=AF369,1,0)</f>
        <v>#N/A</v>
      </c>
      <c r="DS369" s="138" t="e">
        <f>IF(VLOOKUP(CONCATENATE(H369,F369,DS$2),Inglés!$A:$H,7,FALSE)=AG369,1,0)</f>
        <v>#N/A</v>
      </c>
      <c r="DT369" s="138" t="e">
        <f>IF(VLOOKUP(CONCATENATE(H369,F369,DT$2),Inglés!$A:$H,7,FALSE)=AH369,1,0)</f>
        <v>#N/A</v>
      </c>
      <c r="DU369" s="138" t="e">
        <f>IF(VLOOKUP(CONCATENATE(H369,F369,DU$2),Inglés!$A:$H,7,FALSE)=AI369,1,0)</f>
        <v>#N/A</v>
      </c>
      <c r="DV369" s="138" t="e">
        <f>IF(VLOOKUP(CONCATENATE(H369,F369,DV$2),Inglés!$A:$H,7,FALSE)=AJ369,1,0)</f>
        <v>#N/A</v>
      </c>
      <c r="DW369" s="138" t="e">
        <f>IF(VLOOKUP(CONCATENATE(H369,F369,DW$2),Inglés!$A:$H,7,FALSE)=AK369,1,0)</f>
        <v>#N/A</v>
      </c>
      <c r="DX369" s="138" t="e">
        <f>IF(VLOOKUP(CONCATENATE(H369,F369,DX$2),Inglés!$A:$H,7,FALSE)=AL369,1,0)</f>
        <v>#N/A</v>
      </c>
      <c r="DY369" s="138" t="e">
        <f>IF(VLOOKUP(CONCATENATE(H369,F369,DY$2),Inglés!$A:$H,7,FALSE)=AM369,1,0)</f>
        <v>#N/A</v>
      </c>
      <c r="DZ369" s="138" t="e">
        <f>IF(VLOOKUP(CONCATENATE(H369,F369,DZ$2),Inglés!$A:$H,7,FALSE)=AN369,1,0)</f>
        <v>#N/A</v>
      </c>
      <c r="EA369" s="138" t="e">
        <f>IF(VLOOKUP(CONCATENATE(H369,F369,EA$2),Inglés!$A:$H,7,FALSE)=AO369,1,0)</f>
        <v>#N/A</v>
      </c>
      <c r="EB369" s="138" t="e">
        <f>IF(VLOOKUP(CONCATENATE(H369,F369,EB$2),Matemáticas!$A:$H,7,FALSE)=AP369,1,0)</f>
        <v>#N/A</v>
      </c>
      <c r="EC369" s="138" t="e">
        <f>IF(VLOOKUP(CONCATENATE(H369,F369,EC$2),Matemáticas!$A:$H,7,FALSE)=AQ369,1,0)</f>
        <v>#N/A</v>
      </c>
      <c r="ED369" s="138" t="e">
        <f>IF(VLOOKUP(CONCATENATE(H369,F369,ED$2),Matemáticas!$A:$H,7,FALSE)=AR369,1,0)</f>
        <v>#N/A</v>
      </c>
      <c r="EE369" s="138" t="e">
        <f>IF(VLOOKUP(CONCATENATE(H369,F369,EE$2),Matemáticas!$A:$H,7,FALSE)=AS369,1,0)</f>
        <v>#N/A</v>
      </c>
      <c r="EF369" s="138" t="e">
        <f>IF(VLOOKUP(CONCATENATE(H369,F369,EF$2),Matemáticas!$A:$H,7,FALSE)=AT369,1,0)</f>
        <v>#N/A</v>
      </c>
      <c r="EG369" s="138" t="e">
        <f>IF(VLOOKUP(CONCATENATE(H369,F369,EG$2),Matemáticas!$A:$H,7,FALSE)=AU369,1,0)</f>
        <v>#N/A</v>
      </c>
      <c r="EH369" s="138" t="e">
        <f>IF(VLOOKUP(CONCATENATE(H369,F369,EH$2),Matemáticas!$A:$H,7,FALSE)=AV369,1,0)</f>
        <v>#N/A</v>
      </c>
      <c r="EI369" s="138" t="e">
        <f>IF(VLOOKUP(CONCATENATE(H369,F369,EI$2),Matemáticas!$A:$H,7,FALSE)=AW369,1,0)</f>
        <v>#N/A</v>
      </c>
      <c r="EJ369" s="138" t="e">
        <f>IF(VLOOKUP(CONCATENATE(H369,F369,EJ$2),Matemáticas!$A:$H,7,FALSE)=AX369,1,0)</f>
        <v>#N/A</v>
      </c>
      <c r="EK369" s="138" t="e">
        <f>IF(VLOOKUP(CONCATENATE(H369,F369,EK$2),Matemáticas!$A:$H,7,FALSE)=AY369,1,0)</f>
        <v>#N/A</v>
      </c>
      <c r="EL369" s="138" t="e">
        <f>IF(VLOOKUP(CONCATENATE(H369,F369,EL$2),Matemáticas!$A:$H,7,FALSE)=AZ369,1,0)</f>
        <v>#N/A</v>
      </c>
      <c r="EM369" s="138" t="e">
        <f>IF(VLOOKUP(CONCATENATE(H369,F369,EM$2),Matemáticas!$A:$H,7,FALSE)=BA369,1,0)</f>
        <v>#N/A</v>
      </c>
      <c r="EN369" s="138" t="e">
        <f>IF(VLOOKUP(CONCATENATE(H369,F369,EN$2),Matemáticas!$A:$H,7,FALSE)=BB369,1,0)</f>
        <v>#N/A</v>
      </c>
      <c r="EO369" s="138" t="e">
        <f>IF(VLOOKUP(CONCATENATE(H369,F369,EO$2),Matemáticas!$A:$H,7,FALSE)=BC369,1,0)</f>
        <v>#N/A</v>
      </c>
      <c r="EP369" s="138" t="e">
        <f>IF(VLOOKUP(CONCATENATE(H369,F369,EP$2),Matemáticas!$A:$H,7,FALSE)=BD369,1,0)</f>
        <v>#N/A</v>
      </c>
      <c r="EQ369" s="138" t="e">
        <f>IF(VLOOKUP(CONCATENATE(H369,F369,EQ$2),Matemáticas!$A:$H,7,FALSE)=BE369,1,0)</f>
        <v>#N/A</v>
      </c>
      <c r="ER369" s="138" t="e">
        <f>IF(VLOOKUP(CONCATENATE(H369,F369,ER$2),Matemáticas!$A:$H,7,FALSE)=BF369,1,0)</f>
        <v>#N/A</v>
      </c>
      <c r="ES369" s="138" t="e">
        <f>IF(VLOOKUP(CONCATENATE(H369,F369,ES$2),Matemáticas!$A:$H,7,FALSE)=BG369,1,0)</f>
        <v>#N/A</v>
      </c>
      <c r="ET369" s="138" t="e">
        <f>IF(VLOOKUP(CONCATENATE(H369,F369,ET$2),Matemáticas!$A:$H,7,FALSE)=BH369,1,0)</f>
        <v>#N/A</v>
      </c>
      <c r="EU369" s="138" t="e">
        <f>IF(VLOOKUP(CONCATENATE(H369,F369,EU$2),Matemáticas!$A:$H,7,FALSE)=BI369,1,0)</f>
        <v>#N/A</v>
      </c>
      <c r="EV369" s="138" t="e">
        <f>IF(VLOOKUP(CONCATENATE(H369,F369,EV$2),Ciencias!$A:$H,7,FALSE)=BJ369,1,0)</f>
        <v>#N/A</v>
      </c>
      <c r="EW369" s="138" t="e">
        <f>IF(VLOOKUP(CONCATENATE(H369,F369,EW$2),Ciencias!$A:$H,7,FALSE)=BK369,1,0)</f>
        <v>#N/A</v>
      </c>
      <c r="EX369" s="138" t="e">
        <f>IF(VLOOKUP(CONCATENATE(H369,F369,EX$2),Ciencias!$A:$H,7,FALSE)=BL369,1,0)</f>
        <v>#N/A</v>
      </c>
      <c r="EY369" s="138" t="e">
        <f>IF(VLOOKUP(CONCATENATE(H369,F369,EY$2),Ciencias!$A:$H,7,FALSE)=BM369,1,0)</f>
        <v>#N/A</v>
      </c>
      <c r="EZ369" s="138" t="e">
        <f>IF(VLOOKUP(CONCATENATE(H369,F369,EZ$2),Ciencias!$A:$H,7,FALSE)=BN369,1,0)</f>
        <v>#N/A</v>
      </c>
      <c r="FA369" s="138" t="e">
        <f>IF(VLOOKUP(CONCATENATE(H369,F369,FA$2),Ciencias!$A:$H,7,FALSE)=BO369,1,0)</f>
        <v>#N/A</v>
      </c>
      <c r="FB369" s="138" t="e">
        <f>IF(VLOOKUP(CONCATENATE(H369,F369,FB$2),Ciencias!$A:$H,7,FALSE)=BP369,1,0)</f>
        <v>#N/A</v>
      </c>
      <c r="FC369" s="138" t="e">
        <f>IF(VLOOKUP(CONCATENATE(H369,F369,FC$2),Ciencias!$A:$H,7,FALSE)=BQ369,1,0)</f>
        <v>#N/A</v>
      </c>
      <c r="FD369" s="138" t="e">
        <f>IF(VLOOKUP(CONCATENATE(H369,F369,FD$2),Ciencias!$A:$H,7,FALSE)=BR369,1,0)</f>
        <v>#N/A</v>
      </c>
      <c r="FE369" s="138" t="e">
        <f>IF(VLOOKUP(CONCATENATE(H369,F369,FE$2),Ciencias!$A:$H,7,FALSE)=BS369,1,0)</f>
        <v>#N/A</v>
      </c>
      <c r="FF369" s="138" t="e">
        <f>IF(VLOOKUP(CONCATENATE(H369,F369,FF$2),Ciencias!$A:$H,7,FALSE)=BT369,1,0)</f>
        <v>#N/A</v>
      </c>
      <c r="FG369" s="138" t="e">
        <f>IF(VLOOKUP(CONCATENATE(H369,F369,FG$2),Ciencias!$A:$H,7,FALSE)=BU369,1,0)</f>
        <v>#N/A</v>
      </c>
      <c r="FH369" s="138" t="e">
        <f>IF(VLOOKUP(CONCATENATE(H369,F369,FH$2),Ciencias!$A:$H,7,FALSE)=BV369,1,0)</f>
        <v>#N/A</v>
      </c>
      <c r="FI369" s="138" t="e">
        <f>IF(VLOOKUP(CONCATENATE(H369,F369,FI$2),Ciencias!$A:$H,7,FALSE)=BW369,1,0)</f>
        <v>#N/A</v>
      </c>
      <c r="FJ369" s="138" t="e">
        <f>IF(VLOOKUP(CONCATENATE(H369,F369,FJ$2),Ciencias!$A:$H,7,FALSE)=BX369,1,0)</f>
        <v>#N/A</v>
      </c>
      <c r="FK369" s="138" t="e">
        <f>IF(VLOOKUP(CONCATENATE(H369,F369,FK$2),Ciencias!$A:$H,7,FALSE)=BY369,1,0)</f>
        <v>#N/A</v>
      </c>
      <c r="FL369" s="138" t="e">
        <f>IF(VLOOKUP(CONCATENATE(H369,F369,FL$2),Ciencias!$A:$H,7,FALSE)=BZ369,1,0)</f>
        <v>#N/A</v>
      </c>
      <c r="FM369" s="138" t="e">
        <f>IF(VLOOKUP(CONCATENATE(H369,F369,FM$2),Ciencias!$A:$H,7,FALSE)=CA369,1,0)</f>
        <v>#N/A</v>
      </c>
      <c r="FN369" s="138" t="e">
        <f>IF(VLOOKUP(CONCATENATE(H369,F369,FN$2),Ciencias!$A:$H,7,FALSE)=CB369,1,0)</f>
        <v>#N/A</v>
      </c>
      <c r="FO369" s="138" t="e">
        <f>IF(VLOOKUP(CONCATENATE(H369,F369,FO$2),Ciencias!$A:$H,7,FALSE)=CC369,1,0)</f>
        <v>#N/A</v>
      </c>
      <c r="FP369" s="138" t="e">
        <f>IF(VLOOKUP(CONCATENATE(H369,F369,FP$2),GeoHis!$A:$H,7,FALSE)=CD369,1,0)</f>
        <v>#N/A</v>
      </c>
      <c r="FQ369" s="138" t="e">
        <f>IF(VLOOKUP(CONCATENATE(H369,F369,FQ$2),GeoHis!$A:$H,7,FALSE)=CE369,1,0)</f>
        <v>#N/A</v>
      </c>
      <c r="FR369" s="138" t="e">
        <f>IF(VLOOKUP(CONCATENATE(H369,F369,FR$2),GeoHis!$A:$H,7,FALSE)=CF369,1,0)</f>
        <v>#N/A</v>
      </c>
      <c r="FS369" s="138" t="e">
        <f>IF(VLOOKUP(CONCATENATE(H369,F369,FS$2),GeoHis!$A:$H,7,FALSE)=CG369,1,0)</f>
        <v>#N/A</v>
      </c>
      <c r="FT369" s="138" t="e">
        <f>IF(VLOOKUP(CONCATENATE(H369,F369,FT$2),GeoHis!$A:$H,7,FALSE)=CH369,1,0)</f>
        <v>#N/A</v>
      </c>
      <c r="FU369" s="138" t="e">
        <f>IF(VLOOKUP(CONCATENATE(H369,F369,FU$2),GeoHis!$A:$H,7,FALSE)=CI369,1,0)</f>
        <v>#N/A</v>
      </c>
      <c r="FV369" s="138" t="e">
        <f>IF(VLOOKUP(CONCATENATE(H369,F369,FV$2),GeoHis!$A:$H,7,FALSE)=CJ369,1,0)</f>
        <v>#N/A</v>
      </c>
      <c r="FW369" s="138" t="e">
        <f>IF(VLOOKUP(CONCATENATE(H369,F369,FW$2),GeoHis!$A:$H,7,FALSE)=CK369,1,0)</f>
        <v>#N/A</v>
      </c>
      <c r="FX369" s="138" t="e">
        <f>IF(VLOOKUP(CONCATENATE(H369,F369,FX$2),GeoHis!$A:$H,7,FALSE)=CL369,1,0)</f>
        <v>#N/A</v>
      </c>
      <c r="FY369" s="138" t="e">
        <f>IF(VLOOKUP(CONCATENATE(H369,F369,FY$2),GeoHis!$A:$H,7,FALSE)=CM369,1,0)</f>
        <v>#N/A</v>
      </c>
      <c r="FZ369" s="138" t="e">
        <f>IF(VLOOKUP(CONCATENATE(H369,F369,FZ$2),GeoHis!$A:$H,7,FALSE)=CN369,1,0)</f>
        <v>#N/A</v>
      </c>
      <c r="GA369" s="138" t="e">
        <f>IF(VLOOKUP(CONCATENATE(H369,F369,GA$2),GeoHis!$A:$H,7,FALSE)=CO369,1,0)</f>
        <v>#N/A</v>
      </c>
      <c r="GB369" s="138" t="e">
        <f>IF(VLOOKUP(CONCATENATE(H369,F369,GB$2),GeoHis!$A:$H,7,FALSE)=CP369,1,0)</f>
        <v>#N/A</v>
      </c>
      <c r="GC369" s="138" t="e">
        <f>IF(VLOOKUP(CONCATENATE(H369,F369,GC$2),GeoHis!$A:$H,7,FALSE)=CQ369,1,0)</f>
        <v>#N/A</v>
      </c>
      <c r="GD369" s="138" t="e">
        <f>IF(VLOOKUP(CONCATENATE(H369,F369,GD$2),GeoHis!$A:$H,7,FALSE)=CR369,1,0)</f>
        <v>#N/A</v>
      </c>
      <c r="GE369" s="135" t="str">
        <f t="shared" si="47"/>
        <v/>
      </c>
    </row>
    <row r="370" spans="1:187" x14ac:dyDescent="0.25">
      <c r="A370" s="127" t="str">
        <f>IF(C370="","",'Datos Generales'!$A$25)</f>
        <v/>
      </c>
      <c r="D370" s="126" t="str">
        <f t="shared" si="40"/>
        <v/>
      </c>
      <c r="E370" s="126">
        <f t="shared" si="41"/>
        <v>0</v>
      </c>
      <c r="F370" s="126" t="str">
        <f t="shared" si="42"/>
        <v/>
      </c>
      <c r="G370" s="126" t="str">
        <f>IF(C370="","",'Datos Generales'!$D$19)</f>
        <v/>
      </c>
      <c r="H370" s="21" t="str">
        <f>IF(C370="","",'Datos Generales'!$A$19)</f>
        <v/>
      </c>
      <c r="I370" s="126" t="str">
        <f>IF(C370="","",'Datos Generales'!$A$7)</f>
        <v/>
      </c>
      <c r="J370" s="21" t="str">
        <f>IF(C370="","",'Datos Generales'!$A$13)</f>
        <v/>
      </c>
      <c r="K370" s="21" t="str">
        <f>IF(C370="","",'Datos Generales'!$A$10)</f>
        <v/>
      </c>
      <c r="CS370" s="142" t="str">
        <f t="shared" si="43"/>
        <v/>
      </c>
      <c r="CT370" s="142" t="str">
        <f t="shared" si="44"/>
        <v/>
      </c>
      <c r="CU370" s="142" t="str">
        <f t="shared" si="45"/>
        <v/>
      </c>
      <c r="CV370" s="142" t="str">
        <f t="shared" si="46"/>
        <v/>
      </c>
      <c r="CW370" s="142" t="str">
        <f>IF(C370="","",IF('Datos Generales'!$A$19=1,AVERAGE(FP370:GD370),AVERAGE(Captura!FP370:FY370)))</f>
        <v/>
      </c>
      <c r="CX370" s="138" t="e">
        <f>IF(VLOOKUP(CONCATENATE($H$4,$F$4,CX$2),Español!$A:$H,7,FALSE)=L370,1,0)</f>
        <v>#N/A</v>
      </c>
      <c r="CY370" s="138" t="e">
        <f>IF(VLOOKUP(CONCATENATE(H370,F370,CY$2),Español!$A:$H,7,FALSE)=M370,1,0)</f>
        <v>#N/A</v>
      </c>
      <c r="CZ370" s="138" t="e">
        <f>IF(VLOOKUP(CONCATENATE(H370,F370,CZ$2),Español!$A:$H,7,FALSE)=N370,1,0)</f>
        <v>#N/A</v>
      </c>
      <c r="DA370" s="138" t="e">
        <f>IF(VLOOKUP(CONCATENATE(H370,F370,DA$2),Español!$A:$H,7,FALSE)=O370,1,0)</f>
        <v>#N/A</v>
      </c>
      <c r="DB370" s="138" t="e">
        <f>IF(VLOOKUP(CONCATENATE(H370,F370,DB$2),Español!$A:$H,7,FALSE)=P370,1,0)</f>
        <v>#N/A</v>
      </c>
      <c r="DC370" s="138" t="e">
        <f>IF(VLOOKUP(CONCATENATE(H370,F370,DC$2),Español!$A:$H,7,FALSE)=Q370,1,0)</f>
        <v>#N/A</v>
      </c>
      <c r="DD370" s="138" t="e">
        <f>IF(VLOOKUP(CONCATENATE(H370,F370,DD$2),Español!$A:$H,7,FALSE)=R370,1,0)</f>
        <v>#N/A</v>
      </c>
      <c r="DE370" s="138" t="e">
        <f>IF(VLOOKUP(CONCATENATE(H370,F370,DE$2),Español!$A:$H,7,FALSE)=S370,1,0)</f>
        <v>#N/A</v>
      </c>
      <c r="DF370" s="138" t="e">
        <f>IF(VLOOKUP(CONCATENATE(H370,F370,DF$2),Español!$A:$H,7,FALSE)=T370,1,0)</f>
        <v>#N/A</v>
      </c>
      <c r="DG370" s="138" t="e">
        <f>IF(VLOOKUP(CONCATENATE(H370,F370,DG$2),Español!$A:$H,7,FALSE)=U370,1,0)</f>
        <v>#N/A</v>
      </c>
      <c r="DH370" s="138" t="e">
        <f>IF(VLOOKUP(CONCATENATE(H370,F370,DH$2),Español!$A:$H,7,FALSE)=V370,1,0)</f>
        <v>#N/A</v>
      </c>
      <c r="DI370" s="138" t="e">
        <f>IF(VLOOKUP(CONCATENATE(H370,F370,DI$2),Español!$A:$H,7,FALSE)=W370,1,0)</f>
        <v>#N/A</v>
      </c>
      <c r="DJ370" s="138" t="e">
        <f>IF(VLOOKUP(CONCATENATE(H370,F370,DJ$2),Español!$A:$H,7,FALSE)=X370,1,0)</f>
        <v>#N/A</v>
      </c>
      <c r="DK370" s="138" t="e">
        <f>IF(VLOOKUP(CONCATENATE(H370,F370,DK$2),Español!$A:$H,7,FALSE)=Y370,1,0)</f>
        <v>#N/A</v>
      </c>
      <c r="DL370" s="138" t="e">
        <f>IF(VLOOKUP(CONCATENATE(H370,F370,DL$2),Español!$A:$H,7,FALSE)=Z370,1,0)</f>
        <v>#N/A</v>
      </c>
      <c r="DM370" s="138" t="e">
        <f>IF(VLOOKUP(CONCATENATE(H370,F370,DM$2),Español!$A:$H,7,FALSE)=AA370,1,0)</f>
        <v>#N/A</v>
      </c>
      <c r="DN370" s="138" t="e">
        <f>IF(VLOOKUP(CONCATENATE(H370,F370,DN$2),Español!$A:$H,7,FALSE)=AB370,1,0)</f>
        <v>#N/A</v>
      </c>
      <c r="DO370" s="138" t="e">
        <f>IF(VLOOKUP(CONCATENATE(H370,F370,DO$2),Español!$A:$H,7,FALSE)=AC370,1,0)</f>
        <v>#N/A</v>
      </c>
      <c r="DP370" s="138" t="e">
        <f>IF(VLOOKUP(CONCATENATE(H370,F370,DP$2),Español!$A:$H,7,FALSE)=AD370,1,0)</f>
        <v>#N/A</v>
      </c>
      <c r="DQ370" s="138" t="e">
        <f>IF(VLOOKUP(CONCATENATE(H370,F370,DQ$2),Español!$A:$H,7,FALSE)=AE370,1,0)</f>
        <v>#N/A</v>
      </c>
      <c r="DR370" s="138" t="e">
        <f>IF(VLOOKUP(CONCATENATE(H370,F370,DR$2),Inglés!$A:$H,7,FALSE)=AF370,1,0)</f>
        <v>#N/A</v>
      </c>
      <c r="DS370" s="138" t="e">
        <f>IF(VLOOKUP(CONCATENATE(H370,F370,DS$2),Inglés!$A:$H,7,FALSE)=AG370,1,0)</f>
        <v>#N/A</v>
      </c>
      <c r="DT370" s="138" t="e">
        <f>IF(VLOOKUP(CONCATENATE(H370,F370,DT$2),Inglés!$A:$H,7,FALSE)=AH370,1,0)</f>
        <v>#N/A</v>
      </c>
      <c r="DU370" s="138" t="e">
        <f>IF(VLOOKUP(CONCATENATE(H370,F370,DU$2),Inglés!$A:$H,7,FALSE)=AI370,1,0)</f>
        <v>#N/A</v>
      </c>
      <c r="DV370" s="138" t="e">
        <f>IF(VLOOKUP(CONCATENATE(H370,F370,DV$2),Inglés!$A:$H,7,FALSE)=AJ370,1,0)</f>
        <v>#N/A</v>
      </c>
      <c r="DW370" s="138" t="e">
        <f>IF(VLOOKUP(CONCATENATE(H370,F370,DW$2),Inglés!$A:$H,7,FALSE)=AK370,1,0)</f>
        <v>#N/A</v>
      </c>
      <c r="DX370" s="138" t="e">
        <f>IF(VLOOKUP(CONCATENATE(H370,F370,DX$2),Inglés!$A:$H,7,FALSE)=AL370,1,0)</f>
        <v>#N/A</v>
      </c>
      <c r="DY370" s="138" t="e">
        <f>IF(VLOOKUP(CONCATENATE(H370,F370,DY$2),Inglés!$A:$H,7,FALSE)=AM370,1,0)</f>
        <v>#N/A</v>
      </c>
      <c r="DZ370" s="138" t="e">
        <f>IF(VLOOKUP(CONCATENATE(H370,F370,DZ$2),Inglés!$A:$H,7,FALSE)=AN370,1,0)</f>
        <v>#N/A</v>
      </c>
      <c r="EA370" s="138" t="e">
        <f>IF(VLOOKUP(CONCATENATE(H370,F370,EA$2),Inglés!$A:$H,7,FALSE)=AO370,1,0)</f>
        <v>#N/A</v>
      </c>
      <c r="EB370" s="138" t="e">
        <f>IF(VLOOKUP(CONCATENATE(H370,F370,EB$2),Matemáticas!$A:$H,7,FALSE)=AP370,1,0)</f>
        <v>#N/A</v>
      </c>
      <c r="EC370" s="138" t="e">
        <f>IF(VLOOKUP(CONCATENATE(H370,F370,EC$2),Matemáticas!$A:$H,7,FALSE)=AQ370,1,0)</f>
        <v>#N/A</v>
      </c>
      <c r="ED370" s="138" t="e">
        <f>IF(VLOOKUP(CONCATENATE(H370,F370,ED$2),Matemáticas!$A:$H,7,FALSE)=AR370,1,0)</f>
        <v>#N/A</v>
      </c>
      <c r="EE370" s="138" t="e">
        <f>IF(VLOOKUP(CONCATENATE(H370,F370,EE$2),Matemáticas!$A:$H,7,FALSE)=AS370,1,0)</f>
        <v>#N/A</v>
      </c>
      <c r="EF370" s="138" t="e">
        <f>IF(VLOOKUP(CONCATENATE(H370,F370,EF$2),Matemáticas!$A:$H,7,FALSE)=AT370,1,0)</f>
        <v>#N/A</v>
      </c>
      <c r="EG370" s="138" t="e">
        <f>IF(VLOOKUP(CONCATENATE(H370,F370,EG$2),Matemáticas!$A:$H,7,FALSE)=AU370,1,0)</f>
        <v>#N/A</v>
      </c>
      <c r="EH370" s="138" t="e">
        <f>IF(VLOOKUP(CONCATENATE(H370,F370,EH$2),Matemáticas!$A:$H,7,FALSE)=AV370,1,0)</f>
        <v>#N/A</v>
      </c>
      <c r="EI370" s="138" t="e">
        <f>IF(VLOOKUP(CONCATENATE(H370,F370,EI$2),Matemáticas!$A:$H,7,FALSE)=AW370,1,0)</f>
        <v>#N/A</v>
      </c>
      <c r="EJ370" s="138" t="e">
        <f>IF(VLOOKUP(CONCATENATE(H370,F370,EJ$2),Matemáticas!$A:$H,7,FALSE)=AX370,1,0)</f>
        <v>#N/A</v>
      </c>
      <c r="EK370" s="138" t="e">
        <f>IF(VLOOKUP(CONCATENATE(H370,F370,EK$2),Matemáticas!$A:$H,7,FALSE)=AY370,1,0)</f>
        <v>#N/A</v>
      </c>
      <c r="EL370" s="138" t="e">
        <f>IF(VLOOKUP(CONCATENATE(H370,F370,EL$2),Matemáticas!$A:$H,7,FALSE)=AZ370,1,0)</f>
        <v>#N/A</v>
      </c>
      <c r="EM370" s="138" t="e">
        <f>IF(VLOOKUP(CONCATENATE(H370,F370,EM$2),Matemáticas!$A:$H,7,FALSE)=BA370,1,0)</f>
        <v>#N/A</v>
      </c>
      <c r="EN370" s="138" t="e">
        <f>IF(VLOOKUP(CONCATENATE(H370,F370,EN$2),Matemáticas!$A:$H,7,FALSE)=BB370,1,0)</f>
        <v>#N/A</v>
      </c>
      <c r="EO370" s="138" t="e">
        <f>IF(VLOOKUP(CONCATENATE(H370,F370,EO$2),Matemáticas!$A:$H,7,FALSE)=BC370,1,0)</f>
        <v>#N/A</v>
      </c>
      <c r="EP370" s="138" t="e">
        <f>IF(VLOOKUP(CONCATENATE(H370,F370,EP$2),Matemáticas!$A:$H,7,FALSE)=BD370,1,0)</f>
        <v>#N/A</v>
      </c>
      <c r="EQ370" s="138" t="e">
        <f>IF(VLOOKUP(CONCATENATE(H370,F370,EQ$2),Matemáticas!$A:$H,7,FALSE)=BE370,1,0)</f>
        <v>#N/A</v>
      </c>
      <c r="ER370" s="138" t="e">
        <f>IF(VLOOKUP(CONCATENATE(H370,F370,ER$2),Matemáticas!$A:$H,7,FALSE)=BF370,1,0)</f>
        <v>#N/A</v>
      </c>
      <c r="ES370" s="138" t="e">
        <f>IF(VLOOKUP(CONCATENATE(H370,F370,ES$2),Matemáticas!$A:$H,7,FALSE)=BG370,1,0)</f>
        <v>#N/A</v>
      </c>
      <c r="ET370" s="138" t="e">
        <f>IF(VLOOKUP(CONCATENATE(H370,F370,ET$2),Matemáticas!$A:$H,7,FALSE)=BH370,1,0)</f>
        <v>#N/A</v>
      </c>
      <c r="EU370" s="138" t="e">
        <f>IF(VLOOKUP(CONCATENATE(H370,F370,EU$2),Matemáticas!$A:$H,7,FALSE)=BI370,1,0)</f>
        <v>#N/A</v>
      </c>
      <c r="EV370" s="138" t="e">
        <f>IF(VLOOKUP(CONCATENATE(H370,F370,EV$2),Ciencias!$A:$H,7,FALSE)=BJ370,1,0)</f>
        <v>#N/A</v>
      </c>
      <c r="EW370" s="138" t="e">
        <f>IF(VLOOKUP(CONCATENATE(H370,F370,EW$2),Ciencias!$A:$H,7,FALSE)=BK370,1,0)</f>
        <v>#N/A</v>
      </c>
      <c r="EX370" s="138" t="e">
        <f>IF(VLOOKUP(CONCATENATE(H370,F370,EX$2),Ciencias!$A:$H,7,FALSE)=BL370,1,0)</f>
        <v>#N/A</v>
      </c>
      <c r="EY370" s="138" t="e">
        <f>IF(VLOOKUP(CONCATENATE(H370,F370,EY$2),Ciencias!$A:$H,7,FALSE)=BM370,1,0)</f>
        <v>#N/A</v>
      </c>
      <c r="EZ370" s="138" t="e">
        <f>IF(VLOOKUP(CONCATENATE(H370,F370,EZ$2),Ciencias!$A:$H,7,FALSE)=BN370,1,0)</f>
        <v>#N/A</v>
      </c>
      <c r="FA370" s="138" t="e">
        <f>IF(VLOOKUP(CONCATENATE(H370,F370,FA$2),Ciencias!$A:$H,7,FALSE)=BO370,1,0)</f>
        <v>#N/A</v>
      </c>
      <c r="FB370" s="138" t="e">
        <f>IF(VLOOKUP(CONCATENATE(H370,F370,FB$2),Ciencias!$A:$H,7,FALSE)=BP370,1,0)</f>
        <v>#N/A</v>
      </c>
      <c r="FC370" s="138" t="e">
        <f>IF(VLOOKUP(CONCATENATE(H370,F370,FC$2),Ciencias!$A:$H,7,FALSE)=BQ370,1,0)</f>
        <v>#N/A</v>
      </c>
      <c r="FD370" s="138" t="e">
        <f>IF(VLOOKUP(CONCATENATE(H370,F370,FD$2),Ciencias!$A:$H,7,FALSE)=BR370,1,0)</f>
        <v>#N/A</v>
      </c>
      <c r="FE370" s="138" t="e">
        <f>IF(VLOOKUP(CONCATENATE(H370,F370,FE$2),Ciencias!$A:$H,7,FALSE)=BS370,1,0)</f>
        <v>#N/A</v>
      </c>
      <c r="FF370" s="138" t="e">
        <f>IF(VLOOKUP(CONCATENATE(H370,F370,FF$2),Ciencias!$A:$H,7,FALSE)=BT370,1,0)</f>
        <v>#N/A</v>
      </c>
      <c r="FG370" s="138" t="e">
        <f>IF(VLOOKUP(CONCATENATE(H370,F370,FG$2),Ciencias!$A:$H,7,FALSE)=BU370,1,0)</f>
        <v>#N/A</v>
      </c>
      <c r="FH370" s="138" t="e">
        <f>IF(VLOOKUP(CONCATENATE(H370,F370,FH$2),Ciencias!$A:$H,7,FALSE)=BV370,1,0)</f>
        <v>#N/A</v>
      </c>
      <c r="FI370" s="138" t="e">
        <f>IF(VLOOKUP(CONCATENATE(H370,F370,FI$2),Ciencias!$A:$H,7,FALSE)=BW370,1,0)</f>
        <v>#N/A</v>
      </c>
      <c r="FJ370" s="138" t="e">
        <f>IF(VLOOKUP(CONCATENATE(H370,F370,FJ$2),Ciencias!$A:$H,7,FALSE)=BX370,1,0)</f>
        <v>#N/A</v>
      </c>
      <c r="FK370" s="138" t="e">
        <f>IF(VLOOKUP(CONCATENATE(H370,F370,FK$2),Ciencias!$A:$H,7,FALSE)=BY370,1,0)</f>
        <v>#N/A</v>
      </c>
      <c r="FL370" s="138" t="e">
        <f>IF(VLOOKUP(CONCATENATE(H370,F370,FL$2),Ciencias!$A:$H,7,FALSE)=BZ370,1,0)</f>
        <v>#N/A</v>
      </c>
      <c r="FM370" s="138" t="e">
        <f>IF(VLOOKUP(CONCATENATE(H370,F370,FM$2),Ciencias!$A:$H,7,FALSE)=CA370,1,0)</f>
        <v>#N/A</v>
      </c>
      <c r="FN370" s="138" t="e">
        <f>IF(VLOOKUP(CONCATENATE(H370,F370,FN$2),Ciencias!$A:$H,7,FALSE)=CB370,1,0)</f>
        <v>#N/A</v>
      </c>
      <c r="FO370" s="138" t="e">
        <f>IF(VLOOKUP(CONCATENATE(H370,F370,FO$2),Ciencias!$A:$H,7,FALSE)=CC370,1,0)</f>
        <v>#N/A</v>
      </c>
      <c r="FP370" s="138" t="e">
        <f>IF(VLOOKUP(CONCATENATE(H370,F370,FP$2),GeoHis!$A:$H,7,FALSE)=CD370,1,0)</f>
        <v>#N/A</v>
      </c>
      <c r="FQ370" s="138" t="e">
        <f>IF(VLOOKUP(CONCATENATE(H370,F370,FQ$2),GeoHis!$A:$H,7,FALSE)=CE370,1,0)</f>
        <v>#N/A</v>
      </c>
      <c r="FR370" s="138" t="e">
        <f>IF(VLOOKUP(CONCATENATE(H370,F370,FR$2),GeoHis!$A:$H,7,FALSE)=CF370,1,0)</f>
        <v>#N/A</v>
      </c>
      <c r="FS370" s="138" t="e">
        <f>IF(VLOOKUP(CONCATENATE(H370,F370,FS$2),GeoHis!$A:$H,7,FALSE)=CG370,1,0)</f>
        <v>#N/A</v>
      </c>
      <c r="FT370" s="138" t="e">
        <f>IF(VLOOKUP(CONCATENATE(H370,F370,FT$2),GeoHis!$A:$H,7,FALSE)=CH370,1,0)</f>
        <v>#N/A</v>
      </c>
      <c r="FU370" s="138" t="e">
        <f>IF(VLOOKUP(CONCATENATE(H370,F370,FU$2),GeoHis!$A:$H,7,FALSE)=CI370,1,0)</f>
        <v>#N/A</v>
      </c>
      <c r="FV370" s="138" t="e">
        <f>IF(VLOOKUP(CONCATENATE(H370,F370,FV$2),GeoHis!$A:$H,7,FALSE)=CJ370,1,0)</f>
        <v>#N/A</v>
      </c>
      <c r="FW370" s="138" t="e">
        <f>IF(VLOOKUP(CONCATENATE(H370,F370,FW$2),GeoHis!$A:$H,7,FALSE)=CK370,1,0)</f>
        <v>#N/A</v>
      </c>
      <c r="FX370" s="138" t="e">
        <f>IF(VLOOKUP(CONCATENATE(H370,F370,FX$2),GeoHis!$A:$H,7,FALSE)=CL370,1,0)</f>
        <v>#N/A</v>
      </c>
      <c r="FY370" s="138" t="e">
        <f>IF(VLOOKUP(CONCATENATE(H370,F370,FY$2),GeoHis!$A:$H,7,FALSE)=CM370,1,0)</f>
        <v>#N/A</v>
      </c>
      <c r="FZ370" s="138" t="e">
        <f>IF(VLOOKUP(CONCATENATE(H370,F370,FZ$2),GeoHis!$A:$H,7,FALSE)=CN370,1,0)</f>
        <v>#N/A</v>
      </c>
      <c r="GA370" s="138" t="e">
        <f>IF(VLOOKUP(CONCATENATE(H370,F370,GA$2),GeoHis!$A:$H,7,FALSE)=CO370,1,0)</f>
        <v>#N/A</v>
      </c>
      <c r="GB370" s="138" t="e">
        <f>IF(VLOOKUP(CONCATENATE(H370,F370,GB$2),GeoHis!$A:$H,7,FALSE)=CP370,1,0)</f>
        <v>#N/A</v>
      </c>
      <c r="GC370" s="138" t="e">
        <f>IF(VLOOKUP(CONCATENATE(H370,F370,GC$2),GeoHis!$A:$H,7,FALSE)=CQ370,1,0)</f>
        <v>#N/A</v>
      </c>
      <c r="GD370" s="138" t="e">
        <f>IF(VLOOKUP(CONCATENATE(H370,F370,GD$2),GeoHis!$A:$H,7,FALSE)=CR370,1,0)</f>
        <v>#N/A</v>
      </c>
      <c r="GE370" s="135" t="str">
        <f t="shared" si="47"/>
        <v/>
      </c>
    </row>
    <row r="371" spans="1:187" x14ac:dyDescent="0.25">
      <c r="A371" s="127" t="str">
        <f>IF(C371="","",'Datos Generales'!$A$25)</f>
        <v/>
      </c>
      <c r="D371" s="126" t="str">
        <f t="shared" si="40"/>
        <v/>
      </c>
      <c r="E371" s="126">
        <f t="shared" si="41"/>
        <v>0</v>
      </c>
      <c r="F371" s="126" t="str">
        <f t="shared" si="42"/>
        <v/>
      </c>
      <c r="G371" s="126" t="str">
        <f>IF(C371="","",'Datos Generales'!$D$19)</f>
        <v/>
      </c>
      <c r="H371" s="21" t="str">
        <f>IF(C371="","",'Datos Generales'!$A$19)</f>
        <v/>
      </c>
      <c r="I371" s="126" t="str">
        <f>IF(C371="","",'Datos Generales'!$A$7)</f>
        <v/>
      </c>
      <c r="J371" s="21" t="str">
        <f>IF(C371="","",'Datos Generales'!$A$13)</f>
        <v/>
      </c>
      <c r="K371" s="21" t="str">
        <f>IF(C371="","",'Datos Generales'!$A$10)</f>
        <v/>
      </c>
      <c r="CS371" s="142" t="str">
        <f t="shared" si="43"/>
        <v/>
      </c>
      <c r="CT371" s="142" t="str">
        <f t="shared" si="44"/>
        <v/>
      </c>
      <c r="CU371" s="142" t="str">
        <f t="shared" si="45"/>
        <v/>
      </c>
      <c r="CV371" s="142" t="str">
        <f t="shared" si="46"/>
        <v/>
      </c>
      <c r="CW371" s="142" t="str">
        <f>IF(C371="","",IF('Datos Generales'!$A$19=1,AVERAGE(FP371:GD371),AVERAGE(Captura!FP371:FY371)))</f>
        <v/>
      </c>
      <c r="CX371" s="138" t="e">
        <f>IF(VLOOKUP(CONCATENATE($H$4,$F$4,CX$2),Español!$A:$H,7,FALSE)=L371,1,0)</f>
        <v>#N/A</v>
      </c>
      <c r="CY371" s="138" t="e">
        <f>IF(VLOOKUP(CONCATENATE(H371,F371,CY$2),Español!$A:$H,7,FALSE)=M371,1,0)</f>
        <v>#N/A</v>
      </c>
      <c r="CZ371" s="138" t="e">
        <f>IF(VLOOKUP(CONCATENATE(H371,F371,CZ$2),Español!$A:$H,7,FALSE)=N371,1,0)</f>
        <v>#N/A</v>
      </c>
      <c r="DA371" s="138" t="e">
        <f>IF(VLOOKUP(CONCATENATE(H371,F371,DA$2),Español!$A:$H,7,FALSE)=O371,1,0)</f>
        <v>#N/A</v>
      </c>
      <c r="DB371" s="138" t="e">
        <f>IF(VLOOKUP(CONCATENATE(H371,F371,DB$2),Español!$A:$H,7,FALSE)=P371,1,0)</f>
        <v>#N/A</v>
      </c>
      <c r="DC371" s="138" t="e">
        <f>IF(VLOOKUP(CONCATENATE(H371,F371,DC$2),Español!$A:$H,7,FALSE)=Q371,1,0)</f>
        <v>#N/A</v>
      </c>
      <c r="DD371" s="138" t="e">
        <f>IF(VLOOKUP(CONCATENATE(H371,F371,DD$2),Español!$A:$H,7,FALSE)=R371,1,0)</f>
        <v>#N/A</v>
      </c>
      <c r="DE371" s="138" t="e">
        <f>IF(VLOOKUP(CONCATENATE(H371,F371,DE$2),Español!$A:$H,7,FALSE)=S371,1,0)</f>
        <v>#N/A</v>
      </c>
      <c r="DF371" s="138" t="e">
        <f>IF(VLOOKUP(CONCATENATE(H371,F371,DF$2),Español!$A:$H,7,FALSE)=T371,1,0)</f>
        <v>#N/A</v>
      </c>
      <c r="DG371" s="138" t="e">
        <f>IF(VLOOKUP(CONCATENATE(H371,F371,DG$2),Español!$A:$H,7,FALSE)=U371,1,0)</f>
        <v>#N/A</v>
      </c>
      <c r="DH371" s="138" t="e">
        <f>IF(VLOOKUP(CONCATENATE(H371,F371,DH$2),Español!$A:$H,7,FALSE)=V371,1,0)</f>
        <v>#N/A</v>
      </c>
      <c r="DI371" s="138" t="e">
        <f>IF(VLOOKUP(CONCATENATE(H371,F371,DI$2),Español!$A:$H,7,FALSE)=W371,1,0)</f>
        <v>#N/A</v>
      </c>
      <c r="DJ371" s="138" t="e">
        <f>IF(VLOOKUP(CONCATENATE(H371,F371,DJ$2),Español!$A:$H,7,FALSE)=X371,1,0)</f>
        <v>#N/A</v>
      </c>
      <c r="DK371" s="138" t="e">
        <f>IF(VLOOKUP(CONCATENATE(H371,F371,DK$2),Español!$A:$H,7,FALSE)=Y371,1,0)</f>
        <v>#N/A</v>
      </c>
      <c r="DL371" s="138" t="e">
        <f>IF(VLOOKUP(CONCATENATE(H371,F371,DL$2),Español!$A:$H,7,FALSE)=Z371,1,0)</f>
        <v>#N/A</v>
      </c>
      <c r="DM371" s="138" t="e">
        <f>IF(VLOOKUP(CONCATENATE(H371,F371,DM$2),Español!$A:$H,7,FALSE)=AA371,1,0)</f>
        <v>#N/A</v>
      </c>
      <c r="DN371" s="138" t="e">
        <f>IF(VLOOKUP(CONCATENATE(H371,F371,DN$2),Español!$A:$H,7,FALSE)=AB371,1,0)</f>
        <v>#N/A</v>
      </c>
      <c r="DO371" s="138" t="e">
        <f>IF(VLOOKUP(CONCATENATE(H371,F371,DO$2),Español!$A:$H,7,FALSE)=AC371,1,0)</f>
        <v>#N/A</v>
      </c>
      <c r="DP371" s="138" t="e">
        <f>IF(VLOOKUP(CONCATENATE(H371,F371,DP$2),Español!$A:$H,7,FALSE)=AD371,1,0)</f>
        <v>#N/A</v>
      </c>
      <c r="DQ371" s="138" t="e">
        <f>IF(VLOOKUP(CONCATENATE(H371,F371,DQ$2),Español!$A:$H,7,FALSE)=AE371,1,0)</f>
        <v>#N/A</v>
      </c>
      <c r="DR371" s="138" t="e">
        <f>IF(VLOOKUP(CONCATENATE(H371,F371,DR$2),Inglés!$A:$H,7,FALSE)=AF371,1,0)</f>
        <v>#N/A</v>
      </c>
      <c r="DS371" s="138" t="e">
        <f>IF(VLOOKUP(CONCATENATE(H371,F371,DS$2),Inglés!$A:$H,7,FALSE)=AG371,1,0)</f>
        <v>#N/A</v>
      </c>
      <c r="DT371" s="138" t="e">
        <f>IF(VLOOKUP(CONCATENATE(H371,F371,DT$2),Inglés!$A:$H,7,FALSE)=AH371,1,0)</f>
        <v>#N/A</v>
      </c>
      <c r="DU371" s="138" t="e">
        <f>IF(VLOOKUP(CONCATENATE(H371,F371,DU$2),Inglés!$A:$H,7,FALSE)=AI371,1,0)</f>
        <v>#N/A</v>
      </c>
      <c r="DV371" s="138" t="e">
        <f>IF(VLOOKUP(CONCATENATE(H371,F371,DV$2),Inglés!$A:$H,7,FALSE)=AJ371,1,0)</f>
        <v>#N/A</v>
      </c>
      <c r="DW371" s="138" t="e">
        <f>IF(VLOOKUP(CONCATENATE(H371,F371,DW$2),Inglés!$A:$H,7,FALSE)=AK371,1,0)</f>
        <v>#N/A</v>
      </c>
      <c r="DX371" s="138" t="e">
        <f>IF(VLOOKUP(CONCATENATE(H371,F371,DX$2),Inglés!$A:$H,7,FALSE)=AL371,1,0)</f>
        <v>#N/A</v>
      </c>
      <c r="DY371" s="138" t="e">
        <f>IF(VLOOKUP(CONCATENATE(H371,F371,DY$2),Inglés!$A:$H,7,FALSE)=AM371,1,0)</f>
        <v>#N/A</v>
      </c>
      <c r="DZ371" s="138" t="e">
        <f>IF(VLOOKUP(CONCATENATE(H371,F371,DZ$2),Inglés!$A:$H,7,FALSE)=AN371,1,0)</f>
        <v>#N/A</v>
      </c>
      <c r="EA371" s="138" t="e">
        <f>IF(VLOOKUP(CONCATENATE(H371,F371,EA$2),Inglés!$A:$H,7,FALSE)=AO371,1,0)</f>
        <v>#N/A</v>
      </c>
      <c r="EB371" s="138" t="e">
        <f>IF(VLOOKUP(CONCATENATE(H371,F371,EB$2),Matemáticas!$A:$H,7,FALSE)=AP371,1,0)</f>
        <v>#N/A</v>
      </c>
      <c r="EC371" s="138" t="e">
        <f>IF(VLOOKUP(CONCATENATE(H371,F371,EC$2),Matemáticas!$A:$H,7,FALSE)=AQ371,1,0)</f>
        <v>#N/A</v>
      </c>
      <c r="ED371" s="138" t="e">
        <f>IF(VLOOKUP(CONCATENATE(H371,F371,ED$2),Matemáticas!$A:$H,7,FALSE)=AR371,1,0)</f>
        <v>#N/A</v>
      </c>
      <c r="EE371" s="138" t="e">
        <f>IF(VLOOKUP(CONCATENATE(H371,F371,EE$2),Matemáticas!$A:$H,7,FALSE)=AS371,1,0)</f>
        <v>#N/A</v>
      </c>
      <c r="EF371" s="138" t="e">
        <f>IF(VLOOKUP(CONCATENATE(H371,F371,EF$2),Matemáticas!$A:$H,7,FALSE)=AT371,1,0)</f>
        <v>#N/A</v>
      </c>
      <c r="EG371" s="138" t="e">
        <f>IF(VLOOKUP(CONCATENATE(H371,F371,EG$2),Matemáticas!$A:$H,7,FALSE)=AU371,1,0)</f>
        <v>#N/A</v>
      </c>
      <c r="EH371" s="138" t="e">
        <f>IF(VLOOKUP(CONCATENATE(H371,F371,EH$2),Matemáticas!$A:$H,7,FALSE)=AV371,1,0)</f>
        <v>#N/A</v>
      </c>
      <c r="EI371" s="138" t="e">
        <f>IF(VLOOKUP(CONCATENATE(H371,F371,EI$2),Matemáticas!$A:$H,7,FALSE)=AW371,1,0)</f>
        <v>#N/A</v>
      </c>
      <c r="EJ371" s="138" t="e">
        <f>IF(VLOOKUP(CONCATENATE(H371,F371,EJ$2),Matemáticas!$A:$H,7,FALSE)=AX371,1,0)</f>
        <v>#N/A</v>
      </c>
      <c r="EK371" s="138" t="e">
        <f>IF(VLOOKUP(CONCATENATE(H371,F371,EK$2),Matemáticas!$A:$H,7,FALSE)=AY371,1,0)</f>
        <v>#N/A</v>
      </c>
      <c r="EL371" s="138" t="e">
        <f>IF(VLOOKUP(CONCATENATE(H371,F371,EL$2),Matemáticas!$A:$H,7,FALSE)=AZ371,1,0)</f>
        <v>#N/A</v>
      </c>
      <c r="EM371" s="138" t="e">
        <f>IF(VLOOKUP(CONCATENATE(H371,F371,EM$2),Matemáticas!$A:$H,7,FALSE)=BA371,1,0)</f>
        <v>#N/A</v>
      </c>
      <c r="EN371" s="138" t="e">
        <f>IF(VLOOKUP(CONCATENATE(H371,F371,EN$2),Matemáticas!$A:$H,7,FALSE)=BB371,1,0)</f>
        <v>#N/A</v>
      </c>
      <c r="EO371" s="138" t="e">
        <f>IF(VLOOKUP(CONCATENATE(H371,F371,EO$2),Matemáticas!$A:$H,7,FALSE)=BC371,1,0)</f>
        <v>#N/A</v>
      </c>
      <c r="EP371" s="138" t="e">
        <f>IF(VLOOKUP(CONCATENATE(H371,F371,EP$2),Matemáticas!$A:$H,7,FALSE)=BD371,1,0)</f>
        <v>#N/A</v>
      </c>
      <c r="EQ371" s="138" t="e">
        <f>IF(VLOOKUP(CONCATENATE(H371,F371,EQ$2),Matemáticas!$A:$H,7,FALSE)=BE371,1,0)</f>
        <v>#N/A</v>
      </c>
      <c r="ER371" s="138" t="e">
        <f>IF(VLOOKUP(CONCATENATE(H371,F371,ER$2),Matemáticas!$A:$H,7,FALSE)=BF371,1,0)</f>
        <v>#N/A</v>
      </c>
      <c r="ES371" s="138" t="e">
        <f>IF(VLOOKUP(CONCATENATE(H371,F371,ES$2),Matemáticas!$A:$H,7,FALSE)=BG371,1,0)</f>
        <v>#N/A</v>
      </c>
      <c r="ET371" s="138" t="e">
        <f>IF(VLOOKUP(CONCATENATE(H371,F371,ET$2),Matemáticas!$A:$H,7,FALSE)=BH371,1,0)</f>
        <v>#N/A</v>
      </c>
      <c r="EU371" s="138" t="e">
        <f>IF(VLOOKUP(CONCATENATE(H371,F371,EU$2),Matemáticas!$A:$H,7,FALSE)=BI371,1,0)</f>
        <v>#N/A</v>
      </c>
      <c r="EV371" s="138" t="e">
        <f>IF(VLOOKUP(CONCATENATE(H371,F371,EV$2),Ciencias!$A:$H,7,FALSE)=BJ371,1,0)</f>
        <v>#N/A</v>
      </c>
      <c r="EW371" s="138" t="e">
        <f>IF(VLOOKUP(CONCATENATE(H371,F371,EW$2),Ciencias!$A:$H,7,FALSE)=BK371,1,0)</f>
        <v>#N/A</v>
      </c>
      <c r="EX371" s="138" t="e">
        <f>IF(VLOOKUP(CONCATENATE(H371,F371,EX$2),Ciencias!$A:$H,7,FALSE)=BL371,1,0)</f>
        <v>#N/A</v>
      </c>
      <c r="EY371" s="138" t="e">
        <f>IF(VLOOKUP(CONCATENATE(H371,F371,EY$2),Ciencias!$A:$H,7,FALSE)=BM371,1,0)</f>
        <v>#N/A</v>
      </c>
      <c r="EZ371" s="138" t="e">
        <f>IF(VLOOKUP(CONCATENATE(H371,F371,EZ$2),Ciencias!$A:$H,7,FALSE)=BN371,1,0)</f>
        <v>#N/A</v>
      </c>
      <c r="FA371" s="138" t="e">
        <f>IF(VLOOKUP(CONCATENATE(H371,F371,FA$2),Ciencias!$A:$H,7,FALSE)=BO371,1,0)</f>
        <v>#N/A</v>
      </c>
      <c r="FB371" s="138" t="e">
        <f>IF(VLOOKUP(CONCATENATE(H371,F371,FB$2),Ciencias!$A:$H,7,FALSE)=BP371,1,0)</f>
        <v>#N/A</v>
      </c>
      <c r="FC371" s="138" t="e">
        <f>IF(VLOOKUP(CONCATENATE(H371,F371,FC$2),Ciencias!$A:$H,7,FALSE)=BQ371,1,0)</f>
        <v>#N/A</v>
      </c>
      <c r="FD371" s="138" t="e">
        <f>IF(VLOOKUP(CONCATENATE(H371,F371,FD$2),Ciencias!$A:$H,7,FALSE)=BR371,1,0)</f>
        <v>#N/A</v>
      </c>
      <c r="FE371" s="138" t="e">
        <f>IF(VLOOKUP(CONCATENATE(H371,F371,FE$2),Ciencias!$A:$H,7,FALSE)=BS371,1,0)</f>
        <v>#N/A</v>
      </c>
      <c r="FF371" s="138" t="e">
        <f>IF(VLOOKUP(CONCATENATE(H371,F371,FF$2),Ciencias!$A:$H,7,FALSE)=BT371,1,0)</f>
        <v>#N/A</v>
      </c>
      <c r="FG371" s="138" t="e">
        <f>IF(VLOOKUP(CONCATENATE(H371,F371,FG$2),Ciencias!$A:$H,7,FALSE)=BU371,1,0)</f>
        <v>#N/A</v>
      </c>
      <c r="FH371" s="138" t="e">
        <f>IF(VLOOKUP(CONCATENATE(H371,F371,FH$2),Ciencias!$A:$H,7,FALSE)=BV371,1,0)</f>
        <v>#N/A</v>
      </c>
      <c r="FI371" s="138" t="e">
        <f>IF(VLOOKUP(CONCATENATE(H371,F371,FI$2),Ciencias!$A:$H,7,FALSE)=BW371,1,0)</f>
        <v>#N/A</v>
      </c>
      <c r="FJ371" s="138" t="e">
        <f>IF(VLOOKUP(CONCATENATE(H371,F371,FJ$2),Ciencias!$A:$H,7,FALSE)=BX371,1,0)</f>
        <v>#N/A</v>
      </c>
      <c r="FK371" s="138" t="e">
        <f>IF(VLOOKUP(CONCATENATE(H371,F371,FK$2),Ciencias!$A:$H,7,FALSE)=BY371,1,0)</f>
        <v>#N/A</v>
      </c>
      <c r="FL371" s="138" t="e">
        <f>IF(VLOOKUP(CONCATENATE(H371,F371,FL$2),Ciencias!$A:$H,7,FALSE)=BZ371,1,0)</f>
        <v>#N/A</v>
      </c>
      <c r="FM371" s="138" t="e">
        <f>IF(VLOOKUP(CONCATENATE(H371,F371,FM$2),Ciencias!$A:$H,7,FALSE)=CA371,1,0)</f>
        <v>#N/A</v>
      </c>
      <c r="FN371" s="138" t="e">
        <f>IF(VLOOKUP(CONCATENATE(H371,F371,FN$2),Ciencias!$A:$H,7,FALSE)=CB371,1,0)</f>
        <v>#N/A</v>
      </c>
      <c r="FO371" s="138" t="e">
        <f>IF(VLOOKUP(CONCATENATE(H371,F371,FO$2),Ciencias!$A:$H,7,FALSE)=CC371,1,0)</f>
        <v>#N/A</v>
      </c>
      <c r="FP371" s="138" t="e">
        <f>IF(VLOOKUP(CONCATENATE(H371,F371,FP$2),GeoHis!$A:$H,7,FALSE)=CD371,1,0)</f>
        <v>#N/A</v>
      </c>
      <c r="FQ371" s="138" t="e">
        <f>IF(VLOOKUP(CONCATENATE(H371,F371,FQ$2),GeoHis!$A:$H,7,FALSE)=CE371,1,0)</f>
        <v>#N/A</v>
      </c>
      <c r="FR371" s="138" t="e">
        <f>IF(VLOOKUP(CONCATENATE(H371,F371,FR$2),GeoHis!$A:$H,7,FALSE)=CF371,1,0)</f>
        <v>#N/A</v>
      </c>
      <c r="FS371" s="138" t="e">
        <f>IF(VLOOKUP(CONCATENATE(H371,F371,FS$2),GeoHis!$A:$H,7,FALSE)=CG371,1,0)</f>
        <v>#N/A</v>
      </c>
      <c r="FT371" s="138" t="e">
        <f>IF(VLOOKUP(CONCATENATE(H371,F371,FT$2),GeoHis!$A:$H,7,FALSE)=CH371,1,0)</f>
        <v>#N/A</v>
      </c>
      <c r="FU371" s="138" t="e">
        <f>IF(VLOOKUP(CONCATENATE(H371,F371,FU$2),GeoHis!$A:$H,7,FALSE)=CI371,1,0)</f>
        <v>#N/A</v>
      </c>
      <c r="FV371" s="138" t="e">
        <f>IF(VLOOKUP(CONCATENATE(H371,F371,FV$2),GeoHis!$A:$H,7,FALSE)=CJ371,1,0)</f>
        <v>#N/A</v>
      </c>
      <c r="FW371" s="138" t="e">
        <f>IF(VLOOKUP(CONCATENATE(H371,F371,FW$2),GeoHis!$A:$H,7,FALSE)=CK371,1,0)</f>
        <v>#N/A</v>
      </c>
      <c r="FX371" s="138" t="e">
        <f>IF(VLOOKUP(CONCATENATE(H371,F371,FX$2),GeoHis!$A:$H,7,FALSE)=CL371,1,0)</f>
        <v>#N/A</v>
      </c>
      <c r="FY371" s="138" t="e">
        <f>IF(VLOOKUP(CONCATENATE(H371,F371,FY$2),GeoHis!$A:$H,7,FALSE)=CM371,1,0)</f>
        <v>#N/A</v>
      </c>
      <c r="FZ371" s="138" t="e">
        <f>IF(VLOOKUP(CONCATENATE(H371,F371,FZ$2),GeoHis!$A:$H,7,FALSE)=CN371,1,0)</f>
        <v>#N/A</v>
      </c>
      <c r="GA371" s="138" t="e">
        <f>IF(VLOOKUP(CONCATENATE(H371,F371,GA$2),GeoHis!$A:$H,7,FALSE)=CO371,1,0)</f>
        <v>#N/A</v>
      </c>
      <c r="GB371" s="138" t="e">
        <f>IF(VLOOKUP(CONCATENATE(H371,F371,GB$2),GeoHis!$A:$H,7,FALSE)=CP371,1,0)</f>
        <v>#N/A</v>
      </c>
      <c r="GC371" s="138" t="e">
        <f>IF(VLOOKUP(CONCATENATE(H371,F371,GC$2),GeoHis!$A:$H,7,FALSE)=CQ371,1,0)</f>
        <v>#N/A</v>
      </c>
      <c r="GD371" s="138" t="e">
        <f>IF(VLOOKUP(CONCATENATE(H371,F371,GD$2),GeoHis!$A:$H,7,FALSE)=CR371,1,0)</f>
        <v>#N/A</v>
      </c>
      <c r="GE371" s="135" t="str">
        <f t="shared" si="47"/>
        <v/>
      </c>
    </row>
    <row r="372" spans="1:187" x14ac:dyDescent="0.25">
      <c r="A372" s="127" t="str">
        <f>IF(C372="","",'Datos Generales'!$A$25)</f>
        <v/>
      </c>
      <c r="D372" s="126" t="str">
        <f t="shared" si="40"/>
        <v/>
      </c>
      <c r="E372" s="126">
        <f t="shared" si="41"/>
        <v>0</v>
      </c>
      <c r="F372" s="126" t="str">
        <f t="shared" si="42"/>
        <v/>
      </c>
      <c r="G372" s="126" t="str">
        <f>IF(C372="","",'Datos Generales'!$D$19)</f>
        <v/>
      </c>
      <c r="H372" s="21" t="str">
        <f>IF(C372="","",'Datos Generales'!$A$19)</f>
        <v/>
      </c>
      <c r="I372" s="126" t="str">
        <f>IF(C372="","",'Datos Generales'!$A$7)</f>
        <v/>
      </c>
      <c r="J372" s="21" t="str">
        <f>IF(C372="","",'Datos Generales'!$A$13)</f>
        <v/>
      </c>
      <c r="K372" s="21" t="str">
        <f>IF(C372="","",'Datos Generales'!$A$10)</f>
        <v/>
      </c>
      <c r="CS372" s="142" t="str">
        <f t="shared" si="43"/>
        <v/>
      </c>
      <c r="CT372" s="142" t="str">
        <f t="shared" si="44"/>
        <v/>
      </c>
      <c r="CU372" s="142" t="str">
        <f t="shared" si="45"/>
        <v/>
      </c>
      <c r="CV372" s="142" t="str">
        <f t="shared" si="46"/>
        <v/>
      </c>
      <c r="CW372" s="142" t="str">
        <f>IF(C372="","",IF('Datos Generales'!$A$19=1,AVERAGE(FP372:GD372),AVERAGE(Captura!FP372:FY372)))</f>
        <v/>
      </c>
      <c r="CX372" s="138" t="e">
        <f>IF(VLOOKUP(CONCATENATE($H$4,$F$4,CX$2),Español!$A:$H,7,FALSE)=L372,1,0)</f>
        <v>#N/A</v>
      </c>
      <c r="CY372" s="138" t="e">
        <f>IF(VLOOKUP(CONCATENATE(H372,F372,CY$2),Español!$A:$H,7,FALSE)=M372,1,0)</f>
        <v>#N/A</v>
      </c>
      <c r="CZ372" s="138" t="e">
        <f>IF(VLOOKUP(CONCATENATE(H372,F372,CZ$2),Español!$A:$H,7,FALSE)=N372,1,0)</f>
        <v>#N/A</v>
      </c>
      <c r="DA372" s="138" t="e">
        <f>IF(VLOOKUP(CONCATENATE(H372,F372,DA$2),Español!$A:$H,7,FALSE)=O372,1,0)</f>
        <v>#N/A</v>
      </c>
      <c r="DB372" s="138" t="e">
        <f>IF(VLOOKUP(CONCATENATE(H372,F372,DB$2),Español!$A:$H,7,FALSE)=P372,1,0)</f>
        <v>#N/A</v>
      </c>
      <c r="DC372" s="138" t="e">
        <f>IF(VLOOKUP(CONCATENATE(H372,F372,DC$2),Español!$A:$H,7,FALSE)=Q372,1,0)</f>
        <v>#N/A</v>
      </c>
      <c r="DD372" s="138" t="e">
        <f>IF(VLOOKUP(CONCATENATE(H372,F372,DD$2),Español!$A:$H,7,FALSE)=R372,1,0)</f>
        <v>#N/A</v>
      </c>
      <c r="DE372" s="138" t="e">
        <f>IF(VLOOKUP(CONCATENATE(H372,F372,DE$2),Español!$A:$H,7,FALSE)=S372,1,0)</f>
        <v>#N/A</v>
      </c>
      <c r="DF372" s="138" t="e">
        <f>IF(VLOOKUP(CONCATENATE(H372,F372,DF$2),Español!$A:$H,7,FALSE)=T372,1,0)</f>
        <v>#N/A</v>
      </c>
      <c r="DG372" s="138" t="e">
        <f>IF(VLOOKUP(CONCATENATE(H372,F372,DG$2),Español!$A:$H,7,FALSE)=U372,1,0)</f>
        <v>#N/A</v>
      </c>
      <c r="DH372" s="138" t="e">
        <f>IF(VLOOKUP(CONCATENATE(H372,F372,DH$2),Español!$A:$H,7,FALSE)=V372,1,0)</f>
        <v>#N/A</v>
      </c>
      <c r="DI372" s="138" t="e">
        <f>IF(VLOOKUP(CONCATENATE(H372,F372,DI$2),Español!$A:$H,7,FALSE)=W372,1,0)</f>
        <v>#N/A</v>
      </c>
      <c r="DJ372" s="138" t="e">
        <f>IF(VLOOKUP(CONCATENATE(H372,F372,DJ$2),Español!$A:$H,7,FALSE)=X372,1,0)</f>
        <v>#N/A</v>
      </c>
      <c r="DK372" s="138" t="e">
        <f>IF(VLOOKUP(CONCATENATE(H372,F372,DK$2),Español!$A:$H,7,FALSE)=Y372,1,0)</f>
        <v>#N/A</v>
      </c>
      <c r="DL372" s="138" t="e">
        <f>IF(VLOOKUP(CONCATENATE(H372,F372,DL$2),Español!$A:$H,7,FALSE)=Z372,1,0)</f>
        <v>#N/A</v>
      </c>
      <c r="DM372" s="138" t="e">
        <f>IF(VLOOKUP(CONCATENATE(H372,F372,DM$2),Español!$A:$H,7,FALSE)=AA372,1,0)</f>
        <v>#N/A</v>
      </c>
      <c r="DN372" s="138" t="e">
        <f>IF(VLOOKUP(CONCATENATE(H372,F372,DN$2),Español!$A:$H,7,FALSE)=AB372,1,0)</f>
        <v>#N/A</v>
      </c>
      <c r="DO372" s="138" t="e">
        <f>IF(VLOOKUP(CONCATENATE(H372,F372,DO$2),Español!$A:$H,7,FALSE)=AC372,1,0)</f>
        <v>#N/A</v>
      </c>
      <c r="DP372" s="138" t="e">
        <f>IF(VLOOKUP(CONCATENATE(H372,F372,DP$2),Español!$A:$H,7,FALSE)=AD372,1,0)</f>
        <v>#N/A</v>
      </c>
      <c r="DQ372" s="138" t="e">
        <f>IF(VLOOKUP(CONCATENATE(H372,F372,DQ$2),Español!$A:$H,7,FALSE)=AE372,1,0)</f>
        <v>#N/A</v>
      </c>
      <c r="DR372" s="138" t="e">
        <f>IF(VLOOKUP(CONCATENATE(H372,F372,DR$2),Inglés!$A:$H,7,FALSE)=AF372,1,0)</f>
        <v>#N/A</v>
      </c>
      <c r="DS372" s="138" t="e">
        <f>IF(VLOOKUP(CONCATENATE(H372,F372,DS$2),Inglés!$A:$H,7,FALSE)=AG372,1,0)</f>
        <v>#N/A</v>
      </c>
      <c r="DT372" s="138" t="e">
        <f>IF(VLOOKUP(CONCATENATE(H372,F372,DT$2),Inglés!$A:$H,7,FALSE)=AH372,1,0)</f>
        <v>#N/A</v>
      </c>
      <c r="DU372" s="138" t="e">
        <f>IF(VLOOKUP(CONCATENATE(H372,F372,DU$2),Inglés!$A:$H,7,FALSE)=AI372,1,0)</f>
        <v>#N/A</v>
      </c>
      <c r="DV372" s="138" t="e">
        <f>IF(VLOOKUP(CONCATENATE(H372,F372,DV$2),Inglés!$A:$H,7,FALSE)=AJ372,1,0)</f>
        <v>#N/A</v>
      </c>
      <c r="DW372" s="138" t="e">
        <f>IF(VLOOKUP(CONCATENATE(H372,F372,DW$2),Inglés!$A:$H,7,FALSE)=AK372,1,0)</f>
        <v>#N/A</v>
      </c>
      <c r="DX372" s="138" t="e">
        <f>IF(VLOOKUP(CONCATENATE(H372,F372,DX$2),Inglés!$A:$H,7,FALSE)=AL372,1,0)</f>
        <v>#N/A</v>
      </c>
      <c r="DY372" s="138" t="e">
        <f>IF(VLOOKUP(CONCATENATE(H372,F372,DY$2),Inglés!$A:$H,7,FALSE)=AM372,1,0)</f>
        <v>#N/A</v>
      </c>
      <c r="DZ372" s="138" t="e">
        <f>IF(VLOOKUP(CONCATENATE(H372,F372,DZ$2),Inglés!$A:$H,7,FALSE)=AN372,1,0)</f>
        <v>#N/A</v>
      </c>
      <c r="EA372" s="138" t="e">
        <f>IF(VLOOKUP(CONCATENATE(H372,F372,EA$2),Inglés!$A:$H,7,FALSE)=AO372,1,0)</f>
        <v>#N/A</v>
      </c>
      <c r="EB372" s="138" t="e">
        <f>IF(VLOOKUP(CONCATENATE(H372,F372,EB$2),Matemáticas!$A:$H,7,FALSE)=AP372,1,0)</f>
        <v>#N/A</v>
      </c>
      <c r="EC372" s="138" t="e">
        <f>IF(VLOOKUP(CONCATENATE(H372,F372,EC$2),Matemáticas!$A:$H,7,FALSE)=AQ372,1,0)</f>
        <v>#N/A</v>
      </c>
      <c r="ED372" s="138" t="e">
        <f>IF(VLOOKUP(CONCATENATE(H372,F372,ED$2),Matemáticas!$A:$H,7,FALSE)=AR372,1,0)</f>
        <v>#N/A</v>
      </c>
      <c r="EE372" s="138" t="e">
        <f>IF(VLOOKUP(CONCATENATE(H372,F372,EE$2),Matemáticas!$A:$H,7,FALSE)=AS372,1,0)</f>
        <v>#N/A</v>
      </c>
      <c r="EF372" s="138" t="e">
        <f>IF(VLOOKUP(CONCATENATE(H372,F372,EF$2),Matemáticas!$A:$H,7,FALSE)=AT372,1,0)</f>
        <v>#N/A</v>
      </c>
      <c r="EG372" s="138" t="e">
        <f>IF(VLOOKUP(CONCATENATE(H372,F372,EG$2),Matemáticas!$A:$H,7,FALSE)=AU372,1,0)</f>
        <v>#N/A</v>
      </c>
      <c r="EH372" s="138" t="e">
        <f>IF(VLOOKUP(CONCATENATE(H372,F372,EH$2),Matemáticas!$A:$H,7,FALSE)=AV372,1,0)</f>
        <v>#N/A</v>
      </c>
      <c r="EI372" s="138" t="e">
        <f>IF(VLOOKUP(CONCATENATE(H372,F372,EI$2),Matemáticas!$A:$H,7,FALSE)=AW372,1,0)</f>
        <v>#N/A</v>
      </c>
      <c r="EJ372" s="138" t="e">
        <f>IF(VLOOKUP(CONCATENATE(H372,F372,EJ$2),Matemáticas!$A:$H,7,FALSE)=AX372,1,0)</f>
        <v>#N/A</v>
      </c>
      <c r="EK372" s="138" t="e">
        <f>IF(VLOOKUP(CONCATENATE(H372,F372,EK$2),Matemáticas!$A:$H,7,FALSE)=AY372,1,0)</f>
        <v>#N/A</v>
      </c>
      <c r="EL372" s="138" t="e">
        <f>IF(VLOOKUP(CONCATENATE(H372,F372,EL$2),Matemáticas!$A:$H,7,FALSE)=AZ372,1,0)</f>
        <v>#N/A</v>
      </c>
      <c r="EM372" s="138" t="e">
        <f>IF(VLOOKUP(CONCATENATE(H372,F372,EM$2),Matemáticas!$A:$H,7,FALSE)=BA372,1,0)</f>
        <v>#N/A</v>
      </c>
      <c r="EN372" s="138" t="e">
        <f>IF(VLOOKUP(CONCATENATE(H372,F372,EN$2),Matemáticas!$A:$H,7,FALSE)=BB372,1,0)</f>
        <v>#N/A</v>
      </c>
      <c r="EO372" s="138" t="e">
        <f>IF(VLOOKUP(CONCATENATE(H372,F372,EO$2),Matemáticas!$A:$H,7,FALSE)=BC372,1,0)</f>
        <v>#N/A</v>
      </c>
      <c r="EP372" s="138" t="e">
        <f>IF(VLOOKUP(CONCATENATE(H372,F372,EP$2),Matemáticas!$A:$H,7,FALSE)=BD372,1,0)</f>
        <v>#N/A</v>
      </c>
      <c r="EQ372" s="138" t="e">
        <f>IF(VLOOKUP(CONCATENATE(H372,F372,EQ$2),Matemáticas!$A:$H,7,FALSE)=BE372,1,0)</f>
        <v>#N/A</v>
      </c>
      <c r="ER372" s="138" t="e">
        <f>IF(VLOOKUP(CONCATENATE(H372,F372,ER$2),Matemáticas!$A:$H,7,FALSE)=BF372,1,0)</f>
        <v>#N/A</v>
      </c>
      <c r="ES372" s="138" t="e">
        <f>IF(VLOOKUP(CONCATENATE(H372,F372,ES$2),Matemáticas!$A:$H,7,FALSE)=BG372,1,0)</f>
        <v>#N/A</v>
      </c>
      <c r="ET372" s="138" t="e">
        <f>IF(VLOOKUP(CONCATENATE(H372,F372,ET$2),Matemáticas!$A:$H,7,FALSE)=BH372,1,0)</f>
        <v>#N/A</v>
      </c>
      <c r="EU372" s="138" t="e">
        <f>IF(VLOOKUP(CONCATENATE(H372,F372,EU$2),Matemáticas!$A:$H,7,FALSE)=BI372,1,0)</f>
        <v>#N/A</v>
      </c>
      <c r="EV372" s="138" t="e">
        <f>IF(VLOOKUP(CONCATENATE(H372,F372,EV$2),Ciencias!$A:$H,7,FALSE)=BJ372,1,0)</f>
        <v>#N/A</v>
      </c>
      <c r="EW372" s="138" t="e">
        <f>IF(VLOOKUP(CONCATENATE(H372,F372,EW$2),Ciencias!$A:$H,7,FALSE)=BK372,1,0)</f>
        <v>#N/A</v>
      </c>
      <c r="EX372" s="138" t="e">
        <f>IF(VLOOKUP(CONCATENATE(H372,F372,EX$2),Ciencias!$A:$H,7,FALSE)=BL372,1,0)</f>
        <v>#N/A</v>
      </c>
      <c r="EY372" s="138" t="e">
        <f>IF(VLOOKUP(CONCATENATE(H372,F372,EY$2),Ciencias!$A:$H,7,FALSE)=BM372,1,0)</f>
        <v>#N/A</v>
      </c>
      <c r="EZ372" s="138" t="e">
        <f>IF(VLOOKUP(CONCATENATE(H372,F372,EZ$2),Ciencias!$A:$H,7,FALSE)=BN372,1,0)</f>
        <v>#N/A</v>
      </c>
      <c r="FA372" s="138" t="e">
        <f>IF(VLOOKUP(CONCATENATE(H372,F372,FA$2),Ciencias!$A:$H,7,FALSE)=BO372,1,0)</f>
        <v>#N/A</v>
      </c>
      <c r="FB372" s="138" t="e">
        <f>IF(VLOOKUP(CONCATENATE(H372,F372,FB$2),Ciencias!$A:$H,7,FALSE)=BP372,1,0)</f>
        <v>#N/A</v>
      </c>
      <c r="FC372" s="138" t="e">
        <f>IF(VLOOKUP(CONCATENATE(H372,F372,FC$2),Ciencias!$A:$H,7,FALSE)=BQ372,1,0)</f>
        <v>#N/A</v>
      </c>
      <c r="FD372" s="138" t="e">
        <f>IF(VLOOKUP(CONCATENATE(H372,F372,FD$2),Ciencias!$A:$H,7,FALSE)=BR372,1,0)</f>
        <v>#N/A</v>
      </c>
      <c r="FE372" s="138" t="e">
        <f>IF(VLOOKUP(CONCATENATE(H372,F372,FE$2),Ciencias!$A:$H,7,FALSE)=BS372,1,0)</f>
        <v>#N/A</v>
      </c>
      <c r="FF372" s="138" t="e">
        <f>IF(VLOOKUP(CONCATENATE(H372,F372,FF$2),Ciencias!$A:$H,7,FALSE)=BT372,1,0)</f>
        <v>#N/A</v>
      </c>
      <c r="FG372" s="138" t="e">
        <f>IF(VLOOKUP(CONCATENATE(H372,F372,FG$2),Ciencias!$A:$H,7,FALSE)=BU372,1,0)</f>
        <v>#N/A</v>
      </c>
      <c r="FH372" s="138" t="e">
        <f>IF(VLOOKUP(CONCATENATE(H372,F372,FH$2),Ciencias!$A:$H,7,FALSE)=BV372,1,0)</f>
        <v>#N/A</v>
      </c>
      <c r="FI372" s="138" t="e">
        <f>IF(VLOOKUP(CONCATENATE(H372,F372,FI$2),Ciencias!$A:$H,7,FALSE)=BW372,1,0)</f>
        <v>#N/A</v>
      </c>
      <c r="FJ372" s="138" t="e">
        <f>IF(VLOOKUP(CONCATENATE(H372,F372,FJ$2),Ciencias!$A:$H,7,FALSE)=BX372,1,0)</f>
        <v>#N/A</v>
      </c>
      <c r="FK372" s="138" t="e">
        <f>IF(VLOOKUP(CONCATENATE(H372,F372,FK$2),Ciencias!$A:$H,7,FALSE)=BY372,1,0)</f>
        <v>#N/A</v>
      </c>
      <c r="FL372" s="138" t="e">
        <f>IF(VLOOKUP(CONCATENATE(H372,F372,FL$2),Ciencias!$A:$H,7,FALSE)=BZ372,1,0)</f>
        <v>#N/A</v>
      </c>
      <c r="FM372" s="138" t="e">
        <f>IF(VLOOKUP(CONCATENATE(H372,F372,FM$2),Ciencias!$A:$H,7,FALSE)=CA372,1,0)</f>
        <v>#N/A</v>
      </c>
      <c r="FN372" s="138" t="e">
        <f>IF(VLOOKUP(CONCATENATE(H372,F372,FN$2),Ciencias!$A:$H,7,FALSE)=CB372,1,0)</f>
        <v>#N/A</v>
      </c>
      <c r="FO372" s="138" t="e">
        <f>IF(VLOOKUP(CONCATENATE(H372,F372,FO$2),Ciencias!$A:$H,7,FALSE)=CC372,1,0)</f>
        <v>#N/A</v>
      </c>
      <c r="FP372" s="138" t="e">
        <f>IF(VLOOKUP(CONCATENATE(H372,F372,FP$2),GeoHis!$A:$H,7,FALSE)=CD372,1,0)</f>
        <v>#N/A</v>
      </c>
      <c r="FQ372" s="138" t="e">
        <f>IF(VLOOKUP(CONCATENATE(H372,F372,FQ$2),GeoHis!$A:$H,7,FALSE)=CE372,1,0)</f>
        <v>#N/A</v>
      </c>
      <c r="FR372" s="138" t="e">
        <f>IF(VLOOKUP(CONCATENATE(H372,F372,FR$2),GeoHis!$A:$H,7,FALSE)=CF372,1,0)</f>
        <v>#N/A</v>
      </c>
      <c r="FS372" s="138" t="e">
        <f>IF(VLOOKUP(CONCATENATE(H372,F372,FS$2),GeoHis!$A:$H,7,FALSE)=CG372,1,0)</f>
        <v>#N/A</v>
      </c>
      <c r="FT372" s="138" t="e">
        <f>IF(VLOOKUP(CONCATENATE(H372,F372,FT$2),GeoHis!$A:$H,7,FALSE)=CH372,1,0)</f>
        <v>#N/A</v>
      </c>
      <c r="FU372" s="138" t="e">
        <f>IF(VLOOKUP(CONCATENATE(H372,F372,FU$2),GeoHis!$A:$H,7,FALSE)=CI372,1,0)</f>
        <v>#N/A</v>
      </c>
      <c r="FV372" s="138" t="e">
        <f>IF(VLOOKUP(CONCATENATE(H372,F372,FV$2),GeoHis!$A:$H,7,FALSE)=CJ372,1,0)</f>
        <v>#N/A</v>
      </c>
      <c r="FW372" s="138" t="e">
        <f>IF(VLOOKUP(CONCATENATE(H372,F372,FW$2),GeoHis!$A:$H,7,FALSE)=CK372,1,0)</f>
        <v>#N/A</v>
      </c>
      <c r="FX372" s="138" t="e">
        <f>IF(VLOOKUP(CONCATENATE(H372,F372,FX$2),GeoHis!$A:$H,7,FALSE)=CL372,1,0)</f>
        <v>#N/A</v>
      </c>
      <c r="FY372" s="138" t="e">
        <f>IF(VLOOKUP(CONCATENATE(H372,F372,FY$2),GeoHis!$A:$H,7,FALSE)=CM372,1,0)</f>
        <v>#N/A</v>
      </c>
      <c r="FZ372" s="138" t="e">
        <f>IF(VLOOKUP(CONCATENATE(H372,F372,FZ$2),GeoHis!$A:$H,7,FALSE)=CN372,1,0)</f>
        <v>#N/A</v>
      </c>
      <c r="GA372" s="138" t="e">
        <f>IF(VLOOKUP(CONCATENATE(H372,F372,GA$2),GeoHis!$A:$H,7,FALSE)=CO372,1,0)</f>
        <v>#N/A</v>
      </c>
      <c r="GB372" s="138" t="e">
        <f>IF(VLOOKUP(CONCATENATE(H372,F372,GB$2),GeoHis!$A:$H,7,FALSE)=CP372,1,0)</f>
        <v>#N/A</v>
      </c>
      <c r="GC372" s="138" t="e">
        <f>IF(VLOOKUP(CONCATENATE(H372,F372,GC$2),GeoHis!$A:$H,7,FALSE)=CQ372,1,0)</f>
        <v>#N/A</v>
      </c>
      <c r="GD372" s="138" t="e">
        <f>IF(VLOOKUP(CONCATENATE(H372,F372,GD$2),GeoHis!$A:$H,7,FALSE)=CR372,1,0)</f>
        <v>#N/A</v>
      </c>
      <c r="GE372" s="135" t="str">
        <f t="shared" si="47"/>
        <v/>
      </c>
    </row>
    <row r="373" spans="1:187" x14ac:dyDescent="0.25">
      <c r="A373" s="127" t="str">
        <f>IF(C373="","",'Datos Generales'!$A$25)</f>
        <v/>
      </c>
      <c r="D373" s="126" t="str">
        <f t="shared" si="40"/>
        <v/>
      </c>
      <c r="E373" s="126">
        <f t="shared" si="41"/>
        <v>0</v>
      </c>
      <c r="F373" s="126" t="str">
        <f t="shared" si="42"/>
        <v/>
      </c>
      <c r="G373" s="126" t="str">
        <f>IF(C373="","",'Datos Generales'!$D$19)</f>
        <v/>
      </c>
      <c r="H373" s="21" t="str">
        <f>IF(C373="","",'Datos Generales'!$A$19)</f>
        <v/>
      </c>
      <c r="I373" s="126" t="str">
        <f>IF(C373="","",'Datos Generales'!$A$7)</f>
        <v/>
      </c>
      <c r="J373" s="21" t="str">
        <f>IF(C373="","",'Datos Generales'!$A$13)</f>
        <v/>
      </c>
      <c r="K373" s="21" t="str">
        <f>IF(C373="","",'Datos Generales'!$A$10)</f>
        <v/>
      </c>
      <c r="CS373" s="142" t="str">
        <f t="shared" si="43"/>
        <v/>
      </c>
      <c r="CT373" s="142" t="str">
        <f t="shared" si="44"/>
        <v/>
      </c>
      <c r="CU373" s="142" t="str">
        <f t="shared" si="45"/>
        <v/>
      </c>
      <c r="CV373" s="142" t="str">
        <f t="shared" si="46"/>
        <v/>
      </c>
      <c r="CW373" s="142" t="str">
        <f>IF(C373="","",IF('Datos Generales'!$A$19=1,AVERAGE(FP373:GD373),AVERAGE(Captura!FP373:FY373)))</f>
        <v/>
      </c>
      <c r="CX373" s="138" t="e">
        <f>IF(VLOOKUP(CONCATENATE($H$4,$F$4,CX$2),Español!$A:$H,7,FALSE)=L373,1,0)</f>
        <v>#N/A</v>
      </c>
      <c r="CY373" s="138" t="e">
        <f>IF(VLOOKUP(CONCATENATE(H373,F373,CY$2),Español!$A:$H,7,FALSE)=M373,1,0)</f>
        <v>#N/A</v>
      </c>
      <c r="CZ373" s="138" t="e">
        <f>IF(VLOOKUP(CONCATENATE(H373,F373,CZ$2),Español!$A:$H,7,FALSE)=N373,1,0)</f>
        <v>#N/A</v>
      </c>
      <c r="DA373" s="138" t="e">
        <f>IF(VLOOKUP(CONCATENATE(H373,F373,DA$2),Español!$A:$H,7,FALSE)=O373,1,0)</f>
        <v>#N/A</v>
      </c>
      <c r="DB373" s="138" t="e">
        <f>IF(VLOOKUP(CONCATENATE(H373,F373,DB$2),Español!$A:$H,7,FALSE)=P373,1,0)</f>
        <v>#N/A</v>
      </c>
      <c r="DC373" s="138" t="e">
        <f>IF(VLOOKUP(CONCATENATE(H373,F373,DC$2),Español!$A:$H,7,FALSE)=Q373,1,0)</f>
        <v>#N/A</v>
      </c>
      <c r="DD373" s="138" t="e">
        <f>IF(VLOOKUP(CONCATENATE(H373,F373,DD$2),Español!$A:$H,7,FALSE)=R373,1,0)</f>
        <v>#N/A</v>
      </c>
      <c r="DE373" s="138" t="e">
        <f>IF(VLOOKUP(CONCATENATE(H373,F373,DE$2),Español!$A:$H,7,FALSE)=S373,1,0)</f>
        <v>#N/A</v>
      </c>
      <c r="DF373" s="138" t="e">
        <f>IF(VLOOKUP(CONCATENATE(H373,F373,DF$2),Español!$A:$H,7,FALSE)=T373,1,0)</f>
        <v>#N/A</v>
      </c>
      <c r="DG373" s="138" t="e">
        <f>IF(VLOOKUP(CONCATENATE(H373,F373,DG$2),Español!$A:$H,7,FALSE)=U373,1,0)</f>
        <v>#N/A</v>
      </c>
      <c r="DH373" s="138" t="e">
        <f>IF(VLOOKUP(CONCATENATE(H373,F373,DH$2),Español!$A:$H,7,FALSE)=V373,1,0)</f>
        <v>#N/A</v>
      </c>
      <c r="DI373" s="138" t="e">
        <f>IF(VLOOKUP(CONCATENATE(H373,F373,DI$2),Español!$A:$H,7,FALSE)=W373,1,0)</f>
        <v>#N/A</v>
      </c>
      <c r="DJ373" s="138" t="e">
        <f>IF(VLOOKUP(CONCATENATE(H373,F373,DJ$2),Español!$A:$H,7,FALSE)=X373,1,0)</f>
        <v>#N/A</v>
      </c>
      <c r="DK373" s="138" t="e">
        <f>IF(VLOOKUP(CONCATENATE(H373,F373,DK$2),Español!$A:$H,7,FALSE)=Y373,1,0)</f>
        <v>#N/A</v>
      </c>
      <c r="DL373" s="138" t="e">
        <f>IF(VLOOKUP(CONCATENATE(H373,F373,DL$2),Español!$A:$H,7,FALSE)=Z373,1,0)</f>
        <v>#N/A</v>
      </c>
      <c r="DM373" s="138" t="e">
        <f>IF(VLOOKUP(CONCATENATE(H373,F373,DM$2),Español!$A:$H,7,FALSE)=AA373,1,0)</f>
        <v>#N/A</v>
      </c>
      <c r="DN373" s="138" t="e">
        <f>IF(VLOOKUP(CONCATENATE(H373,F373,DN$2),Español!$A:$H,7,FALSE)=AB373,1,0)</f>
        <v>#N/A</v>
      </c>
      <c r="DO373" s="138" t="e">
        <f>IF(VLOOKUP(CONCATENATE(H373,F373,DO$2),Español!$A:$H,7,FALSE)=AC373,1,0)</f>
        <v>#N/A</v>
      </c>
      <c r="DP373" s="138" t="e">
        <f>IF(VLOOKUP(CONCATENATE(H373,F373,DP$2),Español!$A:$H,7,FALSE)=AD373,1,0)</f>
        <v>#N/A</v>
      </c>
      <c r="DQ373" s="138" t="e">
        <f>IF(VLOOKUP(CONCATENATE(H373,F373,DQ$2),Español!$A:$H,7,FALSE)=AE373,1,0)</f>
        <v>#N/A</v>
      </c>
      <c r="DR373" s="138" t="e">
        <f>IF(VLOOKUP(CONCATENATE(H373,F373,DR$2),Inglés!$A:$H,7,FALSE)=AF373,1,0)</f>
        <v>#N/A</v>
      </c>
      <c r="DS373" s="138" t="e">
        <f>IF(VLOOKUP(CONCATENATE(H373,F373,DS$2),Inglés!$A:$H,7,FALSE)=AG373,1,0)</f>
        <v>#N/A</v>
      </c>
      <c r="DT373" s="138" t="e">
        <f>IF(VLOOKUP(CONCATENATE(H373,F373,DT$2),Inglés!$A:$H,7,FALSE)=AH373,1,0)</f>
        <v>#N/A</v>
      </c>
      <c r="DU373" s="138" t="e">
        <f>IF(VLOOKUP(CONCATENATE(H373,F373,DU$2),Inglés!$A:$H,7,FALSE)=AI373,1,0)</f>
        <v>#N/A</v>
      </c>
      <c r="DV373" s="138" t="e">
        <f>IF(VLOOKUP(CONCATENATE(H373,F373,DV$2),Inglés!$A:$H,7,FALSE)=AJ373,1,0)</f>
        <v>#N/A</v>
      </c>
      <c r="DW373" s="138" t="e">
        <f>IF(VLOOKUP(CONCATENATE(H373,F373,DW$2),Inglés!$A:$H,7,FALSE)=AK373,1,0)</f>
        <v>#N/A</v>
      </c>
      <c r="DX373" s="138" t="e">
        <f>IF(VLOOKUP(CONCATENATE(H373,F373,DX$2),Inglés!$A:$H,7,FALSE)=AL373,1,0)</f>
        <v>#N/A</v>
      </c>
      <c r="DY373" s="138" t="e">
        <f>IF(VLOOKUP(CONCATENATE(H373,F373,DY$2),Inglés!$A:$H,7,FALSE)=AM373,1,0)</f>
        <v>#N/A</v>
      </c>
      <c r="DZ373" s="138" t="e">
        <f>IF(VLOOKUP(CONCATENATE(H373,F373,DZ$2),Inglés!$A:$H,7,FALSE)=AN373,1,0)</f>
        <v>#N/A</v>
      </c>
      <c r="EA373" s="138" t="e">
        <f>IF(VLOOKUP(CONCATENATE(H373,F373,EA$2),Inglés!$A:$H,7,FALSE)=AO373,1,0)</f>
        <v>#N/A</v>
      </c>
      <c r="EB373" s="138" t="e">
        <f>IF(VLOOKUP(CONCATENATE(H373,F373,EB$2),Matemáticas!$A:$H,7,FALSE)=AP373,1,0)</f>
        <v>#N/A</v>
      </c>
      <c r="EC373" s="138" t="e">
        <f>IF(VLOOKUP(CONCATENATE(H373,F373,EC$2),Matemáticas!$A:$H,7,FALSE)=AQ373,1,0)</f>
        <v>#N/A</v>
      </c>
      <c r="ED373" s="138" t="e">
        <f>IF(VLOOKUP(CONCATENATE(H373,F373,ED$2),Matemáticas!$A:$H,7,FALSE)=AR373,1,0)</f>
        <v>#N/A</v>
      </c>
      <c r="EE373" s="138" t="e">
        <f>IF(VLOOKUP(CONCATENATE(H373,F373,EE$2),Matemáticas!$A:$H,7,FALSE)=AS373,1,0)</f>
        <v>#N/A</v>
      </c>
      <c r="EF373" s="138" t="e">
        <f>IF(VLOOKUP(CONCATENATE(H373,F373,EF$2),Matemáticas!$A:$H,7,FALSE)=AT373,1,0)</f>
        <v>#N/A</v>
      </c>
      <c r="EG373" s="138" t="e">
        <f>IF(VLOOKUP(CONCATENATE(H373,F373,EG$2),Matemáticas!$A:$H,7,FALSE)=AU373,1,0)</f>
        <v>#N/A</v>
      </c>
      <c r="EH373" s="138" t="e">
        <f>IF(VLOOKUP(CONCATENATE(H373,F373,EH$2),Matemáticas!$A:$H,7,FALSE)=AV373,1,0)</f>
        <v>#N/A</v>
      </c>
      <c r="EI373" s="138" t="e">
        <f>IF(VLOOKUP(CONCATENATE(H373,F373,EI$2),Matemáticas!$A:$H,7,FALSE)=AW373,1,0)</f>
        <v>#N/A</v>
      </c>
      <c r="EJ373" s="138" t="e">
        <f>IF(VLOOKUP(CONCATENATE(H373,F373,EJ$2),Matemáticas!$A:$H,7,FALSE)=AX373,1,0)</f>
        <v>#N/A</v>
      </c>
      <c r="EK373" s="138" t="e">
        <f>IF(VLOOKUP(CONCATENATE(H373,F373,EK$2),Matemáticas!$A:$H,7,FALSE)=AY373,1,0)</f>
        <v>#N/A</v>
      </c>
      <c r="EL373" s="138" t="e">
        <f>IF(VLOOKUP(CONCATENATE(H373,F373,EL$2),Matemáticas!$A:$H,7,FALSE)=AZ373,1,0)</f>
        <v>#N/A</v>
      </c>
      <c r="EM373" s="138" t="e">
        <f>IF(VLOOKUP(CONCATENATE(H373,F373,EM$2),Matemáticas!$A:$H,7,FALSE)=BA373,1,0)</f>
        <v>#N/A</v>
      </c>
      <c r="EN373" s="138" t="e">
        <f>IF(VLOOKUP(CONCATENATE(H373,F373,EN$2),Matemáticas!$A:$H,7,FALSE)=BB373,1,0)</f>
        <v>#N/A</v>
      </c>
      <c r="EO373" s="138" t="e">
        <f>IF(VLOOKUP(CONCATENATE(H373,F373,EO$2),Matemáticas!$A:$H,7,FALSE)=BC373,1,0)</f>
        <v>#N/A</v>
      </c>
      <c r="EP373" s="138" t="e">
        <f>IF(VLOOKUP(CONCATENATE(H373,F373,EP$2),Matemáticas!$A:$H,7,FALSE)=BD373,1,0)</f>
        <v>#N/A</v>
      </c>
      <c r="EQ373" s="138" t="e">
        <f>IF(VLOOKUP(CONCATENATE(H373,F373,EQ$2),Matemáticas!$A:$H,7,FALSE)=BE373,1,0)</f>
        <v>#N/A</v>
      </c>
      <c r="ER373" s="138" t="e">
        <f>IF(VLOOKUP(CONCATENATE(H373,F373,ER$2),Matemáticas!$A:$H,7,FALSE)=BF373,1,0)</f>
        <v>#N/A</v>
      </c>
      <c r="ES373" s="138" t="e">
        <f>IF(VLOOKUP(CONCATENATE(H373,F373,ES$2),Matemáticas!$A:$H,7,FALSE)=BG373,1,0)</f>
        <v>#N/A</v>
      </c>
      <c r="ET373" s="138" t="e">
        <f>IF(VLOOKUP(CONCATENATE(H373,F373,ET$2),Matemáticas!$A:$H,7,FALSE)=BH373,1,0)</f>
        <v>#N/A</v>
      </c>
      <c r="EU373" s="138" t="e">
        <f>IF(VLOOKUP(CONCATENATE(H373,F373,EU$2),Matemáticas!$A:$H,7,FALSE)=BI373,1,0)</f>
        <v>#N/A</v>
      </c>
      <c r="EV373" s="138" t="e">
        <f>IF(VLOOKUP(CONCATENATE(H373,F373,EV$2),Ciencias!$A:$H,7,FALSE)=BJ373,1,0)</f>
        <v>#N/A</v>
      </c>
      <c r="EW373" s="138" t="e">
        <f>IF(VLOOKUP(CONCATENATE(H373,F373,EW$2),Ciencias!$A:$H,7,FALSE)=BK373,1,0)</f>
        <v>#N/A</v>
      </c>
      <c r="EX373" s="138" t="e">
        <f>IF(VLOOKUP(CONCATENATE(H373,F373,EX$2),Ciencias!$A:$H,7,FALSE)=BL373,1,0)</f>
        <v>#N/A</v>
      </c>
      <c r="EY373" s="138" t="e">
        <f>IF(VLOOKUP(CONCATENATE(H373,F373,EY$2),Ciencias!$A:$H,7,FALSE)=BM373,1,0)</f>
        <v>#N/A</v>
      </c>
      <c r="EZ373" s="138" t="e">
        <f>IF(VLOOKUP(CONCATENATE(H373,F373,EZ$2),Ciencias!$A:$H,7,FALSE)=BN373,1,0)</f>
        <v>#N/A</v>
      </c>
      <c r="FA373" s="138" t="e">
        <f>IF(VLOOKUP(CONCATENATE(H373,F373,FA$2),Ciencias!$A:$H,7,FALSE)=BO373,1,0)</f>
        <v>#N/A</v>
      </c>
      <c r="FB373" s="138" t="e">
        <f>IF(VLOOKUP(CONCATENATE(H373,F373,FB$2),Ciencias!$A:$H,7,FALSE)=BP373,1,0)</f>
        <v>#N/A</v>
      </c>
      <c r="FC373" s="138" t="e">
        <f>IF(VLOOKUP(CONCATENATE(H373,F373,FC$2),Ciencias!$A:$H,7,FALSE)=BQ373,1,0)</f>
        <v>#N/A</v>
      </c>
      <c r="FD373" s="138" t="e">
        <f>IF(VLOOKUP(CONCATENATE(H373,F373,FD$2),Ciencias!$A:$H,7,FALSE)=BR373,1,0)</f>
        <v>#N/A</v>
      </c>
      <c r="FE373" s="138" t="e">
        <f>IF(VLOOKUP(CONCATENATE(H373,F373,FE$2),Ciencias!$A:$H,7,FALSE)=BS373,1,0)</f>
        <v>#N/A</v>
      </c>
      <c r="FF373" s="138" t="e">
        <f>IF(VLOOKUP(CONCATENATE(H373,F373,FF$2),Ciencias!$A:$H,7,FALSE)=BT373,1,0)</f>
        <v>#N/A</v>
      </c>
      <c r="FG373" s="138" t="e">
        <f>IF(VLOOKUP(CONCATENATE(H373,F373,FG$2),Ciencias!$A:$H,7,FALSE)=BU373,1,0)</f>
        <v>#N/A</v>
      </c>
      <c r="FH373" s="138" t="e">
        <f>IF(VLOOKUP(CONCATENATE(H373,F373,FH$2),Ciencias!$A:$H,7,FALSE)=BV373,1,0)</f>
        <v>#N/A</v>
      </c>
      <c r="FI373" s="138" t="e">
        <f>IF(VLOOKUP(CONCATENATE(H373,F373,FI$2),Ciencias!$A:$H,7,FALSE)=BW373,1,0)</f>
        <v>#N/A</v>
      </c>
      <c r="FJ373" s="138" t="e">
        <f>IF(VLOOKUP(CONCATENATE(H373,F373,FJ$2),Ciencias!$A:$H,7,FALSE)=BX373,1,0)</f>
        <v>#N/A</v>
      </c>
      <c r="FK373" s="138" t="e">
        <f>IF(VLOOKUP(CONCATENATE(H373,F373,FK$2),Ciencias!$A:$H,7,FALSE)=BY373,1,0)</f>
        <v>#N/A</v>
      </c>
      <c r="FL373" s="138" t="e">
        <f>IF(VLOOKUP(CONCATENATE(H373,F373,FL$2),Ciencias!$A:$H,7,FALSE)=BZ373,1,0)</f>
        <v>#N/A</v>
      </c>
      <c r="FM373" s="138" t="e">
        <f>IF(VLOOKUP(CONCATENATE(H373,F373,FM$2),Ciencias!$A:$H,7,FALSE)=CA373,1,0)</f>
        <v>#N/A</v>
      </c>
      <c r="FN373" s="138" t="e">
        <f>IF(VLOOKUP(CONCATENATE(H373,F373,FN$2),Ciencias!$A:$H,7,FALSE)=CB373,1,0)</f>
        <v>#N/A</v>
      </c>
      <c r="FO373" s="138" t="e">
        <f>IF(VLOOKUP(CONCATENATE(H373,F373,FO$2),Ciencias!$A:$H,7,FALSE)=CC373,1,0)</f>
        <v>#N/A</v>
      </c>
      <c r="FP373" s="138" t="e">
        <f>IF(VLOOKUP(CONCATENATE(H373,F373,FP$2),GeoHis!$A:$H,7,FALSE)=CD373,1,0)</f>
        <v>#N/A</v>
      </c>
      <c r="FQ373" s="138" t="e">
        <f>IF(VLOOKUP(CONCATENATE(H373,F373,FQ$2),GeoHis!$A:$H,7,FALSE)=CE373,1,0)</f>
        <v>#N/A</v>
      </c>
      <c r="FR373" s="138" t="e">
        <f>IF(VLOOKUP(CONCATENATE(H373,F373,FR$2),GeoHis!$A:$H,7,FALSE)=CF373,1,0)</f>
        <v>#N/A</v>
      </c>
      <c r="FS373" s="138" t="e">
        <f>IF(VLOOKUP(CONCATENATE(H373,F373,FS$2),GeoHis!$A:$H,7,FALSE)=CG373,1,0)</f>
        <v>#N/A</v>
      </c>
      <c r="FT373" s="138" t="e">
        <f>IF(VLOOKUP(CONCATENATE(H373,F373,FT$2),GeoHis!$A:$H,7,FALSE)=CH373,1,0)</f>
        <v>#N/A</v>
      </c>
      <c r="FU373" s="138" t="e">
        <f>IF(VLOOKUP(CONCATENATE(H373,F373,FU$2),GeoHis!$A:$H,7,FALSE)=CI373,1,0)</f>
        <v>#N/A</v>
      </c>
      <c r="FV373" s="138" t="e">
        <f>IF(VLOOKUP(CONCATENATE(H373,F373,FV$2),GeoHis!$A:$H,7,FALSE)=CJ373,1,0)</f>
        <v>#N/A</v>
      </c>
      <c r="FW373" s="138" t="e">
        <f>IF(VLOOKUP(CONCATENATE(H373,F373,FW$2),GeoHis!$A:$H,7,FALSE)=CK373,1,0)</f>
        <v>#N/A</v>
      </c>
      <c r="FX373" s="138" t="e">
        <f>IF(VLOOKUP(CONCATENATE(H373,F373,FX$2),GeoHis!$A:$H,7,FALSE)=CL373,1,0)</f>
        <v>#N/A</v>
      </c>
      <c r="FY373" s="138" t="e">
        <f>IF(VLOOKUP(CONCATENATE(H373,F373,FY$2),GeoHis!$A:$H,7,FALSE)=CM373,1,0)</f>
        <v>#N/A</v>
      </c>
      <c r="FZ373" s="138" t="e">
        <f>IF(VLOOKUP(CONCATENATE(H373,F373,FZ$2),GeoHis!$A:$H,7,FALSE)=CN373,1,0)</f>
        <v>#N/A</v>
      </c>
      <c r="GA373" s="138" t="e">
        <f>IF(VLOOKUP(CONCATENATE(H373,F373,GA$2),GeoHis!$A:$H,7,FALSE)=CO373,1,0)</f>
        <v>#N/A</v>
      </c>
      <c r="GB373" s="138" t="e">
        <f>IF(VLOOKUP(CONCATENATE(H373,F373,GB$2),GeoHis!$A:$H,7,FALSE)=CP373,1,0)</f>
        <v>#N/A</v>
      </c>
      <c r="GC373" s="138" t="e">
        <f>IF(VLOOKUP(CONCATENATE(H373,F373,GC$2),GeoHis!$A:$H,7,FALSE)=CQ373,1,0)</f>
        <v>#N/A</v>
      </c>
      <c r="GD373" s="138" t="e">
        <f>IF(VLOOKUP(CONCATENATE(H373,F373,GD$2),GeoHis!$A:$H,7,FALSE)=CR373,1,0)</f>
        <v>#N/A</v>
      </c>
      <c r="GE373" s="135" t="str">
        <f t="shared" si="47"/>
        <v/>
      </c>
    </row>
    <row r="374" spans="1:187" x14ac:dyDescent="0.25">
      <c r="A374" s="127" t="str">
        <f>IF(C374="","",'Datos Generales'!$A$25)</f>
        <v/>
      </c>
      <c r="D374" s="126" t="str">
        <f t="shared" si="40"/>
        <v/>
      </c>
      <c r="E374" s="126">
        <f t="shared" si="41"/>
        <v>0</v>
      </c>
      <c r="F374" s="126" t="str">
        <f t="shared" si="42"/>
        <v/>
      </c>
      <c r="G374" s="126" t="str">
        <f>IF(C374="","",'Datos Generales'!$D$19)</f>
        <v/>
      </c>
      <c r="H374" s="21" t="str">
        <f>IF(C374="","",'Datos Generales'!$A$19)</f>
        <v/>
      </c>
      <c r="I374" s="126" t="str">
        <f>IF(C374="","",'Datos Generales'!$A$7)</f>
        <v/>
      </c>
      <c r="J374" s="21" t="str">
        <f>IF(C374="","",'Datos Generales'!$A$13)</f>
        <v/>
      </c>
      <c r="K374" s="21" t="str">
        <f>IF(C374="","",'Datos Generales'!$A$10)</f>
        <v/>
      </c>
      <c r="CS374" s="142" t="str">
        <f t="shared" si="43"/>
        <v/>
      </c>
      <c r="CT374" s="142" t="str">
        <f t="shared" si="44"/>
        <v/>
      </c>
      <c r="CU374" s="142" t="str">
        <f t="shared" si="45"/>
        <v/>
      </c>
      <c r="CV374" s="142" t="str">
        <f t="shared" si="46"/>
        <v/>
      </c>
      <c r="CW374" s="142" t="str">
        <f>IF(C374="","",IF('Datos Generales'!$A$19=1,AVERAGE(FP374:GD374),AVERAGE(Captura!FP374:FY374)))</f>
        <v/>
      </c>
      <c r="CX374" s="138" t="e">
        <f>IF(VLOOKUP(CONCATENATE($H$4,$F$4,CX$2),Español!$A:$H,7,FALSE)=L374,1,0)</f>
        <v>#N/A</v>
      </c>
      <c r="CY374" s="138" t="e">
        <f>IF(VLOOKUP(CONCATENATE(H374,F374,CY$2),Español!$A:$H,7,FALSE)=M374,1,0)</f>
        <v>#N/A</v>
      </c>
      <c r="CZ374" s="138" t="e">
        <f>IF(VLOOKUP(CONCATENATE(H374,F374,CZ$2),Español!$A:$H,7,FALSE)=N374,1,0)</f>
        <v>#N/A</v>
      </c>
      <c r="DA374" s="138" t="e">
        <f>IF(VLOOKUP(CONCATENATE(H374,F374,DA$2),Español!$A:$H,7,FALSE)=O374,1,0)</f>
        <v>#N/A</v>
      </c>
      <c r="DB374" s="138" t="e">
        <f>IF(VLOOKUP(CONCATENATE(H374,F374,DB$2),Español!$A:$H,7,FALSE)=P374,1,0)</f>
        <v>#N/A</v>
      </c>
      <c r="DC374" s="138" t="e">
        <f>IF(VLOOKUP(CONCATENATE(H374,F374,DC$2),Español!$A:$H,7,FALSE)=Q374,1,0)</f>
        <v>#N/A</v>
      </c>
      <c r="DD374" s="138" t="e">
        <f>IF(VLOOKUP(CONCATENATE(H374,F374,DD$2),Español!$A:$H,7,FALSE)=R374,1,0)</f>
        <v>#N/A</v>
      </c>
      <c r="DE374" s="138" t="e">
        <f>IF(VLOOKUP(CONCATENATE(H374,F374,DE$2),Español!$A:$H,7,FALSE)=S374,1,0)</f>
        <v>#N/A</v>
      </c>
      <c r="DF374" s="138" t="e">
        <f>IF(VLOOKUP(CONCATENATE(H374,F374,DF$2),Español!$A:$H,7,FALSE)=T374,1,0)</f>
        <v>#N/A</v>
      </c>
      <c r="DG374" s="138" t="e">
        <f>IF(VLOOKUP(CONCATENATE(H374,F374,DG$2),Español!$A:$H,7,FALSE)=U374,1,0)</f>
        <v>#N/A</v>
      </c>
      <c r="DH374" s="138" t="e">
        <f>IF(VLOOKUP(CONCATENATE(H374,F374,DH$2),Español!$A:$H,7,FALSE)=V374,1,0)</f>
        <v>#N/A</v>
      </c>
      <c r="DI374" s="138" t="e">
        <f>IF(VLOOKUP(CONCATENATE(H374,F374,DI$2),Español!$A:$H,7,FALSE)=W374,1,0)</f>
        <v>#N/A</v>
      </c>
      <c r="DJ374" s="138" t="e">
        <f>IF(VLOOKUP(CONCATENATE(H374,F374,DJ$2),Español!$A:$H,7,FALSE)=X374,1,0)</f>
        <v>#N/A</v>
      </c>
      <c r="DK374" s="138" t="e">
        <f>IF(VLOOKUP(CONCATENATE(H374,F374,DK$2),Español!$A:$H,7,FALSE)=Y374,1,0)</f>
        <v>#N/A</v>
      </c>
      <c r="DL374" s="138" t="e">
        <f>IF(VLOOKUP(CONCATENATE(H374,F374,DL$2),Español!$A:$H,7,FALSE)=Z374,1,0)</f>
        <v>#N/A</v>
      </c>
      <c r="DM374" s="138" t="e">
        <f>IF(VLOOKUP(CONCATENATE(H374,F374,DM$2),Español!$A:$H,7,FALSE)=AA374,1,0)</f>
        <v>#N/A</v>
      </c>
      <c r="DN374" s="138" t="e">
        <f>IF(VLOOKUP(CONCATENATE(H374,F374,DN$2),Español!$A:$H,7,FALSE)=AB374,1,0)</f>
        <v>#N/A</v>
      </c>
      <c r="DO374" s="138" t="e">
        <f>IF(VLOOKUP(CONCATENATE(H374,F374,DO$2),Español!$A:$H,7,FALSE)=AC374,1,0)</f>
        <v>#N/A</v>
      </c>
      <c r="DP374" s="138" t="e">
        <f>IF(VLOOKUP(CONCATENATE(H374,F374,DP$2),Español!$A:$H,7,FALSE)=AD374,1,0)</f>
        <v>#N/A</v>
      </c>
      <c r="DQ374" s="138" t="e">
        <f>IF(VLOOKUP(CONCATENATE(H374,F374,DQ$2),Español!$A:$H,7,FALSE)=AE374,1,0)</f>
        <v>#N/A</v>
      </c>
      <c r="DR374" s="138" t="e">
        <f>IF(VLOOKUP(CONCATENATE(H374,F374,DR$2),Inglés!$A:$H,7,FALSE)=AF374,1,0)</f>
        <v>#N/A</v>
      </c>
      <c r="DS374" s="138" t="e">
        <f>IF(VLOOKUP(CONCATENATE(H374,F374,DS$2),Inglés!$A:$H,7,FALSE)=AG374,1,0)</f>
        <v>#N/A</v>
      </c>
      <c r="DT374" s="138" t="e">
        <f>IF(VLOOKUP(CONCATENATE(H374,F374,DT$2),Inglés!$A:$H,7,FALSE)=AH374,1,0)</f>
        <v>#N/A</v>
      </c>
      <c r="DU374" s="138" t="e">
        <f>IF(VLOOKUP(CONCATENATE(H374,F374,DU$2),Inglés!$A:$H,7,FALSE)=AI374,1,0)</f>
        <v>#N/A</v>
      </c>
      <c r="DV374" s="138" t="e">
        <f>IF(VLOOKUP(CONCATENATE(H374,F374,DV$2),Inglés!$A:$H,7,FALSE)=AJ374,1,0)</f>
        <v>#N/A</v>
      </c>
      <c r="DW374" s="138" t="e">
        <f>IF(VLOOKUP(CONCATENATE(H374,F374,DW$2),Inglés!$A:$H,7,FALSE)=AK374,1,0)</f>
        <v>#N/A</v>
      </c>
      <c r="DX374" s="138" t="e">
        <f>IF(VLOOKUP(CONCATENATE(H374,F374,DX$2),Inglés!$A:$H,7,FALSE)=AL374,1,0)</f>
        <v>#N/A</v>
      </c>
      <c r="DY374" s="138" t="e">
        <f>IF(VLOOKUP(CONCATENATE(H374,F374,DY$2),Inglés!$A:$H,7,FALSE)=AM374,1,0)</f>
        <v>#N/A</v>
      </c>
      <c r="DZ374" s="138" t="e">
        <f>IF(VLOOKUP(CONCATENATE(H374,F374,DZ$2),Inglés!$A:$H,7,FALSE)=AN374,1,0)</f>
        <v>#N/A</v>
      </c>
      <c r="EA374" s="138" t="e">
        <f>IF(VLOOKUP(CONCATENATE(H374,F374,EA$2),Inglés!$A:$H,7,FALSE)=AO374,1,0)</f>
        <v>#N/A</v>
      </c>
      <c r="EB374" s="138" t="e">
        <f>IF(VLOOKUP(CONCATENATE(H374,F374,EB$2),Matemáticas!$A:$H,7,FALSE)=AP374,1,0)</f>
        <v>#N/A</v>
      </c>
      <c r="EC374" s="138" t="e">
        <f>IF(VLOOKUP(CONCATENATE(H374,F374,EC$2),Matemáticas!$A:$H,7,FALSE)=AQ374,1,0)</f>
        <v>#N/A</v>
      </c>
      <c r="ED374" s="138" t="e">
        <f>IF(VLOOKUP(CONCATENATE(H374,F374,ED$2),Matemáticas!$A:$H,7,FALSE)=AR374,1,0)</f>
        <v>#N/A</v>
      </c>
      <c r="EE374" s="138" t="e">
        <f>IF(VLOOKUP(CONCATENATE(H374,F374,EE$2),Matemáticas!$A:$H,7,FALSE)=AS374,1,0)</f>
        <v>#N/A</v>
      </c>
      <c r="EF374" s="138" t="e">
        <f>IF(VLOOKUP(CONCATENATE(H374,F374,EF$2),Matemáticas!$A:$H,7,FALSE)=AT374,1,0)</f>
        <v>#N/A</v>
      </c>
      <c r="EG374" s="138" t="e">
        <f>IF(VLOOKUP(CONCATENATE(H374,F374,EG$2),Matemáticas!$A:$H,7,FALSE)=AU374,1,0)</f>
        <v>#N/A</v>
      </c>
      <c r="EH374" s="138" t="e">
        <f>IF(VLOOKUP(CONCATENATE(H374,F374,EH$2),Matemáticas!$A:$H,7,FALSE)=AV374,1,0)</f>
        <v>#N/A</v>
      </c>
      <c r="EI374" s="138" t="e">
        <f>IF(VLOOKUP(CONCATENATE(H374,F374,EI$2),Matemáticas!$A:$H,7,FALSE)=AW374,1,0)</f>
        <v>#N/A</v>
      </c>
      <c r="EJ374" s="138" t="e">
        <f>IF(VLOOKUP(CONCATENATE(H374,F374,EJ$2),Matemáticas!$A:$H,7,FALSE)=AX374,1,0)</f>
        <v>#N/A</v>
      </c>
      <c r="EK374" s="138" t="e">
        <f>IF(VLOOKUP(CONCATENATE(H374,F374,EK$2),Matemáticas!$A:$H,7,FALSE)=AY374,1,0)</f>
        <v>#N/A</v>
      </c>
      <c r="EL374" s="138" t="e">
        <f>IF(VLOOKUP(CONCATENATE(H374,F374,EL$2),Matemáticas!$A:$H,7,FALSE)=AZ374,1,0)</f>
        <v>#N/A</v>
      </c>
      <c r="EM374" s="138" t="e">
        <f>IF(VLOOKUP(CONCATENATE(H374,F374,EM$2),Matemáticas!$A:$H,7,FALSE)=BA374,1,0)</f>
        <v>#N/A</v>
      </c>
      <c r="EN374" s="138" t="e">
        <f>IF(VLOOKUP(CONCATENATE(H374,F374,EN$2),Matemáticas!$A:$H,7,FALSE)=BB374,1,0)</f>
        <v>#N/A</v>
      </c>
      <c r="EO374" s="138" t="e">
        <f>IF(VLOOKUP(CONCATENATE(H374,F374,EO$2),Matemáticas!$A:$H,7,FALSE)=BC374,1,0)</f>
        <v>#N/A</v>
      </c>
      <c r="EP374" s="138" t="e">
        <f>IF(VLOOKUP(CONCATENATE(H374,F374,EP$2),Matemáticas!$A:$H,7,FALSE)=BD374,1,0)</f>
        <v>#N/A</v>
      </c>
      <c r="EQ374" s="138" t="e">
        <f>IF(VLOOKUP(CONCATENATE(H374,F374,EQ$2),Matemáticas!$A:$H,7,FALSE)=BE374,1,0)</f>
        <v>#N/A</v>
      </c>
      <c r="ER374" s="138" t="e">
        <f>IF(VLOOKUP(CONCATENATE(H374,F374,ER$2),Matemáticas!$A:$H,7,FALSE)=BF374,1,0)</f>
        <v>#N/A</v>
      </c>
      <c r="ES374" s="138" t="e">
        <f>IF(VLOOKUP(CONCATENATE(H374,F374,ES$2),Matemáticas!$A:$H,7,FALSE)=BG374,1,0)</f>
        <v>#N/A</v>
      </c>
      <c r="ET374" s="138" t="e">
        <f>IF(VLOOKUP(CONCATENATE(H374,F374,ET$2),Matemáticas!$A:$H,7,FALSE)=BH374,1,0)</f>
        <v>#N/A</v>
      </c>
      <c r="EU374" s="138" t="e">
        <f>IF(VLOOKUP(CONCATENATE(H374,F374,EU$2),Matemáticas!$A:$H,7,FALSE)=BI374,1,0)</f>
        <v>#N/A</v>
      </c>
      <c r="EV374" s="138" t="e">
        <f>IF(VLOOKUP(CONCATENATE(H374,F374,EV$2),Ciencias!$A:$H,7,FALSE)=BJ374,1,0)</f>
        <v>#N/A</v>
      </c>
      <c r="EW374" s="138" t="e">
        <f>IF(VLOOKUP(CONCATENATE(H374,F374,EW$2),Ciencias!$A:$H,7,FALSE)=BK374,1,0)</f>
        <v>#N/A</v>
      </c>
      <c r="EX374" s="138" t="e">
        <f>IF(VLOOKUP(CONCATENATE(H374,F374,EX$2),Ciencias!$A:$H,7,FALSE)=BL374,1,0)</f>
        <v>#N/A</v>
      </c>
      <c r="EY374" s="138" t="e">
        <f>IF(VLOOKUP(CONCATENATE(H374,F374,EY$2),Ciencias!$A:$H,7,FALSE)=BM374,1,0)</f>
        <v>#N/A</v>
      </c>
      <c r="EZ374" s="138" t="e">
        <f>IF(VLOOKUP(CONCATENATE(H374,F374,EZ$2),Ciencias!$A:$H,7,FALSE)=BN374,1,0)</f>
        <v>#N/A</v>
      </c>
      <c r="FA374" s="138" t="e">
        <f>IF(VLOOKUP(CONCATENATE(H374,F374,FA$2),Ciencias!$A:$H,7,FALSE)=BO374,1,0)</f>
        <v>#N/A</v>
      </c>
      <c r="FB374" s="138" t="e">
        <f>IF(VLOOKUP(CONCATENATE(H374,F374,FB$2),Ciencias!$A:$H,7,FALSE)=BP374,1,0)</f>
        <v>#N/A</v>
      </c>
      <c r="FC374" s="138" t="e">
        <f>IF(VLOOKUP(CONCATENATE(H374,F374,FC$2),Ciencias!$A:$H,7,FALSE)=BQ374,1,0)</f>
        <v>#N/A</v>
      </c>
      <c r="FD374" s="138" t="e">
        <f>IF(VLOOKUP(CONCATENATE(H374,F374,FD$2),Ciencias!$A:$H,7,FALSE)=BR374,1,0)</f>
        <v>#N/A</v>
      </c>
      <c r="FE374" s="138" t="e">
        <f>IF(VLOOKUP(CONCATENATE(H374,F374,FE$2),Ciencias!$A:$H,7,FALSE)=BS374,1,0)</f>
        <v>#N/A</v>
      </c>
      <c r="FF374" s="138" t="e">
        <f>IF(VLOOKUP(CONCATENATE(H374,F374,FF$2),Ciencias!$A:$H,7,FALSE)=BT374,1,0)</f>
        <v>#N/A</v>
      </c>
      <c r="FG374" s="138" t="e">
        <f>IF(VLOOKUP(CONCATENATE(H374,F374,FG$2),Ciencias!$A:$H,7,FALSE)=BU374,1,0)</f>
        <v>#N/A</v>
      </c>
      <c r="FH374" s="138" t="e">
        <f>IF(VLOOKUP(CONCATENATE(H374,F374,FH$2),Ciencias!$A:$H,7,FALSE)=BV374,1,0)</f>
        <v>#N/A</v>
      </c>
      <c r="FI374" s="138" t="e">
        <f>IF(VLOOKUP(CONCATENATE(H374,F374,FI$2),Ciencias!$A:$H,7,FALSE)=BW374,1,0)</f>
        <v>#N/A</v>
      </c>
      <c r="FJ374" s="138" t="e">
        <f>IF(VLOOKUP(CONCATENATE(H374,F374,FJ$2),Ciencias!$A:$H,7,FALSE)=BX374,1,0)</f>
        <v>#N/A</v>
      </c>
      <c r="FK374" s="138" t="e">
        <f>IF(VLOOKUP(CONCATENATE(H374,F374,FK$2),Ciencias!$A:$H,7,FALSE)=BY374,1,0)</f>
        <v>#N/A</v>
      </c>
      <c r="FL374" s="138" t="e">
        <f>IF(VLOOKUP(CONCATENATE(H374,F374,FL$2),Ciencias!$A:$H,7,FALSE)=BZ374,1,0)</f>
        <v>#N/A</v>
      </c>
      <c r="FM374" s="138" t="e">
        <f>IF(VLOOKUP(CONCATENATE(H374,F374,FM$2),Ciencias!$A:$H,7,FALSE)=CA374,1,0)</f>
        <v>#N/A</v>
      </c>
      <c r="FN374" s="138" t="e">
        <f>IF(VLOOKUP(CONCATENATE(H374,F374,FN$2),Ciencias!$A:$H,7,FALSE)=CB374,1,0)</f>
        <v>#N/A</v>
      </c>
      <c r="FO374" s="138" t="e">
        <f>IF(VLOOKUP(CONCATENATE(H374,F374,FO$2),Ciencias!$A:$H,7,FALSE)=CC374,1,0)</f>
        <v>#N/A</v>
      </c>
      <c r="FP374" s="138" t="e">
        <f>IF(VLOOKUP(CONCATENATE(H374,F374,FP$2),GeoHis!$A:$H,7,FALSE)=CD374,1,0)</f>
        <v>#N/A</v>
      </c>
      <c r="FQ374" s="138" t="e">
        <f>IF(VLOOKUP(CONCATENATE(H374,F374,FQ$2),GeoHis!$A:$H,7,FALSE)=CE374,1,0)</f>
        <v>#N/A</v>
      </c>
      <c r="FR374" s="138" t="e">
        <f>IF(VLOOKUP(CONCATENATE(H374,F374,FR$2),GeoHis!$A:$H,7,FALSE)=CF374,1,0)</f>
        <v>#N/A</v>
      </c>
      <c r="FS374" s="138" t="e">
        <f>IF(VLOOKUP(CONCATENATE(H374,F374,FS$2),GeoHis!$A:$H,7,FALSE)=CG374,1,0)</f>
        <v>#N/A</v>
      </c>
      <c r="FT374" s="138" t="e">
        <f>IF(VLOOKUP(CONCATENATE(H374,F374,FT$2),GeoHis!$A:$H,7,FALSE)=CH374,1,0)</f>
        <v>#N/A</v>
      </c>
      <c r="FU374" s="138" t="e">
        <f>IF(VLOOKUP(CONCATENATE(H374,F374,FU$2),GeoHis!$A:$H,7,FALSE)=CI374,1,0)</f>
        <v>#N/A</v>
      </c>
      <c r="FV374" s="138" t="e">
        <f>IF(VLOOKUP(CONCATENATE(H374,F374,FV$2),GeoHis!$A:$H,7,FALSE)=CJ374,1,0)</f>
        <v>#N/A</v>
      </c>
      <c r="FW374" s="138" t="e">
        <f>IF(VLOOKUP(CONCATENATE(H374,F374,FW$2),GeoHis!$A:$H,7,FALSE)=CK374,1,0)</f>
        <v>#N/A</v>
      </c>
      <c r="FX374" s="138" t="e">
        <f>IF(VLOOKUP(CONCATENATE(H374,F374,FX$2),GeoHis!$A:$H,7,FALSE)=CL374,1,0)</f>
        <v>#N/A</v>
      </c>
      <c r="FY374" s="138" t="e">
        <f>IF(VLOOKUP(CONCATENATE(H374,F374,FY$2),GeoHis!$A:$H,7,FALSE)=CM374,1,0)</f>
        <v>#N/A</v>
      </c>
      <c r="FZ374" s="138" t="e">
        <f>IF(VLOOKUP(CONCATENATE(H374,F374,FZ$2),GeoHis!$A:$H,7,FALSE)=CN374,1,0)</f>
        <v>#N/A</v>
      </c>
      <c r="GA374" s="138" t="e">
        <f>IF(VLOOKUP(CONCATENATE(H374,F374,GA$2),GeoHis!$A:$H,7,FALSE)=CO374,1,0)</f>
        <v>#N/A</v>
      </c>
      <c r="GB374" s="138" t="e">
        <f>IF(VLOOKUP(CONCATENATE(H374,F374,GB$2),GeoHis!$A:$H,7,FALSE)=CP374,1,0)</f>
        <v>#N/A</v>
      </c>
      <c r="GC374" s="138" t="e">
        <f>IF(VLOOKUP(CONCATENATE(H374,F374,GC$2),GeoHis!$A:$H,7,FALSE)=CQ374,1,0)</f>
        <v>#N/A</v>
      </c>
      <c r="GD374" s="138" t="e">
        <f>IF(VLOOKUP(CONCATENATE(H374,F374,GD$2),GeoHis!$A:$H,7,FALSE)=CR374,1,0)</f>
        <v>#N/A</v>
      </c>
      <c r="GE374" s="135" t="str">
        <f t="shared" si="47"/>
        <v/>
      </c>
    </row>
    <row r="375" spans="1:187" x14ac:dyDescent="0.25">
      <c r="A375" s="127" t="str">
        <f>IF(C375="","",'Datos Generales'!$A$25)</f>
        <v/>
      </c>
      <c r="D375" s="126" t="str">
        <f t="shared" si="40"/>
        <v/>
      </c>
      <c r="E375" s="126">
        <f t="shared" si="41"/>
        <v>0</v>
      </c>
      <c r="F375" s="126" t="str">
        <f t="shared" si="42"/>
        <v/>
      </c>
      <c r="G375" s="126" t="str">
        <f>IF(C375="","",'Datos Generales'!$D$19)</f>
        <v/>
      </c>
      <c r="H375" s="21" t="str">
        <f>IF(C375="","",'Datos Generales'!$A$19)</f>
        <v/>
      </c>
      <c r="I375" s="126" t="str">
        <f>IF(C375="","",'Datos Generales'!$A$7)</f>
        <v/>
      </c>
      <c r="J375" s="21" t="str">
        <f>IF(C375="","",'Datos Generales'!$A$13)</f>
        <v/>
      </c>
      <c r="K375" s="21" t="str">
        <f>IF(C375="","",'Datos Generales'!$A$10)</f>
        <v/>
      </c>
      <c r="CS375" s="142" t="str">
        <f t="shared" si="43"/>
        <v/>
      </c>
      <c r="CT375" s="142" t="str">
        <f t="shared" si="44"/>
        <v/>
      </c>
      <c r="CU375" s="142" t="str">
        <f t="shared" si="45"/>
        <v/>
      </c>
      <c r="CV375" s="142" t="str">
        <f t="shared" si="46"/>
        <v/>
      </c>
      <c r="CW375" s="142" t="str">
        <f>IF(C375="","",IF('Datos Generales'!$A$19=1,AVERAGE(FP375:GD375),AVERAGE(Captura!FP375:FY375)))</f>
        <v/>
      </c>
      <c r="CX375" s="138" t="e">
        <f>IF(VLOOKUP(CONCATENATE($H$4,$F$4,CX$2),Español!$A:$H,7,FALSE)=L375,1,0)</f>
        <v>#N/A</v>
      </c>
      <c r="CY375" s="138" t="e">
        <f>IF(VLOOKUP(CONCATENATE(H375,F375,CY$2),Español!$A:$H,7,FALSE)=M375,1,0)</f>
        <v>#N/A</v>
      </c>
      <c r="CZ375" s="138" t="e">
        <f>IF(VLOOKUP(CONCATENATE(H375,F375,CZ$2),Español!$A:$H,7,FALSE)=N375,1,0)</f>
        <v>#N/A</v>
      </c>
      <c r="DA375" s="138" t="e">
        <f>IF(VLOOKUP(CONCATENATE(H375,F375,DA$2),Español!$A:$H,7,FALSE)=O375,1,0)</f>
        <v>#N/A</v>
      </c>
      <c r="DB375" s="138" t="e">
        <f>IF(VLOOKUP(CONCATENATE(H375,F375,DB$2),Español!$A:$H,7,FALSE)=P375,1,0)</f>
        <v>#N/A</v>
      </c>
      <c r="DC375" s="138" t="e">
        <f>IF(VLOOKUP(CONCATENATE(H375,F375,DC$2),Español!$A:$H,7,FALSE)=Q375,1,0)</f>
        <v>#N/A</v>
      </c>
      <c r="DD375" s="138" t="e">
        <f>IF(VLOOKUP(CONCATENATE(H375,F375,DD$2),Español!$A:$H,7,FALSE)=R375,1,0)</f>
        <v>#N/A</v>
      </c>
      <c r="DE375" s="138" t="e">
        <f>IF(VLOOKUP(CONCATENATE(H375,F375,DE$2),Español!$A:$H,7,FALSE)=S375,1,0)</f>
        <v>#N/A</v>
      </c>
      <c r="DF375" s="138" t="e">
        <f>IF(VLOOKUP(CONCATENATE(H375,F375,DF$2),Español!$A:$H,7,FALSE)=T375,1,0)</f>
        <v>#N/A</v>
      </c>
      <c r="DG375" s="138" t="e">
        <f>IF(VLOOKUP(CONCATENATE(H375,F375,DG$2),Español!$A:$H,7,FALSE)=U375,1,0)</f>
        <v>#N/A</v>
      </c>
      <c r="DH375" s="138" t="e">
        <f>IF(VLOOKUP(CONCATENATE(H375,F375,DH$2),Español!$A:$H,7,FALSE)=V375,1,0)</f>
        <v>#N/A</v>
      </c>
      <c r="DI375" s="138" t="e">
        <f>IF(VLOOKUP(CONCATENATE(H375,F375,DI$2),Español!$A:$H,7,FALSE)=W375,1,0)</f>
        <v>#N/A</v>
      </c>
      <c r="DJ375" s="138" t="e">
        <f>IF(VLOOKUP(CONCATENATE(H375,F375,DJ$2),Español!$A:$H,7,FALSE)=X375,1,0)</f>
        <v>#N/A</v>
      </c>
      <c r="DK375" s="138" t="e">
        <f>IF(VLOOKUP(CONCATENATE(H375,F375,DK$2),Español!$A:$H,7,FALSE)=Y375,1,0)</f>
        <v>#N/A</v>
      </c>
      <c r="DL375" s="138" t="e">
        <f>IF(VLOOKUP(CONCATENATE(H375,F375,DL$2),Español!$A:$H,7,FALSE)=Z375,1,0)</f>
        <v>#N/A</v>
      </c>
      <c r="DM375" s="138" t="e">
        <f>IF(VLOOKUP(CONCATENATE(H375,F375,DM$2),Español!$A:$H,7,FALSE)=AA375,1,0)</f>
        <v>#N/A</v>
      </c>
      <c r="DN375" s="138" t="e">
        <f>IF(VLOOKUP(CONCATENATE(H375,F375,DN$2),Español!$A:$H,7,FALSE)=AB375,1,0)</f>
        <v>#N/A</v>
      </c>
      <c r="DO375" s="138" t="e">
        <f>IF(VLOOKUP(CONCATENATE(H375,F375,DO$2),Español!$A:$H,7,FALSE)=AC375,1,0)</f>
        <v>#N/A</v>
      </c>
      <c r="DP375" s="138" t="e">
        <f>IF(VLOOKUP(CONCATENATE(H375,F375,DP$2),Español!$A:$H,7,FALSE)=AD375,1,0)</f>
        <v>#N/A</v>
      </c>
      <c r="DQ375" s="138" t="e">
        <f>IF(VLOOKUP(CONCATENATE(H375,F375,DQ$2),Español!$A:$H,7,FALSE)=AE375,1,0)</f>
        <v>#N/A</v>
      </c>
      <c r="DR375" s="138" t="e">
        <f>IF(VLOOKUP(CONCATENATE(H375,F375,DR$2),Inglés!$A:$H,7,FALSE)=AF375,1,0)</f>
        <v>#N/A</v>
      </c>
      <c r="DS375" s="138" t="e">
        <f>IF(VLOOKUP(CONCATENATE(H375,F375,DS$2),Inglés!$A:$H,7,FALSE)=AG375,1,0)</f>
        <v>#N/A</v>
      </c>
      <c r="DT375" s="138" t="e">
        <f>IF(VLOOKUP(CONCATENATE(H375,F375,DT$2),Inglés!$A:$H,7,FALSE)=AH375,1,0)</f>
        <v>#N/A</v>
      </c>
      <c r="DU375" s="138" t="e">
        <f>IF(VLOOKUP(CONCATENATE(H375,F375,DU$2),Inglés!$A:$H,7,FALSE)=AI375,1,0)</f>
        <v>#N/A</v>
      </c>
      <c r="DV375" s="138" t="e">
        <f>IF(VLOOKUP(CONCATENATE(H375,F375,DV$2),Inglés!$A:$H,7,FALSE)=AJ375,1,0)</f>
        <v>#N/A</v>
      </c>
      <c r="DW375" s="138" t="e">
        <f>IF(VLOOKUP(CONCATENATE(H375,F375,DW$2),Inglés!$A:$H,7,FALSE)=AK375,1,0)</f>
        <v>#N/A</v>
      </c>
      <c r="DX375" s="138" t="e">
        <f>IF(VLOOKUP(CONCATENATE(H375,F375,DX$2),Inglés!$A:$H,7,FALSE)=AL375,1,0)</f>
        <v>#N/A</v>
      </c>
      <c r="DY375" s="138" t="e">
        <f>IF(VLOOKUP(CONCATENATE(H375,F375,DY$2),Inglés!$A:$H,7,FALSE)=AM375,1,0)</f>
        <v>#N/A</v>
      </c>
      <c r="DZ375" s="138" t="e">
        <f>IF(VLOOKUP(CONCATENATE(H375,F375,DZ$2),Inglés!$A:$H,7,FALSE)=AN375,1,0)</f>
        <v>#N/A</v>
      </c>
      <c r="EA375" s="138" t="e">
        <f>IF(VLOOKUP(CONCATENATE(H375,F375,EA$2),Inglés!$A:$H,7,FALSE)=AO375,1,0)</f>
        <v>#N/A</v>
      </c>
      <c r="EB375" s="138" t="e">
        <f>IF(VLOOKUP(CONCATENATE(H375,F375,EB$2),Matemáticas!$A:$H,7,FALSE)=AP375,1,0)</f>
        <v>#N/A</v>
      </c>
      <c r="EC375" s="138" t="e">
        <f>IF(VLOOKUP(CONCATENATE(H375,F375,EC$2),Matemáticas!$A:$H,7,FALSE)=AQ375,1,0)</f>
        <v>#N/A</v>
      </c>
      <c r="ED375" s="138" t="e">
        <f>IF(VLOOKUP(CONCATENATE(H375,F375,ED$2),Matemáticas!$A:$H,7,FALSE)=AR375,1,0)</f>
        <v>#N/A</v>
      </c>
      <c r="EE375" s="138" t="e">
        <f>IF(VLOOKUP(CONCATENATE(H375,F375,EE$2),Matemáticas!$A:$H,7,FALSE)=AS375,1,0)</f>
        <v>#N/A</v>
      </c>
      <c r="EF375" s="138" t="e">
        <f>IF(VLOOKUP(CONCATENATE(H375,F375,EF$2),Matemáticas!$A:$H,7,FALSE)=AT375,1,0)</f>
        <v>#N/A</v>
      </c>
      <c r="EG375" s="138" t="e">
        <f>IF(VLOOKUP(CONCATENATE(H375,F375,EG$2),Matemáticas!$A:$H,7,FALSE)=AU375,1,0)</f>
        <v>#N/A</v>
      </c>
      <c r="EH375" s="138" t="e">
        <f>IF(VLOOKUP(CONCATENATE(H375,F375,EH$2),Matemáticas!$A:$H,7,FALSE)=AV375,1,0)</f>
        <v>#N/A</v>
      </c>
      <c r="EI375" s="138" t="e">
        <f>IF(VLOOKUP(CONCATENATE(H375,F375,EI$2),Matemáticas!$A:$H,7,FALSE)=AW375,1,0)</f>
        <v>#N/A</v>
      </c>
      <c r="EJ375" s="138" t="e">
        <f>IF(VLOOKUP(CONCATENATE(H375,F375,EJ$2),Matemáticas!$A:$H,7,FALSE)=AX375,1,0)</f>
        <v>#N/A</v>
      </c>
      <c r="EK375" s="138" t="e">
        <f>IF(VLOOKUP(CONCATENATE(H375,F375,EK$2),Matemáticas!$A:$H,7,FALSE)=AY375,1,0)</f>
        <v>#N/A</v>
      </c>
      <c r="EL375" s="138" t="e">
        <f>IF(VLOOKUP(CONCATENATE(H375,F375,EL$2),Matemáticas!$A:$H,7,FALSE)=AZ375,1,0)</f>
        <v>#N/A</v>
      </c>
      <c r="EM375" s="138" t="e">
        <f>IF(VLOOKUP(CONCATENATE(H375,F375,EM$2),Matemáticas!$A:$H,7,FALSE)=BA375,1,0)</f>
        <v>#N/A</v>
      </c>
      <c r="EN375" s="138" t="e">
        <f>IF(VLOOKUP(CONCATENATE(H375,F375,EN$2),Matemáticas!$A:$H,7,FALSE)=BB375,1,0)</f>
        <v>#N/A</v>
      </c>
      <c r="EO375" s="138" t="e">
        <f>IF(VLOOKUP(CONCATENATE(H375,F375,EO$2),Matemáticas!$A:$H,7,FALSE)=BC375,1,0)</f>
        <v>#N/A</v>
      </c>
      <c r="EP375" s="138" t="e">
        <f>IF(VLOOKUP(CONCATENATE(H375,F375,EP$2),Matemáticas!$A:$H,7,FALSE)=BD375,1,0)</f>
        <v>#N/A</v>
      </c>
      <c r="EQ375" s="138" t="e">
        <f>IF(VLOOKUP(CONCATENATE(H375,F375,EQ$2),Matemáticas!$A:$H,7,FALSE)=BE375,1,0)</f>
        <v>#N/A</v>
      </c>
      <c r="ER375" s="138" t="e">
        <f>IF(VLOOKUP(CONCATENATE(H375,F375,ER$2),Matemáticas!$A:$H,7,FALSE)=BF375,1,0)</f>
        <v>#N/A</v>
      </c>
      <c r="ES375" s="138" t="e">
        <f>IF(VLOOKUP(CONCATENATE(H375,F375,ES$2),Matemáticas!$A:$H,7,FALSE)=BG375,1,0)</f>
        <v>#N/A</v>
      </c>
      <c r="ET375" s="138" t="e">
        <f>IF(VLOOKUP(CONCATENATE(H375,F375,ET$2),Matemáticas!$A:$H,7,FALSE)=BH375,1,0)</f>
        <v>#N/A</v>
      </c>
      <c r="EU375" s="138" t="e">
        <f>IF(VLOOKUP(CONCATENATE(H375,F375,EU$2),Matemáticas!$A:$H,7,FALSE)=BI375,1,0)</f>
        <v>#N/A</v>
      </c>
      <c r="EV375" s="138" t="e">
        <f>IF(VLOOKUP(CONCATENATE(H375,F375,EV$2),Ciencias!$A:$H,7,FALSE)=BJ375,1,0)</f>
        <v>#N/A</v>
      </c>
      <c r="EW375" s="138" t="e">
        <f>IF(VLOOKUP(CONCATENATE(H375,F375,EW$2),Ciencias!$A:$H,7,FALSE)=BK375,1,0)</f>
        <v>#N/A</v>
      </c>
      <c r="EX375" s="138" t="e">
        <f>IF(VLOOKUP(CONCATENATE(H375,F375,EX$2),Ciencias!$A:$H,7,FALSE)=BL375,1,0)</f>
        <v>#N/A</v>
      </c>
      <c r="EY375" s="138" t="e">
        <f>IF(VLOOKUP(CONCATENATE(H375,F375,EY$2),Ciencias!$A:$H,7,FALSE)=BM375,1,0)</f>
        <v>#N/A</v>
      </c>
      <c r="EZ375" s="138" t="e">
        <f>IF(VLOOKUP(CONCATENATE(H375,F375,EZ$2),Ciencias!$A:$H,7,FALSE)=BN375,1,0)</f>
        <v>#N/A</v>
      </c>
      <c r="FA375" s="138" t="e">
        <f>IF(VLOOKUP(CONCATENATE(H375,F375,FA$2),Ciencias!$A:$H,7,FALSE)=BO375,1,0)</f>
        <v>#N/A</v>
      </c>
      <c r="FB375" s="138" t="e">
        <f>IF(VLOOKUP(CONCATENATE(H375,F375,FB$2),Ciencias!$A:$H,7,FALSE)=BP375,1,0)</f>
        <v>#N/A</v>
      </c>
      <c r="FC375" s="138" t="e">
        <f>IF(VLOOKUP(CONCATENATE(H375,F375,FC$2),Ciencias!$A:$H,7,FALSE)=BQ375,1,0)</f>
        <v>#N/A</v>
      </c>
      <c r="FD375" s="138" t="e">
        <f>IF(VLOOKUP(CONCATENATE(H375,F375,FD$2),Ciencias!$A:$H,7,FALSE)=BR375,1,0)</f>
        <v>#N/A</v>
      </c>
      <c r="FE375" s="138" t="e">
        <f>IF(VLOOKUP(CONCATENATE(H375,F375,FE$2),Ciencias!$A:$H,7,FALSE)=BS375,1,0)</f>
        <v>#N/A</v>
      </c>
      <c r="FF375" s="138" t="e">
        <f>IF(VLOOKUP(CONCATENATE(H375,F375,FF$2),Ciencias!$A:$H,7,FALSE)=BT375,1,0)</f>
        <v>#N/A</v>
      </c>
      <c r="FG375" s="138" t="e">
        <f>IF(VLOOKUP(CONCATENATE(H375,F375,FG$2),Ciencias!$A:$H,7,FALSE)=BU375,1,0)</f>
        <v>#N/A</v>
      </c>
      <c r="FH375" s="138" t="e">
        <f>IF(VLOOKUP(CONCATENATE(H375,F375,FH$2),Ciencias!$A:$H,7,FALSE)=BV375,1,0)</f>
        <v>#N/A</v>
      </c>
      <c r="FI375" s="138" t="e">
        <f>IF(VLOOKUP(CONCATENATE(H375,F375,FI$2),Ciencias!$A:$H,7,FALSE)=BW375,1,0)</f>
        <v>#N/A</v>
      </c>
      <c r="FJ375" s="138" t="e">
        <f>IF(VLOOKUP(CONCATENATE(H375,F375,FJ$2),Ciencias!$A:$H,7,FALSE)=BX375,1,0)</f>
        <v>#N/A</v>
      </c>
      <c r="FK375" s="138" t="e">
        <f>IF(VLOOKUP(CONCATENATE(H375,F375,FK$2),Ciencias!$A:$H,7,FALSE)=BY375,1,0)</f>
        <v>#N/A</v>
      </c>
      <c r="FL375" s="138" t="e">
        <f>IF(VLOOKUP(CONCATENATE(H375,F375,FL$2),Ciencias!$A:$H,7,FALSE)=BZ375,1,0)</f>
        <v>#N/A</v>
      </c>
      <c r="FM375" s="138" t="e">
        <f>IF(VLOOKUP(CONCATENATE(H375,F375,FM$2),Ciencias!$A:$H,7,FALSE)=CA375,1,0)</f>
        <v>#N/A</v>
      </c>
      <c r="FN375" s="138" t="e">
        <f>IF(VLOOKUP(CONCATENATE(H375,F375,FN$2),Ciencias!$A:$H,7,FALSE)=CB375,1,0)</f>
        <v>#N/A</v>
      </c>
      <c r="FO375" s="138" t="e">
        <f>IF(VLOOKUP(CONCATENATE(H375,F375,FO$2),Ciencias!$A:$H,7,FALSE)=CC375,1,0)</f>
        <v>#N/A</v>
      </c>
      <c r="FP375" s="138" t="e">
        <f>IF(VLOOKUP(CONCATENATE(H375,F375,FP$2),GeoHis!$A:$H,7,FALSE)=CD375,1,0)</f>
        <v>#N/A</v>
      </c>
      <c r="FQ375" s="138" t="e">
        <f>IF(VLOOKUP(CONCATENATE(H375,F375,FQ$2),GeoHis!$A:$H,7,FALSE)=CE375,1,0)</f>
        <v>#N/A</v>
      </c>
      <c r="FR375" s="138" t="e">
        <f>IF(VLOOKUP(CONCATENATE(H375,F375,FR$2),GeoHis!$A:$H,7,FALSE)=CF375,1,0)</f>
        <v>#N/A</v>
      </c>
      <c r="FS375" s="138" t="e">
        <f>IF(VLOOKUP(CONCATENATE(H375,F375,FS$2),GeoHis!$A:$H,7,FALSE)=CG375,1,0)</f>
        <v>#N/A</v>
      </c>
      <c r="FT375" s="138" t="e">
        <f>IF(VLOOKUP(CONCATENATE(H375,F375,FT$2),GeoHis!$A:$H,7,FALSE)=CH375,1,0)</f>
        <v>#N/A</v>
      </c>
      <c r="FU375" s="138" t="e">
        <f>IF(VLOOKUP(CONCATENATE(H375,F375,FU$2),GeoHis!$A:$H,7,FALSE)=CI375,1,0)</f>
        <v>#N/A</v>
      </c>
      <c r="FV375" s="138" t="e">
        <f>IF(VLOOKUP(CONCATENATE(H375,F375,FV$2),GeoHis!$A:$H,7,FALSE)=CJ375,1,0)</f>
        <v>#N/A</v>
      </c>
      <c r="FW375" s="138" t="e">
        <f>IF(VLOOKUP(CONCATENATE(H375,F375,FW$2),GeoHis!$A:$H,7,FALSE)=CK375,1,0)</f>
        <v>#N/A</v>
      </c>
      <c r="FX375" s="138" t="e">
        <f>IF(VLOOKUP(CONCATENATE(H375,F375,FX$2),GeoHis!$A:$H,7,FALSE)=CL375,1,0)</f>
        <v>#N/A</v>
      </c>
      <c r="FY375" s="138" t="e">
        <f>IF(VLOOKUP(CONCATENATE(H375,F375,FY$2),GeoHis!$A:$H,7,FALSE)=CM375,1,0)</f>
        <v>#N/A</v>
      </c>
      <c r="FZ375" s="138" t="e">
        <f>IF(VLOOKUP(CONCATENATE(H375,F375,FZ$2),GeoHis!$A:$H,7,FALSE)=CN375,1,0)</f>
        <v>#N/A</v>
      </c>
      <c r="GA375" s="138" t="e">
        <f>IF(VLOOKUP(CONCATENATE(H375,F375,GA$2),GeoHis!$A:$H,7,FALSE)=CO375,1,0)</f>
        <v>#N/A</v>
      </c>
      <c r="GB375" s="138" t="e">
        <f>IF(VLOOKUP(CONCATENATE(H375,F375,GB$2),GeoHis!$A:$H,7,FALSE)=CP375,1,0)</f>
        <v>#N/A</v>
      </c>
      <c r="GC375" s="138" t="e">
        <f>IF(VLOOKUP(CONCATENATE(H375,F375,GC$2),GeoHis!$A:$H,7,FALSE)=CQ375,1,0)</f>
        <v>#N/A</v>
      </c>
      <c r="GD375" s="138" t="e">
        <f>IF(VLOOKUP(CONCATENATE(H375,F375,GD$2),GeoHis!$A:$H,7,FALSE)=CR375,1,0)</f>
        <v>#N/A</v>
      </c>
      <c r="GE375" s="135" t="str">
        <f t="shared" si="47"/>
        <v/>
      </c>
    </row>
    <row r="376" spans="1:187" x14ac:dyDescent="0.25">
      <c r="A376" s="127" t="str">
        <f>IF(C376="","",'Datos Generales'!$A$25)</f>
        <v/>
      </c>
      <c r="D376" s="126" t="str">
        <f t="shared" si="40"/>
        <v/>
      </c>
      <c r="E376" s="126">
        <f t="shared" si="41"/>
        <v>0</v>
      </c>
      <c r="F376" s="126" t="str">
        <f t="shared" si="42"/>
        <v/>
      </c>
      <c r="G376" s="126" t="str">
        <f>IF(C376="","",'Datos Generales'!$D$19)</f>
        <v/>
      </c>
      <c r="H376" s="21" t="str">
        <f>IF(C376="","",'Datos Generales'!$A$19)</f>
        <v/>
      </c>
      <c r="I376" s="126" t="str">
        <f>IF(C376="","",'Datos Generales'!$A$7)</f>
        <v/>
      </c>
      <c r="J376" s="21" t="str">
        <f>IF(C376="","",'Datos Generales'!$A$13)</f>
        <v/>
      </c>
      <c r="K376" s="21" t="str">
        <f>IF(C376="","",'Datos Generales'!$A$10)</f>
        <v/>
      </c>
      <c r="CS376" s="142" t="str">
        <f t="shared" si="43"/>
        <v/>
      </c>
      <c r="CT376" s="142" t="str">
        <f t="shared" si="44"/>
        <v/>
      </c>
      <c r="CU376" s="142" t="str">
        <f t="shared" si="45"/>
        <v/>
      </c>
      <c r="CV376" s="142" t="str">
        <f t="shared" si="46"/>
        <v/>
      </c>
      <c r="CW376" s="142" t="str">
        <f>IF(C376="","",IF('Datos Generales'!$A$19=1,AVERAGE(FP376:GD376),AVERAGE(Captura!FP376:FY376)))</f>
        <v/>
      </c>
      <c r="CX376" s="138" t="e">
        <f>IF(VLOOKUP(CONCATENATE($H$4,$F$4,CX$2),Español!$A:$H,7,FALSE)=L376,1,0)</f>
        <v>#N/A</v>
      </c>
      <c r="CY376" s="138" t="e">
        <f>IF(VLOOKUP(CONCATENATE(H376,F376,CY$2),Español!$A:$H,7,FALSE)=M376,1,0)</f>
        <v>#N/A</v>
      </c>
      <c r="CZ376" s="138" t="e">
        <f>IF(VLOOKUP(CONCATENATE(H376,F376,CZ$2),Español!$A:$H,7,FALSE)=N376,1,0)</f>
        <v>#N/A</v>
      </c>
      <c r="DA376" s="138" t="e">
        <f>IF(VLOOKUP(CONCATENATE(H376,F376,DA$2),Español!$A:$H,7,FALSE)=O376,1,0)</f>
        <v>#N/A</v>
      </c>
      <c r="DB376" s="138" t="e">
        <f>IF(VLOOKUP(CONCATENATE(H376,F376,DB$2),Español!$A:$H,7,FALSE)=P376,1,0)</f>
        <v>#N/A</v>
      </c>
      <c r="DC376" s="138" t="e">
        <f>IF(VLOOKUP(CONCATENATE(H376,F376,DC$2),Español!$A:$H,7,FALSE)=Q376,1,0)</f>
        <v>#N/A</v>
      </c>
      <c r="DD376" s="138" t="e">
        <f>IF(VLOOKUP(CONCATENATE(H376,F376,DD$2),Español!$A:$H,7,FALSE)=R376,1,0)</f>
        <v>#N/A</v>
      </c>
      <c r="DE376" s="138" t="e">
        <f>IF(VLOOKUP(CONCATENATE(H376,F376,DE$2),Español!$A:$H,7,FALSE)=S376,1,0)</f>
        <v>#N/A</v>
      </c>
      <c r="DF376" s="138" t="e">
        <f>IF(VLOOKUP(CONCATENATE(H376,F376,DF$2),Español!$A:$H,7,FALSE)=T376,1,0)</f>
        <v>#N/A</v>
      </c>
      <c r="DG376" s="138" t="e">
        <f>IF(VLOOKUP(CONCATENATE(H376,F376,DG$2),Español!$A:$H,7,FALSE)=U376,1,0)</f>
        <v>#N/A</v>
      </c>
      <c r="DH376" s="138" t="e">
        <f>IF(VLOOKUP(CONCATENATE(H376,F376,DH$2),Español!$A:$H,7,FALSE)=V376,1,0)</f>
        <v>#N/A</v>
      </c>
      <c r="DI376" s="138" t="e">
        <f>IF(VLOOKUP(CONCATENATE(H376,F376,DI$2),Español!$A:$H,7,FALSE)=W376,1,0)</f>
        <v>#N/A</v>
      </c>
      <c r="DJ376" s="138" t="e">
        <f>IF(VLOOKUP(CONCATENATE(H376,F376,DJ$2),Español!$A:$H,7,FALSE)=X376,1,0)</f>
        <v>#N/A</v>
      </c>
      <c r="DK376" s="138" t="e">
        <f>IF(VLOOKUP(CONCATENATE(H376,F376,DK$2),Español!$A:$H,7,FALSE)=Y376,1,0)</f>
        <v>#N/A</v>
      </c>
      <c r="DL376" s="138" t="e">
        <f>IF(VLOOKUP(CONCATENATE(H376,F376,DL$2),Español!$A:$H,7,FALSE)=Z376,1,0)</f>
        <v>#N/A</v>
      </c>
      <c r="DM376" s="138" t="e">
        <f>IF(VLOOKUP(CONCATENATE(H376,F376,DM$2),Español!$A:$H,7,FALSE)=AA376,1,0)</f>
        <v>#N/A</v>
      </c>
      <c r="DN376" s="138" t="e">
        <f>IF(VLOOKUP(CONCATENATE(H376,F376,DN$2),Español!$A:$H,7,FALSE)=AB376,1,0)</f>
        <v>#N/A</v>
      </c>
      <c r="DO376" s="138" t="e">
        <f>IF(VLOOKUP(CONCATENATE(H376,F376,DO$2),Español!$A:$H,7,FALSE)=AC376,1,0)</f>
        <v>#N/A</v>
      </c>
      <c r="DP376" s="138" t="e">
        <f>IF(VLOOKUP(CONCATENATE(H376,F376,DP$2),Español!$A:$H,7,FALSE)=AD376,1,0)</f>
        <v>#N/A</v>
      </c>
      <c r="DQ376" s="138" t="e">
        <f>IF(VLOOKUP(CONCATENATE(H376,F376,DQ$2),Español!$A:$H,7,FALSE)=AE376,1,0)</f>
        <v>#N/A</v>
      </c>
      <c r="DR376" s="138" t="e">
        <f>IF(VLOOKUP(CONCATENATE(H376,F376,DR$2),Inglés!$A:$H,7,FALSE)=AF376,1,0)</f>
        <v>#N/A</v>
      </c>
      <c r="DS376" s="138" t="e">
        <f>IF(VLOOKUP(CONCATENATE(H376,F376,DS$2),Inglés!$A:$H,7,FALSE)=AG376,1,0)</f>
        <v>#N/A</v>
      </c>
      <c r="DT376" s="138" t="e">
        <f>IF(VLOOKUP(CONCATENATE(H376,F376,DT$2),Inglés!$A:$H,7,FALSE)=AH376,1,0)</f>
        <v>#N/A</v>
      </c>
      <c r="DU376" s="138" t="e">
        <f>IF(VLOOKUP(CONCATENATE(H376,F376,DU$2),Inglés!$A:$H,7,FALSE)=AI376,1,0)</f>
        <v>#N/A</v>
      </c>
      <c r="DV376" s="138" t="e">
        <f>IF(VLOOKUP(CONCATENATE(H376,F376,DV$2),Inglés!$A:$H,7,FALSE)=AJ376,1,0)</f>
        <v>#N/A</v>
      </c>
      <c r="DW376" s="138" t="e">
        <f>IF(VLOOKUP(CONCATENATE(H376,F376,DW$2),Inglés!$A:$H,7,FALSE)=AK376,1,0)</f>
        <v>#N/A</v>
      </c>
      <c r="DX376" s="138" t="e">
        <f>IF(VLOOKUP(CONCATENATE(H376,F376,DX$2),Inglés!$A:$H,7,FALSE)=AL376,1,0)</f>
        <v>#N/A</v>
      </c>
      <c r="DY376" s="138" t="e">
        <f>IF(VLOOKUP(CONCATENATE(H376,F376,DY$2),Inglés!$A:$H,7,FALSE)=AM376,1,0)</f>
        <v>#N/A</v>
      </c>
      <c r="DZ376" s="138" t="e">
        <f>IF(VLOOKUP(CONCATENATE(H376,F376,DZ$2),Inglés!$A:$H,7,FALSE)=AN376,1,0)</f>
        <v>#N/A</v>
      </c>
      <c r="EA376" s="138" t="e">
        <f>IF(VLOOKUP(CONCATENATE(H376,F376,EA$2),Inglés!$A:$H,7,FALSE)=AO376,1,0)</f>
        <v>#N/A</v>
      </c>
      <c r="EB376" s="138" t="e">
        <f>IF(VLOOKUP(CONCATENATE(H376,F376,EB$2),Matemáticas!$A:$H,7,FALSE)=AP376,1,0)</f>
        <v>#N/A</v>
      </c>
      <c r="EC376" s="138" t="e">
        <f>IF(VLOOKUP(CONCATENATE(H376,F376,EC$2),Matemáticas!$A:$H,7,FALSE)=AQ376,1,0)</f>
        <v>#N/A</v>
      </c>
      <c r="ED376" s="138" t="e">
        <f>IF(VLOOKUP(CONCATENATE(H376,F376,ED$2),Matemáticas!$A:$H,7,FALSE)=AR376,1,0)</f>
        <v>#N/A</v>
      </c>
      <c r="EE376" s="138" t="e">
        <f>IF(VLOOKUP(CONCATENATE(H376,F376,EE$2),Matemáticas!$A:$H,7,FALSE)=AS376,1,0)</f>
        <v>#N/A</v>
      </c>
      <c r="EF376" s="138" t="e">
        <f>IF(VLOOKUP(CONCATENATE(H376,F376,EF$2),Matemáticas!$A:$H,7,FALSE)=AT376,1,0)</f>
        <v>#N/A</v>
      </c>
      <c r="EG376" s="138" t="e">
        <f>IF(VLOOKUP(CONCATENATE(H376,F376,EG$2),Matemáticas!$A:$H,7,FALSE)=AU376,1,0)</f>
        <v>#N/A</v>
      </c>
      <c r="EH376" s="138" t="e">
        <f>IF(VLOOKUP(CONCATENATE(H376,F376,EH$2),Matemáticas!$A:$H,7,FALSE)=AV376,1,0)</f>
        <v>#N/A</v>
      </c>
      <c r="EI376" s="138" t="e">
        <f>IF(VLOOKUP(CONCATENATE(H376,F376,EI$2),Matemáticas!$A:$H,7,FALSE)=AW376,1,0)</f>
        <v>#N/A</v>
      </c>
      <c r="EJ376" s="138" t="e">
        <f>IF(VLOOKUP(CONCATENATE(H376,F376,EJ$2),Matemáticas!$A:$H,7,FALSE)=AX376,1,0)</f>
        <v>#N/A</v>
      </c>
      <c r="EK376" s="138" t="e">
        <f>IF(VLOOKUP(CONCATENATE(H376,F376,EK$2),Matemáticas!$A:$H,7,FALSE)=AY376,1,0)</f>
        <v>#N/A</v>
      </c>
      <c r="EL376" s="138" t="e">
        <f>IF(VLOOKUP(CONCATENATE(H376,F376,EL$2),Matemáticas!$A:$H,7,FALSE)=AZ376,1,0)</f>
        <v>#N/A</v>
      </c>
      <c r="EM376" s="138" t="e">
        <f>IF(VLOOKUP(CONCATENATE(H376,F376,EM$2),Matemáticas!$A:$H,7,FALSE)=BA376,1,0)</f>
        <v>#N/A</v>
      </c>
      <c r="EN376" s="138" t="e">
        <f>IF(VLOOKUP(CONCATENATE(H376,F376,EN$2),Matemáticas!$A:$H,7,FALSE)=BB376,1,0)</f>
        <v>#N/A</v>
      </c>
      <c r="EO376" s="138" t="e">
        <f>IF(VLOOKUP(CONCATENATE(H376,F376,EO$2),Matemáticas!$A:$H,7,FALSE)=BC376,1,0)</f>
        <v>#N/A</v>
      </c>
      <c r="EP376" s="138" t="e">
        <f>IF(VLOOKUP(CONCATENATE(H376,F376,EP$2),Matemáticas!$A:$H,7,FALSE)=BD376,1,0)</f>
        <v>#N/A</v>
      </c>
      <c r="EQ376" s="138" t="e">
        <f>IF(VLOOKUP(CONCATENATE(H376,F376,EQ$2),Matemáticas!$A:$H,7,FALSE)=BE376,1,0)</f>
        <v>#N/A</v>
      </c>
      <c r="ER376" s="138" t="e">
        <f>IF(VLOOKUP(CONCATENATE(H376,F376,ER$2),Matemáticas!$A:$H,7,FALSE)=BF376,1,0)</f>
        <v>#N/A</v>
      </c>
      <c r="ES376" s="138" t="e">
        <f>IF(VLOOKUP(CONCATENATE(H376,F376,ES$2),Matemáticas!$A:$H,7,FALSE)=BG376,1,0)</f>
        <v>#N/A</v>
      </c>
      <c r="ET376" s="138" t="e">
        <f>IF(VLOOKUP(CONCATENATE(H376,F376,ET$2),Matemáticas!$A:$H,7,FALSE)=BH376,1,0)</f>
        <v>#N/A</v>
      </c>
      <c r="EU376" s="138" t="e">
        <f>IF(VLOOKUP(CONCATENATE(H376,F376,EU$2),Matemáticas!$A:$H,7,FALSE)=BI376,1,0)</f>
        <v>#N/A</v>
      </c>
      <c r="EV376" s="138" t="e">
        <f>IF(VLOOKUP(CONCATENATE(H376,F376,EV$2),Ciencias!$A:$H,7,FALSE)=BJ376,1,0)</f>
        <v>#N/A</v>
      </c>
      <c r="EW376" s="138" t="e">
        <f>IF(VLOOKUP(CONCATENATE(H376,F376,EW$2),Ciencias!$A:$H,7,FALSE)=BK376,1,0)</f>
        <v>#N/A</v>
      </c>
      <c r="EX376" s="138" t="e">
        <f>IF(VLOOKUP(CONCATENATE(H376,F376,EX$2),Ciencias!$A:$H,7,FALSE)=BL376,1,0)</f>
        <v>#N/A</v>
      </c>
      <c r="EY376" s="138" t="e">
        <f>IF(VLOOKUP(CONCATENATE(H376,F376,EY$2),Ciencias!$A:$H,7,FALSE)=BM376,1,0)</f>
        <v>#N/A</v>
      </c>
      <c r="EZ376" s="138" t="e">
        <f>IF(VLOOKUP(CONCATENATE(H376,F376,EZ$2),Ciencias!$A:$H,7,FALSE)=BN376,1,0)</f>
        <v>#N/A</v>
      </c>
      <c r="FA376" s="138" t="e">
        <f>IF(VLOOKUP(CONCATENATE(H376,F376,FA$2),Ciencias!$A:$H,7,FALSE)=BO376,1,0)</f>
        <v>#N/A</v>
      </c>
      <c r="FB376" s="138" t="e">
        <f>IF(VLOOKUP(CONCATENATE(H376,F376,FB$2),Ciencias!$A:$H,7,FALSE)=BP376,1,0)</f>
        <v>#N/A</v>
      </c>
      <c r="FC376" s="138" t="e">
        <f>IF(VLOOKUP(CONCATENATE(H376,F376,FC$2),Ciencias!$A:$H,7,FALSE)=BQ376,1,0)</f>
        <v>#N/A</v>
      </c>
      <c r="FD376" s="138" t="e">
        <f>IF(VLOOKUP(CONCATENATE(H376,F376,FD$2),Ciencias!$A:$H,7,FALSE)=BR376,1,0)</f>
        <v>#N/A</v>
      </c>
      <c r="FE376" s="138" t="e">
        <f>IF(VLOOKUP(CONCATENATE(H376,F376,FE$2),Ciencias!$A:$H,7,FALSE)=BS376,1,0)</f>
        <v>#N/A</v>
      </c>
      <c r="FF376" s="138" t="e">
        <f>IF(VLOOKUP(CONCATENATE(H376,F376,FF$2),Ciencias!$A:$H,7,FALSE)=BT376,1,0)</f>
        <v>#N/A</v>
      </c>
      <c r="FG376" s="138" t="e">
        <f>IF(VLOOKUP(CONCATENATE(H376,F376,FG$2),Ciencias!$A:$H,7,FALSE)=BU376,1,0)</f>
        <v>#N/A</v>
      </c>
      <c r="FH376" s="138" t="e">
        <f>IF(VLOOKUP(CONCATENATE(H376,F376,FH$2),Ciencias!$A:$H,7,FALSE)=BV376,1,0)</f>
        <v>#N/A</v>
      </c>
      <c r="FI376" s="138" t="e">
        <f>IF(VLOOKUP(CONCATENATE(H376,F376,FI$2),Ciencias!$A:$H,7,FALSE)=BW376,1,0)</f>
        <v>#N/A</v>
      </c>
      <c r="FJ376" s="138" t="e">
        <f>IF(VLOOKUP(CONCATENATE(H376,F376,FJ$2),Ciencias!$A:$H,7,FALSE)=BX376,1,0)</f>
        <v>#N/A</v>
      </c>
      <c r="FK376" s="138" t="e">
        <f>IF(VLOOKUP(CONCATENATE(H376,F376,FK$2),Ciencias!$A:$H,7,FALSE)=BY376,1,0)</f>
        <v>#N/A</v>
      </c>
      <c r="FL376" s="138" t="e">
        <f>IF(VLOOKUP(CONCATENATE(H376,F376,FL$2),Ciencias!$A:$H,7,FALSE)=BZ376,1,0)</f>
        <v>#N/A</v>
      </c>
      <c r="FM376" s="138" t="e">
        <f>IF(VLOOKUP(CONCATENATE(H376,F376,FM$2),Ciencias!$A:$H,7,FALSE)=CA376,1,0)</f>
        <v>#N/A</v>
      </c>
      <c r="FN376" s="138" t="e">
        <f>IF(VLOOKUP(CONCATENATE(H376,F376,FN$2),Ciencias!$A:$H,7,FALSE)=CB376,1,0)</f>
        <v>#N/A</v>
      </c>
      <c r="FO376" s="138" t="e">
        <f>IF(VLOOKUP(CONCATENATE(H376,F376,FO$2),Ciencias!$A:$H,7,FALSE)=CC376,1,0)</f>
        <v>#N/A</v>
      </c>
      <c r="FP376" s="138" t="e">
        <f>IF(VLOOKUP(CONCATENATE(H376,F376,FP$2),GeoHis!$A:$H,7,FALSE)=CD376,1,0)</f>
        <v>#N/A</v>
      </c>
      <c r="FQ376" s="138" t="e">
        <f>IF(VLOOKUP(CONCATENATE(H376,F376,FQ$2),GeoHis!$A:$H,7,FALSE)=CE376,1,0)</f>
        <v>#N/A</v>
      </c>
      <c r="FR376" s="138" t="e">
        <f>IF(VLOOKUP(CONCATENATE(H376,F376,FR$2),GeoHis!$A:$H,7,FALSE)=CF376,1,0)</f>
        <v>#N/A</v>
      </c>
      <c r="FS376" s="138" t="e">
        <f>IF(VLOOKUP(CONCATENATE(H376,F376,FS$2),GeoHis!$A:$H,7,FALSE)=CG376,1,0)</f>
        <v>#N/A</v>
      </c>
      <c r="FT376" s="138" t="e">
        <f>IF(VLOOKUP(CONCATENATE(H376,F376,FT$2),GeoHis!$A:$H,7,FALSE)=CH376,1,0)</f>
        <v>#N/A</v>
      </c>
      <c r="FU376" s="138" t="e">
        <f>IF(VLOOKUP(CONCATENATE(H376,F376,FU$2),GeoHis!$A:$H,7,FALSE)=CI376,1,0)</f>
        <v>#N/A</v>
      </c>
      <c r="FV376" s="138" t="e">
        <f>IF(VLOOKUP(CONCATENATE(H376,F376,FV$2),GeoHis!$A:$H,7,FALSE)=CJ376,1,0)</f>
        <v>#N/A</v>
      </c>
      <c r="FW376" s="138" t="e">
        <f>IF(VLOOKUP(CONCATENATE(H376,F376,FW$2),GeoHis!$A:$H,7,FALSE)=CK376,1,0)</f>
        <v>#N/A</v>
      </c>
      <c r="FX376" s="138" t="e">
        <f>IF(VLOOKUP(CONCATENATE(H376,F376,FX$2),GeoHis!$A:$H,7,FALSE)=CL376,1,0)</f>
        <v>#N/A</v>
      </c>
      <c r="FY376" s="138" t="e">
        <f>IF(VLOOKUP(CONCATENATE(H376,F376,FY$2),GeoHis!$A:$H,7,FALSE)=CM376,1,0)</f>
        <v>#N/A</v>
      </c>
      <c r="FZ376" s="138" t="e">
        <f>IF(VLOOKUP(CONCATENATE(H376,F376,FZ$2),GeoHis!$A:$H,7,FALSE)=CN376,1,0)</f>
        <v>#N/A</v>
      </c>
      <c r="GA376" s="138" t="e">
        <f>IF(VLOOKUP(CONCATENATE(H376,F376,GA$2),GeoHis!$A:$H,7,FALSE)=CO376,1,0)</f>
        <v>#N/A</v>
      </c>
      <c r="GB376" s="138" t="e">
        <f>IF(VLOOKUP(CONCATENATE(H376,F376,GB$2),GeoHis!$A:$H,7,FALSE)=CP376,1,0)</f>
        <v>#N/A</v>
      </c>
      <c r="GC376" s="138" t="e">
        <f>IF(VLOOKUP(CONCATENATE(H376,F376,GC$2),GeoHis!$A:$H,7,FALSE)=CQ376,1,0)</f>
        <v>#N/A</v>
      </c>
      <c r="GD376" s="138" t="e">
        <f>IF(VLOOKUP(CONCATENATE(H376,F376,GD$2),GeoHis!$A:$H,7,FALSE)=CR376,1,0)</f>
        <v>#N/A</v>
      </c>
      <c r="GE376" s="135" t="str">
        <f t="shared" si="47"/>
        <v/>
      </c>
    </row>
    <row r="377" spans="1:187" x14ac:dyDescent="0.25">
      <c r="A377" s="127" t="str">
        <f>IF(C377="","",'Datos Generales'!$A$25)</f>
        <v/>
      </c>
      <c r="D377" s="126" t="str">
        <f t="shared" si="40"/>
        <v/>
      </c>
      <c r="E377" s="126">
        <f t="shared" si="41"/>
        <v>0</v>
      </c>
      <c r="F377" s="126" t="str">
        <f t="shared" si="42"/>
        <v/>
      </c>
      <c r="G377" s="126" t="str">
        <f>IF(C377="","",'Datos Generales'!$D$19)</f>
        <v/>
      </c>
      <c r="H377" s="21" t="str">
        <f>IF(C377="","",'Datos Generales'!$A$19)</f>
        <v/>
      </c>
      <c r="I377" s="126" t="str">
        <f>IF(C377="","",'Datos Generales'!$A$7)</f>
        <v/>
      </c>
      <c r="J377" s="21" t="str">
        <f>IF(C377="","",'Datos Generales'!$A$13)</f>
        <v/>
      </c>
      <c r="K377" s="21" t="str">
        <f>IF(C377="","",'Datos Generales'!$A$10)</f>
        <v/>
      </c>
      <c r="CS377" s="142" t="str">
        <f t="shared" si="43"/>
        <v/>
      </c>
      <c r="CT377" s="142" t="str">
        <f t="shared" si="44"/>
        <v/>
      </c>
      <c r="CU377" s="142" t="str">
        <f t="shared" si="45"/>
        <v/>
      </c>
      <c r="CV377" s="142" t="str">
        <f t="shared" si="46"/>
        <v/>
      </c>
      <c r="CW377" s="142" t="str">
        <f>IF(C377="","",IF('Datos Generales'!$A$19=1,AVERAGE(FP377:GD377),AVERAGE(Captura!FP377:FY377)))</f>
        <v/>
      </c>
      <c r="CX377" s="138" t="e">
        <f>IF(VLOOKUP(CONCATENATE($H$4,$F$4,CX$2),Español!$A:$H,7,FALSE)=L377,1,0)</f>
        <v>#N/A</v>
      </c>
      <c r="CY377" s="138" t="e">
        <f>IF(VLOOKUP(CONCATENATE(H377,F377,CY$2),Español!$A:$H,7,FALSE)=M377,1,0)</f>
        <v>#N/A</v>
      </c>
      <c r="CZ377" s="138" t="e">
        <f>IF(VLOOKUP(CONCATENATE(H377,F377,CZ$2),Español!$A:$H,7,FALSE)=N377,1,0)</f>
        <v>#N/A</v>
      </c>
      <c r="DA377" s="138" t="e">
        <f>IF(VLOOKUP(CONCATENATE(H377,F377,DA$2),Español!$A:$H,7,FALSE)=O377,1,0)</f>
        <v>#N/A</v>
      </c>
      <c r="DB377" s="138" t="e">
        <f>IF(VLOOKUP(CONCATENATE(H377,F377,DB$2),Español!$A:$H,7,FALSE)=P377,1,0)</f>
        <v>#N/A</v>
      </c>
      <c r="DC377" s="138" t="e">
        <f>IF(VLOOKUP(CONCATENATE(H377,F377,DC$2),Español!$A:$H,7,FALSE)=Q377,1,0)</f>
        <v>#N/A</v>
      </c>
      <c r="DD377" s="138" t="e">
        <f>IF(VLOOKUP(CONCATENATE(H377,F377,DD$2),Español!$A:$H,7,FALSE)=R377,1,0)</f>
        <v>#N/A</v>
      </c>
      <c r="DE377" s="138" t="e">
        <f>IF(VLOOKUP(CONCATENATE(H377,F377,DE$2),Español!$A:$H,7,FALSE)=S377,1,0)</f>
        <v>#N/A</v>
      </c>
      <c r="DF377" s="138" t="e">
        <f>IF(VLOOKUP(CONCATENATE(H377,F377,DF$2),Español!$A:$H,7,FALSE)=T377,1,0)</f>
        <v>#N/A</v>
      </c>
      <c r="DG377" s="138" t="e">
        <f>IF(VLOOKUP(CONCATENATE(H377,F377,DG$2),Español!$A:$H,7,FALSE)=U377,1,0)</f>
        <v>#N/A</v>
      </c>
      <c r="DH377" s="138" t="e">
        <f>IF(VLOOKUP(CONCATENATE(H377,F377,DH$2),Español!$A:$H,7,FALSE)=V377,1,0)</f>
        <v>#N/A</v>
      </c>
      <c r="DI377" s="138" t="e">
        <f>IF(VLOOKUP(CONCATENATE(H377,F377,DI$2),Español!$A:$H,7,FALSE)=W377,1,0)</f>
        <v>#N/A</v>
      </c>
      <c r="DJ377" s="138" t="e">
        <f>IF(VLOOKUP(CONCATENATE(H377,F377,DJ$2),Español!$A:$H,7,FALSE)=X377,1,0)</f>
        <v>#N/A</v>
      </c>
      <c r="DK377" s="138" t="e">
        <f>IF(VLOOKUP(CONCATENATE(H377,F377,DK$2),Español!$A:$H,7,FALSE)=Y377,1,0)</f>
        <v>#N/A</v>
      </c>
      <c r="DL377" s="138" t="e">
        <f>IF(VLOOKUP(CONCATENATE(H377,F377,DL$2),Español!$A:$H,7,FALSE)=Z377,1,0)</f>
        <v>#N/A</v>
      </c>
      <c r="DM377" s="138" t="e">
        <f>IF(VLOOKUP(CONCATENATE(H377,F377,DM$2),Español!$A:$H,7,FALSE)=AA377,1,0)</f>
        <v>#N/A</v>
      </c>
      <c r="DN377" s="138" t="e">
        <f>IF(VLOOKUP(CONCATENATE(H377,F377,DN$2),Español!$A:$H,7,FALSE)=AB377,1,0)</f>
        <v>#N/A</v>
      </c>
      <c r="DO377" s="138" t="e">
        <f>IF(VLOOKUP(CONCATENATE(H377,F377,DO$2),Español!$A:$H,7,FALSE)=AC377,1,0)</f>
        <v>#N/A</v>
      </c>
      <c r="DP377" s="138" t="e">
        <f>IF(VLOOKUP(CONCATENATE(H377,F377,DP$2),Español!$A:$H,7,FALSE)=AD377,1,0)</f>
        <v>#N/A</v>
      </c>
      <c r="DQ377" s="138" t="e">
        <f>IF(VLOOKUP(CONCATENATE(H377,F377,DQ$2),Español!$A:$H,7,FALSE)=AE377,1,0)</f>
        <v>#N/A</v>
      </c>
      <c r="DR377" s="138" t="e">
        <f>IF(VLOOKUP(CONCATENATE(H377,F377,DR$2),Inglés!$A:$H,7,FALSE)=AF377,1,0)</f>
        <v>#N/A</v>
      </c>
      <c r="DS377" s="138" t="e">
        <f>IF(VLOOKUP(CONCATENATE(H377,F377,DS$2),Inglés!$A:$H,7,FALSE)=AG377,1,0)</f>
        <v>#N/A</v>
      </c>
      <c r="DT377" s="138" t="e">
        <f>IF(VLOOKUP(CONCATENATE(H377,F377,DT$2),Inglés!$A:$H,7,FALSE)=AH377,1,0)</f>
        <v>#N/A</v>
      </c>
      <c r="DU377" s="138" t="e">
        <f>IF(VLOOKUP(CONCATENATE(H377,F377,DU$2),Inglés!$A:$H,7,FALSE)=AI377,1,0)</f>
        <v>#N/A</v>
      </c>
      <c r="DV377" s="138" t="e">
        <f>IF(VLOOKUP(CONCATENATE(H377,F377,DV$2),Inglés!$A:$H,7,FALSE)=AJ377,1,0)</f>
        <v>#N/A</v>
      </c>
      <c r="DW377" s="138" t="e">
        <f>IF(VLOOKUP(CONCATENATE(H377,F377,DW$2),Inglés!$A:$H,7,FALSE)=AK377,1,0)</f>
        <v>#N/A</v>
      </c>
      <c r="DX377" s="138" t="e">
        <f>IF(VLOOKUP(CONCATENATE(H377,F377,DX$2),Inglés!$A:$H,7,FALSE)=AL377,1,0)</f>
        <v>#N/A</v>
      </c>
      <c r="DY377" s="138" t="e">
        <f>IF(VLOOKUP(CONCATENATE(H377,F377,DY$2),Inglés!$A:$H,7,FALSE)=AM377,1,0)</f>
        <v>#N/A</v>
      </c>
      <c r="DZ377" s="138" t="e">
        <f>IF(VLOOKUP(CONCATENATE(H377,F377,DZ$2),Inglés!$A:$H,7,FALSE)=AN377,1,0)</f>
        <v>#N/A</v>
      </c>
      <c r="EA377" s="138" t="e">
        <f>IF(VLOOKUP(CONCATENATE(H377,F377,EA$2),Inglés!$A:$H,7,FALSE)=AO377,1,0)</f>
        <v>#N/A</v>
      </c>
      <c r="EB377" s="138" t="e">
        <f>IF(VLOOKUP(CONCATENATE(H377,F377,EB$2),Matemáticas!$A:$H,7,FALSE)=AP377,1,0)</f>
        <v>#N/A</v>
      </c>
      <c r="EC377" s="138" t="e">
        <f>IF(VLOOKUP(CONCATENATE(H377,F377,EC$2),Matemáticas!$A:$H,7,FALSE)=AQ377,1,0)</f>
        <v>#N/A</v>
      </c>
      <c r="ED377" s="138" t="e">
        <f>IF(VLOOKUP(CONCATENATE(H377,F377,ED$2),Matemáticas!$A:$H,7,FALSE)=AR377,1,0)</f>
        <v>#N/A</v>
      </c>
      <c r="EE377" s="138" t="e">
        <f>IF(VLOOKUP(CONCATENATE(H377,F377,EE$2),Matemáticas!$A:$H,7,FALSE)=AS377,1,0)</f>
        <v>#N/A</v>
      </c>
      <c r="EF377" s="138" t="e">
        <f>IF(VLOOKUP(CONCATENATE(H377,F377,EF$2),Matemáticas!$A:$H,7,FALSE)=AT377,1,0)</f>
        <v>#N/A</v>
      </c>
      <c r="EG377" s="138" t="e">
        <f>IF(VLOOKUP(CONCATENATE(H377,F377,EG$2),Matemáticas!$A:$H,7,FALSE)=AU377,1,0)</f>
        <v>#N/A</v>
      </c>
      <c r="EH377" s="138" t="e">
        <f>IF(VLOOKUP(CONCATENATE(H377,F377,EH$2),Matemáticas!$A:$H,7,FALSE)=AV377,1,0)</f>
        <v>#N/A</v>
      </c>
      <c r="EI377" s="138" t="e">
        <f>IF(VLOOKUP(CONCATENATE(H377,F377,EI$2),Matemáticas!$A:$H,7,FALSE)=AW377,1,0)</f>
        <v>#N/A</v>
      </c>
      <c r="EJ377" s="138" t="e">
        <f>IF(VLOOKUP(CONCATENATE(H377,F377,EJ$2),Matemáticas!$A:$H,7,FALSE)=AX377,1,0)</f>
        <v>#N/A</v>
      </c>
      <c r="EK377" s="138" t="e">
        <f>IF(VLOOKUP(CONCATENATE(H377,F377,EK$2),Matemáticas!$A:$H,7,FALSE)=AY377,1,0)</f>
        <v>#N/A</v>
      </c>
      <c r="EL377" s="138" t="e">
        <f>IF(VLOOKUP(CONCATENATE(H377,F377,EL$2),Matemáticas!$A:$H,7,FALSE)=AZ377,1,0)</f>
        <v>#N/A</v>
      </c>
      <c r="EM377" s="138" t="e">
        <f>IF(VLOOKUP(CONCATENATE(H377,F377,EM$2),Matemáticas!$A:$H,7,FALSE)=BA377,1,0)</f>
        <v>#N/A</v>
      </c>
      <c r="EN377" s="138" t="e">
        <f>IF(VLOOKUP(CONCATENATE(H377,F377,EN$2),Matemáticas!$A:$H,7,FALSE)=BB377,1,0)</f>
        <v>#N/A</v>
      </c>
      <c r="EO377" s="138" t="e">
        <f>IF(VLOOKUP(CONCATENATE(H377,F377,EO$2),Matemáticas!$A:$H,7,FALSE)=BC377,1,0)</f>
        <v>#N/A</v>
      </c>
      <c r="EP377" s="138" t="e">
        <f>IF(VLOOKUP(CONCATENATE(H377,F377,EP$2),Matemáticas!$A:$H,7,FALSE)=BD377,1,0)</f>
        <v>#N/A</v>
      </c>
      <c r="EQ377" s="138" t="e">
        <f>IF(VLOOKUP(CONCATENATE(H377,F377,EQ$2),Matemáticas!$A:$H,7,FALSE)=BE377,1,0)</f>
        <v>#N/A</v>
      </c>
      <c r="ER377" s="138" t="e">
        <f>IF(VLOOKUP(CONCATENATE(H377,F377,ER$2),Matemáticas!$A:$H,7,FALSE)=BF377,1,0)</f>
        <v>#N/A</v>
      </c>
      <c r="ES377" s="138" t="e">
        <f>IF(VLOOKUP(CONCATENATE(H377,F377,ES$2),Matemáticas!$A:$H,7,FALSE)=BG377,1,0)</f>
        <v>#N/A</v>
      </c>
      <c r="ET377" s="138" t="e">
        <f>IF(VLOOKUP(CONCATENATE(H377,F377,ET$2),Matemáticas!$A:$H,7,FALSE)=BH377,1,0)</f>
        <v>#N/A</v>
      </c>
      <c r="EU377" s="138" t="e">
        <f>IF(VLOOKUP(CONCATENATE(H377,F377,EU$2),Matemáticas!$A:$H,7,FALSE)=BI377,1,0)</f>
        <v>#N/A</v>
      </c>
      <c r="EV377" s="138" t="e">
        <f>IF(VLOOKUP(CONCATENATE(H377,F377,EV$2),Ciencias!$A:$H,7,FALSE)=BJ377,1,0)</f>
        <v>#N/A</v>
      </c>
      <c r="EW377" s="138" t="e">
        <f>IF(VLOOKUP(CONCATENATE(H377,F377,EW$2),Ciencias!$A:$H,7,FALSE)=BK377,1,0)</f>
        <v>#N/A</v>
      </c>
      <c r="EX377" s="138" t="e">
        <f>IF(VLOOKUP(CONCATENATE(H377,F377,EX$2),Ciencias!$A:$H,7,FALSE)=BL377,1,0)</f>
        <v>#N/A</v>
      </c>
      <c r="EY377" s="138" t="e">
        <f>IF(VLOOKUP(CONCATENATE(H377,F377,EY$2),Ciencias!$A:$H,7,FALSE)=BM377,1,0)</f>
        <v>#N/A</v>
      </c>
      <c r="EZ377" s="138" t="e">
        <f>IF(VLOOKUP(CONCATENATE(H377,F377,EZ$2),Ciencias!$A:$H,7,FALSE)=BN377,1,0)</f>
        <v>#N/A</v>
      </c>
      <c r="FA377" s="138" t="e">
        <f>IF(VLOOKUP(CONCATENATE(H377,F377,FA$2),Ciencias!$A:$H,7,FALSE)=BO377,1,0)</f>
        <v>#N/A</v>
      </c>
      <c r="FB377" s="138" t="e">
        <f>IF(VLOOKUP(CONCATENATE(H377,F377,FB$2),Ciencias!$A:$H,7,FALSE)=BP377,1,0)</f>
        <v>#N/A</v>
      </c>
      <c r="FC377" s="138" t="e">
        <f>IF(VLOOKUP(CONCATENATE(H377,F377,FC$2),Ciencias!$A:$H,7,FALSE)=BQ377,1,0)</f>
        <v>#N/A</v>
      </c>
      <c r="FD377" s="138" t="e">
        <f>IF(VLOOKUP(CONCATENATE(H377,F377,FD$2),Ciencias!$A:$H,7,FALSE)=BR377,1,0)</f>
        <v>#N/A</v>
      </c>
      <c r="FE377" s="138" t="e">
        <f>IF(VLOOKUP(CONCATENATE(H377,F377,FE$2),Ciencias!$A:$H,7,FALSE)=BS377,1,0)</f>
        <v>#N/A</v>
      </c>
      <c r="FF377" s="138" t="e">
        <f>IF(VLOOKUP(CONCATENATE(H377,F377,FF$2),Ciencias!$A:$H,7,FALSE)=BT377,1,0)</f>
        <v>#N/A</v>
      </c>
      <c r="FG377" s="138" t="e">
        <f>IF(VLOOKUP(CONCATENATE(H377,F377,FG$2),Ciencias!$A:$H,7,FALSE)=BU377,1,0)</f>
        <v>#N/A</v>
      </c>
      <c r="FH377" s="138" t="e">
        <f>IF(VLOOKUP(CONCATENATE(H377,F377,FH$2),Ciencias!$A:$H,7,FALSE)=BV377,1,0)</f>
        <v>#N/A</v>
      </c>
      <c r="FI377" s="138" t="e">
        <f>IF(VLOOKUP(CONCATENATE(H377,F377,FI$2),Ciencias!$A:$H,7,FALSE)=BW377,1,0)</f>
        <v>#N/A</v>
      </c>
      <c r="FJ377" s="138" t="e">
        <f>IF(VLOOKUP(CONCATENATE(H377,F377,FJ$2),Ciencias!$A:$H,7,FALSE)=BX377,1,0)</f>
        <v>#N/A</v>
      </c>
      <c r="FK377" s="138" t="e">
        <f>IF(VLOOKUP(CONCATENATE(H377,F377,FK$2),Ciencias!$A:$H,7,FALSE)=BY377,1,0)</f>
        <v>#N/A</v>
      </c>
      <c r="FL377" s="138" t="e">
        <f>IF(VLOOKUP(CONCATENATE(H377,F377,FL$2),Ciencias!$A:$H,7,FALSE)=BZ377,1,0)</f>
        <v>#N/A</v>
      </c>
      <c r="FM377" s="138" t="e">
        <f>IF(VLOOKUP(CONCATENATE(H377,F377,FM$2),Ciencias!$A:$H,7,FALSE)=CA377,1,0)</f>
        <v>#N/A</v>
      </c>
      <c r="FN377" s="138" t="e">
        <f>IF(VLOOKUP(CONCATENATE(H377,F377,FN$2),Ciencias!$A:$H,7,FALSE)=CB377,1,0)</f>
        <v>#N/A</v>
      </c>
      <c r="FO377" s="138" t="e">
        <f>IF(VLOOKUP(CONCATENATE(H377,F377,FO$2),Ciencias!$A:$H,7,FALSE)=CC377,1,0)</f>
        <v>#N/A</v>
      </c>
      <c r="FP377" s="138" t="e">
        <f>IF(VLOOKUP(CONCATENATE(H377,F377,FP$2),GeoHis!$A:$H,7,FALSE)=CD377,1,0)</f>
        <v>#N/A</v>
      </c>
      <c r="FQ377" s="138" t="e">
        <f>IF(VLOOKUP(CONCATENATE(H377,F377,FQ$2),GeoHis!$A:$H,7,FALSE)=CE377,1,0)</f>
        <v>#N/A</v>
      </c>
      <c r="FR377" s="138" t="e">
        <f>IF(VLOOKUP(CONCATENATE(H377,F377,FR$2),GeoHis!$A:$H,7,FALSE)=CF377,1,0)</f>
        <v>#N/A</v>
      </c>
      <c r="FS377" s="138" t="e">
        <f>IF(VLOOKUP(CONCATENATE(H377,F377,FS$2),GeoHis!$A:$H,7,FALSE)=CG377,1,0)</f>
        <v>#N/A</v>
      </c>
      <c r="FT377" s="138" t="e">
        <f>IF(VLOOKUP(CONCATENATE(H377,F377,FT$2),GeoHis!$A:$H,7,FALSE)=CH377,1,0)</f>
        <v>#N/A</v>
      </c>
      <c r="FU377" s="138" t="e">
        <f>IF(VLOOKUP(CONCATENATE(H377,F377,FU$2),GeoHis!$A:$H,7,FALSE)=CI377,1,0)</f>
        <v>#N/A</v>
      </c>
      <c r="FV377" s="138" t="e">
        <f>IF(VLOOKUP(CONCATENATE(H377,F377,FV$2),GeoHis!$A:$H,7,FALSE)=CJ377,1,0)</f>
        <v>#N/A</v>
      </c>
      <c r="FW377" s="138" t="e">
        <f>IF(VLOOKUP(CONCATENATE(H377,F377,FW$2),GeoHis!$A:$H,7,FALSE)=CK377,1,0)</f>
        <v>#N/A</v>
      </c>
      <c r="FX377" s="138" t="e">
        <f>IF(VLOOKUP(CONCATENATE(H377,F377,FX$2),GeoHis!$A:$H,7,FALSE)=CL377,1,0)</f>
        <v>#N/A</v>
      </c>
      <c r="FY377" s="138" t="e">
        <f>IF(VLOOKUP(CONCATENATE(H377,F377,FY$2),GeoHis!$A:$H,7,FALSE)=CM377,1,0)</f>
        <v>#N/A</v>
      </c>
      <c r="FZ377" s="138" t="e">
        <f>IF(VLOOKUP(CONCATENATE(H377,F377,FZ$2),GeoHis!$A:$H,7,FALSE)=CN377,1,0)</f>
        <v>#N/A</v>
      </c>
      <c r="GA377" s="138" t="e">
        <f>IF(VLOOKUP(CONCATENATE(H377,F377,GA$2),GeoHis!$A:$H,7,FALSE)=CO377,1,0)</f>
        <v>#N/A</v>
      </c>
      <c r="GB377" s="138" t="e">
        <f>IF(VLOOKUP(CONCATENATE(H377,F377,GB$2),GeoHis!$A:$H,7,FALSE)=CP377,1,0)</f>
        <v>#N/A</v>
      </c>
      <c r="GC377" s="138" t="e">
        <f>IF(VLOOKUP(CONCATENATE(H377,F377,GC$2),GeoHis!$A:$H,7,FALSE)=CQ377,1,0)</f>
        <v>#N/A</v>
      </c>
      <c r="GD377" s="138" t="e">
        <f>IF(VLOOKUP(CONCATENATE(H377,F377,GD$2),GeoHis!$A:$H,7,FALSE)=CR377,1,0)</f>
        <v>#N/A</v>
      </c>
      <c r="GE377" s="135" t="str">
        <f t="shared" si="47"/>
        <v/>
      </c>
    </row>
    <row r="378" spans="1:187" x14ac:dyDescent="0.25">
      <c r="A378" s="127" t="str">
        <f>IF(C378="","",'Datos Generales'!$A$25)</f>
        <v/>
      </c>
      <c r="D378" s="126" t="str">
        <f t="shared" si="40"/>
        <v/>
      </c>
      <c r="E378" s="126">
        <f t="shared" si="41"/>
        <v>0</v>
      </c>
      <c r="F378" s="126" t="str">
        <f t="shared" si="42"/>
        <v/>
      </c>
      <c r="G378" s="126" t="str">
        <f>IF(C378="","",'Datos Generales'!$D$19)</f>
        <v/>
      </c>
      <c r="H378" s="21" t="str">
        <f>IF(C378="","",'Datos Generales'!$A$19)</f>
        <v/>
      </c>
      <c r="I378" s="126" t="str">
        <f>IF(C378="","",'Datos Generales'!$A$7)</f>
        <v/>
      </c>
      <c r="J378" s="21" t="str">
        <f>IF(C378="","",'Datos Generales'!$A$13)</f>
        <v/>
      </c>
      <c r="K378" s="21" t="str">
        <f>IF(C378="","",'Datos Generales'!$A$10)</f>
        <v/>
      </c>
      <c r="CS378" s="142" t="str">
        <f t="shared" si="43"/>
        <v/>
      </c>
      <c r="CT378" s="142" t="str">
        <f t="shared" si="44"/>
        <v/>
      </c>
      <c r="CU378" s="142" t="str">
        <f t="shared" si="45"/>
        <v/>
      </c>
      <c r="CV378" s="142" t="str">
        <f t="shared" si="46"/>
        <v/>
      </c>
      <c r="CW378" s="142" t="str">
        <f>IF(C378="","",IF('Datos Generales'!$A$19=1,AVERAGE(FP378:GD378),AVERAGE(Captura!FP378:FY378)))</f>
        <v/>
      </c>
      <c r="CX378" s="138" t="e">
        <f>IF(VLOOKUP(CONCATENATE($H$4,$F$4,CX$2),Español!$A:$H,7,FALSE)=L378,1,0)</f>
        <v>#N/A</v>
      </c>
      <c r="CY378" s="138" t="e">
        <f>IF(VLOOKUP(CONCATENATE(H378,F378,CY$2),Español!$A:$H,7,FALSE)=M378,1,0)</f>
        <v>#N/A</v>
      </c>
      <c r="CZ378" s="138" t="e">
        <f>IF(VLOOKUP(CONCATENATE(H378,F378,CZ$2),Español!$A:$H,7,FALSE)=N378,1,0)</f>
        <v>#N/A</v>
      </c>
      <c r="DA378" s="138" t="e">
        <f>IF(VLOOKUP(CONCATENATE(H378,F378,DA$2),Español!$A:$H,7,FALSE)=O378,1,0)</f>
        <v>#N/A</v>
      </c>
      <c r="DB378" s="138" t="e">
        <f>IF(VLOOKUP(CONCATENATE(H378,F378,DB$2),Español!$A:$H,7,FALSE)=P378,1,0)</f>
        <v>#N/A</v>
      </c>
      <c r="DC378" s="138" t="e">
        <f>IF(VLOOKUP(CONCATENATE(H378,F378,DC$2),Español!$A:$H,7,FALSE)=Q378,1,0)</f>
        <v>#N/A</v>
      </c>
      <c r="DD378" s="138" t="e">
        <f>IF(VLOOKUP(CONCATENATE(H378,F378,DD$2),Español!$A:$H,7,FALSE)=R378,1,0)</f>
        <v>#N/A</v>
      </c>
      <c r="DE378" s="138" t="e">
        <f>IF(VLOOKUP(CONCATENATE(H378,F378,DE$2),Español!$A:$H,7,FALSE)=S378,1,0)</f>
        <v>#N/A</v>
      </c>
      <c r="DF378" s="138" t="e">
        <f>IF(VLOOKUP(CONCATENATE(H378,F378,DF$2),Español!$A:$H,7,FALSE)=T378,1,0)</f>
        <v>#N/A</v>
      </c>
      <c r="DG378" s="138" t="e">
        <f>IF(VLOOKUP(CONCATENATE(H378,F378,DG$2),Español!$A:$H,7,FALSE)=U378,1,0)</f>
        <v>#N/A</v>
      </c>
      <c r="DH378" s="138" t="e">
        <f>IF(VLOOKUP(CONCATENATE(H378,F378,DH$2),Español!$A:$H,7,FALSE)=V378,1,0)</f>
        <v>#N/A</v>
      </c>
      <c r="DI378" s="138" t="e">
        <f>IF(VLOOKUP(CONCATENATE(H378,F378,DI$2),Español!$A:$H,7,FALSE)=W378,1,0)</f>
        <v>#N/A</v>
      </c>
      <c r="DJ378" s="138" t="e">
        <f>IF(VLOOKUP(CONCATENATE(H378,F378,DJ$2),Español!$A:$H,7,FALSE)=X378,1,0)</f>
        <v>#N/A</v>
      </c>
      <c r="DK378" s="138" t="e">
        <f>IF(VLOOKUP(CONCATENATE(H378,F378,DK$2),Español!$A:$H,7,FALSE)=Y378,1,0)</f>
        <v>#N/A</v>
      </c>
      <c r="DL378" s="138" t="e">
        <f>IF(VLOOKUP(CONCATENATE(H378,F378,DL$2),Español!$A:$H,7,FALSE)=Z378,1,0)</f>
        <v>#N/A</v>
      </c>
      <c r="DM378" s="138" t="e">
        <f>IF(VLOOKUP(CONCATENATE(H378,F378,DM$2),Español!$A:$H,7,FALSE)=AA378,1,0)</f>
        <v>#N/A</v>
      </c>
      <c r="DN378" s="138" t="e">
        <f>IF(VLOOKUP(CONCATENATE(H378,F378,DN$2),Español!$A:$H,7,FALSE)=AB378,1,0)</f>
        <v>#N/A</v>
      </c>
      <c r="DO378" s="138" t="e">
        <f>IF(VLOOKUP(CONCATENATE(H378,F378,DO$2),Español!$A:$H,7,FALSE)=AC378,1,0)</f>
        <v>#N/A</v>
      </c>
      <c r="DP378" s="138" t="e">
        <f>IF(VLOOKUP(CONCATENATE(H378,F378,DP$2),Español!$A:$H,7,FALSE)=AD378,1,0)</f>
        <v>#N/A</v>
      </c>
      <c r="DQ378" s="138" t="e">
        <f>IF(VLOOKUP(CONCATENATE(H378,F378,DQ$2),Español!$A:$H,7,FALSE)=AE378,1,0)</f>
        <v>#N/A</v>
      </c>
      <c r="DR378" s="138" t="e">
        <f>IF(VLOOKUP(CONCATENATE(H378,F378,DR$2),Inglés!$A:$H,7,FALSE)=AF378,1,0)</f>
        <v>#N/A</v>
      </c>
      <c r="DS378" s="138" t="e">
        <f>IF(VLOOKUP(CONCATENATE(H378,F378,DS$2),Inglés!$A:$H,7,FALSE)=AG378,1,0)</f>
        <v>#N/A</v>
      </c>
      <c r="DT378" s="138" t="e">
        <f>IF(VLOOKUP(CONCATENATE(H378,F378,DT$2),Inglés!$A:$H,7,FALSE)=AH378,1,0)</f>
        <v>#N/A</v>
      </c>
      <c r="DU378" s="138" t="e">
        <f>IF(VLOOKUP(CONCATENATE(H378,F378,DU$2),Inglés!$A:$H,7,FALSE)=AI378,1,0)</f>
        <v>#N/A</v>
      </c>
      <c r="DV378" s="138" t="e">
        <f>IF(VLOOKUP(CONCATENATE(H378,F378,DV$2),Inglés!$A:$H,7,FALSE)=AJ378,1,0)</f>
        <v>#N/A</v>
      </c>
      <c r="DW378" s="138" t="e">
        <f>IF(VLOOKUP(CONCATENATE(H378,F378,DW$2),Inglés!$A:$H,7,FALSE)=AK378,1,0)</f>
        <v>#N/A</v>
      </c>
      <c r="DX378" s="138" t="e">
        <f>IF(VLOOKUP(CONCATENATE(H378,F378,DX$2),Inglés!$A:$H,7,FALSE)=AL378,1,0)</f>
        <v>#N/A</v>
      </c>
      <c r="DY378" s="138" t="e">
        <f>IF(VLOOKUP(CONCATENATE(H378,F378,DY$2),Inglés!$A:$H,7,FALSE)=AM378,1,0)</f>
        <v>#N/A</v>
      </c>
      <c r="DZ378" s="138" t="e">
        <f>IF(VLOOKUP(CONCATENATE(H378,F378,DZ$2),Inglés!$A:$H,7,FALSE)=AN378,1,0)</f>
        <v>#N/A</v>
      </c>
      <c r="EA378" s="138" t="e">
        <f>IF(VLOOKUP(CONCATENATE(H378,F378,EA$2),Inglés!$A:$H,7,FALSE)=AO378,1,0)</f>
        <v>#N/A</v>
      </c>
      <c r="EB378" s="138" t="e">
        <f>IF(VLOOKUP(CONCATENATE(H378,F378,EB$2),Matemáticas!$A:$H,7,FALSE)=AP378,1,0)</f>
        <v>#N/A</v>
      </c>
      <c r="EC378" s="138" t="e">
        <f>IF(VLOOKUP(CONCATENATE(H378,F378,EC$2),Matemáticas!$A:$H,7,FALSE)=AQ378,1,0)</f>
        <v>#N/A</v>
      </c>
      <c r="ED378" s="138" t="e">
        <f>IF(VLOOKUP(CONCATENATE(H378,F378,ED$2),Matemáticas!$A:$H,7,FALSE)=AR378,1,0)</f>
        <v>#N/A</v>
      </c>
      <c r="EE378" s="138" t="e">
        <f>IF(VLOOKUP(CONCATENATE(H378,F378,EE$2),Matemáticas!$A:$H,7,FALSE)=AS378,1,0)</f>
        <v>#N/A</v>
      </c>
      <c r="EF378" s="138" t="e">
        <f>IF(VLOOKUP(CONCATENATE(H378,F378,EF$2),Matemáticas!$A:$H,7,FALSE)=AT378,1,0)</f>
        <v>#N/A</v>
      </c>
      <c r="EG378" s="138" t="e">
        <f>IF(VLOOKUP(CONCATENATE(H378,F378,EG$2),Matemáticas!$A:$H,7,FALSE)=AU378,1,0)</f>
        <v>#N/A</v>
      </c>
      <c r="EH378" s="138" t="e">
        <f>IF(VLOOKUP(CONCATENATE(H378,F378,EH$2),Matemáticas!$A:$H,7,FALSE)=AV378,1,0)</f>
        <v>#N/A</v>
      </c>
      <c r="EI378" s="138" t="e">
        <f>IF(VLOOKUP(CONCATENATE(H378,F378,EI$2),Matemáticas!$A:$H,7,FALSE)=AW378,1,0)</f>
        <v>#N/A</v>
      </c>
      <c r="EJ378" s="138" t="e">
        <f>IF(VLOOKUP(CONCATENATE(H378,F378,EJ$2),Matemáticas!$A:$H,7,FALSE)=AX378,1,0)</f>
        <v>#N/A</v>
      </c>
      <c r="EK378" s="138" t="e">
        <f>IF(VLOOKUP(CONCATENATE(H378,F378,EK$2),Matemáticas!$A:$H,7,FALSE)=AY378,1,0)</f>
        <v>#N/A</v>
      </c>
      <c r="EL378" s="138" t="e">
        <f>IF(VLOOKUP(CONCATENATE(H378,F378,EL$2),Matemáticas!$A:$H,7,FALSE)=AZ378,1,0)</f>
        <v>#N/A</v>
      </c>
      <c r="EM378" s="138" t="e">
        <f>IF(VLOOKUP(CONCATENATE(H378,F378,EM$2),Matemáticas!$A:$H,7,FALSE)=BA378,1,0)</f>
        <v>#N/A</v>
      </c>
      <c r="EN378" s="138" t="e">
        <f>IF(VLOOKUP(CONCATENATE(H378,F378,EN$2),Matemáticas!$A:$H,7,FALSE)=BB378,1,0)</f>
        <v>#N/A</v>
      </c>
      <c r="EO378" s="138" t="e">
        <f>IF(VLOOKUP(CONCATENATE(H378,F378,EO$2),Matemáticas!$A:$H,7,FALSE)=BC378,1,0)</f>
        <v>#N/A</v>
      </c>
      <c r="EP378" s="138" t="e">
        <f>IF(VLOOKUP(CONCATENATE(H378,F378,EP$2),Matemáticas!$A:$H,7,FALSE)=BD378,1,0)</f>
        <v>#N/A</v>
      </c>
      <c r="EQ378" s="138" t="e">
        <f>IF(VLOOKUP(CONCATENATE(H378,F378,EQ$2),Matemáticas!$A:$H,7,FALSE)=BE378,1,0)</f>
        <v>#N/A</v>
      </c>
      <c r="ER378" s="138" t="e">
        <f>IF(VLOOKUP(CONCATENATE(H378,F378,ER$2),Matemáticas!$A:$H,7,FALSE)=BF378,1,0)</f>
        <v>#N/A</v>
      </c>
      <c r="ES378" s="138" t="e">
        <f>IF(VLOOKUP(CONCATENATE(H378,F378,ES$2),Matemáticas!$A:$H,7,FALSE)=BG378,1,0)</f>
        <v>#N/A</v>
      </c>
      <c r="ET378" s="138" t="e">
        <f>IF(VLOOKUP(CONCATENATE(H378,F378,ET$2),Matemáticas!$A:$H,7,FALSE)=BH378,1,0)</f>
        <v>#N/A</v>
      </c>
      <c r="EU378" s="138" t="e">
        <f>IF(VLOOKUP(CONCATENATE(H378,F378,EU$2),Matemáticas!$A:$H,7,FALSE)=BI378,1,0)</f>
        <v>#N/A</v>
      </c>
      <c r="EV378" s="138" t="e">
        <f>IF(VLOOKUP(CONCATENATE(H378,F378,EV$2),Ciencias!$A:$H,7,FALSE)=BJ378,1,0)</f>
        <v>#N/A</v>
      </c>
      <c r="EW378" s="138" t="e">
        <f>IF(VLOOKUP(CONCATENATE(H378,F378,EW$2),Ciencias!$A:$H,7,FALSE)=BK378,1,0)</f>
        <v>#N/A</v>
      </c>
      <c r="EX378" s="138" t="e">
        <f>IF(VLOOKUP(CONCATENATE(H378,F378,EX$2),Ciencias!$A:$H,7,FALSE)=BL378,1,0)</f>
        <v>#N/A</v>
      </c>
      <c r="EY378" s="138" t="e">
        <f>IF(VLOOKUP(CONCATENATE(H378,F378,EY$2),Ciencias!$A:$H,7,FALSE)=BM378,1,0)</f>
        <v>#N/A</v>
      </c>
      <c r="EZ378" s="138" t="e">
        <f>IF(VLOOKUP(CONCATENATE(H378,F378,EZ$2),Ciencias!$A:$H,7,FALSE)=BN378,1,0)</f>
        <v>#N/A</v>
      </c>
      <c r="FA378" s="138" t="e">
        <f>IF(VLOOKUP(CONCATENATE(H378,F378,FA$2),Ciencias!$A:$H,7,FALSE)=BO378,1,0)</f>
        <v>#N/A</v>
      </c>
      <c r="FB378" s="138" t="e">
        <f>IF(VLOOKUP(CONCATENATE(H378,F378,FB$2),Ciencias!$A:$H,7,FALSE)=BP378,1,0)</f>
        <v>#N/A</v>
      </c>
      <c r="FC378" s="138" t="e">
        <f>IF(VLOOKUP(CONCATENATE(H378,F378,FC$2),Ciencias!$A:$H,7,FALSE)=BQ378,1,0)</f>
        <v>#N/A</v>
      </c>
      <c r="FD378" s="138" t="e">
        <f>IF(VLOOKUP(CONCATENATE(H378,F378,FD$2),Ciencias!$A:$H,7,FALSE)=BR378,1,0)</f>
        <v>#N/A</v>
      </c>
      <c r="FE378" s="138" t="e">
        <f>IF(VLOOKUP(CONCATENATE(H378,F378,FE$2),Ciencias!$A:$H,7,FALSE)=BS378,1,0)</f>
        <v>#N/A</v>
      </c>
      <c r="FF378" s="138" t="e">
        <f>IF(VLOOKUP(CONCATENATE(H378,F378,FF$2),Ciencias!$A:$H,7,FALSE)=BT378,1,0)</f>
        <v>#N/A</v>
      </c>
      <c r="FG378" s="138" t="e">
        <f>IF(VLOOKUP(CONCATENATE(H378,F378,FG$2),Ciencias!$A:$H,7,FALSE)=BU378,1,0)</f>
        <v>#N/A</v>
      </c>
      <c r="FH378" s="138" t="e">
        <f>IF(VLOOKUP(CONCATENATE(H378,F378,FH$2),Ciencias!$A:$H,7,FALSE)=BV378,1,0)</f>
        <v>#N/A</v>
      </c>
      <c r="FI378" s="138" t="e">
        <f>IF(VLOOKUP(CONCATENATE(H378,F378,FI$2),Ciencias!$A:$H,7,FALSE)=BW378,1,0)</f>
        <v>#N/A</v>
      </c>
      <c r="FJ378" s="138" t="e">
        <f>IF(VLOOKUP(CONCATENATE(H378,F378,FJ$2),Ciencias!$A:$H,7,FALSE)=BX378,1,0)</f>
        <v>#N/A</v>
      </c>
      <c r="FK378" s="138" t="e">
        <f>IF(VLOOKUP(CONCATENATE(H378,F378,FK$2),Ciencias!$A:$H,7,FALSE)=BY378,1,0)</f>
        <v>#N/A</v>
      </c>
      <c r="FL378" s="138" t="e">
        <f>IF(VLOOKUP(CONCATENATE(H378,F378,FL$2),Ciencias!$A:$H,7,FALSE)=BZ378,1,0)</f>
        <v>#N/A</v>
      </c>
      <c r="FM378" s="138" t="e">
        <f>IF(VLOOKUP(CONCATENATE(H378,F378,FM$2),Ciencias!$A:$H,7,FALSE)=CA378,1,0)</f>
        <v>#N/A</v>
      </c>
      <c r="FN378" s="138" t="e">
        <f>IF(VLOOKUP(CONCATENATE(H378,F378,FN$2),Ciencias!$A:$H,7,FALSE)=CB378,1,0)</f>
        <v>#N/A</v>
      </c>
      <c r="FO378" s="138" t="e">
        <f>IF(VLOOKUP(CONCATENATE(H378,F378,FO$2),Ciencias!$A:$H,7,FALSE)=CC378,1,0)</f>
        <v>#N/A</v>
      </c>
      <c r="FP378" s="138" t="e">
        <f>IF(VLOOKUP(CONCATENATE(H378,F378,FP$2),GeoHis!$A:$H,7,FALSE)=CD378,1,0)</f>
        <v>#N/A</v>
      </c>
      <c r="FQ378" s="138" t="e">
        <f>IF(VLOOKUP(CONCATENATE(H378,F378,FQ$2),GeoHis!$A:$H,7,FALSE)=CE378,1,0)</f>
        <v>#N/A</v>
      </c>
      <c r="FR378" s="138" t="e">
        <f>IF(VLOOKUP(CONCATENATE(H378,F378,FR$2),GeoHis!$A:$H,7,FALSE)=CF378,1,0)</f>
        <v>#N/A</v>
      </c>
      <c r="FS378" s="138" t="e">
        <f>IF(VLOOKUP(CONCATENATE(H378,F378,FS$2),GeoHis!$A:$H,7,FALSE)=CG378,1,0)</f>
        <v>#N/A</v>
      </c>
      <c r="FT378" s="138" t="e">
        <f>IF(VLOOKUP(CONCATENATE(H378,F378,FT$2),GeoHis!$A:$H,7,FALSE)=CH378,1,0)</f>
        <v>#N/A</v>
      </c>
      <c r="FU378" s="138" t="e">
        <f>IF(VLOOKUP(CONCATENATE(H378,F378,FU$2),GeoHis!$A:$H,7,FALSE)=CI378,1,0)</f>
        <v>#N/A</v>
      </c>
      <c r="FV378" s="138" t="e">
        <f>IF(VLOOKUP(CONCATENATE(H378,F378,FV$2),GeoHis!$A:$H,7,FALSE)=CJ378,1,0)</f>
        <v>#N/A</v>
      </c>
      <c r="FW378" s="138" t="e">
        <f>IF(VLOOKUP(CONCATENATE(H378,F378,FW$2),GeoHis!$A:$H,7,FALSE)=CK378,1,0)</f>
        <v>#N/A</v>
      </c>
      <c r="FX378" s="138" t="e">
        <f>IF(VLOOKUP(CONCATENATE(H378,F378,FX$2),GeoHis!$A:$H,7,FALSE)=CL378,1,0)</f>
        <v>#N/A</v>
      </c>
      <c r="FY378" s="138" t="e">
        <f>IF(VLOOKUP(CONCATENATE(H378,F378,FY$2),GeoHis!$A:$H,7,FALSE)=CM378,1,0)</f>
        <v>#N/A</v>
      </c>
      <c r="FZ378" s="138" t="e">
        <f>IF(VLOOKUP(CONCATENATE(H378,F378,FZ$2),GeoHis!$A:$H,7,FALSE)=CN378,1,0)</f>
        <v>#N/A</v>
      </c>
      <c r="GA378" s="138" t="e">
        <f>IF(VLOOKUP(CONCATENATE(H378,F378,GA$2),GeoHis!$A:$H,7,FALSE)=CO378,1,0)</f>
        <v>#N/A</v>
      </c>
      <c r="GB378" s="138" t="e">
        <f>IF(VLOOKUP(CONCATENATE(H378,F378,GB$2),GeoHis!$A:$H,7,FALSE)=CP378,1,0)</f>
        <v>#N/A</v>
      </c>
      <c r="GC378" s="138" t="e">
        <f>IF(VLOOKUP(CONCATENATE(H378,F378,GC$2),GeoHis!$A:$H,7,FALSE)=CQ378,1,0)</f>
        <v>#N/A</v>
      </c>
      <c r="GD378" s="138" t="e">
        <f>IF(VLOOKUP(CONCATENATE(H378,F378,GD$2),GeoHis!$A:$H,7,FALSE)=CR378,1,0)</f>
        <v>#N/A</v>
      </c>
      <c r="GE378" s="135" t="str">
        <f t="shared" si="47"/>
        <v/>
      </c>
    </row>
    <row r="379" spans="1:187" x14ac:dyDescent="0.25">
      <c r="A379" s="127" t="str">
        <f>IF(C379="","",'Datos Generales'!$A$25)</f>
        <v/>
      </c>
      <c r="D379" s="126" t="str">
        <f t="shared" si="40"/>
        <v/>
      </c>
      <c r="E379" s="126">
        <f t="shared" si="41"/>
        <v>0</v>
      </c>
      <c r="F379" s="126" t="str">
        <f t="shared" si="42"/>
        <v/>
      </c>
      <c r="G379" s="126" t="str">
        <f>IF(C379="","",'Datos Generales'!$D$19)</f>
        <v/>
      </c>
      <c r="H379" s="21" t="str">
        <f>IF(C379="","",'Datos Generales'!$A$19)</f>
        <v/>
      </c>
      <c r="I379" s="126" t="str">
        <f>IF(C379="","",'Datos Generales'!$A$7)</f>
        <v/>
      </c>
      <c r="J379" s="21" t="str">
        <f>IF(C379="","",'Datos Generales'!$A$13)</f>
        <v/>
      </c>
      <c r="K379" s="21" t="str">
        <f>IF(C379="","",'Datos Generales'!$A$10)</f>
        <v/>
      </c>
      <c r="CS379" s="142" t="str">
        <f t="shared" si="43"/>
        <v/>
      </c>
      <c r="CT379" s="142" t="str">
        <f t="shared" si="44"/>
        <v/>
      </c>
      <c r="CU379" s="142" t="str">
        <f t="shared" si="45"/>
        <v/>
      </c>
      <c r="CV379" s="142" t="str">
        <f t="shared" si="46"/>
        <v/>
      </c>
      <c r="CW379" s="142" t="str">
        <f>IF(C379="","",IF('Datos Generales'!$A$19=1,AVERAGE(FP379:GD379),AVERAGE(Captura!FP379:FY379)))</f>
        <v/>
      </c>
      <c r="CX379" s="138" t="e">
        <f>IF(VLOOKUP(CONCATENATE($H$4,$F$4,CX$2),Español!$A:$H,7,FALSE)=L379,1,0)</f>
        <v>#N/A</v>
      </c>
      <c r="CY379" s="138" t="e">
        <f>IF(VLOOKUP(CONCATENATE(H379,F379,CY$2),Español!$A:$H,7,FALSE)=M379,1,0)</f>
        <v>#N/A</v>
      </c>
      <c r="CZ379" s="138" t="e">
        <f>IF(VLOOKUP(CONCATENATE(H379,F379,CZ$2),Español!$A:$H,7,FALSE)=N379,1,0)</f>
        <v>#N/A</v>
      </c>
      <c r="DA379" s="138" t="e">
        <f>IF(VLOOKUP(CONCATENATE(H379,F379,DA$2),Español!$A:$H,7,FALSE)=O379,1,0)</f>
        <v>#N/A</v>
      </c>
      <c r="DB379" s="138" t="e">
        <f>IF(VLOOKUP(CONCATENATE(H379,F379,DB$2),Español!$A:$H,7,FALSE)=P379,1,0)</f>
        <v>#N/A</v>
      </c>
      <c r="DC379" s="138" t="e">
        <f>IF(VLOOKUP(CONCATENATE(H379,F379,DC$2),Español!$A:$H,7,FALSE)=Q379,1,0)</f>
        <v>#N/A</v>
      </c>
      <c r="DD379" s="138" t="e">
        <f>IF(VLOOKUP(CONCATENATE(H379,F379,DD$2),Español!$A:$H,7,FALSE)=R379,1,0)</f>
        <v>#N/A</v>
      </c>
      <c r="DE379" s="138" t="e">
        <f>IF(VLOOKUP(CONCATENATE(H379,F379,DE$2),Español!$A:$H,7,FALSE)=S379,1,0)</f>
        <v>#N/A</v>
      </c>
      <c r="DF379" s="138" t="e">
        <f>IF(VLOOKUP(CONCATENATE(H379,F379,DF$2),Español!$A:$H,7,FALSE)=T379,1,0)</f>
        <v>#N/A</v>
      </c>
      <c r="DG379" s="138" t="e">
        <f>IF(VLOOKUP(CONCATENATE(H379,F379,DG$2),Español!$A:$H,7,FALSE)=U379,1,0)</f>
        <v>#N/A</v>
      </c>
      <c r="DH379" s="138" t="e">
        <f>IF(VLOOKUP(CONCATENATE(H379,F379,DH$2),Español!$A:$H,7,FALSE)=V379,1,0)</f>
        <v>#N/A</v>
      </c>
      <c r="DI379" s="138" t="e">
        <f>IF(VLOOKUP(CONCATENATE(H379,F379,DI$2),Español!$A:$H,7,FALSE)=W379,1,0)</f>
        <v>#N/A</v>
      </c>
      <c r="DJ379" s="138" t="e">
        <f>IF(VLOOKUP(CONCATENATE(H379,F379,DJ$2),Español!$A:$H,7,FALSE)=X379,1,0)</f>
        <v>#N/A</v>
      </c>
      <c r="DK379" s="138" t="e">
        <f>IF(VLOOKUP(CONCATENATE(H379,F379,DK$2),Español!$A:$H,7,FALSE)=Y379,1,0)</f>
        <v>#N/A</v>
      </c>
      <c r="DL379" s="138" t="e">
        <f>IF(VLOOKUP(CONCATENATE(H379,F379,DL$2),Español!$A:$H,7,FALSE)=Z379,1,0)</f>
        <v>#N/A</v>
      </c>
      <c r="DM379" s="138" t="e">
        <f>IF(VLOOKUP(CONCATENATE(H379,F379,DM$2),Español!$A:$H,7,FALSE)=AA379,1,0)</f>
        <v>#N/A</v>
      </c>
      <c r="DN379" s="138" t="e">
        <f>IF(VLOOKUP(CONCATENATE(H379,F379,DN$2),Español!$A:$H,7,FALSE)=AB379,1,0)</f>
        <v>#N/A</v>
      </c>
      <c r="DO379" s="138" t="e">
        <f>IF(VLOOKUP(CONCATENATE(H379,F379,DO$2),Español!$A:$H,7,FALSE)=AC379,1,0)</f>
        <v>#N/A</v>
      </c>
      <c r="DP379" s="138" t="e">
        <f>IF(VLOOKUP(CONCATENATE(H379,F379,DP$2),Español!$A:$H,7,FALSE)=AD379,1,0)</f>
        <v>#N/A</v>
      </c>
      <c r="DQ379" s="138" t="e">
        <f>IF(VLOOKUP(CONCATENATE(H379,F379,DQ$2),Español!$A:$H,7,FALSE)=AE379,1,0)</f>
        <v>#N/A</v>
      </c>
      <c r="DR379" s="138" t="e">
        <f>IF(VLOOKUP(CONCATENATE(H379,F379,DR$2),Inglés!$A:$H,7,FALSE)=AF379,1,0)</f>
        <v>#N/A</v>
      </c>
      <c r="DS379" s="138" t="e">
        <f>IF(VLOOKUP(CONCATENATE(H379,F379,DS$2),Inglés!$A:$H,7,FALSE)=AG379,1,0)</f>
        <v>#N/A</v>
      </c>
      <c r="DT379" s="138" t="e">
        <f>IF(VLOOKUP(CONCATENATE(H379,F379,DT$2),Inglés!$A:$H,7,FALSE)=AH379,1,0)</f>
        <v>#N/A</v>
      </c>
      <c r="DU379" s="138" t="e">
        <f>IF(VLOOKUP(CONCATENATE(H379,F379,DU$2),Inglés!$A:$H,7,FALSE)=AI379,1,0)</f>
        <v>#N/A</v>
      </c>
      <c r="DV379" s="138" t="e">
        <f>IF(VLOOKUP(CONCATENATE(H379,F379,DV$2),Inglés!$A:$H,7,FALSE)=AJ379,1,0)</f>
        <v>#N/A</v>
      </c>
      <c r="DW379" s="138" t="e">
        <f>IF(VLOOKUP(CONCATENATE(H379,F379,DW$2),Inglés!$A:$H,7,FALSE)=AK379,1,0)</f>
        <v>#N/A</v>
      </c>
      <c r="DX379" s="138" t="e">
        <f>IF(VLOOKUP(CONCATENATE(H379,F379,DX$2),Inglés!$A:$H,7,FALSE)=AL379,1,0)</f>
        <v>#N/A</v>
      </c>
      <c r="DY379" s="138" t="e">
        <f>IF(VLOOKUP(CONCATENATE(H379,F379,DY$2),Inglés!$A:$H,7,FALSE)=AM379,1,0)</f>
        <v>#N/A</v>
      </c>
      <c r="DZ379" s="138" t="e">
        <f>IF(VLOOKUP(CONCATENATE(H379,F379,DZ$2),Inglés!$A:$H,7,FALSE)=AN379,1,0)</f>
        <v>#N/A</v>
      </c>
      <c r="EA379" s="138" t="e">
        <f>IF(VLOOKUP(CONCATENATE(H379,F379,EA$2),Inglés!$A:$H,7,FALSE)=AO379,1,0)</f>
        <v>#N/A</v>
      </c>
      <c r="EB379" s="138" t="e">
        <f>IF(VLOOKUP(CONCATENATE(H379,F379,EB$2),Matemáticas!$A:$H,7,FALSE)=AP379,1,0)</f>
        <v>#N/A</v>
      </c>
      <c r="EC379" s="138" t="e">
        <f>IF(VLOOKUP(CONCATENATE(H379,F379,EC$2),Matemáticas!$A:$H,7,FALSE)=AQ379,1,0)</f>
        <v>#N/A</v>
      </c>
      <c r="ED379" s="138" t="e">
        <f>IF(VLOOKUP(CONCATENATE(H379,F379,ED$2),Matemáticas!$A:$H,7,FALSE)=AR379,1,0)</f>
        <v>#N/A</v>
      </c>
      <c r="EE379" s="138" t="e">
        <f>IF(VLOOKUP(CONCATENATE(H379,F379,EE$2),Matemáticas!$A:$H,7,FALSE)=AS379,1,0)</f>
        <v>#N/A</v>
      </c>
      <c r="EF379" s="138" t="e">
        <f>IF(VLOOKUP(CONCATENATE(H379,F379,EF$2),Matemáticas!$A:$H,7,FALSE)=AT379,1,0)</f>
        <v>#N/A</v>
      </c>
      <c r="EG379" s="138" t="e">
        <f>IF(VLOOKUP(CONCATENATE(H379,F379,EG$2),Matemáticas!$A:$H,7,FALSE)=AU379,1,0)</f>
        <v>#N/A</v>
      </c>
      <c r="EH379" s="138" t="e">
        <f>IF(VLOOKUP(CONCATENATE(H379,F379,EH$2),Matemáticas!$A:$H,7,FALSE)=AV379,1,0)</f>
        <v>#N/A</v>
      </c>
      <c r="EI379" s="138" t="e">
        <f>IF(VLOOKUP(CONCATENATE(H379,F379,EI$2),Matemáticas!$A:$H,7,FALSE)=AW379,1,0)</f>
        <v>#N/A</v>
      </c>
      <c r="EJ379" s="138" t="e">
        <f>IF(VLOOKUP(CONCATENATE(H379,F379,EJ$2),Matemáticas!$A:$H,7,FALSE)=AX379,1,0)</f>
        <v>#N/A</v>
      </c>
      <c r="EK379" s="138" t="e">
        <f>IF(VLOOKUP(CONCATENATE(H379,F379,EK$2),Matemáticas!$A:$H,7,FALSE)=AY379,1,0)</f>
        <v>#N/A</v>
      </c>
      <c r="EL379" s="138" t="e">
        <f>IF(VLOOKUP(CONCATENATE(H379,F379,EL$2),Matemáticas!$A:$H,7,FALSE)=AZ379,1,0)</f>
        <v>#N/A</v>
      </c>
      <c r="EM379" s="138" t="e">
        <f>IF(VLOOKUP(CONCATENATE(H379,F379,EM$2),Matemáticas!$A:$H,7,FALSE)=BA379,1,0)</f>
        <v>#N/A</v>
      </c>
      <c r="EN379" s="138" t="e">
        <f>IF(VLOOKUP(CONCATENATE(H379,F379,EN$2),Matemáticas!$A:$H,7,FALSE)=BB379,1,0)</f>
        <v>#N/A</v>
      </c>
      <c r="EO379" s="138" t="e">
        <f>IF(VLOOKUP(CONCATENATE(H379,F379,EO$2),Matemáticas!$A:$H,7,FALSE)=BC379,1,0)</f>
        <v>#N/A</v>
      </c>
      <c r="EP379" s="138" t="e">
        <f>IF(VLOOKUP(CONCATENATE(H379,F379,EP$2),Matemáticas!$A:$H,7,FALSE)=BD379,1,0)</f>
        <v>#N/A</v>
      </c>
      <c r="EQ379" s="138" t="e">
        <f>IF(VLOOKUP(CONCATENATE(H379,F379,EQ$2),Matemáticas!$A:$H,7,FALSE)=BE379,1,0)</f>
        <v>#N/A</v>
      </c>
      <c r="ER379" s="138" t="e">
        <f>IF(VLOOKUP(CONCATENATE(H379,F379,ER$2),Matemáticas!$A:$H,7,FALSE)=BF379,1,0)</f>
        <v>#N/A</v>
      </c>
      <c r="ES379" s="138" t="e">
        <f>IF(VLOOKUP(CONCATENATE(H379,F379,ES$2),Matemáticas!$A:$H,7,FALSE)=BG379,1,0)</f>
        <v>#N/A</v>
      </c>
      <c r="ET379" s="138" t="e">
        <f>IF(VLOOKUP(CONCATENATE(H379,F379,ET$2),Matemáticas!$A:$H,7,FALSE)=BH379,1,0)</f>
        <v>#N/A</v>
      </c>
      <c r="EU379" s="138" t="e">
        <f>IF(VLOOKUP(CONCATENATE(H379,F379,EU$2),Matemáticas!$A:$H,7,FALSE)=BI379,1,0)</f>
        <v>#N/A</v>
      </c>
      <c r="EV379" s="138" t="e">
        <f>IF(VLOOKUP(CONCATENATE(H379,F379,EV$2),Ciencias!$A:$H,7,FALSE)=BJ379,1,0)</f>
        <v>#N/A</v>
      </c>
      <c r="EW379" s="138" t="e">
        <f>IF(VLOOKUP(CONCATENATE(H379,F379,EW$2),Ciencias!$A:$H,7,FALSE)=BK379,1,0)</f>
        <v>#N/A</v>
      </c>
      <c r="EX379" s="138" t="e">
        <f>IF(VLOOKUP(CONCATENATE(H379,F379,EX$2),Ciencias!$A:$H,7,FALSE)=BL379,1,0)</f>
        <v>#N/A</v>
      </c>
      <c r="EY379" s="138" t="e">
        <f>IF(VLOOKUP(CONCATENATE(H379,F379,EY$2),Ciencias!$A:$H,7,FALSE)=BM379,1,0)</f>
        <v>#N/A</v>
      </c>
      <c r="EZ379" s="138" t="e">
        <f>IF(VLOOKUP(CONCATENATE(H379,F379,EZ$2),Ciencias!$A:$H,7,FALSE)=BN379,1,0)</f>
        <v>#N/A</v>
      </c>
      <c r="FA379" s="138" t="e">
        <f>IF(VLOOKUP(CONCATENATE(H379,F379,FA$2),Ciencias!$A:$H,7,FALSE)=BO379,1,0)</f>
        <v>#N/A</v>
      </c>
      <c r="FB379" s="138" t="e">
        <f>IF(VLOOKUP(CONCATENATE(H379,F379,FB$2),Ciencias!$A:$H,7,FALSE)=BP379,1,0)</f>
        <v>#N/A</v>
      </c>
      <c r="FC379" s="138" t="e">
        <f>IF(VLOOKUP(CONCATENATE(H379,F379,FC$2),Ciencias!$A:$H,7,FALSE)=BQ379,1,0)</f>
        <v>#N/A</v>
      </c>
      <c r="FD379" s="138" t="e">
        <f>IF(VLOOKUP(CONCATENATE(H379,F379,FD$2),Ciencias!$A:$H,7,FALSE)=BR379,1,0)</f>
        <v>#N/A</v>
      </c>
      <c r="FE379" s="138" t="e">
        <f>IF(VLOOKUP(CONCATENATE(H379,F379,FE$2),Ciencias!$A:$H,7,FALSE)=BS379,1,0)</f>
        <v>#N/A</v>
      </c>
      <c r="FF379" s="138" t="e">
        <f>IF(VLOOKUP(CONCATENATE(H379,F379,FF$2),Ciencias!$A:$H,7,FALSE)=BT379,1,0)</f>
        <v>#N/A</v>
      </c>
      <c r="FG379" s="138" t="e">
        <f>IF(VLOOKUP(CONCATENATE(H379,F379,FG$2),Ciencias!$A:$H,7,FALSE)=BU379,1,0)</f>
        <v>#N/A</v>
      </c>
      <c r="FH379" s="138" t="e">
        <f>IF(VLOOKUP(CONCATENATE(H379,F379,FH$2),Ciencias!$A:$H,7,FALSE)=BV379,1,0)</f>
        <v>#N/A</v>
      </c>
      <c r="FI379" s="138" t="e">
        <f>IF(VLOOKUP(CONCATENATE(H379,F379,FI$2),Ciencias!$A:$H,7,FALSE)=BW379,1,0)</f>
        <v>#N/A</v>
      </c>
      <c r="FJ379" s="138" t="e">
        <f>IF(VLOOKUP(CONCATENATE(H379,F379,FJ$2),Ciencias!$A:$H,7,FALSE)=BX379,1,0)</f>
        <v>#N/A</v>
      </c>
      <c r="FK379" s="138" t="e">
        <f>IF(VLOOKUP(CONCATENATE(H379,F379,FK$2),Ciencias!$A:$H,7,FALSE)=BY379,1,0)</f>
        <v>#N/A</v>
      </c>
      <c r="FL379" s="138" t="e">
        <f>IF(VLOOKUP(CONCATENATE(H379,F379,FL$2),Ciencias!$A:$H,7,FALSE)=BZ379,1,0)</f>
        <v>#N/A</v>
      </c>
      <c r="FM379" s="138" t="e">
        <f>IF(VLOOKUP(CONCATENATE(H379,F379,FM$2),Ciencias!$A:$H,7,FALSE)=CA379,1,0)</f>
        <v>#N/A</v>
      </c>
      <c r="FN379" s="138" t="e">
        <f>IF(VLOOKUP(CONCATENATE(H379,F379,FN$2),Ciencias!$A:$H,7,FALSE)=CB379,1,0)</f>
        <v>#N/A</v>
      </c>
      <c r="FO379" s="138" t="e">
        <f>IF(VLOOKUP(CONCATENATE(H379,F379,FO$2),Ciencias!$A:$H,7,FALSE)=CC379,1,0)</f>
        <v>#N/A</v>
      </c>
      <c r="FP379" s="138" t="e">
        <f>IF(VLOOKUP(CONCATENATE(H379,F379,FP$2),GeoHis!$A:$H,7,FALSE)=CD379,1,0)</f>
        <v>#N/A</v>
      </c>
      <c r="FQ379" s="138" t="e">
        <f>IF(VLOOKUP(CONCATENATE(H379,F379,FQ$2),GeoHis!$A:$H,7,FALSE)=CE379,1,0)</f>
        <v>#N/A</v>
      </c>
      <c r="FR379" s="138" t="e">
        <f>IF(VLOOKUP(CONCATENATE(H379,F379,FR$2),GeoHis!$A:$H,7,FALSE)=CF379,1,0)</f>
        <v>#N/A</v>
      </c>
      <c r="FS379" s="138" t="e">
        <f>IF(VLOOKUP(CONCATENATE(H379,F379,FS$2),GeoHis!$A:$H,7,FALSE)=CG379,1,0)</f>
        <v>#N/A</v>
      </c>
      <c r="FT379" s="138" t="e">
        <f>IF(VLOOKUP(CONCATENATE(H379,F379,FT$2),GeoHis!$A:$H,7,FALSE)=CH379,1,0)</f>
        <v>#N/A</v>
      </c>
      <c r="FU379" s="138" t="e">
        <f>IF(VLOOKUP(CONCATENATE(H379,F379,FU$2),GeoHis!$A:$H,7,FALSE)=CI379,1,0)</f>
        <v>#N/A</v>
      </c>
      <c r="FV379" s="138" t="e">
        <f>IF(VLOOKUP(CONCATENATE(H379,F379,FV$2),GeoHis!$A:$H,7,FALSE)=CJ379,1,0)</f>
        <v>#N/A</v>
      </c>
      <c r="FW379" s="138" t="e">
        <f>IF(VLOOKUP(CONCATENATE(H379,F379,FW$2),GeoHis!$A:$H,7,FALSE)=CK379,1,0)</f>
        <v>#N/A</v>
      </c>
      <c r="FX379" s="138" t="e">
        <f>IF(VLOOKUP(CONCATENATE(H379,F379,FX$2),GeoHis!$A:$H,7,FALSE)=CL379,1,0)</f>
        <v>#N/A</v>
      </c>
      <c r="FY379" s="138" t="e">
        <f>IF(VLOOKUP(CONCATENATE(H379,F379,FY$2),GeoHis!$A:$H,7,FALSE)=CM379,1,0)</f>
        <v>#N/A</v>
      </c>
      <c r="FZ379" s="138" t="e">
        <f>IF(VLOOKUP(CONCATENATE(H379,F379,FZ$2),GeoHis!$A:$H,7,FALSE)=CN379,1,0)</f>
        <v>#N/A</v>
      </c>
      <c r="GA379" s="138" t="e">
        <f>IF(VLOOKUP(CONCATENATE(H379,F379,GA$2),GeoHis!$A:$H,7,FALSE)=CO379,1,0)</f>
        <v>#N/A</v>
      </c>
      <c r="GB379" s="138" t="e">
        <f>IF(VLOOKUP(CONCATENATE(H379,F379,GB$2),GeoHis!$A:$H,7,FALSE)=CP379,1,0)</f>
        <v>#N/A</v>
      </c>
      <c r="GC379" s="138" t="e">
        <f>IF(VLOOKUP(CONCATENATE(H379,F379,GC$2),GeoHis!$A:$H,7,FALSE)=CQ379,1,0)</f>
        <v>#N/A</v>
      </c>
      <c r="GD379" s="138" t="e">
        <f>IF(VLOOKUP(CONCATENATE(H379,F379,GD$2),GeoHis!$A:$H,7,FALSE)=CR379,1,0)</f>
        <v>#N/A</v>
      </c>
      <c r="GE379" s="135" t="str">
        <f t="shared" si="47"/>
        <v/>
      </c>
    </row>
    <row r="380" spans="1:187" x14ac:dyDescent="0.25">
      <c r="A380" s="127" t="str">
        <f>IF(C380="","",'Datos Generales'!$A$25)</f>
        <v/>
      </c>
      <c r="D380" s="126" t="str">
        <f t="shared" si="40"/>
        <v/>
      </c>
      <c r="E380" s="126">
        <f t="shared" si="41"/>
        <v>0</v>
      </c>
      <c r="F380" s="126" t="str">
        <f t="shared" si="42"/>
        <v/>
      </c>
      <c r="G380" s="126" t="str">
        <f>IF(C380="","",'Datos Generales'!$D$19)</f>
        <v/>
      </c>
      <c r="H380" s="21" t="str">
        <f>IF(C380="","",'Datos Generales'!$A$19)</f>
        <v/>
      </c>
      <c r="I380" s="126" t="str">
        <f>IF(C380="","",'Datos Generales'!$A$7)</f>
        <v/>
      </c>
      <c r="J380" s="21" t="str">
        <f>IF(C380="","",'Datos Generales'!$A$13)</f>
        <v/>
      </c>
      <c r="K380" s="21" t="str">
        <f>IF(C380="","",'Datos Generales'!$A$10)</f>
        <v/>
      </c>
      <c r="CS380" s="142" t="str">
        <f t="shared" si="43"/>
        <v/>
      </c>
      <c r="CT380" s="142" t="str">
        <f t="shared" si="44"/>
        <v/>
      </c>
      <c r="CU380" s="142" t="str">
        <f t="shared" si="45"/>
        <v/>
      </c>
      <c r="CV380" s="142" t="str">
        <f t="shared" si="46"/>
        <v/>
      </c>
      <c r="CW380" s="142" t="str">
        <f>IF(C380="","",IF('Datos Generales'!$A$19=1,AVERAGE(FP380:GD380),AVERAGE(Captura!FP380:FY380)))</f>
        <v/>
      </c>
      <c r="CX380" s="138" t="e">
        <f>IF(VLOOKUP(CONCATENATE($H$4,$F$4,CX$2),Español!$A:$H,7,FALSE)=L380,1,0)</f>
        <v>#N/A</v>
      </c>
      <c r="CY380" s="138" t="e">
        <f>IF(VLOOKUP(CONCATENATE(H380,F380,CY$2),Español!$A:$H,7,FALSE)=M380,1,0)</f>
        <v>#N/A</v>
      </c>
      <c r="CZ380" s="138" t="e">
        <f>IF(VLOOKUP(CONCATENATE(H380,F380,CZ$2),Español!$A:$H,7,FALSE)=N380,1,0)</f>
        <v>#N/A</v>
      </c>
      <c r="DA380" s="138" t="e">
        <f>IF(VLOOKUP(CONCATENATE(H380,F380,DA$2),Español!$A:$H,7,FALSE)=O380,1,0)</f>
        <v>#N/A</v>
      </c>
      <c r="DB380" s="138" t="e">
        <f>IF(VLOOKUP(CONCATENATE(H380,F380,DB$2),Español!$A:$H,7,FALSE)=P380,1,0)</f>
        <v>#N/A</v>
      </c>
      <c r="DC380" s="138" t="e">
        <f>IF(VLOOKUP(CONCATENATE(H380,F380,DC$2),Español!$A:$H,7,FALSE)=Q380,1,0)</f>
        <v>#N/A</v>
      </c>
      <c r="DD380" s="138" t="e">
        <f>IF(VLOOKUP(CONCATENATE(H380,F380,DD$2),Español!$A:$H,7,FALSE)=R380,1,0)</f>
        <v>#N/A</v>
      </c>
      <c r="DE380" s="138" t="e">
        <f>IF(VLOOKUP(CONCATENATE(H380,F380,DE$2),Español!$A:$H,7,FALSE)=S380,1,0)</f>
        <v>#N/A</v>
      </c>
      <c r="DF380" s="138" t="e">
        <f>IF(VLOOKUP(CONCATENATE(H380,F380,DF$2),Español!$A:$H,7,FALSE)=T380,1,0)</f>
        <v>#N/A</v>
      </c>
      <c r="DG380" s="138" t="e">
        <f>IF(VLOOKUP(CONCATENATE(H380,F380,DG$2),Español!$A:$H,7,FALSE)=U380,1,0)</f>
        <v>#N/A</v>
      </c>
      <c r="DH380" s="138" t="e">
        <f>IF(VLOOKUP(CONCATENATE(H380,F380,DH$2),Español!$A:$H,7,FALSE)=V380,1,0)</f>
        <v>#N/A</v>
      </c>
      <c r="DI380" s="138" t="e">
        <f>IF(VLOOKUP(CONCATENATE(H380,F380,DI$2),Español!$A:$H,7,FALSE)=W380,1,0)</f>
        <v>#N/A</v>
      </c>
      <c r="DJ380" s="138" t="e">
        <f>IF(VLOOKUP(CONCATENATE(H380,F380,DJ$2),Español!$A:$H,7,FALSE)=X380,1,0)</f>
        <v>#N/A</v>
      </c>
      <c r="DK380" s="138" t="e">
        <f>IF(VLOOKUP(CONCATENATE(H380,F380,DK$2),Español!$A:$H,7,FALSE)=Y380,1,0)</f>
        <v>#N/A</v>
      </c>
      <c r="DL380" s="138" t="e">
        <f>IF(VLOOKUP(CONCATENATE(H380,F380,DL$2),Español!$A:$H,7,FALSE)=Z380,1,0)</f>
        <v>#N/A</v>
      </c>
      <c r="DM380" s="138" t="e">
        <f>IF(VLOOKUP(CONCATENATE(H380,F380,DM$2),Español!$A:$H,7,FALSE)=AA380,1,0)</f>
        <v>#N/A</v>
      </c>
      <c r="DN380" s="138" t="e">
        <f>IF(VLOOKUP(CONCATENATE(H380,F380,DN$2),Español!$A:$H,7,FALSE)=AB380,1,0)</f>
        <v>#N/A</v>
      </c>
      <c r="DO380" s="138" t="e">
        <f>IF(VLOOKUP(CONCATENATE(H380,F380,DO$2),Español!$A:$H,7,FALSE)=AC380,1,0)</f>
        <v>#N/A</v>
      </c>
      <c r="DP380" s="138" t="e">
        <f>IF(VLOOKUP(CONCATENATE(H380,F380,DP$2),Español!$A:$H,7,FALSE)=AD380,1,0)</f>
        <v>#N/A</v>
      </c>
      <c r="DQ380" s="138" t="e">
        <f>IF(VLOOKUP(CONCATENATE(H380,F380,DQ$2),Español!$A:$H,7,FALSE)=AE380,1,0)</f>
        <v>#N/A</v>
      </c>
      <c r="DR380" s="138" t="e">
        <f>IF(VLOOKUP(CONCATENATE(H380,F380,DR$2),Inglés!$A:$H,7,FALSE)=AF380,1,0)</f>
        <v>#N/A</v>
      </c>
      <c r="DS380" s="138" t="e">
        <f>IF(VLOOKUP(CONCATENATE(H380,F380,DS$2),Inglés!$A:$H,7,FALSE)=AG380,1,0)</f>
        <v>#N/A</v>
      </c>
      <c r="DT380" s="138" t="e">
        <f>IF(VLOOKUP(CONCATENATE(H380,F380,DT$2),Inglés!$A:$H,7,FALSE)=AH380,1,0)</f>
        <v>#N/A</v>
      </c>
      <c r="DU380" s="138" t="e">
        <f>IF(VLOOKUP(CONCATENATE(H380,F380,DU$2),Inglés!$A:$H,7,FALSE)=AI380,1,0)</f>
        <v>#N/A</v>
      </c>
      <c r="DV380" s="138" t="e">
        <f>IF(VLOOKUP(CONCATENATE(H380,F380,DV$2),Inglés!$A:$H,7,FALSE)=AJ380,1,0)</f>
        <v>#N/A</v>
      </c>
      <c r="DW380" s="138" t="e">
        <f>IF(VLOOKUP(CONCATENATE(H380,F380,DW$2),Inglés!$A:$H,7,FALSE)=AK380,1,0)</f>
        <v>#N/A</v>
      </c>
      <c r="DX380" s="138" t="e">
        <f>IF(VLOOKUP(CONCATENATE(H380,F380,DX$2),Inglés!$A:$H,7,FALSE)=AL380,1,0)</f>
        <v>#N/A</v>
      </c>
      <c r="DY380" s="138" t="e">
        <f>IF(VLOOKUP(CONCATENATE(H380,F380,DY$2),Inglés!$A:$H,7,FALSE)=AM380,1,0)</f>
        <v>#N/A</v>
      </c>
      <c r="DZ380" s="138" t="e">
        <f>IF(VLOOKUP(CONCATENATE(H380,F380,DZ$2),Inglés!$A:$H,7,FALSE)=AN380,1,0)</f>
        <v>#N/A</v>
      </c>
      <c r="EA380" s="138" t="e">
        <f>IF(VLOOKUP(CONCATENATE(H380,F380,EA$2),Inglés!$A:$H,7,FALSE)=AO380,1,0)</f>
        <v>#N/A</v>
      </c>
      <c r="EB380" s="138" t="e">
        <f>IF(VLOOKUP(CONCATENATE(H380,F380,EB$2),Matemáticas!$A:$H,7,FALSE)=AP380,1,0)</f>
        <v>#N/A</v>
      </c>
      <c r="EC380" s="138" t="e">
        <f>IF(VLOOKUP(CONCATENATE(H380,F380,EC$2),Matemáticas!$A:$H,7,FALSE)=AQ380,1,0)</f>
        <v>#N/A</v>
      </c>
      <c r="ED380" s="138" t="e">
        <f>IF(VLOOKUP(CONCATENATE(H380,F380,ED$2),Matemáticas!$A:$H,7,FALSE)=AR380,1,0)</f>
        <v>#N/A</v>
      </c>
      <c r="EE380" s="138" t="e">
        <f>IF(VLOOKUP(CONCATENATE(H380,F380,EE$2),Matemáticas!$A:$H,7,FALSE)=AS380,1,0)</f>
        <v>#N/A</v>
      </c>
      <c r="EF380" s="138" t="e">
        <f>IF(VLOOKUP(CONCATENATE(H380,F380,EF$2),Matemáticas!$A:$H,7,FALSE)=AT380,1,0)</f>
        <v>#N/A</v>
      </c>
      <c r="EG380" s="138" t="e">
        <f>IF(VLOOKUP(CONCATENATE(H380,F380,EG$2),Matemáticas!$A:$H,7,FALSE)=AU380,1,0)</f>
        <v>#N/A</v>
      </c>
      <c r="EH380" s="138" t="e">
        <f>IF(VLOOKUP(CONCATENATE(H380,F380,EH$2),Matemáticas!$A:$H,7,FALSE)=AV380,1,0)</f>
        <v>#N/A</v>
      </c>
      <c r="EI380" s="138" t="e">
        <f>IF(VLOOKUP(CONCATENATE(H380,F380,EI$2),Matemáticas!$A:$H,7,FALSE)=AW380,1,0)</f>
        <v>#N/A</v>
      </c>
      <c r="EJ380" s="138" t="e">
        <f>IF(VLOOKUP(CONCATENATE(H380,F380,EJ$2),Matemáticas!$A:$H,7,FALSE)=AX380,1,0)</f>
        <v>#N/A</v>
      </c>
      <c r="EK380" s="138" t="e">
        <f>IF(VLOOKUP(CONCATENATE(H380,F380,EK$2),Matemáticas!$A:$H,7,FALSE)=AY380,1,0)</f>
        <v>#N/A</v>
      </c>
      <c r="EL380" s="138" t="e">
        <f>IF(VLOOKUP(CONCATENATE(H380,F380,EL$2),Matemáticas!$A:$H,7,FALSE)=AZ380,1,0)</f>
        <v>#N/A</v>
      </c>
      <c r="EM380" s="138" t="e">
        <f>IF(VLOOKUP(CONCATENATE(H380,F380,EM$2),Matemáticas!$A:$H,7,FALSE)=BA380,1,0)</f>
        <v>#N/A</v>
      </c>
      <c r="EN380" s="138" t="e">
        <f>IF(VLOOKUP(CONCATENATE(H380,F380,EN$2),Matemáticas!$A:$H,7,FALSE)=BB380,1,0)</f>
        <v>#N/A</v>
      </c>
      <c r="EO380" s="138" t="e">
        <f>IF(VLOOKUP(CONCATENATE(H380,F380,EO$2),Matemáticas!$A:$H,7,FALSE)=BC380,1,0)</f>
        <v>#N/A</v>
      </c>
      <c r="EP380" s="138" t="e">
        <f>IF(VLOOKUP(CONCATENATE(H380,F380,EP$2),Matemáticas!$A:$H,7,FALSE)=BD380,1,0)</f>
        <v>#N/A</v>
      </c>
      <c r="EQ380" s="138" t="e">
        <f>IF(VLOOKUP(CONCATENATE(H380,F380,EQ$2),Matemáticas!$A:$H,7,FALSE)=BE380,1,0)</f>
        <v>#N/A</v>
      </c>
      <c r="ER380" s="138" t="e">
        <f>IF(VLOOKUP(CONCATENATE(H380,F380,ER$2),Matemáticas!$A:$H,7,FALSE)=BF380,1,0)</f>
        <v>#N/A</v>
      </c>
      <c r="ES380" s="138" t="e">
        <f>IF(VLOOKUP(CONCATENATE(H380,F380,ES$2),Matemáticas!$A:$H,7,FALSE)=BG380,1,0)</f>
        <v>#N/A</v>
      </c>
      <c r="ET380" s="138" t="e">
        <f>IF(VLOOKUP(CONCATENATE(H380,F380,ET$2),Matemáticas!$A:$H,7,FALSE)=BH380,1,0)</f>
        <v>#N/A</v>
      </c>
      <c r="EU380" s="138" t="e">
        <f>IF(VLOOKUP(CONCATENATE(H380,F380,EU$2),Matemáticas!$A:$H,7,FALSE)=BI380,1,0)</f>
        <v>#N/A</v>
      </c>
      <c r="EV380" s="138" t="e">
        <f>IF(VLOOKUP(CONCATENATE(H380,F380,EV$2),Ciencias!$A:$H,7,FALSE)=BJ380,1,0)</f>
        <v>#N/A</v>
      </c>
      <c r="EW380" s="138" t="e">
        <f>IF(VLOOKUP(CONCATENATE(H380,F380,EW$2),Ciencias!$A:$H,7,FALSE)=BK380,1,0)</f>
        <v>#N/A</v>
      </c>
      <c r="EX380" s="138" t="e">
        <f>IF(VLOOKUP(CONCATENATE(H380,F380,EX$2),Ciencias!$A:$H,7,FALSE)=BL380,1,0)</f>
        <v>#N/A</v>
      </c>
      <c r="EY380" s="138" t="e">
        <f>IF(VLOOKUP(CONCATENATE(H380,F380,EY$2),Ciencias!$A:$H,7,FALSE)=BM380,1,0)</f>
        <v>#N/A</v>
      </c>
      <c r="EZ380" s="138" t="e">
        <f>IF(VLOOKUP(CONCATENATE(H380,F380,EZ$2),Ciencias!$A:$H,7,FALSE)=BN380,1,0)</f>
        <v>#N/A</v>
      </c>
      <c r="FA380" s="138" t="e">
        <f>IF(VLOOKUP(CONCATENATE(H380,F380,FA$2),Ciencias!$A:$H,7,FALSE)=BO380,1,0)</f>
        <v>#N/A</v>
      </c>
      <c r="FB380" s="138" t="e">
        <f>IF(VLOOKUP(CONCATENATE(H380,F380,FB$2),Ciencias!$A:$H,7,FALSE)=BP380,1,0)</f>
        <v>#N/A</v>
      </c>
      <c r="FC380" s="138" t="e">
        <f>IF(VLOOKUP(CONCATENATE(H380,F380,FC$2),Ciencias!$A:$H,7,FALSE)=BQ380,1,0)</f>
        <v>#N/A</v>
      </c>
      <c r="FD380" s="138" t="e">
        <f>IF(VLOOKUP(CONCATENATE(H380,F380,FD$2),Ciencias!$A:$H,7,FALSE)=BR380,1,0)</f>
        <v>#N/A</v>
      </c>
      <c r="FE380" s="138" t="e">
        <f>IF(VLOOKUP(CONCATENATE(H380,F380,FE$2),Ciencias!$A:$H,7,FALSE)=BS380,1,0)</f>
        <v>#N/A</v>
      </c>
      <c r="FF380" s="138" t="e">
        <f>IF(VLOOKUP(CONCATENATE(H380,F380,FF$2),Ciencias!$A:$H,7,FALSE)=BT380,1,0)</f>
        <v>#N/A</v>
      </c>
      <c r="FG380" s="138" t="e">
        <f>IF(VLOOKUP(CONCATENATE(H380,F380,FG$2),Ciencias!$A:$H,7,FALSE)=BU380,1,0)</f>
        <v>#N/A</v>
      </c>
      <c r="FH380" s="138" t="e">
        <f>IF(VLOOKUP(CONCATENATE(H380,F380,FH$2),Ciencias!$A:$H,7,FALSE)=BV380,1,0)</f>
        <v>#N/A</v>
      </c>
      <c r="FI380" s="138" t="e">
        <f>IF(VLOOKUP(CONCATENATE(H380,F380,FI$2),Ciencias!$A:$H,7,FALSE)=BW380,1,0)</f>
        <v>#N/A</v>
      </c>
      <c r="FJ380" s="138" t="e">
        <f>IF(VLOOKUP(CONCATENATE(H380,F380,FJ$2),Ciencias!$A:$H,7,FALSE)=BX380,1,0)</f>
        <v>#N/A</v>
      </c>
      <c r="FK380" s="138" t="e">
        <f>IF(VLOOKUP(CONCATENATE(H380,F380,FK$2),Ciencias!$A:$H,7,FALSE)=BY380,1,0)</f>
        <v>#N/A</v>
      </c>
      <c r="FL380" s="138" t="e">
        <f>IF(VLOOKUP(CONCATENATE(H380,F380,FL$2),Ciencias!$A:$H,7,FALSE)=BZ380,1,0)</f>
        <v>#N/A</v>
      </c>
      <c r="FM380" s="138" t="e">
        <f>IF(VLOOKUP(CONCATENATE(H380,F380,FM$2),Ciencias!$A:$H,7,FALSE)=CA380,1,0)</f>
        <v>#N/A</v>
      </c>
      <c r="FN380" s="138" t="e">
        <f>IF(VLOOKUP(CONCATENATE(H380,F380,FN$2),Ciencias!$A:$H,7,FALSE)=CB380,1,0)</f>
        <v>#N/A</v>
      </c>
      <c r="FO380" s="138" t="e">
        <f>IF(VLOOKUP(CONCATENATE(H380,F380,FO$2),Ciencias!$A:$H,7,FALSE)=CC380,1,0)</f>
        <v>#N/A</v>
      </c>
      <c r="FP380" s="138" t="e">
        <f>IF(VLOOKUP(CONCATENATE(H380,F380,FP$2),GeoHis!$A:$H,7,FALSE)=CD380,1,0)</f>
        <v>#N/A</v>
      </c>
      <c r="FQ380" s="138" t="e">
        <f>IF(VLOOKUP(CONCATENATE(H380,F380,FQ$2),GeoHis!$A:$H,7,FALSE)=CE380,1,0)</f>
        <v>#N/A</v>
      </c>
      <c r="FR380" s="138" t="e">
        <f>IF(VLOOKUP(CONCATENATE(H380,F380,FR$2),GeoHis!$A:$H,7,FALSE)=CF380,1,0)</f>
        <v>#N/A</v>
      </c>
      <c r="FS380" s="138" t="e">
        <f>IF(VLOOKUP(CONCATENATE(H380,F380,FS$2),GeoHis!$A:$H,7,FALSE)=CG380,1,0)</f>
        <v>#N/A</v>
      </c>
      <c r="FT380" s="138" t="e">
        <f>IF(VLOOKUP(CONCATENATE(H380,F380,FT$2),GeoHis!$A:$H,7,FALSE)=CH380,1,0)</f>
        <v>#N/A</v>
      </c>
      <c r="FU380" s="138" t="e">
        <f>IF(VLOOKUP(CONCATENATE(H380,F380,FU$2),GeoHis!$A:$H,7,FALSE)=CI380,1,0)</f>
        <v>#N/A</v>
      </c>
      <c r="FV380" s="138" t="e">
        <f>IF(VLOOKUP(CONCATENATE(H380,F380,FV$2),GeoHis!$A:$H,7,FALSE)=CJ380,1,0)</f>
        <v>#N/A</v>
      </c>
      <c r="FW380" s="138" t="e">
        <f>IF(VLOOKUP(CONCATENATE(H380,F380,FW$2),GeoHis!$A:$H,7,FALSE)=CK380,1,0)</f>
        <v>#N/A</v>
      </c>
      <c r="FX380" s="138" t="e">
        <f>IF(VLOOKUP(CONCATENATE(H380,F380,FX$2),GeoHis!$A:$H,7,FALSE)=CL380,1,0)</f>
        <v>#N/A</v>
      </c>
      <c r="FY380" s="138" t="e">
        <f>IF(VLOOKUP(CONCATENATE(H380,F380,FY$2),GeoHis!$A:$H,7,FALSE)=CM380,1,0)</f>
        <v>#N/A</v>
      </c>
      <c r="FZ380" s="138" t="e">
        <f>IF(VLOOKUP(CONCATENATE(H380,F380,FZ$2),GeoHis!$A:$H,7,FALSE)=CN380,1,0)</f>
        <v>#N/A</v>
      </c>
      <c r="GA380" s="138" t="e">
        <f>IF(VLOOKUP(CONCATENATE(H380,F380,GA$2),GeoHis!$A:$H,7,FALSE)=CO380,1,0)</f>
        <v>#N/A</v>
      </c>
      <c r="GB380" s="138" t="e">
        <f>IF(VLOOKUP(CONCATENATE(H380,F380,GB$2),GeoHis!$A:$H,7,FALSE)=CP380,1,0)</f>
        <v>#N/A</v>
      </c>
      <c r="GC380" s="138" t="e">
        <f>IF(VLOOKUP(CONCATENATE(H380,F380,GC$2),GeoHis!$A:$H,7,FALSE)=CQ380,1,0)</f>
        <v>#N/A</v>
      </c>
      <c r="GD380" s="138" t="e">
        <f>IF(VLOOKUP(CONCATENATE(H380,F380,GD$2),GeoHis!$A:$H,7,FALSE)=CR380,1,0)</f>
        <v>#N/A</v>
      </c>
      <c r="GE380" s="135" t="str">
        <f t="shared" si="47"/>
        <v/>
      </c>
    </row>
    <row r="381" spans="1:187" x14ac:dyDescent="0.25">
      <c r="A381" s="127" t="str">
        <f>IF(C381="","",'Datos Generales'!$A$25)</f>
        <v/>
      </c>
      <c r="D381" s="126" t="str">
        <f t="shared" si="40"/>
        <v/>
      </c>
      <c r="E381" s="126">
        <f t="shared" si="41"/>
        <v>0</v>
      </c>
      <c r="F381" s="126" t="str">
        <f t="shared" si="42"/>
        <v/>
      </c>
      <c r="G381" s="126" t="str">
        <f>IF(C381="","",'Datos Generales'!$D$19)</f>
        <v/>
      </c>
      <c r="H381" s="21" t="str">
        <f>IF(C381="","",'Datos Generales'!$A$19)</f>
        <v/>
      </c>
      <c r="I381" s="126" t="str">
        <f>IF(C381="","",'Datos Generales'!$A$7)</f>
        <v/>
      </c>
      <c r="J381" s="21" t="str">
        <f>IF(C381="","",'Datos Generales'!$A$13)</f>
        <v/>
      </c>
      <c r="K381" s="21" t="str">
        <f>IF(C381="","",'Datos Generales'!$A$10)</f>
        <v/>
      </c>
      <c r="CS381" s="142" t="str">
        <f t="shared" si="43"/>
        <v/>
      </c>
      <c r="CT381" s="142" t="str">
        <f t="shared" si="44"/>
        <v/>
      </c>
      <c r="CU381" s="142" t="str">
        <f t="shared" si="45"/>
        <v/>
      </c>
      <c r="CV381" s="142" t="str">
        <f t="shared" si="46"/>
        <v/>
      </c>
      <c r="CW381" s="142" t="str">
        <f>IF(C381="","",IF('Datos Generales'!$A$19=1,AVERAGE(FP381:GD381),AVERAGE(Captura!FP381:FY381)))</f>
        <v/>
      </c>
      <c r="CX381" s="138" t="e">
        <f>IF(VLOOKUP(CONCATENATE($H$4,$F$4,CX$2),Español!$A:$H,7,FALSE)=L381,1,0)</f>
        <v>#N/A</v>
      </c>
      <c r="CY381" s="138" t="e">
        <f>IF(VLOOKUP(CONCATENATE(H381,F381,CY$2),Español!$A:$H,7,FALSE)=M381,1,0)</f>
        <v>#N/A</v>
      </c>
      <c r="CZ381" s="138" t="e">
        <f>IF(VLOOKUP(CONCATENATE(H381,F381,CZ$2),Español!$A:$H,7,FALSE)=N381,1,0)</f>
        <v>#N/A</v>
      </c>
      <c r="DA381" s="138" t="e">
        <f>IF(VLOOKUP(CONCATENATE(H381,F381,DA$2),Español!$A:$H,7,FALSE)=O381,1,0)</f>
        <v>#N/A</v>
      </c>
      <c r="DB381" s="138" t="e">
        <f>IF(VLOOKUP(CONCATENATE(H381,F381,DB$2),Español!$A:$H,7,FALSE)=P381,1,0)</f>
        <v>#N/A</v>
      </c>
      <c r="DC381" s="138" t="e">
        <f>IF(VLOOKUP(CONCATENATE(H381,F381,DC$2),Español!$A:$H,7,FALSE)=Q381,1,0)</f>
        <v>#N/A</v>
      </c>
      <c r="DD381" s="138" t="e">
        <f>IF(VLOOKUP(CONCATENATE(H381,F381,DD$2),Español!$A:$H,7,FALSE)=R381,1,0)</f>
        <v>#N/A</v>
      </c>
      <c r="DE381" s="138" t="e">
        <f>IF(VLOOKUP(CONCATENATE(H381,F381,DE$2),Español!$A:$H,7,FALSE)=S381,1,0)</f>
        <v>#N/A</v>
      </c>
      <c r="DF381" s="138" t="e">
        <f>IF(VLOOKUP(CONCATENATE(H381,F381,DF$2),Español!$A:$H,7,FALSE)=T381,1,0)</f>
        <v>#N/A</v>
      </c>
      <c r="DG381" s="138" t="e">
        <f>IF(VLOOKUP(CONCATENATE(H381,F381,DG$2),Español!$A:$H,7,FALSE)=U381,1,0)</f>
        <v>#N/A</v>
      </c>
      <c r="DH381" s="138" t="e">
        <f>IF(VLOOKUP(CONCATENATE(H381,F381,DH$2),Español!$A:$H,7,FALSE)=V381,1,0)</f>
        <v>#N/A</v>
      </c>
      <c r="DI381" s="138" t="e">
        <f>IF(VLOOKUP(CONCATENATE(H381,F381,DI$2),Español!$A:$H,7,FALSE)=W381,1,0)</f>
        <v>#N/A</v>
      </c>
      <c r="DJ381" s="138" t="e">
        <f>IF(VLOOKUP(CONCATENATE(H381,F381,DJ$2),Español!$A:$H,7,FALSE)=X381,1,0)</f>
        <v>#N/A</v>
      </c>
      <c r="DK381" s="138" t="e">
        <f>IF(VLOOKUP(CONCATENATE(H381,F381,DK$2),Español!$A:$H,7,FALSE)=Y381,1,0)</f>
        <v>#N/A</v>
      </c>
      <c r="DL381" s="138" t="e">
        <f>IF(VLOOKUP(CONCATENATE(H381,F381,DL$2),Español!$A:$H,7,FALSE)=Z381,1,0)</f>
        <v>#N/A</v>
      </c>
      <c r="DM381" s="138" t="e">
        <f>IF(VLOOKUP(CONCATENATE(H381,F381,DM$2),Español!$A:$H,7,FALSE)=AA381,1,0)</f>
        <v>#N/A</v>
      </c>
      <c r="DN381" s="138" t="e">
        <f>IF(VLOOKUP(CONCATENATE(H381,F381,DN$2),Español!$A:$H,7,FALSE)=AB381,1,0)</f>
        <v>#N/A</v>
      </c>
      <c r="DO381" s="138" t="e">
        <f>IF(VLOOKUP(CONCATENATE(H381,F381,DO$2),Español!$A:$H,7,FALSE)=AC381,1,0)</f>
        <v>#N/A</v>
      </c>
      <c r="DP381" s="138" t="e">
        <f>IF(VLOOKUP(CONCATENATE(H381,F381,DP$2),Español!$A:$H,7,FALSE)=AD381,1,0)</f>
        <v>#N/A</v>
      </c>
      <c r="DQ381" s="138" t="e">
        <f>IF(VLOOKUP(CONCATENATE(H381,F381,DQ$2),Español!$A:$H,7,FALSE)=AE381,1,0)</f>
        <v>#N/A</v>
      </c>
      <c r="DR381" s="138" t="e">
        <f>IF(VLOOKUP(CONCATENATE(H381,F381,DR$2),Inglés!$A:$H,7,FALSE)=AF381,1,0)</f>
        <v>#N/A</v>
      </c>
      <c r="DS381" s="138" t="e">
        <f>IF(VLOOKUP(CONCATENATE(H381,F381,DS$2),Inglés!$A:$H,7,FALSE)=AG381,1,0)</f>
        <v>#N/A</v>
      </c>
      <c r="DT381" s="138" t="e">
        <f>IF(VLOOKUP(CONCATENATE(H381,F381,DT$2),Inglés!$A:$H,7,FALSE)=AH381,1,0)</f>
        <v>#N/A</v>
      </c>
      <c r="DU381" s="138" t="e">
        <f>IF(VLOOKUP(CONCATENATE(H381,F381,DU$2),Inglés!$A:$H,7,FALSE)=AI381,1,0)</f>
        <v>#N/A</v>
      </c>
      <c r="DV381" s="138" t="e">
        <f>IF(VLOOKUP(CONCATENATE(H381,F381,DV$2),Inglés!$A:$H,7,FALSE)=AJ381,1,0)</f>
        <v>#N/A</v>
      </c>
      <c r="DW381" s="138" t="e">
        <f>IF(VLOOKUP(CONCATENATE(H381,F381,DW$2),Inglés!$A:$H,7,FALSE)=AK381,1,0)</f>
        <v>#N/A</v>
      </c>
      <c r="DX381" s="138" t="e">
        <f>IF(VLOOKUP(CONCATENATE(H381,F381,DX$2),Inglés!$A:$H,7,FALSE)=AL381,1,0)</f>
        <v>#N/A</v>
      </c>
      <c r="DY381" s="138" t="e">
        <f>IF(VLOOKUP(CONCATENATE(H381,F381,DY$2),Inglés!$A:$H,7,FALSE)=AM381,1,0)</f>
        <v>#N/A</v>
      </c>
      <c r="DZ381" s="138" t="e">
        <f>IF(VLOOKUP(CONCATENATE(H381,F381,DZ$2),Inglés!$A:$H,7,FALSE)=AN381,1,0)</f>
        <v>#N/A</v>
      </c>
      <c r="EA381" s="138" t="e">
        <f>IF(VLOOKUP(CONCATENATE(H381,F381,EA$2),Inglés!$A:$H,7,FALSE)=AO381,1,0)</f>
        <v>#N/A</v>
      </c>
      <c r="EB381" s="138" t="e">
        <f>IF(VLOOKUP(CONCATENATE(H381,F381,EB$2),Matemáticas!$A:$H,7,FALSE)=AP381,1,0)</f>
        <v>#N/A</v>
      </c>
      <c r="EC381" s="138" t="e">
        <f>IF(VLOOKUP(CONCATENATE(H381,F381,EC$2),Matemáticas!$A:$H,7,FALSE)=AQ381,1,0)</f>
        <v>#N/A</v>
      </c>
      <c r="ED381" s="138" t="e">
        <f>IF(VLOOKUP(CONCATENATE(H381,F381,ED$2),Matemáticas!$A:$H,7,FALSE)=AR381,1,0)</f>
        <v>#N/A</v>
      </c>
      <c r="EE381" s="138" t="e">
        <f>IF(VLOOKUP(CONCATENATE(H381,F381,EE$2),Matemáticas!$A:$H,7,FALSE)=AS381,1,0)</f>
        <v>#N/A</v>
      </c>
      <c r="EF381" s="138" t="e">
        <f>IF(VLOOKUP(CONCATENATE(H381,F381,EF$2),Matemáticas!$A:$H,7,FALSE)=AT381,1,0)</f>
        <v>#N/A</v>
      </c>
      <c r="EG381" s="138" t="e">
        <f>IF(VLOOKUP(CONCATENATE(H381,F381,EG$2),Matemáticas!$A:$H,7,FALSE)=AU381,1,0)</f>
        <v>#N/A</v>
      </c>
      <c r="EH381" s="138" t="e">
        <f>IF(VLOOKUP(CONCATENATE(H381,F381,EH$2),Matemáticas!$A:$H,7,FALSE)=AV381,1,0)</f>
        <v>#N/A</v>
      </c>
      <c r="EI381" s="138" t="e">
        <f>IF(VLOOKUP(CONCATENATE(H381,F381,EI$2),Matemáticas!$A:$H,7,FALSE)=AW381,1,0)</f>
        <v>#N/A</v>
      </c>
      <c r="EJ381" s="138" t="e">
        <f>IF(VLOOKUP(CONCATENATE(H381,F381,EJ$2),Matemáticas!$A:$H,7,FALSE)=AX381,1,0)</f>
        <v>#N/A</v>
      </c>
      <c r="EK381" s="138" t="e">
        <f>IF(VLOOKUP(CONCATENATE(H381,F381,EK$2),Matemáticas!$A:$H,7,FALSE)=AY381,1,0)</f>
        <v>#N/A</v>
      </c>
      <c r="EL381" s="138" t="e">
        <f>IF(VLOOKUP(CONCATENATE(H381,F381,EL$2),Matemáticas!$A:$H,7,FALSE)=AZ381,1,0)</f>
        <v>#N/A</v>
      </c>
      <c r="EM381" s="138" t="e">
        <f>IF(VLOOKUP(CONCATENATE(H381,F381,EM$2),Matemáticas!$A:$H,7,FALSE)=BA381,1,0)</f>
        <v>#N/A</v>
      </c>
      <c r="EN381" s="138" t="e">
        <f>IF(VLOOKUP(CONCATENATE(H381,F381,EN$2),Matemáticas!$A:$H,7,FALSE)=BB381,1,0)</f>
        <v>#N/A</v>
      </c>
      <c r="EO381" s="138" t="e">
        <f>IF(VLOOKUP(CONCATENATE(H381,F381,EO$2),Matemáticas!$A:$H,7,FALSE)=BC381,1,0)</f>
        <v>#N/A</v>
      </c>
      <c r="EP381" s="138" t="e">
        <f>IF(VLOOKUP(CONCATENATE(H381,F381,EP$2),Matemáticas!$A:$H,7,FALSE)=BD381,1,0)</f>
        <v>#N/A</v>
      </c>
      <c r="EQ381" s="138" t="e">
        <f>IF(VLOOKUP(CONCATENATE(H381,F381,EQ$2),Matemáticas!$A:$H,7,FALSE)=BE381,1,0)</f>
        <v>#N/A</v>
      </c>
      <c r="ER381" s="138" t="e">
        <f>IF(VLOOKUP(CONCATENATE(H381,F381,ER$2),Matemáticas!$A:$H,7,FALSE)=BF381,1,0)</f>
        <v>#N/A</v>
      </c>
      <c r="ES381" s="138" t="e">
        <f>IF(VLOOKUP(CONCATENATE(H381,F381,ES$2),Matemáticas!$A:$H,7,FALSE)=BG381,1,0)</f>
        <v>#N/A</v>
      </c>
      <c r="ET381" s="138" t="e">
        <f>IF(VLOOKUP(CONCATENATE(H381,F381,ET$2),Matemáticas!$A:$H,7,FALSE)=BH381,1,0)</f>
        <v>#N/A</v>
      </c>
      <c r="EU381" s="138" t="e">
        <f>IF(VLOOKUP(CONCATENATE(H381,F381,EU$2),Matemáticas!$A:$H,7,FALSE)=BI381,1,0)</f>
        <v>#N/A</v>
      </c>
      <c r="EV381" s="138" t="e">
        <f>IF(VLOOKUP(CONCATENATE(H381,F381,EV$2),Ciencias!$A:$H,7,FALSE)=BJ381,1,0)</f>
        <v>#N/A</v>
      </c>
      <c r="EW381" s="138" t="e">
        <f>IF(VLOOKUP(CONCATENATE(H381,F381,EW$2),Ciencias!$A:$H,7,FALSE)=BK381,1,0)</f>
        <v>#N/A</v>
      </c>
      <c r="EX381" s="138" t="e">
        <f>IF(VLOOKUP(CONCATENATE(H381,F381,EX$2),Ciencias!$A:$H,7,FALSE)=BL381,1,0)</f>
        <v>#N/A</v>
      </c>
      <c r="EY381" s="138" t="e">
        <f>IF(VLOOKUP(CONCATENATE(H381,F381,EY$2),Ciencias!$A:$H,7,FALSE)=BM381,1,0)</f>
        <v>#N/A</v>
      </c>
      <c r="EZ381" s="138" t="e">
        <f>IF(VLOOKUP(CONCATENATE(H381,F381,EZ$2),Ciencias!$A:$H,7,FALSE)=BN381,1,0)</f>
        <v>#N/A</v>
      </c>
      <c r="FA381" s="138" t="e">
        <f>IF(VLOOKUP(CONCATENATE(H381,F381,FA$2),Ciencias!$A:$H,7,FALSE)=BO381,1,0)</f>
        <v>#N/A</v>
      </c>
      <c r="FB381" s="138" t="e">
        <f>IF(VLOOKUP(CONCATENATE(H381,F381,FB$2),Ciencias!$A:$H,7,FALSE)=BP381,1,0)</f>
        <v>#N/A</v>
      </c>
      <c r="FC381" s="138" t="e">
        <f>IF(VLOOKUP(CONCATENATE(H381,F381,FC$2),Ciencias!$A:$H,7,FALSE)=BQ381,1,0)</f>
        <v>#N/A</v>
      </c>
      <c r="FD381" s="138" t="e">
        <f>IF(VLOOKUP(CONCATENATE(H381,F381,FD$2),Ciencias!$A:$H,7,FALSE)=BR381,1,0)</f>
        <v>#N/A</v>
      </c>
      <c r="FE381" s="138" t="e">
        <f>IF(VLOOKUP(CONCATENATE(H381,F381,FE$2),Ciencias!$A:$H,7,FALSE)=BS381,1,0)</f>
        <v>#N/A</v>
      </c>
      <c r="FF381" s="138" t="e">
        <f>IF(VLOOKUP(CONCATENATE(H381,F381,FF$2),Ciencias!$A:$H,7,FALSE)=BT381,1,0)</f>
        <v>#N/A</v>
      </c>
      <c r="FG381" s="138" t="e">
        <f>IF(VLOOKUP(CONCATENATE(H381,F381,FG$2),Ciencias!$A:$H,7,FALSE)=BU381,1,0)</f>
        <v>#N/A</v>
      </c>
      <c r="FH381" s="138" t="e">
        <f>IF(VLOOKUP(CONCATENATE(H381,F381,FH$2),Ciencias!$A:$H,7,FALSE)=BV381,1,0)</f>
        <v>#N/A</v>
      </c>
      <c r="FI381" s="138" t="e">
        <f>IF(VLOOKUP(CONCATENATE(H381,F381,FI$2),Ciencias!$A:$H,7,FALSE)=BW381,1,0)</f>
        <v>#N/A</v>
      </c>
      <c r="FJ381" s="138" t="e">
        <f>IF(VLOOKUP(CONCATENATE(H381,F381,FJ$2),Ciencias!$A:$H,7,FALSE)=BX381,1,0)</f>
        <v>#N/A</v>
      </c>
      <c r="FK381" s="138" t="e">
        <f>IF(VLOOKUP(CONCATENATE(H381,F381,FK$2),Ciencias!$A:$H,7,FALSE)=BY381,1,0)</f>
        <v>#N/A</v>
      </c>
      <c r="FL381" s="138" t="e">
        <f>IF(VLOOKUP(CONCATENATE(H381,F381,FL$2),Ciencias!$A:$H,7,FALSE)=BZ381,1,0)</f>
        <v>#N/A</v>
      </c>
      <c r="FM381" s="138" t="e">
        <f>IF(VLOOKUP(CONCATENATE(H381,F381,FM$2),Ciencias!$A:$H,7,FALSE)=CA381,1,0)</f>
        <v>#N/A</v>
      </c>
      <c r="FN381" s="138" t="e">
        <f>IF(VLOOKUP(CONCATENATE(H381,F381,FN$2),Ciencias!$A:$H,7,FALSE)=CB381,1,0)</f>
        <v>#N/A</v>
      </c>
      <c r="FO381" s="138" t="e">
        <f>IF(VLOOKUP(CONCATENATE(H381,F381,FO$2),Ciencias!$A:$H,7,FALSE)=CC381,1,0)</f>
        <v>#N/A</v>
      </c>
      <c r="FP381" s="138" t="e">
        <f>IF(VLOOKUP(CONCATENATE(H381,F381,FP$2),GeoHis!$A:$H,7,FALSE)=CD381,1,0)</f>
        <v>#N/A</v>
      </c>
      <c r="FQ381" s="138" t="e">
        <f>IF(VLOOKUP(CONCATENATE(H381,F381,FQ$2),GeoHis!$A:$H,7,FALSE)=CE381,1,0)</f>
        <v>#N/A</v>
      </c>
      <c r="FR381" s="138" t="e">
        <f>IF(VLOOKUP(CONCATENATE(H381,F381,FR$2),GeoHis!$A:$H,7,FALSE)=CF381,1,0)</f>
        <v>#N/A</v>
      </c>
      <c r="FS381" s="138" t="e">
        <f>IF(VLOOKUP(CONCATENATE(H381,F381,FS$2),GeoHis!$A:$H,7,FALSE)=CG381,1,0)</f>
        <v>#N/A</v>
      </c>
      <c r="FT381" s="138" t="e">
        <f>IF(VLOOKUP(CONCATENATE(H381,F381,FT$2),GeoHis!$A:$H,7,FALSE)=CH381,1,0)</f>
        <v>#N/A</v>
      </c>
      <c r="FU381" s="138" t="e">
        <f>IF(VLOOKUP(CONCATENATE(H381,F381,FU$2),GeoHis!$A:$H,7,FALSE)=CI381,1,0)</f>
        <v>#N/A</v>
      </c>
      <c r="FV381" s="138" t="e">
        <f>IF(VLOOKUP(CONCATENATE(H381,F381,FV$2),GeoHis!$A:$H,7,FALSE)=CJ381,1,0)</f>
        <v>#N/A</v>
      </c>
      <c r="FW381" s="138" t="e">
        <f>IF(VLOOKUP(CONCATENATE(H381,F381,FW$2),GeoHis!$A:$H,7,FALSE)=CK381,1,0)</f>
        <v>#N/A</v>
      </c>
      <c r="FX381" s="138" t="e">
        <f>IF(VLOOKUP(CONCATENATE(H381,F381,FX$2),GeoHis!$A:$H,7,FALSE)=CL381,1,0)</f>
        <v>#N/A</v>
      </c>
      <c r="FY381" s="138" t="e">
        <f>IF(VLOOKUP(CONCATENATE(H381,F381,FY$2),GeoHis!$A:$H,7,FALSE)=CM381,1,0)</f>
        <v>#N/A</v>
      </c>
      <c r="FZ381" s="138" t="e">
        <f>IF(VLOOKUP(CONCATENATE(H381,F381,FZ$2),GeoHis!$A:$H,7,FALSE)=CN381,1,0)</f>
        <v>#N/A</v>
      </c>
      <c r="GA381" s="138" t="e">
        <f>IF(VLOOKUP(CONCATENATE(H381,F381,GA$2),GeoHis!$A:$H,7,FALSE)=CO381,1,0)</f>
        <v>#N/A</v>
      </c>
      <c r="GB381" s="138" t="e">
        <f>IF(VLOOKUP(CONCATENATE(H381,F381,GB$2),GeoHis!$A:$H,7,FALSE)=CP381,1,0)</f>
        <v>#N/A</v>
      </c>
      <c r="GC381" s="138" t="e">
        <f>IF(VLOOKUP(CONCATENATE(H381,F381,GC$2),GeoHis!$A:$H,7,FALSE)=CQ381,1,0)</f>
        <v>#N/A</v>
      </c>
      <c r="GD381" s="138" t="e">
        <f>IF(VLOOKUP(CONCATENATE(H381,F381,GD$2),GeoHis!$A:$H,7,FALSE)=CR381,1,0)</f>
        <v>#N/A</v>
      </c>
      <c r="GE381" s="135" t="str">
        <f t="shared" si="47"/>
        <v/>
      </c>
    </row>
    <row r="382" spans="1:187" x14ac:dyDescent="0.25">
      <c r="A382" s="127" t="str">
        <f>IF(C382="","",'Datos Generales'!$A$25)</f>
        <v/>
      </c>
      <c r="D382" s="126" t="str">
        <f t="shared" si="40"/>
        <v/>
      </c>
      <c r="E382" s="126">
        <f t="shared" si="41"/>
        <v>0</v>
      </c>
      <c r="F382" s="126" t="str">
        <f t="shared" si="42"/>
        <v/>
      </c>
      <c r="G382" s="126" t="str">
        <f>IF(C382="","",'Datos Generales'!$D$19)</f>
        <v/>
      </c>
      <c r="H382" s="21" t="str">
        <f>IF(C382="","",'Datos Generales'!$A$19)</f>
        <v/>
      </c>
      <c r="I382" s="126" t="str">
        <f>IF(C382="","",'Datos Generales'!$A$7)</f>
        <v/>
      </c>
      <c r="J382" s="21" t="str">
        <f>IF(C382="","",'Datos Generales'!$A$13)</f>
        <v/>
      </c>
      <c r="K382" s="21" t="str">
        <f>IF(C382="","",'Datos Generales'!$A$10)</f>
        <v/>
      </c>
      <c r="CS382" s="142" t="str">
        <f t="shared" si="43"/>
        <v/>
      </c>
      <c r="CT382" s="142" t="str">
        <f t="shared" si="44"/>
        <v/>
      </c>
      <c r="CU382" s="142" t="str">
        <f t="shared" si="45"/>
        <v/>
      </c>
      <c r="CV382" s="142" t="str">
        <f t="shared" si="46"/>
        <v/>
      </c>
      <c r="CW382" s="142" t="str">
        <f>IF(C382="","",IF('Datos Generales'!$A$19=1,AVERAGE(FP382:GD382),AVERAGE(Captura!FP382:FY382)))</f>
        <v/>
      </c>
      <c r="CX382" s="138" t="e">
        <f>IF(VLOOKUP(CONCATENATE($H$4,$F$4,CX$2),Español!$A:$H,7,FALSE)=L382,1,0)</f>
        <v>#N/A</v>
      </c>
      <c r="CY382" s="138" t="e">
        <f>IF(VLOOKUP(CONCATENATE(H382,F382,CY$2),Español!$A:$H,7,FALSE)=M382,1,0)</f>
        <v>#N/A</v>
      </c>
      <c r="CZ382" s="138" t="e">
        <f>IF(VLOOKUP(CONCATENATE(H382,F382,CZ$2),Español!$A:$H,7,FALSE)=N382,1,0)</f>
        <v>#N/A</v>
      </c>
      <c r="DA382" s="138" t="e">
        <f>IF(VLOOKUP(CONCATENATE(H382,F382,DA$2),Español!$A:$H,7,FALSE)=O382,1,0)</f>
        <v>#N/A</v>
      </c>
      <c r="DB382" s="138" t="e">
        <f>IF(VLOOKUP(CONCATENATE(H382,F382,DB$2),Español!$A:$H,7,FALSE)=P382,1,0)</f>
        <v>#N/A</v>
      </c>
      <c r="DC382" s="138" t="e">
        <f>IF(VLOOKUP(CONCATENATE(H382,F382,DC$2),Español!$A:$H,7,FALSE)=Q382,1,0)</f>
        <v>#N/A</v>
      </c>
      <c r="DD382" s="138" t="e">
        <f>IF(VLOOKUP(CONCATENATE(H382,F382,DD$2),Español!$A:$H,7,FALSE)=R382,1,0)</f>
        <v>#N/A</v>
      </c>
      <c r="DE382" s="138" t="e">
        <f>IF(VLOOKUP(CONCATENATE(H382,F382,DE$2),Español!$A:$H,7,FALSE)=S382,1,0)</f>
        <v>#N/A</v>
      </c>
      <c r="DF382" s="138" t="e">
        <f>IF(VLOOKUP(CONCATENATE(H382,F382,DF$2),Español!$A:$H,7,FALSE)=T382,1,0)</f>
        <v>#N/A</v>
      </c>
      <c r="DG382" s="138" t="e">
        <f>IF(VLOOKUP(CONCATENATE(H382,F382,DG$2),Español!$A:$H,7,FALSE)=U382,1,0)</f>
        <v>#N/A</v>
      </c>
      <c r="DH382" s="138" t="e">
        <f>IF(VLOOKUP(CONCATENATE(H382,F382,DH$2),Español!$A:$H,7,FALSE)=V382,1,0)</f>
        <v>#N/A</v>
      </c>
      <c r="DI382" s="138" t="e">
        <f>IF(VLOOKUP(CONCATENATE(H382,F382,DI$2),Español!$A:$H,7,FALSE)=W382,1,0)</f>
        <v>#N/A</v>
      </c>
      <c r="DJ382" s="138" t="e">
        <f>IF(VLOOKUP(CONCATENATE(H382,F382,DJ$2),Español!$A:$H,7,FALSE)=X382,1,0)</f>
        <v>#N/A</v>
      </c>
      <c r="DK382" s="138" t="e">
        <f>IF(VLOOKUP(CONCATENATE(H382,F382,DK$2),Español!$A:$H,7,FALSE)=Y382,1,0)</f>
        <v>#N/A</v>
      </c>
      <c r="DL382" s="138" t="e">
        <f>IF(VLOOKUP(CONCATENATE(H382,F382,DL$2),Español!$A:$H,7,FALSE)=Z382,1,0)</f>
        <v>#N/A</v>
      </c>
      <c r="DM382" s="138" t="e">
        <f>IF(VLOOKUP(CONCATENATE(H382,F382,DM$2),Español!$A:$H,7,FALSE)=AA382,1,0)</f>
        <v>#N/A</v>
      </c>
      <c r="DN382" s="138" t="e">
        <f>IF(VLOOKUP(CONCATENATE(H382,F382,DN$2),Español!$A:$H,7,FALSE)=AB382,1,0)</f>
        <v>#N/A</v>
      </c>
      <c r="DO382" s="138" t="e">
        <f>IF(VLOOKUP(CONCATENATE(H382,F382,DO$2),Español!$A:$H,7,FALSE)=AC382,1,0)</f>
        <v>#N/A</v>
      </c>
      <c r="DP382" s="138" t="e">
        <f>IF(VLOOKUP(CONCATENATE(H382,F382,DP$2),Español!$A:$H,7,FALSE)=AD382,1,0)</f>
        <v>#N/A</v>
      </c>
      <c r="DQ382" s="138" t="e">
        <f>IF(VLOOKUP(CONCATENATE(H382,F382,DQ$2),Español!$A:$H,7,FALSE)=AE382,1,0)</f>
        <v>#N/A</v>
      </c>
      <c r="DR382" s="138" t="e">
        <f>IF(VLOOKUP(CONCATENATE(H382,F382,DR$2),Inglés!$A:$H,7,FALSE)=AF382,1,0)</f>
        <v>#N/A</v>
      </c>
      <c r="DS382" s="138" t="e">
        <f>IF(VLOOKUP(CONCATENATE(H382,F382,DS$2),Inglés!$A:$H,7,FALSE)=AG382,1,0)</f>
        <v>#N/A</v>
      </c>
      <c r="DT382" s="138" t="e">
        <f>IF(VLOOKUP(CONCATENATE(H382,F382,DT$2),Inglés!$A:$H,7,FALSE)=AH382,1,0)</f>
        <v>#N/A</v>
      </c>
      <c r="DU382" s="138" t="e">
        <f>IF(VLOOKUP(CONCATENATE(H382,F382,DU$2),Inglés!$A:$H,7,FALSE)=AI382,1,0)</f>
        <v>#N/A</v>
      </c>
      <c r="DV382" s="138" t="e">
        <f>IF(VLOOKUP(CONCATENATE(H382,F382,DV$2),Inglés!$A:$H,7,FALSE)=AJ382,1,0)</f>
        <v>#N/A</v>
      </c>
      <c r="DW382" s="138" t="e">
        <f>IF(VLOOKUP(CONCATENATE(H382,F382,DW$2),Inglés!$A:$H,7,FALSE)=AK382,1,0)</f>
        <v>#N/A</v>
      </c>
      <c r="DX382" s="138" t="e">
        <f>IF(VLOOKUP(CONCATENATE(H382,F382,DX$2),Inglés!$A:$H,7,FALSE)=AL382,1,0)</f>
        <v>#N/A</v>
      </c>
      <c r="DY382" s="138" t="e">
        <f>IF(VLOOKUP(CONCATENATE(H382,F382,DY$2),Inglés!$A:$H,7,FALSE)=AM382,1,0)</f>
        <v>#N/A</v>
      </c>
      <c r="DZ382" s="138" t="e">
        <f>IF(VLOOKUP(CONCATENATE(H382,F382,DZ$2),Inglés!$A:$H,7,FALSE)=AN382,1,0)</f>
        <v>#N/A</v>
      </c>
      <c r="EA382" s="138" t="e">
        <f>IF(VLOOKUP(CONCATENATE(H382,F382,EA$2),Inglés!$A:$H,7,FALSE)=AO382,1,0)</f>
        <v>#N/A</v>
      </c>
      <c r="EB382" s="138" t="e">
        <f>IF(VLOOKUP(CONCATENATE(H382,F382,EB$2),Matemáticas!$A:$H,7,FALSE)=AP382,1,0)</f>
        <v>#N/A</v>
      </c>
      <c r="EC382" s="138" t="e">
        <f>IF(VLOOKUP(CONCATENATE(H382,F382,EC$2),Matemáticas!$A:$H,7,FALSE)=AQ382,1,0)</f>
        <v>#N/A</v>
      </c>
      <c r="ED382" s="138" t="e">
        <f>IF(VLOOKUP(CONCATENATE(H382,F382,ED$2),Matemáticas!$A:$H,7,FALSE)=AR382,1,0)</f>
        <v>#N/A</v>
      </c>
      <c r="EE382" s="138" t="e">
        <f>IF(VLOOKUP(CONCATENATE(H382,F382,EE$2),Matemáticas!$A:$H,7,FALSE)=AS382,1,0)</f>
        <v>#N/A</v>
      </c>
      <c r="EF382" s="138" t="e">
        <f>IF(VLOOKUP(CONCATENATE(H382,F382,EF$2),Matemáticas!$A:$H,7,FALSE)=AT382,1,0)</f>
        <v>#N/A</v>
      </c>
      <c r="EG382" s="138" t="e">
        <f>IF(VLOOKUP(CONCATENATE(H382,F382,EG$2),Matemáticas!$A:$H,7,FALSE)=AU382,1,0)</f>
        <v>#N/A</v>
      </c>
      <c r="EH382" s="138" t="e">
        <f>IF(VLOOKUP(CONCATENATE(H382,F382,EH$2),Matemáticas!$A:$H,7,FALSE)=AV382,1,0)</f>
        <v>#N/A</v>
      </c>
      <c r="EI382" s="138" t="e">
        <f>IF(VLOOKUP(CONCATENATE(H382,F382,EI$2),Matemáticas!$A:$H,7,FALSE)=AW382,1,0)</f>
        <v>#N/A</v>
      </c>
      <c r="EJ382" s="138" t="e">
        <f>IF(VLOOKUP(CONCATENATE(H382,F382,EJ$2),Matemáticas!$A:$H,7,FALSE)=AX382,1,0)</f>
        <v>#N/A</v>
      </c>
      <c r="EK382" s="138" t="e">
        <f>IF(VLOOKUP(CONCATENATE(H382,F382,EK$2),Matemáticas!$A:$H,7,FALSE)=AY382,1,0)</f>
        <v>#N/A</v>
      </c>
      <c r="EL382" s="138" t="e">
        <f>IF(VLOOKUP(CONCATENATE(H382,F382,EL$2),Matemáticas!$A:$H,7,FALSE)=AZ382,1,0)</f>
        <v>#N/A</v>
      </c>
      <c r="EM382" s="138" t="e">
        <f>IF(VLOOKUP(CONCATENATE(H382,F382,EM$2),Matemáticas!$A:$H,7,FALSE)=BA382,1,0)</f>
        <v>#N/A</v>
      </c>
      <c r="EN382" s="138" t="e">
        <f>IF(VLOOKUP(CONCATENATE(H382,F382,EN$2),Matemáticas!$A:$H,7,FALSE)=BB382,1,0)</f>
        <v>#N/A</v>
      </c>
      <c r="EO382" s="138" t="e">
        <f>IF(VLOOKUP(CONCATENATE(H382,F382,EO$2),Matemáticas!$A:$H,7,FALSE)=BC382,1,0)</f>
        <v>#N/A</v>
      </c>
      <c r="EP382" s="138" t="e">
        <f>IF(VLOOKUP(CONCATENATE(H382,F382,EP$2),Matemáticas!$A:$H,7,FALSE)=BD382,1,0)</f>
        <v>#N/A</v>
      </c>
      <c r="EQ382" s="138" t="e">
        <f>IF(VLOOKUP(CONCATENATE(H382,F382,EQ$2),Matemáticas!$A:$H,7,FALSE)=BE382,1,0)</f>
        <v>#N/A</v>
      </c>
      <c r="ER382" s="138" t="e">
        <f>IF(VLOOKUP(CONCATENATE(H382,F382,ER$2),Matemáticas!$A:$H,7,FALSE)=BF382,1,0)</f>
        <v>#N/A</v>
      </c>
      <c r="ES382" s="138" t="e">
        <f>IF(VLOOKUP(CONCATENATE(H382,F382,ES$2),Matemáticas!$A:$H,7,FALSE)=BG382,1,0)</f>
        <v>#N/A</v>
      </c>
      <c r="ET382" s="138" t="e">
        <f>IF(VLOOKUP(CONCATENATE(H382,F382,ET$2),Matemáticas!$A:$H,7,FALSE)=BH382,1,0)</f>
        <v>#N/A</v>
      </c>
      <c r="EU382" s="138" t="e">
        <f>IF(VLOOKUP(CONCATENATE(H382,F382,EU$2),Matemáticas!$A:$H,7,FALSE)=BI382,1,0)</f>
        <v>#N/A</v>
      </c>
      <c r="EV382" s="138" t="e">
        <f>IF(VLOOKUP(CONCATENATE(H382,F382,EV$2),Ciencias!$A:$H,7,FALSE)=BJ382,1,0)</f>
        <v>#N/A</v>
      </c>
      <c r="EW382" s="138" t="e">
        <f>IF(VLOOKUP(CONCATENATE(H382,F382,EW$2),Ciencias!$A:$H,7,FALSE)=BK382,1,0)</f>
        <v>#N/A</v>
      </c>
      <c r="EX382" s="138" t="e">
        <f>IF(VLOOKUP(CONCATENATE(H382,F382,EX$2),Ciencias!$A:$H,7,FALSE)=BL382,1,0)</f>
        <v>#N/A</v>
      </c>
      <c r="EY382" s="138" t="e">
        <f>IF(VLOOKUP(CONCATENATE(H382,F382,EY$2),Ciencias!$A:$H,7,FALSE)=BM382,1,0)</f>
        <v>#N/A</v>
      </c>
      <c r="EZ382" s="138" t="e">
        <f>IF(VLOOKUP(CONCATENATE(H382,F382,EZ$2),Ciencias!$A:$H,7,FALSE)=BN382,1,0)</f>
        <v>#N/A</v>
      </c>
      <c r="FA382" s="138" t="e">
        <f>IF(VLOOKUP(CONCATENATE(H382,F382,FA$2),Ciencias!$A:$H,7,FALSE)=BO382,1,0)</f>
        <v>#N/A</v>
      </c>
      <c r="FB382" s="138" t="e">
        <f>IF(VLOOKUP(CONCATENATE(H382,F382,FB$2),Ciencias!$A:$H,7,FALSE)=BP382,1,0)</f>
        <v>#N/A</v>
      </c>
      <c r="FC382" s="138" t="e">
        <f>IF(VLOOKUP(CONCATENATE(H382,F382,FC$2),Ciencias!$A:$H,7,FALSE)=BQ382,1,0)</f>
        <v>#N/A</v>
      </c>
      <c r="FD382" s="138" t="e">
        <f>IF(VLOOKUP(CONCATENATE(H382,F382,FD$2),Ciencias!$A:$H,7,FALSE)=BR382,1,0)</f>
        <v>#N/A</v>
      </c>
      <c r="FE382" s="138" t="e">
        <f>IF(VLOOKUP(CONCATENATE(H382,F382,FE$2),Ciencias!$A:$H,7,FALSE)=BS382,1,0)</f>
        <v>#N/A</v>
      </c>
      <c r="FF382" s="138" t="e">
        <f>IF(VLOOKUP(CONCATENATE(H382,F382,FF$2),Ciencias!$A:$H,7,FALSE)=BT382,1,0)</f>
        <v>#N/A</v>
      </c>
      <c r="FG382" s="138" t="e">
        <f>IF(VLOOKUP(CONCATENATE(H382,F382,FG$2),Ciencias!$A:$H,7,FALSE)=BU382,1,0)</f>
        <v>#N/A</v>
      </c>
      <c r="FH382" s="138" t="e">
        <f>IF(VLOOKUP(CONCATENATE(H382,F382,FH$2),Ciencias!$A:$H,7,FALSE)=BV382,1,0)</f>
        <v>#N/A</v>
      </c>
      <c r="FI382" s="138" t="e">
        <f>IF(VLOOKUP(CONCATENATE(H382,F382,FI$2),Ciencias!$A:$H,7,FALSE)=BW382,1,0)</f>
        <v>#N/A</v>
      </c>
      <c r="FJ382" s="138" t="e">
        <f>IF(VLOOKUP(CONCATENATE(H382,F382,FJ$2),Ciencias!$A:$H,7,FALSE)=BX382,1,0)</f>
        <v>#N/A</v>
      </c>
      <c r="FK382" s="138" t="e">
        <f>IF(VLOOKUP(CONCATENATE(H382,F382,FK$2),Ciencias!$A:$H,7,FALSE)=BY382,1,0)</f>
        <v>#N/A</v>
      </c>
      <c r="FL382" s="138" t="e">
        <f>IF(VLOOKUP(CONCATENATE(H382,F382,FL$2),Ciencias!$A:$H,7,FALSE)=BZ382,1,0)</f>
        <v>#N/A</v>
      </c>
      <c r="FM382" s="138" t="e">
        <f>IF(VLOOKUP(CONCATENATE(H382,F382,FM$2),Ciencias!$A:$H,7,FALSE)=CA382,1,0)</f>
        <v>#N/A</v>
      </c>
      <c r="FN382" s="138" t="e">
        <f>IF(VLOOKUP(CONCATENATE(H382,F382,FN$2),Ciencias!$A:$H,7,FALSE)=CB382,1,0)</f>
        <v>#N/A</v>
      </c>
      <c r="FO382" s="138" t="e">
        <f>IF(VLOOKUP(CONCATENATE(H382,F382,FO$2),Ciencias!$A:$H,7,FALSE)=CC382,1,0)</f>
        <v>#N/A</v>
      </c>
      <c r="FP382" s="138" t="e">
        <f>IF(VLOOKUP(CONCATENATE(H382,F382,FP$2),GeoHis!$A:$H,7,FALSE)=CD382,1,0)</f>
        <v>#N/A</v>
      </c>
      <c r="FQ382" s="138" t="e">
        <f>IF(VLOOKUP(CONCATENATE(H382,F382,FQ$2),GeoHis!$A:$H,7,FALSE)=CE382,1,0)</f>
        <v>#N/A</v>
      </c>
      <c r="FR382" s="138" t="e">
        <f>IF(VLOOKUP(CONCATENATE(H382,F382,FR$2),GeoHis!$A:$H,7,FALSE)=CF382,1,0)</f>
        <v>#N/A</v>
      </c>
      <c r="FS382" s="138" t="e">
        <f>IF(VLOOKUP(CONCATENATE(H382,F382,FS$2),GeoHis!$A:$H,7,FALSE)=CG382,1,0)</f>
        <v>#N/A</v>
      </c>
      <c r="FT382" s="138" t="e">
        <f>IF(VLOOKUP(CONCATENATE(H382,F382,FT$2),GeoHis!$A:$H,7,FALSE)=CH382,1,0)</f>
        <v>#N/A</v>
      </c>
      <c r="FU382" s="138" t="e">
        <f>IF(VLOOKUP(CONCATENATE(H382,F382,FU$2),GeoHis!$A:$H,7,FALSE)=CI382,1,0)</f>
        <v>#N/A</v>
      </c>
      <c r="FV382" s="138" t="e">
        <f>IF(VLOOKUP(CONCATENATE(H382,F382,FV$2),GeoHis!$A:$H,7,FALSE)=CJ382,1,0)</f>
        <v>#N/A</v>
      </c>
      <c r="FW382" s="138" t="e">
        <f>IF(VLOOKUP(CONCATENATE(H382,F382,FW$2),GeoHis!$A:$H,7,FALSE)=CK382,1,0)</f>
        <v>#N/A</v>
      </c>
      <c r="FX382" s="138" t="e">
        <f>IF(VLOOKUP(CONCATENATE(H382,F382,FX$2),GeoHis!$A:$H,7,FALSE)=CL382,1,0)</f>
        <v>#N/A</v>
      </c>
      <c r="FY382" s="138" t="e">
        <f>IF(VLOOKUP(CONCATENATE(H382,F382,FY$2),GeoHis!$A:$H,7,FALSE)=CM382,1,0)</f>
        <v>#N/A</v>
      </c>
      <c r="FZ382" s="138" t="e">
        <f>IF(VLOOKUP(CONCATENATE(H382,F382,FZ$2),GeoHis!$A:$H,7,FALSE)=CN382,1,0)</f>
        <v>#N/A</v>
      </c>
      <c r="GA382" s="138" t="e">
        <f>IF(VLOOKUP(CONCATENATE(H382,F382,GA$2),GeoHis!$A:$H,7,FALSE)=CO382,1,0)</f>
        <v>#N/A</v>
      </c>
      <c r="GB382" s="138" t="e">
        <f>IF(VLOOKUP(CONCATENATE(H382,F382,GB$2),GeoHis!$A:$H,7,FALSE)=CP382,1,0)</f>
        <v>#N/A</v>
      </c>
      <c r="GC382" s="138" t="e">
        <f>IF(VLOOKUP(CONCATENATE(H382,F382,GC$2),GeoHis!$A:$H,7,FALSE)=CQ382,1,0)</f>
        <v>#N/A</v>
      </c>
      <c r="GD382" s="138" t="e">
        <f>IF(VLOOKUP(CONCATENATE(H382,F382,GD$2),GeoHis!$A:$H,7,FALSE)=CR382,1,0)</f>
        <v>#N/A</v>
      </c>
      <c r="GE382" s="135" t="str">
        <f t="shared" si="47"/>
        <v/>
      </c>
    </row>
    <row r="383" spans="1:187" x14ac:dyDescent="0.25">
      <c r="A383" s="127" t="str">
        <f>IF(C383="","",'Datos Generales'!$A$25)</f>
        <v/>
      </c>
      <c r="D383" s="126" t="str">
        <f t="shared" si="40"/>
        <v/>
      </c>
      <c r="E383" s="126">
        <f t="shared" si="41"/>
        <v>0</v>
      </c>
      <c r="F383" s="126" t="str">
        <f t="shared" si="42"/>
        <v/>
      </c>
      <c r="G383" s="126" t="str">
        <f>IF(C383="","",'Datos Generales'!$D$19)</f>
        <v/>
      </c>
      <c r="H383" s="21" t="str">
        <f>IF(C383="","",'Datos Generales'!$A$19)</f>
        <v/>
      </c>
      <c r="I383" s="126" t="str">
        <f>IF(C383="","",'Datos Generales'!$A$7)</f>
        <v/>
      </c>
      <c r="J383" s="21" t="str">
        <f>IF(C383="","",'Datos Generales'!$A$13)</f>
        <v/>
      </c>
      <c r="K383" s="21" t="str">
        <f>IF(C383="","",'Datos Generales'!$A$10)</f>
        <v/>
      </c>
      <c r="CS383" s="142" t="str">
        <f t="shared" si="43"/>
        <v/>
      </c>
      <c r="CT383" s="142" t="str">
        <f t="shared" si="44"/>
        <v/>
      </c>
      <c r="CU383" s="142" t="str">
        <f t="shared" si="45"/>
        <v/>
      </c>
      <c r="CV383" s="142" t="str">
        <f t="shared" si="46"/>
        <v/>
      </c>
      <c r="CW383" s="142" t="str">
        <f>IF(C383="","",IF('Datos Generales'!$A$19=1,AVERAGE(FP383:GD383),AVERAGE(Captura!FP383:FY383)))</f>
        <v/>
      </c>
      <c r="CX383" s="138" t="e">
        <f>IF(VLOOKUP(CONCATENATE($H$4,$F$4,CX$2),Español!$A:$H,7,FALSE)=L383,1,0)</f>
        <v>#N/A</v>
      </c>
      <c r="CY383" s="138" t="e">
        <f>IF(VLOOKUP(CONCATENATE(H383,F383,CY$2),Español!$A:$H,7,FALSE)=M383,1,0)</f>
        <v>#N/A</v>
      </c>
      <c r="CZ383" s="138" t="e">
        <f>IF(VLOOKUP(CONCATENATE(H383,F383,CZ$2),Español!$A:$H,7,FALSE)=N383,1,0)</f>
        <v>#N/A</v>
      </c>
      <c r="DA383" s="138" t="e">
        <f>IF(VLOOKUP(CONCATENATE(H383,F383,DA$2),Español!$A:$H,7,FALSE)=O383,1,0)</f>
        <v>#N/A</v>
      </c>
      <c r="DB383" s="138" t="e">
        <f>IF(VLOOKUP(CONCATENATE(H383,F383,DB$2),Español!$A:$H,7,FALSE)=P383,1,0)</f>
        <v>#N/A</v>
      </c>
      <c r="DC383" s="138" t="e">
        <f>IF(VLOOKUP(CONCATENATE(H383,F383,DC$2),Español!$A:$H,7,FALSE)=Q383,1,0)</f>
        <v>#N/A</v>
      </c>
      <c r="DD383" s="138" t="e">
        <f>IF(VLOOKUP(CONCATENATE(H383,F383,DD$2),Español!$A:$H,7,FALSE)=R383,1,0)</f>
        <v>#N/A</v>
      </c>
      <c r="DE383" s="138" t="e">
        <f>IF(VLOOKUP(CONCATENATE(H383,F383,DE$2),Español!$A:$H,7,FALSE)=S383,1,0)</f>
        <v>#N/A</v>
      </c>
      <c r="DF383" s="138" t="e">
        <f>IF(VLOOKUP(CONCATENATE(H383,F383,DF$2),Español!$A:$H,7,FALSE)=T383,1,0)</f>
        <v>#N/A</v>
      </c>
      <c r="DG383" s="138" t="e">
        <f>IF(VLOOKUP(CONCATENATE(H383,F383,DG$2),Español!$A:$H,7,FALSE)=U383,1,0)</f>
        <v>#N/A</v>
      </c>
      <c r="DH383" s="138" t="e">
        <f>IF(VLOOKUP(CONCATENATE(H383,F383,DH$2),Español!$A:$H,7,FALSE)=V383,1,0)</f>
        <v>#N/A</v>
      </c>
      <c r="DI383" s="138" t="e">
        <f>IF(VLOOKUP(CONCATENATE(H383,F383,DI$2),Español!$A:$H,7,FALSE)=W383,1,0)</f>
        <v>#N/A</v>
      </c>
      <c r="DJ383" s="138" t="e">
        <f>IF(VLOOKUP(CONCATENATE(H383,F383,DJ$2),Español!$A:$H,7,FALSE)=X383,1,0)</f>
        <v>#N/A</v>
      </c>
      <c r="DK383" s="138" t="e">
        <f>IF(VLOOKUP(CONCATENATE(H383,F383,DK$2),Español!$A:$H,7,FALSE)=Y383,1,0)</f>
        <v>#N/A</v>
      </c>
      <c r="DL383" s="138" t="e">
        <f>IF(VLOOKUP(CONCATENATE(H383,F383,DL$2),Español!$A:$H,7,FALSE)=Z383,1,0)</f>
        <v>#N/A</v>
      </c>
      <c r="DM383" s="138" t="e">
        <f>IF(VLOOKUP(CONCATENATE(H383,F383,DM$2),Español!$A:$H,7,FALSE)=AA383,1,0)</f>
        <v>#N/A</v>
      </c>
      <c r="DN383" s="138" t="e">
        <f>IF(VLOOKUP(CONCATENATE(H383,F383,DN$2),Español!$A:$H,7,FALSE)=AB383,1,0)</f>
        <v>#N/A</v>
      </c>
      <c r="DO383" s="138" t="e">
        <f>IF(VLOOKUP(CONCATENATE(H383,F383,DO$2),Español!$A:$H,7,FALSE)=AC383,1,0)</f>
        <v>#N/A</v>
      </c>
      <c r="DP383" s="138" t="e">
        <f>IF(VLOOKUP(CONCATENATE(H383,F383,DP$2),Español!$A:$H,7,FALSE)=AD383,1,0)</f>
        <v>#N/A</v>
      </c>
      <c r="DQ383" s="138" t="e">
        <f>IF(VLOOKUP(CONCATENATE(H383,F383,DQ$2),Español!$A:$H,7,FALSE)=AE383,1,0)</f>
        <v>#N/A</v>
      </c>
      <c r="DR383" s="138" t="e">
        <f>IF(VLOOKUP(CONCATENATE(H383,F383,DR$2),Inglés!$A:$H,7,FALSE)=AF383,1,0)</f>
        <v>#N/A</v>
      </c>
      <c r="DS383" s="138" t="e">
        <f>IF(VLOOKUP(CONCATENATE(H383,F383,DS$2),Inglés!$A:$H,7,FALSE)=AG383,1,0)</f>
        <v>#N/A</v>
      </c>
      <c r="DT383" s="138" t="e">
        <f>IF(VLOOKUP(CONCATENATE(H383,F383,DT$2),Inglés!$A:$H,7,FALSE)=AH383,1,0)</f>
        <v>#N/A</v>
      </c>
      <c r="DU383" s="138" t="e">
        <f>IF(VLOOKUP(CONCATENATE(H383,F383,DU$2),Inglés!$A:$H,7,FALSE)=AI383,1,0)</f>
        <v>#N/A</v>
      </c>
      <c r="DV383" s="138" t="e">
        <f>IF(VLOOKUP(CONCATENATE(H383,F383,DV$2),Inglés!$A:$H,7,FALSE)=AJ383,1,0)</f>
        <v>#N/A</v>
      </c>
      <c r="DW383" s="138" t="e">
        <f>IF(VLOOKUP(CONCATENATE(H383,F383,DW$2),Inglés!$A:$H,7,FALSE)=AK383,1,0)</f>
        <v>#N/A</v>
      </c>
      <c r="DX383" s="138" t="e">
        <f>IF(VLOOKUP(CONCATENATE(H383,F383,DX$2),Inglés!$A:$H,7,FALSE)=AL383,1,0)</f>
        <v>#N/A</v>
      </c>
      <c r="DY383" s="138" t="e">
        <f>IF(VLOOKUP(CONCATENATE(H383,F383,DY$2),Inglés!$A:$H,7,FALSE)=AM383,1,0)</f>
        <v>#N/A</v>
      </c>
      <c r="DZ383" s="138" t="e">
        <f>IF(VLOOKUP(CONCATENATE(H383,F383,DZ$2),Inglés!$A:$H,7,FALSE)=AN383,1,0)</f>
        <v>#N/A</v>
      </c>
      <c r="EA383" s="138" t="e">
        <f>IF(VLOOKUP(CONCATENATE(H383,F383,EA$2),Inglés!$A:$H,7,FALSE)=AO383,1,0)</f>
        <v>#N/A</v>
      </c>
      <c r="EB383" s="138" t="e">
        <f>IF(VLOOKUP(CONCATENATE(H383,F383,EB$2),Matemáticas!$A:$H,7,FALSE)=AP383,1,0)</f>
        <v>#N/A</v>
      </c>
      <c r="EC383" s="138" t="e">
        <f>IF(VLOOKUP(CONCATENATE(H383,F383,EC$2),Matemáticas!$A:$H,7,FALSE)=AQ383,1,0)</f>
        <v>#N/A</v>
      </c>
      <c r="ED383" s="138" t="e">
        <f>IF(VLOOKUP(CONCATENATE(H383,F383,ED$2),Matemáticas!$A:$H,7,FALSE)=AR383,1,0)</f>
        <v>#N/A</v>
      </c>
      <c r="EE383" s="138" t="e">
        <f>IF(VLOOKUP(CONCATENATE(H383,F383,EE$2),Matemáticas!$A:$H,7,FALSE)=AS383,1,0)</f>
        <v>#N/A</v>
      </c>
      <c r="EF383" s="138" t="e">
        <f>IF(VLOOKUP(CONCATENATE(H383,F383,EF$2),Matemáticas!$A:$H,7,FALSE)=AT383,1,0)</f>
        <v>#N/A</v>
      </c>
      <c r="EG383" s="138" t="e">
        <f>IF(VLOOKUP(CONCATENATE(H383,F383,EG$2),Matemáticas!$A:$H,7,FALSE)=AU383,1,0)</f>
        <v>#N/A</v>
      </c>
      <c r="EH383" s="138" t="e">
        <f>IF(VLOOKUP(CONCATENATE(H383,F383,EH$2),Matemáticas!$A:$H,7,FALSE)=AV383,1,0)</f>
        <v>#N/A</v>
      </c>
      <c r="EI383" s="138" t="e">
        <f>IF(VLOOKUP(CONCATENATE(H383,F383,EI$2),Matemáticas!$A:$H,7,FALSE)=AW383,1,0)</f>
        <v>#N/A</v>
      </c>
      <c r="EJ383" s="138" t="e">
        <f>IF(VLOOKUP(CONCATENATE(H383,F383,EJ$2),Matemáticas!$A:$H,7,FALSE)=AX383,1,0)</f>
        <v>#N/A</v>
      </c>
      <c r="EK383" s="138" t="e">
        <f>IF(VLOOKUP(CONCATENATE(H383,F383,EK$2),Matemáticas!$A:$H,7,FALSE)=AY383,1,0)</f>
        <v>#N/A</v>
      </c>
      <c r="EL383" s="138" t="e">
        <f>IF(VLOOKUP(CONCATENATE(H383,F383,EL$2),Matemáticas!$A:$H,7,FALSE)=AZ383,1,0)</f>
        <v>#N/A</v>
      </c>
      <c r="EM383" s="138" t="e">
        <f>IF(VLOOKUP(CONCATENATE(H383,F383,EM$2),Matemáticas!$A:$H,7,FALSE)=BA383,1,0)</f>
        <v>#N/A</v>
      </c>
      <c r="EN383" s="138" t="e">
        <f>IF(VLOOKUP(CONCATENATE(H383,F383,EN$2),Matemáticas!$A:$H,7,FALSE)=BB383,1,0)</f>
        <v>#N/A</v>
      </c>
      <c r="EO383" s="138" t="e">
        <f>IF(VLOOKUP(CONCATENATE(H383,F383,EO$2),Matemáticas!$A:$H,7,FALSE)=BC383,1,0)</f>
        <v>#N/A</v>
      </c>
      <c r="EP383" s="138" t="e">
        <f>IF(VLOOKUP(CONCATENATE(H383,F383,EP$2),Matemáticas!$A:$H,7,FALSE)=BD383,1,0)</f>
        <v>#N/A</v>
      </c>
      <c r="EQ383" s="138" t="e">
        <f>IF(VLOOKUP(CONCATENATE(H383,F383,EQ$2),Matemáticas!$A:$H,7,FALSE)=BE383,1,0)</f>
        <v>#N/A</v>
      </c>
      <c r="ER383" s="138" t="e">
        <f>IF(VLOOKUP(CONCATENATE(H383,F383,ER$2),Matemáticas!$A:$H,7,FALSE)=BF383,1,0)</f>
        <v>#N/A</v>
      </c>
      <c r="ES383" s="138" t="e">
        <f>IF(VLOOKUP(CONCATENATE(H383,F383,ES$2),Matemáticas!$A:$H,7,FALSE)=BG383,1,0)</f>
        <v>#N/A</v>
      </c>
      <c r="ET383" s="138" t="e">
        <f>IF(VLOOKUP(CONCATENATE(H383,F383,ET$2),Matemáticas!$A:$H,7,FALSE)=BH383,1,0)</f>
        <v>#N/A</v>
      </c>
      <c r="EU383" s="138" t="e">
        <f>IF(VLOOKUP(CONCATENATE(H383,F383,EU$2),Matemáticas!$A:$H,7,FALSE)=BI383,1,0)</f>
        <v>#N/A</v>
      </c>
      <c r="EV383" s="138" t="e">
        <f>IF(VLOOKUP(CONCATENATE(H383,F383,EV$2),Ciencias!$A:$H,7,FALSE)=BJ383,1,0)</f>
        <v>#N/A</v>
      </c>
      <c r="EW383" s="138" t="e">
        <f>IF(VLOOKUP(CONCATENATE(H383,F383,EW$2),Ciencias!$A:$H,7,FALSE)=BK383,1,0)</f>
        <v>#N/A</v>
      </c>
      <c r="EX383" s="138" t="e">
        <f>IF(VLOOKUP(CONCATENATE(H383,F383,EX$2),Ciencias!$A:$H,7,FALSE)=BL383,1,0)</f>
        <v>#N/A</v>
      </c>
      <c r="EY383" s="138" t="e">
        <f>IF(VLOOKUP(CONCATENATE(H383,F383,EY$2),Ciencias!$A:$H,7,FALSE)=BM383,1,0)</f>
        <v>#N/A</v>
      </c>
      <c r="EZ383" s="138" t="e">
        <f>IF(VLOOKUP(CONCATENATE(H383,F383,EZ$2),Ciencias!$A:$H,7,FALSE)=BN383,1,0)</f>
        <v>#N/A</v>
      </c>
      <c r="FA383" s="138" t="e">
        <f>IF(VLOOKUP(CONCATENATE(H383,F383,FA$2),Ciencias!$A:$H,7,FALSE)=BO383,1,0)</f>
        <v>#N/A</v>
      </c>
      <c r="FB383" s="138" t="e">
        <f>IF(VLOOKUP(CONCATENATE(H383,F383,FB$2),Ciencias!$A:$H,7,FALSE)=BP383,1,0)</f>
        <v>#N/A</v>
      </c>
      <c r="FC383" s="138" t="e">
        <f>IF(VLOOKUP(CONCATENATE(H383,F383,FC$2),Ciencias!$A:$H,7,FALSE)=BQ383,1,0)</f>
        <v>#N/A</v>
      </c>
      <c r="FD383" s="138" t="e">
        <f>IF(VLOOKUP(CONCATENATE(H383,F383,FD$2),Ciencias!$A:$H,7,FALSE)=BR383,1,0)</f>
        <v>#N/A</v>
      </c>
      <c r="FE383" s="138" t="e">
        <f>IF(VLOOKUP(CONCATENATE(H383,F383,FE$2),Ciencias!$A:$H,7,FALSE)=BS383,1,0)</f>
        <v>#N/A</v>
      </c>
      <c r="FF383" s="138" t="e">
        <f>IF(VLOOKUP(CONCATENATE(H383,F383,FF$2),Ciencias!$A:$H,7,FALSE)=BT383,1,0)</f>
        <v>#N/A</v>
      </c>
      <c r="FG383" s="138" t="e">
        <f>IF(VLOOKUP(CONCATENATE(H383,F383,FG$2),Ciencias!$A:$H,7,FALSE)=BU383,1,0)</f>
        <v>#N/A</v>
      </c>
      <c r="FH383" s="138" t="e">
        <f>IF(VLOOKUP(CONCATENATE(H383,F383,FH$2),Ciencias!$A:$H,7,FALSE)=BV383,1,0)</f>
        <v>#N/A</v>
      </c>
      <c r="FI383" s="138" t="e">
        <f>IF(VLOOKUP(CONCATENATE(H383,F383,FI$2),Ciencias!$A:$H,7,FALSE)=BW383,1,0)</f>
        <v>#N/A</v>
      </c>
      <c r="FJ383" s="138" t="e">
        <f>IF(VLOOKUP(CONCATENATE(H383,F383,FJ$2),Ciencias!$A:$H,7,FALSE)=BX383,1,0)</f>
        <v>#N/A</v>
      </c>
      <c r="FK383" s="138" t="e">
        <f>IF(VLOOKUP(CONCATENATE(H383,F383,FK$2),Ciencias!$A:$H,7,FALSE)=BY383,1,0)</f>
        <v>#N/A</v>
      </c>
      <c r="FL383" s="138" t="e">
        <f>IF(VLOOKUP(CONCATENATE(H383,F383,FL$2),Ciencias!$A:$H,7,FALSE)=BZ383,1,0)</f>
        <v>#N/A</v>
      </c>
      <c r="FM383" s="138" t="e">
        <f>IF(VLOOKUP(CONCATENATE(H383,F383,FM$2),Ciencias!$A:$H,7,FALSE)=CA383,1,0)</f>
        <v>#N/A</v>
      </c>
      <c r="FN383" s="138" t="e">
        <f>IF(VLOOKUP(CONCATENATE(H383,F383,FN$2),Ciencias!$A:$H,7,FALSE)=CB383,1,0)</f>
        <v>#N/A</v>
      </c>
      <c r="FO383" s="138" t="e">
        <f>IF(VLOOKUP(CONCATENATE(H383,F383,FO$2),Ciencias!$A:$H,7,FALSE)=CC383,1,0)</f>
        <v>#N/A</v>
      </c>
      <c r="FP383" s="138" t="e">
        <f>IF(VLOOKUP(CONCATENATE(H383,F383,FP$2),GeoHis!$A:$H,7,FALSE)=CD383,1,0)</f>
        <v>#N/A</v>
      </c>
      <c r="FQ383" s="138" t="e">
        <f>IF(VLOOKUP(CONCATENATE(H383,F383,FQ$2),GeoHis!$A:$H,7,FALSE)=CE383,1,0)</f>
        <v>#N/A</v>
      </c>
      <c r="FR383" s="138" t="e">
        <f>IF(VLOOKUP(CONCATENATE(H383,F383,FR$2),GeoHis!$A:$H,7,FALSE)=CF383,1,0)</f>
        <v>#N/A</v>
      </c>
      <c r="FS383" s="138" t="e">
        <f>IF(VLOOKUP(CONCATENATE(H383,F383,FS$2),GeoHis!$A:$H,7,FALSE)=CG383,1,0)</f>
        <v>#N/A</v>
      </c>
      <c r="FT383" s="138" t="e">
        <f>IF(VLOOKUP(CONCATENATE(H383,F383,FT$2),GeoHis!$A:$H,7,FALSE)=CH383,1,0)</f>
        <v>#N/A</v>
      </c>
      <c r="FU383" s="138" t="e">
        <f>IF(VLOOKUP(CONCATENATE(H383,F383,FU$2),GeoHis!$A:$H,7,FALSE)=CI383,1,0)</f>
        <v>#N/A</v>
      </c>
      <c r="FV383" s="138" t="e">
        <f>IF(VLOOKUP(CONCATENATE(H383,F383,FV$2),GeoHis!$A:$H,7,FALSE)=CJ383,1,0)</f>
        <v>#N/A</v>
      </c>
      <c r="FW383" s="138" t="e">
        <f>IF(VLOOKUP(CONCATENATE(H383,F383,FW$2),GeoHis!$A:$H,7,FALSE)=CK383,1,0)</f>
        <v>#N/A</v>
      </c>
      <c r="FX383" s="138" t="e">
        <f>IF(VLOOKUP(CONCATENATE(H383,F383,FX$2),GeoHis!$A:$H,7,FALSE)=CL383,1,0)</f>
        <v>#N/A</v>
      </c>
      <c r="FY383" s="138" t="e">
        <f>IF(VLOOKUP(CONCATENATE(H383,F383,FY$2),GeoHis!$A:$H,7,FALSE)=CM383,1,0)</f>
        <v>#N/A</v>
      </c>
      <c r="FZ383" s="138" t="e">
        <f>IF(VLOOKUP(CONCATENATE(H383,F383,FZ$2),GeoHis!$A:$H,7,FALSE)=CN383,1,0)</f>
        <v>#N/A</v>
      </c>
      <c r="GA383" s="138" t="e">
        <f>IF(VLOOKUP(CONCATENATE(H383,F383,GA$2),GeoHis!$A:$H,7,FALSE)=CO383,1,0)</f>
        <v>#N/A</v>
      </c>
      <c r="GB383" s="138" t="e">
        <f>IF(VLOOKUP(CONCATENATE(H383,F383,GB$2),GeoHis!$A:$H,7,FALSE)=CP383,1,0)</f>
        <v>#N/A</v>
      </c>
      <c r="GC383" s="138" t="e">
        <f>IF(VLOOKUP(CONCATENATE(H383,F383,GC$2),GeoHis!$A:$H,7,FALSE)=CQ383,1,0)</f>
        <v>#N/A</v>
      </c>
      <c r="GD383" s="138" t="e">
        <f>IF(VLOOKUP(CONCATENATE(H383,F383,GD$2),GeoHis!$A:$H,7,FALSE)=CR383,1,0)</f>
        <v>#N/A</v>
      </c>
      <c r="GE383" s="135" t="str">
        <f t="shared" si="47"/>
        <v/>
      </c>
    </row>
    <row r="384" spans="1:187" x14ac:dyDescent="0.25">
      <c r="A384" s="127" t="str">
        <f>IF(C384="","",'Datos Generales'!$A$25)</f>
        <v/>
      </c>
      <c r="D384" s="126" t="str">
        <f t="shared" si="40"/>
        <v/>
      </c>
      <c r="E384" s="126">
        <f t="shared" si="41"/>
        <v>0</v>
      </c>
      <c r="F384" s="126" t="str">
        <f t="shared" si="42"/>
        <v/>
      </c>
      <c r="G384" s="126" t="str">
        <f>IF(C384="","",'Datos Generales'!$D$19)</f>
        <v/>
      </c>
      <c r="H384" s="21" t="str">
        <f>IF(C384="","",'Datos Generales'!$A$19)</f>
        <v/>
      </c>
      <c r="I384" s="126" t="str">
        <f>IF(C384="","",'Datos Generales'!$A$7)</f>
        <v/>
      </c>
      <c r="J384" s="21" t="str">
        <f>IF(C384="","",'Datos Generales'!$A$13)</f>
        <v/>
      </c>
      <c r="K384" s="21" t="str">
        <f>IF(C384="","",'Datos Generales'!$A$10)</f>
        <v/>
      </c>
      <c r="CS384" s="142" t="str">
        <f t="shared" si="43"/>
        <v/>
      </c>
      <c r="CT384" s="142" t="str">
        <f t="shared" si="44"/>
        <v/>
      </c>
      <c r="CU384" s="142" t="str">
        <f t="shared" si="45"/>
        <v/>
      </c>
      <c r="CV384" s="142" t="str">
        <f t="shared" si="46"/>
        <v/>
      </c>
      <c r="CW384" s="142" t="str">
        <f>IF(C384="","",IF('Datos Generales'!$A$19=1,AVERAGE(FP384:GD384),AVERAGE(Captura!FP384:FY384)))</f>
        <v/>
      </c>
      <c r="CX384" s="138" t="e">
        <f>IF(VLOOKUP(CONCATENATE($H$4,$F$4,CX$2),Español!$A:$H,7,FALSE)=L384,1,0)</f>
        <v>#N/A</v>
      </c>
      <c r="CY384" s="138" t="e">
        <f>IF(VLOOKUP(CONCATENATE(H384,F384,CY$2),Español!$A:$H,7,FALSE)=M384,1,0)</f>
        <v>#N/A</v>
      </c>
      <c r="CZ384" s="138" t="e">
        <f>IF(VLOOKUP(CONCATENATE(H384,F384,CZ$2),Español!$A:$H,7,FALSE)=N384,1,0)</f>
        <v>#N/A</v>
      </c>
      <c r="DA384" s="138" t="e">
        <f>IF(VLOOKUP(CONCATENATE(H384,F384,DA$2),Español!$A:$H,7,FALSE)=O384,1,0)</f>
        <v>#N/A</v>
      </c>
      <c r="DB384" s="138" t="e">
        <f>IF(VLOOKUP(CONCATENATE(H384,F384,DB$2),Español!$A:$H,7,FALSE)=P384,1,0)</f>
        <v>#N/A</v>
      </c>
      <c r="DC384" s="138" t="e">
        <f>IF(VLOOKUP(CONCATENATE(H384,F384,DC$2),Español!$A:$H,7,FALSE)=Q384,1,0)</f>
        <v>#N/A</v>
      </c>
      <c r="DD384" s="138" t="e">
        <f>IF(VLOOKUP(CONCATENATE(H384,F384,DD$2),Español!$A:$H,7,FALSE)=R384,1,0)</f>
        <v>#N/A</v>
      </c>
      <c r="DE384" s="138" t="e">
        <f>IF(VLOOKUP(CONCATENATE(H384,F384,DE$2),Español!$A:$H,7,FALSE)=S384,1,0)</f>
        <v>#N/A</v>
      </c>
      <c r="DF384" s="138" t="e">
        <f>IF(VLOOKUP(CONCATENATE(H384,F384,DF$2),Español!$A:$H,7,FALSE)=T384,1,0)</f>
        <v>#N/A</v>
      </c>
      <c r="DG384" s="138" t="e">
        <f>IF(VLOOKUP(CONCATENATE(H384,F384,DG$2),Español!$A:$H,7,FALSE)=U384,1,0)</f>
        <v>#N/A</v>
      </c>
      <c r="DH384" s="138" t="e">
        <f>IF(VLOOKUP(CONCATENATE(H384,F384,DH$2),Español!$A:$H,7,FALSE)=V384,1,0)</f>
        <v>#N/A</v>
      </c>
      <c r="DI384" s="138" t="e">
        <f>IF(VLOOKUP(CONCATENATE(H384,F384,DI$2),Español!$A:$H,7,FALSE)=W384,1,0)</f>
        <v>#N/A</v>
      </c>
      <c r="DJ384" s="138" t="e">
        <f>IF(VLOOKUP(CONCATENATE(H384,F384,DJ$2),Español!$A:$H,7,FALSE)=X384,1,0)</f>
        <v>#N/A</v>
      </c>
      <c r="DK384" s="138" t="e">
        <f>IF(VLOOKUP(CONCATENATE(H384,F384,DK$2),Español!$A:$H,7,FALSE)=Y384,1,0)</f>
        <v>#N/A</v>
      </c>
      <c r="DL384" s="138" t="e">
        <f>IF(VLOOKUP(CONCATENATE(H384,F384,DL$2),Español!$A:$H,7,FALSE)=Z384,1,0)</f>
        <v>#N/A</v>
      </c>
      <c r="DM384" s="138" t="e">
        <f>IF(VLOOKUP(CONCATENATE(H384,F384,DM$2),Español!$A:$H,7,FALSE)=AA384,1,0)</f>
        <v>#N/A</v>
      </c>
      <c r="DN384" s="138" t="e">
        <f>IF(VLOOKUP(CONCATENATE(H384,F384,DN$2),Español!$A:$H,7,FALSE)=AB384,1,0)</f>
        <v>#N/A</v>
      </c>
      <c r="DO384" s="138" t="e">
        <f>IF(VLOOKUP(CONCATENATE(H384,F384,DO$2),Español!$A:$H,7,FALSE)=AC384,1,0)</f>
        <v>#N/A</v>
      </c>
      <c r="DP384" s="138" t="e">
        <f>IF(VLOOKUP(CONCATENATE(H384,F384,DP$2),Español!$A:$H,7,FALSE)=AD384,1,0)</f>
        <v>#N/A</v>
      </c>
      <c r="DQ384" s="138" t="e">
        <f>IF(VLOOKUP(CONCATENATE(H384,F384,DQ$2),Español!$A:$H,7,FALSE)=AE384,1,0)</f>
        <v>#N/A</v>
      </c>
      <c r="DR384" s="138" t="e">
        <f>IF(VLOOKUP(CONCATENATE(H384,F384,DR$2),Inglés!$A:$H,7,FALSE)=AF384,1,0)</f>
        <v>#N/A</v>
      </c>
      <c r="DS384" s="138" t="e">
        <f>IF(VLOOKUP(CONCATENATE(H384,F384,DS$2),Inglés!$A:$H,7,FALSE)=AG384,1,0)</f>
        <v>#N/A</v>
      </c>
      <c r="DT384" s="138" t="e">
        <f>IF(VLOOKUP(CONCATENATE(H384,F384,DT$2),Inglés!$A:$H,7,FALSE)=AH384,1,0)</f>
        <v>#N/A</v>
      </c>
      <c r="DU384" s="138" t="e">
        <f>IF(VLOOKUP(CONCATENATE(H384,F384,DU$2),Inglés!$A:$H,7,FALSE)=AI384,1,0)</f>
        <v>#N/A</v>
      </c>
      <c r="DV384" s="138" t="e">
        <f>IF(VLOOKUP(CONCATENATE(H384,F384,DV$2),Inglés!$A:$H,7,FALSE)=AJ384,1,0)</f>
        <v>#N/A</v>
      </c>
      <c r="DW384" s="138" t="e">
        <f>IF(VLOOKUP(CONCATENATE(H384,F384,DW$2),Inglés!$A:$H,7,FALSE)=AK384,1,0)</f>
        <v>#N/A</v>
      </c>
      <c r="DX384" s="138" t="e">
        <f>IF(VLOOKUP(CONCATENATE(H384,F384,DX$2),Inglés!$A:$H,7,FALSE)=AL384,1,0)</f>
        <v>#N/A</v>
      </c>
      <c r="DY384" s="138" t="e">
        <f>IF(VLOOKUP(CONCATENATE(H384,F384,DY$2),Inglés!$A:$H,7,FALSE)=AM384,1,0)</f>
        <v>#N/A</v>
      </c>
      <c r="DZ384" s="138" t="e">
        <f>IF(VLOOKUP(CONCATENATE(H384,F384,DZ$2),Inglés!$A:$H,7,FALSE)=AN384,1,0)</f>
        <v>#N/A</v>
      </c>
      <c r="EA384" s="138" t="e">
        <f>IF(VLOOKUP(CONCATENATE(H384,F384,EA$2),Inglés!$A:$H,7,FALSE)=AO384,1,0)</f>
        <v>#N/A</v>
      </c>
      <c r="EB384" s="138" t="e">
        <f>IF(VLOOKUP(CONCATENATE(H384,F384,EB$2),Matemáticas!$A:$H,7,FALSE)=AP384,1,0)</f>
        <v>#N/A</v>
      </c>
      <c r="EC384" s="138" t="e">
        <f>IF(VLOOKUP(CONCATENATE(H384,F384,EC$2),Matemáticas!$A:$H,7,FALSE)=AQ384,1,0)</f>
        <v>#N/A</v>
      </c>
      <c r="ED384" s="138" t="e">
        <f>IF(VLOOKUP(CONCATENATE(H384,F384,ED$2),Matemáticas!$A:$H,7,FALSE)=AR384,1,0)</f>
        <v>#N/A</v>
      </c>
      <c r="EE384" s="138" t="e">
        <f>IF(VLOOKUP(CONCATENATE(H384,F384,EE$2),Matemáticas!$A:$H,7,FALSE)=AS384,1,0)</f>
        <v>#N/A</v>
      </c>
      <c r="EF384" s="138" t="e">
        <f>IF(VLOOKUP(CONCATENATE(H384,F384,EF$2),Matemáticas!$A:$H,7,FALSE)=AT384,1,0)</f>
        <v>#N/A</v>
      </c>
      <c r="EG384" s="138" t="e">
        <f>IF(VLOOKUP(CONCATENATE(H384,F384,EG$2),Matemáticas!$A:$H,7,FALSE)=AU384,1,0)</f>
        <v>#N/A</v>
      </c>
      <c r="EH384" s="138" t="e">
        <f>IF(VLOOKUP(CONCATENATE(H384,F384,EH$2),Matemáticas!$A:$H,7,FALSE)=AV384,1,0)</f>
        <v>#N/A</v>
      </c>
      <c r="EI384" s="138" t="e">
        <f>IF(VLOOKUP(CONCATENATE(H384,F384,EI$2),Matemáticas!$A:$H,7,FALSE)=AW384,1,0)</f>
        <v>#N/A</v>
      </c>
      <c r="EJ384" s="138" t="e">
        <f>IF(VLOOKUP(CONCATENATE(H384,F384,EJ$2),Matemáticas!$A:$H,7,FALSE)=AX384,1,0)</f>
        <v>#N/A</v>
      </c>
      <c r="EK384" s="138" t="e">
        <f>IF(VLOOKUP(CONCATENATE(H384,F384,EK$2),Matemáticas!$A:$H,7,FALSE)=AY384,1,0)</f>
        <v>#N/A</v>
      </c>
      <c r="EL384" s="138" t="e">
        <f>IF(VLOOKUP(CONCATENATE(H384,F384,EL$2),Matemáticas!$A:$H,7,FALSE)=AZ384,1,0)</f>
        <v>#N/A</v>
      </c>
      <c r="EM384" s="138" t="e">
        <f>IF(VLOOKUP(CONCATENATE(H384,F384,EM$2),Matemáticas!$A:$H,7,FALSE)=BA384,1,0)</f>
        <v>#N/A</v>
      </c>
      <c r="EN384" s="138" t="e">
        <f>IF(VLOOKUP(CONCATENATE(H384,F384,EN$2),Matemáticas!$A:$H,7,FALSE)=BB384,1,0)</f>
        <v>#N/A</v>
      </c>
      <c r="EO384" s="138" t="e">
        <f>IF(VLOOKUP(CONCATENATE(H384,F384,EO$2),Matemáticas!$A:$H,7,FALSE)=BC384,1,0)</f>
        <v>#N/A</v>
      </c>
      <c r="EP384" s="138" t="e">
        <f>IF(VLOOKUP(CONCATENATE(H384,F384,EP$2),Matemáticas!$A:$H,7,FALSE)=BD384,1,0)</f>
        <v>#N/A</v>
      </c>
      <c r="EQ384" s="138" t="e">
        <f>IF(VLOOKUP(CONCATENATE(H384,F384,EQ$2),Matemáticas!$A:$H,7,FALSE)=BE384,1,0)</f>
        <v>#N/A</v>
      </c>
      <c r="ER384" s="138" t="e">
        <f>IF(VLOOKUP(CONCATENATE(H384,F384,ER$2),Matemáticas!$A:$H,7,FALSE)=BF384,1,0)</f>
        <v>#N/A</v>
      </c>
      <c r="ES384" s="138" t="e">
        <f>IF(VLOOKUP(CONCATENATE(H384,F384,ES$2),Matemáticas!$A:$H,7,FALSE)=BG384,1,0)</f>
        <v>#N/A</v>
      </c>
      <c r="ET384" s="138" t="e">
        <f>IF(VLOOKUP(CONCATENATE(H384,F384,ET$2),Matemáticas!$A:$H,7,FALSE)=BH384,1,0)</f>
        <v>#N/A</v>
      </c>
      <c r="EU384" s="138" t="e">
        <f>IF(VLOOKUP(CONCATENATE(H384,F384,EU$2),Matemáticas!$A:$H,7,FALSE)=BI384,1,0)</f>
        <v>#N/A</v>
      </c>
      <c r="EV384" s="138" t="e">
        <f>IF(VLOOKUP(CONCATENATE(H384,F384,EV$2),Ciencias!$A:$H,7,FALSE)=BJ384,1,0)</f>
        <v>#N/A</v>
      </c>
      <c r="EW384" s="138" t="e">
        <f>IF(VLOOKUP(CONCATENATE(H384,F384,EW$2),Ciencias!$A:$H,7,FALSE)=BK384,1,0)</f>
        <v>#N/A</v>
      </c>
      <c r="EX384" s="138" t="e">
        <f>IF(VLOOKUP(CONCATENATE(H384,F384,EX$2),Ciencias!$A:$H,7,FALSE)=BL384,1,0)</f>
        <v>#N/A</v>
      </c>
      <c r="EY384" s="138" t="e">
        <f>IF(VLOOKUP(CONCATENATE(H384,F384,EY$2),Ciencias!$A:$H,7,FALSE)=BM384,1,0)</f>
        <v>#N/A</v>
      </c>
      <c r="EZ384" s="138" t="e">
        <f>IF(VLOOKUP(CONCATENATE(H384,F384,EZ$2),Ciencias!$A:$H,7,FALSE)=BN384,1,0)</f>
        <v>#N/A</v>
      </c>
      <c r="FA384" s="138" t="e">
        <f>IF(VLOOKUP(CONCATENATE(H384,F384,FA$2),Ciencias!$A:$H,7,FALSE)=BO384,1,0)</f>
        <v>#N/A</v>
      </c>
      <c r="FB384" s="138" t="e">
        <f>IF(VLOOKUP(CONCATENATE(H384,F384,FB$2),Ciencias!$A:$H,7,FALSE)=BP384,1,0)</f>
        <v>#N/A</v>
      </c>
      <c r="FC384" s="138" t="e">
        <f>IF(VLOOKUP(CONCATENATE(H384,F384,FC$2),Ciencias!$A:$H,7,FALSE)=BQ384,1,0)</f>
        <v>#N/A</v>
      </c>
      <c r="FD384" s="138" t="e">
        <f>IF(VLOOKUP(CONCATENATE(H384,F384,FD$2),Ciencias!$A:$H,7,FALSE)=BR384,1,0)</f>
        <v>#N/A</v>
      </c>
      <c r="FE384" s="138" t="e">
        <f>IF(VLOOKUP(CONCATENATE(H384,F384,FE$2),Ciencias!$A:$H,7,FALSE)=BS384,1,0)</f>
        <v>#N/A</v>
      </c>
      <c r="FF384" s="138" t="e">
        <f>IF(VLOOKUP(CONCATENATE(H384,F384,FF$2),Ciencias!$A:$H,7,FALSE)=BT384,1,0)</f>
        <v>#N/A</v>
      </c>
      <c r="FG384" s="138" t="e">
        <f>IF(VLOOKUP(CONCATENATE(H384,F384,FG$2),Ciencias!$A:$H,7,FALSE)=BU384,1,0)</f>
        <v>#N/A</v>
      </c>
      <c r="FH384" s="138" t="e">
        <f>IF(VLOOKUP(CONCATENATE(H384,F384,FH$2),Ciencias!$A:$H,7,FALSE)=BV384,1,0)</f>
        <v>#N/A</v>
      </c>
      <c r="FI384" s="138" t="e">
        <f>IF(VLOOKUP(CONCATENATE(H384,F384,FI$2),Ciencias!$A:$H,7,FALSE)=BW384,1,0)</f>
        <v>#N/A</v>
      </c>
      <c r="FJ384" s="138" t="e">
        <f>IF(VLOOKUP(CONCATENATE(H384,F384,FJ$2),Ciencias!$A:$H,7,FALSE)=BX384,1,0)</f>
        <v>#N/A</v>
      </c>
      <c r="FK384" s="138" t="e">
        <f>IF(VLOOKUP(CONCATENATE(H384,F384,FK$2),Ciencias!$A:$H,7,FALSE)=BY384,1,0)</f>
        <v>#N/A</v>
      </c>
      <c r="FL384" s="138" t="e">
        <f>IF(VLOOKUP(CONCATENATE(H384,F384,FL$2),Ciencias!$A:$H,7,FALSE)=BZ384,1,0)</f>
        <v>#N/A</v>
      </c>
      <c r="FM384" s="138" t="e">
        <f>IF(VLOOKUP(CONCATENATE(H384,F384,FM$2),Ciencias!$A:$H,7,FALSE)=CA384,1,0)</f>
        <v>#N/A</v>
      </c>
      <c r="FN384" s="138" t="e">
        <f>IF(VLOOKUP(CONCATENATE(H384,F384,FN$2),Ciencias!$A:$H,7,FALSE)=CB384,1,0)</f>
        <v>#N/A</v>
      </c>
      <c r="FO384" s="138" t="e">
        <f>IF(VLOOKUP(CONCATENATE(H384,F384,FO$2),Ciencias!$A:$H,7,FALSE)=CC384,1,0)</f>
        <v>#N/A</v>
      </c>
      <c r="FP384" s="138" t="e">
        <f>IF(VLOOKUP(CONCATENATE(H384,F384,FP$2),GeoHis!$A:$H,7,FALSE)=CD384,1,0)</f>
        <v>#N/A</v>
      </c>
      <c r="FQ384" s="138" t="e">
        <f>IF(VLOOKUP(CONCATENATE(H384,F384,FQ$2),GeoHis!$A:$H,7,FALSE)=CE384,1,0)</f>
        <v>#N/A</v>
      </c>
      <c r="FR384" s="138" t="e">
        <f>IF(VLOOKUP(CONCATENATE(H384,F384,FR$2),GeoHis!$A:$H,7,FALSE)=CF384,1,0)</f>
        <v>#N/A</v>
      </c>
      <c r="FS384" s="138" t="e">
        <f>IF(VLOOKUP(CONCATENATE(H384,F384,FS$2),GeoHis!$A:$H,7,FALSE)=CG384,1,0)</f>
        <v>#N/A</v>
      </c>
      <c r="FT384" s="138" t="e">
        <f>IF(VLOOKUP(CONCATENATE(H384,F384,FT$2),GeoHis!$A:$H,7,FALSE)=CH384,1,0)</f>
        <v>#N/A</v>
      </c>
      <c r="FU384" s="138" t="e">
        <f>IF(VLOOKUP(CONCATENATE(H384,F384,FU$2),GeoHis!$A:$H,7,FALSE)=CI384,1,0)</f>
        <v>#N/A</v>
      </c>
      <c r="FV384" s="138" t="e">
        <f>IF(VLOOKUP(CONCATENATE(H384,F384,FV$2),GeoHis!$A:$H,7,FALSE)=CJ384,1,0)</f>
        <v>#N/A</v>
      </c>
      <c r="FW384" s="138" t="e">
        <f>IF(VLOOKUP(CONCATENATE(H384,F384,FW$2),GeoHis!$A:$H,7,FALSE)=CK384,1,0)</f>
        <v>#N/A</v>
      </c>
      <c r="FX384" s="138" t="e">
        <f>IF(VLOOKUP(CONCATENATE(H384,F384,FX$2),GeoHis!$A:$H,7,FALSE)=CL384,1,0)</f>
        <v>#N/A</v>
      </c>
      <c r="FY384" s="138" t="e">
        <f>IF(VLOOKUP(CONCATENATE(H384,F384,FY$2),GeoHis!$A:$H,7,FALSE)=CM384,1,0)</f>
        <v>#N/A</v>
      </c>
      <c r="FZ384" s="138" t="e">
        <f>IF(VLOOKUP(CONCATENATE(H384,F384,FZ$2),GeoHis!$A:$H,7,FALSE)=CN384,1,0)</f>
        <v>#N/A</v>
      </c>
      <c r="GA384" s="138" t="e">
        <f>IF(VLOOKUP(CONCATENATE(H384,F384,GA$2),GeoHis!$A:$H,7,FALSE)=CO384,1,0)</f>
        <v>#N/A</v>
      </c>
      <c r="GB384" s="138" t="e">
        <f>IF(VLOOKUP(CONCATENATE(H384,F384,GB$2),GeoHis!$A:$H,7,FALSE)=CP384,1,0)</f>
        <v>#N/A</v>
      </c>
      <c r="GC384" s="138" t="e">
        <f>IF(VLOOKUP(CONCATENATE(H384,F384,GC$2),GeoHis!$A:$H,7,FALSE)=CQ384,1,0)</f>
        <v>#N/A</v>
      </c>
      <c r="GD384" s="138" t="e">
        <f>IF(VLOOKUP(CONCATENATE(H384,F384,GD$2),GeoHis!$A:$H,7,FALSE)=CR384,1,0)</f>
        <v>#N/A</v>
      </c>
      <c r="GE384" s="135" t="str">
        <f t="shared" si="47"/>
        <v/>
      </c>
    </row>
    <row r="385" spans="1:187" x14ac:dyDescent="0.25">
      <c r="A385" s="127" t="str">
        <f>IF(C385="","",'Datos Generales'!$A$25)</f>
        <v/>
      </c>
      <c r="D385" s="126" t="str">
        <f t="shared" si="40"/>
        <v/>
      </c>
      <c r="E385" s="126">
        <f t="shared" si="41"/>
        <v>0</v>
      </c>
      <c r="F385" s="126" t="str">
        <f t="shared" si="42"/>
        <v/>
      </c>
      <c r="G385" s="126" t="str">
        <f>IF(C385="","",'Datos Generales'!$D$19)</f>
        <v/>
      </c>
      <c r="H385" s="21" t="str">
        <f>IF(C385="","",'Datos Generales'!$A$19)</f>
        <v/>
      </c>
      <c r="I385" s="126" t="str">
        <f>IF(C385="","",'Datos Generales'!$A$7)</f>
        <v/>
      </c>
      <c r="J385" s="21" t="str">
        <f>IF(C385="","",'Datos Generales'!$A$13)</f>
        <v/>
      </c>
      <c r="K385" s="21" t="str">
        <f>IF(C385="","",'Datos Generales'!$A$10)</f>
        <v/>
      </c>
      <c r="CS385" s="142" t="str">
        <f t="shared" si="43"/>
        <v/>
      </c>
      <c r="CT385" s="142" t="str">
        <f t="shared" si="44"/>
        <v/>
      </c>
      <c r="CU385" s="142" t="str">
        <f t="shared" si="45"/>
        <v/>
      </c>
      <c r="CV385" s="142" t="str">
        <f t="shared" si="46"/>
        <v/>
      </c>
      <c r="CW385" s="142" t="str">
        <f>IF(C385="","",IF('Datos Generales'!$A$19=1,AVERAGE(FP385:GD385),AVERAGE(Captura!FP385:FY385)))</f>
        <v/>
      </c>
      <c r="CX385" s="138" t="e">
        <f>IF(VLOOKUP(CONCATENATE($H$4,$F$4,CX$2),Español!$A:$H,7,FALSE)=L385,1,0)</f>
        <v>#N/A</v>
      </c>
      <c r="CY385" s="138" t="e">
        <f>IF(VLOOKUP(CONCATENATE(H385,F385,CY$2),Español!$A:$H,7,FALSE)=M385,1,0)</f>
        <v>#N/A</v>
      </c>
      <c r="CZ385" s="138" t="e">
        <f>IF(VLOOKUP(CONCATENATE(H385,F385,CZ$2),Español!$A:$H,7,FALSE)=N385,1,0)</f>
        <v>#N/A</v>
      </c>
      <c r="DA385" s="138" t="e">
        <f>IF(VLOOKUP(CONCATENATE(H385,F385,DA$2),Español!$A:$H,7,FALSE)=O385,1,0)</f>
        <v>#N/A</v>
      </c>
      <c r="DB385" s="138" t="e">
        <f>IF(VLOOKUP(CONCATENATE(H385,F385,DB$2),Español!$A:$H,7,FALSE)=P385,1,0)</f>
        <v>#N/A</v>
      </c>
      <c r="DC385" s="138" t="e">
        <f>IF(VLOOKUP(CONCATENATE(H385,F385,DC$2),Español!$A:$H,7,FALSE)=Q385,1,0)</f>
        <v>#N/A</v>
      </c>
      <c r="DD385" s="138" t="e">
        <f>IF(VLOOKUP(CONCATENATE(H385,F385,DD$2),Español!$A:$H,7,FALSE)=R385,1,0)</f>
        <v>#N/A</v>
      </c>
      <c r="DE385" s="138" t="e">
        <f>IF(VLOOKUP(CONCATENATE(H385,F385,DE$2),Español!$A:$H,7,FALSE)=S385,1,0)</f>
        <v>#N/A</v>
      </c>
      <c r="DF385" s="138" t="e">
        <f>IF(VLOOKUP(CONCATENATE(H385,F385,DF$2),Español!$A:$H,7,FALSE)=T385,1,0)</f>
        <v>#N/A</v>
      </c>
      <c r="DG385" s="138" t="e">
        <f>IF(VLOOKUP(CONCATENATE(H385,F385,DG$2),Español!$A:$H,7,FALSE)=U385,1,0)</f>
        <v>#N/A</v>
      </c>
      <c r="DH385" s="138" t="e">
        <f>IF(VLOOKUP(CONCATENATE(H385,F385,DH$2),Español!$A:$H,7,FALSE)=V385,1,0)</f>
        <v>#N/A</v>
      </c>
      <c r="DI385" s="138" t="e">
        <f>IF(VLOOKUP(CONCATENATE(H385,F385,DI$2),Español!$A:$H,7,FALSE)=W385,1,0)</f>
        <v>#N/A</v>
      </c>
      <c r="DJ385" s="138" t="e">
        <f>IF(VLOOKUP(CONCATENATE(H385,F385,DJ$2),Español!$A:$H,7,FALSE)=X385,1,0)</f>
        <v>#N/A</v>
      </c>
      <c r="DK385" s="138" t="e">
        <f>IF(VLOOKUP(CONCATENATE(H385,F385,DK$2),Español!$A:$H,7,FALSE)=Y385,1,0)</f>
        <v>#N/A</v>
      </c>
      <c r="DL385" s="138" t="e">
        <f>IF(VLOOKUP(CONCATENATE(H385,F385,DL$2),Español!$A:$H,7,FALSE)=Z385,1,0)</f>
        <v>#N/A</v>
      </c>
      <c r="DM385" s="138" t="e">
        <f>IF(VLOOKUP(CONCATENATE(H385,F385,DM$2),Español!$A:$H,7,FALSE)=AA385,1,0)</f>
        <v>#N/A</v>
      </c>
      <c r="DN385" s="138" t="e">
        <f>IF(VLOOKUP(CONCATENATE(H385,F385,DN$2),Español!$A:$H,7,FALSE)=AB385,1,0)</f>
        <v>#N/A</v>
      </c>
      <c r="DO385" s="138" t="e">
        <f>IF(VLOOKUP(CONCATENATE(H385,F385,DO$2),Español!$A:$H,7,FALSE)=AC385,1,0)</f>
        <v>#N/A</v>
      </c>
      <c r="DP385" s="138" t="e">
        <f>IF(VLOOKUP(CONCATENATE(H385,F385,DP$2),Español!$A:$H,7,FALSE)=AD385,1,0)</f>
        <v>#N/A</v>
      </c>
      <c r="DQ385" s="138" t="e">
        <f>IF(VLOOKUP(CONCATENATE(H385,F385,DQ$2),Español!$A:$H,7,FALSE)=AE385,1,0)</f>
        <v>#N/A</v>
      </c>
      <c r="DR385" s="138" t="e">
        <f>IF(VLOOKUP(CONCATENATE(H385,F385,DR$2),Inglés!$A:$H,7,FALSE)=AF385,1,0)</f>
        <v>#N/A</v>
      </c>
      <c r="DS385" s="138" t="e">
        <f>IF(VLOOKUP(CONCATENATE(H385,F385,DS$2),Inglés!$A:$H,7,FALSE)=AG385,1,0)</f>
        <v>#N/A</v>
      </c>
      <c r="DT385" s="138" t="e">
        <f>IF(VLOOKUP(CONCATENATE(H385,F385,DT$2),Inglés!$A:$H,7,FALSE)=AH385,1,0)</f>
        <v>#N/A</v>
      </c>
      <c r="DU385" s="138" t="e">
        <f>IF(VLOOKUP(CONCATENATE(H385,F385,DU$2),Inglés!$A:$H,7,FALSE)=AI385,1,0)</f>
        <v>#N/A</v>
      </c>
      <c r="DV385" s="138" t="e">
        <f>IF(VLOOKUP(CONCATENATE(H385,F385,DV$2),Inglés!$A:$H,7,FALSE)=AJ385,1,0)</f>
        <v>#N/A</v>
      </c>
      <c r="DW385" s="138" t="e">
        <f>IF(VLOOKUP(CONCATENATE(H385,F385,DW$2),Inglés!$A:$H,7,FALSE)=AK385,1,0)</f>
        <v>#N/A</v>
      </c>
      <c r="DX385" s="138" t="e">
        <f>IF(VLOOKUP(CONCATENATE(H385,F385,DX$2),Inglés!$A:$H,7,FALSE)=AL385,1,0)</f>
        <v>#N/A</v>
      </c>
      <c r="DY385" s="138" t="e">
        <f>IF(VLOOKUP(CONCATENATE(H385,F385,DY$2),Inglés!$A:$H,7,FALSE)=AM385,1,0)</f>
        <v>#N/A</v>
      </c>
      <c r="DZ385" s="138" t="e">
        <f>IF(VLOOKUP(CONCATENATE(H385,F385,DZ$2),Inglés!$A:$H,7,FALSE)=AN385,1,0)</f>
        <v>#N/A</v>
      </c>
      <c r="EA385" s="138" t="e">
        <f>IF(VLOOKUP(CONCATENATE(H385,F385,EA$2),Inglés!$A:$H,7,FALSE)=AO385,1,0)</f>
        <v>#N/A</v>
      </c>
      <c r="EB385" s="138" t="e">
        <f>IF(VLOOKUP(CONCATENATE(H385,F385,EB$2),Matemáticas!$A:$H,7,FALSE)=AP385,1,0)</f>
        <v>#N/A</v>
      </c>
      <c r="EC385" s="138" t="e">
        <f>IF(VLOOKUP(CONCATENATE(H385,F385,EC$2),Matemáticas!$A:$H,7,FALSE)=AQ385,1,0)</f>
        <v>#N/A</v>
      </c>
      <c r="ED385" s="138" t="e">
        <f>IF(VLOOKUP(CONCATENATE(H385,F385,ED$2),Matemáticas!$A:$H,7,FALSE)=AR385,1,0)</f>
        <v>#N/A</v>
      </c>
      <c r="EE385" s="138" t="e">
        <f>IF(VLOOKUP(CONCATENATE(H385,F385,EE$2),Matemáticas!$A:$H,7,FALSE)=AS385,1,0)</f>
        <v>#N/A</v>
      </c>
      <c r="EF385" s="138" t="e">
        <f>IF(VLOOKUP(CONCATENATE(H385,F385,EF$2),Matemáticas!$A:$H,7,FALSE)=AT385,1,0)</f>
        <v>#N/A</v>
      </c>
      <c r="EG385" s="138" t="e">
        <f>IF(VLOOKUP(CONCATENATE(H385,F385,EG$2),Matemáticas!$A:$H,7,FALSE)=AU385,1,0)</f>
        <v>#N/A</v>
      </c>
      <c r="EH385" s="138" t="e">
        <f>IF(VLOOKUP(CONCATENATE(H385,F385,EH$2),Matemáticas!$A:$H,7,FALSE)=AV385,1,0)</f>
        <v>#N/A</v>
      </c>
      <c r="EI385" s="138" t="e">
        <f>IF(VLOOKUP(CONCATENATE(H385,F385,EI$2),Matemáticas!$A:$H,7,FALSE)=AW385,1,0)</f>
        <v>#N/A</v>
      </c>
      <c r="EJ385" s="138" t="e">
        <f>IF(VLOOKUP(CONCATENATE(H385,F385,EJ$2),Matemáticas!$A:$H,7,FALSE)=AX385,1,0)</f>
        <v>#N/A</v>
      </c>
      <c r="EK385" s="138" t="e">
        <f>IF(VLOOKUP(CONCATENATE(H385,F385,EK$2),Matemáticas!$A:$H,7,FALSE)=AY385,1,0)</f>
        <v>#N/A</v>
      </c>
      <c r="EL385" s="138" t="e">
        <f>IF(VLOOKUP(CONCATENATE(H385,F385,EL$2),Matemáticas!$A:$H,7,FALSE)=AZ385,1,0)</f>
        <v>#N/A</v>
      </c>
      <c r="EM385" s="138" t="e">
        <f>IF(VLOOKUP(CONCATENATE(H385,F385,EM$2),Matemáticas!$A:$H,7,FALSE)=BA385,1,0)</f>
        <v>#N/A</v>
      </c>
      <c r="EN385" s="138" t="e">
        <f>IF(VLOOKUP(CONCATENATE(H385,F385,EN$2),Matemáticas!$A:$H,7,FALSE)=BB385,1,0)</f>
        <v>#N/A</v>
      </c>
      <c r="EO385" s="138" t="e">
        <f>IF(VLOOKUP(CONCATENATE(H385,F385,EO$2),Matemáticas!$A:$H,7,FALSE)=BC385,1,0)</f>
        <v>#N/A</v>
      </c>
      <c r="EP385" s="138" t="e">
        <f>IF(VLOOKUP(CONCATENATE(H385,F385,EP$2),Matemáticas!$A:$H,7,FALSE)=BD385,1,0)</f>
        <v>#N/A</v>
      </c>
      <c r="EQ385" s="138" t="e">
        <f>IF(VLOOKUP(CONCATENATE(H385,F385,EQ$2),Matemáticas!$A:$H,7,FALSE)=BE385,1,0)</f>
        <v>#N/A</v>
      </c>
      <c r="ER385" s="138" t="e">
        <f>IF(VLOOKUP(CONCATENATE(H385,F385,ER$2),Matemáticas!$A:$H,7,FALSE)=BF385,1,0)</f>
        <v>#N/A</v>
      </c>
      <c r="ES385" s="138" t="e">
        <f>IF(VLOOKUP(CONCATENATE(H385,F385,ES$2),Matemáticas!$A:$H,7,FALSE)=BG385,1,0)</f>
        <v>#N/A</v>
      </c>
      <c r="ET385" s="138" t="e">
        <f>IF(VLOOKUP(CONCATENATE(H385,F385,ET$2),Matemáticas!$A:$H,7,FALSE)=BH385,1,0)</f>
        <v>#N/A</v>
      </c>
      <c r="EU385" s="138" t="e">
        <f>IF(VLOOKUP(CONCATENATE(H385,F385,EU$2),Matemáticas!$A:$H,7,FALSE)=BI385,1,0)</f>
        <v>#N/A</v>
      </c>
      <c r="EV385" s="138" t="e">
        <f>IF(VLOOKUP(CONCATENATE(H385,F385,EV$2),Ciencias!$A:$H,7,FALSE)=BJ385,1,0)</f>
        <v>#N/A</v>
      </c>
      <c r="EW385" s="138" t="e">
        <f>IF(VLOOKUP(CONCATENATE(H385,F385,EW$2),Ciencias!$A:$H,7,FALSE)=BK385,1,0)</f>
        <v>#N/A</v>
      </c>
      <c r="EX385" s="138" t="e">
        <f>IF(VLOOKUP(CONCATENATE(H385,F385,EX$2),Ciencias!$A:$H,7,FALSE)=BL385,1,0)</f>
        <v>#N/A</v>
      </c>
      <c r="EY385" s="138" t="e">
        <f>IF(VLOOKUP(CONCATENATE(H385,F385,EY$2),Ciencias!$A:$H,7,FALSE)=BM385,1,0)</f>
        <v>#N/A</v>
      </c>
      <c r="EZ385" s="138" t="e">
        <f>IF(VLOOKUP(CONCATENATE(H385,F385,EZ$2),Ciencias!$A:$H,7,FALSE)=BN385,1,0)</f>
        <v>#N/A</v>
      </c>
      <c r="FA385" s="138" t="e">
        <f>IF(VLOOKUP(CONCATENATE(H385,F385,FA$2),Ciencias!$A:$H,7,FALSE)=BO385,1,0)</f>
        <v>#N/A</v>
      </c>
      <c r="FB385" s="138" t="e">
        <f>IF(VLOOKUP(CONCATENATE(H385,F385,FB$2),Ciencias!$A:$H,7,FALSE)=BP385,1,0)</f>
        <v>#N/A</v>
      </c>
      <c r="FC385" s="138" t="e">
        <f>IF(VLOOKUP(CONCATENATE(H385,F385,FC$2),Ciencias!$A:$H,7,FALSE)=BQ385,1,0)</f>
        <v>#N/A</v>
      </c>
      <c r="FD385" s="138" t="e">
        <f>IF(VLOOKUP(CONCATENATE(H385,F385,FD$2),Ciencias!$A:$H,7,FALSE)=BR385,1,0)</f>
        <v>#N/A</v>
      </c>
      <c r="FE385" s="138" t="e">
        <f>IF(VLOOKUP(CONCATENATE(H385,F385,FE$2),Ciencias!$A:$H,7,FALSE)=BS385,1,0)</f>
        <v>#N/A</v>
      </c>
      <c r="FF385" s="138" t="e">
        <f>IF(VLOOKUP(CONCATENATE(H385,F385,FF$2),Ciencias!$A:$H,7,FALSE)=BT385,1,0)</f>
        <v>#N/A</v>
      </c>
      <c r="FG385" s="138" t="e">
        <f>IF(VLOOKUP(CONCATENATE(H385,F385,FG$2),Ciencias!$A:$H,7,FALSE)=BU385,1,0)</f>
        <v>#N/A</v>
      </c>
      <c r="FH385" s="138" t="e">
        <f>IF(VLOOKUP(CONCATENATE(H385,F385,FH$2),Ciencias!$A:$H,7,FALSE)=BV385,1,0)</f>
        <v>#N/A</v>
      </c>
      <c r="FI385" s="138" t="e">
        <f>IF(VLOOKUP(CONCATENATE(H385,F385,FI$2),Ciencias!$A:$H,7,FALSE)=BW385,1,0)</f>
        <v>#N/A</v>
      </c>
      <c r="FJ385" s="138" t="e">
        <f>IF(VLOOKUP(CONCATENATE(H385,F385,FJ$2),Ciencias!$A:$H,7,FALSE)=BX385,1,0)</f>
        <v>#N/A</v>
      </c>
      <c r="FK385" s="138" t="e">
        <f>IF(VLOOKUP(CONCATENATE(H385,F385,FK$2),Ciencias!$A:$H,7,FALSE)=BY385,1,0)</f>
        <v>#N/A</v>
      </c>
      <c r="FL385" s="138" t="e">
        <f>IF(VLOOKUP(CONCATENATE(H385,F385,FL$2),Ciencias!$A:$H,7,FALSE)=BZ385,1,0)</f>
        <v>#N/A</v>
      </c>
      <c r="FM385" s="138" t="e">
        <f>IF(VLOOKUP(CONCATENATE(H385,F385,FM$2),Ciencias!$A:$H,7,FALSE)=CA385,1,0)</f>
        <v>#N/A</v>
      </c>
      <c r="FN385" s="138" t="e">
        <f>IF(VLOOKUP(CONCATENATE(H385,F385,FN$2),Ciencias!$A:$H,7,FALSE)=CB385,1,0)</f>
        <v>#N/A</v>
      </c>
      <c r="FO385" s="138" t="e">
        <f>IF(VLOOKUP(CONCATENATE(H385,F385,FO$2),Ciencias!$A:$H,7,FALSE)=CC385,1,0)</f>
        <v>#N/A</v>
      </c>
      <c r="FP385" s="138" t="e">
        <f>IF(VLOOKUP(CONCATENATE(H385,F385,FP$2),GeoHis!$A:$H,7,FALSE)=CD385,1,0)</f>
        <v>#N/A</v>
      </c>
      <c r="FQ385" s="138" t="e">
        <f>IF(VLOOKUP(CONCATENATE(H385,F385,FQ$2),GeoHis!$A:$H,7,FALSE)=CE385,1,0)</f>
        <v>#N/A</v>
      </c>
      <c r="FR385" s="138" t="e">
        <f>IF(VLOOKUP(CONCATENATE(H385,F385,FR$2),GeoHis!$A:$H,7,FALSE)=CF385,1,0)</f>
        <v>#N/A</v>
      </c>
      <c r="FS385" s="138" t="e">
        <f>IF(VLOOKUP(CONCATENATE(H385,F385,FS$2),GeoHis!$A:$H,7,FALSE)=CG385,1,0)</f>
        <v>#N/A</v>
      </c>
      <c r="FT385" s="138" t="e">
        <f>IF(VLOOKUP(CONCATENATE(H385,F385,FT$2),GeoHis!$A:$H,7,FALSE)=CH385,1,0)</f>
        <v>#N/A</v>
      </c>
      <c r="FU385" s="138" t="e">
        <f>IF(VLOOKUP(CONCATENATE(H385,F385,FU$2),GeoHis!$A:$H,7,FALSE)=CI385,1,0)</f>
        <v>#N/A</v>
      </c>
      <c r="FV385" s="138" t="e">
        <f>IF(VLOOKUP(CONCATENATE(H385,F385,FV$2),GeoHis!$A:$H,7,FALSE)=CJ385,1,0)</f>
        <v>#N/A</v>
      </c>
      <c r="FW385" s="138" t="e">
        <f>IF(VLOOKUP(CONCATENATE(H385,F385,FW$2),GeoHis!$A:$H,7,FALSE)=CK385,1,0)</f>
        <v>#N/A</v>
      </c>
      <c r="FX385" s="138" t="e">
        <f>IF(VLOOKUP(CONCATENATE(H385,F385,FX$2),GeoHis!$A:$H,7,FALSE)=CL385,1,0)</f>
        <v>#N/A</v>
      </c>
      <c r="FY385" s="138" t="e">
        <f>IF(VLOOKUP(CONCATENATE(H385,F385,FY$2),GeoHis!$A:$H,7,FALSE)=CM385,1,0)</f>
        <v>#N/A</v>
      </c>
      <c r="FZ385" s="138" t="e">
        <f>IF(VLOOKUP(CONCATENATE(H385,F385,FZ$2),GeoHis!$A:$H,7,FALSE)=CN385,1,0)</f>
        <v>#N/A</v>
      </c>
      <c r="GA385" s="138" t="e">
        <f>IF(VLOOKUP(CONCATENATE(H385,F385,GA$2),GeoHis!$A:$H,7,FALSE)=CO385,1,0)</f>
        <v>#N/A</v>
      </c>
      <c r="GB385" s="138" t="e">
        <f>IF(VLOOKUP(CONCATENATE(H385,F385,GB$2),GeoHis!$A:$H,7,FALSE)=CP385,1,0)</f>
        <v>#N/A</v>
      </c>
      <c r="GC385" s="138" t="e">
        <f>IF(VLOOKUP(CONCATENATE(H385,F385,GC$2),GeoHis!$A:$H,7,FALSE)=CQ385,1,0)</f>
        <v>#N/A</v>
      </c>
      <c r="GD385" s="138" t="e">
        <f>IF(VLOOKUP(CONCATENATE(H385,F385,GD$2),GeoHis!$A:$H,7,FALSE)=CR385,1,0)</f>
        <v>#N/A</v>
      </c>
      <c r="GE385" s="135" t="str">
        <f t="shared" si="47"/>
        <v/>
      </c>
    </row>
    <row r="386" spans="1:187" x14ac:dyDescent="0.25">
      <c r="A386" s="127" t="str">
        <f>IF(C386="","",'Datos Generales'!$A$25)</f>
        <v/>
      </c>
      <c r="D386" s="126" t="str">
        <f t="shared" si="40"/>
        <v/>
      </c>
      <c r="E386" s="126">
        <f t="shared" si="41"/>
        <v>0</v>
      </c>
      <c r="F386" s="126" t="str">
        <f t="shared" si="42"/>
        <v/>
      </c>
      <c r="G386" s="126" t="str">
        <f>IF(C386="","",'Datos Generales'!$D$19)</f>
        <v/>
      </c>
      <c r="H386" s="21" t="str">
        <f>IF(C386="","",'Datos Generales'!$A$19)</f>
        <v/>
      </c>
      <c r="I386" s="126" t="str">
        <f>IF(C386="","",'Datos Generales'!$A$7)</f>
        <v/>
      </c>
      <c r="J386" s="21" t="str">
        <f>IF(C386="","",'Datos Generales'!$A$13)</f>
        <v/>
      </c>
      <c r="K386" s="21" t="str">
        <f>IF(C386="","",'Datos Generales'!$A$10)</f>
        <v/>
      </c>
      <c r="CS386" s="142" t="str">
        <f t="shared" si="43"/>
        <v/>
      </c>
      <c r="CT386" s="142" t="str">
        <f t="shared" si="44"/>
        <v/>
      </c>
      <c r="CU386" s="142" t="str">
        <f t="shared" si="45"/>
        <v/>
      </c>
      <c r="CV386" s="142" t="str">
        <f t="shared" si="46"/>
        <v/>
      </c>
      <c r="CW386" s="142" t="str">
        <f>IF(C386="","",IF('Datos Generales'!$A$19=1,AVERAGE(FP386:GD386),AVERAGE(Captura!FP386:FY386)))</f>
        <v/>
      </c>
      <c r="CX386" s="138" t="e">
        <f>IF(VLOOKUP(CONCATENATE($H$4,$F$4,CX$2),Español!$A:$H,7,FALSE)=L386,1,0)</f>
        <v>#N/A</v>
      </c>
      <c r="CY386" s="138" t="e">
        <f>IF(VLOOKUP(CONCATENATE(H386,F386,CY$2),Español!$A:$H,7,FALSE)=M386,1,0)</f>
        <v>#N/A</v>
      </c>
      <c r="CZ386" s="138" t="e">
        <f>IF(VLOOKUP(CONCATENATE(H386,F386,CZ$2),Español!$A:$H,7,FALSE)=N386,1,0)</f>
        <v>#N/A</v>
      </c>
      <c r="DA386" s="138" t="e">
        <f>IF(VLOOKUP(CONCATENATE(H386,F386,DA$2),Español!$A:$H,7,FALSE)=O386,1,0)</f>
        <v>#N/A</v>
      </c>
      <c r="DB386" s="138" t="e">
        <f>IF(VLOOKUP(CONCATENATE(H386,F386,DB$2),Español!$A:$H,7,FALSE)=P386,1,0)</f>
        <v>#N/A</v>
      </c>
      <c r="DC386" s="138" t="e">
        <f>IF(VLOOKUP(CONCATENATE(H386,F386,DC$2),Español!$A:$H,7,FALSE)=Q386,1,0)</f>
        <v>#N/A</v>
      </c>
      <c r="DD386" s="138" t="e">
        <f>IF(VLOOKUP(CONCATENATE(H386,F386,DD$2),Español!$A:$H,7,FALSE)=R386,1,0)</f>
        <v>#N/A</v>
      </c>
      <c r="DE386" s="138" t="e">
        <f>IF(VLOOKUP(CONCATENATE(H386,F386,DE$2),Español!$A:$H,7,FALSE)=S386,1,0)</f>
        <v>#N/A</v>
      </c>
      <c r="DF386" s="138" t="e">
        <f>IF(VLOOKUP(CONCATENATE(H386,F386,DF$2),Español!$A:$H,7,FALSE)=T386,1,0)</f>
        <v>#N/A</v>
      </c>
      <c r="DG386" s="138" t="e">
        <f>IF(VLOOKUP(CONCATENATE(H386,F386,DG$2),Español!$A:$H,7,FALSE)=U386,1,0)</f>
        <v>#N/A</v>
      </c>
      <c r="DH386" s="138" t="e">
        <f>IF(VLOOKUP(CONCATENATE(H386,F386,DH$2),Español!$A:$H,7,FALSE)=V386,1,0)</f>
        <v>#N/A</v>
      </c>
      <c r="DI386" s="138" t="e">
        <f>IF(VLOOKUP(CONCATENATE(H386,F386,DI$2),Español!$A:$H,7,FALSE)=W386,1,0)</f>
        <v>#N/A</v>
      </c>
      <c r="DJ386" s="138" t="e">
        <f>IF(VLOOKUP(CONCATENATE(H386,F386,DJ$2),Español!$A:$H,7,FALSE)=X386,1,0)</f>
        <v>#N/A</v>
      </c>
      <c r="DK386" s="138" t="e">
        <f>IF(VLOOKUP(CONCATENATE(H386,F386,DK$2),Español!$A:$H,7,FALSE)=Y386,1,0)</f>
        <v>#N/A</v>
      </c>
      <c r="DL386" s="138" t="e">
        <f>IF(VLOOKUP(CONCATENATE(H386,F386,DL$2),Español!$A:$H,7,FALSE)=Z386,1,0)</f>
        <v>#N/A</v>
      </c>
      <c r="DM386" s="138" t="e">
        <f>IF(VLOOKUP(CONCATENATE(H386,F386,DM$2),Español!$A:$H,7,FALSE)=AA386,1,0)</f>
        <v>#N/A</v>
      </c>
      <c r="DN386" s="138" t="e">
        <f>IF(VLOOKUP(CONCATENATE(H386,F386,DN$2),Español!$A:$H,7,FALSE)=AB386,1,0)</f>
        <v>#N/A</v>
      </c>
      <c r="DO386" s="138" t="e">
        <f>IF(VLOOKUP(CONCATENATE(H386,F386,DO$2),Español!$A:$H,7,FALSE)=AC386,1,0)</f>
        <v>#N/A</v>
      </c>
      <c r="DP386" s="138" t="e">
        <f>IF(VLOOKUP(CONCATENATE(H386,F386,DP$2),Español!$A:$H,7,FALSE)=AD386,1,0)</f>
        <v>#N/A</v>
      </c>
      <c r="DQ386" s="138" t="e">
        <f>IF(VLOOKUP(CONCATENATE(H386,F386,DQ$2),Español!$A:$H,7,FALSE)=AE386,1,0)</f>
        <v>#N/A</v>
      </c>
      <c r="DR386" s="138" t="e">
        <f>IF(VLOOKUP(CONCATENATE(H386,F386,DR$2),Inglés!$A:$H,7,FALSE)=AF386,1,0)</f>
        <v>#N/A</v>
      </c>
      <c r="DS386" s="138" t="e">
        <f>IF(VLOOKUP(CONCATENATE(H386,F386,DS$2),Inglés!$A:$H,7,FALSE)=AG386,1,0)</f>
        <v>#N/A</v>
      </c>
      <c r="DT386" s="138" t="e">
        <f>IF(VLOOKUP(CONCATENATE(H386,F386,DT$2),Inglés!$A:$H,7,FALSE)=AH386,1,0)</f>
        <v>#N/A</v>
      </c>
      <c r="DU386" s="138" t="e">
        <f>IF(VLOOKUP(CONCATENATE(H386,F386,DU$2),Inglés!$A:$H,7,FALSE)=AI386,1,0)</f>
        <v>#N/A</v>
      </c>
      <c r="DV386" s="138" t="e">
        <f>IF(VLOOKUP(CONCATENATE(H386,F386,DV$2),Inglés!$A:$H,7,FALSE)=AJ386,1,0)</f>
        <v>#N/A</v>
      </c>
      <c r="DW386" s="138" t="e">
        <f>IF(VLOOKUP(CONCATENATE(H386,F386,DW$2),Inglés!$A:$H,7,FALSE)=AK386,1,0)</f>
        <v>#N/A</v>
      </c>
      <c r="DX386" s="138" t="e">
        <f>IF(VLOOKUP(CONCATENATE(H386,F386,DX$2),Inglés!$A:$H,7,FALSE)=AL386,1,0)</f>
        <v>#N/A</v>
      </c>
      <c r="DY386" s="138" t="e">
        <f>IF(VLOOKUP(CONCATENATE(H386,F386,DY$2),Inglés!$A:$H,7,FALSE)=AM386,1,0)</f>
        <v>#N/A</v>
      </c>
      <c r="DZ386" s="138" t="e">
        <f>IF(VLOOKUP(CONCATENATE(H386,F386,DZ$2),Inglés!$A:$H,7,FALSE)=AN386,1,0)</f>
        <v>#N/A</v>
      </c>
      <c r="EA386" s="138" t="e">
        <f>IF(VLOOKUP(CONCATENATE(H386,F386,EA$2),Inglés!$A:$H,7,FALSE)=AO386,1,0)</f>
        <v>#N/A</v>
      </c>
      <c r="EB386" s="138" t="e">
        <f>IF(VLOOKUP(CONCATENATE(H386,F386,EB$2),Matemáticas!$A:$H,7,FALSE)=AP386,1,0)</f>
        <v>#N/A</v>
      </c>
      <c r="EC386" s="138" t="e">
        <f>IF(VLOOKUP(CONCATENATE(H386,F386,EC$2),Matemáticas!$A:$H,7,FALSE)=AQ386,1,0)</f>
        <v>#N/A</v>
      </c>
      <c r="ED386" s="138" t="e">
        <f>IF(VLOOKUP(CONCATENATE(H386,F386,ED$2),Matemáticas!$A:$H,7,FALSE)=AR386,1,0)</f>
        <v>#N/A</v>
      </c>
      <c r="EE386" s="138" t="e">
        <f>IF(VLOOKUP(CONCATENATE(H386,F386,EE$2),Matemáticas!$A:$H,7,FALSE)=AS386,1,0)</f>
        <v>#N/A</v>
      </c>
      <c r="EF386" s="138" t="e">
        <f>IF(VLOOKUP(CONCATENATE(H386,F386,EF$2),Matemáticas!$A:$H,7,FALSE)=AT386,1,0)</f>
        <v>#N/A</v>
      </c>
      <c r="EG386" s="138" t="e">
        <f>IF(VLOOKUP(CONCATENATE(H386,F386,EG$2),Matemáticas!$A:$H,7,FALSE)=AU386,1,0)</f>
        <v>#N/A</v>
      </c>
      <c r="EH386" s="138" t="e">
        <f>IF(VLOOKUP(CONCATENATE(H386,F386,EH$2),Matemáticas!$A:$H,7,FALSE)=AV386,1,0)</f>
        <v>#N/A</v>
      </c>
      <c r="EI386" s="138" t="e">
        <f>IF(VLOOKUP(CONCATENATE(H386,F386,EI$2),Matemáticas!$A:$H,7,FALSE)=AW386,1,0)</f>
        <v>#N/A</v>
      </c>
      <c r="EJ386" s="138" t="e">
        <f>IF(VLOOKUP(CONCATENATE(H386,F386,EJ$2),Matemáticas!$A:$H,7,FALSE)=AX386,1,0)</f>
        <v>#N/A</v>
      </c>
      <c r="EK386" s="138" t="e">
        <f>IF(VLOOKUP(CONCATENATE(H386,F386,EK$2),Matemáticas!$A:$H,7,FALSE)=AY386,1,0)</f>
        <v>#N/A</v>
      </c>
      <c r="EL386" s="138" t="e">
        <f>IF(VLOOKUP(CONCATENATE(H386,F386,EL$2),Matemáticas!$A:$H,7,FALSE)=AZ386,1,0)</f>
        <v>#N/A</v>
      </c>
      <c r="EM386" s="138" t="e">
        <f>IF(VLOOKUP(CONCATENATE(H386,F386,EM$2),Matemáticas!$A:$H,7,FALSE)=BA386,1,0)</f>
        <v>#N/A</v>
      </c>
      <c r="EN386" s="138" t="e">
        <f>IF(VLOOKUP(CONCATENATE(H386,F386,EN$2),Matemáticas!$A:$H,7,FALSE)=BB386,1,0)</f>
        <v>#N/A</v>
      </c>
      <c r="EO386" s="138" t="e">
        <f>IF(VLOOKUP(CONCATENATE(H386,F386,EO$2),Matemáticas!$A:$H,7,FALSE)=BC386,1,0)</f>
        <v>#N/A</v>
      </c>
      <c r="EP386" s="138" t="e">
        <f>IF(VLOOKUP(CONCATENATE(H386,F386,EP$2),Matemáticas!$A:$H,7,FALSE)=BD386,1,0)</f>
        <v>#N/A</v>
      </c>
      <c r="EQ386" s="138" t="e">
        <f>IF(VLOOKUP(CONCATENATE(H386,F386,EQ$2),Matemáticas!$A:$H,7,FALSE)=BE386,1,0)</f>
        <v>#N/A</v>
      </c>
      <c r="ER386" s="138" t="e">
        <f>IF(VLOOKUP(CONCATENATE(H386,F386,ER$2),Matemáticas!$A:$H,7,FALSE)=BF386,1,0)</f>
        <v>#N/A</v>
      </c>
      <c r="ES386" s="138" t="e">
        <f>IF(VLOOKUP(CONCATENATE(H386,F386,ES$2),Matemáticas!$A:$H,7,FALSE)=BG386,1,0)</f>
        <v>#N/A</v>
      </c>
      <c r="ET386" s="138" t="e">
        <f>IF(VLOOKUP(CONCATENATE(H386,F386,ET$2),Matemáticas!$A:$H,7,FALSE)=BH386,1,0)</f>
        <v>#N/A</v>
      </c>
      <c r="EU386" s="138" t="e">
        <f>IF(VLOOKUP(CONCATENATE(H386,F386,EU$2),Matemáticas!$A:$H,7,FALSE)=BI386,1,0)</f>
        <v>#N/A</v>
      </c>
      <c r="EV386" s="138" t="e">
        <f>IF(VLOOKUP(CONCATENATE(H386,F386,EV$2),Ciencias!$A:$H,7,FALSE)=BJ386,1,0)</f>
        <v>#N/A</v>
      </c>
      <c r="EW386" s="138" t="e">
        <f>IF(VLOOKUP(CONCATENATE(H386,F386,EW$2),Ciencias!$A:$H,7,FALSE)=BK386,1,0)</f>
        <v>#N/A</v>
      </c>
      <c r="EX386" s="138" t="e">
        <f>IF(VLOOKUP(CONCATENATE(H386,F386,EX$2),Ciencias!$A:$H,7,FALSE)=BL386,1,0)</f>
        <v>#N/A</v>
      </c>
      <c r="EY386" s="138" t="e">
        <f>IF(VLOOKUP(CONCATENATE(H386,F386,EY$2),Ciencias!$A:$H,7,FALSE)=BM386,1,0)</f>
        <v>#N/A</v>
      </c>
      <c r="EZ386" s="138" t="e">
        <f>IF(VLOOKUP(CONCATENATE(H386,F386,EZ$2),Ciencias!$A:$H,7,FALSE)=BN386,1,0)</f>
        <v>#N/A</v>
      </c>
      <c r="FA386" s="138" t="e">
        <f>IF(VLOOKUP(CONCATENATE(H386,F386,FA$2),Ciencias!$A:$H,7,FALSE)=BO386,1,0)</f>
        <v>#N/A</v>
      </c>
      <c r="FB386" s="138" t="e">
        <f>IF(VLOOKUP(CONCATENATE(H386,F386,FB$2),Ciencias!$A:$H,7,FALSE)=BP386,1,0)</f>
        <v>#N/A</v>
      </c>
      <c r="FC386" s="138" t="e">
        <f>IF(VLOOKUP(CONCATENATE(H386,F386,FC$2),Ciencias!$A:$H,7,FALSE)=BQ386,1,0)</f>
        <v>#N/A</v>
      </c>
      <c r="FD386" s="138" t="e">
        <f>IF(VLOOKUP(CONCATENATE(H386,F386,FD$2),Ciencias!$A:$H,7,FALSE)=BR386,1,0)</f>
        <v>#N/A</v>
      </c>
      <c r="FE386" s="138" t="e">
        <f>IF(VLOOKUP(CONCATENATE(H386,F386,FE$2),Ciencias!$A:$H,7,FALSE)=BS386,1,0)</f>
        <v>#N/A</v>
      </c>
      <c r="FF386" s="138" t="e">
        <f>IF(VLOOKUP(CONCATENATE(H386,F386,FF$2),Ciencias!$A:$H,7,FALSE)=BT386,1,0)</f>
        <v>#N/A</v>
      </c>
      <c r="FG386" s="138" t="e">
        <f>IF(VLOOKUP(CONCATENATE(H386,F386,FG$2),Ciencias!$A:$H,7,FALSE)=BU386,1,0)</f>
        <v>#N/A</v>
      </c>
      <c r="FH386" s="138" t="e">
        <f>IF(VLOOKUP(CONCATENATE(H386,F386,FH$2),Ciencias!$A:$H,7,FALSE)=BV386,1,0)</f>
        <v>#N/A</v>
      </c>
      <c r="FI386" s="138" t="e">
        <f>IF(VLOOKUP(CONCATENATE(H386,F386,FI$2),Ciencias!$A:$H,7,FALSE)=BW386,1,0)</f>
        <v>#N/A</v>
      </c>
      <c r="FJ386" s="138" t="e">
        <f>IF(VLOOKUP(CONCATENATE(H386,F386,FJ$2),Ciencias!$A:$H,7,FALSE)=BX386,1,0)</f>
        <v>#N/A</v>
      </c>
      <c r="FK386" s="138" t="e">
        <f>IF(VLOOKUP(CONCATENATE(H386,F386,FK$2),Ciencias!$A:$H,7,FALSE)=BY386,1,0)</f>
        <v>#N/A</v>
      </c>
      <c r="FL386" s="138" t="e">
        <f>IF(VLOOKUP(CONCATENATE(H386,F386,FL$2),Ciencias!$A:$H,7,FALSE)=BZ386,1,0)</f>
        <v>#N/A</v>
      </c>
      <c r="FM386" s="138" t="e">
        <f>IF(VLOOKUP(CONCATENATE(H386,F386,FM$2),Ciencias!$A:$H,7,FALSE)=CA386,1,0)</f>
        <v>#N/A</v>
      </c>
      <c r="FN386" s="138" t="e">
        <f>IF(VLOOKUP(CONCATENATE(H386,F386,FN$2),Ciencias!$A:$H,7,FALSE)=CB386,1,0)</f>
        <v>#N/A</v>
      </c>
      <c r="FO386" s="138" t="e">
        <f>IF(VLOOKUP(CONCATENATE(H386,F386,FO$2),Ciencias!$A:$H,7,FALSE)=CC386,1,0)</f>
        <v>#N/A</v>
      </c>
      <c r="FP386" s="138" t="e">
        <f>IF(VLOOKUP(CONCATENATE(H386,F386,FP$2),GeoHis!$A:$H,7,FALSE)=CD386,1,0)</f>
        <v>#N/A</v>
      </c>
      <c r="FQ386" s="138" t="e">
        <f>IF(VLOOKUP(CONCATENATE(H386,F386,FQ$2),GeoHis!$A:$H,7,FALSE)=CE386,1,0)</f>
        <v>#N/A</v>
      </c>
      <c r="FR386" s="138" t="e">
        <f>IF(VLOOKUP(CONCATENATE(H386,F386,FR$2),GeoHis!$A:$H,7,FALSE)=CF386,1,0)</f>
        <v>#N/A</v>
      </c>
      <c r="FS386" s="138" t="e">
        <f>IF(VLOOKUP(CONCATENATE(H386,F386,FS$2),GeoHis!$A:$H,7,FALSE)=CG386,1,0)</f>
        <v>#N/A</v>
      </c>
      <c r="FT386" s="138" t="e">
        <f>IF(VLOOKUP(CONCATENATE(H386,F386,FT$2),GeoHis!$A:$H,7,FALSE)=CH386,1,0)</f>
        <v>#N/A</v>
      </c>
      <c r="FU386" s="138" t="e">
        <f>IF(VLOOKUP(CONCATENATE(H386,F386,FU$2),GeoHis!$A:$H,7,FALSE)=CI386,1,0)</f>
        <v>#N/A</v>
      </c>
      <c r="FV386" s="138" t="e">
        <f>IF(VLOOKUP(CONCATENATE(H386,F386,FV$2),GeoHis!$A:$H,7,FALSE)=CJ386,1,0)</f>
        <v>#N/A</v>
      </c>
      <c r="FW386" s="138" t="e">
        <f>IF(VLOOKUP(CONCATENATE(H386,F386,FW$2),GeoHis!$A:$H,7,FALSE)=CK386,1,0)</f>
        <v>#N/A</v>
      </c>
      <c r="FX386" s="138" t="e">
        <f>IF(VLOOKUP(CONCATENATE(H386,F386,FX$2),GeoHis!$A:$H,7,FALSE)=CL386,1,0)</f>
        <v>#N/A</v>
      </c>
      <c r="FY386" s="138" t="e">
        <f>IF(VLOOKUP(CONCATENATE(H386,F386,FY$2),GeoHis!$A:$H,7,FALSE)=CM386,1,0)</f>
        <v>#N/A</v>
      </c>
      <c r="FZ386" s="138" t="e">
        <f>IF(VLOOKUP(CONCATENATE(H386,F386,FZ$2),GeoHis!$A:$H,7,FALSE)=CN386,1,0)</f>
        <v>#N/A</v>
      </c>
      <c r="GA386" s="138" t="e">
        <f>IF(VLOOKUP(CONCATENATE(H386,F386,GA$2),GeoHis!$A:$H,7,FALSE)=CO386,1,0)</f>
        <v>#N/A</v>
      </c>
      <c r="GB386" s="138" t="e">
        <f>IF(VLOOKUP(CONCATENATE(H386,F386,GB$2),GeoHis!$A:$H,7,FALSE)=CP386,1,0)</f>
        <v>#N/A</v>
      </c>
      <c r="GC386" s="138" t="e">
        <f>IF(VLOOKUP(CONCATENATE(H386,F386,GC$2),GeoHis!$A:$H,7,FALSE)=CQ386,1,0)</f>
        <v>#N/A</v>
      </c>
      <c r="GD386" s="138" t="e">
        <f>IF(VLOOKUP(CONCATENATE(H386,F386,GD$2),GeoHis!$A:$H,7,FALSE)=CR386,1,0)</f>
        <v>#N/A</v>
      </c>
      <c r="GE386" s="135" t="str">
        <f t="shared" si="47"/>
        <v/>
      </c>
    </row>
    <row r="387" spans="1:187" x14ac:dyDescent="0.25">
      <c r="A387" s="127" t="str">
        <f>IF(C387="","",'Datos Generales'!$A$25)</f>
        <v/>
      </c>
      <c r="D387" s="126" t="str">
        <f t="shared" si="40"/>
        <v/>
      </c>
      <c r="E387" s="126">
        <f t="shared" si="41"/>
        <v>0</v>
      </c>
      <c r="F387" s="126" t="str">
        <f t="shared" si="42"/>
        <v/>
      </c>
      <c r="G387" s="126" t="str">
        <f>IF(C387="","",'Datos Generales'!$D$19)</f>
        <v/>
      </c>
      <c r="H387" s="21" t="str">
        <f>IF(C387="","",'Datos Generales'!$A$19)</f>
        <v/>
      </c>
      <c r="I387" s="126" t="str">
        <f>IF(C387="","",'Datos Generales'!$A$7)</f>
        <v/>
      </c>
      <c r="J387" s="21" t="str">
        <f>IF(C387="","",'Datos Generales'!$A$13)</f>
        <v/>
      </c>
      <c r="K387" s="21" t="str">
        <f>IF(C387="","",'Datos Generales'!$A$10)</f>
        <v/>
      </c>
      <c r="CS387" s="142" t="str">
        <f t="shared" si="43"/>
        <v/>
      </c>
      <c r="CT387" s="142" t="str">
        <f t="shared" si="44"/>
        <v/>
      </c>
      <c r="CU387" s="142" t="str">
        <f t="shared" si="45"/>
        <v/>
      </c>
      <c r="CV387" s="142" t="str">
        <f t="shared" si="46"/>
        <v/>
      </c>
      <c r="CW387" s="142" t="str">
        <f>IF(C387="","",IF('Datos Generales'!$A$19=1,AVERAGE(FP387:GD387),AVERAGE(Captura!FP387:FY387)))</f>
        <v/>
      </c>
      <c r="CX387" s="138" t="e">
        <f>IF(VLOOKUP(CONCATENATE($H$4,$F$4,CX$2),Español!$A:$H,7,FALSE)=L387,1,0)</f>
        <v>#N/A</v>
      </c>
      <c r="CY387" s="138" t="e">
        <f>IF(VLOOKUP(CONCATENATE(H387,F387,CY$2),Español!$A:$H,7,FALSE)=M387,1,0)</f>
        <v>#N/A</v>
      </c>
      <c r="CZ387" s="138" t="e">
        <f>IF(VLOOKUP(CONCATENATE(H387,F387,CZ$2),Español!$A:$H,7,FALSE)=N387,1,0)</f>
        <v>#N/A</v>
      </c>
      <c r="DA387" s="138" t="e">
        <f>IF(VLOOKUP(CONCATENATE(H387,F387,DA$2),Español!$A:$H,7,FALSE)=O387,1,0)</f>
        <v>#N/A</v>
      </c>
      <c r="DB387" s="138" t="e">
        <f>IF(VLOOKUP(CONCATENATE(H387,F387,DB$2),Español!$A:$H,7,FALSE)=P387,1,0)</f>
        <v>#N/A</v>
      </c>
      <c r="DC387" s="138" t="e">
        <f>IF(VLOOKUP(CONCATENATE(H387,F387,DC$2),Español!$A:$H,7,FALSE)=Q387,1,0)</f>
        <v>#N/A</v>
      </c>
      <c r="DD387" s="138" t="e">
        <f>IF(VLOOKUP(CONCATENATE(H387,F387,DD$2),Español!$A:$H,7,FALSE)=R387,1,0)</f>
        <v>#N/A</v>
      </c>
      <c r="DE387" s="138" t="e">
        <f>IF(VLOOKUP(CONCATENATE(H387,F387,DE$2),Español!$A:$H,7,FALSE)=S387,1,0)</f>
        <v>#N/A</v>
      </c>
      <c r="DF387" s="138" t="e">
        <f>IF(VLOOKUP(CONCATENATE(H387,F387,DF$2),Español!$A:$H,7,FALSE)=T387,1,0)</f>
        <v>#N/A</v>
      </c>
      <c r="DG387" s="138" t="e">
        <f>IF(VLOOKUP(CONCATENATE(H387,F387,DG$2),Español!$A:$H,7,FALSE)=U387,1,0)</f>
        <v>#N/A</v>
      </c>
      <c r="DH387" s="138" t="e">
        <f>IF(VLOOKUP(CONCATENATE(H387,F387,DH$2),Español!$A:$H,7,FALSE)=V387,1,0)</f>
        <v>#N/A</v>
      </c>
      <c r="DI387" s="138" t="e">
        <f>IF(VLOOKUP(CONCATENATE(H387,F387,DI$2),Español!$A:$H,7,FALSE)=W387,1,0)</f>
        <v>#N/A</v>
      </c>
      <c r="DJ387" s="138" t="e">
        <f>IF(VLOOKUP(CONCATENATE(H387,F387,DJ$2),Español!$A:$H,7,FALSE)=X387,1,0)</f>
        <v>#N/A</v>
      </c>
      <c r="DK387" s="138" t="e">
        <f>IF(VLOOKUP(CONCATENATE(H387,F387,DK$2),Español!$A:$H,7,FALSE)=Y387,1,0)</f>
        <v>#N/A</v>
      </c>
      <c r="DL387" s="138" t="e">
        <f>IF(VLOOKUP(CONCATENATE(H387,F387,DL$2),Español!$A:$H,7,FALSE)=Z387,1,0)</f>
        <v>#N/A</v>
      </c>
      <c r="DM387" s="138" t="e">
        <f>IF(VLOOKUP(CONCATENATE(H387,F387,DM$2),Español!$A:$H,7,FALSE)=AA387,1,0)</f>
        <v>#N/A</v>
      </c>
      <c r="DN387" s="138" t="e">
        <f>IF(VLOOKUP(CONCATENATE(H387,F387,DN$2),Español!$A:$H,7,FALSE)=AB387,1,0)</f>
        <v>#N/A</v>
      </c>
      <c r="DO387" s="138" t="e">
        <f>IF(VLOOKUP(CONCATENATE(H387,F387,DO$2),Español!$A:$H,7,FALSE)=AC387,1,0)</f>
        <v>#N/A</v>
      </c>
      <c r="DP387" s="138" t="e">
        <f>IF(VLOOKUP(CONCATENATE(H387,F387,DP$2),Español!$A:$H,7,FALSE)=AD387,1,0)</f>
        <v>#N/A</v>
      </c>
      <c r="DQ387" s="138" t="e">
        <f>IF(VLOOKUP(CONCATENATE(H387,F387,DQ$2),Español!$A:$H,7,FALSE)=AE387,1,0)</f>
        <v>#N/A</v>
      </c>
      <c r="DR387" s="138" t="e">
        <f>IF(VLOOKUP(CONCATENATE(H387,F387,DR$2),Inglés!$A:$H,7,FALSE)=AF387,1,0)</f>
        <v>#N/A</v>
      </c>
      <c r="DS387" s="138" t="e">
        <f>IF(VLOOKUP(CONCATENATE(H387,F387,DS$2),Inglés!$A:$H,7,FALSE)=AG387,1,0)</f>
        <v>#N/A</v>
      </c>
      <c r="DT387" s="138" t="e">
        <f>IF(VLOOKUP(CONCATENATE(H387,F387,DT$2),Inglés!$A:$H,7,FALSE)=AH387,1,0)</f>
        <v>#N/A</v>
      </c>
      <c r="DU387" s="138" t="e">
        <f>IF(VLOOKUP(CONCATENATE(H387,F387,DU$2),Inglés!$A:$H,7,FALSE)=AI387,1,0)</f>
        <v>#N/A</v>
      </c>
      <c r="DV387" s="138" t="e">
        <f>IF(VLOOKUP(CONCATENATE(H387,F387,DV$2),Inglés!$A:$H,7,FALSE)=AJ387,1,0)</f>
        <v>#N/A</v>
      </c>
      <c r="DW387" s="138" t="e">
        <f>IF(VLOOKUP(CONCATENATE(H387,F387,DW$2),Inglés!$A:$H,7,FALSE)=AK387,1,0)</f>
        <v>#N/A</v>
      </c>
      <c r="DX387" s="138" t="e">
        <f>IF(VLOOKUP(CONCATENATE(H387,F387,DX$2),Inglés!$A:$H,7,FALSE)=AL387,1,0)</f>
        <v>#N/A</v>
      </c>
      <c r="DY387" s="138" t="e">
        <f>IF(VLOOKUP(CONCATENATE(H387,F387,DY$2),Inglés!$A:$H,7,FALSE)=AM387,1,0)</f>
        <v>#N/A</v>
      </c>
      <c r="DZ387" s="138" t="e">
        <f>IF(VLOOKUP(CONCATENATE(H387,F387,DZ$2),Inglés!$A:$H,7,FALSE)=AN387,1,0)</f>
        <v>#N/A</v>
      </c>
      <c r="EA387" s="138" t="e">
        <f>IF(VLOOKUP(CONCATENATE(H387,F387,EA$2),Inglés!$A:$H,7,FALSE)=AO387,1,0)</f>
        <v>#N/A</v>
      </c>
      <c r="EB387" s="138" t="e">
        <f>IF(VLOOKUP(CONCATENATE(H387,F387,EB$2),Matemáticas!$A:$H,7,FALSE)=AP387,1,0)</f>
        <v>#N/A</v>
      </c>
      <c r="EC387" s="138" t="e">
        <f>IF(VLOOKUP(CONCATENATE(H387,F387,EC$2),Matemáticas!$A:$H,7,FALSE)=AQ387,1,0)</f>
        <v>#N/A</v>
      </c>
      <c r="ED387" s="138" t="e">
        <f>IF(VLOOKUP(CONCATENATE(H387,F387,ED$2),Matemáticas!$A:$H,7,FALSE)=AR387,1,0)</f>
        <v>#N/A</v>
      </c>
      <c r="EE387" s="138" t="e">
        <f>IF(VLOOKUP(CONCATENATE(H387,F387,EE$2),Matemáticas!$A:$H,7,FALSE)=AS387,1,0)</f>
        <v>#N/A</v>
      </c>
      <c r="EF387" s="138" t="e">
        <f>IF(VLOOKUP(CONCATENATE(H387,F387,EF$2),Matemáticas!$A:$H,7,FALSE)=AT387,1,0)</f>
        <v>#N/A</v>
      </c>
      <c r="EG387" s="138" t="e">
        <f>IF(VLOOKUP(CONCATENATE(H387,F387,EG$2),Matemáticas!$A:$H,7,FALSE)=AU387,1,0)</f>
        <v>#N/A</v>
      </c>
      <c r="EH387" s="138" t="e">
        <f>IF(VLOOKUP(CONCATENATE(H387,F387,EH$2),Matemáticas!$A:$H,7,FALSE)=AV387,1,0)</f>
        <v>#N/A</v>
      </c>
      <c r="EI387" s="138" t="e">
        <f>IF(VLOOKUP(CONCATENATE(H387,F387,EI$2),Matemáticas!$A:$H,7,FALSE)=AW387,1,0)</f>
        <v>#N/A</v>
      </c>
      <c r="EJ387" s="138" t="e">
        <f>IF(VLOOKUP(CONCATENATE(H387,F387,EJ$2),Matemáticas!$A:$H,7,FALSE)=AX387,1,0)</f>
        <v>#N/A</v>
      </c>
      <c r="EK387" s="138" t="e">
        <f>IF(VLOOKUP(CONCATENATE(H387,F387,EK$2),Matemáticas!$A:$H,7,FALSE)=AY387,1,0)</f>
        <v>#N/A</v>
      </c>
      <c r="EL387" s="138" t="e">
        <f>IF(VLOOKUP(CONCATENATE(H387,F387,EL$2),Matemáticas!$A:$H,7,FALSE)=AZ387,1,0)</f>
        <v>#N/A</v>
      </c>
      <c r="EM387" s="138" t="e">
        <f>IF(VLOOKUP(CONCATENATE(H387,F387,EM$2),Matemáticas!$A:$H,7,FALSE)=BA387,1,0)</f>
        <v>#N/A</v>
      </c>
      <c r="EN387" s="138" t="e">
        <f>IF(VLOOKUP(CONCATENATE(H387,F387,EN$2),Matemáticas!$A:$H,7,FALSE)=BB387,1,0)</f>
        <v>#N/A</v>
      </c>
      <c r="EO387" s="138" t="e">
        <f>IF(VLOOKUP(CONCATENATE(H387,F387,EO$2),Matemáticas!$A:$H,7,FALSE)=BC387,1,0)</f>
        <v>#N/A</v>
      </c>
      <c r="EP387" s="138" t="e">
        <f>IF(VLOOKUP(CONCATENATE(H387,F387,EP$2),Matemáticas!$A:$H,7,FALSE)=BD387,1,0)</f>
        <v>#N/A</v>
      </c>
      <c r="EQ387" s="138" t="e">
        <f>IF(VLOOKUP(CONCATENATE(H387,F387,EQ$2),Matemáticas!$A:$H,7,FALSE)=BE387,1,0)</f>
        <v>#N/A</v>
      </c>
      <c r="ER387" s="138" t="e">
        <f>IF(VLOOKUP(CONCATENATE(H387,F387,ER$2),Matemáticas!$A:$H,7,FALSE)=BF387,1,0)</f>
        <v>#N/A</v>
      </c>
      <c r="ES387" s="138" t="e">
        <f>IF(VLOOKUP(CONCATENATE(H387,F387,ES$2),Matemáticas!$A:$H,7,FALSE)=BG387,1,0)</f>
        <v>#N/A</v>
      </c>
      <c r="ET387" s="138" t="e">
        <f>IF(VLOOKUP(CONCATENATE(H387,F387,ET$2),Matemáticas!$A:$H,7,FALSE)=BH387,1,0)</f>
        <v>#N/A</v>
      </c>
      <c r="EU387" s="138" t="e">
        <f>IF(VLOOKUP(CONCATENATE(H387,F387,EU$2),Matemáticas!$A:$H,7,FALSE)=BI387,1,0)</f>
        <v>#N/A</v>
      </c>
      <c r="EV387" s="138" t="e">
        <f>IF(VLOOKUP(CONCATENATE(H387,F387,EV$2),Ciencias!$A:$H,7,FALSE)=BJ387,1,0)</f>
        <v>#N/A</v>
      </c>
      <c r="EW387" s="138" t="e">
        <f>IF(VLOOKUP(CONCATENATE(H387,F387,EW$2),Ciencias!$A:$H,7,FALSE)=BK387,1,0)</f>
        <v>#N/A</v>
      </c>
      <c r="EX387" s="138" t="e">
        <f>IF(VLOOKUP(CONCATENATE(H387,F387,EX$2),Ciencias!$A:$H,7,FALSE)=BL387,1,0)</f>
        <v>#N/A</v>
      </c>
      <c r="EY387" s="138" t="e">
        <f>IF(VLOOKUP(CONCATENATE(H387,F387,EY$2),Ciencias!$A:$H,7,FALSE)=BM387,1,0)</f>
        <v>#N/A</v>
      </c>
      <c r="EZ387" s="138" t="e">
        <f>IF(VLOOKUP(CONCATENATE(H387,F387,EZ$2),Ciencias!$A:$H,7,FALSE)=BN387,1,0)</f>
        <v>#N/A</v>
      </c>
      <c r="FA387" s="138" t="e">
        <f>IF(VLOOKUP(CONCATENATE(H387,F387,FA$2),Ciencias!$A:$H,7,FALSE)=BO387,1,0)</f>
        <v>#N/A</v>
      </c>
      <c r="FB387" s="138" t="e">
        <f>IF(VLOOKUP(CONCATENATE(H387,F387,FB$2),Ciencias!$A:$H,7,FALSE)=BP387,1,0)</f>
        <v>#N/A</v>
      </c>
      <c r="FC387" s="138" t="e">
        <f>IF(VLOOKUP(CONCATENATE(H387,F387,FC$2),Ciencias!$A:$H,7,FALSE)=BQ387,1,0)</f>
        <v>#N/A</v>
      </c>
      <c r="FD387" s="138" t="e">
        <f>IF(VLOOKUP(CONCATENATE(H387,F387,FD$2),Ciencias!$A:$H,7,FALSE)=BR387,1,0)</f>
        <v>#N/A</v>
      </c>
      <c r="FE387" s="138" t="e">
        <f>IF(VLOOKUP(CONCATENATE(H387,F387,FE$2),Ciencias!$A:$H,7,FALSE)=BS387,1,0)</f>
        <v>#N/A</v>
      </c>
      <c r="FF387" s="138" t="e">
        <f>IF(VLOOKUP(CONCATENATE(H387,F387,FF$2),Ciencias!$A:$H,7,FALSE)=BT387,1,0)</f>
        <v>#N/A</v>
      </c>
      <c r="FG387" s="138" t="e">
        <f>IF(VLOOKUP(CONCATENATE(H387,F387,FG$2),Ciencias!$A:$H,7,FALSE)=BU387,1,0)</f>
        <v>#N/A</v>
      </c>
      <c r="FH387" s="138" t="e">
        <f>IF(VLOOKUP(CONCATENATE(H387,F387,FH$2),Ciencias!$A:$H,7,FALSE)=BV387,1,0)</f>
        <v>#N/A</v>
      </c>
      <c r="FI387" s="138" t="e">
        <f>IF(VLOOKUP(CONCATENATE(H387,F387,FI$2),Ciencias!$A:$H,7,FALSE)=BW387,1,0)</f>
        <v>#N/A</v>
      </c>
      <c r="FJ387" s="138" t="e">
        <f>IF(VLOOKUP(CONCATENATE(H387,F387,FJ$2),Ciencias!$A:$H,7,FALSE)=BX387,1,0)</f>
        <v>#N/A</v>
      </c>
      <c r="FK387" s="138" t="e">
        <f>IF(VLOOKUP(CONCATENATE(H387,F387,FK$2),Ciencias!$A:$H,7,FALSE)=BY387,1,0)</f>
        <v>#N/A</v>
      </c>
      <c r="FL387" s="138" t="e">
        <f>IF(VLOOKUP(CONCATENATE(H387,F387,FL$2),Ciencias!$A:$H,7,FALSE)=BZ387,1,0)</f>
        <v>#N/A</v>
      </c>
      <c r="FM387" s="138" t="e">
        <f>IF(VLOOKUP(CONCATENATE(H387,F387,FM$2),Ciencias!$A:$H,7,FALSE)=CA387,1,0)</f>
        <v>#N/A</v>
      </c>
      <c r="FN387" s="138" t="e">
        <f>IF(VLOOKUP(CONCATENATE(H387,F387,FN$2),Ciencias!$A:$H,7,FALSE)=CB387,1,0)</f>
        <v>#N/A</v>
      </c>
      <c r="FO387" s="138" t="e">
        <f>IF(VLOOKUP(CONCATENATE(H387,F387,FO$2),Ciencias!$A:$H,7,FALSE)=CC387,1,0)</f>
        <v>#N/A</v>
      </c>
      <c r="FP387" s="138" t="e">
        <f>IF(VLOOKUP(CONCATENATE(H387,F387,FP$2),GeoHis!$A:$H,7,FALSE)=CD387,1,0)</f>
        <v>#N/A</v>
      </c>
      <c r="FQ387" s="138" t="e">
        <f>IF(VLOOKUP(CONCATENATE(H387,F387,FQ$2),GeoHis!$A:$H,7,FALSE)=CE387,1,0)</f>
        <v>#N/A</v>
      </c>
      <c r="FR387" s="138" t="e">
        <f>IF(VLOOKUP(CONCATENATE(H387,F387,FR$2),GeoHis!$A:$H,7,FALSE)=CF387,1,0)</f>
        <v>#N/A</v>
      </c>
      <c r="FS387" s="138" t="e">
        <f>IF(VLOOKUP(CONCATENATE(H387,F387,FS$2),GeoHis!$A:$H,7,FALSE)=CG387,1,0)</f>
        <v>#N/A</v>
      </c>
      <c r="FT387" s="138" t="e">
        <f>IF(VLOOKUP(CONCATENATE(H387,F387,FT$2),GeoHis!$A:$H,7,FALSE)=CH387,1,0)</f>
        <v>#N/A</v>
      </c>
      <c r="FU387" s="138" t="e">
        <f>IF(VLOOKUP(CONCATENATE(H387,F387,FU$2),GeoHis!$A:$H,7,FALSE)=CI387,1,0)</f>
        <v>#N/A</v>
      </c>
      <c r="FV387" s="138" t="e">
        <f>IF(VLOOKUP(CONCATENATE(H387,F387,FV$2),GeoHis!$A:$H,7,FALSE)=CJ387,1,0)</f>
        <v>#N/A</v>
      </c>
      <c r="FW387" s="138" t="e">
        <f>IF(VLOOKUP(CONCATENATE(H387,F387,FW$2),GeoHis!$A:$H,7,FALSE)=CK387,1,0)</f>
        <v>#N/A</v>
      </c>
      <c r="FX387" s="138" t="e">
        <f>IF(VLOOKUP(CONCATENATE(H387,F387,FX$2),GeoHis!$A:$H,7,FALSE)=CL387,1,0)</f>
        <v>#N/A</v>
      </c>
      <c r="FY387" s="138" t="e">
        <f>IF(VLOOKUP(CONCATENATE(H387,F387,FY$2),GeoHis!$A:$H,7,FALSE)=CM387,1,0)</f>
        <v>#N/A</v>
      </c>
      <c r="FZ387" s="138" t="e">
        <f>IF(VLOOKUP(CONCATENATE(H387,F387,FZ$2),GeoHis!$A:$H,7,FALSE)=CN387,1,0)</f>
        <v>#N/A</v>
      </c>
      <c r="GA387" s="138" t="e">
        <f>IF(VLOOKUP(CONCATENATE(H387,F387,GA$2),GeoHis!$A:$H,7,FALSE)=CO387,1,0)</f>
        <v>#N/A</v>
      </c>
      <c r="GB387" s="138" t="e">
        <f>IF(VLOOKUP(CONCATENATE(H387,F387,GB$2),GeoHis!$A:$H,7,FALSE)=CP387,1,0)</f>
        <v>#N/A</v>
      </c>
      <c r="GC387" s="138" t="e">
        <f>IF(VLOOKUP(CONCATENATE(H387,F387,GC$2),GeoHis!$A:$H,7,FALSE)=CQ387,1,0)</f>
        <v>#N/A</v>
      </c>
      <c r="GD387" s="138" t="e">
        <f>IF(VLOOKUP(CONCATENATE(H387,F387,GD$2),GeoHis!$A:$H,7,FALSE)=CR387,1,0)</f>
        <v>#N/A</v>
      </c>
      <c r="GE387" s="135" t="str">
        <f t="shared" si="47"/>
        <v/>
      </c>
    </row>
    <row r="388" spans="1:187" x14ac:dyDescent="0.25">
      <c r="A388" s="127" t="str">
        <f>IF(C388="","",'Datos Generales'!$A$25)</f>
        <v/>
      </c>
      <c r="D388" s="126" t="str">
        <f t="shared" ref="D388:D451" si="48">CONCATENATE(C388,F388,G388,H388,I388,J388,K388)</f>
        <v/>
      </c>
      <c r="E388" s="126">
        <f t="shared" ref="E388:E451" si="49">B388</f>
        <v>0</v>
      </c>
      <c r="F388" s="126" t="str">
        <f t="shared" ref="F388:F451" si="50">IF(C388="","",IF(F387="","",F387))</f>
        <v/>
      </c>
      <c r="G388" s="126" t="str">
        <f>IF(C388="","",'Datos Generales'!$D$19)</f>
        <v/>
      </c>
      <c r="H388" s="21" t="str">
        <f>IF(C388="","",'Datos Generales'!$A$19)</f>
        <v/>
      </c>
      <c r="I388" s="126" t="str">
        <f>IF(C388="","",'Datos Generales'!$A$7)</f>
        <v/>
      </c>
      <c r="J388" s="21" t="str">
        <f>IF(C388="","",'Datos Generales'!$A$13)</f>
        <v/>
      </c>
      <c r="K388" s="21" t="str">
        <f>IF(C388="","",'Datos Generales'!$A$10)</f>
        <v/>
      </c>
      <c r="CS388" s="142" t="str">
        <f t="shared" ref="CS388:CS451" si="51">IF(C388="","",AVERAGE(CX388:DQ388))</f>
        <v/>
      </c>
      <c r="CT388" s="142" t="str">
        <f t="shared" ref="CT388:CT451" si="52">IF(C388="","",AVERAGE(DR388:EA388))</f>
        <v/>
      </c>
      <c r="CU388" s="142" t="str">
        <f t="shared" ref="CU388:CU451" si="53">IF(C388="","",AVERAGE(EB388:EU388))</f>
        <v/>
      </c>
      <c r="CV388" s="142" t="str">
        <f t="shared" ref="CV388:CV451" si="54">IF(C388="","",AVERAGE(EV388:FO388))</f>
        <v/>
      </c>
      <c r="CW388" s="142" t="str">
        <f>IF(C388="","",IF('Datos Generales'!$A$19=1,AVERAGE(FP388:GD388),AVERAGE(Captura!FP388:FY388)))</f>
        <v/>
      </c>
      <c r="CX388" s="138" t="e">
        <f>IF(VLOOKUP(CONCATENATE($H$4,$F$4,CX$2),Español!$A:$H,7,FALSE)=L388,1,0)</f>
        <v>#N/A</v>
      </c>
      <c r="CY388" s="138" t="e">
        <f>IF(VLOOKUP(CONCATENATE(H388,F388,CY$2),Español!$A:$H,7,FALSE)=M388,1,0)</f>
        <v>#N/A</v>
      </c>
      <c r="CZ388" s="138" t="e">
        <f>IF(VLOOKUP(CONCATENATE(H388,F388,CZ$2),Español!$A:$H,7,FALSE)=N388,1,0)</f>
        <v>#N/A</v>
      </c>
      <c r="DA388" s="138" t="e">
        <f>IF(VLOOKUP(CONCATENATE(H388,F388,DA$2),Español!$A:$H,7,FALSE)=O388,1,0)</f>
        <v>#N/A</v>
      </c>
      <c r="DB388" s="138" t="e">
        <f>IF(VLOOKUP(CONCATENATE(H388,F388,DB$2),Español!$A:$H,7,FALSE)=P388,1,0)</f>
        <v>#N/A</v>
      </c>
      <c r="DC388" s="138" t="e">
        <f>IF(VLOOKUP(CONCATENATE(H388,F388,DC$2),Español!$A:$H,7,FALSE)=Q388,1,0)</f>
        <v>#N/A</v>
      </c>
      <c r="DD388" s="138" t="e">
        <f>IF(VLOOKUP(CONCATENATE(H388,F388,DD$2),Español!$A:$H,7,FALSE)=R388,1,0)</f>
        <v>#N/A</v>
      </c>
      <c r="DE388" s="138" t="e">
        <f>IF(VLOOKUP(CONCATENATE(H388,F388,DE$2),Español!$A:$H,7,FALSE)=S388,1,0)</f>
        <v>#N/A</v>
      </c>
      <c r="DF388" s="138" t="e">
        <f>IF(VLOOKUP(CONCATENATE(H388,F388,DF$2),Español!$A:$H,7,FALSE)=T388,1,0)</f>
        <v>#N/A</v>
      </c>
      <c r="DG388" s="138" t="e">
        <f>IF(VLOOKUP(CONCATENATE(H388,F388,DG$2),Español!$A:$H,7,FALSE)=U388,1,0)</f>
        <v>#N/A</v>
      </c>
      <c r="DH388" s="138" t="e">
        <f>IF(VLOOKUP(CONCATENATE(H388,F388,DH$2),Español!$A:$H,7,FALSE)=V388,1,0)</f>
        <v>#N/A</v>
      </c>
      <c r="DI388" s="138" t="e">
        <f>IF(VLOOKUP(CONCATENATE(H388,F388,DI$2),Español!$A:$H,7,FALSE)=W388,1,0)</f>
        <v>#N/A</v>
      </c>
      <c r="DJ388" s="138" t="e">
        <f>IF(VLOOKUP(CONCATENATE(H388,F388,DJ$2),Español!$A:$H,7,FALSE)=X388,1,0)</f>
        <v>#N/A</v>
      </c>
      <c r="DK388" s="138" t="e">
        <f>IF(VLOOKUP(CONCATENATE(H388,F388,DK$2),Español!$A:$H,7,FALSE)=Y388,1,0)</f>
        <v>#N/A</v>
      </c>
      <c r="DL388" s="138" t="e">
        <f>IF(VLOOKUP(CONCATENATE(H388,F388,DL$2),Español!$A:$H,7,FALSE)=Z388,1,0)</f>
        <v>#N/A</v>
      </c>
      <c r="DM388" s="138" t="e">
        <f>IF(VLOOKUP(CONCATENATE(H388,F388,DM$2),Español!$A:$H,7,FALSE)=AA388,1,0)</f>
        <v>#N/A</v>
      </c>
      <c r="DN388" s="138" t="e">
        <f>IF(VLOOKUP(CONCATENATE(H388,F388,DN$2),Español!$A:$H,7,FALSE)=AB388,1,0)</f>
        <v>#N/A</v>
      </c>
      <c r="DO388" s="138" t="e">
        <f>IF(VLOOKUP(CONCATENATE(H388,F388,DO$2),Español!$A:$H,7,FALSE)=AC388,1,0)</f>
        <v>#N/A</v>
      </c>
      <c r="DP388" s="138" t="e">
        <f>IF(VLOOKUP(CONCATENATE(H388,F388,DP$2),Español!$A:$H,7,FALSE)=AD388,1,0)</f>
        <v>#N/A</v>
      </c>
      <c r="DQ388" s="138" t="e">
        <f>IF(VLOOKUP(CONCATENATE(H388,F388,DQ$2),Español!$A:$H,7,FALSE)=AE388,1,0)</f>
        <v>#N/A</v>
      </c>
      <c r="DR388" s="138" t="e">
        <f>IF(VLOOKUP(CONCATENATE(H388,F388,DR$2),Inglés!$A:$H,7,FALSE)=AF388,1,0)</f>
        <v>#N/A</v>
      </c>
      <c r="DS388" s="138" t="e">
        <f>IF(VLOOKUP(CONCATENATE(H388,F388,DS$2),Inglés!$A:$H,7,FALSE)=AG388,1,0)</f>
        <v>#N/A</v>
      </c>
      <c r="DT388" s="138" t="e">
        <f>IF(VLOOKUP(CONCATENATE(H388,F388,DT$2),Inglés!$A:$H,7,FALSE)=AH388,1,0)</f>
        <v>#N/A</v>
      </c>
      <c r="DU388" s="138" t="e">
        <f>IF(VLOOKUP(CONCATENATE(H388,F388,DU$2),Inglés!$A:$H,7,FALSE)=AI388,1,0)</f>
        <v>#N/A</v>
      </c>
      <c r="DV388" s="138" t="e">
        <f>IF(VLOOKUP(CONCATENATE(H388,F388,DV$2),Inglés!$A:$H,7,FALSE)=AJ388,1,0)</f>
        <v>#N/A</v>
      </c>
      <c r="DW388" s="138" t="e">
        <f>IF(VLOOKUP(CONCATENATE(H388,F388,DW$2),Inglés!$A:$H,7,FALSE)=AK388,1,0)</f>
        <v>#N/A</v>
      </c>
      <c r="DX388" s="138" t="e">
        <f>IF(VLOOKUP(CONCATENATE(H388,F388,DX$2),Inglés!$A:$H,7,FALSE)=AL388,1,0)</f>
        <v>#N/A</v>
      </c>
      <c r="DY388" s="138" t="e">
        <f>IF(VLOOKUP(CONCATENATE(H388,F388,DY$2),Inglés!$A:$H,7,FALSE)=AM388,1,0)</f>
        <v>#N/A</v>
      </c>
      <c r="DZ388" s="138" t="e">
        <f>IF(VLOOKUP(CONCATENATE(H388,F388,DZ$2),Inglés!$A:$H,7,FALSE)=AN388,1,0)</f>
        <v>#N/A</v>
      </c>
      <c r="EA388" s="138" t="e">
        <f>IF(VLOOKUP(CONCATENATE(H388,F388,EA$2),Inglés!$A:$H,7,FALSE)=AO388,1,0)</f>
        <v>#N/A</v>
      </c>
      <c r="EB388" s="138" t="e">
        <f>IF(VLOOKUP(CONCATENATE(H388,F388,EB$2),Matemáticas!$A:$H,7,FALSE)=AP388,1,0)</f>
        <v>#N/A</v>
      </c>
      <c r="EC388" s="138" t="e">
        <f>IF(VLOOKUP(CONCATENATE(H388,F388,EC$2),Matemáticas!$A:$H,7,FALSE)=AQ388,1,0)</f>
        <v>#N/A</v>
      </c>
      <c r="ED388" s="138" t="e">
        <f>IF(VLOOKUP(CONCATENATE(H388,F388,ED$2),Matemáticas!$A:$H,7,FALSE)=AR388,1,0)</f>
        <v>#N/A</v>
      </c>
      <c r="EE388" s="138" t="e">
        <f>IF(VLOOKUP(CONCATENATE(H388,F388,EE$2),Matemáticas!$A:$H,7,FALSE)=AS388,1,0)</f>
        <v>#N/A</v>
      </c>
      <c r="EF388" s="138" t="e">
        <f>IF(VLOOKUP(CONCATENATE(H388,F388,EF$2),Matemáticas!$A:$H,7,FALSE)=AT388,1,0)</f>
        <v>#N/A</v>
      </c>
      <c r="EG388" s="138" t="e">
        <f>IF(VLOOKUP(CONCATENATE(H388,F388,EG$2),Matemáticas!$A:$H,7,FALSE)=AU388,1,0)</f>
        <v>#N/A</v>
      </c>
      <c r="EH388" s="138" t="e">
        <f>IF(VLOOKUP(CONCATENATE(H388,F388,EH$2),Matemáticas!$A:$H,7,FALSE)=AV388,1,0)</f>
        <v>#N/A</v>
      </c>
      <c r="EI388" s="138" t="e">
        <f>IF(VLOOKUP(CONCATENATE(H388,F388,EI$2),Matemáticas!$A:$H,7,FALSE)=AW388,1,0)</f>
        <v>#N/A</v>
      </c>
      <c r="EJ388" s="138" t="e">
        <f>IF(VLOOKUP(CONCATENATE(H388,F388,EJ$2),Matemáticas!$A:$H,7,FALSE)=AX388,1,0)</f>
        <v>#N/A</v>
      </c>
      <c r="EK388" s="138" t="e">
        <f>IF(VLOOKUP(CONCATENATE(H388,F388,EK$2),Matemáticas!$A:$H,7,FALSE)=AY388,1,0)</f>
        <v>#N/A</v>
      </c>
      <c r="EL388" s="138" t="e">
        <f>IF(VLOOKUP(CONCATENATE(H388,F388,EL$2),Matemáticas!$A:$H,7,FALSE)=AZ388,1,0)</f>
        <v>#N/A</v>
      </c>
      <c r="EM388" s="138" t="e">
        <f>IF(VLOOKUP(CONCATENATE(H388,F388,EM$2),Matemáticas!$A:$H,7,FALSE)=BA388,1,0)</f>
        <v>#N/A</v>
      </c>
      <c r="EN388" s="138" t="e">
        <f>IF(VLOOKUP(CONCATENATE(H388,F388,EN$2),Matemáticas!$A:$H,7,FALSE)=BB388,1,0)</f>
        <v>#N/A</v>
      </c>
      <c r="EO388" s="138" t="e">
        <f>IF(VLOOKUP(CONCATENATE(H388,F388,EO$2),Matemáticas!$A:$H,7,FALSE)=BC388,1,0)</f>
        <v>#N/A</v>
      </c>
      <c r="EP388" s="138" t="e">
        <f>IF(VLOOKUP(CONCATENATE(H388,F388,EP$2),Matemáticas!$A:$H,7,FALSE)=BD388,1,0)</f>
        <v>#N/A</v>
      </c>
      <c r="EQ388" s="138" t="e">
        <f>IF(VLOOKUP(CONCATENATE(H388,F388,EQ$2),Matemáticas!$A:$H,7,FALSE)=BE388,1,0)</f>
        <v>#N/A</v>
      </c>
      <c r="ER388" s="138" t="e">
        <f>IF(VLOOKUP(CONCATENATE(H388,F388,ER$2),Matemáticas!$A:$H,7,FALSE)=BF388,1,0)</f>
        <v>#N/A</v>
      </c>
      <c r="ES388" s="138" t="e">
        <f>IF(VLOOKUP(CONCATENATE(H388,F388,ES$2),Matemáticas!$A:$H,7,FALSE)=BG388,1,0)</f>
        <v>#N/A</v>
      </c>
      <c r="ET388" s="138" t="e">
        <f>IF(VLOOKUP(CONCATENATE(H388,F388,ET$2),Matemáticas!$A:$H,7,FALSE)=BH388,1,0)</f>
        <v>#N/A</v>
      </c>
      <c r="EU388" s="138" t="e">
        <f>IF(VLOOKUP(CONCATENATE(H388,F388,EU$2),Matemáticas!$A:$H,7,FALSE)=BI388,1,0)</f>
        <v>#N/A</v>
      </c>
      <c r="EV388" s="138" t="e">
        <f>IF(VLOOKUP(CONCATENATE(H388,F388,EV$2),Ciencias!$A:$H,7,FALSE)=BJ388,1,0)</f>
        <v>#N/A</v>
      </c>
      <c r="EW388" s="138" t="e">
        <f>IF(VLOOKUP(CONCATENATE(H388,F388,EW$2),Ciencias!$A:$H,7,FALSE)=BK388,1,0)</f>
        <v>#N/A</v>
      </c>
      <c r="EX388" s="138" t="e">
        <f>IF(VLOOKUP(CONCATENATE(H388,F388,EX$2),Ciencias!$A:$H,7,FALSE)=BL388,1,0)</f>
        <v>#N/A</v>
      </c>
      <c r="EY388" s="138" t="e">
        <f>IF(VLOOKUP(CONCATENATE(H388,F388,EY$2),Ciencias!$A:$H,7,FALSE)=BM388,1,0)</f>
        <v>#N/A</v>
      </c>
      <c r="EZ388" s="138" t="e">
        <f>IF(VLOOKUP(CONCATENATE(H388,F388,EZ$2),Ciencias!$A:$H,7,FALSE)=BN388,1,0)</f>
        <v>#N/A</v>
      </c>
      <c r="FA388" s="138" t="e">
        <f>IF(VLOOKUP(CONCATENATE(H388,F388,FA$2),Ciencias!$A:$H,7,FALSE)=BO388,1,0)</f>
        <v>#N/A</v>
      </c>
      <c r="FB388" s="138" t="e">
        <f>IF(VLOOKUP(CONCATENATE(H388,F388,FB$2),Ciencias!$A:$H,7,FALSE)=BP388,1,0)</f>
        <v>#N/A</v>
      </c>
      <c r="FC388" s="138" t="e">
        <f>IF(VLOOKUP(CONCATENATE(H388,F388,FC$2),Ciencias!$A:$H,7,FALSE)=BQ388,1,0)</f>
        <v>#N/A</v>
      </c>
      <c r="FD388" s="138" t="e">
        <f>IF(VLOOKUP(CONCATENATE(H388,F388,FD$2),Ciencias!$A:$H,7,FALSE)=BR388,1,0)</f>
        <v>#N/A</v>
      </c>
      <c r="FE388" s="138" t="e">
        <f>IF(VLOOKUP(CONCATENATE(H388,F388,FE$2),Ciencias!$A:$H,7,FALSE)=BS388,1,0)</f>
        <v>#N/A</v>
      </c>
      <c r="FF388" s="138" t="e">
        <f>IF(VLOOKUP(CONCATENATE(H388,F388,FF$2),Ciencias!$A:$H,7,FALSE)=BT388,1,0)</f>
        <v>#N/A</v>
      </c>
      <c r="FG388" s="138" t="e">
        <f>IF(VLOOKUP(CONCATENATE(H388,F388,FG$2),Ciencias!$A:$H,7,FALSE)=BU388,1,0)</f>
        <v>#N/A</v>
      </c>
      <c r="FH388" s="138" t="e">
        <f>IF(VLOOKUP(CONCATENATE(H388,F388,FH$2),Ciencias!$A:$H,7,FALSE)=BV388,1,0)</f>
        <v>#N/A</v>
      </c>
      <c r="FI388" s="138" t="e">
        <f>IF(VLOOKUP(CONCATENATE(H388,F388,FI$2),Ciencias!$A:$H,7,FALSE)=BW388,1,0)</f>
        <v>#N/A</v>
      </c>
      <c r="FJ388" s="138" t="e">
        <f>IF(VLOOKUP(CONCATENATE(H388,F388,FJ$2),Ciencias!$A:$H,7,FALSE)=BX388,1,0)</f>
        <v>#N/A</v>
      </c>
      <c r="FK388" s="138" t="e">
        <f>IF(VLOOKUP(CONCATENATE(H388,F388,FK$2),Ciencias!$A:$H,7,FALSE)=BY388,1,0)</f>
        <v>#N/A</v>
      </c>
      <c r="FL388" s="138" t="e">
        <f>IF(VLOOKUP(CONCATENATE(H388,F388,FL$2),Ciencias!$A:$H,7,FALSE)=BZ388,1,0)</f>
        <v>#N/A</v>
      </c>
      <c r="FM388" s="138" t="e">
        <f>IF(VLOOKUP(CONCATENATE(H388,F388,FM$2),Ciencias!$A:$H,7,FALSE)=CA388,1,0)</f>
        <v>#N/A</v>
      </c>
      <c r="FN388" s="138" t="e">
        <f>IF(VLOOKUP(CONCATENATE(H388,F388,FN$2),Ciencias!$A:$H,7,FALSE)=CB388,1,0)</f>
        <v>#N/A</v>
      </c>
      <c r="FO388" s="138" t="e">
        <f>IF(VLOOKUP(CONCATENATE(H388,F388,FO$2),Ciencias!$A:$H,7,FALSE)=CC388,1,0)</f>
        <v>#N/A</v>
      </c>
      <c r="FP388" s="138" t="e">
        <f>IF(VLOOKUP(CONCATENATE(H388,F388,FP$2),GeoHis!$A:$H,7,FALSE)=CD388,1,0)</f>
        <v>#N/A</v>
      </c>
      <c r="FQ388" s="138" t="e">
        <f>IF(VLOOKUP(CONCATENATE(H388,F388,FQ$2),GeoHis!$A:$H,7,FALSE)=CE388,1,0)</f>
        <v>#N/A</v>
      </c>
      <c r="FR388" s="138" t="e">
        <f>IF(VLOOKUP(CONCATENATE(H388,F388,FR$2),GeoHis!$A:$H,7,FALSE)=CF388,1,0)</f>
        <v>#N/A</v>
      </c>
      <c r="FS388" s="138" t="e">
        <f>IF(VLOOKUP(CONCATENATE(H388,F388,FS$2),GeoHis!$A:$H,7,FALSE)=CG388,1,0)</f>
        <v>#N/A</v>
      </c>
      <c r="FT388" s="138" t="e">
        <f>IF(VLOOKUP(CONCATENATE(H388,F388,FT$2),GeoHis!$A:$H,7,FALSE)=CH388,1,0)</f>
        <v>#N/A</v>
      </c>
      <c r="FU388" s="138" t="e">
        <f>IF(VLOOKUP(CONCATENATE(H388,F388,FU$2),GeoHis!$A:$H,7,FALSE)=CI388,1,0)</f>
        <v>#N/A</v>
      </c>
      <c r="FV388" s="138" t="e">
        <f>IF(VLOOKUP(CONCATENATE(H388,F388,FV$2),GeoHis!$A:$H,7,FALSE)=CJ388,1,0)</f>
        <v>#N/A</v>
      </c>
      <c r="FW388" s="138" t="e">
        <f>IF(VLOOKUP(CONCATENATE(H388,F388,FW$2),GeoHis!$A:$H,7,FALSE)=CK388,1,0)</f>
        <v>#N/A</v>
      </c>
      <c r="FX388" s="138" t="e">
        <f>IF(VLOOKUP(CONCATENATE(H388,F388,FX$2),GeoHis!$A:$H,7,FALSE)=CL388,1,0)</f>
        <v>#N/A</v>
      </c>
      <c r="FY388" s="138" t="e">
        <f>IF(VLOOKUP(CONCATENATE(H388,F388,FY$2),GeoHis!$A:$H,7,FALSE)=CM388,1,0)</f>
        <v>#N/A</v>
      </c>
      <c r="FZ388" s="138" t="e">
        <f>IF(VLOOKUP(CONCATENATE(H388,F388,FZ$2),GeoHis!$A:$H,7,FALSE)=CN388,1,0)</f>
        <v>#N/A</v>
      </c>
      <c r="GA388" s="138" t="e">
        <f>IF(VLOOKUP(CONCATENATE(H388,F388,GA$2),GeoHis!$A:$H,7,FALSE)=CO388,1,0)</f>
        <v>#N/A</v>
      </c>
      <c r="GB388" s="138" t="e">
        <f>IF(VLOOKUP(CONCATENATE(H388,F388,GB$2),GeoHis!$A:$H,7,FALSE)=CP388,1,0)</f>
        <v>#N/A</v>
      </c>
      <c r="GC388" s="138" t="e">
        <f>IF(VLOOKUP(CONCATENATE(H388,F388,GC$2),GeoHis!$A:$H,7,FALSE)=CQ388,1,0)</f>
        <v>#N/A</v>
      </c>
      <c r="GD388" s="138" t="e">
        <f>IF(VLOOKUP(CONCATENATE(H388,F388,GD$2),GeoHis!$A:$H,7,FALSE)=CR388,1,0)</f>
        <v>#N/A</v>
      </c>
      <c r="GE388" s="135" t="str">
        <f t="shared" ref="GE388:GE451" si="55">A388</f>
        <v/>
      </c>
    </row>
    <row r="389" spans="1:187" x14ac:dyDescent="0.25">
      <c r="A389" s="127" t="str">
        <f>IF(C389="","",'Datos Generales'!$A$25)</f>
        <v/>
      </c>
      <c r="D389" s="126" t="str">
        <f t="shared" si="48"/>
        <v/>
      </c>
      <c r="E389" s="126">
        <f t="shared" si="49"/>
        <v>0</v>
      </c>
      <c r="F389" s="126" t="str">
        <f t="shared" si="50"/>
        <v/>
      </c>
      <c r="G389" s="126" t="str">
        <f>IF(C389="","",'Datos Generales'!$D$19)</f>
        <v/>
      </c>
      <c r="H389" s="21" t="str">
        <f>IF(C389="","",'Datos Generales'!$A$19)</f>
        <v/>
      </c>
      <c r="I389" s="126" t="str">
        <f>IF(C389="","",'Datos Generales'!$A$7)</f>
        <v/>
      </c>
      <c r="J389" s="21" t="str">
        <f>IF(C389="","",'Datos Generales'!$A$13)</f>
        <v/>
      </c>
      <c r="K389" s="21" t="str">
        <f>IF(C389="","",'Datos Generales'!$A$10)</f>
        <v/>
      </c>
      <c r="CS389" s="142" t="str">
        <f t="shared" si="51"/>
        <v/>
      </c>
      <c r="CT389" s="142" t="str">
        <f t="shared" si="52"/>
        <v/>
      </c>
      <c r="CU389" s="142" t="str">
        <f t="shared" si="53"/>
        <v/>
      </c>
      <c r="CV389" s="142" t="str">
        <f t="shared" si="54"/>
        <v/>
      </c>
      <c r="CW389" s="142" t="str">
        <f>IF(C389="","",IF('Datos Generales'!$A$19=1,AVERAGE(FP389:GD389),AVERAGE(Captura!FP389:FY389)))</f>
        <v/>
      </c>
      <c r="CX389" s="138" t="e">
        <f>IF(VLOOKUP(CONCATENATE($H$4,$F$4,CX$2),Español!$A:$H,7,FALSE)=L389,1,0)</f>
        <v>#N/A</v>
      </c>
      <c r="CY389" s="138" t="e">
        <f>IF(VLOOKUP(CONCATENATE(H389,F389,CY$2),Español!$A:$H,7,FALSE)=M389,1,0)</f>
        <v>#N/A</v>
      </c>
      <c r="CZ389" s="138" t="e">
        <f>IF(VLOOKUP(CONCATENATE(H389,F389,CZ$2),Español!$A:$H,7,FALSE)=N389,1,0)</f>
        <v>#N/A</v>
      </c>
      <c r="DA389" s="138" t="e">
        <f>IF(VLOOKUP(CONCATENATE(H389,F389,DA$2),Español!$A:$H,7,FALSE)=O389,1,0)</f>
        <v>#N/A</v>
      </c>
      <c r="DB389" s="138" t="e">
        <f>IF(VLOOKUP(CONCATENATE(H389,F389,DB$2),Español!$A:$H,7,FALSE)=P389,1,0)</f>
        <v>#N/A</v>
      </c>
      <c r="DC389" s="138" t="e">
        <f>IF(VLOOKUP(CONCATENATE(H389,F389,DC$2),Español!$A:$H,7,FALSE)=Q389,1,0)</f>
        <v>#N/A</v>
      </c>
      <c r="DD389" s="138" t="e">
        <f>IF(VLOOKUP(CONCATENATE(H389,F389,DD$2),Español!$A:$H,7,FALSE)=R389,1,0)</f>
        <v>#N/A</v>
      </c>
      <c r="DE389" s="138" t="e">
        <f>IF(VLOOKUP(CONCATENATE(H389,F389,DE$2),Español!$A:$H,7,FALSE)=S389,1,0)</f>
        <v>#N/A</v>
      </c>
      <c r="DF389" s="138" t="e">
        <f>IF(VLOOKUP(CONCATENATE(H389,F389,DF$2),Español!$A:$H,7,FALSE)=T389,1,0)</f>
        <v>#N/A</v>
      </c>
      <c r="DG389" s="138" t="e">
        <f>IF(VLOOKUP(CONCATENATE(H389,F389,DG$2),Español!$A:$H,7,FALSE)=U389,1,0)</f>
        <v>#N/A</v>
      </c>
      <c r="DH389" s="138" t="e">
        <f>IF(VLOOKUP(CONCATENATE(H389,F389,DH$2),Español!$A:$H,7,FALSE)=V389,1,0)</f>
        <v>#N/A</v>
      </c>
      <c r="DI389" s="138" t="e">
        <f>IF(VLOOKUP(CONCATENATE(H389,F389,DI$2),Español!$A:$H,7,FALSE)=W389,1,0)</f>
        <v>#N/A</v>
      </c>
      <c r="DJ389" s="138" t="e">
        <f>IF(VLOOKUP(CONCATENATE(H389,F389,DJ$2),Español!$A:$H,7,FALSE)=X389,1,0)</f>
        <v>#N/A</v>
      </c>
      <c r="DK389" s="138" t="e">
        <f>IF(VLOOKUP(CONCATENATE(H389,F389,DK$2),Español!$A:$H,7,FALSE)=Y389,1,0)</f>
        <v>#N/A</v>
      </c>
      <c r="DL389" s="138" t="e">
        <f>IF(VLOOKUP(CONCATENATE(H389,F389,DL$2),Español!$A:$H,7,FALSE)=Z389,1,0)</f>
        <v>#N/A</v>
      </c>
      <c r="DM389" s="138" t="e">
        <f>IF(VLOOKUP(CONCATENATE(H389,F389,DM$2),Español!$A:$H,7,FALSE)=AA389,1,0)</f>
        <v>#N/A</v>
      </c>
      <c r="DN389" s="138" t="e">
        <f>IF(VLOOKUP(CONCATENATE(H389,F389,DN$2),Español!$A:$H,7,FALSE)=AB389,1,0)</f>
        <v>#N/A</v>
      </c>
      <c r="DO389" s="138" t="e">
        <f>IF(VLOOKUP(CONCATENATE(H389,F389,DO$2),Español!$A:$H,7,FALSE)=AC389,1,0)</f>
        <v>#N/A</v>
      </c>
      <c r="DP389" s="138" t="e">
        <f>IF(VLOOKUP(CONCATENATE(H389,F389,DP$2),Español!$A:$H,7,FALSE)=AD389,1,0)</f>
        <v>#N/A</v>
      </c>
      <c r="DQ389" s="138" t="e">
        <f>IF(VLOOKUP(CONCATENATE(H389,F389,DQ$2),Español!$A:$H,7,FALSE)=AE389,1,0)</f>
        <v>#N/A</v>
      </c>
      <c r="DR389" s="138" t="e">
        <f>IF(VLOOKUP(CONCATENATE(H389,F389,DR$2),Inglés!$A:$H,7,FALSE)=AF389,1,0)</f>
        <v>#N/A</v>
      </c>
      <c r="DS389" s="138" t="e">
        <f>IF(VLOOKUP(CONCATENATE(H389,F389,DS$2),Inglés!$A:$H,7,FALSE)=AG389,1,0)</f>
        <v>#N/A</v>
      </c>
      <c r="DT389" s="138" t="e">
        <f>IF(VLOOKUP(CONCATENATE(H389,F389,DT$2),Inglés!$A:$H,7,FALSE)=AH389,1,0)</f>
        <v>#N/A</v>
      </c>
      <c r="DU389" s="138" t="e">
        <f>IF(VLOOKUP(CONCATENATE(H389,F389,DU$2),Inglés!$A:$H,7,FALSE)=AI389,1,0)</f>
        <v>#N/A</v>
      </c>
      <c r="DV389" s="138" t="e">
        <f>IF(VLOOKUP(CONCATENATE(H389,F389,DV$2),Inglés!$A:$H,7,FALSE)=AJ389,1,0)</f>
        <v>#N/A</v>
      </c>
      <c r="DW389" s="138" t="e">
        <f>IF(VLOOKUP(CONCATENATE(H389,F389,DW$2),Inglés!$A:$H,7,FALSE)=AK389,1,0)</f>
        <v>#N/A</v>
      </c>
      <c r="DX389" s="138" t="e">
        <f>IF(VLOOKUP(CONCATENATE(H389,F389,DX$2),Inglés!$A:$H,7,FALSE)=AL389,1,0)</f>
        <v>#N/A</v>
      </c>
      <c r="DY389" s="138" t="e">
        <f>IF(VLOOKUP(CONCATENATE(H389,F389,DY$2),Inglés!$A:$H,7,FALSE)=AM389,1,0)</f>
        <v>#N/A</v>
      </c>
      <c r="DZ389" s="138" t="e">
        <f>IF(VLOOKUP(CONCATENATE(H389,F389,DZ$2),Inglés!$A:$H,7,FALSE)=AN389,1,0)</f>
        <v>#N/A</v>
      </c>
      <c r="EA389" s="138" t="e">
        <f>IF(VLOOKUP(CONCATENATE(H389,F389,EA$2),Inglés!$A:$H,7,FALSE)=AO389,1,0)</f>
        <v>#N/A</v>
      </c>
      <c r="EB389" s="138" t="e">
        <f>IF(VLOOKUP(CONCATENATE(H389,F389,EB$2),Matemáticas!$A:$H,7,FALSE)=AP389,1,0)</f>
        <v>#N/A</v>
      </c>
      <c r="EC389" s="138" t="e">
        <f>IF(VLOOKUP(CONCATENATE(H389,F389,EC$2),Matemáticas!$A:$H,7,FALSE)=AQ389,1,0)</f>
        <v>#N/A</v>
      </c>
      <c r="ED389" s="138" t="e">
        <f>IF(VLOOKUP(CONCATENATE(H389,F389,ED$2),Matemáticas!$A:$H,7,FALSE)=AR389,1,0)</f>
        <v>#N/A</v>
      </c>
      <c r="EE389" s="138" t="e">
        <f>IF(VLOOKUP(CONCATENATE(H389,F389,EE$2),Matemáticas!$A:$H,7,FALSE)=AS389,1,0)</f>
        <v>#N/A</v>
      </c>
      <c r="EF389" s="138" t="e">
        <f>IF(VLOOKUP(CONCATENATE(H389,F389,EF$2),Matemáticas!$A:$H,7,FALSE)=AT389,1,0)</f>
        <v>#N/A</v>
      </c>
      <c r="EG389" s="138" t="e">
        <f>IF(VLOOKUP(CONCATENATE(H389,F389,EG$2),Matemáticas!$A:$H,7,FALSE)=AU389,1,0)</f>
        <v>#N/A</v>
      </c>
      <c r="EH389" s="138" t="e">
        <f>IF(VLOOKUP(CONCATENATE(H389,F389,EH$2),Matemáticas!$A:$H,7,FALSE)=AV389,1,0)</f>
        <v>#N/A</v>
      </c>
      <c r="EI389" s="138" t="e">
        <f>IF(VLOOKUP(CONCATENATE(H389,F389,EI$2),Matemáticas!$A:$H,7,FALSE)=AW389,1,0)</f>
        <v>#N/A</v>
      </c>
      <c r="EJ389" s="138" t="e">
        <f>IF(VLOOKUP(CONCATENATE(H389,F389,EJ$2),Matemáticas!$A:$H,7,FALSE)=AX389,1,0)</f>
        <v>#N/A</v>
      </c>
      <c r="EK389" s="138" t="e">
        <f>IF(VLOOKUP(CONCATENATE(H389,F389,EK$2),Matemáticas!$A:$H,7,FALSE)=AY389,1,0)</f>
        <v>#N/A</v>
      </c>
      <c r="EL389" s="138" t="e">
        <f>IF(VLOOKUP(CONCATENATE(H389,F389,EL$2),Matemáticas!$A:$H,7,FALSE)=AZ389,1,0)</f>
        <v>#N/A</v>
      </c>
      <c r="EM389" s="138" t="e">
        <f>IF(VLOOKUP(CONCATENATE(H389,F389,EM$2),Matemáticas!$A:$H,7,FALSE)=BA389,1,0)</f>
        <v>#N/A</v>
      </c>
      <c r="EN389" s="138" t="e">
        <f>IF(VLOOKUP(CONCATENATE(H389,F389,EN$2),Matemáticas!$A:$H,7,FALSE)=BB389,1,0)</f>
        <v>#N/A</v>
      </c>
      <c r="EO389" s="138" t="e">
        <f>IF(VLOOKUP(CONCATENATE(H389,F389,EO$2),Matemáticas!$A:$H,7,FALSE)=BC389,1,0)</f>
        <v>#N/A</v>
      </c>
      <c r="EP389" s="138" t="e">
        <f>IF(VLOOKUP(CONCATENATE(H389,F389,EP$2),Matemáticas!$A:$H,7,FALSE)=BD389,1,0)</f>
        <v>#N/A</v>
      </c>
      <c r="EQ389" s="138" t="e">
        <f>IF(VLOOKUP(CONCATENATE(H389,F389,EQ$2),Matemáticas!$A:$H,7,FALSE)=BE389,1,0)</f>
        <v>#N/A</v>
      </c>
      <c r="ER389" s="138" t="e">
        <f>IF(VLOOKUP(CONCATENATE(H389,F389,ER$2),Matemáticas!$A:$H,7,FALSE)=BF389,1,0)</f>
        <v>#N/A</v>
      </c>
      <c r="ES389" s="138" t="e">
        <f>IF(VLOOKUP(CONCATENATE(H389,F389,ES$2),Matemáticas!$A:$H,7,FALSE)=BG389,1,0)</f>
        <v>#N/A</v>
      </c>
      <c r="ET389" s="138" t="e">
        <f>IF(VLOOKUP(CONCATENATE(H389,F389,ET$2),Matemáticas!$A:$H,7,FALSE)=BH389,1,0)</f>
        <v>#N/A</v>
      </c>
      <c r="EU389" s="138" t="e">
        <f>IF(VLOOKUP(CONCATENATE(H389,F389,EU$2),Matemáticas!$A:$H,7,FALSE)=BI389,1,0)</f>
        <v>#N/A</v>
      </c>
      <c r="EV389" s="138" t="e">
        <f>IF(VLOOKUP(CONCATENATE(H389,F389,EV$2),Ciencias!$A:$H,7,FALSE)=BJ389,1,0)</f>
        <v>#N/A</v>
      </c>
      <c r="EW389" s="138" t="e">
        <f>IF(VLOOKUP(CONCATENATE(H389,F389,EW$2),Ciencias!$A:$H,7,FALSE)=BK389,1,0)</f>
        <v>#N/A</v>
      </c>
      <c r="EX389" s="138" t="e">
        <f>IF(VLOOKUP(CONCATENATE(H389,F389,EX$2),Ciencias!$A:$H,7,FALSE)=BL389,1,0)</f>
        <v>#N/A</v>
      </c>
      <c r="EY389" s="138" t="e">
        <f>IF(VLOOKUP(CONCATENATE(H389,F389,EY$2),Ciencias!$A:$H,7,FALSE)=BM389,1,0)</f>
        <v>#N/A</v>
      </c>
      <c r="EZ389" s="138" t="e">
        <f>IF(VLOOKUP(CONCATENATE(H389,F389,EZ$2),Ciencias!$A:$H,7,FALSE)=BN389,1,0)</f>
        <v>#N/A</v>
      </c>
      <c r="FA389" s="138" t="e">
        <f>IF(VLOOKUP(CONCATENATE(H389,F389,FA$2),Ciencias!$A:$H,7,FALSE)=BO389,1,0)</f>
        <v>#N/A</v>
      </c>
      <c r="FB389" s="138" t="e">
        <f>IF(VLOOKUP(CONCATENATE(H389,F389,FB$2),Ciencias!$A:$H,7,FALSE)=BP389,1,0)</f>
        <v>#N/A</v>
      </c>
      <c r="FC389" s="138" t="e">
        <f>IF(VLOOKUP(CONCATENATE(H389,F389,FC$2),Ciencias!$A:$H,7,FALSE)=BQ389,1,0)</f>
        <v>#N/A</v>
      </c>
      <c r="FD389" s="138" t="e">
        <f>IF(VLOOKUP(CONCATENATE(H389,F389,FD$2),Ciencias!$A:$H,7,FALSE)=BR389,1,0)</f>
        <v>#N/A</v>
      </c>
      <c r="FE389" s="138" t="e">
        <f>IF(VLOOKUP(CONCATENATE(H389,F389,FE$2),Ciencias!$A:$H,7,FALSE)=BS389,1,0)</f>
        <v>#N/A</v>
      </c>
      <c r="FF389" s="138" t="e">
        <f>IF(VLOOKUP(CONCATENATE(H389,F389,FF$2),Ciencias!$A:$H,7,FALSE)=BT389,1,0)</f>
        <v>#N/A</v>
      </c>
      <c r="FG389" s="138" t="e">
        <f>IF(VLOOKUP(CONCATENATE(H389,F389,FG$2),Ciencias!$A:$H,7,FALSE)=BU389,1,0)</f>
        <v>#N/A</v>
      </c>
      <c r="FH389" s="138" t="e">
        <f>IF(VLOOKUP(CONCATENATE(H389,F389,FH$2),Ciencias!$A:$H,7,FALSE)=BV389,1,0)</f>
        <v>#N/A</v>
      </c>
      <c r="FI389" s="138" t="e">
        <f>IF(VLOOKUP(CONCATENATE(H389,F389,FI$2),Ciencias!$A:$H,7,FALSE)=BW389,1,0)</f>
        <v>#N/A</v>
      </c>
      <c r="FJ389" s="138" t="e">
        <f>IF(VLOOKUP(CONCATENATE(H389,F389,FJ$2),Ciencias!$A:$H,7,FALSE)=BX389,1,0)</f>
        <v>#N/A</v>
      </c>
      <c r="FK389" s="138" t="e">
        <f>IF(VLOOKUP(CONCATENATE(H389,F389,FK$2),Ciencias!$A:$H,7,FALSE)=BY389,1,0)</f>
        <v>#N/A</v>
      </c>
      <c r="FL389" s="138" t="e">
        <f>IF(VLOOKUP(CONCATENATE(H389,F389,FL$2),Ciencias!$A:$H,7,FALSE)=BZ389,1,0)</f>
        <v>#N/A</v>
      </c>
      <c r="FM389" s="138" t="e">
        <f>IF(VLOOKUP(CONCATENATE(H389,F389,FM$2),Ciencias!$A:$H,7,FALSE)=CA389,1,0)</f>
        <v>#N/A</v>
      </c>
      <c r="FN389" s="138" t="e">
        <f>IF(VLOOKUP(CONCATENATE(H389,F389,FN$2),Ciencias!$A:$H,7,FALSE)=CB389,1,0)</f>
        <v>#N/A</v>
      </c>
      <c r="FO389" s="138" t="e">
        <f>IF(VLOOKUP(CONCATENATE(H389,F389,FO$2),Ciencias!$A:$H,7,FALSE)=CC389,1,0)</f>
        <v>#N/A</v>
      </c>
      <c r="FP389" s="138" t="e">
        <f>IF(VLOOKUP(CONCATENATE(H389,F389,FP$2),GeoHis!$A:$H,7,FALSE)=CD389,1,0)</f>
        <v>#N/A</v>
      </c>
      <c r="FQ389" s="138" t="e">
        <f>IF(VLOOKUP(CONCATENATE(H389,F389,FQ$2),GeoHis!$A:$H,7,FALSE)=CE389,1,0)</f>
        <v>#N/A</v>
      </c>
      <c r="FR389" s="138" t="e">
        <f>IF(VLOOKUP(CONCATENATE(H389,F389,FR$2),GeoHis!$A:$H,7,FALSE)=CF389,1,0)</f>
        <v>#N/A</v>
      </c>
      <c r="FS389" s="138" t="e">
        <f>IF(VLOOKUP(CONCATENATE(H389,F389,FS$2),GeoHis!$A:$H,7,FALSE)=CG389,1,0)</f>
        <v>#N/A</v>
      </c>
      <c r="FT389" s="138" t="e">
        <f>IF(VLOOKUP(CONCATENATE(H389,F389,FT$2),GeoHis!$A:$H,7,FALSE)=CH389,1,0)</f>
        <v>#N/A</v>
      </c>
      <c r="FU389" s="138" t="e">
        <f>IF(VLOOKUP(CONCATENATE(H389,F389,FU$2),GeoHis!$A:$H,7,FALSE)=CI389,1,0)</f>
        <v>#N/A</v>
      </c>
      <c r="FV389" s="138" t="e">
        <f>IF(VLOOKUP(CONCATENATE(H389,F389,FV$2),GeoHis!$A:$H,7,FALSE)=CJ389,1,0)</f>
        <v>#N/A</v>
      </c>
      <c r="FW389" s="138" t="e">
        <f>IF(VLOOKUP(CONCATENATE(H389,F389,FW$2),GeoHis!$A:$H,7,FALSE)=CK389,1,0)</f>
        <v>#N/A</v>
      </c>
      <c r="FX389" s="138" t="e">
        <f>IF(VLOOKUP(CONCATENATE(H389,F389,FX$2),GeoHis!$A:$H,7,FALSE)=CL389,1,0)</f>
        <v>#N/A</v>
      </c>
      <c r="FY389" s="138" t="e">
        <f>IF(VLOOKUP(CONCATENATE(H389,F389,FY$2),GeoHis!$A:$H,7,FALSE)=CM389,1,0)</f>
        <v>#N/A</v>
      </c>
      <c r="FZ389" s="138" t="e">
        <f>IF(VLOOKUP(CONCATENATE(H389,F389,FZ$2),GeoHis!$A:$H,7,FALSE)=CN389,1,0)</f>
        <v>#N/A</v>
      </c>
      <c r="GA389" s="138" t="e">
        <f>IF(VLOOKUP(CONCATENATE(H389,F389,GA$2),GeoHis!$A:$H,7,FALSE)=CO389,1,0)</f>
        <v>#N/A</v>
      </c>
      <c r="GB389" s="138" t="e">
        <f>IF(VLOOKUP(CONCATENATE(H389,F389,GB$2),GeoHis!$A:$H,7,FALSE)=CP389,1,0)</f>
        <v>#N/A</v>
      </c>
      <c r="GC389" s="138" t="e">
        <f>IF(VLOOKUP(CONCATENATE(H389,F389,GC$2),GeoHis!$A:$H,7,FALSE)=CQ389,1,0)</f>
        <v>#N/A</v>
      </c>
      <c r="GD389" s="138" t="e">
        <f>IF(VLOOKUP(CONCATENATE(H389,F389,GD$2),GeoHis!$A:$H,7,FALSE)=CR389,1,0)</f>
        <v>#N/A</v>
      </c>
      <c r="GE389" s="135" t="str">
        <f t="shared" si="55"/>
        <v/>
      </c>
    </row>
    <row r="390" spans="1:187" x14ac:dyDescent="0.25">
      <c r="A390" s="127" t="str">
        <f>IF(C390="","",'Datos Generales'!$A$25)</f>
        <v/>
      </c>
      <c r="D390" s="126" t="str">
        <f t="shared" si="48"/>
        <v/>
      </c>
      <c r="E390" s="126">
        <f t="shared" si="49"/>
        <v>0</v>
      </c>
      <c r="F390" s="126" t="str">
        <f t="shared" si="50"/>
        <v/>
      </c>
      <c r="G390" s="126" t="str">
        <f>IF(C390="","",'Datos Generales'!$D$19)</f>
        <v/>
      </c>
      <c r="H390" s="21" t="str">
        <f>IF(C390="","",'Datos Generales'!$A$19)</f>
        <v/>
      </c>
      <c r="I390" s="126" t="str">
        <f>IF(C390="","",'Datos Generales'!$A$7)</f>
        <v/>
      </c>
      <c r="J390" s="21" t="str">
        <f>IF(C390="","",'Datos Generales'!$A$13)</f>
        <v/>
      </c>
      <c r="K390" s="21" t="str">
        <f>IF(C390="","",'Datos Generales'!$A$10)</f>
        <v/>
      </c>
      <c r="CS390" s="142" t="str">
        <f t="shared" si="51"/>
        <v/>
      </c>
      <c r="CT390" s="142" t="str">
        <f t="shared" si="52"/>
        <v/>
      </c>
      <c r="CU390" s="142" t="str">
        <f t="shared" si="53"/>
        <v/>
      </c>
      <c r="CV390" s="142" t="str">
        <f t="shared" si="54"/>
        <v/>
      </c>
      <c r="CW390" s="142" t="str">
        <f>IF(C390="","",IF('Datos Generales'!$A$19=1,AVERAGE(FP390:GD390),AVERAGE(Captura!FP390:FY390)))</f>
        <v/>
      </c>
      <c r="CX390" s="138" t="e">
        <f>IF(VLOOKUP(CONCATENATE($H$4,$F$4,CX$2),Español!$A:$H,7,FALSE)=L390,1,0)</f>
        <v>#N/A</v>
      </c>
      <c r="CY390" s="138" t="e">
        <f>IF(VLOOKUP(CONCATENATE(H390,F390,CY$2),Español!$A:$H,7,FALSE)=M390,1,0)</f>
        <v>#N/A</v>
      </c>
      <c r="CZ390" s="138" t="e">
        <f>IF(VLOOKUP(CONCATENATE(H390,F390,CZ$2),Español!$A:$H,7,FALSE)=N390,1,0)</f>
        <v>#N/A</v>
      </c>
      <c r="DA390" s="138" t="e">
        <f>IF(VLOOKUP(CONCATENATE(H390,F390,DA$2),Español!$A:$H,7,FALSE)=O390,1,0)</f>
        <v>#N/A</v>
      </c>
      <c r="DB390" s="138" t="e">
        <f>IF(VLOOKUP(CONCATENATE(H390,F390,DB$2),Español!$A:$H,7,FALSE)=P390,1,0)</f>
        <v>#N/A</v>
      </c>
      <c r="DC390" s="138" t="e">
        <f>IF(VLOOKUP(CONCATENATE(H390,F390,DC$2),Español!$A:$H,7,FALSE)=Q390,1,0)</f>
        <v>#N/A</v>
      </c>
      <c r="DD390" s="138" t="e">
        <f>IF(VLOOKUP(CONCATENATE(H390,F390,DD$2),Español!$A:$H,7,FALSE)=R390,1,0)</f>
        <v>#N/A</v>
      </c>
      <c r="DE390" s="138" t="e">
        <f>IF(VLOOKUP(CONCATENATE(H390,F390,DE$2),Español!$A:$H,7,FALSE)=S390,1,0)</f>
        <v>#N/A</v>
      </c>
      <c r="DF390" s="138" t="e">
        <f>IF(VLOOKUP(CONCATENATE(H390,F390,DF$2),Español!$A:$H,7,FALSE)=T390,1,0)</f>
        <v>#N/A</v>
      </c>
      <c r="DG390" s="138" t="e">
        <f>IF(VLOOKUP(CONCATENATE(H390,F390,DG$2),Español!$A:$H,7,FALSE)=U390,1,0)</f>
        <v>#N/A</v>
      </c>
      <c r="DH390" s="138" t="e">
        <f>IF(VLOOKUP(CONCATENATE(H390,F390,DH$2),Español!$A:$H,7,FALSE)=V390,1,0)</f>
        <v>#N/A</v>
      </c>
      <c r="DI390" s="138" t="e">
        <f>IF(VLOOKUP(CONCATENATE(H390,F390,DI$2),Español!$A:$H,7,FALSE)=W390,1,0)</f>
        <v>#N/A</v>
      </c>
      <c r="DJ390" s="138" t="e">
        <f>IF(VLOOKUP(CONCATENATE(H390,F390,DJ$2),Español!$A:$H,7,FALSE)=X390,1,0)</f>
        <v>#N/A</v>
      </c>
      <c r="DK390" s="138" t="e">
        <f>IF(VLOOKUP(CONCATENATE(H390,F390,DK$2),Español!$A:$H,7,FALSE)=Y390,1,0)</f>
        <v>#N/A</v>
      </c>
      <c r="DL390" s="138" t="e">
        <f>IF(VLOOKUP(CONCATENATE(H390,F390,DL$2),Español!$A:$H,7,FALSE)=Z390,1,0)</f>
        <v>#N/A</v>
      </c>
      <c r="DM390" s="138" t="e">
        <f>IF(VLOOKUP(CONCATENATE(H390,F390,DM$2),Español!$A:$H,7,FALSE)=AA390,1,0)</f>
        <v>#N/A</v>
      </c>
      <c r="DN390" s="138" t="e">
        <f>IF(VLOOKUP(CONCATENATE(H390,F390,DN$2),Español!$A:$H,7,FALSE)=AB390,1,0)</f>
        <v>#N/A</v>
      </c>
      <c r="DO390" s="138" t="e">
        <f>IF(VLOOKUP(CONCATENATE(H390,F390,DO$2),Español!$A:$H,7,FALSE)=AC390,1,0)</f>
        <v>#N/A</v>
      </c>
      <c r="DP390" s="138" t="e">
        <f>IF(VLOOKUP(CONCATENATE(H390,F390,DP$2),Español!$A:$H,7,FALSE)=AD390,1,0)</f>
        <v>#N/A</v>
      </c>
      <c r="DQ390" s="138" t="e">
        <f>IF(VLOOKUP(CONCATENATE(H390,F390,DQ$2),Español!$A:$H,7,FALSE)=AE390,1,0)</f>
        <v>#N/A</v>
      </c>
      <c r="DR390" s="138" t="e">
        <f>IF(VLOOKUP(CONCATENATE(H390,F390,DR$2),Inglés!$A:$H,7,FALSE)=AF390,1,0)</f>
        <v>#N/A</v>
      </c>
      <c r="DS390" s="138" t="e">
        <f>IF(VLOOKUP(CONCATENATE(H390,F390,DS$2),Inglés!$A:$H,7,FALSE)=AG390,1,0)</f>
        <v>#N/A</v>
      </c>
      <c r="DT390" s="138" t="e">
        <f>IF(VLOOKUP(CONCATENATE(H390,F390,DT$2),Inglés!$A:$H,7,FALSE)=AH390,1,0)</f>
        <v>#N/A</v>
      </c>
      <c r="DU390" s="138" t="e">
        <f>IF(VLOOKUP(CONCATENATE(H390,F390,DU$2),Inglés!$A:$H,7,FALSE)=AI390,1,0)</f>
        <v>#N/A</v>
      </c>
      <c r="DV390" s="138" t="e">
        <f>IF(VLOOKUP(CONCATENATE(H390,F390,DV$2),Inglés!$A:$H,7,FALSE)=AJ390,1,0)</f>
        <v>#N/A</v>
      </c>
      <c r="DW390" s="138" t="e">
        <f>IF(VLOOKUP(CONCATENATE(H390,F390,DW$2),Inglés!$A:$H,7,FALSE)=AK390,1,0)</f>
        <v>#N/A</v>
      </c>
      <c r="DX390" s="138" t="e">
        <f>IF(VLOOKUP(CONCATENATE(H390,F390,DX$2),Inglés!$A:$H,7,FALSE)=AL390,1,0)</f>
        <v>#N/A</v>
      </c>
      <c r="DY390" s="138" t="e">
        <f>IF(VLOOKUP(CONCATENATE(H390,F390,DY$2),Inglés!$A:$H,7,FALSE)=AM390,1,0)</f>
        <v>#N/A</v>
      </c>
      <c r="DZ390" s="138" t="e">
        <f>IF(VLOOKUP(CONCATENATE(H390,F390,DZ$2),Inglés!$A:$H,7,FALSE)=AN390,1,0)</f>
        <v>#N/A</v>
      </c>
      <c r="EA390" s="138" t="e">
        <f>IF(VLOOKUP(CONCATENATE(H390,F390,EA$2),Inglés!$A:$H,7,FALSE)=AO390,1,0)</f>
        <v>#N/A</v>
      </c>
      <c r="EB390" s="138" t="e">
        <f>IF(VLOOKUP(CONCATENATE(H390,F390,EB$2),Matemáticas!$A:$H,7,FALSE)=AP390,1,0)</f>
        <v>#N/A</v>
      </c>
      <c r="EC390" s="138" t="e">
        <f>IF(VLOOKUP(CONCATENATE(H390,F390,EC$2),Matemáticas!$A:$H,7,FALSE)=AQ390,1,0)</f>
        <v>#N/A</v>
      </c>
      <c r="ED390" s="138" t="e">
        <f>IF(VLOOKUP(CONCATENATE(H390,F390,ED$2),Matemáticas!$A:$H,7,FALSE)=AR390,1,0)</f>
        <v>#N/A</v>
      </c>
      <c r="EE390" s="138" t="e">
        <f>IF(VLOOKUP(CONCATENATE(H390,F390,EE$2),Matemáticas!$A:$H,7,FALSE)=AS390,1,0)</f>
        <v>#N/A</v>
      </c>
      <c r="EF390" s="138" t="e">
        <f>IF(VLOOKUP(CONCATENATE(H390,F390,EF$2),Matemáticas!$A:$H,7,FALSE)=AT390,1,0)</f>
        <v>#N/A</v>
      </c>
      <c r="EG390" s="138" t="e">
        <f>IF(VLOOKUP(CONCATENATE(H390,F390,EG$2),Matemáticas!$A:$H,7,FALSE)=AU390,1,0)</f>
        <v>#N/A</v>
      </c>
      <c r="EH390" s="138" t="e">
        <f>IF(VLOOKUP(CONCATENATE(H390,F390,EH$2),Matemáticas!$A:$H,7,FALSE)=AV390,1,0)</f>
        <v>#N/A</v>
      </c>
      <c r="EI390" s="138" t="e">
        <f>IF(VLOOKUP(CONCATENATE(H390,F390,EI$2),Matemáticas!$A:$H,7,FALSE)=AW390,1,0)</f>
        <v>#N/A</v>
      </c>
      <c r="EJ390" s="138" t="e">
        <f>IF(VLOOKUP(CONCATENATE(H390,F390,EJ$2),Matemáticas!$A:$H,7,FALSE)=AX390,1,0)</f>
        <v>#N/A</v>
      </c>
      <c r="EK390" s="138" t="e">
        <f>IF(VLOOKUP(CONCATENATE(H390,F390,EK$2),Matemáticas!$A:$H,7,FALSE)=AY390,1,0)</f>
        <v>#N/A</v>
      </c>
      <c r="EL390" s="138" t="e">
        <f>IF(VLOOKUP(CONCATENATE(H390,F390,EL$2),Matemáticas!$A:$H,7,FALSE)=AZ390,1,0)</f>
        <v>#N/A</v>
      </c>
      <c r="EM390" s="138" t="e">
        <f>IF(VLOOKUP(CONCATENATE(H390,F390,EM$2),Matemáticas!$A:$H,7,FALSE)=BA390,1,0)</f>
        <v>#N/A</v>
      </c>
      <c r="EN390" s="138" t="e">
        <f>IF(VLOOKUP(CONCATENATE(H390,F390,EN$2),Matemáticas!$A:$H,7,FALSE)=BB390,1,0)</f>
        <v>#N/A</v>
      </c>
      <c r="EO390" s="138" t="e">
        <f>IF(VLOOKUP(CONCATENATE(H390,F390,EO$2),Matemáticas!$A:$H,7,FALSE)=BC390,1,0)</f>
        <v>#N/A</v>
      </c>
      <c r="EP390" s="138" t="e">
        <f>IF(VLOOKUP(CONCATENATE(H390,F390,EP$2),Matemáticas!$A:$H,7,FALSE)=BD390,1,0)</f>
        <v>#N/A</v>
      </c>
      <c r="EQ390" s="138" t="e">
        <f>IF(VLOOKUP(CONCATENATE(H390,F390,EQ$2),Matemáticas!$A:$H,7,FALSE)=BE390,1,0)</f>
        <v>#N/A</v>
      </c>
      <c r="ER390" s="138" t="e">
        <f>IF(VLOOKUP(CONCATENATE(H390,F390,ER$2),Matemáticas!$A:$H,7,FALSE)=BF390,1,0)</f>
        <v>#N/A</v>
      </c>
      <c r="ES390" s="138" t="e">
        <f>IF(VLOOKUP(CONCATENATE(H390,F390,ES$2),Matemáticas!$A:$H,7,FALSE)=BG390,1,0)</f>
        <v>#N/A</v>
      </c>
      <c r="ET390" s="138" t="e">
        <f>IF(VLOOKUP(CONCATENATE(H390,F390,ET$2),Matemáticas!$A:$H,7,FALSE)=BH390,1,0)</f>
        <v>#N/A</v>
      </c>
      <c r="EU390" s="138" t="e">
        <f>IF(VLOOKUP(CONCATENATE(H390,F390,EU$2),Matemáticas!$A:$H,7,FALSE)=BI390,1,0)</f>
        <v>#N/A</v>
      </c>
      <c r="EV390" s="138" t="e">
        <f>IF(VLOOKUP(CONCATENATE(H390,F390,EV$2),Ciencias!$A:$H,7,FALSE)=BJ390,1,0)</f>
        <v>#N/A</v>
      </c>
      <c r="EW390" s="138" t="e">
        <f>IF(VLOOKUP(CONCATENATE(H390,F390,EW$2),Ciencias!$A:$H,7,FALSE)=BK390,1,0)</f>
        <v>#N/A</v>
      </c>
      <c r="EX390" s="138" t="e">
        <f>IF(VLOOKUP(CONCATENATE(H390,F390,EX$2),Ciencias!$A:$H,7,FALSE)=BL390,1,0)</f>
        <v>#N/A</v>
      </c>
      <c r="EY390" s="138" t="e">
        <f>IF(VLOOKUP(CONCATENATE(H390,F390,EY$2),Ciencias!$A:$H,7,FALSE)=BM390,1,0)</f>
        <v>#N/A</v>
      </c>
      <c r="EZ390" s="138" t="e">
        <f>IF(VLOOKUP(CONCATENATE(H390,F390,EZ$2),Ciencias!$A:$H,7,FALSE)=BN390,1,0)</f>
        <v>#N/A</v>
      </c>
      <c r="FA390" s="138" t="e">
        <f>IF(VLOOKUP(CONCATENATE(H390,F390,FA$2),Ciencias!$A:$H,7,FALSE)=BO390,1,0)</f>
        <v>#N/A</v>
      </c>
      <c r="FB390" s="138" t="e">
        <f>IF(VLOOKUP(CONCATENATE(H390,F390,FB$2),Ciencias!$A:$H,7,FALSE)=BP390,1,0)</f>
        <v>#N/A</v>
      </c>
      <c r="FC390" s="138" t="e">
        <f>IF(VLOOKUP(CONCATENATE(H390,F390,FC$2),Ciencias!$A:$H,7,FALSE)=BQ390,1,0)</f>
        <v>#N/A</v>
      </c>
      <c r="FD390" s="138" t="e">
        <f>IF(VLOOKUP(CONCATENATE(H390,F390,FD$2),Ciencias!$A:$H,7,FALSE)=BR390,1,0)</f>
        <v>#N/A</v>
      </c>
      <c r="FE390" s="138" t="e">
        <f>IF(VLOOKUP(CONCATENATE(H390,F390,FE$2),Ciencias!$A:$H,7,FALSE)=BS390,1,0)</f>
        <v>#N/A</v>
      </c>
      <c r="FF390" s="138" t="e">
        <f>IF(VLOOKUP(CONCATENATE(H390,F390,FF$2),Ciencias!$A:$H,7,FALSE)=BT390,1,0)</f>
        <v>#N/A</v>
      </c>
      <c r="FG390" s="138" t="e">
        <f>IF(VLOOKUP(CONCATENATE(H390,F390,FG$2),Ciencias!$A:$H,7,FALSE)=BU390,1,0)</f>
        <v>#N/A</v>
      </c>
      <c r="FH390" s="138" t="e">
        <f>IF(VLOOKUP(CONCATENATE(H390,F390,FH$2),Ciencias!$A:$H,7,FALSE)=BV390,1,0)</f>
        <v>#N/A</v>
      </c>
      <c r="FI390" s="138" t="e">
        <f>IF(VLOOKUP(CONCATENATE(H390,F390,FI$2),Ciencias!$A:$H,7,FALSE)=BW390,1,0)</f>
        <v>#N/A</v>
      </c>
      <c r="FJ390" s="138" t="e">
        <f>IF(VLOOKUP(CONCATENATE(H390,F390,FJ$2),Ciencias!$A:$H,7,FALSE)=BX390,1,0)</f>
        <v>#N/A</v>
      </c>
      <c r="FK390" s="138" t="e">
        <f>IF(VLOOKUP(CONCATENATE(H390,F390,FK$2),Ciencias!$A:$H,7,FALSE)=BY390,1,0)</f>
        <v>#N/A</v>
      </c>
      <c r="FL390" s="138" t="e">
        <f>IF(VLOOKUP(CONCATENATE(H390,F390,FL$2),Ciencias!$A:$H,7,FALSE)=BZ390,1,0)</f>
        <v>#N/A</v>
      </c>
      <c r="FM390" s="138" t="e">
        <f>IF(VLOOKUP(CONCATENATE(H390,F390,FM$2),Ciencias!$A:$H,7,FALSE)=CA390,1,0)</f>
        <v>#N/A</v>
      </c>
      <c r="FN390" s="138" t="e">
        <f>IF(VLOOKUP(CONCATENATE(H390,F390,FN$2),Ciencias!$A:$H,7,FALSE)=CB390,1,0)</f>
        <v>#N/A</v>
      </c>
      <c r="FO390" s="138" t="e">
        <f>IF(VLOOKUP(CONCATENATE(H390,F390,FO$2),Ciencias!$A:$H,7,FALSE)=CC390,1,0)</f>
        <v>#N/A</v>
      </c>
      <c r="FP390" s="138" t="e">
        <f>IF(VLOOKUP(CONCATENATE(H390,F390,FP$2),GeoHis!$A:$H,7,FALSE)=CD390,1,0)</f>
        <v>#N/A</v>
      </c>
      <c r="FQ390" s="138" t="e">
        <f>IF(VLOOKUP(CONCATENATE(H390,F390,FQ$2),GeoHis!$A:$H,7,FALSE)=CE390,1,0)</f>
        <v>#N/A</v>
      </c>
      <c r="FR390" s="138" t="e">
        <f>IF(VLOOKUP(CONCATENATE(H390,F390,FR$2),GeoHis!$A:$H,7,FALSE)=CF390,1,0)</f>
        <v>#N/A</v>
      </c>
      <c r="FS390" s="138" t="e">
        <f>IF(VLOOKUP(CONCATENATE(H390,F390,FS$2),GeoHis!$A:$H,7,FALSE)=CG390,1,0)</f>
        <v>#N/A</v>
      </c>
      <c r="FT390" s="138" t="e">
        <f>IF(VLOOKUP(CONCATENATE(H390,F390,FT$2),GeoHis!$A:$H,7,FALSE)=CH390,1,0)</f>
        <v>#N/A</v>
      </c>
      <c r="FU390" s="138" t="e">
        <f>IF(VLOOKUP(CONCATENATE(H390,F390,FU$2),GeoHis!$A:$H,7,FALSE)=CI390,1,0)</f>
        <v>#N/A</v>
      </c>
      <c r="FV390" s="138" t="e">
        <f>IF(VLOOKUP(CONCATENATE(H390,F390,FV$2),GeoHis!$A:$H,7,FALSE)=CJ390,1,0)</f>
        <v>#N/A</v>
      </c>
      <c r="FW390" s="138" t="e">
        <f>IF(VLOOKUP(CONCATENATE(H390,F390,FW$2),GeoHis!$A:$H,7,FALSE)=CK390,1,0)</f>
        <v>#N/A</v>
      </c>
      <c r="FX390" s="138" t="e">
        <f>IF(VLOOKUP(CONCATENATE(H390,F390,FX$2),GeoHis!$A:$H,7,FALSE)=CL390,1,0)</f>
        <v>#N/A</v>
      </c>
      <c r="FY390" s="138" t="e">
        <f>IF(VLOOKUP(CONCATENATE(H390,F390,FY$2),GeoHis!$A:$H,7,FALSE)=CM390,1,0)</f>
        <v>#N/A</v>
      </c>
      <c r="FZ390" s="138" t="e">
        <f>IF(VLOOKUP(CONCATENATE(H390,F390,FZ$2),GeoHis!$A:$H,7,FALSE)=CN390,1,0)</f>
        <v>#N/A</v>
      </c>
      <c r="GA390" s="138" t="e">
        <f>IF(VLOOKUP(CONCATENATE(H390,F390,GA$2),GeoHis!$A:$H,7,FALSE)=CO390,1,0)</f>
        <v>#N/A</v>
      </c>
      <c r="GB390" s="138" t="e">
        <f>IF(VLOOKUP(CONCATENATE(H390,F390,GB$2),GeoHis!$A:$H,7,FALSE)=CP390,1,0)</f>
        <v>#N/A</v>
      </c>
      <c r="GC390" s="138" t="e">
        <f>IF(VLOOKUP(CONCATENATE(H390,F390,GC$2),GeoHis!$A:$H,7,FALSE)=CQ390,1,0)</f>
        <v>#N/A</v>
      </c>
      <c r="GD390" s="138" t="e">
        <f>IF(VLOOKUP(CONCATENATE(H390,F390,GD$2),GeoHis!$A:$H,7,FALSE)=CR390,1,0)</f>
        <v>#N/A</v>
      </c>
      <c r="GE390" s="135" t="str">
        <f t="shared" si="55"/>
        <v/>
      </c>
    </row>
    <row r="391" spans="1:187" x14ac:dyDescent="0.25">
      <c r="A391" s="127" t="str">
        <f>IF(C391="","",'Datos Generales'!$A$25)</f>
        <v/>
      </c>
      <c r="D391" s="126" t="str">
        <f t="shared" si="48"/>
        <v/>
      </c>
      <c r="E391" s="126">
        <f t="shared" si="49"/>
        <v>0</v>
      </c>
      <c r="F391" s="126" t="str">
        <f t="shared" si="50"/>
        <v/>
      </c>
      <c r="G391" s="126" t="str">
        <f>IF(C391="","",'Datos Generales'!$D$19)</f>
        <v/>
      </c>
      <c r="H391" s="21" t="str">
        <f>IF(C391="","",'Datos Generales'!$A$19)</f>
        <v/>
      </c>
      <c r="I391" s="126" t="str">
        <f>IF(C391="","",'Datos Generales'!$A$7)</f>
        <v/>
      </c>
      <c r="J391" s="21" t="str">
        <f>IF(C391="","",'Datos Generales'!$A$13)</f>
        <v/>
      </c>
      <c r="K391" s="21" t="str">
        <f>IF(C391="","",'Datos Generales'!$A$10)</f>
        <v/>
      </c>
      <c r="CS391" s="142" t="str">
        <f t="shared" si="51"/>
        <v/>
      </c>
      <c r="CT391" s="142" t="str">
        <f t="shared" si="52"/>
        <v/>
      </c>
      <c r="CU391" s="142" t="str">
        <f t="shared" si="53"/>
        <v/>
      </c>
      <c r="CV391" s="142" t="str">
        <f t="shared" si="54"/>
        <v/>
      </c>
      <c r="CW391" s="142" t="str">
        <f>IF(C391="","",IF('Datos Generales'!$A$19=1,AVERAGE(FP391:GD391),AVERAGE(Captura!FP391:FY391)))</f>
        <v/>
      </c>
      <c r="CX391" s="138" t="e">
        <f>IF(VLOOKUP(CONCATENATE($H$4,$F$4,CX$2),Español!$A:$H,7,FALSE)=L391,1,0)</f>
        <v>#N/A</v>
      </c>
      <c r="CY391" s="138" t="e">
        <f>IF(VLOOKUP(CONCATENATE(H391,F391,CY$2),Español!$A:$H,7,FALSE)=M391,1,0)</f>
        <v>#N/A</v>
      </c>
      <c r="CZ391" s="138" t="e">
        <f>IF(VLOOKUP(CONCATENATE(H391,F391,CZ$2),Español!$A:$H,7,FALSE)=N391,1,0)</f>
        <v>#N/A</v>
      </c>
      <c r="DA391" s="138" t="e">
        <f>IF(VLOOKUP(CONCATENATE(H391,F391,DA$2),Español!$A:$H,7,FALSE)=O391,1,0)</f>
        <v>#N/A</v>
      </c>
      <c r="DB391" s="138" t="e">
        <f>IF(VLOOKUP(CONCATENATE(H391,F391,DB$2),Español!$A:$H,7,FALSE)=P391,1,0)</f>
        <v>#N/A</v>
      </c>
      <c r="DC391" s="138" t="e">
        <f>IF(VLOOKUP(CONCATENATE(H391,F391,DC$2),Español!$A:$H,7,FALSE)=Q391,1,0)</f>
        <v>#N/A</v>
      </c>
      <c r="DD391" s="138" t="e">
        <f>IF(VLOOKUP(CONCATENATE(H391,F391,DD$2),Español!$A:$H,7,FALSE)=R391,1,0)</f>
        <v>#N/A</v>
      </c>
      <c r="DE391" s="138" t="e">
        <f>IF(VLOOKUP(CONCATENATE(H391,F391,DE$2),Español!$A:$H,7,FALSE)=S391,1,0)</f>
        <v>#N/A</v>
      </c>
      <c r="DF391" s="138" t="e">
        <f>IF(VLOOKUP(CONCATENATE(H391,F391,DF$2),Español!$A:$H,7,FALSE)=T391,1,0)</f>
        <v>#N/A</v>
      </c>
      <c r="DG391" s="138" t="e">
        <f>IF(VLOOKUP(CONCATENATE(H391,F391,DG$2),Español!$A:$H,7,FALSE)=U391,1,0)</f>
        <v>#N/A</v>
      </c>
      <c r="DH391" s="138" t="e">
        <f>IF(VLOOKUP(CONCATENATE(H391,F391,DH$2),Español!$A:$H,7,FALSE)=V391,1,0)</f>
        <v>#N/A</v>
      </c>
      <c r="DI391" s="138" t="e">
        <f>IF(VLOOKUP(CONCATENATE(H391,F391,DI$2),Español!$A:$H,7,FALSE)=W391,1,0)</f>
        <v>#N/A</v>
      </c>
      <c r="DJ391" s="138" t="e">
        <f>IF(VLOOKUP(CONCATENATE(H391,F391,DJ$2),Español!$A:$H,7,FALSE)=X391,1,0)</f>
        <v>#N/A</v>
      </c>
      <c r="DK391" s="138" t="e">
        <f>IF(VLOOKUP(CONCATENATE(H391,F391,DK$2),Español!$A:$H,7,FALSE)=Y391,1,0)</f>
        <v>#N/A</v>
      </c>
      <c r="DL391" s="138" t="e">
        <f>IF(VLOOKUP(CONCATENATE(H391,F391,DL$2),Español!$A:$H,7,FALSE)=Z391,1,0)</f>
        <v>#N/A</v>
      </c>
      <c r="DM391" s="138" t="e">
        <f>IF(VLOOKUP(CONCATENATE(H391,F391,DM$2),Español!$A:$H,7,FALSE)=AA391,1,0)</f>
        <v>#N/A</v>
      </c>
      <c r="DN391" s="138" t="e">
        <f>IF(VLOOKUP(CONCATENATE(H391,F391,DN$2),Español!$A:$H,7,FALSE)=AB391,1,0)</f>
        <v>#N/A</v>
      </c>
      <c r="DO391" s="138" t="e">
        <f>IF(VLOOKUP(CONCATENATE(H391,F391,DO$2),Español!$A:$H,7,FALSE)=AC391,1,0)</f>
        <v>#N/A</v>
      </c>
      <c r="DP391" s="138" t="e">
        <f>IF(VLOOKUP(CONCATENATE(H391,F391,DP$2),Español!$A:$H,7,FALSE)=AD391,1,0)</f>
        <v>#N/A</v>
      </c>
      <c r="DQ391" s="138" t="e">
        <f>IF(VLOOKUP(CONCATENATE(H391,F391,DQ$2),Español!$A:$H,7,FALSE)=AE391,1,0)</f>
        <v>#N/A</v>
      </c>
      <c r="DR391" s="138" t="e">
        <f>IF(VLOOKUP(CONCATENATE(H391,F391,DR$2),Inglés!$A:$H,7,FALSE)=AF391,1,0)</f>
        <v>#N/A</v>
      </c>
      <c r="DS391" s="138" t="e">
        <f>IF(VLOOKUP(CONCATENATE(H391,F391,DS$2),Inglés!$A:$H,7,FALSE)=AG391,1,0)</f>
        <v>#N/A</v>
      </c>
      <c r="DT391" s="138" t="e">
        <f>IF(VLOOKUP(CONCATENATE(H391,F391,DT$2),Inglés!$A:$H,7,FALSE)=AH391,1,0)</f>
        <v>#N/A</v>
      </c>
      <c r="DU391" s="138" t="e">
        <f>IF(VLOOKUP(CONCATENATE(H391,F391,DU$2),Inglés!$A:$H,7,FALSE)=AI391,1,0)</f>
        <v>#N/A</v>
      </c>
      <c r="DV391" s="138" t="e">
        <f>IF(VLOOKUP(CONCATENATE(H391,F391,DV$2),Inglés!$A:$H,7,FALSE)=AJ391,1,0)</f>
        <v>#N/A</v>
      </c>
      <c r="DW391" s="138" t="e">
        <f>IF(VLOOKUP(CONCATENATE(H391,F391,DW$2),Inglés!$A:$H,7,FALSE)=AK391,1,0)</f>
        <v>#N/A</v>
      </c>
      <c r="DX391" s="138" t="e">
        <f>IF(VLOOKUP(CONCATENATE(H391,F391,DX$2),Inglés!$A:$H,7,FALSE)=AL391,1,0)</f>
        <v>#N/A</v>
      </c>
      <c r="DY391" s="138" t="e">
        <f>IF(VLOOKUP(CONCATENATE(H391,F391,DY$2),Inglés!$A:$H,7,FALSE)=AM391,1,0)</f>
        <v>#N/A</v>
      </c>
      <c r="DZ391" s="138" t="e">
        <f>IF(VLOOKUP(CONCATENATE(H391,F391,DZ$2),Inglés!$A:$H,7,FALSE)=AN391,1,0)</f>
        <v>#N/A</v>
      </c>
      <c r="EA391" s="138" t="e">
        <f>IF(VLOOKUP(CONCATENATE(H391,F391,EA$2),Inglés!$A:$H,7,FALSE)=AO391,1,0)</f>
        <v>#N/A</v>
      </c>
      <c r="EB391" s="138" t="e">
        <f>IF(VLOOKUP(CONCATENATE(H391,F391,EB$2),Matemáticas!$A:$H,7,FALSE)=AP391,1,0)</f>
        <v>#N/A</v>
      </c>
      <c r="EC391" s="138" t="e">
        <f>IF(VLOOKUP(CONCATENATE(H391,F391,EC$2),Matemáticas!$A:$H,7,FALSE)=AQ391,1,0)</f>
        <v>#N/A</v>
      </c>
      <c r="ED391" s="138" t="e">
        <f>IF(VLOOKUP(CONCATENATE(H391,F391,ED$2),Matemáticas!$A:$H,7,FALSE)=AR391,1,0)</f>
        <v>#N/A</v>
      </c>
      <c r="EE391" s="138" t="e">
        <f>IF(VLOOKUP(CONCATENATE(H391,F391,EE$2),Matemáticas!$A:$H,7,FALSE)=AS391,1,0)</f>
        <v>#N/A</v>
      </c>
      <c r="EF391" s="138" t="e">
        <f>IF(VLOOKUP(CONCATENATE(H391,F391,EF$2),Matemáticas!$A:$H,7,FALSE)=AT391,1,0)</f>
        <v>#N/A</v>
      </c>
      <c r="EG391" s="138" t="e">
        <f>IF(VLOOKUP(CONCATENATE(H391,F391,EG$2),Matemáticas!$A:$H,7,FALSE)=AU391,1,0)</f>
        <v>#N/A</v>
      </c>
      <c r="EH391" s="138" t="e">
        <f>IF(VLOOKUP(CONCATENATE(H391,F391,EH$2),Matemáticas!$A:$H,7,FALSE)=AV391,1,0)</f>
        <v>#N/A</v>
      </c>
      <c r="EI391" s="138" t="e">
        <f>IF(VLOOKUP(CONCATENATE(H391,F391,EI$2),Matemáticas!$A:$H,7,FALSE)=AW391,1,0)</f>
        <v>#N/A</v>
      </c>
      <c r="EJ391" s="138" t="e">
        <f>IF(VLOOKUP(CONCATENATE(H391,F391,EJ$2),Matemáticas!$A:$H,7,FALSE)=AX391,1,0)</f>
        <v>#N/A</v>
      </c>
      <c r="EK391" s="138" t="e">
        <f>IF(VLOOKUP(CONCATENATE(H391,F391,EK$2),Matemáticas!$A:$H,7,FALSE)=AY391,1,0)</f>
        <v>#N/A</v>
      </c>
      <c r="EL391" s="138" t="e">
        <f>IF(VLOOKUP(CONCATENATE(H391,F391,EL$2),Matemáticas!$A:$H,7,FALSE)=AZ391,1,0)</f>
        <v>#N/A</v>
      </c>
      <c r="EM391" s="138" t="e">
        <f>IF(VLOOKUP(CONCATENATE(H391,F391,EM$2),Matemáticas!$A:$H,7,FALSE)=BA391,1,0)</f>
        <v>#N/A</v>
      </c>
      <c r="EN391" s="138" t="e">
        <f>IF(VLOOKUP(CONCATENATE(H391,F391,EN$2),Matemáticas!$A:$H,7,FALSE)=BB391,1,0)</f>
        <v>#N/A</v>
      </c>
      <c r="EO391" s="138" t="e">
        <f>IF(VLOOKUP(CONCATENATE(H391,F391,EO$2),Matemáticas!$A:$H,7,FALSE)=BC391,1,0)</f>
        <v>#N/A</v>
      </c>
      <c r="EP391" s="138" t="e">
        <f>IF(VLOOKUP(CONCATENATE(H391,F391,EP$2),Matemáticas!$A:$H,7,FALSE)=BD391,1,0)</f>
        <v>#N/A</v>
      </c>
      <c r="EQ391" s="138" t="e">
        <f>IF(VLOOKUP(CONCATENATE(H391,F391,EQ$2),Matemáticas!$A:$H,7,FALSE)=BE391,1,0)</f>
        <v>#N/A</v>
      </c>
      <c r="ER391" s="138" t="e">
        <f>IF(VLOOKUP(CONCATENATE(H391,F391,ER$2),Matemáticas!$A:$H,7,FALSE)=BF391,1,0)</f>
        <v>#N/A</v>
      </c>
      <c r="ES391" s="138" t="e">
        <f>IF(VLOOKUP(CONCATENATE(H391,F391,ES$2),Matemáticas!$A:$H,7,FALSE)=BG391,1,0)</f>
        <v>#N/A</v>
      </c>
      <c r="ET391" s="138" t="e">
        <f>IF(VLOOKUP(CONCATENATE(H391,F391,ET$2),Matemáticas!$A:$H,7,FALSE)=BH391,1,0)</f>
        <v>#N/A</v>
      </c>
      <c r="EU391" s="138" t="e">
        <f>IF(VLOOKUP(CONCATENATE(H391,F391,EU$2),Matemáticas!$A:$H,7,FALSE)=BI391,1,0)</f>
        <v>#N/A</v>
      </c>
      <c r="EV391" s="138" t="e">
        <f>IF(VLOOKUP(CONCATENATE(H391,F391,EV$2),Ciencias!$A:$H,7,FALSE)=BJ391,1,0)</f>
        <v>#N/A</v>
      </c>
      <c r="EW391" s="138" t="e">
        <f>IF(VLOOKUP(CONCATENATE(H391,F391,EW$2),Ciencias!$A:$H,7,FALSE)=BK391,1,0)</f>
        <v>#N/A</v>
      </c>
      <c r="EX391" s="138" t="e">
        <f>IF(VLOOKUP(CONCATENATE(H391,F391,EX$2),Ciencias!$A:$H,7,FALSE)=BL391,1,0)</f>
        <v>#N/A</v>
      </c>
      <c r="EY391" s="138" t="e">
        <f>IF(VLOOKUP(CONCATENATE(H391,F391,EY$2),Ciencias!$A:$H,7,FALSE)=BM391,1,0)</f>
        <v>#N/A</v>
      </c>
      <c r="EZ391" s="138" t="e">
        <f>IF(VLOOKUP(CONCATENATE(H391,F391,EZ$2),Ciencias!$A:$H,7,FALSE)=BN391,1,0)</f>
        <v>#N/A</v>
      </c>
      <c r="FA391" s="138" t="e">
        <f>IF(VLOOKUP(CONCATENATE(H391,F391,FA$2),Ciencias!$A:$H,7,FALSE)=BO391,1,0)</f>
        <v>#N/A</v>
      </c>
      <c r="FB391" s="138" t="e">
        <f>IF(VLOOKUP(CONCATENATE(H391,F391,FB$2),Ciencias!$A:$H,7,FALSE)=BP391,1,0)</f>
        <v>#N/A</v>
      </c>
      <c r="FC391" s="138" t="e">
        <f>IF(VLOOKUP(CONCATENATE(H391,F391,FC$2),Ciencias!$A:$H,7,FALSE)=BQ391,1,0)</f>
        <v>#N/A</v>
      </c>
      <c r="FD391" s="138" t="e">
        <f>IF(VLOOKUP(CONCATENATE(H391,F391,FD$2),Ciencias!$A:$H,7,FALSE)=BR391,1,0)</f>
        <v>#N/A</v>
      </c>
      <c r="FE391" s="138" t="e">
        <f>IF(VLOOKUP(CONCATENATE(H391,F391,FE$2),Ciencias!$A:$H,7,FALSE)=BS391,1,0)</f>
        <v>#N/A</v>
      </c>
      <c r="FF391" s="138" t="e">
        <f>IF(VLOOKUP(CONCATENATE(H391,F391,FF$2),Ciencias!$A:$H,7,FALSE)=BT391,1,0)</f>
        <v>#N/A</v>
      </c>
      <c r="FG391" s="138" t="e">
        <f>IF(VLOOKUP(CONCATENATE(H391,F391,FG$2),Ciencias!$A:$H,7,FALSE)=BU391,1,0)</f>
        <v>#N/A</v>
      </c>
      <c r="FH391" s="138" t="e">
        <f>IF(VLOOKUP(CONCATENATE(H391,F391,FH$2),Ciencias!$A:$H,7,FALSE)=BV391,1,0)</f>
        <v>#N/A</v>
      </c>
      <c r="FI391" s="138" t="e">
        <f>IF(VLOOKUP(CONCATENATE(H391,F391,FI$2),Ciencias!$A:$H,7,FALSE)=BW391,1,0)</f>
        <v>#N/A</v>
      </c>
      <c r="FJ391" s="138" t="e">
        <f>IF(VLOOKUP(CONCATENATE(H391,F391,FJ$2),Ciencias!$A:$H,7,FALSE)=BX391,1,0)</f>
        <v>#N/A</v>
      </c>
      <c r="FK391" s="138" t="e">
        <f>IF(VLOOKUP(CONCATENATE(H391,F391,FK$2),Ciencias!$A:$H,7,FALSE)=BY391,1,0)</f>
        <v>#N/A</v>
      </c>
      <c r="FL391" s="138" t="e">
        <f>IF(VLOOKUP(CONCATENATE(H391,F391,FL$2),Ciencias!$A:$H,7,FALSE)=BZ391,1,0)</f>
        <v>#N/A</v>
      </c>
      <c r="FM391" s="138" t="e">
        <f>IF(VLOOKUP(CONCATENATE(H391,F391,FM$2),Ciencias!$A:$H,7,FALSE)=CA391,1,0)</f>
        <v>#N/A</v>
      </c>
      <c r="FN391" s="138" t="e">
        <f>IF(VLOOKUP(CONCATENATE(H391,F391,FN$2),Ciencias!$A:$H,7,FALSE)=CB391,1,0)</f>
        <v>#N/A</v>
      </c>
      <c r="FO391" s="138" t="e">
        <f>IF(VLOOKUP(CONCATENATE(H391,F391,FO$2),Ciencias!$A:$H,7,FALSE)=CC391,1,0)</f>
        <v>#N/A</v>
      </c>
      <c r="FP391" s="138" t="e">
        <f>IF(VLOOKUP(CONCATENATE(H391,F391,FP$2),GeoHis!$A:$H,7,FALSE)=CD391,1,0)</f>
        <v>#N/A</v>
      </c>
      <c r="FQ391" s="138" t="e">
        <f>IF(VLOOKUP(CONCATENATE(H391,F391,FQ$2),GeoHis!$A:$H,7,FALSE)=CE391,1,0)</f>
        <v>#N/A</v>
      </c>
      <c r="FR391" s="138" t="e">
        <f>IF(VLOOKUP(CONCATENATE(H391,F391,FR$2),GeoHis!$A:$H,7,FALSE)=CF391,1,0)</f>
        <v>#N/A</v>
      </c>
      <c r="FS391" s="138" t="e">
        <f>IF(VLOOKUP(CONCATENATE(H391,F391,FS$2),GeoHis!$A:$H,7,FALSE)=CG391,1,0)</f>
        <v>#N/A</v>
      </c>
      <c r="FT391" s="138" t="e">
        <f>IF(VLOOKUP(CONCATENATE(H391,F391,FT$2),GeoHis!$A:$H,7,FALSE)=CH391,1,0)</f>
        <v>#N/A</v>
      </c>
      <c r="FU391" s="138" t="e">
        <f>IF(VLOOKUP(CONCATENATE(H391,F391,FU$2),GeoHis!$A:$H,7,FALSE)=CI391,1,0)</f>
        <v>#N/A</v>
      </c>
      <c r="FV391" s="138" t="e">
        <f>IF(VLOOKUP(CONCATENATE(H391,F391,FV$2),GeoHis!$A:$H,7,FALSE)=CJ391,1,0)</f>
        <v>#N/A</v>
      </c>
      <c r="FW391" s="138" t="e">
        <f>IF(VLOOKUP(CONCATENATE(H391,F391,FW$2),GeoHis!$A:$H,7,FALSE)=CK391,1,0)</f>
        <v>#N/A</v>
      </c>
      <c r="FX391" s="138" t="e">
        <f>IF(VLOOKUP(CONCATENATE(H391,F391,FX$2),GeoHis!$A:$H,7,FALSE)=CL391,1,0)</f>
        <v>#N/A</v>
      </c>
      <c r="FY391" s="138" t="e">
        <f>IF(VLOOKUP(CONCATENATE(H391,F391,FY$2),GeoHis!$A:$H,7,FALSE)=CM391,1,0)</f>
        <v>#N/A</v>
      </c>
      <c r="FZ391" s="138" t="e">
        <f>IF(VLOOKUP(CONCATENATE(H391,F391,FZ$2),GeoHis!$A:$H,7,FALSE)=CN391,1,0)</f>
        <v>#N/A</v>
      </c>
      <c r="GA391" s="138" t="e">
        <f>IF(VLOOKUP(CONCATENATE(H391,F391,GA$2),GeoHis!$A:$H,7,FALSE)=CO391,1,0)</f>
        <v>#N/A</v>
      </c>
      <c r="GB391" s="138" t="e">
        <f>IF(VLOOKUP(CONCATENATE(H391,F391,GB$2),GeoHis!$A:$H,7,FALSE)=CP391,1,0)</f>
        <v>#N/A</v>
      </c>
      <c r="GC391" s="138" t="e">
        <f>IF(VLOOKUP(CONCATENATE(H391,F391,GC$2),GeoHis!$A:$H,7,FALSE)=CQ391,1,0)</f>
        <v>#N/A</v>
      </c>
      <c r="GD391" s="138" t="e">
        <f>IF(VLOOKUP(CONCATENATE(H391,F391,GD$2),GeoHis!$A:$H,7,FALSE)=CR391,1,0)</f>
        <v>#N/A</v>
      </c>
      <c r="GE391" s="135" t="str">
        <f t="shared" si="55"/>
        <v/>
      </c>
    </row>
    <row r="392" spans="1:187" x14ac:dyDescent="0.25">
      <c r="A392" s="127" t="str">
        <f>IF(C392="","",'Datos Generales'!$A$25)</f>
        <v/>
      </c>
      <c r="D392" s="126" t="str">
        <f t="shared" si="48"/>
        <v/>
      </c>
      <c r="E392" s="126">
        <f t="shared" si="49"/>
        <v>0</v>
      </c>
      <c r="F392" s="126" t="str">
        <f t="shared" si="50"/>
        <v/>
      </c>
      <c r="G392" s="126" t="str">
        <f>IF(C392="","",'Datos Generales'!$D$19)</f>
        <v/>
      </c>
      <c r="H392" s="21" t="str">
        <f>IF(C392="","",'Datos Generales'!$A$19)</f>
        <v/>
      </c>
      <c r="I392" s="126" t="str">
        <f>IF(C392="","",'Datos Generales'!$A$7)</f>
        <v/>
      </c>
      <c r="J392" s="21" t="str">
        <f>IF(C392="","",'Datos Generales'!$A$13)</f>
        <v/>
      </c>
      <c r="K392" s="21" t="str">
        <f>IF(C392="","",'Datos Generales'!$A$10)</f>
        <v/>
      </c>
      <c r="CS392" s="142" t="str">
        <f t="shared" si="51"/>
        <v/>
      </c>
      <c r="CT392" s="142" t="str">
        <f t="shared" si="52"/>
        <v/>
      </c>
      <c r="CU392" s="142" t="str">
        <f t="shared" si="53"/>
        <v/>
      </c>
      <c r="CV392" s="142" t="str">
        <f t="shared" si="54"/>
        <v/>
      </c>
      <c r="CW392" s="142" t="str">
        <f>IF(C392="","",IF('Datos Generales'!$A$19=1,AVERAGE(FP392:GD392),AVERAGE(Captura!FP392:FY392)))</f>
        <v/>
      </c>
      <c r="CX392" s="138" t="e">
        <f>IF(VLOOKUP(CONCATENATE($H$4,$F$4,CX$2),Español!$A:$H,7,FALSE)=L392,1,0)</f>
        <v>#N/A</v>
      </c>
      <c r="CY392" s="138" t="e">
        <f>IF(VLOOKUP(CONCATENATE(H392,F392,CY$2),Español!$A:$H,7,FALSE)=M392,1,0)</f>
        <v>#N/A</v>
      </c>
      <c r="CZ392" s="138" t="e">
        <f>IF(VLOOKUP(CONCATENATE(H392,F392,CZ$2),Español!$A:$H,7,FALSE)=N392,1,0)</f>
        <v>#N/A</v>
      </c>
      <c r="DA392" s="138" t="e">
        <f>IF(VLOOKUP(CONCATENATE(H392,F392,DA$2),Español!$A:$H,7,FALSE)=O392,1,0)</f>
        <v>#N/A</v>
      </c>
      <c r="DB392" s="138" t="e">
        <f>IF(VLOOKUP(CONCATENATE(H392,F392,DB$2),Español!$A:$H,7,FALSE)=P392,1,0)</f>
        <v>#N/A</v>
      </c>
      <c r="DC392" s="138" t="e">
        <f>IF(VLOOKUP(CONCATENATE(H392,F392,DC$2),Español!$A:$H,7,FALSE)=Q392,1,0)</f>
        <v>#N/A</v>
      </c>
      <c r="DD392" s="138" t="e">
        <f>IF(VLOOKUP(CONCATENATE(H392,F392,DD$2),Español!$A:$H,7,FALSE)=R392,1,0)</f>
        <v>#N/A</v>
      </c>
      <c r="DE392" s="138" t="e">
        <f>IF(VLOOKUP(CONCATENATE(H392,F392,DE$2),Español!$A:$H,7,FALSE)=S392,1,0)</f>
        <v>#N/A</v>
      </c>
      <c r="DF392" s="138" t="e">
        <f>IF(VLOOKUP(CONCATENATE(H392,F392,DF$2),Español!$A:$H,7,FALSE)=T392,1,0)</f>
        <v>#N/A</v>
      </c>
      <c r="DG392" s="138" t="e">
        <f>IF(VLOOKUP(CONCATENATE(H392,F392,DG$2),Español!$A:$H,7,FALSE)=U392,1,0)</f>
        <v>#N/A</v>
      </c>
      <c r="DH392" s="138" t="e">
        <f>IF(VLOOKUP(CONCATENATE(H392,F392,DH$2),Español!$A:$H,7,FALSE)=V392,1,0)</f>
        <v>#N/A</v>
      </c>
      <c r="DI392" s="138" t="e">
        <f>IF(VLOOKUP(CONCATENATE(H392,F392,DI$2),Español!$A:$H,7,FALSE)=W392,1,0)</f>
        <v>#N/A</v>
      </c>
      <c r="DJ392" s="138" t="e">
        <f>IF(VLOOKUP(CONCATENATE(H392,F392,DJ$2),Español!$A:$H,7,FALSE)=X392,1,0)</f>
        <v>#N/A</v>
      </c>
      <c r="DK392" s="138" t="e">
        <f>IF(VLOOKUP(CONCATENATE(H392,F392,DK$2),Español!$A:$H,7,FALSE)=Y392,1,0)</f>
        <v>#N/A</v>
      </c>
      <c r="DL392" s="138" t="e">
        <f>IF(VLOOKUP(CONCATENATE(H392,F392,DL$2),Español!$A:$H,7,FALSE)=Z392,1,0)</f>
        <v>#N/A</v>
      </c>
      <c r="DM392" s="138" t="e">
        <f>IF(VLOOKUP(CONCATENATE(H392,F392,DM$2),Español!$A:$H,7,FALSE)=AA392,1,0)</f>
        <v>#N/A</v>
      </c>
      <c r="DN392" s="138" t="e">
        <f>IF(VLOOKUP(CONCATENATE(H392,F392,DN$2),Español!$A:$H,7,FALSE)=AB392,1,0)</f>
        <v>#N/A</v>
      </c>
      <c r="DO392" s="138" t="e">
        <f>IF(VLOOKUP(CONCATENATE(H392,F392,DO$2),Español!$A:$H,7,FALSE)=AC392,1,0)</f>
        <v>#N/A</v>
      </c>
      <c r="DP392" s="138" t="e">
        <f>IF(VLOOKUP(CONCATENATE(H392,F392,DP$2),Español!$A:$H,7,FALSE)=AD392,1,0)</f>
        <v>#N/A</v>
      </c>
      <c r="DQ392" s="138" t="e">
        <f>IF(VLOOKUP(CONCATENATE(H392,F392,DQ$2),Español!$A:$H,7,FALSE)=AE392,1,0)</f>
        <v>#N/A</v>
      </c>
      <c r="DR392" s="138" t="e">
        <f>IF(VLOOKUP(CONCATENATE(H392,F392,DR$2),Inglés!$A:$H,7,FALSE)=AF392,1,0)</f>
        <v>#N/A</v>
      </c>
      <c r="DS392" s="138" t="e">
        <f>IF(VLOOKUP(CONCATENATE(H392,F392,DS$2),Inglés!$A:$H,7,FALSE)=AG392,1,0)</f>
        <v>#N/A</v>
      </c>
      <c r="DT392" s="138" t="e">
        <f>IF(VLOOKUP(CONCATENATE(H392,F392,DT$2),Inglés!$A:$H,7,FALSE)=AH392,1,0)</f>
        <v>#N/A</v>
      </c>
      <c r="DU392" s="138" t="e">
        <f>IF(VLOOKUP(CONCATENATE(H392,F392,DU$2),Inglés!$A:$H,7,FALSE)=AI392,1,0)</f>
        <v>#N/A</v>
      </c>
      <c r="DV392" s="138" t="e">
        <f>IF(VLOOKUP(CONCATENATE(H392,F392,DV$2),Inglés!$A:$H,7,FALSE)=AJ392,1,0)</f>
        <v>#N/A</v>
      </c>
      <c r="DW392" s="138" t="e">
        <f>IF(VLOOKUP(CONCATENATE(H392,F392,DW$2),Inglés!$A:$H,7,FALSE)=AK392,1,0)</f>
        <v>#N/A</v>
      </c>
      <c r="DX392" s="138" t="e">
        <f>IF(VLOOKUP(CONCATENATE(H392,F392,DX$2),Inglés!$A:$H,7,FALSE)=AL392,1,0)</f>
        <v>#N/A</v>
      </c>
      <c r="DY392" s="138" t="e">
        <f>IF(VLOOKUP(CONCATENATE(H392,F392,DY$2),Inglés!$A:$H,7,FALSE)=AM392,1,0)</f>
        <v>#N/A</v>
      </c>
      <c r="DZ392" s="138" t="e">
        <f>IF(VLOOKUP(CONCATENATE(H392,F392,DZ$2),Inglés!$A:$H,7,FALSE)=AN392,1,0)</f>
        <v>#N/A</v>
      </c>
      <c r="EA392" s="138" t="e">
        <f>IF(VLOOKUP(CONCATENATE(H392,F392,EA$2),Inglés!$A:$H,7,FALSE)=AO392,1,0)</f>
        <v>#N/A</v>
      </c>
      <c r="EB392" s="138" t="e">
        <f>IF(VLOOKUP(CONCATENATE(H392,F392,EB$2),Matemáticas!$A:$H,7,FALSE)=AP392,1,0)</f>
        <v>#N/A</v>
      </c>
      <c r="EC392" s="138" t="e">
        <f>IF(VLOOKUP(CONCATENATE(H392,F392,EC$2),Matemáticas!$A:$H,7,FALSE)=AQ392,1,0)</f>
        <v>#N/A</v>
      </c>
      <c r="ED392" s="138" t="e">
        <f>IF(VLOOKUP(CONCATENATE(H392,F392,ED$2),Matemáticas!$A:$H,7,FALSE)=AR392,1,0)</f>
        <v>#N/A</v>
      </c>
      <c r="EE392" s="138" t="e">
        <f>IF(VLOOKUP(CONCATENATE(H392,F392,EE$2),Matemáticas!$A:$H,7,FALSE)=AS392,1,0)</f>
        <v>#N/A</v>
      </c>
      <c r="EF392" s="138" t="e">
        <f>IF(VLOOKUP(CONCATENATE(H392,F392,EF$2),Matemáticas!$A:$H,7,FALSE)=AT392,1,0)</f>
        <v>#N/A</v>
      </c>
      <c r="EG392" s="138" t="e">
        <f>IF(VLOOKUP(CONCATENATE(H392,F392,EG$2),Matemáticas!$A:$H,7,FALSE)=AU392,1,0)</f>
        <v>#N/A</v>
      </c>
      <c r="EH392" s="138" t="e">
        <f>IF(VLOOKUP(CONCATENATE(H392,F392,EH$2),Matemáticas!$A:$H,7,FALSE)=AV392,1,0)</f>
        <v>#N/A</v>
      </c>
      <c r="EI392" s="138" t="e">
        <f>IF(VLOOKUP(CONCATENATE(H392,F392,EI$2),Matemáticas!$A:$H,7,FALSE)=AW392,1,0)</f>
        <v>#N/A</v>
      </c>
      <c r="EJ392" s="138" t="e">
        <f>IF(VLOOKUP(CONCATENATE(H392,F392,EJ$2),Matemáticas!$A:$H,7,FALSE)=AX392,1,0)</f>
        <v>#N/A</v>
      </c>
      <c r="EK392" s="138" t="e">
        <f>IF(VLOOKUP(CONCATENATE(H392,F392,EK$2),Matemáticas!$A:$H,7,FALSE)=AY392,1,0)</f>
        <v>#N/A</v>
      </c>
      <c r="EL392" s="138" t="e">
        <f>IF(VLOOKUP(CONCATENATE(H392,F392,EL$2),Matemáticas!$A:$H,7,FALSE)=AZ392,1,0)</f>
        <v>#N/A</v>
      </c>
      <c r="EM392" s="138" t="e">
        <f>IF(VLOOKUP(CONCATENATE(H392,F392,EM$2),Matemáticas!$A:$H,7,FALSE)=BA392,1,0)</f>
        <v>#N/A</v>
      </c>
      <c r="EN392" s="138" t="e">
        <f>IF(VLOOKUP(CONCATENATE(H392,F392,EN$2),Matemáticas!$A:$H,7,FALSE)=BB392,1,0)</f>
        <v>#N/A</v>
      </c>
      <c r="EO392" s="138" t="e">
        <f>IF(VLOOKUP(CONCATENATE(H392,F392,EO$2),Matemáticas!$A:$H,7,FALSE)=BC392,1,0)</f>
        <v>#N/A</v>
      </c>
      <c r="EP392" s="138" t="e">
        <f>IF(VLOOKUP(CONCATENATE(H392,F392,EP$2),Matemáticas!$A:$H,7,FALSE)=BD392,1,0)</f>
        <v>#N/A</v>
      </c>
      <c r="EQ392" s="138" t="e">
        <f>IF(VLOOKUP(CONCATENATE(H392,F392,EQ$2),Matemáticas!$A:$H,7,FALSE)=BE392,1,0)</f>
        <v>#N/A</v>
      </c>
      <c r="ER392" s="138" t="e">
        <f>IF(VLOOKUP(CONCATENATE(H392,F392,ER$2),Matemáticas!$A:$H,7,FALSE)=BF392,1,0)</f>
        <v>#N/A</v>
      </c>
      <c r="ES392" s="138" t="e">
        <f>IF(VLOOKUP(CONCATENATE(H392,F392,ES$2),Matemáticas!$A:$H,7,FALSE)=BG392,1,0)</f>
        <v>#N/A</v>
      </c>
      <c r="ET392" s="138" t="e">
        <f>IF(VLOOKUP(CONCATENATE(H392,F392,ET$2),Matemáticas!$A:$H,7,FALSE)=BH392,1,0)</f>
        <v>#N/A</v>
      </c>
      <c r="EU392" s="138" t="e">
        <f>IF(VLOOKUP(CONCATENATE(H392,F392,EU$2),Matemáticas!$A:$H,7,FALSE)=BI392,1,0)</f>
        <v>#N/A</v>
      </c>
      <c r="EV392" s="138" t="e">
        <f>IF(VLOOKUP(CONCATENATE(H392,F392,EV$2),Ciencias!$A:$H,7,FALSE)=BJ392,1,0)</f>
        <v>#N/A</v>
      </c>
      <c r="EW392" s="138" t="e">
        <f>IF(VLOOKUP(CONCATENATE(H392,F392,EW$2),Ciencias!$A:$H,7,FALSE)=BK392,1,0)</f>
        <v>#N/A</v>
      </c>
      <c r="EX392" s="138" t="e">
        <f>IF(VLOOKUP(CONCATENATE(H392,F392,EX$2),Ciencias!$A:$H,7,FALSE)=BL392,1,0)</f>
        <v>#N/A</v>
      </c>
      <c r="EY392" s="138" t="e">
        <f>IF(VLOOKUP(CONCATENATE(H392,F392,EY$2),Ciencias!$A:$H,7,FALSE)=BM392,1,0)</f>
        <v>#N/A</v>
      </c>
      <c r="EZ392" s="138" t="e">
        <f>IF(VLOOKUP(CONCATENATE(H392,F392,EZ$2),Ciencias!$A:$H,7,FALSE)=BN392,1,0)</f>
        <v>#N/A</v>
      </c>
      <c r="FA392" s="138" t="e">
        <f>IF(VLOOKUP(CONCATENATE(H392,F392,FA$2),Ciencias!$A:$H,7,FALSE)=BO392,1,0)</f>
        <v>#N/A</v>
      </c>
      <c r="FB392" s="138" t="e">
        <f>IF(VLOOKUP(CONCATENATE(H392,F392,FB$2),Ciencias!$A:$H,7,FALSE)=BP392,1,0)</f>
        <v>#N/A</v>
      </c>
      <c r="FC392" s="138" t="e">
        <f>IF(VLOOKUP(CONCATENATE(H392,F392,FC$2),Ciencias!$A:$H,7,FALSE)=BQ392,1,0)</f>
        <v>#N/A</v>
      </c>
      <c r="FD392" s="138" t="e">
        <f>IF(VLOOKUP(CONCATENATE(H392,F392,FD$2),Ciencias!$A:$H,7,FALSE)=BR392,1,0)</f>
        <v>#N/A</v>
      </c>
      <c r="FE392" s="138" t="e">
        <f>IF(VLOOKUP(CONCATENATE(H392,F392,FE$2),Ciencias!$A:$H,7,FALSE)=BS392,1,0)</f>
        <v>#N/A</v>
      </c>
      <c r="FF392" s="138" t="e">
        <f>IF(VLOOKUP(CONCATENATE(H392,F392,FF$2),Ciencias!$A:$H,7,FALSE)=BT392,1,0)</f>
        <v>#N/A</v>
      </c>
      <c r="FG392" s="138" t="e">
        <f>IF(VLOOKUP(CONCATENATE(H392,F392,FG$2),Ciencias!$A:$H,7,FALSE)=BU392,1,0)</f>
        <v>#N/A</v>
      </c>
      <c r="FH392" s="138" t="e">
        <f>IF(VLOOKUP(CONCATENATE(H392,F392,FH$2),Ciencias!$A:$H,7,FALSE)=BV392,1,0)</f>
        <v>#N/A</v>
      </c>
      <c r="FI392" s="138" t="e">
        <f>IF(VLOOKUP(CONCATENATE(H392,F392,FI$2),Ciencias!$A:$H,7,FALSE)=BW392,1,0)</f>
        <v>#N/A</v>
      </c>
      <c r="FJ392" s="138" t="e">
        <f>IF(VLOOKUP(CONCATENATE(H392,F392,FJ$2),Ciencias!$A:$H,7,FALSE)=BX392,1,0)</f>
        <v>#N/A</v>
      </c>
      <c r="FK392" s="138" t="e">
        <f>IF(VLOOKUP(CONCATENATE(H392,F392,FK$2),Ciencias!$A:$H,7,FALSE)=BY392,1,0)</f>
        <v>#N/A</v>
      </c>
      <c r="FL392" s="138" t="e">
        <f>IF(VLOOKUP(CONCATENATE(H392,F392,FL$2),Ciencias!$A:$H,7,FALSE)=BZ392,1,0)</f>
        <v>#N/A</v>
      </c>
      <c r="FM392" s="138" t="e">
        <f>IF(VLOOKUP(CONCATENATE(H392,F392,FM$2),Ciencias!$A:$H,7,FALSE)=CA392,1,0)</f>
        <v>#N/A</v>
      </c>
      <c r="FN392" s="138" t="e">
        <f>IF(VLOOKUP(CONCATENATE(H392,F392,FN$2),Ciencias!$A:$H,7,FALSE)=CB392,1,0)</f>
        <v>#N/A</v>
      </c>
      <c r="FO392" s="138" t="e">
        <f>IF(VLOOKUP(CONCATENATE(H392,F392,FO$2),Ciencias!$A:$H,7,FALSE)=CC392,1,0)</f>
        <v>#N/A</v>
      </c>
      <c r="FP392" s="138" t="e">
        <f>IF(VLOOKUP(CONCATENATE(H392,F392,FP$2),GeoHis!$A:$H,7,FALSE)=CD392,1,0)</f>
        <v>#N/A</v>
      </c>
      <c r="FQ392" s="138" t="e">
        <f>IF(VLOOKUP(CONCATENATE(H392,F392,FQ$2),GeoHis!$A:$H,7,FALSE)=CE392,1,0)</f>
        <v>#N/A</v>
      </c>
      <c r="FR392" s="138" t="e">
        <f>IF(VLOOKUP(CONCATENATE(H392,F392,FR$2),GeoHis!$A:$H,7,FALSE)=CF392,1,0)</f>
        <v>#N/A</v>
      </c>
      <c r="FS392" s="138" t="e">
        <f>IF(VLOOKUP(CONCATENATE(H392,F392,FS$2),GeoHis!$A:$H,7,FALSE)=CG392,1,0)</f>
        <v>#N/A</v>
      </c>
      <c r="FT392" s="138" t="e">
        <f>IF(VLOOKUP(CONCATENATE(H392,F392,FT$2),GeoHis!$A:$H,7,FALSE)=CH392,1,0)</f>
        <v>#N/A</v>
      </c>
      <c r="FU392" s="138" t="e">
        <f>IF(VLOOKUP(CONCATENATE(H392,F392,FU$2),GeoHis!$A:$H,7,FALSE)=CI392,1,0)</f>
        <v>#N/A</v>
      </c>
      <c r="FV392" s="138" t="e">
        <f>IF(VLOOKUP(CONCATENATE(H392,F392,FV$2),GeoHis!$A:$H,7,FALSE)=CJ392,1,0)</f>
        <v>#N/A</v>
      </c>
      <c r="FW392" s="138" t="e">
        <f>IF(VLOOKUP(CONCATENATE(H392,F392,FW$2),GeoHis!$A:$H,7,FALSE)=CK392,1,0)</f>
        <v>#N/A</v>
      </c>
      <c r="FX392" s="138" t="e">
        <f>IF(VLOOKUP(CONCATENATE(H392,F392,FX$2),GeoHis!$A:$H,7,FALSE)=CL392,1,0)</f>
        <v>#N/A</v>
      </c>
      <c r="FY392" s="138" t="e">
        <f>IF(VLOOKUP(CONCATENATE(H392,F392,FY$2),GeoHis!$A:$H,7,FALSE)=CM392,1,0)</f>
        <v>#N/A</v>
      </c>
      <c r="FZ392" s="138" t="e">
        <f>IF(VLOOKUP(CONCATENATE(H392,F392,FZ$2),GeoHis!$A:$H,7,FALSE)=CN392,1,0)</f>
        <v>#N/A</v>
      </c>
      <c r="GA392" s="138" t="e">
        <f>IF(VLOOKUP(CONCATENATE(H392,F392,GA$2),GeoHis!$A:$H,7,FALSE)=CO392,1,0)</f>
        <v>#N/A</v>
      </c>
      <c r="GB392" s="138" t="e">
        <f>IF(VLOOKUP(CONCATENATE(H392,F392,GB$2),GeoHis!$A:$H,7,FALSE)=CP392,1,0)</f>
        <v>#N/A</v>
      </c>
      <c r="GC392" s="138" t="e">
        <f>IF(VLOOKUP(CONCATENATE(H392,F392,GC$2),GeoHis!$A:$H,7,FALSE)=CQ392,1,0)</f>
        <v>#N/A</v>
      </c>
      <c r="GD392" s="138" t="e">
        <f>IF(VLOOKUP(CONCATENATE(H392,F392,GD$2),GeoHis!$A:$H,7,FALSE)=CR392,1,0)</f>
        <v>#N/A</v>
      </c>
      <c r="GE392" s="135" t="str">
        <f t="shared" si="55"/>
        <v/>
      </c>
    </row>
    <row r="393" spans="1:187" x14ac:dyDescent="0.25">
      <c r="A393" s="127" t="str">
        <f>IF(C393="","",'Datos Generales'!$A$25)</f>
        <v/>
      </c>
      <c r="D393" s="126" t="str">
        <f t="shared" si="48"/>
        <v/>
      </c>
      <c r="E393" s="126">
        <f t="shared" si="49"/>
        <v>0</v>
      </c>
      <c r="F393" s="126" t="str">
        <f t="shared" si="50"/>
        <v/>
      </c>
      <c r="G393" s="126" t="str">
        <f>IF(C393="","",'Datos Generales'!$D$19)</f>
        <v/>
      </c>
      <c r="H393" s="21" t="str">
        <f>IF(C393="","",'Datos Generales'!$A$19)</f>
        <v/>
      </c>
      <c r="I393" s="126" t="str">
        <f>IF(C393="","",'Datos Generales'!$A$7)</f>
        <v/>
      </c>
      <c r="J393" s="21" t="str">
        <f>IF(C393="","",'Datos Generales'!$A$13)</f>
        <v/>
      </c>
      <c r="K393" s="21" t="str">
        <f>IF(C393="","",'Datos Generales'!$A$10)</f>
        <v/>
      </c>
      <c r="CS393" s="142" t="str">
        <f t="shared" si="51"/>
        <v/>
      </c>
      <c r="CT393" s="142" t="str">
        <f t="shared" si="52"/>
        <v/>
      </c>
      <c r="CU393" s="142" t="str">
        <f t="shared" si="53"/>
        <v/>
      </c>
      <c r="CV393" s="142" t="str">
        <f t="shared" si="54"/>
        <v/>
      </c>
      <c r="CW393" s="142" t="str">
        <f>IF(C393="","",IF('Datos Generales'!$A$19=1,AVERAGE(FP393:GD393),AVERAGE(Captura!FP393:FY393)))</f>
        <v/>
      </c>
      <c r="CX393" s="138" t="e">
        <f>IF(VLOOKUP(CONCATENATE($H$4,$F$4,CX$2),Español!$A:$H,7,FALSE)=L393,1,0)</f>
        <v>#N/A</v>
      </c>
      <c r="CY393" s="138" t="e">
        <f>IF(VLOOKUP(CONCATENATE(H393,F393,CY$2),Español!$A:$H,7,FALSE)=M393,1,0)</f>
        <v>#N/A</v>
      </c>
      <c r="CZ393" s="138" t="e">
        <f>IF(VLOOKUP(CONCATENATE(H393,F393,CZ$2),Español!$A:$H,7,FALSE)=N393,1,0)</f>
        <v>#N/A</v>
      </c>
      <c r="DA393" s="138" t="e">
        <f>IF(VLOOKUP(CONCATENATE(H393,F393,DA$2),Español!$A:$H,7,FALSE)=O393,1,0)</f>
        <v>#N/A</v>
      </c>
      <c r="DB393" s="138" t="e">
        <f>IF(VLOOKUP(CONCATENATE(H393,F393,DB$2),Español!$A:$H,7,FALSE)=P393,1,0)</f>
        <v>#N/A</v>
      </c>
      <c r="DC393" s="138" t="e">
        <f>IF(VLOOKUP(CONCATENATE(H393,F393,DC$2),Español!$A:$H,7,FALSE)=Q393,1,0)</f>
        <v>#N/A</v>
      </c>
      <c r="DD393" s="138" t="e">
        <f>IF(VLOOKUP(CONCATENATE(H393,F393,DD$2),Español!$A:$H,7,FALSE)=R393,1,0)</f>
        <v>#N/A</v>
      </c>
      <c r="DE393" s="138" t="e">
        <f>IF(VLOOKUP(CONCATENATE(H393,F393,DE$2),Español!$A:$H,7,FALSE)=S393,1,0)</f>
        <v>#N/A</v>
      </c>
      <c r="DF393" s="138" t="e">
        <f>IF(VLOOKUP(CONCATENATE(H393,F393,DF$2),Español!$A:$H,7,FALSE)=T393,1,0)</f>
        <v>#N/A</v>
      </c>
      <c r="DG393" s="138" t="e">
        <f>IF(VLOOKUP(CONCATENATE(H393,F393,DG$2),Español!$A:$H,7,FALSE)=U393,1,0)</f>
        <v>#N/A</v>
      </c>
      <c r="DH393" s="138" t="e">
        <f>IF(VLOOKUP(CONCATENATE(H393,F393,DH$2),Español!$A:$H,7,FALSE)=V393,1,0)</f>
        <v>#N/A</v>
      </c>
      <c r="DI393" s="138" t="e">
        <f>IF(VLOOKUP(CONCATENATE(H393,F393,DI$2),Español!$A:$H,7,FALSE)=W393,1,0)</f>
        <v>#N/A</v>
      </c>
      <c r="DJ393" s="138" t="e">
        <f>IF(VLOOKUP(CONCATENATE(H393,F393,DJ$2),Español!$A:$H,7,FALSE)=X393,1,0)</f>
        <v>#N/A</v>
      </c>
      <c r="DK393" s="138" t="e">
        <f>IF(VLOOKUP(CONCATENATE(H393,F393,DK$2),Español!$A:$H,7,FALSE)=Y393,1,0)</f>
        <v>#N/A</v>
      </c>
      <c r="DL393" s="138" t="e">
        <f>IF(VLOOKUP(CONCATENATE(H393,F393,DL$2),Español!$A:$H,7,FALSE)=Z393,1,0)</f>
        <v>#N/A</v>
      </c>
      <c r="DM393" s="138" t="e">
        <f>IF(VLOOKUP(CONCATENATE(H393,F393,DM$2),Español!$A:$H,7,FALSE)=AA393,1,0)</f>
        <v>#N/A</v>
      </c>
      <c r="DN393" s="138" t="e">
        <f>IF(VLOOKUP(CONCATENATE(H393,F393,DN$2),Español!$A:$H,7,FALSE)=AB393,1,0)</f>
        <v>#N/A</v>
      </c>
      <c r="DO393" s="138" t="e">
        <f>IF(VLOOKUP(CONCATENATE(H393,F393,DO$2),Español!$A:$H,7,FALSE)=AC393,1,0)</f>
        <v>#N/A</v>
      </c>
      <c r="DP393" s="138" t="e">
        <f>IF(VLOOKUP(CONCATENATE(H393,F393,DP$2),Español!$A:$H,7,FALSE)=AD393,1,0)</f>
        <v>#N/A</v>
      </c>
      <c r="DQ393" s="138" t="e">
        <f>IF(VLOOKUP(CONCATENATE(H393,F393,DQ$2),Español!$A:$H,7,FALSE)=AE393,1,0)</f>
        <v>#N/A</v>
      </c>
      <c r="DR393" s="138" t="e">
        <f>IF(VLOOKUP(CONCATENATE(H393,F393,DR$2),Inglés!$A:$H,7,FALSE)=AF393,1,0)</f>
        <v>#N/A</v>
      </c>
      <c r="DS393" s="138" t="e">
        <f>IF(VLOOKUP(CONCATENATE(H393,F393,DS$2),Inglés!$A:$H,7,FALSE)=AG393,1,0)</f>
        <v>#N/A</v>
      </c>
      <c r="DT393" s="138" t="e">
        <f>IF(VLOOKUP(CONCATENATE(H393,F393,DT$2),Inglés!$A:$H,7,FALSE)=AH393,1,0)</f>
        <v>#N/A</v>
      </c>
      <c r="DU393" s="138" t="e">
        <f>IF(VLOOKUP(CONCATENATE(H393,F393,DU$2),Inglés!$A:$H,7,FALSE)=AI393,1,0)</f>
        <v>#N/A</v>
      </c>
      <c r="DV393" s="138" t="e">
        <f>IF(VLOOKUP(CONCATENATE(H393,F393,DV$2),Inglés!$A:$H,7,FALSE)=AJ393,1,0)</f>
        <v>#N/A</v>
      </c>
      <c r="DW393" s="138" t="e">
        <f>IF(VLOOKUP(CONCATENATE(H393,F393,DW$2),Inglés!$A:$H,7,FALSE)=AK393,1,0)</f>
        <v>#N/A</v>
      </c>
      <c r="DX393" s="138" t="e">
        <f>IF(VLOOKUP(CONCATENATE(H393,F393,DX$2),Inglés!$A:$H,7,FALSE)=AL393,1,0)</f>
        <v>#N/A</v>
      </c>
      <c r="DY393" s="138" t="e">
        <f>IF(VLOOKUP(CONCATENATE(H393,F393,DY$2),Inglés!$A:$H,7,FALSE)=AM393,1,0)</f>
        <v>#N/A</v>
      </c>
      <c r="DZ393" s="138" t="e">
        <f>IF(VLOOKUP(CONCATENATE(H393,F393,DZ$2),Inglés!$A:$H,7,FALSE)=AN393,1,0)</f>
        <v>#N/A</v>
      </c>
      <c r="EA393" s="138" t="e">
        <f>IF(VLOOKUP(CONCATENATE(H393,F393,EA$2),Inglés!$A:$H,7,FALSE)=AO393,1,0)</f>
        <v>#N/A</v>
      </c>
      <c r="EB393" s="138" t="e">
        <f>IF(VLOOKUP(CONCATENATE(H393,F393,EB$2),Matemáticas!$A:$H,7,FALSE)=AP393,1,0)</f>
        <v>#N/A</v>
      </c>
      <c r="EC393" s="138" t="e">
        <f>IF(VLOOKUP(CONCATENATE(H393,F393,EC$2),Matemáticas!$A:$H,7,FALSE)=AQ393,1,0)</f>
        <v>#N/A</v>
      </c>
      <c r="ED393" s="138" t="e">
        <f>IF(VLOOKUP(CONCATENATE(H393,F393,ED$2),Matemáticas!$A:$H,7,FALSE)=AR393,1,0)</f>
        <v>#N/A</v>
      </c>
      <c r="EE393" s="138" t="e">
        <f>IF(VLOOKUP(CONCATENATE(H393,F393,EE$2),Matemáticas!$A:$H,7,FALSE)=AS393,1,0)</f>
        <v>#N/A</v>
      </c>
      <c r="EF393" s="138" t="e">
        <f>IF(VLOOKUP(CONCATENATE(H393,F393,EF$2),Matemáticas!$A:$H,7,FALSE)=AT393,1,0)</f>
        <v>#N/A</v>
      </c>
      <c r="EG393" s="138" t="e">
        <f>IF(VLOOKUP(CONCATENATE(H393,F393,EG$2),Matemáticas!$A:$H,7,FALSE)=AU393,1,0)</f>
        <v>#N/A</v>
      </c>
      <c r="EH393" s="138" t="e">
        <f>IF(VLOOKUP(CONCATENATE(H393,F393,EH$2),Matemáticas!$A:$H,7,FALSE)=AV393,1,0)</f>
        <v>#N/A</v>
      </c>
      <c r="EI393" s="138" t="e">
        <f>IF(VLOOKUP(CONCATENATE(H393,F393,EI$2),Matemáticas!$A:$H,7,FALSE)=AW393,1,0)</f>
        <v>#N/A</v>
      </c>
      <c r="EJ393" s="138" t="e">
        <f>IF(VLOOKUP(CONCATENATE(H393,F393,EJ$2),Matemáticas!$A:$H,7,FALSE)=AX393,1,0)</f>
        <v>#N/A</v>
      </c>
      <c r="EK393" s="138" t="e">
        <f>IF(VLOOKUP(CONCATENATE(H393,F393,EK$2),Matemáticas!$A:$H,7,FALSE)=AY393,1,0)</f>
        <v>#N/A</v>
      </c>
      <c r="EL393" s="138" t="e">
        <f>IF(VLOOKUP(CONCATENATE(H393,F393,EL$2),Matemáticas!$A:$H,7,FALSE)=AZ393,1,0)</f>
        <v>#N/A</v>
      </c>
      <c r="EM393" s="138" t="e">
        <f>IF(VLOOKUP(CONCATENATE(H393,F393,EM$2),Matemáticas!$A:$H,7,FALSE)=BA393,1,0)</f>
        <v>#N/A</v>
      </c>
      <c r="EN393" s="138" t="e">
        <f>IF(VLOOKUP(CONCATENATE(H393,F393,EN$2),Matemáticas!$A:$H,7,FALSE)=BB393,1,0)</f>
        <v>#N/A</v>
      </c>
      <c r="EO393" s="138" t="e">
        <f>IF(VLOOKUP(CONCATENATE(H393,F393,EO$2),Matemáticas!$A:$H,7,FALSE)=BC393,1,0)</f>
        <v>#N/A</v>
      </c>
      <c r="EP393" s="138" t="e">
        <f>IF(VLOOKUP(CONCATENATE(H393,F393,EP$2),Matemáticas!$A:$H,7,FALSE)=BD393,1,0)</f>
        <v>#N/A</v>
      </c>
      <c r="EQ393" s="138" t="e">
        <f>IF(VLOOKUP(CONCATENATE(H393,F393,EQ$2),Matemáticas!$A:$H,7,FALSE)=BE393,1,0)</f>
        <v>#N/A</v>
      </c>
      <c r="ER393" s="138" t="e">
        <f>IF(VLOOKUP(CONCATENATE(H393,F393,ER$2),Matemáticas!$A:$H,7,FALSE)=BF393,1,0)</f>
        <v>#N/A</v>
      </c>
      <c r="ES393" s="138" t="e">
        <f>IF(VLOOKUP(CONCATENATE(H393,F393,ES$2),Matemáticas!$A:$H,7,FALSE)=BG393,1,0)</f>
        <v>#N/A</v>
      </c>
      <c r="ET393" s="138" t="e">
        <f>IF(VLOOKUP(CONCATENATE(H393,F393,ET$2),Matemáticas!$A:$H,7,FALSE)=BH393,1,0)</f>
        <v>#N/A</v>
      </c>
      <c r="EU393" s="138" t="e">
        <f>IF(VLOOKUP(CONCATENATE(H393,F393,EU$2),Matemáticas!$A:$H,7,FALSE)=BI393,1,0)</f>
        <v>#N/A</v>
      </c>
      <c r="EV393" s="138" t="e">
        <f>IF(VLOOKUP(CONCATENATE(H393,F393,EV$2),Ciencias!$A:$H,7,FALSE)=BJ393,1,0)</f>
        <v>#N/A</v>
      </c>
      <c r="EW393" s="138" t="e">
        <f>IF(VLOOKUP(CONCATENATE(H393,F393,EW$2),Ciencias!$A:$H,7,FALSE)=BK393,1,0)</f>
        <v>#N/A</v>
      </c>
      <c r="EX393" s="138" t="e">
        <f>IF(VLOOKUP(CONCATENATE(H393,F393,EX$2),Ciencias!$A:$H,7,FALSE)=BL393,1,0)</f>
        <v>#N/A</v>
      </c>
      <c r="EY393" s="138" t="e">
        <f>IF(VLOOKUP(CONCATENATE(H393,F393,EY$2),Ciencias!$A:$H,7,FALSE)=BM393,1,0)</f>
        <v>#N/A</v>
      </c>
      <c r="EZ393" s="138" t="e">
        <f>IF(VLOOKUP(CONCATENATE(H393,F393,EZ$2),Ciencias!$A:$H,7,FALSE)=BN393,1,0)</f>
        <v>#N/A</v>
      </c>
      <c r="FA393" s="138" t="e">
        <f>IF(VLOOKUP(CONCATENATE(H393,F393,FA$2),Ciencias!$A:$H,7,FALSE)=BO393,1,0)</f>
        <v>#N/A</v>
      </c>
      <c r="FB393" s="138" t="e">
        <f>IF(VLOOKUP(CONCATENATE(H393,F393,FB$2),Ciencias!$A:$H,7,FALSE)=BP393,1,0)</f>
        <v>#N/A</v>
      </c>
      <c r="FC393" s="138" t="e">
        <f>IF(VLOOKUP(CONCATENATE(H393,F393,FC$2),Ciencias!$A:$H,7,FALSE)=BQ393,1,0)</f>
        <v>#N/A</v>
      </c>
      <c r="FD393" s="138" t="e">
        <f>IF(VLOOKUP(CONCATENATE(H393,F393,FD$2),Ciencias!$A:$H,7,FALSE)=BR393,1,0)</f>
        <v>#N/A</v>
      </c>
      <c r="FE393" s="138" t="e">
        <f>IF(VLOOKUP(CONCATENATE(H393,F393,FE$2),Ciencias!$A:$H,7,FALSE)=BS393,1,0)</f>
        <v>#N/A</v>
      </c>
      <c r="FF393" s="138" t="e">
        <f>IF(VLOOKUP(CONCATENATE(H393,F393,FF$2),Ciencias!$A:$H,7,FALSE)=BT393,1,0)</f>
        <v>#N/A</v>
      </c>
      <c r="FG393" s="138" t="e">
        <f>IF(VLOOKUP(CONCATENATE(H393,F393,FG$2),Ciencias!$A:$H,7,FALSE)=BU393,1,0)</f>
        <v>#N/A</v>
      </c>
      <c r="FH393" s="138" t="e">
        <f>IF(VLOOKUP(CONCATENATE(H393,F393,FH$2),Ciencias!$A:$H,7,FALSE)=BV393,1,0)</f>
        <v>#N/A</v>
      </c>
      <c r="FI393" s="138" t="e">
        <f>IF(VLOOKUP(CONCATENATE(H393,F393,FI$2),Ciencias!$A:$H,7,FALSE)=BW393,1,0)</f>
        <v>#N/A</v>
      </c>
      <c r="FJ393" s="138" t="e">
        <f>IF(VLOOKUP(CONCATENATE(H393,F393,FJ$2),Ciencias!$A:$H,7,FALSE)=BX393,1,0)</f>
        <v>#N/A</v>
      </c>
      <c r="FK393" s="138" t="e">
        <f>IF(VLOOKUP(CONCATENATE(H393,F393,FK$2),Ciencias!$A:$H,7,FALSE)=BY393,1,0)</f>
        <v>#N/A</v>
      </c>
      <c r="FL393" s="138" t="e">
        <f>IF(VLOOKUP(CONCATENATE(H393,F393,FL$2),Ciencias!$A:$H,7,FALSE)=BZ393,1,0)</f>
        <v>#N/A</v>
      </c>
      <c r="FM393" s="138" t="e">
        <f>IF(VLOOKUP(CONCATENATE(H393,F393,FM$2),Ciencias!$A:$H,7,FALSE)=CA393,1,0)</f>
        <v>#N/A</v>
      </c>
      <c r="FN393" s="138" t="e">
        <f>IF(VLOOKUP(CONCATENATE(H393,F393,FN$2),Ciencias!$A:$H,7,FALSE)=CB393,1,0)</f>
        <v>#N/A</v>
      </c>
      <c r="FO393" s="138" t="e">
        <f>IF(VLOOKUP(CONCATENATE(H393,F393,FO$2),Ciencias!$A:$H,7,FALSE)=CC393,1,0)</f>
        <v>#N/A</v>
      </c>
      <c r="FP393" s="138" t="e">
        <f>IF(VLOOKUP(CONCATENATE(H393,F393,FP$2),GeoHis!$A:$H,7,FALSE)=CD393,1,0)</f>
        <v>#N/A</v>
      </c>
      <c r="FQ393" s="138" t="e">
        <f>IF(VLOOKUP(CONCATENATE(H393,F393,FQ$2),GeoHis!$A:$H,7,FALSE)=CE393,1,0)</f>
        <v>#N/A</v>
      </c>
      <c r="FR393" s="138" t="e">
        <f>IF(VLOOKUP(CONCATENATE(H393,F393,FR$2),GeoHis!$A:$H,7,FALSE)=CF393,1,0)</f>
        <v>#N/A</v>
      </c>
      <c r="FS393" s="138" t="e">
        <f>IF(VLOOKUP(CONCATENATE(H393,F393,FS$2),GeoHis!$A:$H,7,FALSE)=CG393,1,0)</f>
        <v>#N/A</v>
      </c>
      <c r="FT393" s="138" t="e">
        <f>IF(VLOOKUP(CONCATENATE(H393,F393,FT$2),GeoHis!$A:$H,7,FALSE)=CH393,1,0)</f>
        <v>#N/A</v>
      </c>
      <c r="FU393" s="138" t="e">
        <f>IF(VLOOKUP(CONCATENATE(H393,F393,FU$2),GeoHis!$A:$H,7,FALSE)=CI393,1,0)</f>
        <v>#N/A</v>
      </c>
      <c r="FV393" s="138" t="e">
        <f>IF(VLOOKUP(CONCATENATE(H393,F393,FV$2),GeoHis!$A:$H,7,FALSE)=CJ393,1,0)</f>
        <v>#N/A</v>
      </c>
      <c r="FW393" s="138" t="e">
        <f>IF(VLOOKUP(CONCATENATE(H393,F393,FW$2),GeoHis!$A:$H,7,FALSE)=CK393,1,0)</f>
        <v>#N/A</v>
      </c>
      <c r="FX393" s="138" t="e">
        <f>IF(VLOOKUP(CONCATENATE(H393,F393,FX$2),GeoHis!$A:$H,7,FALSE)=CL393,1,0)</f>
        <v>#N/A</v>
      </c>
      <c r="FY393" s="138" t="e">
        <f>IF(VLOOKUP(CONCATENATE(H393,F393,FY$2),GeoHis!$A:$H,7,FALSE)=CM393,1,0)</f>
        <v>#N/A</v>
      </c>
      <c r="FZ393" s="138" t="e">
        <f>IF(VLOOKUP(CONCATENATE(H393,F393,FZ$2),GeoHis!$A:$H,7,FALSE)=CN393,1,0)</f>
        <v>#N/A</v>
      </c>
      <c r="GA393" s="138" t="e">
        <f>IF(VLOOKUP(CONCATENATE(H393,F393,GA$2),GeoHis!$A:$H,7,FALSE)=CO393,1,0)</f>
        <v>#N/A</v>
      </c>
      <c r="GB393" s="138" t="e">
        <f>IF(VLOOKUP(CONCATENATE(H393,F393,GB$2),GeoHis!$A:$H,7,FALSE)=CP393,1,0)</f>
        <v>#N/A</v>
      </c>
      <c r="GC393" s="138" t="e">
        <f>IF(VLOOKUP(CONCATENATE(H393,F393,GC$2),GeoHis!$A:$H,7,FALSE)=CQ393,1,0)</f>
        <v>#N/A</v>
      </c>
      <c r="GD393" s="138" t="e">
        <f>IF(VLOOKUP(CONCATENATE(H393,F393,GD$2),GeoHis!$A:$H,7,FALSE)=CR393,1,0)</f>
        <v>#N/A</v>
      </c>
      <c r="GE393" s="135" t="str">
        <f t="shared" si="55"/>
        <v/>
      </c>
    </row>
    <row r="394" spans="1:187" x14ac:dyDescent="0.25">
      <c r="A394" s="127" t="str">
        <f>IF(C394="","",'Datos Generales'!$A$25)</f>
        <v/>
      </c>
      <c r="D394" s="126" t="str">
        <f t="shared" si="48"/>
        <v/>
      </c>
      <c r="E394" s="126">
        <f t="shared" si="49"/>
        <v>0</v>
      </c>
      <c r="F394" s="126" t="str">
        <f t="shared" si="50"/>
        <v/>
      </c>
      <c r="G394" s="126" t="str">
        <f>IF(C394="","",'Datos Generales'!$D$19)</f>
        <v/>
      </c>
      <c r="H394" s="21" t="str">
        <f>IF(C394="","",'Datos Generales'!$A$19)</f>
        <v/>
      </c>
      <c r="I394" s="126" t="str">
        <f>IF(C394="","",'Datos Generales'!$A$7)</f>
        <v/>
      </c>
      <c r="J394" s="21" t="str">
        <f>IF(C394="","",'Datos Generales'!$A$13)</f>
        <v/>
      </c>
      <c r="K394" s="21" t="str">
        <f>IF(C394="","",'Datos Generales'!$A$10)</f>
        <v/>
      </c>
      <c r="CS394" s="142" t="str">
        <f t="shared" si="51"/>
        <v/>
      </c>
      <c r="CT394" s="142" t="str">
        <f t="shared" si="52"/>
        <v/>
      </c>
      <c r="CU394" s="142" t="str">
        <f t="shared" si="53"/>
        <v/>
      </c>
      <c r="CV394" s="142" t="str">
        <f t="shared" si="54"/>
        <v/>
      </c>
      <c r="CW394" s="142" t="str">
        <f>IF(C394="","",IF('Datos Generales'!$A$19=1,AVERAGE(FP394:GD394),AVERAGE(Captura!FP394:FY394)))</f>
        <v/>
      </c>
      <c r="CX394" s="138" t="e">
        <f>IF(VLOOKUP(CONCATENATE($H$4,$F$4,CX$2),Español!$A:$H,7,FALSE)=L394,1,0)</f>
        <v>#N/A</v>
      </c>
      <c r="CY394" s="138" t="e">
        <f>IF(VLOOKUP(CONCATENATE(H394,F394,CY$2),Español!$A:$H,7,FALSE)=M394,1,0)</f>
        <v>#N/A</v>
      </c>
      <c r="CZ394" s="138" t="e">
        <f>IF(VLOOKUP(CONCATENATE(H394,F394,CZ$2),Español!$A:$H,7,FALSE)=N394,1,0)</f>
        <v>#N/A</v>
      </c>
      <c r="DA394" s="138" t="e">
        <f>IF(VLOOKUP(CONCATENATE(H394,F394,DA$2),Español!$A:$H,7,FALSE)=O394,1,0)</f>
        <v>#N/A</v>
      </c>
      <c r="DB394" s="138" t="e">
        <f>IF(VLOOKUP(CONCATENATE(H394,F394,DB$2),Español!$A:$H,7,FALSE)=P394,1,0)</f>
        <v>#N/A</v>
      </c>
      <c r="DC394" s="138" t="e">
        <f>IF(VLOOKUP(CONCATENATE(H394,F394,DC$2),Español!$A:$H,7,FALSE)=Q394,1,0)</f>
        <v>#N/A</v>
      </c>
      <c r="DD394" s="138" t="e">
        <f>IF(VLOOKUP(CONCATENATE(H394,F394,DD$2),Español!$A:$H,7,FALSE)=R394,1,0)</f>
        <v>#N/A</v>
      </c>
      <c r="DE394" s="138" t="e">
        <f>IF(VLOOKUP(CONCATENATE(H394,F394,DE$2),Español!$A:$H,7,FALSE)=S394,1,0)</f>
        <v>#N/A</v>
      </c>
      <c r="DF394" s="138" t="e">
        <f>IF(VLOOKUP(CONCATENATE(H394,F394,DF$2),Español!$A:$H,7,FALSE)=T394,1,0)</f>
        <v>#N/A</v>
      </c>
      <c r="DG394" s="138" t="e">
        <f>IF(VLOOKUP(CONCATENATE(H394,F394,DG$2),Español!$A:$H,7,FALSE)=U394,1,0)</f>
        <v>#N/A</v>
      </c>
      <c r="DH394" s="138" t="e">
        <f>IF(VLOOKUP(CONCATENATE(H394,F394,DH$2),Español!$A:$H,7,FALSE)=V394,1,0)</f>
        <v>#N/A</v>
      </c>
      <c r="DI394" s="138" t="e">
        <f>IF(VLOOKUP(CONCATENATE(H394,F394,DI$2),Español!$A:$H,7,FALSE)=W394,1,0)</f>
        <v>#N/A</v>
      </c>
      <c r="DJ394" s="138" t="e">
        <f>IF(VLOOKUP(CONCATENATE(H394,F394,DJ$2),Español!$A:$H,7,FALSE)=X394,1,0)</f>
        <v>#N/A</v>
      </c>
      <c r="DK394" s="138" t="e">
        <f>IF(VLOOKUP(CONCATENATE(H394,F394,DK$2),Español!$A:$H,7,FALSE)=Y394,1,0)</f>
        <v>#N/A</v>
      </c>
      <c r="DL394" s="138" t="e">
        <f>IF(VLOOKUP(CONCATENATE(H394,F394,DL$2),Español!$A:$H,7,FALSE)=Z394,1,0)</f>
        <v>#N/A</v>
      </c>
      <c r="DM394" s="138" t="e">
        <f>IF(VLOOKUP(CONCATENATE(H394,F394,DM$2),Español!$A:$H,7,FALSE)=AA394,1,0)</f>
        <v>#N/A</v>
      </c>
      <c r="DN394" s="138" t="e">
        <f>IF(VLOOKUP(CONCATENATE(H394,F394,DN$2),Español!$A:$H,7,FALSE)=AB394,1,0)</f>
        <v>#N/A</v>
      </c>
      <c r="DO394" s="138" t="e">
        <f>IF(VLOOKUP(CONCATENATE(H394,F394,DO$2),Español!$A:$H,7,FALSE)=AC394,1,0)</f>
        <v>#N/A</v>
      </c>
      <c r="DP394" s="138" t="e">
        <f>IF(VLOOKUP(CONCATENATE(H394,F394,DP$2),Español!$A:$H,7,FALSE)=AD394,1,0)</f>
        <v>#N/A</v>
      </c>
      <c r="DQ394" s="138" t="e">
        <f>IF(VLOOKUP(CONCATENATE(H394,F394,DQ$2),Español!$A:$H,7,FALSE)=AE394,1,0)</f>
        <v>#N/A</v>
      </c>
      <c r="DR394" s="138" t="e">
        <f>IF(VLOOKUP(CONCATENATE(H394,F394,DR$2),Inglés!$A:$H,7,FALSE)=AF394,1,0)</f>
        <v>#N/A</v>
      </c>
      <c r="DS394" s="138" t="e">
        <f>IF(VLOOKUP(CONCATENATE(H394,F394,DS$2),Inglés!$A:$H,7,FALSE)=AG394,1,0)</f>
        <v>#N/A</v>
      </c>
      <c r="DT394" s="138" t="e">
        <f>IF(VLOOKUP(CONCATENATE(H394,F394,DT$2),Inglés!$A:$H,7,FALSE)=AH394,1,0)</f>
        <v>#N/A</v>
      </c>
      <c r="DU394" s="138" t="e">
        <f>IF(VLOOKUP(CONCATENATE(H394,F394,DU$2),Inglés!$A:$H,7,FALSE)=AI394,1,0)</f>
        <v>#N/A</v>
      </c>
      <c r="DV394" s="138" t="e">
        <f>IF(VLOOKUP(CONCATENATE(H394,F394,DV$2),Inglés!$A:$H,7,FALSE)=AJ394,1,0)</f>
        <v>#N/A</v>
      </c>
      <c r="DW394" s="138" t="e">
        <f>IF(VLOOKUP(CONCATENATE(H394,F394,DW$2),Inglés!$A:$H,7,FALSE)=AK394,1,0)</f>
        <v>#N/A</v>
      </c>
      <c r="DX394" s="138" t="e">
        <f>IF(VLOOKUP(CONCATENATE(H394,F394,DX$2),Inglés!$A:$H,7,FALSE)=AL394,1,0)</f>
        <v>#N/A</v>
      </c>
      <c r="DY394" s="138" t="e">
        <f>IF(VLOOKUP(CONCATENATE(H394,F394,DY$2),Inglés!$A:$H,7,FALSE)=AM394,1,0)</f>
        <v>#N/A</v>
      </c>
      <c r="DZ394" s="138" t="e">
        <f>IF(VLOOKUP(CONCATENATE(H394,F394,DZ$2),Inglés!$A:$H,7,FALSE)=AN394,1,0)</f>
        <v>#N/A</v>
      </c>
      <c r="EA394" s="138" t="e">
        <f>IF(VLOOKUP(CONCATENATE(H394,F394,EA$2),Inglés!$A:$H,7,FALSE)=AO394,1,0)</f>
        <v>#N/A</v>
      </c>
      <c r="EB394" s="138" t="e">
        <f>IF(VLOOKUP(CONCATENATE(H394,F394,EB$2),Matemáticas!$A:$H,7,FALSE)=AP394,1,0)</f>
        <v>#N/A</v>
      </c>
      <c r="EC394" s="138" t="e">
        <f>IF(VLOOKUP(CONCATENATE(H394,F394,EC$2),Matemáticas!$A:$H,7,FALSE)=AQ394,1,0)</f>
        <v>#N/A</v>
      </c>
      <c r="ED394" s="138" t="e">
        <f>IF(VLOOKUP(CONCATENATE(H394,F394,ED$2),Matemáticas!$A:$H,7,FALSE)=AR394,1,0)</f>
        <v>#N/A</v>
      </c>
      <c r="EE394" s="138" t="e">
        <f>IF(VLOOKUP(CONCATENATE(H394,F394,EE$2),Matemáticas!$A:$H,7,FALSE)=AS394,1,0)</f>
        <v>#N/A</v>
      </c>
      <c r="EF394" s="138" t="e">
        <f>IF(VLOOKUP(CONCATENATE(H394,F394,EF$2),Matemáticas!$A:$H,7,FALSE)=AT394,1,0)</f>
        <v>#N/A</v>
      </c>
      <c r="EG394" s="138" t="e">
        <f>IF(VLOOKUP(CONCATENATE(H394,F394,EG$2),Matemáticas!$A:$H,7,FALSE)=AU394,1,0)</f>
        <v>#N/A</v>
      </c>
      <c r="EH394" s="138" t="e">
        <f>IF(VLOOKUP(CONCATENATE(H394,F394,EH$2),Matemáticas!$A:$H,7,FALSE)=AV394,1,0)</f>
        <v>#N/A</v>
      </c>
      <c r="EI394" s="138" t="e">
        <f>IF(VLOOKUP(CONCATENATE(H394,F394,EI$2),Matemáticas!$A:$H,7,FALSE)=AW394,1,0)</f>
        <v>#N/A</v>
      </c>
      <c r="EJ394" s="138" t="e">
        <f>IF(VLOOKUP(CONCATENATE(H394,F394,EJ$2),Matemáticas!$A:$H,7,FALSE)=AX394,1,0)</f>
        <v>#N/A</v>
      </c>
      <c r="EK394" s="138" t="e">
        <f>IF(VLOOKUP(CONCATENATE(H394,F394,EK$2),Matemáticas!$A:$H,7,FALSE)=AY394,1,0)</f>
        <v>#N/A</v>
      </c>
      <c r="EL394" s="138" t="e">
        <f>IF(VLOOKUP(CONCATENATE(H394,F394,EL$2),Matemáticas!$A:$H,7,FALSE)=AZ394,1,0)</f>
        <v>#N/A</v>
      </c>
      <c r="EM394" s="138" t="e">
        <f>IF(VLOOKUP(CONCATENATE(H394,F394,EM$2),Matemáticas!$A:$H,7,FALSE)=BA394,1,0)</f>
        <v>#N/A</v>
      </c>
      <c r="EN394" s="138" t="e">
        <f>IF(VLOOKUP(CONCATENATE(H394,F394,EN$2),Matemáticas!$A:$H,7,FALSE)=BB394,1,0)</f>
        <v>#N/A</v>
      </c>
      <c r="EO394" s="138" t="e">
        <f>IF(VLOOKUP(CONCATENATE(H394,F394,EO$2),Matemáticas!$A:$H,7,FALSE)=BC394,1,0)</f>
        <v>#N/A</v>
      </c>
      <c r="EP394" s="138" t="e">
        <f>IF(VLOOKUP(CONCATENATE(H394,F394,EP$2),Matemáticas!$A:$H,7,FALSE)=BD394,1,0)</f>
        <v>#N/A</v>
      </c>
      <c r="EQ394" s="138" t="e">
        <f>IF(VLOOKUP(CONCATENATE(H394,F394,EQ$2),Matemáticas!$A:$H,7,FALSE)=BE394,1,0)</f>
        <v>#N/A</v>
      </c>
      <c r="ER394" s="138" t="e">
        <f>IF(VLOOKUP(CONCATENATE(H394,F394,ER$2),Matemáticas!$A:$H,7,FALSE)=BF394,1,0)</f>
        <v>#N/A</v>
      </c>
      <c r="ES394" s="138" t="e">
        <f>IF(VLOOKUP(CONCATENATE(H394,F394,ES$2),Matemáticas!$A:$H,7,FALSE)=BG394,1,0)</f>
        <v>#N/A</v>
      </c>
      <c r="ET394" s="138" t="e">
        <f>IF(VLOOKUP(CONCATENATE(H394,F394,ET$2),Matemáticas!$A:$H,7,FALSE)=BH394,1,0)</f>
        <v>#N/A</v>
      </c>
      <c r="EU394" s="138" t="e">
        <f>IF(VLOOKUP(CONCATENATE(H394,F394,EU$2),Matemáticas!$A:$H,7,FALSE)=BI394,1,0)</f>
        <v>#N/A</v>
      </c>
      <c r="EV394" s="138" t="e">
        <f>IF(VLOOKUP(CONCATENATE(H394,F394,EV$2),Ciencias!$A:$H,7,FALSE)=BJ394,1,0)</f>
        <v>#N/A</v>
      </c>
      <c r="EW394" s="138" t="e">
        <f>IF(VLOOKUP(CONCATENATE(H394,F394,EW$2),Ciencias!$A:$H,7,FALSE)=BK394,1,0)</f>
        <v>#N/A</v>
      </c>
      <c r="EX394" s="138" t="e">
        <f>IF(VLOOKUP(CONCATENATE(H394,F394,EX$2),Ciencias!$A:$H,7,FALSE)=BL394,1,0)</f>
        <v>#N/A</v>
      </c>
      <c r="EY394" s="138" t="e">
        <f>IF(VLOOKUP(CONCATENATE(H394,F394,EY$2),Ciencias!$A:$H,7,FALSE)=BM394,1,0)</f>
        <v>#N/A</v>
      </c>
      <c r="EZ394" s="138" t="e">
        <f>IF(VLOOKUP(CONCATENATE(H394,F394,EZ$2),Ciencias!$A:$H,7,FALSE)=BN394,1,0)</f>
        <v>#N/A</v>
      </c>
      <c r="FA394" s="138" t="e">
        <f>IF(VLOOKUP(CONCATENATE(H394,F394,FA$2),Ciencias!$A:$H,7,FALSE)=BO394,1,0)</f>
        <v>#N/A</v>
      </c>
      <c r="FB394" s="138" t="e">
        <f>IF(VLOOKUP(CONCATENATE(H394,F394,FB$2),Ciencias!$A:$H,7,FALSE)=BP394,1,0)</f>
        <v>#N/A</v>
      </c>
      <c r="FC394" s="138" t="e">
        <f>IF(VLOOKUP(CONCATENATE(H394,F394,FC$2),Ciencias!$A:$H,7,FALSE)=BQ394,1,0)</f>
        <v>#N/A</v>
      </c>
      <c r="FD394" s="138" t="e">
        <f>IF(VLOOKUP(CONCATENATE(H394,F394,FD$2),Ciencias!$A:$H,7,FALSE)=BR394,1,0)</f>
        <v>#N/A</v>
      </c>
      <c r="FE394" s="138" t="e">
        <f>IF(VLOOKUP(CONCATENATE(H394,F394,FE$2),Ciencias!$A:$H,7,FALSE)=BS394,1,0)</f>
        <v>#N/A</v>
      </c>
      <c r="FF394" s="138" t="e">
        <f>IF(VLOOKUP(CONCATENATE(H394,F394,FF$2),Ciencias!$A:$H,7,FALSE)=BT394,1,0)</f>
        <v>#N/A</v>
      </c>
      <c r="FG394" s="138" t="e">
        <f>IF(VLOOKUP(CONCATENATE(H394,F394,FG$2),Ciencias!$A:$H,7,FALSE)=BU394,1,0)</f>
        <v>#N/A</v>
      </c>
      <c r="FH394" s="138" t="e">
        <f>IF(VLOOKUP(CONCATENATE(H394,F394,FH$2),Ciencias!$A:$H,7,FALSE)=BV394,1,0)</f>
        <v>#N/A</v>
      </c>
      <c r="FI394" s="138" t="e">
        <f>IF(VLOOKUP(CONCATENATE(H394,F394,FI$2),Ciencias!$A:$H,7,FALSE)=BW394,1,0)</f>
        <v>#N/A</v>
      </c>
      <c r="FJ394" s="138" t="e">
        <f>IF(VLOOKUP(CONCATENATE(H394,F394,FJ$2),Ciencias!$A:$H,7,FALSE)=BX394,1,0)</f>
        <v>#N/A</v>
      </c>
      <c r="FK394" s="138" t="e">
        <f>IF(VLOOKUP(CONCATENATE(H394,F394,FK$2),Ciencias!$A:$H,7,FALSE)=BY394,1,0)</f>
        <v>#N/A</v>
      </c>
      <c r="FL394" s="138" t="e">
        <f>IF(VLOOKUP(CONCATENATE(H394,F394,FL$2),Ciencias!$A:$H,7,FALSE)=BZ394,1,0)</f>
        <v>#N/A</v>
      </c>
      <c r="FM394" s="138" t="e">
        <f>IF(VLOOKUP(CONCATENATE(H394,F394,FM$2),Ciencias!$A:$H,7,FALSE)=CA394,1,0)</f>
        <v>#N/A</v>
      </c>
      <c r="FN394" s="138" t="e">
        <f>IF(VLOOKUP(CONCATENATE(H394,F394,FN$2),Ciencias!$A:$H,7,FALSE)=CB394,1,0)</f>
        <v>#N/A</v>
      </c>
      <c r="FO394" s="138" t="e">
        <f>IF(VLOOKUP(CONCATENATE(H394,F394,FO$2),Ciencias!$A:$H,7,FALSE)=CC394,1,0)</f>
        <v>#N/A</v>
      </c>
      <c r="FP394" s="138" t="e">
        <f>IF(VLOOKUP(CONCATENATE(H394,F394,FP$2),GeoHis!$A:$H,7,FALSE)=CD394,1,0)</f>
        <v>#N/A</v>
      </c>
      <c r="FQ394" s="138" t="e">
        <f>IF(VLOOKUP(CONCATENATE(H394,F394,FQ$2),GeoHis!$A:$H,7,FALSE)=CE394,1,0)</f>
        <v>#N/A</v>
      </c>
      <c r="FR394" s="138" t="e">
        <f>IF(VLOOKUP(CONCATENATE(H394,F394,FR$2),GeoHis!$A:$H,7,FALSE)=CF394,1,0)</f>
        <v>#N/A</v>
      </c>
      <c r="FS394" s="138" t="e">
        <f>IF(VLOOKUP(CONCATENATE(H394,F394,FS$2),GeoHis!$A:$H,7,FALSE)=CG394,1,0)</f>
        <v>#N/A</v>
      </c>
      <c r="FT394" s="138" t="e">
        <f>IF(VLOOKUP(CONCATENATE(H394,F394,FT$2),GeoHis!$A:$H,7,FALSE)=CH394,1,0)</f>
        <v>#N/A</v>
      </c>
      <c r="FU394" s="138" t="e">
        <f>IF(VLOOKUP(CONCATENATE(H394,F394,FU$2),GeoHis!$A:$H,7,FALSE)=CI394,1,0)</f>
        <v>#N/A</v>
      </c>
      <c r="FV394" s="138" t="e">
        <f>IF(VLOOKUP(CONCATENATE(H394,F394,FV$2),GeoHis!$A:$H,7,FALSE)=CJ394,1,0)</f>
        <v>#N/A</v>
      </c>
      <c r="FW394" s="138" t="e">
        <f>IF(VLOOKUP(CONCATENATE(H394,F394,FW$2),GeoHis!$A:$H,7,FALSE)=CK394,1,0)</f>
        <v>#N/A</v>
      </c>
      <c r="FX394" s="138" t="e">
        <f>IF(VLOOKUP(CONCATENATE(H394,F394,FX$2),GeoHis!$A:$H,7,FALSE)=CL394,1,0)</f>
        <v>#N/A</v>
      </c>
      <c r="FY394" s="138" t="e">
        <f>IF(VLOOKUP(CONCATENATE(H394,F394,FY$2),GeoHis!$A:$H,7,FALSE)=CM394,1,0)</f>
        <v>#N/A</v>
      </c>
      <c r="FZ394" s="138" t="e">
        <f>IF(VLOOKUP(CONCATENATE(H394,F394,FZ$2),GeoHis!$A:$H,7,FALSE)=CN394,1,0)</f>
        <v>#N/A</v>
      </c>
      <c r="GA394" s="138" t="e">
        <f>IF(VLOOKUP(CONCATENATE(H394,F394,GA$2),GeoHis!$A:$H,7,FALSE)=CO394,1,0)</f>
        <v>#N/A</v>
      </c>
      <c r="GB394" s="138" t="e">
        <f>IF(VLOOKUP(CONCATENATE(H394,F394,GB$2),GeoHis!$A:$H,7,FALSE)=CP394,1,0)</f>
        <v>#N/A</v>
      </c>
      <c r="GC394" s="138" t="e">
        <f>IF(VLOOKUP(CONCATENATE(H394,F394,GC$2),GeoHis!$A:$H,7,FALSE)=CQ394,1,0)</f>
        <v>#N/A</v>
      </c>
      <c r="GD394" s="138" t="e">
        <f>IF(VLOOKUP(CONCATENATE(H394,F394,GD$2),GeoHis!$A:$H,7,FALSE)=CR394,1,0)</f>
        <v>#N/A</v>
      </c>
      <c r="GE394" s="135" t="str">
        <f t="shared" si="55"/>
        <v/>
      </c>
    </row>
    <row r="395" spans="1:187" x14ac:dyDescent="0.25">
      <c r="A395" s="127" t="str">
        <f>IF(C395="","",'Datos Generales'!$A$25)</f>
        <v/>
      </c>
      <c r="D395" s="126" t="str">
        <f t="shared" si="48"/>
        <v/>
      </c>
      <c r="E395" s="126">
        <f t="shared" si="49"/>
        <v>0</v>
      </c>
      <c r="F395" s="126" t="str">
        <f t="shared" si="50"/>
        <v/>
      </c>
      <c r="G395" s="126" t="str">
        <f>IF(C395="","",'Datos Generales'!$D$19)</f>
        <v/>
      </c>
      <c r="H395" s="21" t="str">
        <f>IF(C395="","",'Datos Generales'!$A$19)</f>
        <v/>
      </c>
      <c r="I395" s="126" t="str">
        <f>IF(C395="","",'Datos Generales'!$A$7)</f>
        <v/>
      </c>
      <c r="J395" s="21" t="str">
        <f>IF(C395="","",'Datos Generales'!$A$13)</f>
        <v/>
      </c>
      <c r="K395" s="21" t="str">
        <f>IF(C395="","",'Datos Generales'!$A$10)</f>
        <v/>
      </c>
      <c r="CS395" s="142" t="str">
        <f t="shared" si="51"/>
        <v/>
      </c>
      <c r="CT395" s="142" t="str">
        <f t="shared" si="52"/>
        <v/>
      </c>
      <c r="CU395" s="142" t="str">
        <f t="shared" si="53"/>
        <v/>
      </c>
      <c r="CV395" s="142" t="str">
        <f t="shared" si="54"/>
        <v/>
      </c>
      <c r="CW395" s="142" t="str">
        <f>IF(C395="","",IF('Datos Generales'!$A$19=1,AVERAGE(FP395:GD395),AVERAGE(Captura!FP395:FY395)))</f>
        <v/>
      </c>
      <c r="CX395" s="138" t="e">
        <f>IF(VLOOKUP(CONCATENATE($H$4,$F$4,CX$2),Español!$A:$H,7,FALSE)=L395,1,0)</f>
        <v>#N/A</v>
      </c>
      <c r="CY395" s="138" t="e">
        <f>IF(VLOOKUP(CONCATENATE(H395,F395,CY$2),Español!$A:$H,7,FALSE)=M395,1,0)</f>
        <v>#N/A</v>
      </c>
      <c r="CZ395" s="138" t="e">
        <f>IF(VLOOKUP(CONCATENATE(H395,F395,CZ$2),Español!$A:$H,7,FALSE)=N395,1,0)</f>
        <v>#N/A</v>
      </c>
      <c r="DA395" s="138" t="e">
        <f>IF(VLOOKUP(CONCATENATE(H395,F395,DA$2),Español!$A:$H,7,FALSE)=O395,1,0)</f>
        <v>#N/A</v>
      </c>
      <c r="DB395" s="138" t="e">
        <f>IF(VLOOKUP(CONCATENATE(H395,F395,DB$2),Español!$A:$H,7,FALSE)=P395,1,0)</f>
        <v>#N/A</v>
      </c>
      <c r="DC395" s="138" t="e">
        <f>IF(VLOOKUP(CONCATENATE(H395,F395,DC$2),Español!$A:$H,7,FALSE)=Q395,1,0)</f>
        <v>#N/A</v>
      </c>
      <c r="DD395" s="138" t="e">
        <f>IF(VLOOKUP(CONCATENATE(H395,F395,DD$2),Español!$A:$H,7,FALSE)=R395,1,0)</f>
        <v>#N/A</v>
      </c>
      <c r="DE395" s="138" t="e">
        <f>IF(VLOOKUP(CONCATENATE(H395,F395,DE$2),Español!$A:$H,7,FALSE)=S395,1,0)</f>
        <v>#N/A</v>
      </c>
      <c r="DF395" s="138" t="e">
        <f>IF(VLOOKUP(CONCATENATE(H395,F395,DF$2),Español!$A:$H,7,FALSE)=T395,1,0)</f>
        <v>#N/A</v>
      </c>
      <c r="DG395" s="138" t="e">
        <f>IF(VLOOKUP(CONCATENATE(H395,F395,DG$2),Español!$A:$H,7,FALSE)=U395,1,0)</f>
        <v>#N/A</v>
      </c>
      <c r="DH395" s="138" t="e">
        <f>IF(VLOOKUP(CONCATENATE(H395,F395,DH$2),Español!$A:$H,7,FALSE)=V395,1,0)</f>
        <v>#N/A</v>
      </c>
      <c r="DI395" s="138" t="e">
        <f>IF(VLOOKUP(CONCATENATE(H395,F395,DI$2),Español!$A:$H,7,FALSE)=W395,1,0)</f>
        <v>#N/A</v>
      </c>
      <c r="DJ395" s="138" t="e">
        <f>IF(VLOOKUP(CONCATENATE(H395,F395,DJ$2),Español!$A:$H,7,FALSE)=X395,1,0)</f>
        <v>#N/A</v>
      </c>
      <c r="DK395" s="138" t="e">
        <f>IF(VLOOKUP(CONCATENATE(H395,F395,DK$2),Español!$A:$H,7,FALSE)=Y395,1,0)</f>
        <v>#N/A</v>
      </c>
      <c r="DL395" s="138" t="e">
        <f>IF(VLOOKUP(CONCATENATE(H395,F395,DL$2),Español!$A:$H,7,FALSE)=Z395,1,0)</f>
        <v>#N/A</v>
      </c>
      <c r="DM395" s="138" t="e">
        <f>IF(VLOOKUP(CONCATENATE(H395,F395,DM$2),Español!$A:$H,7,FALSE)=AA395,1,0)</f>
        <v>#N/A</v>
      </c>
      <c r="DN395" s="138" t="e">
        <f>IF(VLOOKUP(CONCATENATE(H395,F395,DN$2),Español!$A:$H,7,FALSE)=AB395,1,0)</f>
        <v>#N/A</v>
      </c>
      <c r="DO395" s="138" t="e">
        <f>IF(VLOOKUP(CONCATENATE(H395,F395,DO$2),Español!$A:$H,7,FALSE)=AC395,1,0)</f>
        <v>#N/A</v>
      </c>
      <c r="DP395" s="138" t="e">
        <f>IF(VLOOKUP(CONCATENATE(H395,F395,DP$2),Español!$A:$H,7,FALSE)=AD395,1,0)</f>
        <v>#N/A</v>
      </c>
      <c r="DQ395" s="138" t="e">
        <f>IF(VLOOKUP(CONCATENATE(H395,F395,DQ$2),Español!$A:$H,7,FALSE)=AE395,1,0)</f>
        <v>#N/A</v>
      </c>
      <c r="DR395" s="138" t="e">
        <f>IF(VLOOKUP(CONCATENATE(H395,F395,DR$2),Inglés!$A:$H,7,FALSE)=AF395,1,0)</f>
        <v>#N/A</v>
      </c>
      <c r="DS395" s="138" t="e">
        <f>IF(VLOOKUP(CONCATENATE(H395,F395,DS$2),Inglés!$A:$H,7,FALSE)=AG395,1,0)</f>
        <v>#N/A</v>
      </c>
      <c r="DT395" s="138" t="e">
        <f>IF(VLOOKUP(CONCATENATE(H395,F395,DT$2),Inglés!$A:$H,7,FALSE)=AH395,1,0)</f>
        <v>#N/A</v>
      </c>
      <c r="DU395" s="138" t="e">
        <f>IF(VLOOKUP(CONCATENATE(H395,F395,DU$2),Inglés!$A:$H,7,FALSE)=AI395,1,0)</f>
        <v>#N/A</v>
      </c>
      <c r="DV395" s="138" t="e">
        <f>IF(VLOOKUP(CONCATENATE(H395,F395,DV$2),Inglés!$A:$H,7,FALSE)=AJ395,1,0)</f>
        <v>#N/A</v>
      </c>
      <c r="DW395" s="138" t="e">
        <f>IF(VLOOKUP(CONCATENATE(H395,F395,DW$2),Inglés!$A:$H,7,FALSE)=AK395,1,0)</f>
        <v>#N/A</v>
      </c>
      <c r="DX395" s="138" t="e">
        <f>IF(VLOOKUP(CONCATENATE(H395,F395,DX$2),Inglés!$A:$H,7,FALSE)=AL395,1,0)</f>
        <v>#N/A</v>
      </c>
      <c r="DY395" s="138" t="e">
        <f>IF(VLOOKUP(CONCATENATE(H395,F395,DY$2),Inglés!$A:$H,7,FALSE)=AM395,1,0)</f>
        <v>#N/A</v>
      </c>
      <c r="DZ395" s="138" t="e">
        <f>IF(VLOOKUP(CONCATENATE(H395,F395,DZ$2),Inglés!$A:$H,7,FALSE)=AN395,1,0)</f>
        <v>#N/A</v>
      </c>
      <c r="EA395" s="138" t="e">
        <f>IF(VLOOKUP(CONCATENATE(H395,F395,EA$2),Inglés!$A:$H,7,FALSE)=AO395,1,0)</f>
        <v>#N/A</v>
      </c>
      <c r="EB395" s="138" t="e">
        <f>IF(VLOOKUP(CONCATENATE(H395,F395,EB$2),Matemáticas!$A:$H,7,FALSE)=AP395,1,0)</f>
        <v>#N/A</v>
      </c>
      <c r="EC395" s="138" t="e">
        <f>IF(VLOOKUP(CONCATENATE(H395,F395,EC$2),Matemáticas!$A:$H,7,FALSE)=AQ395,1,0)</f>
        <v>#N/A</v>
      </c>
      <c r="ED395" s="138" t="e">
        <f>IF(VLOOKUP(CONCATENATE(H395,F395,ED$2),Matemáticas!$A:$H,7,FALSE)=AR395,1,0)</f>
        <v>#N/A</v>
      </c>
      <c r="EE395" s="138" t="e">
        <f>IF(VLOOKUP(CONCATENATE(H395,F395,EE$2),Matemáticas!$A:$H,7,FALSE)=AS395,1,0)</f>
        <v>#N/A</v>
      </c>
      <c r="EF395" s="138" t="e">
        <f>IF(VLOOKUP(CONCATENATE(H395,F395,EF$2),Matemáticas!$A:$H,7,FALSE)=AT395,1,0)</f>
        <v>#N/A</v>
      </c>
      <c r="EG395" s="138" t="e">
        <f>IF(VLOOKUP(CONCATENATE(H395,F395,EG$2),Matemáticas!$A:$H,7,FALSE)=AU395,1,0)</f>
        <v>#N/A</v>
      </c>
      <c r="EH395" s="138" t="e">
        <f>IF(VLOOKUP(CONCATENATE(H395,F395,EH$2),Matemáticas!$A:$H,7,FALSE)=AV395,1,0)</f>
        <v>#N/A</v>
      </c>
      <c r="EI395" s="138" t="e">
        <f>IF(VLOOKUP(CONCATENATE(H395,F395,EI$2),Matemáticas!$A:$H,7,FALSE)=AW395,1,0)</f>
        <v>#N/A</v>
      </c>
      <c r="EJ395" s="138" t="e">
        <f>IF(VLOOKUP(CONCATENATE(H395,F395,EJ$2),Matemáticas!$A:$H,7,FALSE)=AX395,1,0)</f>
        <v>#N/A</v>
      </c>
      <c r="EK395" s="138" t="e">
        <f>IF(VLOOKUP(CONCATENATE(H395,F395,EK$2),Matemáticas!$A:$H,7,FALSE)=AY395,1,0)</f>
        <v>#N/A</v>
      </c>
      <c r="EL395" s="138" t="e">
        <f>IF(VLOOKUP(CONCATENATE(H395,F395,EL$2),Matemáticas!$A:$H,7,FALSE)=AZ395,1,0)</f>
        <v>#N/A</v>
      </c>
      <c r="EM395" s="138" t="e">
        <f>IF(VLOOKUP(CONCATENATE(H395,F395,EM$2),Matemáticas!$A:$H,7,FALSE)=BA395,1,0)</f>
        <v>#N/A</v>
      </c>
      <c r="EN395" s="138" t="e">
        <f>IF(VLOOKUP(CONCATENATE(H395,F395,EN$2),Matemáticas!$A:$H,7,FALSE)=BB395,1,0)</f>
        <v>#N/A</v>
      </c>
      <c r="EO395" s="138" t="e">
        <f>IF(VLOOKUP(CONCATENATE(H395,F395,EO$2),Matemáticas!$A:$H,7,FALSE)=BC395,1,0)</f>
        <v>#N/A</v>
      </c>
      <c r="EP395" s="138" t="e">
        <f>IF(VLOOKUP(CONCATENATE(H395,F395,EP$2),Matemáticas!$A:$H,7,FALSE)=BD395,1,0)</f>
        <v>#N/A</v>
      </c>
      <c r="EQ395" s="138" t="e">
        <f>IF(VLOOKUP(CONCATENATE(H395,F395,EQ$2),Matemáticas!$A:$H,7,FALSE)=BE395,1,0)</f>
        <v>#N/A</v>
      </c>
      <c r="ER395" s="138" t="e">
        <f>IF(VLOOKUP(CONCATENATE(H395,F395,ER$2),Matemáticas!$A:$H,7,FALSE)=BF395,1,0)</f>
        <v>#N/A</v>
      </c>
      <c r="ES395" s="138" t="e">
        <f>IF(VLOOKUP(CONCATENATE(H395,F395,ES$2),Matemáticas!$A:$H,7,FALSE)=BG395,1,0)</f>
        <v>#N/A</v>
      </c>
      <c r="ET395" s="138" t="e">
        <f>IF(VLOOKUP(CONCATENATE(H395,F395,ET$2),Matemáticas!$A:$H,7,FALSE)=BH395,1,0)</f>
        <v>#N/A</v>
      </c>
      <c r="EU395" s="138" t="e">
        <f>IF(VLOOKUP(CONCATENATE(H395,F395,EU$2),Matemáticas!$A:$H,7,FALSE)=BI395,1,0)</f>
        <v>#N/A</v>
      </c>
      <c r="EV395" s="138" t="e">
        <f>IF(VLOOKUP(CONCATENATE(H395,F395,EV$2),Ciencias!$A:$H,7,FALSE)=BJ395,1,0)</f>
        <v>#N/A</v>
      </c>
      <c r="EW395" s="138" t="e">
        <f>IF(VLOOKUP(CONCATENATE(H395,F395,EW$2),Ciencias!$A:$H,7,FALSE)=BK395,1,0)</f>
        <v>#N/A</v>
      </c>
      <c r="EX395" s="138" t="e">
        <f>IF(VLOOKUP(CONCATENATE(H395,F395,EX$2),Ciencias!$A:$H,7,FALSE)=BL395,1,0)</f>
        <v>#N/A</v>
      </c>
      <c r="EY395" s="138" t="e">
        <f>IF(VLOOKUP(CONCATENATE(H395,F395,EY$2),Ciencias!$A:$H,7,FALSE)=BM395,1,0)</f>
        <v>#N/A</v>
      </c>
      <c r="EZ395" s="138" t="e">
        <f>IF(VLOOKUP(CONCATENATE(H395,F395,EZ$2),Ciencias!$A:$H,7,FALSE)=BN395,1,0)</f>
        <v>#N/A</v>
      </c>
      <c r="FA395" s="138" t="e">
        <f>IF(VLOOKUP(CONCATENATE(H395,F395,FA$2),Ciencias!$A:$H,7,FALSE)=BO395,1,0)</f>
        <v>#N/A</v>
      </c>
      <c r="FB395" s="138" t="e">
        <f>IF(VLOOKUP(CONCATENATE(H395,F395,FB$2),Ciencias!$A:$H,7,FALSE)=BP395,1,0)</f>
        <v>#N/A</v>
      </c>
      <c r="FC395" s="138" t="e">
        <f>IF(VLOOKUP(CONCATENATE(H395,F395,FC$2),Ciencias!$A:$H,7,FALSE)=BQ395,1,0)</f>
        <v>#N/A</v>
      </c>
      <c r="FD395" s="138" t="e">
        <f>IF(VLOOKUP(CONCATENATE(H395,F395,FD$2),Ciencias!$A:$H,7,FALSE)=BR395,1,0)</f>
        <v>#N/A</v>
      </c>
      <c r="FE395" s="138" t="e">
        <f>IF(VLOOKUP(CONCATENATE(H395,F395,FE$2),Ciencias!$A:$H,7,FALSE)=BS395,1,0)</f>
        <v>#N/A</v>
      </c>
      <c r="FF395" s="138" t="e">
        <f>IF(VLOOKUP(CONCATENATE(H395,F395,FF$2),Ciencias!$A:$H,7,FALSE)=BT395,1,0)</f>
        <v>#N/A</v>
      </c>
      <c r="FG395" s="138" t="e">
        <f>IF(VLOOKUP(CONCATENATE(H395,F395,FG$2),Ciencias!$A:$H,7,FALSE)=BU395,1,0)</f>
        <v>#N/A</v>
      </c>
      <c r="FH395" s="138" t="e">
        <f>IF(VLOOKUP(CONCATENATE(H395,F395,FH$2),Ciencias!$A:$H,7,FALSE)=BV395,1,0)</f>
        <v>#N/A</v>
      </c>
      <c r="FI395" s="138" t="e">
        <f>IF(VLOOKUP(CONCATENATE(H395,F395,FI$2),Ciencias!$A:$H,7,FALSE)=BW395,1,0)</f>
        <v>#N/A</v>
      </c>
      <c r="FJ395" s="138" t="e">
        <f>IF(VLOOKUP(CONCATENATE(H395,F395,FJ$2),Ciencias!$A:$H,7,FALSE)=BX395,1,0)</f>
        <v>#N/A</v>
      </c>
      <c r="FK395" s="138" t="e">
        <f>IF(VLOOKUP(CONCATENATE(H395,F395,FK$2),Ciencias!$A:$H,7,FALSE)=BY395,1,0)</f>
        <v>#N/A</v>
      </c>
      <c r="FL395" s="138" t="e">
        <f>IF(VLOOKUP(CONCATENATE(H395,F395,FL$2),Ciencias!$A:$H,7,FALSE)=BZ395,1,0)</f>
        <v>#N/A</v>
      </c>
      <c r="FM395" s="138" t="e">
        <f>IF(VLOOKUP(CONCATENATE(H395,F395,FM$2),Ciencias!$A:$H,7,FALSE)=CA395,1,0)</f>
        <v>#N/A</v>
      </c>
      <c r="FN395" s="138" t="e">
        <f>IF(VLOOKUP(CONCATENATE(H395,F395,FN$2),Ciencias!$A:$H,7,FALSE)=CB395,1,0)</f>
        <v>#N/A</v>
      </c>
      <c r="FO395" s="138" t="e">
        <f>IF(VLOOKUP(CONCATENATE(H395,F395,FO$2),Ciencias!$A:$H,7,FALSE)=CC395,1,0)</f>
        <v>#N/A</v>
      </c>
      <c r="FP395" s="138" t="e">
        <f>IF(VLOOKUP(CONCATENATE(H395,F395,FP$2),GeoHis!$A:$H,7,FALSE)=CD395,1,0)</f>
        <v>#N/A</v>
      </c>
      <c r="FQ395" s="138" t="e">
        <f>IF(VLOOKUP(CONCATENATE(H395,F395,FQ$2),GeoHis!$A:$H,7,FALSE)=CE395,1,0)</f>
        <v>#N/A</v>
      </c>
      <c r="FR395" s="138" t="e">
        <f>IF(VLOOKUP(CONCATENATE(H395,F395,FR$2),GeoHis!$A:$H,7,FALSE)=CF395,1,0)</f>
        <v>#N/A</v>
      </c>
      <c r="FS395" s="138" t="e">
        <f>IF(VLOOKUP(CONCATENATE(H395,F395,FS$2),GeoHis!$A:$H,7,FALSE)=CG395,1,0)</f>
        <v>#N/A</v>
      </c>
      <c r="FT395" s="138" t="e">
        <f>IF(VLOOKUP(CONCATENATE(H395,F395,FT$2),GeoHis!$A:$H,7,FALSE)=CH395,1,0)</f>
        <v>#N/A</v>
      </c>
      <c r="FU395" s="138" t="e">
        <f>IF(VLOOKUP(CONCATENATE(H395,F395,FU$2),GeoHis!$A:$H,7,FALSE)=CI395,1,0)</f>
        <v>#N/A</v>
      </c>
      <c r="FV395" s="138" t="e">
        <f>IF(VLOOKUP(CONCATENATE(H395,F395,FV$2),GeoHis!$A:$H,7,FALSE)=CJ395,1,0)</f>
        <v>#N/A</v>
      </c>
      <c r="FW395" s="138" t="e">
        <f>IF(VLOOKUP(CONCATENATE(H395,F395,FW$2),GeoHis!$A:$H,7,FALSE)=CK395,1,0)</f>
        <v>#N/A</v>
      </c>
      <c r="FX395" s="138" t="e">
        <f>IF(VLOOKUP(CONCATENATE(H395,F395,FX$2),GeoHis!$A:$H,7,FALSE)=CL395,1,0)</f>
        <v>#N/A</v>
      </c>
      <c r="FY395" s="138" t="e">
        <f>IF(VLOOKUP(CONCATENATE(H395,F395,FY$2),GeoHis!$A:$H,7,FALSE)=CM395,1,0)</f>
        <v>#N/A</v>
      </c>
      <c r="FZ395" s="138" t="e">
        <f>IF(VLOOKUP(CONCATENATE(H395,F395,FZ$2),GeoHis!$A:$H,7,FALSE)=CN395,1,0)</f>
        <v>#N/A</v>
      </c>
      <c r="GA395" s="138" t="e">
        <f>IF(VLOOKUP(CONCATENATE(H395,F395,GA$2),GeoHis!$A:$H,7,FALSE)=CO395,1,0)</f>
        <v>#N/A</v>
      </c>
      <c r="GB395" s="138" t="e">
        <f>IF(VLOOKUP(CONCATENATE(H395,F395,GB$2),GeoHis!$A:$H,7,FALSE)=CP395,1,0)</f>
        <v>#N/A</v>
      </c>
      <c r="GC395" s="138" t="e">
        <f>IF(VLOOKUP(CONCATENATE(H395,F395,GC$2),GeoHis!$A:$H,7,FALSE)=CQ395,1,0)</f>
        <v>#N/A</v>
      </c>
      <c r="GD395" s="138" t="e">
        <f>IF(VLOOKUP(CONCATENATE(H395,F395,GD$2),GeoHis!$A:$H,7,FALSE)=CR395,1,0)</f>
        <v>#N/A</v>
      </c>
      <c r="GE395" s="135" t="str">
        <f t="shared" si="55"/>
        <v/>
      </c>
    </row>
    <row r="396" spans="1:187" x14ac:dyDescent="0.25">
      <c r="A396" s="127" t="str">
        <f>IF(C396="","",'Datos Generales'!$A$25)</f>
        <v/>
      </c>
      <c r="D396" s="126" t="str">
        <f t="shared" si="48"/>
        <v/>
      </c>
      <c r="E396" s="126">
        <f t="shared" si="49"/>
        <v>0</v>
      </c>
      <c r="F396" s="126" t="str">
        <f t="shared" si="50"/>
        <v/>
      </c>
      <c r="G396" s="126" t="str">
        <f>IF(C396="","",'Datos Generales'!$D$19)</f>
        <v/>
      </c>
      <c r="H396" s="21" t="str">
        <f>IF(C396="","",'Datos Generales'!$A$19)</f>
        <v/>
      </c>
      <c r="I396" s="126" t="str">
        <f>IF(C396="","",'Datos Generales'!$A$7)</f>
        <v/>
      </c>
      <c r="J396" s="21" t="str">
        <f>IF(C396="","",'Datos Generales'!$A$13)</f>
        <v/>
      </c>
      <c r="K396" s="21" t="str">
        <f>IF(C396="","",'Datos Generales'!$A$10)</f>
        <v/>
      </c>
      <c r="CS396" s="142" t="str">
        <f t="shared" si="51"/>
        <v/>
      </c>
      <c r="CT396" s="142" t="str">
        <f t="shared" si="52"/>
        <v/>
      </c>
      <c r="CU396" s="142" t="str">
        <f t="shared" si="53"/>
        <v/>
      </c>
      <c r="CV396" s="142" t="str">
        <f t="shared" si="54"/>
        <v/>
      </c>
      <c r="CW396" s="142" t="str">
        <f>IF(C396="","",IF('Datos Generales'!$A$19=1,AVERAGE(FP396:GD396),AVERAGE(Captura!FP396:FY396)))</f>
        <v/>
      </c>
      <c r="CX396" s="138" t="e">
        <f>IF(VLOOKUP(CONCATENATE($H$4,$F$4,CX$2),Español!$A:$H,7,FALSE)=L396,1,0)</f>
        <v>#N/A</v>
      </c>
      <c r="CY396" s="138" t="e">
        <f>IF(VLOOKUP(CONCATENATE(H396,F396,CY$2),Español!$A:$H,7,FALSE)=M396,1,0)</f>
        <v>#N/A</v>
      </c>
      <c r="CZ396" s="138" t="e">
        <f>IF(VLOOKUP(CONCATENATE(H396,F396,CZ$2),Español!$A:$H,7,FALSE)=N396,1,0)</f>
        <v>#N/A</v>
      </c>
      <c r="DA396" s="138" t="e">
        <f>IF(VLOOKUP(CONCATENATE(H396,F396,DA$2),Español!$A:$H,7,FALSE)=O396,1,0)</f>
        <v>#N/A</v>
      </c>
      <c r="DB396" s="138" t="e">
        <f>IF(VLOOKUP(CONCATENATE(H396,F396,DB$2),Español!$A:$H,7,FALSE)=P396,1,0)</f>
        <v>#N/A</v>
      </c>
      <c r="DC396" s="138" t="e">
        <f>IF(VLOOKUP(CONCATENATE(H396,F396,DC$2),Español!$A:$H,7,FALSE)=Q396,1,0)</f>
        <v>#N/A</v>
      </c>
      <c r="DD396" s="138" t="e">
        <f>IF(VLOOKUP(CONCATENATE(H396,F396,DD$2),Español!$A:$H,7,FALSE)=R396,1,0)</f>
        <v>#N/A</v>
      </c>
      <c r="DE396" s="138" t="e">
        <f>IF(VLOOKUP(CONCATENATE(H396,F396,DE$2),Español!$A:$H,7,FALSE)=S396,1,0)</f>
        <v>#N/A</v>
      </c>
      <c r="DF396" s="138" t="e">
        <f>IF(VLOOKUP(CONCATENATE(H396,F396,DF$2),Español!$A:$H,7,FALSE)=T396,1,0)</f>
        <v>#N/A</v>
      </c>
      <c r="DG396" s="138" t="e">
        <f>IF(VLOOKUP(CONCATENATE(H396,F396,DG$2),Español!$A:$H,7,FALSE)=U396,1,0)</f>
        <v>#N/A</v>
      </c>
      <c r="DH396" s="138" t="e">
        <f>IF(VLOOKUP(CONCATENATE(H396,F396,DH$2),Español!$A:$H,7,FALSE)=V396,1,0)</f>
        <v>#N/A</v>
      </c>
      <c r="DI396" s="138" t="e">
        <f>IF(VLOOKUP(CONCATENATE(H396,F396,DI$2),Español!$A:$H,7,FALSE)=W396,1,0)</f>
        <v>#N/A</v>
      </c>
      <c r="DJ396" s="138" t="e">
        <f>IF(VLOOKUP(CONCATENATE(H396,F396,DJ$2),Español!$A:$H,7,FALSE)=X396,1,0)</f>
        <v>#N/A</v>
      </c>
      <c r="DK396" s="138" t="e">
        <f>IF(VLOOKUP(CONCATENATE(H396,F396,DK$2),Español!$A:$H,7,FALSE)=Y396,1,0)</f>
        <v>#N/A</v>
      </c>
      <c r="DL396" s="138" t="e">
        <f>IF(VLOOKUP(CONCATENATE(H396,F396,DL$2),Español!$A:$H,7,FALSE)=Z396,1,0)</f>
        <v>#N/A</v>
      </c>
      <c r="DM396" s="138" t="e">
        <f>IF(VLOOKUP(CONCATENATE(H396,F396,DM$2),Español!$A:$H,7,FALSE)=AA396,1,0)</f>
        <v>#N/A</v>
      </c>
      <c r="DN396" s="138" t="e">
        <f>IF(VLOOKUP(CONCATENATE(H396,F396,DN$2),Español!$A:$H,7,FALSE)=AB396,1,0)</f>
        <v>#N/A</v>
      </c>
      <c r="DO396" s="138" t="e">
        <f>IF(VLOOKUP(CONCATENATE(H396,F396,DO$2),Español!$A:$H,7,FALSE)=AC396,1,0)</f>
        <v>#N/A</v>
      </c>
      <c r="DP396" s="138" t="e">
        <f>IF(VLOOKUP(CONCATENATE(H396,F396,DP$2),Español!$A:$H,7,FALSE)=AD396,1,0)</f>
        <v>#N/A</v>
      </c>
      <c r="DQ396" s="138" t="e">
        <f>IF(VLOOKUP(CONCATENATE(H396,F396,DQ$2),Español!$A:$H,7,FALSE)=AE396,1,0)</f>
        <v>#N/A</v>
      </c>
      <c r="DR396" s="138" t="e">
        <f>IF(VLOOKUP(CONCATENATE(H396,F396,DR$2),Inglés!$A:$H,7,FALSE)=AF396,1,0)</f>
        <v>#N/A</v>
      </c>
      <c r="DS396" s="138" t="e">
        <f>IF(VLOOKUP(CONCATENATE(H396,F396,DS$2),Inglés!$A:$H,7,FALSE)=AG396,1,0)</f>
        <v>#N/A</v>
      </c>
      <c r="DT396" s="138" t="e">
        <f>IF(VLOOKUP(CONCATENATE(H396,F396,DT$2),Inglés!$A:$H,7,FALSE)=AH396,1,0)</f>
        <v>#N/A</v>
      </c>
      <c r="DU396" s="138" t="e">
        <f>IF(VLOOKUP(CONCATENATE(H396,F396,DU$2),Inglés!$A:$H,7,FALSE)=AI396,1,0)</f>
        <v>#N/A</v>
      </c>
      <c r="DV396" s="138" t="e">
        <f>IF(VLOOKUP(CONCATENATE(H396,F396,DV$2),Inglés!$A:$H,7,FALSE)=AJ396,1,0)</f>
        <v>#N/A</v>
      </c>
      <c r="DW396" s="138" t="e">
        <f>IF(VLOOKUP(CONCATENATE(H396,F396,DW$2),Inglés!$A:$H,7,FALSE)=AK396,1,0)</f>
        <v>#N/A</v>
      </c>
      <c r="DX396" s="138" t="e">
        <f>IF(VLOOKUP(CONCATENATE(H396,F396,DX$2),Inglés!$A:$H,7,FALSE)=AL396,1,0)</f>
        <v>#N/A</v>
      </c>
      <c r="DY396" s="138" t="e">
        <f>IF(VLOOKUP(CONCATENATE(H396,F396,DY$2),Inglés!$A:$H,7,FALSE)=AM396,1,0)</f>
        <v>#N/A</v>
      </c>
      <c r="DZ396" s="138" t="e">
        <f>IF(VLOOKUP(CONCATENATE(H396,F396,DZ$2),Inglés!$A:$H,7,FALSE)=AN396,1,0)</f>
        <v>#N/A</v>
      </c>
      <c r="EA396" s="138" t="e">
        <f>IF(VLOOKUP(CONCATENATE(H396,F396,EA$2),Inglés!$A:$H,7,FALSE)=AO396,1,0)</f>
        <v>#N/A</v>
      </c>
      <c r="EB396" s="138" t="e">
        <f>IF(VLOOKUP(CONCATENATE(H396,F396,EB$2),Matemáticas!$A:$H,7,FALSE)=AP396,1,0)</f>
        <v>#N/A</v>
      </c>
      <c r="EC396" s="138" t="e">
        <f>IF(VLOOKUP(CONCATENATE(H396,F396,EC$2),Matemáticas!$A:$H,7,FALSE)=AQ396,1,0)</f>
        <v>#N/A</v>
      </c>
      <c r="ED396" s="138" t="e">
        <f>IF(VLOOKUP(CONCATENATE(H396,F396,ED$2),Matemáticas!$A:$H,7,FALSE)=AR396,1,0)</f>
        <v>#N/A</v>
      </c>
      <c r="EE396" s="138" t="e">
        <f>IF(VLOOKUP(CONCATENATE(H396,F396,EE$2),Matemáticas!$A:$H,7,FALSE)=AS396,1,0)</f>
        <v>#N/A</v>
      </c>
      <c r="EF396" s="138" t="e">
        <f>IF(VLOOKUP(CONCATENATE(H396,F396,EF$2),Matemáticas!$A:$H,7,FALSE)=AT396,1,0)</f>
        <v>#N/A</v>
      </c>
      <c r="EG396" s="138" t="e">
        <f>IF(VLOOKUP(CONCATENATE(H396,F396,EG$2),Matemáticas!$A:$H,7,FALSE)=AU396,1,0)</f>
        <v>#N/A</v>
      </c>
      <c r="EH396" s="138" t="e">
        <f>IF(VLOOKUP(CONCATENATE(H396,F396,EH$2),Matemáticas!$A:$H,7,FALSE)=AV396,1,0)</f>
        <v>#N/A</v>
      </c>
      <c r="EI396" s="138" t="e">
        <f>IF(VLOOKUP(CONCATENATE(H396,F396,EI$2),Matemáticas!$A:$H,7,FALSE)=AW396,1,0)</f>
        <v>#N/A</v>
      </c>
      <c r="EJ396" s="138" t="e">
        <f>IF(VLOOKUP(CONCATENATE(H396,F396,EJ$2),Matemáticas!$A:$H,7,FALSE)=AX396,1,0)</f>
        <v>#N/A</v>
      </c>
      <c r="EK396" s="138" t="e">
        <f>IF(VLOOKUP(CONCATENATE(H396,F396,EK$2),Matemáticas!$A:$H,7,FALSE)=AY396,1,0)</f>
        <v>#N/A</v>
      </c>
      <c r="EL396" s="138" t="e">
        <f>IF(VLOOKUP(CONCATENATE(H396,F396,EL$2),Matemáticas!$A:$H,7,FALSE)=AZ396,1,0)</f>
        <v>#N/A</v>
      </c>
      <c r="EM396" s="138" t="e">
        <f>IF(VLOOKUP(CONCATENATE(H396,F396,EM$2),Matemáticas!$A:$H,7,FALSE)=BA396,1,0)</f>
        <v>#N/A</v>
      </c>
      <c r="EN396" s="138" t="e">
        <f>IF(VLOOKUP(CONCATENATE(H396,F396,EN$2),Matemáticas!$A:$H,7,FALSE)=BB396,1,0)</f>
        <v>#N/A</v>
      </c>
      <c r="EO396" s="138" t="e">
        <f>IF(VLOOKUP(CONCATENATE(H396,F396,EO$2),Matemáticas!$A:$H,7,FALSE)=BC396,1,0)</f>
        <v>#N/A</v>
      </c>
      <c r="EP396" s="138" t="e">
        <f>IF(VLOOKUP(CONCATENATE(H396,F396,EP$2),Matemáticas!$A:$H,7,FALSE)=BD396,1,0)</f>
        <v>#N/A</v>
      </c>
      <c r="EQ396" s="138" t="e">
        <f>IF(VLOOKUP(CONCATENATE(H396,F396,EQ$2),Matemáticas!$A:$H,7,FALSE)=BE396,1,0)</f>
        <v>#N/A</v>
      </c>
      <c r="ER396" s="138" t="e">
        <f>IF(VLOOKUP(CONCATENATE(H396,F396,ER$2),Matemáticas!$A:$H,7,FALSE)=BF396,1,0)</f>
        <v>#N/A</v>
      </c>
      <c r="ES396" s="138" t="e">
        <f>IF(VLOOKUP(CONCATENATE(H396,F396,ES$2),Matemáticas!$A:$H,7,FALSE)=BG396,1,0)</f>
        <v>#N/A</v>
      </c>
      <c r="ET396" s="138" t="e">
        <f>IF(VLOOKUP(CONCATENATE(H396,F396,ET$2),Matemáticas!$A:$H,7,FALSE)=BH396,1,0)</f>
        <v>#N/A</v>
      </c>
      <c r="EU396" s="138" t="e">
        <f>IF(VLOOKUP(CONCATENATE(H396,F396,EU$2),Matemáticas!$A:$H,7,FALSE)=BI396,1,0)</f>
        <v>#N/A</v>
      </c>
      <c r="EV396" s="138" t="e">
        <f>IF(VLOOKUP(CONCATENATE(H396,F396,EV$2),Ciencias!$A:$H,7,FALSE)=BJ396,1,0)</f>
        <v>#N/A</v>
      </c>
      <c r="EW396" s="138" t="e">
        <f>IF(VLOOKUP(CONCATENATE(H396,F396,EW$2),Ciencias!$A:$H,7,FALSE)=BK396,1,0)</f>
        <v>#N/A</v>
      </c>
      <c r="EX396" s="138" t="e">
        <f>IF(VLOOKUP(CONCATENATE(H396,F396,EX$2),Ciencias!$A:$H,7,FALSE)=BL396,1,0)</f>
        <v>#N/A</v>
      </c>
      <c r="EY396" s="138" t="e">
        <f>IF(VLOOKUP(CONCATENATE(H396,F396,EY$2),Ciencias!$A:$H,7,FALSE)=BM396,1,0)</f>
        <v>#N/A</v>
      </c>
      <c r="EZ396" s="138" t="e">
        <f>IF(VLOOKUP(CONCATENATE(H396,F396,EZ$2),Ciencias!$A:$H,7,FALSE)=BN396,1,0)</f>
        <v>#N/A</v>
      </c>
      <c r="FA396" s="138" t="e">
        <f>IF(VLOOKUP(CONCATENATE(H396,F396,FA$2),Ciencias!$A:$H,7,FALSE)=BO396,1,0)</f>
        <v>#N/A</v>
      </c>
      <c r="FB396" s="138" t="e">
        <f>IF(VLOOKUP(CONCATENATE(H396,F396,FB$2),Ciencias!$A:$H,7,FALSE)=BP396,1,0)</f>
        <v>#N/A</v>
      </c>
      <c r="FC396" s="138" t="e">
        <f>IF(VLOOKUP(CONCATENATE(H396,F396,FC$2),Ciencias!$A:$H,7,FALSE)=BQ396,1,0)</f>
        <v>#N/A</v>
      </c>
      <c r="FD396" s="138" t="e">
        <f>IF(VLOOKUP(CONCATENATE(H396,F396,FD$2),Ciencias!$A:$H,7,FALSE)=BR396,1,0)</f>
        <v>#N/A</v>
      </c>
      <c r="FE396" s="138" t="e">
        <f>IF(VLOOKUP(CONCATENATE(H396,F396,FE$2),Ciencias!$A:$H,7,FALSE)=BS396,1,0)</f>
        <v>#N/A</v>
      </c>
      <c r="FF396" s="138" t="e">
        <f>IF(VLOOKUP(CONCATENATE(H396,F396,FF$2),Ciencias!$A:$H,7,FALSE)=BT396,1,0)</f>
        <v>#N/A</v>
      </c>
      <c r="FG396" s="138" t="e">
        <f>IF(VLOOKUP(CONCATENATE(H396,F396,FG$2),Ciencias!$A:$H,7,FALSE)=BU396,1,0)</f>
        <v>#N/A</v>
      </c>
      <c r="FH396" s="138" t="e">
        <f>IF(VLOOKUP(CONCATENATE(H396,F396,FH$2),Ciencias!$A:$H,7,FALSE)=BV396,1,0)</f>
        <v>#N/A</v>
      </c>
      <c r="FI396" s="138" t="e">
        <f>IF(VLOOKUP(CONCATENATE(H396,F396,FI$2),Ciencias!$A:$H,7,FALSE)=BW396,1,0)</f>
        <v>#N/A</v>
      </c>
      <c r="FJ396" s="138" t="e">
        <f>IF(VLOOKUP(CONCATENATE(H396,F396,FJ$2),Ciencias!$A:$H,7,FALSE)=BX396,1,0)</f>
        <v>#N/A</v>
      </c>
      <c r="FK396" s="138" t="e">
        <f>IF(VLOOKUP(CONCATENATE(H396,F396,FK$2),Ciencias!$A:$H,7,FALSE)=BY396,1,0)</f>
        <v>#N/A</v>
      </c>
      <c r="FL396" s="138" t="e">
        <f>IF(VLOOKUP(CONCATENATE(H396,F396,FL$2),Ciencias!$A:$H,7,FALSE)=BZ396,1,0)</f>
        <v>#N/A</v>
      </c>
      <c r="FM396" s="138" t="e">
        <f>IF(VLOOKUP(CONCATENATE(H396,F396,FM$2),Ciencias!$A:$H,7,FALSE)=CA396,1,0)</f>
        <v>#N/A</v>
      </c>
      <c r="FN396" s="138" t="e">
        <f>IF(VLOOKUP(CONCATENATE(H396,F396,FN$2),Ciencias!$A:$H,7,FALSE)=CB396,1,0)</f>
        <v>#N/A</v>
      </c>
      <c r="FO396" s="138" t="e">
        <f>IF(VLOOKUP(CONCATENATE(H396,F396,FO$2),Ciencias!$A:$H,7,FALSE)=CC396,1,0)</f>
        <v>#N/A</v>
      </c>
      <c r="FP396" s="138" t="e">
        <f>IF(VLOOKUP(CONCATENATE(H396,F396,FP$2),GeoHis!$A:$H,7,FALSE)=CD396,1,0)</f>
        <v>#N/A</v>
      </c>
      <c r="FQ396" s="138" t="e">
        <f>IF(VLOOKUP(CONCATENATE(H396,F396,FQ$2),GeoHis!$A:$H,7,FALSE)=CE396,1,0)</f>
        <v>#N/A</v>
      </c>
      <c r="FR396" s="138" t="e">
        <f>IF(VLOOKUP(CONCATENATE(H396,F396,FR$2),GeoHis!$A:$H,7,FALSE)=CF396,1,0)</f>
        <v>#N/A</v>
      </c>
      <c r="FS396" s="138" t="e">
        <f>IF(VLOOKUP(CONCATENATE(H396,F396,FS$2),GeoHis!$A:$H,7,FALSE)=CG396,1,0)</f>
        <v>#N/A</v>
      </c>
      <c r="FT396" s="138" t="e">
        <f>IF(VLOOKUP(CONCATENATE(H396,F396,FT$2),GeoHis!$A:$H,7,FALSE)=CH396,1,0)</f>
        <v>#N/A</v>
      </c>
      <c r="FU396" s="138" t="e">
        <f>IF(VLOOKUP(CONCATENATE(H396,F396,FU$2),GeoHis!$A:$H,7,FALSE)=CI396,1,0)</f>
        <v>#N/A</v>
      </c>
      <c r="FV396" s="138" t="e">
        <f>IF(VLOOKUP(CONCATENATE(H396,F396,FV$2),GeoHis!$A:$H,7,FALSE)=CJ396,1,0)</f>
        <v>#N/A</v>
      </c>
      <c r="FW396" s="138" t="e">
        <f>IF(VLOOKUP(CONCATENATE(H396,F396,FW$2),GeoHis!$A:$H,7,FALSE)=CK396,1,0)</f>
        <v>#N/A</v>
      </c>
      <c r="FX396" s="138" t="e">
        <f>IF(VLOOKUP(CONCATENATE(H396,F396,FX$2),GeoHis!$A:$H,7,FALSE)=CL396,1,0)</f>
        <v>#N/A</v>
      </c>
      <c r="FY396" s="138" t="e">
        <f>IF(VLOOKUP(CONCATENATE(H396,F396,FY$2),GeoHis!$A:$H,7,FALSE)=CM396,1,0)</f>
        <v>#N/A</v>
      </c>
      <c r="FZ396" s="138" t="e">
        <f>IF(VLOOKUP(CONCATENATE(H396,F396,FZ$2),GeoHis!$A:$H,7,FALSE)=CN396,1,0)</f>
        <v>#N/A</v>
      </c>
      <c r="GA396" s="138" t="e">
        <f>IF(VLOOKUP(CONCATENATE(H396,F396,GA$2),GeoHis!$A:$H,7,FALSE)=CO396,1,0)</f>
        <v>#N/A</v>
      </c>
      <c r="GB396" s="138" t="e">
        <f>IF(VLOOKUP(CONCATENATE(H396,F396,GB$2),GeoHis!$A:$H,7,FALSE)=CP396,1,0)</f>
        <v>#N/A</v>
      </c>
      <c r="GC396" s="138" t="e">
        <f>IF(VLOOKUP(CONCATENATE(H396,F396,GC$2),GeoHis!$A:$H,7,FALSE)=CQ396,1,0)</f>
        <v>#N/A</v>
      </c>
      <c r="GD396" s="138" t="e">
        <f>IF(VLOOKUP(CONCATENATE(H396,F396,GD$2),GeoHis!$A:$H,7,FALSE)=CR396,1,0)</f>
        <v>#N/A</v>
      </c>
      <c r="GE396" s="135" t="str">
        <f t="shared" si="55"/>
        <v/>
      </c>
    </row>
    <row r="397" spans="1:187" x14ac:dyDescent="0.25">
      <c r="A397" s="127" t="str">
        <f>IF(C397="","",'Datos Generales'!$A$25)</f>
        <v/>
      </c>
      <c r="D397" s="126" t="str">
        <f t="shared" si="48"/>
        <v/>
      </c>
      <c r="E397" s="126">
        <f t="shared" si="49"/>
        <v>0</v>
      </c>
      <c r="F397" s="126" t="str">
        <f t="shared" si="50"/>
        <v/>
      </c>
      <c r="G397" s="126" t="str">
        <f>IF(C397="","",'Datos Generales'!$D$19)</f>
        <v/>
      </c>
      <c r="H397" s="21" t="str">
        <f>IF(C397="","",'Datos Generales'!$A$19)</f>
        <v/>
      </c>
      <c r="I397" s="126" t="str">
        <f>IF(C397="","",'Datos Generales'!$A$7)</f>
        <v/>
      </c>
      <c r="J397" s="21" t="str">
        <f>IF(C397="","",'Datos Generales'!$A$13)</f>
        <v/>
      </c>
      <c r="K397" s="21" t="str">
        <f>IF(C397="","",'Datos Generales'!$A$10)</f>
        <v/>
      </c>
      <c r="CS397" s="142" t="str">
        <f t="shared" si="51"/>
        <v/>
      </c>
      <c r="CT397" s="142" t="str">
        <f t="shared" si="52"/>
        <v/>
      </c>
      <c r="CU397" s="142" t="str">
        <f t="shared" si="53"/>
        <v/>
      </c>
      <c r="CV397" s="142" t="str">
        <f t="shared" si="54"/>
        <v/>
      </c>
      <c r="CW397" s="142" t="str">
        <f>IF(C397="","",IF('Datos Generales'!$A$19=1,AVERAGE(FP397:GD397),AVERAGE(Captura!FP397:FY397)))</f>
        <v/>
      </c>
      <c r="CX397" s="138" t="e">
        <f>IF(VLOOKUP(CONCATENATE($H$4,$F$4,CX$2),Español!$A:$H,7,FALSE)=L397,1,0)</f>
        <v>#N/A</v>
      </c>
      <c r="CY397" s="138" t="e">
        <f>IF(VLOOKUP(CONCATENATE(H397,F397,CY$2),Español!$A:$H,7,FALSE)=M397,1,0)</f>
        <v>#N/A</v>
      </c>
      <c r="CZ397" s="138" t="e">
        <f>IF(VLOOKUP(CONCATENATE(H397,F397,CZ$2),Español!$A:$H,7,FALSE)=N397,1,0)</f>
        <v>#N/A</v>
      </c>
      <c r="DA397" s="138" t="e">
        <f>IF(VLOOKUP(CONCATENATE(H397,F397,DA$2),Español!$A:$H,7,FALSE)=O397,1,0)</f>
        <v>#N/A</v>
      </c>
      <c r="DB397" s="138" t="e">
        <f>IF(VLOOKUP(CONCATENATE(H397,F397,DB$2),Español!$A:$H,7,FALSE)=P397,1,0)</f>
        <v>#N/A</v>
      </c>
      <c r="DC397" s="138" t="e">
        <f>IF(VLOOKUP(CONCATENATE(H397,F397,DC$2),Español!$A:$H,7,FALSE)=Q397,1,0)</f>
        <v>#N/A</v>
      </c>
      <c r="DD397" s="138" t="e">
        <f>IF(VLOOKUP(CONCATENATE(H397,F397,DD$2),Español!$A:$H,7,FALSE)=R397,1,0)</f>
        <v>#N/A</v>
      </c>
      <c r="DE397" s="138" t="e">
        <f>IF(VLOOKUP(CONCATENATE(H397,F397,DE$2),Español!$A:$H,7,FALSE)=S397,1,0)</f>
        <v>#N/A</v>
      </c>
      <c r="DF397" s="138" t="e">
        <f>IF(VLOOKUP(CONCATENATE(H397,F397,DF$2),Español!$A:$H,7,FALSE)=T397,1,0)</f>
        <v>#N/A</v>
      </c>
      <c r="DG397" s="138" t="e">
        <f>IF(VLOOKUP(CONCATENATE(H397,F397,DG$2),Español!$A:$H,7,FALSE)=U397,1,0)</f>
        <v>#N/A</v>
      </c>
      <c r="DH397" s="138" t="e">
        <f>IF(VLOOKUP(CONCATENATE(H397,F397,DH$2),Español!$A:$H,7,FALSE)=V397,1,0)</f>
        <v>#N/A</v>
      </c>
      <c r="DI397" s="138" t="e">
        <f>IF(VLOOKUP(CONCATENATE(H397,F397,DI$2),Español!$A:$H,7,FALSE)=W397,1,0)</f>
        <v>#N/A</v>
      </c>
      <c r="DJ397" s="138" t="e">
        <f>IF(VLOOKUP(CONCATENATE(H397,F397,DJ$2),Español!$A:$H,7,FALSE)=X397,1,0)</f>
        <v>#N/A</v>
      </c>
      <c r="DK397" s="138" t="e">
        <f>IF(VLOOKUP(CONCATENATE(H397,F397,DK$2),Español!$A:$H,7,FALSE)=Y397,1,0)</f>
        <v>#N/A</v>
      </c>
      <c r="DL397" s="138" t="e">
        <f>IF(VLOOKUP(CONCATENATE(H397,F397,DL$2),Español!$A:$H,7,FALSE)=Z397,1,0)</f>
        <v>#N/A</v>
      </c>
      <c r="DM397" s="138" t="e">
        <f>IF(VLOOKUP(CONCATENATE(H397,F397,DM$2),Español!$A:$H,7,FALSE)=AA397,1,0)</f>
        <v>#N/A</v>
      </c>
      <c r="DN397" s="138" t="e">
        <f>IF(VLOOKUP(CONCATENATE(H397,F397,DN$2),Español!$A:$H,7,FALSE)=AB397,1,0)</f>
        <v>#N/A</v>
      </c>
      <c r="DO397" s="138" t="e">
        <f>IF(VLOOKUP(CONCATENATE(H397,F397,DO$2),Español!$A:$H,7,FALSE)=AC397,1,0)</f>
        <v>#N/A</v>
      </c>
      <c r="DP397" s="138" t="e">
        <f>IF(VLOOKUP(CONCATENATE(H397,F397,DP$2),Español!$A:$H,7,FALSE)=AD397,1,0)</f>
        <v>#N/A</v>
      </c>
      <c r="DQ397" s="138" t="e">
        <f>IF(VLOOKUP(CONCATENATE(H397,F397,DQ$2),Español!$A:$H,7,FALSE)=AE397,1,0)</f>
        <v>#N/A</v>
      </c>
      <c r="DR397" s="138" t="e">
        <f>IF(VLOOKUP(CONCATENATE(H397,F397,DR$2),Inglés!$A:$H,7,FALSE)=AF397,1,0)</f>
        <v>#N/A</v>
      </c>
      <c r="DS397" s="138" t="e">
        <f>IF(VLOOKUP(CONCATENATE(H397,F397,DS$2),Inglés!$A:$H,7,FALSE)=AG397,1,0)</f>
        <v>#N/A</v>
      </c>
      <c r="DT397" s="138" t="e">
        <f>IF(VLOOKUP(CONCATENATE(H397,F397,DT$2),Inglés!$A:$H,7,FALSE)=AH397,1,0)</f>
        <v>#N/A</v>
      </c>
      <c r="DU397" s="138" t="e">
        <f>IF(VLOOKUP(CONCATENATE(H397,F397,DU$2),Inglés!$A:$H,7,FALSE)=AI397,1,0)</f>
        <v>#N/A</v>
      </c>
      <c r="DV397" s="138" t="e">
        <f>IF(VLOOKUP(CONCATENATE(H397,F397,DV$2),Inglés!$A:$H,7,FALSE)=AJ397,1,0)</f>
        <v>#N/A</v>
      </c>
      <c r="DW397" s="138" t="e">
        <f>IF(VLOOKUP(CONCATENATE(H397,F397,DW$2),Inglés!$A:$H,7,FALSE)=AK397,1,0)</f>
        <v>#N/A</v>
      </c>
      <c r="DX397" s="138" t="e">
        <f>IF(VLOOKUP(CONCATENATE(H397,F397,DX$2),Inglés!$A:$H,7,FALSE)=AL397,1,0)</f>
        <v>#N/A</v>
      </c>
      <c r="DY397" s="138" t="e">
        <f>IF(VLOOKUP(CONCATENATE(H397,F397,DY$2),Inglés!$A:$H,7,FALSE)=AM397,1,0)</f>
        <v>#N/A</v>
      </c>
      <c r="DZ397" s="138" t="e">
        <f>IF(VLOOKUP(CONCATENATE(H397,F397,DZ$2),Inglés!$A:$H,7,FALSE)=AN397,1,0)</f>
        <v>#N/A</v>
      </c>
      <c r="EA397" s="138" t="e">
        <f>IF(VLOOKUP(CONCATENATE(H397,F397,EA$2),Inglés!$A:$H,7,FALSE)=AO397,1,0)</f>
        <v>#N/A</v>
      </c>
      <c r="EB397" s="138" t="e">
        <f>IF(VLOOKUP(CONCATENATE(H397,F397,EB$2),Matemáticas!$A:$H,7,FALSE)=AP397,1,0)</f>
        <v>#N/A</v>
      </c>
      <c r="EC397" s="138" t="e">
        <f>IF(VLOOKUP(CONCATENATE(H397,F397,EC$2),Matemáticas!$A:$H,7,FALSE)=AQ397,1,0)</f>
        <v>#N/A</v>
      </c>
      <c r="ED397" s="138" t="e">
        <f>IF(VLOOKUP(CONCATENATE(H397,F397,ED$2),Matemáticas!$A:$H,7,FALSE)=AR397,1,0)</f>
        <v>#N/A</v>
      </c>
      <c r="EE397" s="138" t="e">
        <f>IF(VLOOKUP(CONCATENATE(H397,F397,EE$2),Matemáticas!$A:$H,7,FALSE)=AS397,1,0)</f>
        <v>#N/A</v>
      </c>
      <c r="EF397" s="138" t="e">
        <f>IF(VLOOKUP(CONCATENATE(H397,F397,EF$2),Matemáticas!$A:$H,7,FALSE)=AT397,1,0)</f>
        <v>#N/A</v>
      </c>
      <c r="EG397" s="138" t="e">
        <f>IF(VLOOKUP(CONCATENATE(H397,F397,EG$2),Matemáticas!$A:$H,7,FALSE)=AU397,1,0)</f>
        <v>#N/A</v>
      </c>
      <c r="EH397" s="138" t="e">
        <f>IF(VLOOKUP(CONCATENATE(H397,F397,EH$2),Matemáticas!$A:$H,7,FALSE)=AV397,1,0)</f>
        <v>#N/A</v>
      </c>
      <c r="EI397" s="138" t="e">
        <f>IF(VLOOKUP(CONCATENATE(H397,F397,EI$2),Matemáticas!$A:$H,7,FALSE)=AW397,1,0)</f>
        <v>#N/A</v>
      </c>
      <c r="EJ397" s="138" t="e">
        <f>IF(VLOOKUP(CONCATENATE(H397,F397,EJ$2),Matemáticas!$A:$H,7,FALSE)=AX397,1,0)</f>
        <v>#N/A</v>
      </c>
      <c r="EK397" s="138" t="e">
        <f>IF(VLOOKUP(CONCATENATE(H397,F397,EK$2),Matemáticas!$A:$H,7,FALSE)=AY397,1,0)</f>
        <v>#N/A</v>
      </c>
      <c r="EL397" s="138" t="e">
        <f>IF(VLOOKUP(CONCATENATE(H397,F397,EL$2),Matemáticas!$A:$H,7,FALSE)=AZ397,1,0)</f>
        <v>#N/A</v>
      </c>
      <c r="EM397" s="138" t="e">
        <f>IF(VLOOKUP(CONCATENATE(H397,F397,EM$2),Matemáticas!$A:$H,7,FALSE)=BA397,1,0)</f>
        <v>#N/A</v>
      </c>
      <c r="EN397" s="138" t="e">
        <f>IF(VLOOKUP(CONCATENATE(H397,F397,EN$2),Matemáticas!$A:$H,7,FALSE)=BB397,1,0)</f>
        <v>#N/A</v>
      </c>
      <c r="EO397" s="138" t="e">
        <f>IF(VLOOKUP(CONCATENATE(H397,F397,EO$2),Matemáticas!$A:$H,7,FALSE)=BC397,1,0)</f>
        <v>#N/A</v>
      </c>
      <c r="EP397" s="138" t="e">
        <f>IF(VLOOKUP(CONCATENATE(H397,F397,EP$2),Matemáticas!$A:$H,7,FALSE)=BD397,1,0)</f>
        <v>#N/A</v>
      </c>
      <c r="EQ397" s="138" t="e">
        <f>IF(VLOOKUP(CONCATENATE(H397,F397,EQ$2),Matemáticas!$A:$H,7,FALSE)=BE397,1,0)</f>
        <v>#N/A</v>
      </c>
      <c r="ER397" s="138" t="e">
        <f>IF(VLOOKUP(CONCATENATE(H397,F397,ER$2),Matemáticas!$A:$H,7,FALSE)=BF397,1,0)</f>
        <v>#N/A</v>
      </c>
      <c r="ES397" s="138" t="e">
        <f>IF(VLOOKUP(CONCATENATE(H397,F397,ES$2),Matemáticas!$A:$H,7,FALSE)=BG397,1,0)</f>
        <v>#N/A</v>
      </c>
      <c r="ET397" s="138" t="e">
        <f>IF(VLOOKUP(CONCATENATE(H397,F397,ET$2),Matemáticas!$A:$H,7,FALSE)=BH397,1,0)</f>
        <v>#N/A</v>
      </c>
      <c r="EU397" s="138" t="e">
        <f>IF(VLOOKUP(CONCATENATE(H397,F397,EU$2),Matemáticas!$A:$H,7,FALSE)=BI397,1,0)</f>
        <v>#N/A</v>
      </c>
      <c r="EV397" s="138" t="e">
        <f>IF(VLOOKUP(CONCATENATE(H397,F397,EV$2),Ciencias!$A:$H,7,FALSE)=BJ397,1,0)</f>
        <v>#N/A</v>
      </c>
      <c r="EW397" s="138" t="e">
        <f>IF(VLOOKUP(CONCATENATE(H397,F397,EW$2),Ciencias!$A:$H,7,FALSE)=BK397,1,0)</f>
        <v>#N/A</v>
      </c>
      <c r="EX397" s="138" t="e">
        <f>IF(VLOOKUP(CONCATENATE(H397,F397,EX$2),Ciencias!$A:$H,7,FALSE)=BL397,1,0)</f>
        <v>#N/A</v>
      </c>
      <c r="EY397" s="138" t="e">
        <f>IF(VLOOKUP(CONCATENATE(H397,F397,EY$2),Ciencias!$A:$H,7,FALSE)=BM397,1,0)</f>
        <v>#N/A</v>
      </c>
      <c r="EZ397" s="138" t="e">
        <f>IF(VLOOKUP(CONCATENATE(H397,F397,EZ$2),Ciencias!$A:$H,7,FALSE)=BN397,1,0)</f>
        <v>#N/A</v>
      </c>
      <c r="FA397" s="138" t="e">
        <f>IF(VLOOKUP(CONCATENATE(H397,F397,FA$2),Ciencias!$A:$H,7,FALSE)=BO397,1,0)</f>
        <v>#N/A</v>
      </c>
      <c r="FB397" s="138" t="e">
        <f>IF(VLOOKUP(CONCATENATE(H397,F397,FB$2),Ciencias!$A:$H,7,FALSE)=BP397,1,0)</f>
        <v>#N/A</v>
      </c>
      <c r="FC397" s="138" t="e">
        <f>IF(VLOOKUP(CONCATENATE(H397,F397,FC$2),Ciencias!$A:$H,7,FALSE)=BQ397,1,0)</f>
        <v>#N/A</v>
      </c>
      <c r="FD397" s="138" t="e">
        <f>IF(VLOOKUP(CONCATENATE(H397,F397,FD$2),Ciencias!$A:$H,7,FALSE)=BR397,1,0)</f>
        <v>#N/A</v>
      </c>
      <c r="FE397" s="138" t="e">
        <f>IF(VLOOKUP(CONCATENATE(H397,F397,FE$2),Ciencias!$A:$H,7,FALSE)=BS397,1,0)</f>
        <v>#N/A</v>
      </c>
      <c r="FF397" s="138" t="e">
        <f>IF(VLOOKUP(CONCATENATE(H397,F397,FF$2),Ciencias!$A:$H,7,FALSE)=BT397,1,0)</f>
        <v>#N/A</v>
      </c>
      <c r="FG397" s="138" t="e">
        <f>IF(VLOOKUP(CONCATENATE(H397,F397,FG$2),Ciencias!$A:$H,7,FALSE)=BU397,1,0)</f>
        <v>#N/A</v>
      </c>
      <c r="FH397" s="138" t="e">
        <f>IF(VLOOKUP(CONCATENATE(H397,F397,FH$2),Ciencias!$A:$H,7,FALSE)=BV397,1,0)</f>
        <v>#N/A</v>
      </c>
      <c r="FI397" s="138" t="e">
        <f>IF(VLOOKUP(CONCATENATE(H397,F397,FI$2),Ciencias!$A:$H,7,FALSE)=BW397,1,0)</f>
        <v>#N/A</v>
      </c>
      <c r="FJ397" s="138" t="e">
        <f>IF(VLOOKUP(CONCATENATE(H397,F397,FJ$2),Ciencias!$A:$H,7,FALSE)=BX397,1,0)</f>
        <v>#N/A</v>
      </c>
      <c r="FK397" s="138" t="e">
        <f>IF(VLOOKUP(CONCATENATE(H397,F397,FK$2),Ciencias!$A:$H,7,FALSE)=BY397,1,0)</f>
        <v>#N/A</v>
      </c>
      <c r="FL397" s="138" t="e">
        <f>IF(VLOOKUP(CONCATENATE(H397,F397,FL$2),Ciencias!$A:$H,7,FALSE)=BZ397,1,0)</f>
        <v>#N/A</v>
      </c>
      <c r="FM397" s="138" t="e">
        <f>IF(VLOOKUP(CONCATENATE(H397,F397,FM$2),Ciencias!$A:$H,7,FALSE)=CA397,1,0)</f>
        <v>#N/A</v>
      </c>
      <c r="FN397" s="138" t="e">
        <f>IF(VLOOKUP(CONCATENATE(H397,F397,FN$2),Ciencias!$A:$H,7,FALSE)=CB397,1,0)</f>
        <v>#N/A</v>
      </c>
      <c r="FO397" s="138" t="e">
        <f>IF(VLOOKUP(CONCATENATE(H397,F397,FO$2),Ciencias!$A:$H,7,FALSE)=CC397,1,0)</f>
        <v>#N/A</v>
      </c>
      <c r="FP397" s="138" t="e">
        <f>IF(VLOOKUP(CONCATENATE(H397,F397,FP$2),GeoHis!$A:$H,7,FALSE)=CD397,1,0)</f>
        <v>#N/A</v>
      </c>
      <c r="FQ397" s="138" t="e">
        <f>IF(VLOOKUP(CONCATENATE(H397,F397,FQ$2),GeoHis!$A:$H,7,FALSE)=CE397,1,0)</f>
        <v>#N/A</v>
      </c>
      <c r="FR397" s="138" t="e">
        <f>IF(VLOOKUP(CONCATENATE(H397,F397,FR$2),GeoHis!$A:$H,7,FALSE)=CF397,1,0)</f>
        <v>#N/A</v>
      </c>
      <c r="FS397" s="138" t="e">
        <f>IF(VLOOKUP(CONCATENATE(H397,F397,FS$2),GeoHis!$A:$H,7,FALSE)=CG397,1,0)</f>
        <v>#N/A</v>
      </c>
      <c r="FT397" s="138" t="e">
        <f>IF(VLOOKUP(CONCATENATE(H397,F397,FT$2),GeoHis!$A:$H,7,FALSE)=CH397,1,0)</f>
        <v>#N/A</v>
      </c>
      <c r="FU397" s="138" t="e">
        <f>IF(VLOOKUP(CONCATENATE(H397,F397,FU$2),GeoHis!$A:$H,7,FALSE)=CI397,1,0)</f>
        <v>#N/A</v>
      </c>
      <c r="FV397" s="138" t="e">
        <f>IF(VLOOKUP(CONCATENATE(H397,F397,FV$2),GeoHis!$A:$H,7,FALSE)=CJ397,1,0)</f>
        <v>#N/A</v>
      </c>
      <c r="FW397" s="138" t="e">
        <f>IF(VLOOKUP(CONCATENATE(H397,F397,FW$2),GeoHis!$A:$H,7,FALSE)=CK397,1,0)</f>
        <v>#N/A</v>
      </c>
      <c r="FX397" s="138" t="e">
        <f>IF(VLOOKUP(CONCATENATE(H397,F397,FX$2),GeoHis!$A:$H,7,FALSE)=CL397,1,0)</f>
        <v>#N/A</v>
      </c>
      <c r="FY397" s="138" t="e">
        <f>IF(VLOOKUP(CONCATENATE(H397,F397,FY$2),GeoHis!$A:$H,7,FALSE)=CM397,1,0)</f>
        <v>#N/A</v>
      </c>
      <c r="FZ397" s="138" t="e">
        <f>IF(VLOOKUP(CONCATENATE(H397,F397,FZ$2),GeoHis!$A:$H,7,FALSE)=CN397,1,0)</f>
        <v>#N/A</v>
      </c>
      <c r="GA397" s="138" t="e">
        <f>IF(VLOOKUP(CONCATENATE(H397,F397,GA$2),GeoHis!$A:$H,7,FALSE)=CO397,1,0)</f>
        <v>#N/A</v>
      </c>
      <c r="GB397" s="138" t="e">
        <f>IF(VLOOKUP(CONCATENATE(H397,F397,GB$2),GeoHis!$A:$H,7,FALSE)=CP397,1,0)</f>
        <v>#N/A</v>
      </c>
      <c r="GC397" s="138" t="e">
        <f>IF(VLOOKUP(CONCATENATE(H397,F397,GC$2),GeoHis!$A:$H,7,FALSE)=CQ397,1,0)</f>
        <v>#N/A</v>
      </c>
      <c r="GD397" s="138" t="e">
        <f>IF(VLOOKUP(CONCATENATE(H397,F397,GD$2),GeoHis!$A:$H,7,FALSE)=CR397,1,0)</f>
        <v>#N/A</v>
      </c>
      <c r="GE397" s="135" t="str">
        <f t="shared" si="55"/>
        <v/>
      </c>
    </row>
    <row r="398" spans="1:187" x14ac:dyDescent="0.25">
      <c r="A398" s="127" t="str">
        <f>IF(C398="","",'Datos Generales'!$A$25)</f>
        <v/>
      </c>
      <c r="D398" s="126" t="str">
        <f t="shared" si="48"/>
        <v/>
      </c>
      <c r="E398" s="126">
        <f t="shared" si="49"/>
        <v>0</v>
      </c>
      <c r="F398" s="126" t="str">
        <f t="shared" si="50"/>
        <v/>
      </c>
      <c r="G398" s="126" t="str">
        <f>IF(C398="","",'Datos Generales'!$D$19)</f>
        <v/>
      </c>
      <c r="H398" s="21" t="str">
        <f>IF(C398="","",'Datos Generales'!$A$19)</f>
        <v/>
      </c>
      <c r="I398" s="126" t="str">
        <f>IF(C398="","",'Datos Generales'!$A$7)</f>
        <v/>
      </c>
      <c r="J398" s="21" t="str">
        <f>IF(C398="","",'Datos Generales'!$A$13)</f>
        <v/>
      </c>
      <c r="K398" s="21" t="str">
        <f>IF(C398="","",'Datos Generales'!$A$10)</f>
        <v/>
      </c>
      <c r="CS398" s="142" t="str">
        <f t="shared" si="51"/>
        <v/>
      </c>
      <c r="CT398" s="142" t="str">
        <f t="shared" si="52"/>
        <v/>
      </c>
      <c r="CU398" s="142" t="str">
        <f t="shared" si="53"/>
        <v/>
      </c>
      <c r="CV398" s="142" t="str">
        <f t="shared" si="54"/>
        <v/>
      </c>
      <c r="CW398" s="142" t="str">
        <f>IF(C398="","",IF('Datos Generales'!$A$19=1,AVERAGE(FP398:GD398),AVERAGE(Captura!FP398:FY398)))</f>
        <v/>
      </c>
      <c r="CX398" s="138" t="e">
        <f>IF(VLOOKUP(CONCATENATE($H$4,$F$4,CX$2),Español!$A:$H,7,FALSE)=L398,1,0)</f>
        <v>#N/A</v>
      </c>
      <c r="CY398" s="138" t="e">
        <f>IF(VLOOKUP(CONCATENATE(H398,F398,CY$2),Español!$A:$H,7,FALSE)=M398,1,0)</f>
        <v>#N/A</v>
      </c>
      <c r="CZ398" s="138" t="e">
        <f>IF(VLOOKUP(CONCATENATE(H398,F398,CZ$2),Español!$A:$H,7,FALSE)=N398,1,0)</f>
        <v>#N/A</v>
      </c>
      <c r="DA398" s="138" t="e">
        <f>IF(VLOOKUP(CONCATENATE(H398,F398,DA$2),Español!$A:$H,7,FALSE)=O398,1,0)</f>
        <v>#N/A</v>
      </c>
      <c r="DB398" s="138" t="e">
        <f>IF(VLOOKUP(CONCATENATE(H398,F398,DB$2),Español!$A:$H,7,FALSE)=P398,1,0)</f>
        <v>#N/A</v>
      </c>
      <c r="DC398" s="138" t="e">
        <f>IF(VLOOKUP(CONCATENATE(H398,F398,DC$2),Español!$A:$H,7,FALSE)=Q398,1,0)</f>
        <v>#N/A</v>
      </c>
      <c r="DD398" s="138" t="e">
        <f>IF(VLOOKUP(CONCATENATE(H398,F398,DD$2),Español!$A:$H,7,FALSE)=R398,1,0)</f>
        <v>#N/A</v>
      </c>
      <c r="DE398" s="138" t="e">
        <f>IF(VLOOKUP(CONCATENATE(H398,F398,DE$2),Español!$A:$H,7,FALSE)=S398,1,0)</f>
        <v>#N/A</v>
      </c>
      <c r="DF398" s="138" t="e">
        <f>IF(VLOOKUP(CONCATENATE(H398,F398,DF$2),Español!$A:$H,7,FALSE)=T398,1,0)</f>
        <v>#N/A</v>
      </c>
      <c r="DG398" s="138" t="e">
        <f>IF(VLOOKUP(CONCATENATE(H398,F398,DG$2),Español!$A:$H,7,FALSE)=U398,1,0)</f>
        <v>#N/A</v>
      </c>
      <c r="DH398" s="138" t="e">
        <f>IF(VLOOKUP(CONCATENATE(H398,F398,DH$2),Español!$A:$H,7,FALSE)=V398,1,0)</f>
        <v>#N/A</v>
      </c>
      <c r="DI398" s="138" t="e">
        <f>IF(VLOOKUP(CONCATENATE(H398,F398,DI$2),Español!$A:$H,7,FALSE)=W398,1,0)</f>
        <v>#N/A</v>
      </c>
      <c r="DJ398" s="138" t="e">
        <f>IF(VLOOKUP(CONCATENATE(H398,F398,DJ$2),Español!$A:$H,7,FALSE)=X398,1,0)</f>
        <v>#N/A</v>
      </c>
      <c r="DK398" s="138" t="e">
        <f>IF(VLOOKUP(CONCATENATE(H398,F398,DK$2),Español!$A:$H,7,FALSE)=Y398,1,0)</f>
        <v>#N/A</v>
      </c>
      <c r="DL398" s="138" t="e">
        <f>IF(VLOOKUP(CONCATENATE(H398,F398,DL$2),Español!$A:$H,7,FALSE)=Z398,1,0)</f>
        <v>#N/A</v>
      </c>
      <c r="DM398" s="138" t="e">
        <f>IF(VLOOKUP(CONCATENATE(H398,F398,DM$2),Español!$A:$H,7,FALSE)=AA398,1,0)</f>
        <v>#N/A</v>
      </c>
      <c r="DN398" s="138" t="e">
        <f>IF(VLOOKUP(CONCATENATE(H398,F398,DN$2),Español!$A:$H,7,FALSE)=AB398,1,0)</f>
        <v>#N/A</v>
      </c>
      <c r="DO398" s="138" t="e">
        <f>IF(VLOOKUP(CONCATENATE(H398,F398,DO$2),Español!$A:$H,7,FALSE)=AC398,1,0)</f>
        <v>#N/A</v>
      </c>
      <c r="DP398" s="138" t="e">
        <f>IF(VLOOKUP(CONCATENATE(H398,F398,DP$2),Español!$A:$H,7,FALSE)=AD398,1,0)</f>
        <v>#N/A</v>
      </c>
      <c r="DQ398" s="138" t="e">
        <f>IF(VLOOKUP(CONCATENATE(H398,F398,DQ$2),Español!$A:$H,7,FALSE)=AE398,1,0)</f>
        <v>#N/A</v>
      </c>
      <c r="DR398" s="138" t="e">
        <f>IF(VLOOKUP(CONCATENATE(H398,F398,DR$2),Inglés!$A:$H,7,FALSE)=AF398,1,0)</f>
        <v>#N/A</v>
      </c>
      <c r="DS398" s="138" t="e">
        <f>IF(VLOOKUP(CONCATENATE(H398,F398,DS$2),Inglés!$A:$H,7,FALSE)=AG398,1,0)</f>
        <v>#N/A</v>
      </c>
      <c r="DT398" s="138" t="e">
        <f>IF(VLOOKUP(CONCATENATE(H398,F398,DT$2),Inglés!$A:$H,7,FALSE)=AH398,1,0)</f>
        <v>#N/A</v>
      </c>
      <c r="DU398" s="138" t="e">
        <f>IF(VLOOKUP(CONCATENATE(H398,F398,DU$2),Inglés!$A:$H,7,FALSE)=AI398,1,0)</f>
        <v>#N/A</v>
      </c>
      <c r="DV398" s="138" t="e">
        <f>IF(VLOOKUP(CONCATENATE(H398,F398,DV$2),Inglés!$A:$H,7,FALSE)=AJ398,1,0)</f>
        <v>#N/A</v>
      </c>
      <c r="DW398" s="138" t="e">
        <f>IF(VLOOKUP(CONCATENATE(H398,F398,DW$2),Inglés!$A:$H,7,FALSE)=AK398,1,0)</f>
        <v>#N/A</v>
      </c>
      <c r="DX398" s="138" t="e">
        <f>IF(VLOOKUP(CONCATENATE(H398,F398,DX$2),Inglés!$A:$H,7,FALSE)=AL398,1,0)</f>
        <v>#N/A</v>
      </c>
      <c r="DY398" s="138" t="e">
        <f>IF(VLOOKUP(CONCATENATE(H398,F398,DY$2),Inglés!$A:$H,7,FALSE)=AM398,1,0)</f>
        <v>#N/A</v>
      </c>
      <c r="DZ398" s="138" t="e">
        <f>IF(VLOOKUP(CONCATENATE(H398,F398,DZ$2),Inglés!$A:$H,7,FALSE)=AN398,1,0)</f>
        <v>#N/A</v>
      </c>
      <c r="EA398" s="138" t="e">
        <f>IF(VLOOKUP(CONCATENATE(H398,F398,EA$2),Inglés!$A:$H,7,FALSE)=AO398,1,0)</f>
        <v>#N/A</v>
      </c>
      <c r="EB398" s="138" t="e">
        <f>IF(VLOOKUP(CONCATENATE(H398,F398,EB$2),Matemáticas!$A:$H,7,FALSE)=AP398,1,0)</f>
        <v>#N/A</v>
      </c>
      <c r="EC398" s="138" t="e">
        <f>IF(VLOOKUP(CONCATENATE(H398,F398,EC$2),Matemáticas!$A:$H,7,FALSE)=AQ398,1,0)</f>
        <v>#N/A</v>
      </c>
      <c r="ED398" s="138" t="e">
        <f>IF(VLOOKUP(CONCATENATE(H398,F398,ED$2),Matemáticas!$A:$H,7,FALSE)=AR398,1,0)</f>
        <v>#N/A</v>
      </c>
      <c r="EE398" s="138" t="e">
        <f>IF(VLOOKUP(CONCATENATE(H398,F398,EE$2),Matemáticas!$A:$H,7,FALSE)=AS398,1,0)</f>
        <v>#N/A</v>
      </c>
      <c r="EF398" s="138" t="e">
        <f>IF(VLOOKUP(CONCATENATE(H398,F398,EF$2),Matemáticas!$A:$H,7,FALSE)=AT398,1,0)</f>
        <v>#N/A</v>
      </c>
      <c r="EG398" s="138" t="e">
        <f>IF(VLOOKUP(CONCATENATE(H398,F398,EG$2),Matemáticas!$A:$H,7,FALSE)=AU398,1,0)</f>
        <v>#N/A</v>
      </c>
      <c r="EH398" s="138" t="e">
        <f>IF(VLOOKUP(CONCATENATE(H398,F398,EH$2),Matemáticas!$A:$H,7,FALSE)=AV398,1,0)</f>
        <v>#N/A</v>
      </c>
      <c r="EI398" s="138" t="e">
        <f>IF(VLOOKUP(CONCATENATE(H398,F398,EI$2),Matemáticas!$A:$H,7,FALSE)=AW398,1,0)</f>
        <v>#N/A</v>
      </c>
      <c r="EJ398" s="138" t="e">
        <f>IF(VLOOKUP(CONCATENATE(H398,F398,EJ$2),Matemáticas!$A:$H,7,FALSE)=AX398,1,0)</f>
        <v>#N/A</v>
      </c>
      <c r="EK398" s="138" t="e">
        <f>IF(VLOOKUP(CONCATENATE(H398,F398,EK$2),Matemáticas!$A:$H,7,FALSE)=AY398,1,0)</f>
        <v>#N/A</v>
      </c>
      <c r="EL398" s="138" t="e">
        <f>IF(VLOOKUP(CONCATENATE(H398,F398,EL$2),Matemáticas!$A:$H,7,FALSE)=AZ398,1,0)</f>
        <v>#N/A</v>
      </c>
      <c r="EM398" s="138" t="e">
        <f>IF(VLOOKUP(CONCATENATE(H398,F398,EM$2),Matemáticas!$A:$H,7,FALSE)=BA398,1,0)</f>
        <v>#N/A</v>
      </c>
      <c r="EN398" s="138" t="e">
        <f>IF(VLOOKUP(CONCATENATE(H398,F398,EN$2),Matemáticas!$A:$H,7,FALSE)=BB398,1,0)</f>
        <v>#N/A</v>
      </c>
      <c r="EO398" s="138" t="e">
        <f>IF(VLOOKUP(CONCATENATE(H398,F398,EO$2),Matemáticas!$A:$H,7,FALSE)=BC398,1,0)</f>
        <v>#N/A</v>
      </c>
      <c r="EP398" s="138" t="e">
        <f>IF(VLOOKUP(CONCATENATE(H398,F398,EP$2),Matemáticas!$A:$H,7,FALSE)=BD398,1,0)</f>
        <v>#N/A</v>
      </c>
      <c r="EQ398" s="138" t="e">
        <f>IF(VLOOKUP(CONCATENATE(H398,F398,EQ$2),Matemáticas!$A:$H,7,FALSE)=BE398,1,0)</f>
        <v>#N/A</v>
      </c>
      <c r="ER398" s="138" t="e">
        <f>IF(VLOOKUP(CONCATENATE(H398,F398,ER$2),Matemáticas!$A:$H,7,FALSE)=BF398,1,0)</f>
        <v>#N/A</v>
      </c>
      <c r="ES398" s="138" t="e">
        <f>IF(VLOOKUP(CONCATENATE(H398,F398,ES$2),Matemáticas!$A:$H,7,FALSE)=BG398,1,0)</f>
        <v>#N/A</v>
      </c>
      <c r="ET398" s="138" t="e">
        <f>IF(VLOOKUP(CONCATENATE(H398,F398,ET$2),Matemáticas!$A:$H,7,FALSE)=BH398,1,0)</f>
        <v>#N/A</v>
      </c>
      <c r="EU398" s="138" t="e">
        <f>IF(VLOOKUP(CONCATENATE(H398,F398,EU$2),Matemáticas!$A:$H,7,FALSE)=BI398,1,0)</f>
        <v>#N/A</v>
      </c>
      <c r="EV398" s="138" t="e">
        <f>IF(VLOOKUP(CONCATENATE(H398,F398,EV$2),Ciencias!$A:$H,7,FALSE)=BJ398,1,0)</f>
        <v>#N/A</v>
      </c>
      <c r="EW398" s="138" t="e">
        <f>IF(VLOOKUP(CONCATENATE(H398,F398,EW$2),Ciencias!$A:$H,7,FALSE)=BK398,1,0)</f>
        <v>#N/A</v>
      </c>
      <c r="EX398" s="138" t="e">
        <f>IF(VLOOKUP(CONCATENATE(H398,F398,EX$2),Ciencias!$A:$H,7,FALSE)=BL398,1,0)</f>
        <v>#N/A</v>
      </c>
      <c r="EY398" s="138" t="e">
        <f>IF(VLOOKUP(CONCATENATE(H398,F398,EY$2),Ciencias!$A:$H,7,FALSE)=BM398,1,0)</f>
        <v>#N/A</v>
      </c>
      <c r="EZ398" s="138" t="e">
        <f>IF(VLOOKUP(CONCATENATE(H398,F398,EZ$2),Ciencias!$A:$H,7,FALSE)=BN398,1,0)</f>
        <v>#N/A</v>
      </c>
      <c r="FA398" s="138" t="e">
        <f>IF(VLOOKUP(CONCATENATE(H398,F398,FA$2),Ciencias!$A:$H,7,FALSE)=BO398,1,0)</f>
        <v>#N/A</v>
      </c>
      <c r="FB398" s="138" t="e">
        <f>IF(VLOOKUP(CONCATENATE(H398,F398,FB$2),Ciencias!$A:$H,7,FALSE)=BP398,1,0)</f>
        <v>#N/A</v>
      </c>
      <c r="FC398" s="138" t="e">
        <f>IF(VLOOKUP(CONCATENATE(H398,F398,FC$2),Ciencias!$A:$H,7,FALSE)=BQ398,1,0)</f>
        <v>#N/A</v>
      </c>
      <c r="FD398" s="138" t="e">
        <f>IF(VLOOKUP(CONCATENATE(H398,F398,FD$2),Ciencias!$A:$H,7,FALSE)=BR398,1,0)</f>
        <v>#N/A</v>
      </c>
      <c r="FE398" s="138" t="e">
        <f>IF(VLOOKUP(CONCATENATE(H398,F398,FE$2),Ciencias!$A:$H,7,FALSE)=BS398,1,0)</f>
        <v>#N/A</v>
      </c>
      <c r="FF398" s="138" t="e">
        <f>IF(VLOOKUP(CONCATENATE(H398,F398,FF$2),Ciencias!$A:$H,7,FALSE)=BT398,1,0)</f>
        <v>#N/A</v>
      </c>
      <c r="FG398" s="138" t="e">
        <f>IF(VLOOKUP(CONCATENATE(H398,F398,FG$2),Ciencias!$A:$H,7,FALSE)=BU398,1,0)</f>
        <v>#N/A</v>
      </c>
      <c r="FH398" s="138" t="e">
        <f>IF(VLOOKUP(CONCATENATE(H398,F398,FH$2),Ciencias!$A:$H,7,FALSE)=BV398,1,0)</f>
        <v>#N/A</v>
      </c>
      <c r="FI398" s="138" t="e">
        <f>IF(VLOOKUP(CONCATENATE(H398,F398,FI$2),Ciencias!$A:$H,7,FALSE)=BW398,1,0)</f>
        <v>#N/A</v>
      </c>
      <c r="FJ398" s="138" t="e">
        <f>IF(VLOOKUP(CONCATENATE(H398,F398,FJ$2),Ciencias!$A:$H,7,FALSE)=BX398,1,0)</f>
        <v>#N/A</v>
      </c>
      <c r="FK398" s="138" t="e">
        <f>IF(VLOOKUP(CONCATENATE(H398,F398,FK$2),Ciencias!$A:$H,7,FALSE)=BY398,1,0)</f>
        <v>#N/A</v>
      </c>
      <c r="FL398" s="138" t="e">
        <f>IF(VLOOKUP(CONCATENATE(H398,F398,FL$2),Ciencias!$A:$H,7,FALSE)=BZ398,1,0)</f>
        <v>#N/A</v>
      </c>
      <c r="FM398" s="138" t="e">
        <f>IF(VLOOKUP(CONCATENATE(H398,F398,FM$2),Ciencias!$A:$H,7,FALSE)=CA398,1,0)</f>
        <v>#N/A</v>
      </c>
      <c r="FN398" s="138" t="e">
        <f>IF(VLOOKUP(CONCATENATE(H398,F398,FN$2),Ciencias!$A:$H,7,FALSE)=CB398,1,0)</f>
        <v>#N/A</v>
      </c>
      <c r="FO398" s="138" t="e">
        <f>IF(VLOOKUP(CONCATENATE(H398,F398,FO$2),Ciencias!$A:$H,7,FALSE)=CC398,1,0)</f>
        <v>#N/A</v>
      </c>
      <c r="FP398" s="138" t="e">
        <f>IF(VLOOKUP(CONCATENATE(H398,F398,FP$2),GeoHis!$A:$H,7,FALSE)=CD398,1,0)</f>
        <v>#N/A</v>
      </c>
      <c r="FQ398" s="138" t="e">
        <f>IF(VLOOKUP(CONCATENATE(H398,F398,FQ$2),GeoHis!$A:$H,7,FALSE)=CE398,1,0)</f>
        <v>#N/A</v>
      </c>
      <c r="FR398" s="138" t="e">
        <f>IF(VLOOKUP(CONCATENATE(H398,F398,FR$2),GeoHis!$A:$H,7,FALSE)=CF398,1,0)</f>
        <v>#N/A</v>
      </c>
      <c r="FS398" s="138" t="e">
        <f>IF(VLOOKUP(CONCATENATE(H398,F398,FS$2),GeoHis!$A:$H,7,FALSE)=CG398,1,0)</f>
        <v>#N/A</v>
      </c>
      <c r="FT398" s="138" t="e">
        <f>IF(VLOOKUP(CONCATENATE(H398,F398,FT$2),GeoHis!$A:$H,7,FALSE)=CH398,1,0)</f>
        <v>#N/A</v>
      </c>
      <c r="FU398" s="138" t="e">
        <f>IF(VLOOKUP(CONCATENATE(H398,F398,FU$2),GeoHis!$A:$H,7,FALSE)=CI398,1,0)</f>
        <v>#N/A</v>
      </c>
      <c r="FV398" s="138" t="e">
        <f>IF(VLOOKUP(CONCATENATE(H398,F398,FV$2),GeoHis!$A:$H,7,FALSE)=CJ398,1,0)</f>
        <v>#N/A</v>
      </c>
      <c r="FW398" s="138" t="e">
        <f>IF(VLOOKUP(CONCATENATE(H398,F398,FW$2),GeoHis!$A:$H,7,FALSE)=CK398,1,0)</f>
        <v>#N/A</v>
      </c>
      <c r="FX398" s="138" t="e">
        <f>IF(VLOOKUP(CONCATENATE(H398,F398,FX$2),GeoHis!$A:$H,7,FALSE)=CL398,1,0)</f>
        <v>#N/A</v>
      </c>
      <c r="FY398" s="138" t="e">
        <f>IF(VLOOKUP(CONCATENATE(H398,F398,FY$2),GeoHis!$A:$H,7,FALSE)=CM398,1,0)</f>
        <v>#N/A</v>
      </c>
      <c r="FZ398" s="138" t="e">
        <f>IF(VLOOKUP(CONCATENATE(H398,F398,FZ$2),GeoHis!$A:$H,7,FALSE)=CN398,1,0)</f>
        <v>#N/A</v>
      </c>
      <c r="GA398" s="138" t="e">
        <f>IF(VLOOKUP(CONCATENATE(H398,F398,GA$2),GeoHis!$A:$H,7,FALSE)=CO398,1,0)</f>
        <v>#N/A</v>
      </c>
      <c r="GB398" s="138" t="e">
        <f>IF(VLOOKUP(CONCATENATE(H398,F398,GB$2),GeoHis!$A:$H,7,FALSE)=CP398,1,0)</f>
        <v>#N/A</v>
      </c>
      <c r="GC398" s="138" t="e">
        <f>IF(VLOOKUP(CONCATENATE(H398,F398,GC$2),GeoHis!$A:$H,7,FALSE)=CQ398,1,0)</f>
        <v>#N/A</v>
      </c>
      <c r="GD398" s="138" t="e">
        <f>IF(VLOOKUP(CONCATENATE(H398,F398,GD$2),GeoHis!$A:$H,7,FALSE)=CR398,1,0)</f>
        <v>#N/A</v>
      </c>
      <c r="GE398" s="135" t="str">
        <f t="shared" si="55"/>
        <v/>
      </c>
    </row>
    <row r="399" spans="1:187" x14ac:dyDescent="0.25">
      <c r="A399" s="127" t="str">
        <f>IF(C399="","",'Datos Generales'!$A$25)</f>
        <v/>
      </c>
      <c r="D399" s="126" t="str">
        <f t="shared" si="48"/>
        <v/>
      </c>
      <c r="E399" s="126">
        <f t="shared" si="49"/>
        <v>0</v>
      </c>
      <c r="F399" s="126" t="str">
        <f t="shared" si="50"/>
        <v/>
      </c>
      <c r="G399" s="126" t="str">
        <f>IF(C399="","",'Datos Generales'!$D$19)</f>
        <v/>
      </c>
      <c r="H399" s="21" t="str">
        <f>IF(C399="","",'Datos Generales'!$A$19)</f>
        <v/>
      </c>
      <c r="I399" s="126" t="str">
        <f>IF(C399="","",'Datos Generales'!$A$7)</f>
        <v/>
      </c>
      <c r="J399" s="21" t="str">
        <f>IF(C399="","",'Datos Generales'!$A$13)</f>
        <v/>
      </c>
      <c r="K399" s="21" t="str">
        <f>IF(C399="","",'Datos Generales'!$A$10)</f>
        <v/>
      </c>
      <c r="CS399" s="142" t="str">
        <f t="shared" si="51"/>
        <v/>
      </c>
      <c r="CT399" s="142" t="str">
        <f t="shared" si="52"/>
        <v/>
      </c>
      <c r="CU399" s="142" t="str">
        <f t="shared" si="53"/>
        <v/>
      </c>
      <c r="CV399" s="142" t="str">
        <f t="shared" si="54"/>
        <v/>
      </c>
      <c r="CW399" s="142" t="str">
        <f>IF(C399="","",IF('Datos Generales'!$A$19=1,AVERAGE(FP399:GD399),AVERAGE(Captura!FP399:FY399)))</f>
        <v/>
      </c>
      <c r="CX399" s="138" t="e">
        <f>IF(VLOOKUP(CONCATENATE($H$4,$F$4,CX$2),Español!$A:$H,7,FALSE)=L399,1,0)</f>
        <v>#N/A</v>
      </c>
      <c r="CY399" s="138" t="e">
        <f>IF(VLOOKUP(CONCATENATE(H399,F399,CY$2),Español!$A:$H,7,FALSE)=M399,1,0)</f>
        <v>#N/A</v>
      </c>
      <c r="CZ399" s="138" t="e">
        <f>IF(VLOOKUP(CONCATENATE(H399,F399,CZ$2),Español!$A:$H,7,FALSE)=N399,1,0)</f>
        <v>#N/A</v>
      </c>
      <c r="DA399" s="138" t="e">
        <f>IF(VLOOKUP(CONCATENATE(H399,F399,DA$2),Español!$A:$H,7,FALSE)=O399,1,0)</f>
        <v>#N/A</v>
      </c>
      <c r="DB399" s="138" t="e">
        <f>IF(VLOOKUP(CONCATENATE(H399,F399,DB$2),Español!$A:$H,7,FALSE)=P399,1,0)</f>
        <v>#N/A</v>
      </c>
      <c r="DC399" s="138" t="e">
        <f>IF(VLOOKUP(CONCATENATE(H399,F399,DC$2),Español!$A:$H,7,FALSE)=Q399,1,0)</f>
        <v>#N/A</v>
      </c>
      <c r="DD399" s="138" t="e">
        <f>IF(VLOOKUP(CONCATENATE(H399,F399,DD$2),Español!$A:$H,7,FALSE)=R399,1,0)</f>
        <v>#N/A</v>
      </c>
      <c r="DE399" s="138" t="e">
        <f>IF(VLOOKUP(CONCATENATE(H399,F399,DE$2),Español!$A:$H,7,FALSE)=S399,1,0)</f>
        <v>#N/A</v>
      </c>
      <c r="DF399" s="138" t="e">
        <f>IF(VLOOKUP(CONCATENATE(H399,F399,DF$2),Español!$A:$H,7,FALSE)=T399,1,0)</f>
        <v>#N/A</v>
      </c>
      <c r="DG399" s="138" t="e">
        <f>IF(VLOOKUP(CONCATENATE(H399,F399,DG$2),Español!$A:$H,7,FALSE)=U399,1,0)</f>
        <v>#N/A</v>
      </c>
      <c r="DH399" s="138" t="e">
        <f>IF(VLOOKUP(CONCATENATE(H399,F399,DH$2),Español!$A:$H,7,FALSE)=V399,1,0)</f>
        <v>#N/A</v>
      </c>
      <c r="DI399" s="138" t="e">
        <f>IF(VLOOKUP(CONCATENATE(H399,F399,DI$2),Español!$A:$H,7,FALSE)=W399,1,0)</f>
        <v>#N/A</v>
      </c>
      <c r="DJ399" s="138" t="e">
        <f>IF(VLOOKUP(CONCATENATE(H399,F399,DJ$2),Español!$A:$H,7,FALSE)=X399,1,0)</f>
        <v>#N/A</v>
      </c>
      <c r="DK399" s="138" t="e">
        <f>IF(VLOOKUP(CONCATENATE(H399,F399,DK$2),Español!$A:$H,7,FALSE)=Y399,1,0)</f>
        <v>#N/A</v>
      </c>
      <c r="DL399" s="138" t="e">
        <f>IF(VLOOKUP(CONCATENATE(H399,F399,DL$2),Español!$A:$H,7,FALSE)=Z399,1,0)</f>
        <v>#N/A</v>
      </c>
      <c r="DM399" s="138" t="e">
        <f>IF(VLOOKUP(CONCATENATE(H399,F399,DM$2),Español!$A:$H,7,FALSE)=AA399,1,0)</f>
        <v>#N/A</v>
      </c>
      <c r="DN399" s="138" t="e">
        <f>IF(VLOOKUP(CONCATENATE(H399,F399,DN$2),Español!$A:$H,7,FALSE)=AB399,1,0)</f>
        <v>#N/A</v>
      </c>
      <c r="DO399" s="138" t="e">
        <f>IF(VLOOKUP(CONCATENATE(H399,F399,DO$2),Español!$A:$H,7,FALSE)=AC399,1,0)</f>
        <v>#N/A</v>
      </c>
      <c r="DP399" s="138" t="e">
        <f>IF(VLOOKUP(CONCATENATE(H399,F399,DP$2),Español!$A:$H,7,FALSE)=AD399,1,0)</f>
        <v>#N/A</v>
      </c>
      <c r="DQ399" s="138" t="e">
        <f>IF(VLOOKUP(CONCATENATE(H399,F399,DQ$2),Español!$A:$H,7,FALSE)=AE399,1,0)</f>
        <v>#N/A</v>
      </c>
      <c r="DR399" s="138" t="e">
        <f>IF(VLOOKUP(CONCATENATE(H399,F399,DR$2),Inglés!$A:$H,7,FALSE)=AF399,1,0)</f>
        <v>#N/A</v>
      </c>
      <c r="DS399" s="138" t="e">
        <f>IF(VLOOKUP(CONCATENATE(H399,F399,DS$2),Inglés!$A:$H,7,FALSE)=AG399,1,0)</f>
        <v>#N/A</v>
      </c>
      <c r="DT399" s="138" t="e">
        <f>IF(VLOOKUP(CONCATENATE(H399,F399,DT$2),Inglés!$A:$H,7,FALSE)=AH399,1,0)</f>
        <v>#N/A</v>
      </c>
      <c r="DU399" s="138" t="e">
        <f>IF(VLOOKUP(CONCATENATE(H399,F399,DU$2),Inglés!$A:$H,7,FALSE)=AI399,1,0)</f>
        <v>#N/A</v>
      </c>
      <c r="DV399" s="138" t="e">
        <f>IF(VLOOKUP(CONCATENATE(H399,F399,DV$2),Inglés!$A:$H,7,FALSE)=AJ399,1,0)</f>
        <v>#N/A</v>
      </c>
      <c r="DW399" s="138" t="e">
        <f>IF(VLOOKUP(CONCATENATE(H399,F399,DW$2),Inglés!$A:$H,7,FALSE)=AK399,1,0)</f>
        <v>#N/A</v>
      </c>
      <c r="DX399" s="138" t="e">
        <f>IF(VLOOKUP(CONCATENATE(H399,F399,DX$2),Inglés!$A:$H,7,FALSE)=AL399,1,0)</f>
        <v>#N/A</v>
      </c>
      <c r="DY399" s="138" t="e">
        <f>IF(VLOOKUP(CONCATENATE(H399,F399,DY$2),Inglés!$A:$H,7,FALSE)=AM399,1,0)</f>
        <v>#N/A</v>
      </c>
      <c r="DZ399" s="138" t="e">
        <f>IF(VLOOKUP(CONCATENATE(H399,F399,DZ$2),Inglés!$A:$H,7,FALSE)=AN399,1,0)</f>
        <v>#N/A</v>
      </c>
      <c r="EA399" s="138" t="e">
        <f>IF(VLOOKUP(CONCATENATE(H399,F399,EA$2),Inglés!$A:$H,7,FALSE)=AO399,1,0)</f>
        <v>#N/A</v>
      </c>
      <c r="EB399" s="138" t="e">
        <f>IF(VLOOKUP(CONCATENATE(H399,F399,EB$2),Matemáticas!$A:$H,7,FALSE)=AP399,1,0)</f>
        <v>#N/A</v>
      </c>
      <c r="EC399" s="138" t="e">
        <f>IF(VLOOKUP(CONCATENATE(H399,F399,EC$2),Matemáticas!$A:$H,7,FALSE)=AQ399,1,0)</f>
        <v>#N/A</v>
      </c>
      <c r="ED399" s="138" t="e">
        <f>IF(VLOOKUP(CONCATENATE(H399,F399,ED$2),Matemáticas!$A:$H,7,FALSE)=AR399,1,0)</f>
        <v>#N/A</v>
      </c>
      <c r="EE399" s="138" t="e">
        <f>IF(VLOOKUP(CONCATENATE(H399,F399,EE$2),Matemáticas!$A:$H,7,FALSE)=AS399,1,0)</f>
        <v>#N/A</v>
      </c>
      <c r="EF399" s="138" t="e">
        <f>IF(VLOOKUP(CONCATENATE(H399,F399,EF$2),Matemáticas!$A:$H,7,FALSE)=AT399,1,0)</f>
        <v>#N/A</v>
      </c>
      <c r="EG399" s="138" t="e">
        <f>IF(VLOOKUP(CONCATENATE(H399,F399,EG$2),Matemáticas!$A:$H,7,FALSE)=AU399,1,0)</f>
        <v>#N/A</v>
      </c>
      <c r="EH399" s="138" t="e">
        <f>IF(VLOOKUP(CONCATENATE(H399,F399,EH$2),Matemáticas!$A:$H,7,FALSE)=AV399,1,0)</f>
        <v>#N/A</v>
      </c>
      <c r="EI399" s="138" t="e">
        <f>IF(VLOOKUP(CONCATENATE(H399,F399,EI$2),Matemáticas!$A:$H,7,FALSE)=AW399,1,0)</f>
        <v>#N/A</v>
      </c>
      <c r="EJ399" s="138" t="e">
        <f>IF(VLOOKUP(CONCATENATE(H399,F399,EJ$2),Matemáticas!$A:$H,7,FALSE)=AX399,1,0)</f>
        <v>#N/A</v>
      </c>
      <c r="EK399" s="138" t="e">
        <f>IF(VLOOKUP(CONCATENATE(H399,F399,EK$2),Matemáticas!$A:$H,7,FALSE)=AY399,1,0)</f>
        <v>#N/A</v>
      </c>
      <c r="EL399" s="138" t="e">
        <f>IF(VLOOKUP(CONCATENATE(H399,F399,EL$2),Matemáticas!$A:$H,7,FALSE)=AZ399,1,0)</f>
        <v>#N/A</v>
      </c>
      <c r="EM399" s="138" t="e">
        <f>IF(VLOOKUP(CONCATENATE(H399,F399,EM$2),Matemáticas!$A:$H,7,FALSE)=BA399,1,0)</f>
        <v>#N/A</v>
      </c>
      <c r="EN399" s="138" t="e">
        <f>IF(VLOOKUP(CONCATENATE(H399,F399,EN$2),Matemáticas!$A:$H,7,FALSE)=BB399,1,0)</f>
        <v>#N/A</v>
      </c>
      <c r="EO399" s="138" t="e">
        <f>IF(VLOOKUP(CONCATENATE(H399,F399,EO$2),Matemáticas!$A:$H,7,FALSE)=BC399,1,0)</f>
        <v>#N/A</v>
      </c>
      <c r="EP399" s="138" t="e">
        <f>IF(VLOOKUP(CONCATENATE(H399,F399,EP$2),Matemáticas!$A:$H,7,FALSE)=BD399,1,0)</f>
        <v>#N/A</v>
      </c>
      <c r="EQ399" s="138" t="e">
        <f>IF(VLOOKUP(CONCATENATE(H399,F399,EQ$2),Matemáticas!$A:$H,7,FALSE)=BE399,1,0)</f>
        <v>#N/A</v>
      </c>
      <c r="ER399" s="138" t="e">
        <f>IF(VLOOKUP(CONCATENATE(H399,F399,ER$2),Matemáticas!$A:$H,7,FALSE)=BF399,1,0)</f>
        <v>#N/A</v>
      </c>
      <c r="ES399" s="138" t="e">
        <f>IF(VLOOKUP(CONCATENATE(H399,F399,ES$2),Matemáticas!$A:$H,7,FALSE)=BG399,1,0)</f>
        <v>#N/A</v>
      </c>
      <c r="ET399" s="138" t="e">
        <f>IF(VLOOKUP(CONCATENATE(H399,F399,ET$2),Matemáticas!$A:$H,7,FALSE)=BH399,1,0)</f>
        <v>#N/A</v>
      </c>
      <c r="EU399" s="138" t="e">
        <f>IF(VLOOKUP(CONCATENATE(H399,F399,EU$2),Matemáticas!$A:$H,7,FALSE)=BI399,1,0)</f>
        <v>#N/A</v>
      </c>
      <c r="EV399" s="138" t="e">
        <f>IF(VLOOKUP(CONCATENATE(H399,F399,EV$2),Ciencias!$A:$H,7,FALSE)=BJ399,1,0)</f>
        <v>#N/A</v>
      </c>
      <c r="EW399" s="138" t="e">
        <f>IF(VLOOKUP(CONCATENATE(H399,F399,EW$2),Ciencias!$A:$H,7,FALSE)=BK399,1,0)</f>
        <v>#N/A</v>
      </c>
      <c r="EX399" s="138" t="e">
        <f>IF(VLOOKUP(CONCATENATE(H399,F399,EX$2),Ciencias!$A:$H,7,FALSE)=BL399,1,0)</f>
        <v>#N/A</v>
      </c>
      <c r="EY399" s="138" t="e">
        <f>IF(VLOOKUP(CONCATENATE(H399,F399,EY$2),Ciencias!$A:$H,7,FALSE)=BM399,1,0)</f>
        <v>#N/A</v>
      </c>
      <c r="EZ399" s="138" t="e">
        <f>IF(VLOOKUP(CONCATENATE(H399,F399,EZ$2),Ciencias!$A:$H,7,FALSE)=BN399,1,0)</f>
        <v>#N/A</v>
      </c>
      <c r="FA399" s="138" t="e">
        <f>IF(VLOOKUP(CONCATENATE(H399,F399,FA$2),Ciencias!$A:$H,7,FALSE)=BO399,1,0)</f>
        <v>#N/A</v>
      </c>
      <c r="FB399" s="138" t="e">
        <f>IF(VLOOKUP(CONCATENATE(H399,F399,FB$2),Ciencias!$A:$H,7,FALSE)=BP399,1,0)</f>
        <v>#N/A</v>
      </c>
      <c r="FC399" s="138" t="e">
        <f>IF(VLOOKUP(CONCATENATE(H399,F399,FC$2),Ciencias!$A:$H,7,FALSE)=BQ399,1,0)</f>
        <v>#N/A</v>
      </c>
      <c r="FD399" s="138" t="e">
        <f>IF(VLOOKUP(CONCATENATE(H399,F399,FD$2),Ciencias!$A:$H,7,FALSE)=BR399,1,0)</f>
        <v>#N/A</v>
      </c>
      <c r="FE399" s="138" t="e">
        <f>IF(VLOOKUP(CONCATENATE(H399,F399,FE$2),Ciencias!$A:$H,7,FALSE)=BS399,1,0)</f>
        <v>#N/A</v>
      </c>
      <c r="FF399" s="138" t="e">
        <f>IF(VLOOKUP(CONCATENATE(H399,F399,FF$2),Ciencias!$A:$H,7,FALSE)=BT399,1,0)</f>
        <v>#N/A</v>
      </c>
      <c r="FG399" s="138" t="e">
        <f>IF(VLOOKUP(CONCATENATE(H399,F399,FG$2),Ciencias!$A:$H,7,FALSE)=BU399,1,0)</f>
        <v>#N/A</v>
      </c>
      <c r="FH399" s="138" t="e">
        <f>IF(VLOOKUP(CONCATENATE(H399,F399,FH$2),Ciencias!$A:$H,7,FALSE)=BV399,1,0)</f>
        <v>#N/A</v>
      </c>
      <c r="FI399" s="138" t="e">
        <f>IF(VLOOKUP(CONCATENATE(H399,F399,FI$2),Ciencias!$A:$H,7,FALSE)=BW399,1,0)</f>
        <v>#N/A</v>
      </c>
      <c r="FJ399" s="138" t="e">
        <f>IF(VLOOKUP(CONCATENATE(H399,F399,FJ$2),Ciencias!$A:$H,7,FALSE)=BX399,1,0)</f>
        <v>#N/A</v>
      </c>
      <c r="FK399" s="138" t="e">
        <f>IF(VLOOKUP(CONCATENATE(H399,F399,FK$2),Ciencias!$A:$H,7,FALSE)=BY399,1,0)</f>
        <v>#N/A</v>
      </c>
      <c r="FL399" s="138" t="e">
        <f>IF(VLOOKUP(CONCATENATE(H399,F399,FL$2),Ciencias!$A:$H,7,FALSE)=BZ399,1,0)</f>
        <v>#N/A</v>
      </c>
      <c r="FM399" s="138" t="e">
        <f>IF(VLOOKUP(CONCATENATE(H399,F399,FM$2),Ciencias!$A:$H,7,FALSE)=CA399,1,0)</f>
        <v>#N/A</v>
      </c>
      <c r="FN399" s="138" t="e">
        <f>IF(VLOOKUP(CONCATENATE(H399,F399,FN$2),Ciencias!$A:$H,7,FALSE)=CB399,1,0)</f>
        <v>#N/A</v>
      </c>
      <c r="FO399" s="138" t="e">
        <f>IF(VLOOKUP(CONCATENATE(H399,F399,FO$2),Ciencias!$A:$H,7,FALSE)=CC399,1,0)</f>
        <v>#N/A</v>
      </c>
      <c r="FP399" s="138" t="e">
        <f>IF(VLOOKUP(CONCATENATE(H399,F399,FP$2),GeoHis!$A:$H,7,FALSE)=CD399,1,0)</f>
        <v>#N/A</v>
      </c>
      <c r="FQ399" s="138" t="e">
        <f>IF(VLOOKUP(CONCATENATE(H399,F399,FQ$2),GeoHis!$A:$H,7,FALSE)=CE399,1,0)</f>
        <v>#N/A</v>
      </c>
      <c r="FR399" s="138" t="e">
        <f>IF(VLOOKUP(CONCATENATE(H399,F399,FR$2),GeoHis!$A:$H,7,FALSE)=CF399,1,0)</f>
        <v>#N/A</v>
      </c>
      <c r="FS399" s="138" t="e">
        <f>IF(VLOOKUP(CONCATENATE(H399,F399,FS$2),GeoHis!$A:$H,7,FALSE)=CG399,1,0)</f>
        <v>#N/A</v>
      </c>
      <c r="FT399" s="138" t="e">
        <f>IF(VLOOKUP(CONCATENATE(H399,F399,FT$2),GeoHis!$A:$H,7,FALSE)=CH399,1,0)</f>
        <v>#N/A</v>
      </c>
      <c r="FU399" s="138" t="e">
        <f>IF(VLOOKUP(CONCATENATE(H399,F399,FU$2),GeoHis!$A:$H,7,FALSE)=CI399,1,0)</f>
        <v>#N/A</v>
      </c>
      <c r="FV399" s="138" t="e">
        <f>IF(VLOOKUP(CONCATENATE(H399,F399,FV$2),GeoHis!$A:$H,7,FALSE)=CJ399,1,0)</f>
        <v>#N/A</v>
      </c>
      <c r="FW399" s="138" t="e">
        <f>IF(VLOOKUP(CONCATENATE(H399,F399,FW$2),GeoHis!$A:$H,7,FALSE)=CK399,1,0)</f>
        <v>#N/A</v>
      </c>
      <c r="FX399" s="138" t="e">
        <f>IF(VLOOKUP(CONCATENATE(H399,F399,FX$2),GeoHis!$A:$H,7,FALSE)=CL399,1,0)</f>
        <v>#N/A</v>
      </c>
      <c r="FY399" s="138" t="e">
        <f>IF(VLOOKUP(CONCATENATE(H399,F399,FY$2),GeoHis!$A:$H,7,FALSE)=CM399,1,0)</f>
        <v>#N/A</v>
      </c>
      <c r="FZ399" s="138" t="e">
        <f>IF(VLOOKUP(CONCATENATE(H399,F399,FZ$2),GeoHis!$A:$H,7,FALSE)=CN399,1,0)</f>
        <v>#N/A</v>
      </c>
      <c r="GA399" s="138" t="e">
        <f>IF(VLOOKUP(CONCATENATE(H399,F399,GA$2),GeoHis!$A:$H,7,FALSE)=CO399,1,0)</f>
        <v>#N/A</v>
      </c>
      <c r="GB399" s="138" t="e">
        <f>IF(VLOOKUP(CONCATENATE(H399,F399,GB$2),GeoHis!$A:$H,7,FALSE)=CP399,1,0)</f>
        <v>#N/A</v>
      </c>
      <c r="GC399" s="138" t="e">
        <f>IF(VLOOKUP(CONCATENATE(H399,F399,GC$2),GeoHis!$A:$H,7,FALSE)=CQ399,1,0)</f>
        <v>#N/A</v>
      </c>
      <c r="GD399" s="138" t="e">
        <f>IF(VLOOKUP(CONCATENATE(H399,F399,GD$2),GeoHis!$A:$H,7,FALSE)=CR399,1,0)</f>
        <v>#N/A</v>
      </c>
      <c r="GE399" s="135" t="str">
        <f t="shared" si="55"/>
        <v/>
      </c>
    </row>
    <row r="400" spans="1:187" x14ac:dyDescent="0.25">
      <c r="A400" s="127" t="str">
        <f>IF(C400="","",'Datos Generales'!$A$25)</f>
        <v/>
      </c>
      <c r="D400" s="126" t="str">
        <f t="shared" si="48"/>
        <v/>
      </c>
      <c r="E400" s="126">
        <f t="shared" si="49"/>
        <v>0</v>
      </c>
      <c r="F400" s="126" t="str">
        <f t="shared" si="50"/>
        <v/>
      </c>
      <c r="G400" s="126" t="str">
        <f>IF(C400="","",'Datos Generales'!$D$19)</f>
        <v/>
      </c>
      <c r="H400" s="21" t="str">
        <f>IF(C400="","",'Datos Generales'!$A$19)</f>
        <v/>
      </c>
      <c r="I400" s="126" t="str">
        <f>IF(C400="","",'Datos Generales'!$A$7)</f>
        <v/>
      </c>
      <c r="J400" s="21" t="str">
        <f>IF(C400="","",'Datos Generales'!$A$13)</f>
        <v/>
      </c>
      <c r="K400" s="21" t="str">
        <f>IF(C400="","",'Datos Generales'!$A$10)</f>
        <v/>
      </c>
      <c r="CS400" s="142" t="str">
        <f t="shared" si="51"/>
        <v/>
      </c>
      <c r="CT400" s="142" t="str">
        <f t="shared" si="52"/>
        <v/>
      </c>
      <c r="CU400" s="142" t="str">
        <f t="shared" si="53"/>
        <v/>
      </c>
      <c r="CV400" s="142" t="str">
        <f t="shared" si="54"/>
        <v/>
      </c>
      <c r="CW400" s="142" t="str">
        <f>IF(C400="","",IF('Datos Generales'!$A$19=1,AVERAGE(FP400:GD400),AVERAGE(Captura!FP400:FY400)))</f>
        <v/>
      </c>
      <c r="CX400" s="138" t="e">
        <f>IF(VLOOKUP(CONCATENATE($H$4,$F$4,CX$2),Español!$A:$H,7,FALSE)=L400,1,0)</f>
        <v>#N/A</v>
      </c>
      <c r="CY400" s="138" t="e">
        <f>IF(VLOOKUP(CONCATENATE(H400,F400,CY$2),Español!$A:$H,7,FALSE)=M400,1,0)</f>
        <v>#N/A</v>
      </c>
      <c r="CZ400" s="138" t="e">
        <f>IF(VLOOKUP(CONCATENATE(H400,F400,CZ$2),Español!$A:$H,7,FALSE)=N400,1,0)</f>
        <v>#N/A</v>
      </c>
      <c r="DA400" s="138" t="e">
        <f>IF(VLOOKUP(CONCATENATE(H400,F400,DA$2),Español!$A:$H,7,FALSE)=O400,1,0)</f>
        <v>#N/A</v>
      </c>
      <c r="DB400" s="138" t="e">
        <f>IF(VLOOKUP(CONCATENATE(H400,F400,DB$2),Español!$A:$H,7,FALSE)=P400,1,0)</f>
        <v>#N/A</v>
      </c>
      <c r="DC400" s="138" t="e">
        <f>IF(VLOOKUP(CONCATENATE(H400,F400,DC$2),Español!$A:$H,7,FALSE)=Q400,1,0)</f>
        <v>#N/A</v>
      </c>
      <c r="DD400" s="138" t="e">
        <f>IF(VLOOKUP(CONCATENATE(H400,F400,DD$2),Español!$A:$H,7,FALSE)=R400,1,0)</f>
        <v>#N/A</v>
      </c>
      <c r="DE400" s="138" t="e">
        <f>IF(VLOOKUP(CONCATENATE(H400,F400,DE$2),Español!$A:$H,7,FALSE)=S400,1,0)</f>
        <v>#N/A</v>
      </c>
      <c r="DF400" s="138" t="e">
        <f>IF(VLOOKUP(CONCATENATE(H400,F400,DF$2),Español!$A:$H,7,FALSE)=T400,1,0)</f>
        <v>#N/A</v>
      </c>
      <c r="DG400" s="138" t="e">
        <f>IF(VLOOKUP(CONCATENATE(H400,F400,DG$2),Español!$A:$H,7,FALSE)=U400,1,0)</f>
        <v>#N/A</v>
      </c>
      <c r="DH400" s="138" t="e">
        <f>IF(VLOOKUP(CONCATENATE(H400,F400,DH$2),Español!$A:$H,7,FALSE)=V400,1,0)</f>
        <v>#N/A</v>
      </c>
      <c r="DI400" s="138" t="e">
        <f>IF(VLOOKUP(CONCATENATE(H400,F400,DI$2),Español!$A:$H,7,FALSE)=W400,1,0)</f>
        <v>#N/A</v>
      </c>
      <c r="DJ400" s="138" t="e">
        <f>IF(VLOOKUP(CONCATENATE(H400,F400,DJ$2),Español!$A:$H,7,FALSE)=X400,1,0)</f>
        <v>#N/A</v>
      </c>
      <c r="DK400" s="138" t="e">
        <f>IF(VLOOKUP(CONCATENATE(H400,F400,DK$2),Español!$A:$H,7,FALSE)=Y400,1,0)</f>
        <v>#N/A</v>
      </c>
      <c r="DL400" s="138" t="e">
        <f>IF(VLOOKUP(CONCATENATE(H400,F400,DL$2),Español!$A:$H,7,FALSE)=Z400,1,0)</f>
        <v>#N/A</v>
      </c>
      <c r="DM400" s="138" t="e">
        <f>IF(VLOOKUP(CONCATENATE(H400,F400,DM$2),Español!$A:$H,7,FALSE)=AA400,1,0)</f>
        <v>#N/A</v>
      </c>
      <c r="DN400" s="138" t="e">
        <f>IF(VLOOKUP(CONCATENATE(H400,F400,DN$2),Español!$A:$H,7,FALSE)=AB400,1,0)</f>
        <v>#N/A</v>
      </c>
      <c r="DO400" s="138" t="e">
        <f>IF(VLOOKUP(CONCATENATE(H400,F400,DO$2),Español!$A:$H,7,FALSE)=AC400,1,0)</f>
        <v>#N/A</v>
      </c>
      <c r="DP400" s="138" t="e">
        <f>IF(VLOOKUP(CONCATENATE(H400,F400,DP$2),Español!$A:$H,7,FALSE)=AD400,1,0)</f>
        <v>#N/A</v>
      </c>
      <c r="DQ400" s="138" t="e">
        <f>IF(VLOOKUP(CONCATENATE(H400,F400,DQ$2),Español!$A:$H,7,FALSE)=AE400,1,0)</f>
        <v>#N/A</v>
      </c>
      <c r="DR400" s="138" t="e">
        <f>IF(VLOOKUP(CONCATENATE(H400,F400,DR$2),Inglés!$A:$H,7,FALSE)=AF400,1,0)</f>
        <v>#N/A</v>
      </c>
      <c r="DS400" s="138" t="e">
        <f>IF(VLOOKUP(CONCATENATE(H400,F400,DS$2),Inglés!$A:$H,7,FALSE)=AG400,1,0)</f>
        <v>#N/A</v>
      </c>
      <c r="DT400" s="138" t="e">
        <f>IF(VLOOKUP(CONCATENATE(H400,F400,DT$2),Inglés!$A:$H,7,FALSE)=AH400,1,0)</f>
        <v>#N/A</v>
      </c>
      <c r="DU400" s="138" t="e">
        <f>IF(VLOOKUP(CONCATENATE(H400,F400,DU$2),Inglés!$A:$H,7,FALSE)=AI400,1,0)</f>
        <v>#N/A</v>
      </c>
      <c r="DV400" s="138" t="e">
        <f>IF(VLOOKUP(CONCATENATE(H400,F400,DV$2),Inglés!$A:$H,7,FALSE)=AJ400,1,0)</f>
        <v>#N/A</v>
      </c>
      <c r="DW400" s="138" t="e">
        <f>IF(VLOOKUP(CONCATENATE(H400,F400,DW$2),Inglés!$A:$H,7,FALSE)=AK400,1,0)</f>
        <v>#N/A</v>
      </c>
      <c r="DX400" s="138" t="e">
        <f>IF(VLOOKUP(CONCATENATE(H400,F400,DX$2),Inglés!$A:$H,7,FALSE)=AL400,1,0)</f>
        <v>#N/A</v>
      </c>
      <c r="DY400" s="138" t="e">
        <f>IF(VLOOKUP(CONCATENATE(H400,F400,DY$2),Inglés!$A:$H,7,FALSE)=AM400,1,0)</f>
        <v>#N/A</v>
      </c>
      <c r="DZ400" s="138" t="e">
        <f>IF(VLOOKUP(CONCATENATE(H400,F400,DZ$2),Inglés!$A:$H,7,FALSE)=AN400,1,0)</f>
        <v>#N/A</v>
      </c>
      <c r="EA400" s="138" t="e">
        <f>IF(VLOOKUP(CONCATENATE(H400,F400,EA$2),Inglés!$A:$H,7,FALSE)=AO400,1,0)</f>
        <v>#N/A</v>
      </c>
      <c r="EB400" s="138" t="e">
        <f>IF(VLOOKUP(CONCATENATE(H400,F400,EB$2),Matemáticas!$A:$H,7,FALSE)=AP400,1,0)</f>
        <v>#N/A</v>
      </c>
      <c r="EC400" s="138" t="e">
        <f>IF(VLOOKUP(CONCATENATE(H400,F400,EC$2),Matemáticas!$A:$H,7,FALSE)=AQ400,1,0)</f>
        <v>#N/A</v>
      </c>
      <c r="ED400" s="138" t="e">
        <f>IF(VLOOKUP(CONCATENATE(H400,F400,ED$2),Matemáticas!$A:$H,7,FALSE)=AR400,1,0)</f>
        <v>#N/A</v>
      </c>
      <c r="EE400" s="138" t="e">
        <f>IF(VLOOKUP(CONCATENATE(H400,F400,EE$2),Matemáticas!$A:$H,7,FALSE)=AS400,1,0)</f>
        <v>#N/A</v>
      </c>
      <c r="EF400" s="138" t="e">
        <f>IF(VLOOKUP(CONCATENATE(H400,F400,EF$2),Matemáticas!$A:$H,7,FALSE)=AT400,1,0)</f>
        <v>#N/A</v>
      </c>
      <c r="EG400" s="138" t="e">
        <f>IF(VLOOKUP(CONCATENATE(H400,F400,EG$2),Matemáticas!$A:$H,7,FALSE)=AU400,1,0)</f>
        <v>#N/A</v>
      </c>
      <c r="EH400" s="138" t="e">
        <f>IF(VLOOKUP(CONCATENATE(H400,F400,EH$2),Matemáticas!$A:$H,7,FALSE)=AV400,1,0)</f>
        <v>#N/A</v>
      </c>
      <c r="EI400" s="138" t="e">
        <f>IF(VLOOKUP(CONCATENATE(H400,F400,EI$2),Matemáticas!$A:$H,7,FALSE)=AW400,1,0)</f>
        <v>#N/A</v>
      </c>
      <c r="EJ400" s="138" t="e">
        <f>IF(VLOOKUP(CONCATENATE(H400,F400,EJ$2),Matemáticas!$A:$H,7,FALSE)=AX400,1,0)</f>
        <v>#N/A</v>
      </c>
      <c r="EK400" s="138" t="e">
        <f>IF(VLOOKUP(CONCATENATE(H400,F400,EK$2),Matemáticas!$A:$H,7,FALSE)=AY400,1,0)</f>
        <v>#N/A</v>
      </c>
      <c r="EL400" s="138" t="e">
        <f>IF(VLOOKUP(CONCATENATE(H400,F400,EL$2),Matemáticas!$A:$H,7,FALSE)=AZ400,1,0)</f>
        <v>#N/A</v>
      </c>
      <c r="EM400" s="138" t="e">
        <f>IF(VLOOKUP(CONCATENATE(H400,F400,EM$2),Matemáticas!$A:$H,7,FALSE)=BA400,1,0)</f>
        <v>#N/A</v>
      </c>
      <c r="EN400" s="138" t="e">
        <f>IF(VLOOKUP(CONCATENATE(H400,F400,EN$2),Matemáticas!$A:$H,7,FALSE)=BB400,1,0)</f>
        <v>#N/A</v>
      </c>
      <c r="EO400" s="138" t="e">
        <f>IF(VLOOKUP(CONCATENATE(H400,F400,EO$2),Matemáticas!$A:$H,7,FALSE)=BC400,1,0)</f>
        <v>#N/A</v>
      </c>
      <c r="EP400" s="138" t="e">
        <f>IF(VLOOKUP(CONCATENATE(H400,F400,EP$2),Matemáticas!$A:$H,7,FALSE)=BD400,1,0)</f>
        <v>#N/A</v>
      </c>
      <c r="EQ400" s="138" t="e">
        <f>IF(VLOOKUP(CONCATENATE(H400,F400,EQ$2),Matemáticas!$A:$H,7,FALSE)=BE400,1,0)</f>
        <v>#N/A</v>
      </c>
      <c r="ER400" s="138" t="e">
        <f>IF(VLOOKUP(CONCATENATE(H400,F400,ER$2),Matemáticas!$A:$H,7,FALSE)=BF400,1,0)</f>
        <v>#N/A</v>
      </c>
      <c r="ES400" s="138" t="e">
        <f>IF(VLOOKUP(CONCATENATE(H400,F400,ES$2),Matemáticas!$A:$H,7,FALSE)=BG400,1,0)</f>
        <v>#N/A</v>
      </c>
      <c r="ET400" s="138" t="e">
        <f>IF(VLOOKUP(CONCATENATE(H400,F400,ET$2),Matemáticas!$A:$H,7,FALSE)=BH400,1,0)</f>
        <v>#N/A</v>
      </c>
      <c r="EU400" s="138" t="e">
        <f>IF(VLOOKUP(CONCATENATE(H400,F400,EU$2),Matemáticas!$A:$H,7,FALSE)=BI400,1,0)</f>
        <v>#N/A</v>
      </c>
      <c r="EV400" s="138" t="e">
        <f>IF(VLOOKUP(CONCATENATE(H400,F400,EV$2),Ciencias!$A:$H,7,FALSE)=BJ400,1,0)</f>
        <v>#N/A</v>
      </c>
      <c r="EW400" s="138" t="e">
        <f>IF(VLOOKUP(CONCATENATE(H400,F400,EW$2),Ciencias!$A:$H,7,FALSE)=BK400,1,0)</f>
        <v>#N/A</v>
      </c>
      <c r="EX400" s="138" t="e">
        <f>IF(VLOOKUP(CONCATENATE(H400,F400,EX$2),Ciencias!$A:$H,7,FALSE)=BL400,1,0)</f>
        <v>#N/A</v>
      </c>
      <c r="EY400" s="138" t="e">
        <f>IF(VLOOKUP(CONCATENATE(H400,F400,EY$2),Ciencias!$A:$H,7,FALSE)=BM400,1,0)</f>
        <v>#N/A</v>
      </c>
      <c r="EZ400" s="138" t="e">
        <f>IF(VLOOKUP(CONCATENATE(H400,F400,EZ$2),Ciencias!$A:$H,7,FALSE)=BN400,1,0)</f>
        <v>#N/A</v>
      </c>
      <c r="FA400" s="138" t="e">
        <f>IF(VLOOKUP(CONCATENATE(H400,F400,FA$2),Ciencias!$A:$H,7,FALSE)=BO400,1,0)</f>
        <v>#N/A</v>
      </c>
      <c r="FB400" s="138" t="e">
        <f>IF(VLOOKUP(CONCATENATE(H400,F400,FB$2),Ciencias!$A:$H,7,FALSE)=BP400,1,0)</f>
        <v>#N/A</v>
      </c>
      <c r="FC400" s="138" t="e">
        <f>IF(VLOOKUP(CONCATENATE(H400,F400,FC$2),Ciencias!$A:$H,7,FALSE)=BQ400,1,0)</f>
        <v>#N/A</v>
      </c>
      <c r="FD400" s="138" t="e">
        <f>IF(VLOOKUP(CONCATENATE(H400,F400,FD$2),Ciencias!$A:$H,7,FALSE)=BR400,1,0)</f>
        <v>#N/A</v>
      </c>
      <c r="FE400" s="138" t="e">
        <f>IF(VLOOKUP(CONCATENATE(H400,F400,FE$2),Ciencias!$A:$H,7,FALSE)=BS400,1,0)</f>
        <v>#N/A</v>
      </c>
      <c r="FF400" s="138" t="e">
        <f>IF(VLOOKUP(CONCATENATE(H400,F400,FF$2),Ciencias!$A:$H,7,FALSE)=BT400,1,0)</f>
        <v>#N/A</v>
      </c>
      <c r="FG400" s="138" t="e">
        <f>IF(VLOOKUP(CONCATENATE(H400,F400,FG$2),Ciencias!$A:$H,7,FALSE)=BU400,1,0)</f>
        <v>#N/A</v>
      </c>
      <c r="FH400" s="138" t="e">
        <f>IF(VLOOKUP(CONCATENATE(H400,F400,FH$2),Ciencias!$A:$H,7,FALSE)=BV400,1,0)</f>
        <v>#N/A</v>
      </c>
      <c r="FI400" s="138" t="e">
        <f>IF(VLOOKUP(CONCATENATE(H400,F400,FI$2),Ciencias!$A:$H,7,FALSE)=BW400,1,0)</f>
        <v>#N/A</v>
      </c>
      <c r="FJ400" s="138" t="e">
        <f>IF(VLOOKUP(CONCATENATE(H400,F400,FJ$2),Ciencias!$A:$H,7,FALSE)=BX400,1,0)</f>
        <v>#N/A</v>
      </c>
      <c r="FK400" s="138" t="e">
        <f>IF(VLOOKUP(CONCATENATE(H400,F400,FK$2),Ciencias!$A:$H,7,FALSE)=BY400,1,0)</f>
        <v>#N/A</v>
      </c>
      <c r="FL400" s="138" t="e">
        <f>IF(VLOOKUP(CONCATENATE(H400,F400,FL$2),Ciencias!$A:$H,7,FALSE)=BZ400,1,0)</f>
        <v>#N/A</v>
      </c>
      <c r="FM400" s="138" t="e">
        <f>IF(VLOOKUP(CONCATENATE(H400,F400,FM$2),Ciencias!$A:$H,7,FALSE)=CA400,1,0)</f>
        <v>#N/A</v>
      </c>
      <c r="FN400" s="138" t="e">
        <f>IF(VLOOKUP(CONCATENATE(H400,F400,FN$2),Ciencias!$A:$H,7,FALSE)=CB400,1,0)</f>
        <v>#N/A</v>
      </c>
      <c r="FO400" s="138" t="e">
        <f>IF(VLOOKUP(CONCATENATE(H400,F400,FO$2),Ciencias!$A:$H,7,FALSE)=CC400,1,0)</f>
        <v>#N/A</v>
      </c>
      <c r="FP400" s="138" t="e">
        <f>IF(VLOOKUP(CONCATENATE(H400,F400,FP$2),GeoHis!$A:$H,7,FALSE)=CD400,1,0)</f>
        <v>#N/A</v>
      </c>
      <c r="FQ400" s="138" t="e">
        <f>IF(VLOOKUP(CONCATENATE(H400,F400,FQ$2),GeoHis!$A:$H,7,FALSE)=CE400,1,0)</f>
        <v>#N/A</v>
      </c>
      <c r="FR400" s="138" t="e">
        <f>IF(VLOOKUP(CONCATENATE(H400,F400,FR$2),GeoHis!$A:$H,7,FALSE)=CF400,1,0)</f>
        <v>#N/A</v>
      </c>
      <c r="FS400" s="138" t="e">
        <f>IF(VLOOKUP(CONCATENATE(H400,F400,FS$2),GeoHis!$A:$H,7,FALSE)=CG400,1,0)</f>
        <v>#N/A</v>
      </c>
      <c r="FT400" s="138" t="e">
        <f>IF(VLOOKUP(CONCATENATE(H400,F400,FT$2),GeoHis!$A:$H,7,FALSE)=CH400,1,0)</f>
        <v>#N/A</v>
      </c>
      <c r="FU400" s="138" t="e">
        <f>IF(VLOOKUP(CONCATENATE(H400,F400,FU$2),GeoHis!$A:$H,7,FALSE)=CI400,1,0)</f>
        <v>#N/A</v>
      </c>
      <c r="FV400" s="138" t="e">
        <f>IF(VLOOKUP(CONCATENATE(H400,F400,FV$2),GeoHis!$A:$H,7,FALSE)=CJ400,1,0)</f>
        <v>#N/A</v>
      </c>
      <c r="FW400" s="138" t="e">
        <f>IF(VLOOKUP(CONCATENATE(H400,F400,FW$2),GeoHis!$A:$H,7,FALSE)=CK400,1,0)</f>
        <v>#N/A</v>
      </c>
      <c r="FX400" s="138" t="e">
        <f>IF(VLOOKUP(CONCATENATE(H400,F400,FX$2),GeoHis!$A:$H,7,FALSE)=CL400,1,0)</f>
        <v>#N/A</v>
      </c>
      <c r="FY400" s="138" t="e">
        <f>IF(VLOOKUP(CONCATENATE(H400,F400,FY$2),GeoHis!$A:$H,7,FALSE)=CM400,1,0)</f>
        <v>#N/A</v>
      </c>
      <c r="FZ400" s="138" t="e">
        <f>IF(VLOOKUP(CONCATENATE(H400,F400,FZ$2),GeoHis!$A:$H,7,FALSE)=CN400,1,0)</f>
        <v>#N/A</v>
      </c>
      <c r="GA400" s="138" t="e">
        <f>IF(VLOOKUP(CONCATENATE(H400,F400,GA$2),GeoHis!$A:$H,7,FALSE)=CO400,1,0)</f>
        <v>#N/A</v>
      </c>
      <c r="GB400" s="138" t="e">
        <f>IF(VLOOKUP(CONCATENATE(H400,F400,GB$2),GeoHis!$A:$H,7,FALSE)=CP400,1,0)</f>
        <v>#N/A</v>
      </c>
      <c r="GC400" s="138" t="e">
        <f>IF(VLOOKUP(CONCATENATE(H400,F400,GC$2),GeoHis!$A:$H,7,FALSE)=CQ400,1,0)</f>
        <v>#N/A</v>
      </c>
      <c r="GD400" s="138" t="e">
        <f>IF(VLOOKUP(CONCATENATE(H400,F400,GD$2),GeoHis!$A:$H,7,FALSE)=CR400,1,0)</f>
        <v>#N/A</v>
      </c>
      <c r="GE400" s="135" t="str">
        <f t="shared" si="55"/>
        <v/>
      </c>
    </row>
    <row r="401" spans="1:187" x14ac:dyDescent="0.25">
      <c r="A401" s="127" t="str">
        <f>IF(C401="","",'Datos Generales'!$A$25)</f>
        <v/>
      </c>
      <c r="D401" s="126" t="str">
        <f t="shared" si="48"/>
        <v/>
      </c>
      <c r="E401" s="126">
        <f t="shared" si="49"/>
        <v>0</v>
      </c>
      <c r="F401" s="126" t="str">
        <f t="shared" si="50"/>
        <v/>
      </c>
      <c r="G401" s="126" t="str">
        <f>IF(C401="","",'Datos Generales'!$D$19)</f>
        <v/>
      </c>
      <c r="H401" s="21" t="str">
        <f>IF(C401="","",'Datos Generales'!$A$19)</f>
        <v/>
      </c>
      <c r="I401" s="126" t="str">
        <f>IF(C401="","",'Datos Generales'!$A$7)</f>
        <v/>
      </c>
      <c r="J401" s="21" t="str">
        <f>IF(C401="","",'Datos Generales'!$A$13)</f>
        <v/>
      </c>
      <c r="K401" s="21" t="str">
        <f>IF(C401="","",'Datos Generales'!$A$10)</f>
        <v/>
      </c>
      <c r="CS401" s="142" t="str">
        <f t="shared" si="51"/>
        <v/>
      </c>
      <c r="CT401" s="142" t="str">
        <f t="shared" si="52"/>
        <v/>
      </c>
      <c r="CU401" s="142" t="str">
        <f t="shared" si="53"/>
        <v/>
      </c>
      <c r="CV401" s="142" t="str">
        <f t="shared" si="54"/>
        <v/>
      </c>
      <c r="CW401" s="142" t="str">
        <f>IF(C401="","",IF('Datos Generales'!$A$19=1,AVERAGE(FP401:GD401),AVERAGE(Captura!FP401:FY401)))</f>
        <v/>
      </c>
      <c r="CX401" s="138" t="e">
        <f>IF(VLOOKUP(CONCATENATE($H$4,$F$4,CX$2),Español!$A:$H,7,FALSE)=L401,1,0)</f>
        <v>#N/A</v>
      </c>
      <c r="CY401" s="138" t="e">
        <f>IF(VLOOKUP(CONCATENATE(H401,F401,CY$2),Español!$A:$H,7,FALSE)=M401,1,0)</f>
        <v>#N/A</v>
      </c>
      <c r="CZ401" s="138" t="e">
        <f>IF(VLOOKUP(CONCATENATE(H401,F401,CZ$2),Español!$A:$H,7,FALSE)=N401,1,0)</f>
        <v>#N/A</v>
      </c>
      <c r="DA401" s="138" t="e">
        <f>IF(VLOOKUP(CONCATENATE(H401,F401,DA$2),Español!$A:$H,7,FALSE)=O401,1,0)</f>
        <v>#N/A</v>
      </c>
      <c r="DB401" s="138" t="e">
        <f>IF(VLOOKUP(CONCATENATE(H401,F401,DB$2),Español!$A:$H,7,FALSE)=P401,1,0)</f>
        <v>#N/A</v>
      </c>
      <c r="DC401" s="138" t="e">
        <f>IF(VLOOKUP(CONCATENATE(H401,F401,DC$2),Español!$A:$H,7,FALSE)=Q401,1,0)</f>
        <v>#N/A</v>
      </c>
      <c r="DD401" s="138" t="e">
        <f>IF(VLOOKUP(CONCATENATE(H401,F401,DD$2),Español!$A:$H,7,FALSE)=R401,1,0)</f>
        <v>#N/A</v>
      </c>
      <c r="DE401" s="138" t="e">
        <f>IF(VLOOKUP(CONCATENATE(H401,F401,DE$2),Español!$A:$H,7,FALSE)=S401,1,0)</f>
        <v>#N/A</v>
      </c>
      <c r="DF401" s="138" t="e">
        <f>IF(VLOOKUP(CONCATENATE(H401,F401,DF$2),Español!$A:$H,7,FALSE)=T401,1,0)</f>
        <v>#N/A</v>
      </c>
      <c r="DG401" s="138" t="e">
        <f>IF(VLOOKUP(CONCATENATE(H401,F401,DG$2),Español!$A:$H,7,FALSE)=U401,1,0)</f>
        <v>#N/A</v>
      </c>
      <c r="DH401" s="138" t="e">
        <f>IF(VLOOKUP(CONCATENATE(H401,F401,DH$2),Español!$A:$H,7,FALSE)=V401,1,0)</f>
        <v>#N/A</v>
      </c>
      <c r="DI401" s="138" t="e">
        <f>IF(VLOOKUP(CONCATENATE(H401,F401,DI$2),Español!$A:$H,7,FALSE)=W401,1,0)</f>
        <v>#N/A</v>
      </c>
      <c r="DJ401" s="138" t="e">
        <f>IF(VLOOKUP(CONCATENATE(H401,F401,DJ$2),Español!$A:$H,7,FALSE)=X401,1,0)</f>
        <v>#N/A</v>
      </c>
      <c r="DK401" s="138" t="e">
        <f>IF(VLOOKUP(CONCATENATE(H401,F401,DK$2),Español!$A:$H,7,FALSE)=Y401,1,0)</f>
        <v>#N/A</v>
      </c>
      <c r="DL401" s="138" t="e">
        <f>IF(VLOOKUP(CONCATENATE(H401,F401,DL$2),Español!$A:$H,7,FALSE)=Z401,1,0)</f>
        <v>#N/A</v>
      </c>
      <c r="DM401" s="138" t="e">
        <f>IF(VLOOKUP(CONCATENATE(H401,F401,DM$2),Español!$A:$H,7,FALSE)=AA401,1,0)</f>
        <v>#N/A</v>
      </c>
      <c r="DN401" s="138" t="e">
        <f>IF(VLOOKUP(CONCATENATE(H401,F401,DN$2),Español!$A:$H,7,FALSE)=AB401,1,0)</f>
        <v>#N/A</v>
      </c>
      <c r="DO401" s="138" t="e">
        <f>IF(VLOOKUP(CONCATENATE(H401,F401,DO$2),Español!$A:$H,7,FALSE)=AC401,1,0)</f>
        <v>#N/A</v>
      </c>
      <c r="DP401" s="138" t="e">
        <f>IF(VLOOKUP(CONCATENATE(H401,F401,DP$2),Español!$A:$H,7,FALSE)=AD401,1,0)</f>
        <v>#N/A</v>
      </c>
      <c r="DQ401" s="138" t="e">
        <f>IF(VLOOKUP(CONCATENATE(H401,F401,DQ$2),Español!$A:$H,7,FALSE)=AE401,1,0)</f>
        <v>#N/A</v>
      </c>
      <c r="DR401" s="138" t="e">
        <f>IF(VLOOKUP(CONCATENATE(H401,F401,DR$2),Inglés!$A:$H,7,FALSE)=AF401,1,0)</f>
        <v>#N/A</v>
      </c>
      <c r="DS401" s="138" t="e">
        <f>IF(VLOOKUP(CONCATENATE(H401,F401,DS$2),Inglés!$A:$H,7,FALSE)=AG401,1,0)</f>
        <v>#N/A</v>
      </c>
      <c r="DT401" s="138" t="e">
        <f>IF(VLOOKUP(CONCATENATE(H401,F401,DT$2),Inglés!$A:$H,7,FALSE)=AH401,1,0)</f>
        <v>#N/A</v>
      </c>
      <c r="DU401" s="138" t="e">
        <f>IF(VLOOKUP(CONCATENATE(H401,F401,DU$2),Inglés!$A:$H,7,FALSE)=AI401,1,0)</f>
        <v>#N/A</v>
      </c>
      <c r="DV401" s="138" t="e">
        <f>IF(VLOOKUP(CONCATENATE(H401,F401,DV$2),Inglés!$A:$H,7,FALSE)=AJ401,1,0)</f>
        <v>#N/A</v>
      </c>
      <c r="DW401" s="138" t="e">
        <f>IF(VLOOKUP(CONCATENATE(H401,F401,DW$2),Inglés!$A:$H,7,FALSE)=AK401,1,0)</f>
        <v>#N/A</v>
      </c>
      <c r="DX401" s="138" t="e">
        <f>IF(VLOOKUP(CONCATENATE(H401,F401,DX$2),Inglés!$A:$H,7,FALSE)=AL401,1,0)</f>
        <v>#N/A</v>
      </c>
      <c r="DY401" s="138" t="e">
        <f>IF(VLOOKUP(CONCATENATE(H401,F401,DY$2),Inglés!$A:$H,7,FALSE)=AM401,1,0)</f>
        <v>#N/A</v>
      </c>
      <c r="DZ401" s="138" t="e">
        <f>IF(VLOOKUP(CONCATENATE(H401,F401,DZ$2),Inglés!$A:$H,7,FALSE)=AN401,1,0)</f>
        <v>#N/A</v>
      </c>
      <c r="EA401" s="138" t="e">
        <f>IF(VLOOKUP(CONCATENATE(H401,F401,EA$2),Inglés!$A:$H,7,FALSE)=AO401,1,0)</f>
        <v>#N/A</v>
      </c>
      <c r="EB401" s="138" t="e">
        <f>IF(VLOOKUP(CONCATENATE(H401,F401,EB$2),Matemáticas!$A:$H,7,FALSE)=AP401,1,0)</f>
        <v>#N/A</v>
      </c>
      <c r="EC401" s="138" t="e">
        <f>IF(VLOOKUP(CONCATENATE(H401,F401,EC$2),Matemáticas!$A:$H,7,FALSE)=AQ401,1,0)</f>
        <v>#N/A</v>
      </c>
      <c r="ED401" s="138" t="e">
        <f>IF(VLOOKUP(CONCATENATE(H401,F401,ED$2),Matemáticas!$A:$H,7,FALSE)=AR401,1,0)</f>
        <v>#N/A</v>
      </c>
      <c r="EE401" s="138" t="e">
        <f>IF(VLOOKUP(CONCATENATE(H401,F401,EE$2),Matemáticas!$A:$H,7,FALSE)=AS401,1,0)</f>
        <v>#N/A</v>
      </c>
      <c r="EF401" s="138" t="e">
        <f>IF(VLOOKUP(CONCATENATE(H401,F401,EF$2),Matemáticas!$A:$H,7,FALSE)=AT401,1,0)</f>
        <v>#N/A</v>
      </c>
      <c r="EG401" s="138" t="e">
        <f>IF(VLOOKUP(CONCATENATE(H401,F401,EG$2),Matemáticas!$A:$H,7,FALSE)=AU401,1,0)</f>
        <v>#N/A</v>
      </c>
      <c r="EH401" s="138" t="e">
        <f>IF(VLOOKUP(CONCATENATE(H401,F401,EH$2),Matemáticas!$A:$H,7,FALSE)=AV401,1,0)</f>
        <v>#N/A</v>
      </c>
      <c r="EI401" s="138" t="e">
        <f>IF(VLOOKUP(CONCATENATE(H401,F401,EI$2),Matemáticas!$A:$H,7,FALSE)=AW401,1,0)</f>
        <v>#N/A</v>
      </c>
      <c r="EJ401" s="138" t="e">
        <f>IF(VLOOKUP(CONCATENATE(H401,F401,EJ$2),Matemáticas!$A:$H,7,FALSE)=AX401,1,0)</f>
        <v>#N/A</v>
      </c>
      <c r="EK401" s="138" t="e">
        <f>IF(VLOOKUP(CONCATENATE(H401,F401,EK$2),Matemáticas!$A:$H,7,FALSE)=AY401,1,0)</f>
        <v>#N/A</v>
      </c>
      <c r="EL401" s="138" t="e">
        <f>IF(VLOOKUP(CONCATENATE(H401,F401,EL$2),Matemáticas!$A:$H,7,FALSE)=AZ401,1,0)</f>
        <v>#N/A</v>
      </c>
      <c r="EM401" s="138" t="e">
        <f>IF(VLOOKUP(CONCATENATE(H401,F401,EM$2),Matemáticas!$A:$H,7,FALSE)=BA401,1,0)</f>
        <v>#N/A</v>
      </c>
      <c r="EN401" s="138" t="e">
        <f>IF(VLOOKUP(CONCATENATE(H401,F401,EN$2),Matemáticas!$A:$H,7,FALSE)=BB401,1,0)</f>
        <v>#N/A</v>
      </c>
      <c r="EO401" s="138" t="e">
        <f>IF(VLOOKUP(CONCATENATE(H401,F401,EO$2),Matemáticas!$A:$H,7,FALSE)=BC401,1,0)</f>
        <v>#N/A</v>
      </c>
      <c r="EP401" s="138" t="e">
        <f>IF(VLOOKUP(CONCATENATE(H401,F401,EP$2),Matemáticas!$A:$H,7,FALSE)=BD401,1,0)</f>
        <v>#N/A</v>
      </c>
      <c r="EQ401" s="138" t="e">
        <f>IF(VLOOKUP(CONCATENATE(H401,F401,EQ$2),Matemáticas!$A:$H,7,FALSE)=BE401,1,0)</f>
        <v>#N/A</v>
      </c>
      <c r="ER401" s="138" t="e">
        <f>IF(VLOOKUP(CONCATENATE(H401,F401,ER$2),Matemáticas!$A:$H,7,FALSE)=BF401,1,0)</f>
        <v>#N/A</v>
      </c>
      <c r="ES401" s="138" t="e">
        <f>IF(VLOOKUP(CONCATENATE(H401,F401,ES$2),Matemáticas!$A:$H,7,FALSE)=BG401,1,0)</f>
        <v>#N/A</v>
      </c>
      <c r="ET401" s="138" t="e">
        <f>IF(VLOOKUP(CONCATENATE(H401,F401,ET$2),Matemáticas!$A:$H,7,FALSE)=BH401,1,0)</f>
        <v>#N/A</v>
      </c>
      <c r="EU401" s="138" t="e">
        <f>IF(VLOOKUP(CONCATENATE(H401,F401,EU$2),Matemáticas!$A:$H,7,FALSE)=BI401,1,0)</f>
        <v>#N/A</v>
      </c>
      <c r="EV401" s="138" t="e">
        <f>IF(VLOOKUP(CONCATENATE(H401,F401,EV$2),Ciencias!$A:$H,7,FALSE)=BJ401,1,0)</f>
        <v>#N/A</v>
      </c>
      <c r="EW401" s="138" t="e">
        <f>IF(VLOOKUP(CONCATENATE(H401,F401,EW$2),Ciencias!$A:$H,7,FALSE)=BK401,1,0)</f>
        <v>#N/A</v>
      </c>
      <c r="EX401" s="138" t="e">
        <f>IF(VLOOKUP(CONCATENATE(H401,F401,EX$2),Ciencias!$A:$H,7,FALSE)=BL401,1,0)</f>
        <v>#N/A</v>
      </c>
      <c r="EY401" s="138" t="e">
        <f>IF(VLOOKUP(CONCATENATE(H401,F401,EY$2),Ciencias!$A:$H,7,FALSE)=BM401,1,0)</f>
        <v>#N/A</v>
      </c>
      <c r="EZ401" s="138" t="e">
        <f>IF(VLOOKUP(CONCATENATE(H401,F401,EZ$2),Ciencias!$A:$H,7,FALSE)=BN401,1,0)</f>
        <v>#N/A</v>
      </c>
      <c r="FA401" s="138" t="e">
        <f>IF(VLOOKUP(CONCATENATE(H401,F401,FA$2),Ciencias!$A:$H,7,FALSE)=BO401,1,0)</f>
        <v>#N/A</v>
      </c>
      <c r="FB401" s="138" t="e">
        <f>IF(VLOOKUP(CONCATENATE(H401,F401,FB$2),Ciencias!$A:$H,7,FALSE)=BP401,1,0)</f>
        <v>#N/A</v>
      </c>
      <c r="FC401" s="138" t="e">
        <f>IF(VLOOKUP(CONCATENATE(H401,F401,FC$2),Ciencias!$A:$H,7,FALSE)=BQ401,1,0)</f>
        <v>#N/A</v>
      </c>
      <c r="FD401" s="138" t="e">
        <f>IF(VLOOKUP(CONCATENATE(H401,F401,FD$2),Ciencias!$A:$H,7,FALSE)=BR401,1,0)</f>
        <v>#N/A</v>
      </c>
      <c r="FE401" s="138" t="e">
        <f>IF(VLOOKUP(CONCATENATE(H401,F401,FE$2),Ciencias!$A:$H,7,FALSE)=BS401,1,0)</f>
        <v>#N/A</v>
      </c>
      <c r="FF401" s="138" t="e">
        <f>IF(VLOOKUP(CONCATENATE(H401,F401,FF$2),Ciencias!$A:$H,7,FALSE)=BT401,1,0)</f>
        <v>#N/A</v>
      </c>
      <c r="FG401" s="138" t="e">
        <f>IF(VLOOKUP(CONCATENATE(H401,F401,FG$2),Ciencias!$A:$H,7,FALSE)=BU401,1,0)</f>
        <v>#N/A</v>
      </c>
      <c r="FH401" s="138" t="e">
        <f>IF(VLOOKUP(CONCATENATE(H401,F401,FH$2),Ciencias!$A:$H,7,FALSE)=BV401,1,0)</f>
        <v>#N/A</v>
      </c>
      <c r="FI401" s="138" t="e">
        <f>IF(VLOOKUP(CONCATENATE(H401,F401,FI$2),Ciencias!$A:$H,7,FALSE)=BW401,1,0)</f>
        <v>#N/A</v>
      </c>
      <c r="FJ401" s="138" t="e">
        <f>IF(VLOOKUP(CONCATENATE(H401,F401,FJ$2),Ciencias!$A:$H,7,FALSE)=BX401,1,0)</f>
        <v>#N/A</v>
      </c>
      <c r="FK401" s="138" t="e">
        <f>IF(VLOOKUP(CONCATENATE(H401,F401,FK$2),Ciencias!$A:$H,7,FALSE)=BY401,1,0)</f>
        <v>#N/A</v>
      </c>
      <c r="FL401" s="138" t="e">
        <f>IF(VLOOKUP(CONCATENATE(H401,F401,FL$2),Ciencias!$A:$H,7,FALSE)=BZ401,1,0)</f>
        <v>#N/A</v>
      </c>
      <c r="FM401" s="138" t="e">
        <f>IF(VLOOKUP(CONCATENATE(H401,F401,FM$2),Ciencias!$A:$H,7,FALSE)=CA401,1,0)</f>
        <v>#N/A</v>
      </c>
      <c r="FN401" s="138" t="e">
        <f>IF(VLOOKUP(CONCATENATE(H401,F401,FN$2),Ciencias!$A:$H,7,FALSE)=CB401,1,0)</f>
        <v>#N/A</v>
      </c>
      <c r="FO401" s="138" t="e">
        <f>IF(VLOOKUP(CONCATENATE(H401,F401,FO$2),Ciencias!$A:$H,7,FALSE)=CC401,1,0)</f>
        <v>#N/A</v>
      </c>
      <c r="FP401" s="138" t="e">
        <f>IF(VLOOKUP(CONCATENATE(H401,F401,FP$2),GeoHis!$A:$H,7,FALSE)=CD401,1,0)</f>
        <v>#N/A</v>
      </c>
      <c r="FQ401" s="138" t="e">
        <f>IF(VLOOKUP(CONCATENATE(H401,F401,FQ$2),GeoHis!$A:$H,7,FALSE)=CE401,1,0)</f>
        <v>#N/A</v>
      </c>
      <c r="FR401" s="138" t="e">
        <f>IF(VLOOKUP(CONCATENATE(H401,F401,FR$2),GeoHis!$A:$H,7,FALSE)=CF401,1,0)</f>
        <v>#N/A</v>
      </c>
      <c r="FS401" s="138" t="e">
        <f>IF(VLOOKUP(CONCATENATE(H401,F401,FS$2),GeoHis!$A:$H,7,FALSE)=CG401,1,0)</f>
        <v>#N/A</v>
      </c>
      <c r="FT401" s="138" t="e">
        <f>IF(VLOOKUP(CONCATENATE(H401,F401,FT$2),GeoHis!$A:$H,7,FALSE)=CH401,1,0)</f>
        <v>#N/A</v>
      </c>
      <c r="FU401" s="138" t="e">
        <f>IF(VLOOKUP(CONCATENATE(H401,F401,FU$2),GeoHis!$A:$H,7,FALSE)=CI401,1,0)</f>
        <v>#N/A</v>
      </c>
      <c r="FV401" s="138" t="e">
        <f>IF(VLOOKUP(CONCATENATE(H401,F401,FV$2),GeoHis!$A:$H,7,FALSE)=CJ401,1,0)</f>
        <v>#N/A</v>
      </c>
      <c r="FW401" s="138" t="e">
        <f>IF(VLOOKUP(CONCATENATE(H401,F401,FW$2),GeoHis!$A:$H,7,FALSE)=CK401,1,0)</f>
        <v>#N/A</v>
      </c>
      <c r="FX401" s="138" t="e">
        <f>IF(VLOOKUP(CONCATENATE(H401,F401,FX$2),GeoHis!$A:$H,7,FALSE)=CL401,1,0)</f>
        <v>#N/A</v>
      </c>
      <c r="FY401" s="138" t="e">
        <f>IF(VLOOKUP(CONCATENATE(H401,F401,FY$2),GeoHis!$A:$H,7,FALSE)=CM401,1,0)</f>
        <v>#N/A</v>
      </c>
      <c r="FZ401" s="138" t="e">
        <f>IF(VLOOKUP(CONCATENATE(H401,F401,FZ$2),GeoHis!$A:$H,7,FALSE)=CN401,1,0)</f>
        <v>#N/A</v>
      </c>
      <c r="GA401" s="138" t="e">
        <f>IF(VLOOKUP(CONCATENATE(H401,F401,GA$2),GeoHis!$A:$H,7,FALSE)=CO401,1,0)</f>
        <v>#N/A</v>
      </c>
      <c r="GB401" s="138" t="e">
        <f>IF(VLOOKUP(CONCATENATE(H401,F401,GB$2),GeoHis!$A:$H,7,FALSE)=CP401,1,0)</f>
        <v>#N/A</v>
      </c>
      <c r="GC401" s="138" t="e">
        <f>IF(VLOOKUP(CONCATENATE(H401,F401,GC$2),GeoHis!$A:$H,7,FALSE)=CQ401,1,0)</f>
        <v>#N/A</v>
      </c>
      <c r="GD401" s="138" t="e">
        <f>IF(VLOOKUP(CONCATENATE(H401,F401,GD$2),GeoHis!$A:$H,7,FALSE)=CR401,1,0)</f>
        <v>#N/A</v>
      </c>
      <c r="GE401" s="135" t="str">
        <f t="shared" si="55"/>
        <v/>
      </c>
    </row>
    <row r="402" spans="1:187" x14ac:dyDescent="0.25">
      <c r="A402" s="127" t="str">
        <f>IF(C402="","",'Datos Generales'!$A$25)</f>
        <v/>
      </c>
      <c r="D402" s="126" t="str">
        <f t="shared" si="48"/>
        <v/>
      </c>
      <c r="E402" s="126">
        <f t="shared" si="49"/>
        <v>0</v>
      </c>
      <c r="F402" s="126" t="str">
        <f t="shared" si="50"/>
        <v/>
      </c>
      <c r="G402" s="126" t="str">
        <f>IF(C402="","",'Datos Generales'!$D$19)</f>
        <v/>
      </c>
      <c r="H402" s="21" t="str">
        <f>IF(C402="","",'Datos Generales'!$A$19)</f>
        <v/>
      </c>
      <c r="I402" s="126" t="str">
        <f>IF(C402="","",'Datos Generales'!$A$7)</f>
        <v/>
      </c>
      <c r="J402" s="21" t="str">
        <f>IF(C402="","",'Datos Generales'!$A$13)</f>
        <v/>
      </c>
      <c r="K402" s="21" t="str">
        <f>IF(C402="","",'Datos Generales'!$A$10)</f>
        <v/>
      </c>
      <c r="CS402" s="142" t="str">
        <f t="shared" si="51"/>
        <v/>
      </c>
      <c r="CT402" s="142" t="str">
        <f t="shared" si="52"/>
        <v/>
      </c>
      <c r="CU402" s="142" t="str">
        <f t="shared" si="53"/>
        <v/>
      </c>
      <c r="CV402" s="142" t="str">
        <f t="shared" si="54"/>
        <v/>
      </c>
      <c r="CW402" s="142" t="str">
        <f>IF(C402="","",IF('Datos Generales'!$A$19=1,AVERAGE(FP402:GD402),AVERAGE(Captura!FP402:FY402)))</f>
        <v/>
      </c>
      <c r="CX402" s="138" t="e">
        <f>IF(VLOOKUP(CONCATENATE($H$4,$F$4,CX$2),Español!$A:$H,7,FALSE)=L402,1,0)</f>
        <v>#N/A</v>
      </c>
      <c r="CY402" s="138" t="e">
        <f>IF(VLOOKUP(CONCATENATE(H402,F402,CY$2),Español!$A:$H,7,FALSE)=M402,1,0)</f>
        <v>#N/A</v>
      </c>
      <c r="CZ402" s="138" t="e">
        <f>IF(VLOOKUP(CONCATENATE(H402,F402,CZ$2),Español!$A:$H,7,FALSE)=N402,1,0)</f>
        <v>#N/A</v>
      </c>
      <c r="DA402" s="138" t="e">
        <f>IF(VLOOKUP(CONCATENATE(H402,F402,DA$2),Español!$A:$H,7,FALSE)=O402,1,0)</f>
        <v>#N/A</v>
      </c>
      <c r="DB402" s="138" t="e">
        <f>IF(VLOOKUP(CONCATENATE(H402,F402,DB$2),Español!$A:$H,7,FALSE)=P402,1,0)</f>
        <v>#N/A</v>
      </c>
      <c r="DC402" s="138" t="e">
        <f>IF(VLOOKUP(CONCATENATE(H402,F402,DC$2),Español!$A:$H,7,FALSE)=Q402,1,0)</f>
        <v>#N/A</v>
      </c>
      <c r="DD402" s="138" t="e">
        <f>IF(VLOOKUP(CONCATENATE(H402,F402,DD$2),Español!$A:$H,7,FALSE)=R402,1,0)</f>
        <v>#N/A</v>
      </c>
      <c r="DE402" s="138" t="e">
        <f>IF(VLOOKUP(CONCATENATE(H402,F402,DE$2),Español!$A:$H,7,FALSE)=S402,1,0)</f>
        <v>#N/A</v>
      </c>
      <c r="DF402" s="138" t="e">
        <f>IF(VLOOKUP(CONCATENATE(H402,F402,DF$2),Español!$A:$H,7,FALSE)=T402,1,0)</f>
        <v>#N/A</v>
      </c>
      <c r="DG402" s="138" t="e">
        <f>IF(VLOOKUP(CONCATENATE(H402,F402,DG$2),Español!$A:$H,7,FALSE)=U402,1,0)</f>
        <v>#N/A</v>
      </c>
      <c r="DH402" s="138" t="e">
        <f>IF(VLOOKUP(CONCATENATE(H402,F402,DH$2),Español!$A:$H,7,FALSE)=V402,1,0)</f>
        <v>#N/A</v>
      </c>
      <c r="DI402" s="138" t="e">
        <f>IF(VLOOKUP(CONCATENATE(H402,F402,DI$2),Español!$A:$H,7,FALSE)=W402,1,0)</f>
        <v>#N/A</v>
      </c>
      <c r="DJ402" s="138" t="e">
        <f>IF(VLOOKUP(CONCATENATE(H402,F402,DJ$2),Español!$A:$H,7,FALSE)=X402,1,0)</f>
        <v>#N/A</v>
      </c>
      <c r="DK402" s="138" t="e">
        <f>IF(VLOOKUP(CONCATENATE(H402,F402,DK$2),Español!$A:$H,7,FALSE)=Y402,1,0)</f>
        <v>#N/A</v>
      </c>
      <c r="DL402" s="138" t="e">
        <f>IF(VLOOKUP(CONCATENATE(H402,F402,DL$2),Español!$A:$H,7,FALSE)=Z402,1,0)</f>
        <v>#N/A</v>
      </c>
      <c r="DM402" s="138" t="e">
        <f>IF(VLOOKUP(CONCATENATE(H402,F402,DM$2),Español!$A:$H,7,FALSE)=AA402,1,0)</f>
        <v>#N/A</v>
      </c>
      <c r="DN402" s="138" t="e">
        <f>IF(VLOOKUP(CONCATENATE(H402,F402,DN$2),Español!$A:$H,7,FALSE)=AB402,1,0)</f>
        <v>#N/A</v>
      </c>
      <c r="DO402" s="138" t="e">
        <f>IF(VLOOKUP(CONCATENATE(H402,F402,DO$2),Español!$A:$H,7,FALSE)=AC402,1,0)</f>
        <v>#N/A</v>
      </c>
      <c r="DP402" s="138" t="e">
        <f>IF(VLOOKUP(CONCATENATE(H402,F402,DP$2),Español!$A:$H,7,FALSE)=AD402,1,0)</f>
        <v>#N/A</v>
      </c>
      <c r="DQ402" s="138" t="e">
        <f>IF(VLOOKUP(CONCATENATE(H402,F402,DQ$2),Español!$A:$H,7,FALSE)=AE402,1,0)</f>
        <v>#N/A</v>
      </c>
      <c r="DR402" s="138" t="e">
        <f>IF(VLOOKUP(CONCATENATE(H402,F402,DR$2),Inglés!$A:$H,7,FALSE)=AF402,1,0)</f>
        <v>#N/A</v>
      </c>
      <c r="DS402" s="138" t="e">
        <f>IF(VLOOKUP(CONCATENATE(H402,F402,DS$2),Inglés!$A:$H,7,FALSE)=AG402,1,0)</f>
        <v>#N/A</v>
      </c>
      <c r="DT402" s="138" t="e">
        <f>IF(VLOOKUP(CONCATENATE(H402,F402,DT$2),Inglés!$A:$H,7,FALSE)=AH402,1,0)</f>
        <v>#N/A</v>
      </c>
      <c r="DU402" s="138" t="e">
        <f>IF(VLOOKUP(CONCATENATE(H402,F402,DU$2),Inglés!$A:$H,7,FALSE)=AI402,1,0)</f>
        <v>#N/A</v>
      </c>
      <c r="DV402" s="138" t="e">
        <f>IF(VLOOKUP(CONCATENATE(H402,F402,DV$2),Inglés!$A:$H,7,FALSE)=AJ402,1,0)</f>
        <v>#N/A</v>
      </c>
      <c r="DW402" s="138" t="e">
        <f>IF(VLOOKUP(CONCATENATE(H402,F402,DW$2),Inglés!$A:$H,7,FALSE)=AK402,1,0)</f>
        <v>#N/A</v>
      </c>
      <c r="DX402" s="138" t="e">
        <f>IF(VLOOKUP(CONCATENATE(H402,F402,DX$2),Inglés!$A:$H,7,FALSE)=AL402,1,0)</f>
        <v>#N/A</v>
      </c>
      <c r="DY402" s="138" t="e">
        <f>IF(VLOOKUP(CONCATENATE(H402,F402,DY$2),Inglés!$A:$H,7,FALSE)=AM402,1,0)</f>
        <v>#N/A</v>
      </c>
      <c r="DZ402" s="138" t="e">
        <f>IF(VLOOKUP(CONCATENATE(H402,F402,DZ$2),Inglés!$A:$H,7,FALSE)=AN402,1,0)</f>
        <v>#N/A</v>
      </c>
      <c r="EA402" s="138" t="e">
        <f>IF(VLOOKUP(CONCATENATE(H402,F402,EA$2),Inglés!$A:$H,7,FALSE)=AO402,1,0)</f>
        <v>#N/A</v>
      </c>
      <c r="EB402" s="138" t="e">
        <f>IF(VLOOKUP(CONCATENATE(H402,F402,EB$2),Matemáticas!$A:$H,7,FALSE)=AP402,1,0)</f>
        <v>#N/A</v>
      </c>
      <c r="EC402" s="138" t="e">
        <f>IF(VLOOKUP(CONCATENATE(H402,F402,EC$2),Matemáticas!$A:$H,7,FALSE)=AQ402,1,0)</f>
        <v>#N/A</v>
      </c>
      <c r="ED402" s="138" t="e">
        <f>IF(VLOOKUP(CONCATENATE(H402,F402,ED$2),Matemáticas!$A:$H,7,FALSE)=AR402,1,0)</f>
        <v>#N/A</v>
      </c>
      <c r="EE402" s="138" t="e">
        <f>IF(VLOOKUP(CONCATENATE(H402,F402,EE$2),Matemáticas!$A:$H,7,FALSE)=AS402,1,0)</f>
        <v>#N/A</v>
      </c>
      <c r="EF402" s="138" t="e">
        <f>IF(VLOOKUP(CONCATENATE(H402,F402,EF$2),Matemáticas!$A:$H,7,FALSE)=AT402,1,0)</f>
        <v>#N/A</v>
      </c>
      <c r="EG402" s="138" t="e">
        <f>IF(VLOOKUP(CONCATENATE(H402,F402,EG$2),Matemáticas!$A:$H,7,FALSE)=AU402,1,0)</f>
        <v>#N/A</v>
      </c>
      <c r="EH402" s="138" t="e">
        <f>IF(VLOOKUP(CONCATENATE(H402,F402,EH$2),Matemáticas!$A:$H,7,FALSE)=AV402,1,0)</f>
        <v>#N/A</v>
      </c>
      <c r="EI402" s="138" t="e">
        <f>IF(VLOOKUP(CONCATENATE(H402,F402,EI$2),Matemáticas!$A:$H,7,FALSE)=AW402,1,0)</f>
        <v>#N/A</v>
      </c>
      <c r="EJ402" s="138" t="e">
        <f>IF(VLOOKUP(CONCATENATE(H402,F402,EJ$2),Matemáticas!$A:$H,7,FALSE)=AX402,1,0)</f>
        <v>#N/A</v>
      </c>
      <c r="EK402" s="138" t="e">
        <f>IF(VLOOKUP(CONCATENATE(H402,F402,EK$2),Matemáticas!$A:$H,7,FALSE)=AY402,1,0)</f>
        <v>#N/A</v>
      </c>
      <c r="EL402" s="138" t="e">
        <f>IF(VLOOKUP(CONCATENATE(H402,F402,EL$2),Matemáticas!$A:$H,7,FALSE)=AZ402,1,0)</f>
        <v>#N/A</v>
      </c>
      <c r="EM402" s="138" t="e">
        <f>IF(VLOOKUP(CONCATENATE(H402,F402,EM$2),Matemáticas!$A:$H,7,FALSE)=BA402,1,0)</f>
        <v>#N/A</v>
      </c>
      <c r="EN402" s="138" t="e">
        <f>IF(VLOOKUP(CONCATENATE(H402,F402,EN$2),Matemáticas!$A:$H,7,FALSE)=BB402,1,0)</f>
        <v>#N/A</v>
      </c>
      <c r="EO402" s="138" t="e">
        <f>IF(VLOOKUP(CONCATENATE(H402,F402,EO$2),Matemáticas!$A:$H,7,FALSE)=BC402,1,0)</f>
        <v>#N/A</v>
      </c>
      <c r="EP402" s="138" t="e">
        <f>IF(VLOOKUP(CONCATENATE(H402,F402,EP$2),Matemáticas!$A:$H,7,FALSE)=BD402,1,0)</f>
        <v>#N/A</v>
      </c>
      <c r="EQ402" s="138" t="e">
        <f>IF(VLOOKUP(CONCATENATE(H402,F402,EQ$2),Matemáticas!$A:$H,7,FALSE)=BE402,1,0)</f>
        <v>#N/A</v>
      </c>
      <c r="ER402" s="138" t="e">
        <f>IF(VLOOKUP(CONCATENATE(H402,F402,ER$2),Matemáticas!$A:$H,7,FALSE)=BF402,1,0)</f>
        <v>#N/A</v>
      </c>
      <c r="ES402" s="138" t="e">
        <f>IF(VLOOKUP(CONCATENATE(H402,F402,ES$2),Matemáticas!$A:$H,7,FALSE)=BG402,1,0)</f>
        <v>#N/A</v>
      </c>
      <c r="ET402" s="138" t="e">
        <f>IF(VLOOKUP(CONCATENATE(H402,F402,ET$2),Matemáticas!$A:$H,7,FALSE)=BH402,1,0)</f>
        <v>#N/A</v>
      </c>
      <c r="EU402" s="138" t="e">
        <f>IF(VLOOKUP(CONCATENATE(H402,F402,EU$2),Matemáticas!$A:$H,7,FALSE)=BI402,1,0)</f>
        <v>#N/A</v>
      </c>
      <c r="EV402" s="138" t="e">
        <f>IF(VLOOKUP(CONCATENATE(H402,F402,EV$2),Ciencias!$A:$H,7,FALSE)=BJ402,1,0)</f>
        <v>#N/A</v>
      </c>
      <c r="EW402" s="138" t="e">
        <f>IF(VLOOKUP(CONCATENATE(H402,F402,EW$2),Ciencias!$A:$H,7,FALSE)=BK402,1,0)</f>
        <v>#N/A</v>
      </c>
      <c r="EX402" s="138" t="e">
        <f>IF(VLOOKUP(CONCATENATE(H402,F402,EX$2),Ciencias!$A:$H,7,FALSE)=BL402,1,0)</f>
        <v>#N/A</v>
      </c>
      <c r="EY402" s="138" t="e">
        <f>IF(VLOOKUP(CONCATENATE(H402,F402,EY$2),Ciencias!$A:$H,7,FALSE)=BM402,1,0)</f>
        <v>#N/A</v>
      </c>
      <c r="EZ402" s="138" t="e">
        <f>IF(VLOOKUP(CONCATENATE(H402,F402,EZ$2),Ciencias!$A:$H,7,FALSE)=BN402,1,0)</f>
        <v>#N/A</v>
      </c>
      <c r="FA402" s="138" t="e">
        <f>IF(VLOOKUP(CONCATENATE(H402,F402,FA$2),Ciencias!$A:$H,7,FALSE)=BO402,1,0)</f>
        <v>#N/A</v>
      </c>
      <c r="FB402" s="138" t="e">
        <f>IF(VLOOKUP(CONCATENATE(H402,F402,FB$2),Ciencias!$A:$H,7,FALSE)=BP402,1,0)</f>
        <v>#N/A</v>
      </c>
      <c r="FC402" s="138" t="e">
        <f>IF(VLOOKUP(CONCATENATE(H402,F402,FC$2),Ciencias!$A:$H,7,FALSE)=BQ402,1,0)</f>
        <v>#N/A</v>
      </c>
      <c r="FD402" s="138" t="e">
        <f>IF(VLOOKUP(CONCATENATE(H402,F402,FD$2),Ciencias!$A:$H,7,FALSE)=BR402,1,0)</f>
        <v>#N/A</v>
      </c>
      <c r="FE402" s="138" t="e">
        <f>IF(VLOOKUP(CONCATENATE(H402,F402,FE$2),Ciencias!$A:$H,7,FALSE)=BS402,1,0)</f>
        <v>#N/A</v>
      </c>
      <c r="FF402" s="138" t="e">
        <f>IF(VLOOKUP(CONCATENATE(H402,F402,FF$2),Ciencias!$A:$H,7,FALSE)=BT402,1,0)</f>
        <v>#N/A</v>
      </c>
      <c r="FG402" s="138" t="e">
        <f>IF(VLOOKUP(CONCATENATE(H402,F402,FG$2),Ciencias!$A:$H,7,FALSE)=BU402,1,0)</f>
        <v>#N/A</v>
      </c>
      <c r="FH402" s="138" t="e">
        <f>IF(VLOOKUP(CONCATENATE(H402,F402,FH$2),Ciencias!$A:$H,7,FALSE)=BV402,1,0)</f>
        <v>#N/A</v>
      </c>
      <c r="FI402" s="138" t="e">
        <f>IF(VLOOKUP(CONCATENATE(H402,F402,FI$2),Ciencias!$A:$H,7,FALSE)=BW402,1,0)</f>
        <v>#N/A</v>
      </c>
      <c r="FJ402" s="138" t="e">
        <f>IF(VLOOKUP(CONCATENATE(H402,F402,FJ$2),Ciencias!$A:$H,7,FALSE)=BX402,1,0)</f>
        <v>#N/A</v>
      </c>
      <c r="FK402" s="138" t="e">
        <f>IF(VLOOKUP(CONCATENATE(H402,F402,FK$2),Ciencias!$A:$H,7,FALSE)=BY402,1,0)</f>
        <v>#N/A</v>
      </c>
      <c r="FL402" s="138" t="e">
        <f>IF(VLOOKUP(CONCATENATE(H402,F402,FL$2),Ciencias!$A:$H,7,FALSE)=BZ402,1,0)</f>
        <v>#N/A</v>
      </c>
      <c r="FM402" s="138" t="e">
        <f>IF(VLOOKUP(CONCATENATE(H402,F402,FM$2),Ciencias!$A:$H,7,FALSE)=CA402,1,0)</f>
        <v>#N/A</v>
      </c>
      <c r="FN402" s="138" t="e">
        <f>IF(VLOOKUP(CONCATENATE(H402,F402,FN$2),Ciencias!$A:$H,7,FALSE)=CB402,1,0)</f>
        <v>#N/A</v>
      </c>
      <c r="FO402" s="138" t="e">
        <f>IF(VLOOKUP(CONCATENATE(H402,F402,FO$2),Ciencias!$A:$H,7,FALSE)=CC402,1,0)</f>
        <v>#N/A</v>
      </c>
      <c r="FP402" s="138" t="e">
        <f>IF(VLOOKUP(CONCATENATE(H402,F402,FP$2),GeoHis!$A:$H,7,FALSE)=CD402,1,0)</f>
        <v>#N/A</v>
      </c>
      <c r="FQ402" s="138" t="e">
        <f>IF(VLOOKUP(CONCATENATE(H402,F402,FQ$2),GeoHis!$A:$H,7,FALSE)=CE402,1,0)</f>
        <v>#N/A</v>
      </c>
      <c r="FR402" s="138" t="e">
        <f>IF(VLOOKUP(CONCATENATE(H402,F402,FR$2),GeoHis!$A:$H,7,FALSE)=CF402,1,0)</f>
        <v>#N/A</v>
      </c>
      <c r="FS402" s="138" t="e">
        <f>IF(VLOOKUP(CONCATENATE(H402,F402,FS$2),GeoHis!$A:$H,7,FALSE)=CG402,1,0)</f>
        <v>#N/A</v>
      </c>
      <c r="FT402" s="138" t="e">
        <f>IF(VLOOKUP(CONCATENATE(H402,F402,FT$2),GeoHis!$A:$H,7,FALSE)=CH402,1,0)</f>
        <v>#N/A</v>
      </c>
      <c r="FU402" s="138" t="e">
        <f>IF(VLOOKUP(CONCATENATE(H402,F402,FU$2),GeoHis!$A:$H,7,FALSE)=CI402,1,0)</f>
        <v>#N/A</v>
      </c>
      <c r="FV402" s="138" t="e">
        <f>IF(VLOOKUP(CONCATENATE(H402,F402,FV$2),GeoHis!$A:$H,7,FALSE)=CJ402,1,0)</f>
        <v>#N/A</v>
      </c>
      <c r="FW402" s="138" t="e">
        <f>IF(VLOOKUP(CONCATENATE(H402,F402,FW$2),GeoHis!$A:$H,7,FALSE)=CK402,1,0)</f>
        <v>#N/A</v>
      </c>
      <c r="FX402" s="138" t="e">
        <f>IF(VLOOKUP(CONCATENATE(H402,F402,FX$2),GeoHis!$A:$H,7,FALSE)=CL402,1,0)</f>
        <v>#N/A</v>
      </c>
      <c r="FY402" s="138" t="e">
        <f>IF(VLOOKUP(CONCATENATE(H402,F402,FY$2),GeoHis!$A:$H,7,FALSE)=CM402,1,0)</f>
        <v>#N/A</v>
      </c>
      <c r="FZ402" s="138" t="e">
        <f>IF(VLOOKUP(CONCATENATE(H402,F402,FZ$2),GeoHis!$A:$H,7,FALSE)=CN402,1,0)</f>
        <v>#N/A</v>
      </c>
      <c r="GA402" s="138" t="e">
        <f>IF(VLOOKUP(CONCATENATE(H402,F402,GA$2),GeoHis!$A:$H,7,FALSE)=CO402,1,0)</f>
        <v>#N/A</v>
      </c>
      <c r="GB402" s="138" t="e">
        <f>IF(VLOOKUP(CONCATENATE(H402,F402,GB$2),GeoHis!$A:$H,7,FALSE)=CP402,1,0)</f>
        <v>#N/A</v>
      </c>
      <c r="GC402" s="138" t="e">
        <f>IF(VLOOKUP(CONCATENATE(H402,F402,GC$2),GeoHis!$A:$H,7,FALSE)=CQ402,1,0)</f>
        <v>#N/A</v>
      </c>
      <c r="GD402" s="138" t="e">
        <f>IF(VLOOKUP(CONCATENATE(H402,F402,GD$2),GeoHis!$A:$H,7,FALSE)=CR402,1,0)</f>
        <v>#N/A</v>
      </c>
      <c r="GE402" s="135" t="str">
        <f t="shared" si="55"/>
        <v/>
      </c>
    </row>
    <row r="403" spans="1:187" x14ac:dyDescent="0.25">
      <c r="A403" s="127" t="str">
        <f>IF(C403="","",'Datos Generales'!$A$25)</f>
        <v/>
      </c>
      <c r="D403" s="126" t="str">
        <f t="shared" si="48"/>
        <v/>
      </c>
      <c r="E403" s="126">
        <f t="shared" si="49"/>
        <v>0</v>
      </c>
      <c r="F403" s="126" t="str">
        <f t="shared" si="50"/>
        <v/>
      </c>
      <c r="G403" s="126" t="str">
        <f>IF(C403="","",'Datos Generales'!$D$19)</f>
        <v/>
      </c>
      <c r="H403" s="21" t="str">
        <f>IF(C403="","",'Datos Generales'!$A$19)</f>
        <v/>
      </c>
      <c r="I403" s="126" t="str">
        <f>IF(C403="","",'Datos Generales'!$A$7)</f>
        <v/>
      </c>
      <c r="J403" s="21" t="str">
        <f>IF(C403="","",'Datos Generales'!$A$13)</f>
        <v/>
      </c>
      <c r="K403" s="21" t="str">
        <f>IF(C403="","",'Datos Generales'!$A$10)</f>
        <v/>
      </c>
      <c r="CS403" s="142" t="str">
        <f t="shared" si="51"/>
        <v/>
      </c>
      <c r="CT403" s="142" t="str">
        <f t="shared" si="52"/>
        <v/>
      </c>
      <c r="CU403" s="142" t="str">
        <f t="shared" si="53"/>
        <v/>
      </c>
      <c r="CV403" s="142" t="str">
        <f t="shared" si="54"/>
        <v/>
      </c>
      <c r="CW403" s="142" t="str">
        <f>IF(C403="","",IF('Datos Generales'!$A$19=1,AVERAGE(FP403:GD403),AVERAGE(Captura!FP403:FY403)))</f>
        <v/>
      </c>
      <c r="CX403" s="138" t="e">
        <f>IF(VLOOKUP(CONCATENATE($H$4,$F$4,CX$2),Español!$A:$H,7,FALSE)=L403,1,0)</f>
        <v>#N/A</v>
      </c>
      <c r="CY403" s="138" t="e">
        <f>IF(VLOOKUP(CONCATENATE(H403,F403,CY$2),Español!$A:$H,7,FALSE)=M403,1,0)</f>
        <v>#N/A</v>
      </c>
      <c r="CZ403" s="138" t="e">
        <f>IF(VLOOKUP(CONCATENATE(H403,F403,CZ$2),Español!$A:$H,7,FALSE)=N403,1,0)</f>
        <v>#N/A</v>
      </c>
      <c r="DA403" s="138" t="e">
        <f>IF(VLOOKUP(CONCATENATE(H403,F403,DA$2),Español!$A:$H,7,FALSE)=O403,1,0)</f>
        <v>#N/A</v>
      </c>
      <c r="DB403" s="138" t="e">
        <f>IF(VLOOKUP(CONCATENATE(H403,F403,DB$2),Español!$A:$H,7,FALSE)=P403,1,0)</f>
        <v>#N/A</v>
      </c>
      <c r="DC403" s="138" t="e">
        <f>IF(VLOOKUP(CONCATENATE(H403,F403,DC$2),Español!$A:$H,7,FALSE)=Q403,1,0)</f>
        <v>#N/A</v>
      </c>
      <c r="DD403" s="138" t="e">
        <f>IF(VLOOKUP(CONCATENATE(H403,F403,DD$2),Español!$A:$H,7,FALSE)=R403,1,0)</f>
        <v>#N/A</v>
      </c>
      <c r="DE403" s="138" t="e">
        <f>IF(VLOOKUP(CONCATENATE(H403,F403,DE$2),Español!$A:$H,7,FALSE)=S403,1,0)</f>
        <v>#N/A</v>
      </c>
      <c r="DF403" s="138" t="e">
        <f>IF(VLOOKUP(CONCATENATE(H403,F403,DF$2),Español!$A:$H,7,FALSE)=T403,1,0)</f>
        <v>#N/A</v>
      </c>
      <c r="DG403" s="138" t="e">
        <f>IF(VLOOKUP(CONCATENATE(H403,F403,DG$2),Español!$A:$H,7,FALSE)=U403,1,0)</f>
        <v>#N/A</v>
      </c>
      <c r="DH403" s="138" t="e">
        <f>IF(VLOOKUP(CONCATENATE(H403,F403,DH$2),Español!$A:$H,7,FALSE)=V403,1,0)</f>
        <v>#N/A</v>
      </c>
      <c r="DI403" s="138" t="e">
        <f>IF(VLOOKUP(CONCATENATE(H403,F403,DI$2),Español!$A:$H,7,FALSE)=W403,1,0)</f>
        <v>#N/A</v>
      </c>
      <c r="DJ403" s="138" t="e">
        <f>IF(VLOOKUP(CONCATENATE(H403,F403,DJ$2),Español!$A:$H,7,FALSE)=X403,1,0)</f>
        <v>#N/A</v>
      </c>
      <c r="DK403" s="138" t="e">
        <f>IF(VLOOKUP(CONCATENATE(H403,F403,DK$2),Español!$A:$H,7,FALSE)=Y403,1,0)</f>
        <v>#N/A</v>
      </c>
      <c r="DL403" s="138" t="e">
        <f>IF(VLOOKUP(CONCATENATE(H403,F403,DL$2),Español!$A:$H,7,FALSE)=Z403,1,0)</f>
        <v>#N/A</v>
      </c>
      <c r="DM403" s="138" t="e">
        <f>IF(VLOOKUP(CONCATENATE(H403,F403,DM$2),Español!$A:$H,7,FALSE)=AA403,1,0)</f>
        <v>#N/A</v>
      </c>
      <c r="DN403" s="138" t="e">
        <f>IF(VLOOKUP(CONCATENATE(H403,F403,DN$2),Español!$A:$H,7,FALSE)=AB403,1,0)</f>
        <v>#N/A</v>
      </c>
      <c r="DO403" s="138" t="e">
        <f>IF(VLOOKUP(CONCATENATE(H403,F403,DO$2),Español!$A:$H,7,FALSE)=AC403,1,0)</f>
        <v>#N/A</v>
      </c>
      <c r="DP403" s="138" t="e">
        <f>IF(VLOOKUP(CONCATENATE(H403,F403,DP$2),Español!$A:$H,7,FALSE)=AD403,1,0)</f>
        <v>#N/A</v>
      </c>
      <c r="DQ403" s="138" t="e">
        <f>IF(VLOOKUP(CONCATENATE(H403,F403,DQ$2),Español!$A:$H,7,FALSE)=AE403,1,0)</f>
        <v>#N/A</v>
      </c>
      <c r="DR403" s="138" t="e">
        <f>IF(VLOOKUP(CONCATENATE(H403,F403,DR$2),Inglés!$A:$H,7,FALSE)=AF403,1,0)</f>
        <v>#N/A</v>
      </c>
      <c r="DS403" s="138" t="e">
        <f>IF(VLOOKUP(CONCATENATE(H403,F403,DS$2),Inglés!$A:$H,7,FALSE)=AG403,1,0)</f>
        <v>#N/A</v>
      </c>
      <c r="DT403" s="138" t="e">
        <f>IF(VLOOKUP(CONCATENATE(H403,F403,DT$2),Inglés!$A:$H,7,FALSE)=AH403,1,0)</f>
        <v>#N/A</v>
      </c>
      <c r="DU403" s="138" t="e">
        <f>IF(VLOOKUP(CONCATENATE(H403,F403,DU$2),Inglés!$A:$H,7,FALSE)=AI403,1,0)</f>
        <v>#N/A</v>
      </c>
      <c r="DV403" s="138" t="e">
        <f>IF(VLOOKUP(CONCATENATE(H403,F403,DV$2),Inglés!$A:$H,7,FALSE)=AJ403,1,0)</f>
        <v>#N/A</v>
      </c>
      <c r="DW403" s="138" t="e">
        <f>IF(VLOOKUP(CONCATENATE(H403,F403,DW$2),Inglés!$A:$H,7,FALSE)=AK403,1,0)</f>
        <v>#N/A</v>
      </c>
      <c r="DX403" s="138" t="e">
        <f>IF(VLOOKUP(CONCATENATE(H403,F403,DX$2),Inglés!$A:$H,7,FALSE)=AL403,1,0)</f>
        <v>#N/A</v>
      </c>
      <c r="DY403" s="138" t="e">
        <f>IF(VLOOKUP(CONCATENATE(H403,F403,DY$2),Inglés!$A:$H,7,FALSE)=AM403,1,0)</f>
        <v>#N/A</v>
      </c>
      <c r="DZ403" s="138" t="e">
        <f>IF(VLOOKUP(CONCATENATE(H403,F403,DZ$2),Inglés!$A:$H,7,FALSE)=AN403,1,0)</f>
        <v>#N/A</v>
      </c>
      <c r="EA403" s="138" t="e">
        <f>IF(VLOOKUP(CONCATENATE(H403,F403,EA$2),Inglés!$A:$H,7,FALSE)=AO403,1,0)</f>
        <v>#N/A</v>
      </c>
      <c r="EB403" s="138" t="e">
        <f>IF(VLOOKUP(CONCATENATE(H403,F403,EB$2),Matemáticas!$A:$H,7,FALSE)=AP403,1,0)</f>
        <v>#N/A</v>
      </c>
      <c r="EC403" s="138" t="e">
        <f>IF(VLOOKUP(CONCATENATE(H403,F403,EC$2),Matemáticas!$A:$H,7,FALSE)=AQ403,1,0)</f>
        <v>#N/A</v>
      </c>
      <c r="ED403" s="138" t="e">
        <f>IF(VLOOKUP(CONCATENATE(H403,F403,ED$2),Matemáticas!$A:$H,7,FALSE)=AR403,1,0)</f>
        <v>#N/A</v>
      </c>
      <c r="EE403" s="138" t="e">
        <f>IF(VLOOKUP(CONCATENATE(H403,F403,EE$2),Matemáticas!$A:$H,7,FALSE)=AS403,1,0)</f>
        <v>#N/A</v>
      </c>
      <c r="EF403" s="138" t="e">
        <f>IF(VLOOKUP(CONCATENATE(H403,F403,EF$2),Matemáticas!$A:$H,7,FALSE)=AT403,1,0)</f>
        <v>#N/A</v>
      </c>
      <c r="EG403" s="138" t="e">
        <f>IF(VLOOKUP(CONCATENATE(H403,F403,EG$2),Matemáticas!$A:$H,7,FALSE)=AU403,1,0)</f>
        <v>#N/A</v>
      </c>
      <c r="EH403" s="138" t="e">
        <f>IF(VLOOKUP(CONCATENATE(H403,F403,EH$2),Matemáticas!$A:$H,7,FALSE)=AV403,1,0)</f>
        <v>#N/A</v>
      </c>
      <c r="EI403" s="138" t="e">
        <f>IF(VLOOKUP(CONCATENATE(H403,F403,EI$2),Matemáticas!$A:$H,7,FALSE)=AW403,1,0)</f>
        <v>#N/A</v>
      </c>
      <c r="EJ403" s="138" t="e">
        <f>IF(VLOOKUP(CONCATENATE(H403,F403,EJ$2),Matemáticas!$A:$H,7,FALSE)=AX403,1,0)</f>
        <v>#N/A</v>
      </c>
      <c r="EK403" s="138" t="e">
        <f>IF(VLOOKUP(CONCATENATE(H403,F403,EK$2),Matemáticas!$A:$H,7,FALSE)=AY403,1,0)</f>
        <v>#N/A</v>
      </c>
      <c r="EL403" s="138" t="e">
        <f>IF(VLOOKUP(CONCATENATE(H403,F403,EL$2),Matemáticas!$A:$H,7,FALSE)=AZ403,1,0)</f>
        <v>#N/A</v>
      </c>
      <c r="EM403" s="138" t="e">
        <f>IF(VLOOKUP(CONCATENATE(H403,F403,EM$2),Matemáticas!$A:$H,7,FALSE)=BA403,1,0)</f>
        <v>#N/A</v>
      </c>
      <c r="EN403" s="138" t="e">
        <f>IF(VLOOKUP(CONCATENATE(H403,F403,EN$2),Matemáticas!$A:$H,7,FALSE)=BB403,1,0)</f>
        <v>#N/A</v>
      </c>
      <c r="EO403" s="138" t="e">
        <f>IF(VLOOKUP(CONCATENATE(H403,F403,EO$2),Matemáticas!$A:$H,7,FALSE)=BC403,1,0)</f>
        <v>#N/A</v>
      </c>
      <c r="EP403" s="138" t="e">
        <f>IF(VLOOKUP(CONCATENATE(H403,F403,EP$2),Matemáticas!$A:$H,7,FALSE)=BD403,1,0)</f>
        <v>#N/A</v>
      </c>
      <c r="EQ403" s="138" t="e">
        <f>IF(VLOOKUP(CONCATENATE(H403,F403,EQ$2),Matemáticas!$A:$H,7,FALSE)=BE403,1,0)</f>
        <v>#N/A</v>
      </c>
      <c r="ER403" s="138" t="e">
        <f>IF(VLOOKUP(CONCATENATE(H403,F403,ER$2),Matemáticas!$A:$H,7,FALSE)=BF403,1,0)</f>
        <v>#N/A</v>
      </c>
      <c r="ES403" s="138" t="e">
        <f>IF(VLOOKUP(CONCATENATE(H403,F403,ES$2),Matemáticas!$A:$H,7,FALSE)=BG403,1,0)</f>
        <v>#N/A</v>
      </c>
      <c r="ET403" s="138" t="e">
        <f>IF(VLOOKUP(CONCATENATE(H403,F403,ET$2),Matemáticas!$A:$H,7,FALSE)=BH403,1,0)</f>
        <v>#N/A</v>
      </c>
      <c r="EU403" s="138" t="e">
        <f>IF(VLOOKUP(CONCATENATE(H403,F403,EU$2),Matemáticas!$A:$H,7,FALSE)=BI403,1,0)</f>
        <v>#N/A</v>
      </c>
      <c r="EV403" s="138" t="e">
        <f>IF(VLOOKUP(CONCATENATE(H403,F403,EV$2),Ciencias!$A:$H,7,FALSE)=BJ403,1,0)</f>
        <v>#N/A</v>
      </c>
      <c r="EW403" s="138" t="e">
        <f>IF(VLOOKUP(CONCATENATE(H403,F403,EW$2),Ciencias!$A:$H,7,FALSE)=BK403,1,0)</f>
        <v>#N/A</v>
      </c>
      <c r="EX403" s="138" t="e">
        <f>IF(VLOOKUP(CONCATENATE(H403,F403,EX$2),Ciencias!$A:$H,7,FALSE)=BL403,1,0)</f>
        <v>#N/A</v>
      </c>
      <c r="EY403" s="138" t="e">
        <f>IF(VLOOKUP(CONCATENATE(H403,F403,EY$2),Ciencias!$A:$H,7,FALSE)=BM403,1,0)</f>
        <v>#N/A</v>
      </c>
      <c r="EZ403" s="138" t="e">
        <f>IF(VLOOKUP(CONCATENATE(H403,F403,EZ$2),Ciencias!$A:$H,7,FALSE)=BN403,1,0)</f>
        <v>#N/A</v>
      </c>
      <c r="FA403" s="138" t="e">
        <f>IF(VLOOKUP(CONCATENATE(H403,F403,FA$2),Ciencias!$A:$H,7,FALSE)=BO403,1,0)</f>
        <v>#N/A</v>
      </c>
      <c r="FB403" s="138" t="e">
        <f>IF(VLOOKUP(CONCATENATE(H403,F403,FB$2),Ciencias!$A:$H,7,FALSE)=BP403,1,0)</f>
        <v>#N/A</v>
      </c>
      <c r="FC403" s="138" t="e">
        <f>IF(VLOOKUP(CONCATENATE(H403,F403,FC$2),Ciencias!$A:$H,7,FALSE)=BQ403,1,0)</f>
        <v>#N/A</v>
      </c>
      <c r="FD403" s="138" t="e">
        <f>IF(VLOOKUP(CONCATENATE(H403,F403,FD$2),Ciencias!$A:$H,7,FALSE)=BR403,1,0)</f>
        <v>#N/A</v>
      </c>
      <c r="FE403" s="138" t="e">
        <f>IF(VLOOKUP(CONCATENATE(H403,F403,FE$2),Ciencias!$A:$H,7,FALSE)=BS403,1,0)</f>
        <v>#N/A</v>
      </c>
      <c r="FF403" s="138" t="e">
        <f>IF(VLOOKUP(CONCATENATE(H403,F403,FF$2),Ciencias!$A:$H,7,FALSE)=BT403,1,0)</f>
        <v>#N/A</v>
      </c>
      <c r="FG403" s="138" t="e">
        <f>IF(VLOOKUP(CONCATENATE(H403,F403,FG$2),Ciencias!$A:$H,7,FALSE)=BU403,1,0)</f>
        <v>#N/A</v>
      </c>
      <c r="FH403" s="138" t="e">
        <f>IF(VLOOKUP(CONCATENATE(H403,F403,FH$2),Ciencias!$A:$H,7,FALSE)=BV403,1,0)</f>
        <v>#N/A</v>
      </c>
      <c r="FI403" s="138" t="e">
        <f>IF(VLOOKUP(CONCATENATE(H403,F403,FI$2),Ciencias!$A:$H,7,FALSE)=BW403,1,0)</f>
        <v>#N/A</v>
      </c>
      <c r="FJ403" s="138" t="e">
        <f>IF(VLOOKUP(CONCATENATE(H403,F403,FJ$2),Ciencias!$A:$H,7,FALSE)=BX403,1,0)</f>
        <v>#N/A</v>
      </c>
      <c r="FK403" s="138" t="e">
        <f>IF(VLOOKUP(CONCATENATE(H403,F403,FK$2),Ciencias!$A:$H,7,FALSE)=BY403,1,0)</f>
        <v>#N/A</v>
      </c>
      <c r="FL403" s="138" t="e">
        <f>IF(VLOOKUP(CONCATENATE(H403,F403,FL$2),Ciencias!$A:$H,7,FALSE)=BZ403,1,0)</f>
        <v>#N/A</v>
      </c>
      <c r="FM403" s="138" t="e">
        <f>IF(VLOOKUP(CONCATENATE(H403,F403,FM$2),Ciencias!$A:$H,7,FALSE)=CA403,1,0)</f>
        <v>#N/A</v>
      </c>
      <c r="FN403" s="138" t="e">
        <f>IF(VLOOKUP(CONCATENATE(H403,F403,FN$2),Ciencias!$A:$H,7,FALSE)=CB403,1,0)</f>
        <v>#N/A</v>
      </c>
      <c r="FO403" s="138" t="e">
        <f>IF(VLOOKUP(CONCATENATE(H403,F403,FO$2),Ciencias!$A:$H,7,FALSE)=CC403,1,0)</f>
        <v>#N/A</v>
      </c>
      <c r="FP403" s="138" t="e">
        <f>IF(VLOOKUP(CONCATENATE(H403,F403,FP$2),GeoHis!$A:$H,7,FALSE)=CD403,1,0)</f>
        <v>#N/A</v>
      </c>
      <c r="FQ403" s="138" t="e">
        <f>IF(VLOOKUP(CONCATENATE(H403,F403,FQ$2),GeoHis!$A:$H,7,FALSE)=CE403,1,0)</f>
        <v>#N/A</v>
      </c>
      <c r="FR403" s="138" t="e">
        <f>IF(VLOOKUP(CONCATENATE(H403,F403,FR$2),GeoHis!$A:$H,7,FALSE)=CF403,1,0)</f>
        <v>#N/A</v>
      </c>
      <c r="FS403" s="138" t="e">
        <f>IF(VLOOKUP(CONCATENATE(H403,F403,FS$2),GeoHis!$A:$H,7,FALSE)=CG403,1,0)</f>
        <v>#N/A</v>
      </c>
      <c r="FT403" s="138" t="e">
        <f>IF(VLOOKUP(CONCATENATE(H403,F403,FT$2),GeoHis!$A:$H,7,FALSE)=CH403,1,0)</f>
        <v>#N/A</v>
      </c>
      <c r="FU403" s="138" t="e">
        <f>IF(VLOOKUP(CONCATENATE(H403,F403,FU$2),GeoHis!$A:$H,7,FALSE)=CI403,1,0)</f>
        <v>#N/A</v>
      </c>
      <c r="FV403" s="138" t="e">
        <f>IF(VLOOKUP(CONCATENATE(H403,F403,FV$2),GeoHis!$A:$H,7,FALSE)=CJ403,1,0)</f>
        <v>#N/A</v>
      </c>
      <c r="FW403" s="138" t="e">
        <f>IF(VLOOKUP(CONCATENATE(H403,F403,FW$2),GeoHis!$A:$H,7,FALSE)=CK403,1,0)</f>
        <v>#N/A</v>
      </c>
      <c r="FX403" s="138" t="e">
        <f>IF(VLOOKUP(CONCATENATE(H403,F403,FX$2),GeoHis!$A:$H,7,FALSE)=CL403,1,0)</f>
        <v>#N/A</v>
      </c>
      <c r="FY403" s="138" t="e">
        <f>IF(VLOOKUP(CONCATENATE(H403,F403,FY$2),GeoHis!$A:$H,7,FALSE)=CM403,1,0)</f>
        <v>#N/A</v>
      </c>
      <c r="FZ403" s="138" t="e">
        <f>IF(VLOOKUP(CONCATENATE(H403,F403,FZ$2),GeoHis!$A:$H,7,FALSE)=CN403,1,0)</f>
        <v>#N/A</v>
      </c>
      <c r="GA403" s="138" t="e">
        <f>IF(VLOOKUP(CONCATENATE(H403,F403,GA$2),GeoHis!$A:$H,7,FALSE)=CO403,1,0)</f>
        <v>#N/A</v>
      </c>
      <c r="GB403" s="138" t="e">
        <f>IF(VLOOKUP(CONCATENATE(H403,F403,GB$2),GeoHis!$A:$H,7,FALSE)=CP403,1,0)</f>
        <v>#N/A</v>
      </c>
      <c r="GC403" s="138" t="e">
        <f>IF(VLOOKUP(CONCATENATE(H403,F403,GC$2),GeoHis!$A:$H,7,FALSE)=CQ403,1,0)</f>
        <v>#N/A</v>
      </c>
      <c r="GD403" s="138" t="e">
        <f>IF(VLOOKUP(CONCATENATE(H403,F403,GD$2),GeoHis!$A:$H,7,FALSE)=CR403,1,0)</f>
        <v>#N/A</v>
      </c>
      <c r="GE403" s="135" t="str">
        <f t="shared" si="55"/>
        <v/>
      </c>
    </row>
    <row r="404" spans="1:187" x14ac:dyDescent="0.25">
      <c r="A404" s="127" t="str">
        <f>IF(C404="","",'Datos Generales'!$A$25)</f>
        <v/>
      </c>
      <c r="D404" s="126" t="str">
        <f t="shared" si="48"/>
        <v/>
      </c>
      <c r="E404" s="126">
        <f t="shared" si="49"/>
        <v>0</v>
      </c>
      <c r="F404" s="126" t="str">
        <f t="shared" si="50"/>
        <v/>
      </c>
      <c r="G404" s="126" t="str">
        <f>IF(C404="","",'Datos Generales'!$D$19)</f>
        <v/>
      </c>
      <c r="H404" s="21" t="str">
        <f>IF(C404="","",'Datos Generales'!$A$19)</f>
        <v/>
      </c>
      <c r="I404" s="126" t="str">
        <f>IF(C404="","",'Datos Generales'!$A$7)</f>
        <v/>
      </c>
      <c r="J404" s="21" t="str">
        <f>IF(C404="","",'Datos Generales'!$A$13)</f>
        <v/>
      </c>
      <c r="K404" s="21" t="str">
        <f>IF(C404="","",'Datos Generales'!$A$10)</f>
        <v/>
      </c>
      <c r="CS404" s="142" t="str">
        <f t="shared" si="51"/>
        <v/>
      </c>
      <c r="CT404" s="142" t="str">
        <f t="shared" si="52"/>
        <v/>
      </c>
      <c r="CU404" s="142" t="str">
        <f t="shared" si="53"/>
        <v/>
      </c>
      <c r="CV404" s="142" t="str">
        <f t="shared" si="54"/>
        <v/>
      </c>
      <c r="CW404" s="142" t="str">
        <f>IF(C404="","",IF('Datos Generales'!$A$19=1,AVERAGE(FP404:GD404),AVERAGE(Captura!FP404:FY404)))</f>
        <v/>
      </c>
      <c r="CX404" s="138" t="e">
        <f>IF(VLOOKUP(CONCATENATE($H$4,$F$4,CX$2),Español!$A:$H,7,FALSE)=L404,1,0)</f>
        <v>#N/A</v>
      </c>
      <c r="CY404" s="138" t="e">
        <f>IF(VLOOKUP(CONCATENATE(H404,F404,CY$2),Español!$A:$H,7,FALSE)=M404,1,0)</f>
        <v>#N/A</v>
      </c>
      <c r="CZ404" s="138" t="e">
        <f>IF(VLOOKUP(CONCATENATE(H404,F404,CZ$2),Español!$A:$H,7,FALSE)=N404,1,0)</f>
        <v>#N/A</v>
      </c>
      <c r="DA404" s="138" t="e">
        <f>IF(VLOOKUP(CONCATENATE(H404,F404,DA$2),Español!$A:$H,7,FALSE)=O404,1,0)</f>
        <v>#N/A</v>
      </c>
      <c r="DB404" s="138" t="e">
        <f>IF(VLOOKUP(CONCATENATE(H404,F404,DB$2),Español!$A:$H,7,FALSE)=P404,1,0)</f>
        <v>#N/A</v>
      </c>
      <c r="DC404" s="138" t="e">
        <f>IF(VLOOKUP(CONCATENATE(H404,F404,DC$2),Español!$A:$H,7,FALSE)=Q404,1,0)</f>
        <v>#N/A</v>
      </c>
      <c r="DD404" s="138" t="e">
        <f>IF(VLOOKUP(CONCATENATE(H404,F404,DD$2),Español!$A:$H,7,FALSE)=R404,1,0)</f>
        <v>#N/A</v>
      </c>
      <c r="DE404" s="138" t="e">
        <f>IF(VLOOKUP(CONCATENATE(H404,F404,DE$2),Español!$A:$H,7,FALSE)=S404,1,0)</f>
        <v>#N/A</v>
      </c>
      <c r="DF404" s="138" t="e">
        <f>IF(VLOOKUP(CONCATENATE(H404,F404,DF$2),Español!$A:$H,7,FALSE)=T404,1,0)</f>
        <v>#N/A</v>
      </c>
      <c r="DG404" s="138" t="e">
        <f>IF(VLOOKUP(CONCATENATE(H404,F404,DG$2),Español!$A:$H,7,FALSE)=U404,1,0)</f>
        <v>#N/A</v>
      </c>
      <c r="DH404" s="138" t="e">
        <f>IF(VLOOKUP(CONCATENATE(H404,F404,DH$2),Español!$A:$H,7,FALSE)=V404,1,0)</f>
        <v>#N/A</v>
      </c>
      <c r="DI404" s="138" t="e">
        <f>IF(VLOOKUP(CONCATENATE(H404,F404,DI$2),Español!$A:$H,7,FALSE)=W404,1,0)</f>
        <v>#N/A</v>
      </c>
      <c r="DJ404" s="138" t="e">
        <f>IF(VLOOKUP(CONCATENATE(H404,F404,DJ$2),Español!$A:$H,7,FALSE)=X404,1,0)</f>
        <v>#N/A</v>
      </c>
      <c r="DK404" s="138" t="e">
        <f>IF(VLOOKUP(CONCATENATE(H404,F404,DK$2),Español!$A:$H,7,FALSE)=Y404,1,0)</f>
        <v>#N/A</v>
      </c>
      <c r="DL404" s="138" t="e">
        <f>IF(VLOOKUP(CONCATENATE(H404,F404,DL$2),Español!$A:$H,7,FALSE)=Z404,1,0)</f>
        <v>#N/A</v>
      </c>
      <c r="DM404" s="138" t="e">
        <f>IF(VLOOKUP(CONCATENATE(H404,F404,DM$2),Español!$A:$H,7,FALSE)=AA404,1,0)</f>
        <v>#N/A</v>
      </c>
      <c r="DN404" s="138" t="e">
        <f>IF(VLOOKUP(CONCATENATE(H404,F404,DN$2),Español!$A:$H,7,FALSE)=AB404,1,0)</f>
        <v>#N/A</v>
      </c>
      <c r="DO404" s="138" t="e">
        <f>IF(VLOOKUP(CONCATENATE(H404,F404,DO$2),Español!$A:$H,7,FALSE)=AC404,1,0)</f>
        <v>#N/A</v>
      </c>
      <c r="DP404" s="138" t="e">
        <f>IF(VLOOKUP(CONCATENATE(H404,F404,DP$2),Español!$A:$H,7,FALSE)=AD404,1,0)</f>
        <v>#N/A</v>
      </c>
      <c r="DQ404" s="138" t="e">
        <f>IF(VLOOKUP(CONCATENATE(H404,F404,DQ$2),Español!$A:$H,7,FALSE)=AE404,1,0)</f>
        <v>#N/A</v>
      </c>
      <c r="DR404" s="138" t="e">
        <f>IF(VLOOKUP(CONCATENATE(H404,F404,DR$2),Inglés!$A:$H,7,FALSE)=AF404,1,0)</f>
        <v>#N/A</v>
      </c>
      <c r="DS404" s="138" t="e">
        <f>IF(VLOOKUP(CONCATENATE(H404,F404,DS$2),Inglés!$A:$H,7,FALSE)=AG404,1,0)</f>
        <v>#N/A</v>
      </c>
      <c r="DT404" s="138" t="e">
        <f>IF(VLOOKUP(CONCATENATE(H404,F404,DT$2),Inglés!$A:$H,7,FALSE)=AH404,1,0)</f>
        <v>#N/A</v>
      </c>
      <c r="DU404" s="138" t="e">
        <f>IF(VLOOKUP(CONCATENATE(H404,F404,DU$2),Inglés!$A:$H,7,FALSE)=AI404,1,0)</f>
        <v>#N/A</v>
      </c>
      <c r="DV404" s="138" t="e">
        <f>IF(VLOOKUP(CONCATENATE(H404,F404,DV$2),Inglés!$A:$H,7,FALSE)=AJ404,1,0)</f>
        <v>#N/A</v>
      </c>
      <c r="DW404" s="138" t="e">
        <f>IF(VLOOKUP(CONCATENATE(H404,F404,DW$2),Inglés!$A:$H,7,FALSE)=AK404,1,0)</f>
        <v>#N/A</v>
      </c>
      <c r="DX404" s="138" t="e">
        <f>IF(VLOOKUP(CONCATENATE(H404,F404,DX$2),Inglés!$A:$H,7,FALSE)=AL404,1,0)</f>
        <v>#N/A</v>
      </c>
      <c r="DY404" s="138" t="e">
        <f>IF(VLOOKUP(CONCATENATE(H404,F404,DY$2),Inglés!$A:$H,7,FALSE)=AM404,1,0)</f>
        <v>#N/A</v>
      </c>
      <c r="DZ404" s="138" t="e">
        <f>IF(VLOOKUP(CONCATENATE(H404,F404,DZ$2),Inglés!$A:$H,7,FALSE)=AN404,1,0)</f>
        <v>#N/A</v>
      </c>
      <c r="EA404" s="138" t="e">
        <f>IF(VLOOKUP(CONCATENATE(H404,F404,EA$2),Inglés!$A:$H,7,FALSE)=AO404,1,0)</f>
        <v>#N/A</v>
      </c>
      <c r="EB404" s="138" t="e">
        <f>IF(VLOOKUP(CONCATENATE(H404,F404,EB$2),Matemáticas!$A:$H,7,FALSE)=AP404,1,0)</f>
        <v>#N/A</v>
      </c>
      <c r="EC404" s="138" t="e">
        <f>IF(VLOOKUP(CONCATENATE(H404,F404,EC$2),Matemáticas!$A:$H,7,FALSE)=AQ404,1,0)</f>
        <v>#N/A</v>
      </c>
      <c r="ED404" s="138" t="e">
        <f>IF(VLOOKUP(CONCATENATE(H404,F404,ED$2),Matemáticas!$A:$H,7,FALSE)=AR404,1,0)</f>
        <v>#N/A</v>
      </c>
      <c r="EE404" s="138" t="e">
        <f>IF(VLOOKUP(CONCATENATE(H404,F404,EE$2),Matemáticas!$A:$H,7,FALSE)=AS404,1,0)</f>
        <v>#N/A</v>
      </c>
      <c r="EF404" s="138" t="e">
        <f>IF(VLOOKUP(CONCATENATE(H404,F404,EF$2),Matemáticas!$A:$H,7,FALSE)=AT404,1,0)</f>
        <v>#N/A</v>
      </c>
      <c r="EG404" s="138" t="e">
        <f>IF(VLOOKUP(CONCATENATE(H404,F404,EG$2),Matemáticas!$A:$H,7,FALSE)=AU404,1,0)</f>
        <v>#N/A</v>
      </c>
      <c r="EH404" s="138" t="e">
        <f>IF(VLOOKUP(CONCATENATE(H404,F404,EH$2),Matemáticas!$A:$H,7,FALSE)=AV404,1,0)</f>
        <v>#N/A</v>
      </c>
      <c r="EI404" s="138" t="e">
        <f>IF(VLOOKUP(CONCATENATE(H404,F404,EI$2),Matemáticas!$A:$H,7,FALSE)=AW404,1,0)</f>
        <v>#N/A</v>
      </c>
      <c r="EJ404" s="138" t="e">
        <f>IF(VLOOKUP(CONCATENATE(H404,F404,EJ$2),Matemáticas!$A:$H,7,FALSE)=AX404,1,0)</f>
        <v>#N/A</v>
      </c>
      <c r="EK404" s="138" t="e">
        <f>IF(VLOOKUP(CONCATENATE(H404,F404,EK$2),Matemáticas!$A:$H,7,FALSE)=AY404,1,0)</f>
        <v>#N/A</v>
      </c>
      <c r="EL404" s="138" t="e">
        <f>IF(VLOOKUP(CONCATENATE(H404,F404,EL$2),Matemáticas!$A:$H,7,FALSE)=AZ404,1,0)</f>
        <v>#N/A</v>
      </c>
      <c r="EM404" s="138" t="e">
        <f>IF(VLOOKUP(CONCATENATE(H404,F404,EM$2),Matemáticas!$A:$H,7,FALSE)=BA404,1,0)</f>
        <v>#N/A</v>
      </c>
      <c r="EN404" s="138" t="e">
        <f>IF(VLOOKUP(CONCATENATE(H404,F404,EN$2),Matemáticas!$A:$H,7,FALSE)=BB404,1,0)</f>
        <v>#N/A</v>
      </c>
      <c r="EO404" s="138" t="e">
        <f>IF(VLOOKUP(CONCATENATE(H404,F404,EO$2),Matemáticas!$A:$H,7,FALSE)=BC404,1,0)</f>
        <v>#N/A</v>
      </c>
      <c r="EP404" s="138" t="e">
        <f>IF(VLOOKUP(CONCATENATE(H404,F404,EP$2),Matemáticas!$A:$H,7,FALSE)=BD404,1,0)</f>
        <v>#N/A</v>
      </c>
      <c r="EQ404" s="138" t="e">
        <f>IF(VLOOKUP(CONCATENATE(H404,F404,EQ$2),Matemáticas!$A:$H,7,FALSE)=BE404,1,0)</f>
        <v>#N/A</v>
      </c>
      <c r="ER404" s="138" t="e">
        <f>IF(VLOOKUP(CONCATENATE(H404,F404,ER$2),Matemáticas!$A:$H,7,FALSE)=BF404,1,0)</f>
        <v>#N/A</v>
      </c>
      <c r="ES404" s="138" t="e">
        <f>IF(VLOOKUP(CONCATENATE(H404,F404,ES$2),Matemáticas!$A:$H,7,FALSE)=BG404,1,0)</f>
        <v>#N/A</v>
      </c>
      <c r="ET404" s="138" t="e">
        <f>IF(VLOOKUP(CONCATENATE(H404,F404,ET$2),Matemáticas!$A:$H,7,FALSE)=BH404,1,0)</f>
        <v>#N/A</v>
      </c>
      <c r="EU404" s="138" t="e">
        <f>IF(VLOOKUP(CONCATENATE(H404,F404,EU$2),Matemáticas!$A:$H,7,FALSE)=BI404,1,0)</f>
        <v>#N/A</v>
      </c>
      <c r="EV404" s="138" t="e">
        <f>IF(VLOOKUP(CONCATENATE(H404,F404,EV$2),Ciencias!$A:$H,7,FALSE)=BJ404,1,0)</f>
        <v>#N/A</v>
      </c>
      <c r="EW404" s="138" t="e">
        <f>IF(VLOOKUP(CONCATENATE(H404,F404,EW$2),Ciencias!$A:$H,7,FALSE)=BK404,1,0)</f>
        <v>#N/A</v>
      </c>
      <c r="EX404" s="138" t="e">
        <f>IF(VLOOKUP(CONCATENATE(H404,F404,EX$2),Ciencias!$A:$H,7,FALSE)=BL404,1,0)</f>
        <v>#N/A</v>
      </c>
      <c r="EY404" s="138" t="e">
        <f>IF(VLOOKUP(CONCATENATE(H404,F404,EY$2),Ciencias!$A:$H,7,FALSE)=BM404,1,0)</f>
        <v>#N/A</v>
      </c>
      <c r="EZ404" s="138" t="e">
        <f>IF(VLOOKUP(CONCATENATE(H404,F404,EZ$2),Ciencias!$A:$H,7,FALSE)=BN404,1,0)</f>
        <v>#N/A</v>
      </c>
      <c r="FA404" s="138" t="e">
        <f>IF(VLOOKUP(CONCATENATE(H404,F404,FA$2),Ciencias!$A:$H,7,FALSE)=BO404,1,0)</f>
        <v>#N/A</v>
      </c>
      <c r="FB404" s="138" t="e">
        <f>IF(VLOOKUP(CONCATENATE(H404,F404,FB$2),Ciencias!$A:$H,7,FALSE)=BP404,1,0)</f>
        <v>#N/A</v>
      </c>
      <c r="FC404" s="138" t="e">
        <f>IF(VLOOKUP(CONCATENATE(H404,F404,FC$2),Ciencias!$A:$H,7,FALSE)=BQ404,1,0)</f>
        <v>#N/A</v>
      </c>
      <c r="FD404" s="138" t="e">
        <f>IF(VLOOKUP(CONCATENATE(H404,F404,FD$2),Ciencias!$A:$H,7,FALSE)=BR404,1,0)</f>
        <v>#N/A</v>
      </c>
      <c r="FE404" s="138" t="e">
        <f>IF(VLOOKUP(CONCATENATE(H404,F404,FE$2),Ciencias!$A:$H,7,FALSE)=BS404,1,0)</f>
        <v>#N/A</v>
      </c>
      <c r="FF404" s="138" t="e">
        <f>IF(VLOOKUP(CONCATENATE(H404,F404,FF$2),Ciencias!$A:$H,7,FALSE)=BT404,1,0)</f>
        <v>#N/A</v>
      </c>
      <c r="FG404" s="138" t="e">
        <f>IF(VLOOKUP(CONCATENATE(H404,F404,FG$2),Ciencias!$A:$H,7,FALSE)=BU404,1,0)</f>
        <v>#N/A</v>
      </c>
      <c r="FH404" s="138" t="e">
        <f>IF(VLOOKUP(CONCATENATE(H404,F404,FH$2),Ciencias!$A:$H,7,FALSE)=BV404,1,0)</f>
        <v>#N/A</v>
      </c>
      <c r="FI404" s="138" t="e">
        <f>IF(VLOOKUP(CONCATENATE(H404,F404,FI$2),Ciencias!$A:$H,7,FALSE)=BW404,1,0)</f>
        <v>#N/A</v>
      </c>
      <c r="FJ404" s="138" t="e">
        <f>IF(VLOOKUP(CONCATENATE(H404,F404,FJ$2),Ciencias!$A:$H,7,FALSE)=BX404,1,0)</f>
        <v>#N/A</v>
      </c>
      <c r="FK404" s="138" t="e">
        <f>IF(VLOOKUP(CONCATENATE(H404,F404,FK$2),Ciencias!$A:$H,7,FALSE)=BY404,1,0)</f>
        <v>#N/A</v>
      </c>
      <c r="FL404" s="138" t="e">
        <f>IF(VLOOKUP(CONCATENATE(H404,F404,FL$2),Ciencias!$A:$H,7,FALSE)=BZ404,1,0)</f>
        <v>#N/A</v>
      </c>
      <c r="FM404" s="138" t="e">
        <f>IF(VLOOKUP(CONCATENATE(H404,F404,FM$2),Ciencias!$A:$H,7,FALSE)=CA404,1,0)</f>
        <v>#N/A</v>
      </c>
      <c r="FN404" s="138" t="e">
        <f>IF(VLOOKUP(CONCATENATE(H404,F404,FN$2),Ciencias!$A:$H,7,FALSE)=CB404,1,0)</f>
        <v>#N/A</v>
      </c>
      <c r="FO404" s="138" t="e">
        <f>IF(VLOOKUP(CONCATENATE(H404,F404,FO$2),Ciencias!$A:$H,7,FALSE)=CC404,1,0)</f>
        <v>#N/A</v>
      </c>
      <c r="FP404" s="138" t="e">
        <f>IF(VLOOKUP(CONCATENATE(H404,F404,FP$2),GeoHis!$A:$H,7,FALSE)=CD404,1,0)</f>
        <v>#N/A</v>
      </c>
      <c r="FQ404" s="138" t="e">
        <f>IF(VLOOKUP(CONCATENATE(H404,F404,FQ$2),GeoHis!$A:$H,7,FALSE)=CE404,1,0)</f>
        <v>#N/A</v>
      </c>
      <c r="FR404" s="138" t="e">
        <f>IF(VLOOKUP(CONCATENATE(H404,F404,FR$2),GeoHis!$A:$H,7,FALSE)=CF404,1,0)</f>
        <v>#N/A</v>
      </c>
      <c r="FS404" s="138" t="e">
        <f>IF(VLOOKUP(CONCATENATE(H404,F404,FS$2),GeoHis!$A:$H,7,FALSE)=CG404,1,0)</f>
        <v>#N/A</v>
      </c>
      <c r="FT404" s="138" t="e">
        <f>IF(VLOOKUP(CONCATENATE(H404,F404,FT$2),GeoHis!$A:$H,7,FALSE)=CH404,1,0)</f>
        <v>#N/A</v>
      </c>
      <c r="FU404" s="138" t="e">
        <f>IF(VLOOKUP(CONCATENATE(H404,F404,FU$2),GeoHis!$A:$H,7,FALSE)=CI404,1,0)</f>
        <v>#N/A</v>
      </c>
      <c r="FV404" s="138" t="e">
        <f>IF(VLOOKUP(CONCATENATE(H404,F404,FV$2),GeoHis!$A:$H,7,FALSE)=CJ404,1,0)</f>
        <v>#N/A</v>
      </c>
      <c r="FW404" s="138" t="e">
        <f>IF(VLOOKUP(CONCATENATE(H404,F404,FW$2),GeoHis!$A:$H,7,FALSE)=CK404,1,0)</f>
        <v>#N/A</v>
      </c>
      <c r="FX404" s="138" t="e">
        <f>IF(VLOOKUP(CONCATENATE(H404,F404,FX$2),GeoHis!$A:$H,7,FALSE)=CL404,1,0)</f>
        <v>#N/A</v>
      </c>
      <c r="FY404" s="138" t="e">
        <f>IF(VLOOKUP(CONCATENATE(H404,F404,FY$2),GeoHis!$A:$H,7,FALSE)=CM404,1,0)</f>
        <v>#N/A</v>
      </c>
      <c r="FZ404" s="138" t="e">
        <f>IF(VLOOKUP(CONCATENATE(H404,F404,FZ$2),GeoHis!$A:$H,7,FALSE)=CN404,1,0)</f>
        <v>#N/A</v>
      </c>
      <c r="GA404" s="138" t="e">
        <f>IF(VLOOKUP(CONCATENATE(H404,F404,GA$2),GeoHis!$A:$H,7,FALSE)=CO404,1,0)</f>
        <v>#N/A</v>
      </c>
      <c r="GB404" s="138" t="e">
        <f>IF(VLOOKUP(CONCATENATE(H404,F404,GB$2),GeoHis!$A:$H,7,FALSE)=CP404,1,0)</f>
        <v>#N/A</v>
      </c>
      <c r="GC404" s="138" t="e">
        <f>IF(VLOOKUP(CONCATENATE(H404,F404,GC$2),GeoHis!$A:$H,7,FALSE)=CQ404,1,0)</f>
        <v>#N/A</v>
      </c>
      <c r="GD404" s="138" t="e">
        <f>IF(VLOOKUP(CONCATENATE(H404,F404,GD$2),GeoHis!$A:$H,7,FALSE)=CR404,1,0)</f>
        <v>#N/A</v>
      </c>
      <c r="GE404" s="135" t="str">
        <f t="shared" si="55"/>
        <v/>
      </c>
    </row>
    <row r="405" spans="1:187" x14ac:dyDescent="0.25">
      <c r="A405" s="127" t="str">
        <f>IF(C405="","",'Datos Generales'!$A$25)</f>
        <v/>
      </c>
      <c r="D405" s="126" t="str">
        <f t="shared" si="48"/>
        <v/>
      </c>
      <c r="E405" s="126">
        <f t="shared" si="49"/>
        <v>0</v>
      </c>
      <c r="F405" s="126" t="str">
        <f t="shared" si="50"/>
        <v/>
      </c>
      <c r="G405" s="126" t="str">
        <f>IF(C405="","",'Datos Generales'!$D$19)</f>
        <v/>
      </c>
      <c r="H405" s="21" t="str">
        <f>IF(C405="","",'Datos Generales'!$A$19)</f>
        <v/>
      </c>
      <c r="I405" s="126" t="str">
        <f>IF(C405="","",'Datos Generales'!$A$7)</f>
        <v/>
      </c>
      <c r="J405" s="21" t="str">
        <f>IF(C405="","",'Datos Generales'!$A$13)</f>
        <v/>
      </c>
      <c r="K405" s="21" t="str">
        <f>IF(C405="","",'Datos Generales'!$A$10)</f>
        <v/>
      </c>
      <c r="CS405" s="142" t="str">
        <f t="shared" si="51"/>
        <v/>
      </c>
      <c r="CT405" s="142" t="str">
        <f t="shared" si="52"/>
        <v/>
      </c>
      <c r="CU405" s="142" t="str">
        <f t="shared" si="53"/>
        <v/>
      </c>
      <c r="CV405" s="142" t="str">
        <f t="shared" si="54"/>
        <v/>
      </c>
      <c r="CW405" s="142" t="str">
        <f>IF(C405="","",IF('Datos Generales'!$A$19=1,AVERAGE(FP405:GD405),AVERAGE(Captura!FP405:FY405)))</f>
        <v/>
      </c>
      <c r="CX405" s="138" t="e">
        <f>IF(VLOOKUP(CONCATENATE($H$4,$F$4,CX$2),Español!$A:$H,7,FALSE)=L405,1,0)</f>
        <v>#N/A</v>
      </c>
      <c r="CY405" s="138" t="e">
        <f>IF(VLOOKUP(CONCATENATE(H405,F405,CY$2),Español!$A:$H,7,FALSE)=M405,1,0)</f>
        <v>#N/A</v>
      </c>
      <c r="CZ405" s="138" t="e">
        <f>IF(VLOOKUP(CONCATENATE(H405,F405,CZ$2),Español!$A:$H,7,FALSE)=N405,1,0)</f>
        <v>#N/A</v>
      </c>
      <c r="DA405" s="138" t="e">
        <f>IF(VLOOKUP(CONCATENATE(H405,F405,DA$2),Español!$A:$H,7,FALSE)=O405,1,0)</f>
        <v>#N/A</v>
      </c>
      <c r="DB405" s="138" t="e">
        <f>IF(VLOOKUP(CONCATENATE(H405,F405,DB$2),Español!$A:$H,7,FALSE)=P405,1,0)</f>
        <v>#N/A</v>
      </c>
      <c r="DC405" s="138" t="e">
        <f>IF(VLOOKUP(CONCATENATE(H405,F405,DC$2),Español!$A:$H,7,FALSE)=Q405,1,0)</f>
        <v>#N/A</v>
      </c>
      <c r="DD405" s="138" t="e">
        <f>IF(VLOOKUP(CONCATENATE(H405,F405,DD$2),Español!$A:$H,7,FALSE)=R405,1,0)</f>
        <v>#N/A</v>
      </c>
      <c r="DE405" s="138" t="e">
        <f>IF(VLOOKUP(CONCATENATE(H405,F405,DE$2),Español!$A:$H,7,FALSE)=S405,1,0)</f>
        <v>#N/A</v>
      </c>
      <c r="DF405" s="138" t="e">
        <f>IF(VLOOKUP(CONCATENATE(H405,F405,DF$2),Español!$A:$H,7,FALSE)=T405,1,0)</f>
        <v>#N/A</v>
      </c>
      <c r="DG405" s="138" t="e">
        <f>IF(VLOOKUP(CONCATENATE(H405,F405,DG$2),Español!$A:$H,7,FALSE)=U405,1,0)</f>
        <v>#N/A</v>
      </c>
      <c r="DH405" s="138" t="e">
        <f>IF(VLOOKUP(CONCATENATE(H405,F405,DH$2),Español!$A:$H,7,FALSE)=V405,1,0)</f>
        <v>#N/A</v>
      </c>
      <c r="DI405" s="138" t="e">
        <f>IF(VLOOKUP(CONCATENATE(H405,F405,DI$2),Español!$A:$H,7,FALSE)=W405,1,0)</f>
        <v>#N/A</v>
      </c>
      <c r="DJ405" s="138" t="e">
        <f>IF(VLOOKUP(CONCATENATE(H405,F405,DJ$2),Español!$A:$H,7,FALSE)=X405,1,0)</f>
        <v>#N/A</v>
      </c>
      <c r="DK405" s="138" t="e">
        <f>IF(VLOOKUP(CONCATENATE(H405,F405,DK$2),Español!$A:$H,7,FALSE)=Y405,1,0)</f>
        <v>#N/A</v>
      </c>
      <c r="DL405" s="138" t="e">
        <f>IF(VLOOKUP(CONCATENATE(H405,F405,DL$2),Español!$A:$H,7,FALSE)=Z405,1,0)</f>
        <v>#N/A</v>
      </c>
      <c r="DM405" s="138" t="e">
        <f>IF(VLOOKUP(CONCATENATE(H405,F405,DM$2),Español!$A:$H,7,FALSE)=AA405,1,0)</f>
        <v>#N/A</v>
      </c>
      <c r="DN405" s="138" t="e">
        <f>IF(VLOOKUP(CONCATENATE(H405,F405,DN$2),Español!$A:$H,7,FALSE)=AB405,1,0)</f>
        <v>#N/A</v>
      </c>
      <c r="DO405" s="138" t="e">
        <f>IF(VLOOKUP(CONCATENATE(H405,F405,DO$2),Español!$A:$H,7,FALSE)=AC405,1,0)</f>
        <v>#N/A</v>
      </c>
      <c r="DP405" s="138" t="e">
        <f>IF(VLOOKUP(CONCATENATE(H405,F405,DP$2),Español!$A:$H,7,FALSE)=AD405,1,0)</f>
        <v>#N/A</v>
      </c>
      <c r="DQ405" s="138" t="e">
        <f>IF(VLOOKUP(CONCATENATE(H405,F405,DQ$2),Español!$A:$H,7,FALSE)=AE405,1,0)</f>
        <v>#N/A</v>
      </c>
      <c r="DR405" s="138" t="e">
        <f>IF(VLOOKUP(CONCATENATE(H405,F405,DR$2),Inglés!$A:$H,7,FALSE)=AF405,1,0)</f>
        <v>#N/A</v>
      </c>
      <c r="DS405" s="138" t="e">
        <f>IF(VLOOKUP(CONCATENATE(H405,F405,DS$2),Inglés!$A:$H,7,FALSE)=AG405,1,0)</f>
        <v>#N/A</v>
      </c>
      <c r="DT405" s="138" t="e">
        <f>IF(VLOOKUP(CONCATENATE(H405,F405,DT$2),Inglés!$A:$H,7,FALSE)=AH405,1,0)</f>
        <v>#N/A</v>
      </c>
      <c r="DU405" s="138" t="e">
        <f>IF(VLOOKUP(CONCATENATE(H405,F405,DU$2),Inglés!$A:$H,7,FALSE)=AI405,1,0)</f>
        <v>#N/A</v>
      </c>
      <c r="DV405" s="138" t="e">
        <f>IF(VLOOKUP(CONCATENATE(H405,F405,DV$2),Inglés!$A:$H,7,FALSE)=AJ405,1,0)</f>
        <v>#N/A</v>
      </c>
      <c r="DW405" s="138" t="e">
        <f>IF(VLOOKUP(CONCATENATE(H405,F405,DW$2),Inglés!$A:$H,7,FALSE)=AK405,1,0)</f>
        <v>#N/A</v>
      </c>
      <c r="DX405" s="138" t="e">
        <f>IF(VLOOKUP(CONCATENATE(H405,F405,DX$2),Inglés!$A:$H,7,FALSE)=AL405,1,0)</f>
        <v>#N/A</v>
      </c>
      <c r="DY405" s="138" t="e">
        <f>IF(VLOOKUP(CONCATENATE(H405,F405,DY$2),Inglés!$A:$H,7,FALSE)=AM405,1,0)</f>
        <v>#N/A</v>
      </c>
      <c r="DZ405" s="138" t="e">
        <f>IF(VLOOKUP(CONCATENATE(H405,F405,DZ$2),Inglés!$A:$H,7,FALSE)=AN405,1,0)</f>
        <v>#N/A</v>
      </c>
      <c r="EA405" s="138" t="e">
        <f>IF(VLOOKUP(CONCATENATE(H405,F405,EA$2),Inglés!$A:$H,7,FALSE)=AO405,1,0)</f>
        <v>#N/A</v>
      </c>
      <c r="EB405" s="138" t="e">
        <f>IF(VLOOKUP(CONCATENATE(H405,F405,EB$2),Matemáticas!$A:$H,7,FALSE)=AP405,1,0)</f>
        <v>#N/A</v>
      </c>
      <c r="EC405" s="138" t="e">
        <f>IF(VLOOKUP(CONCATENATE(H405,F405,EC$2),Matemáticas!$A:$H,7,FALSE)=AQ405,1,0)</f>
        <v>#N/A</v>
      </c>
      <c r="ED405" s="138" t="e">
        <f>IF(VLOOKUP(CONCATENATE(H405,F405,ED$2),Matemáticas!$A:$H,7,FALSE)=AR405,1,0)</f>
        <v>#N/A</v>
      </c>
      <c r="EE405" s="138" t="e">
        <f>IF(VLOOKUP(CONCATENATE(H405,F405,EE$2),Matemáticas!$A:$H,7,FALSE)=AS405,1,0)</f>
        <v>#N/A</v>
      </c>
      <c r="EF405" s="138" t="e">
        <f>IF(VLOOKUP(CONCATENATE(H405,F405,EF$2),Matemáticas!$A:$H,7,FALSE)=AT405,1,0)</f>
        <v>#N/A</v>
      </c>
      <c r="EG405" s="138" t="e">
        <f>IF(VLOOKUP(CONCATENATE(H405,F405,EG$2),Matemáticas!$A:$H,7,FALSE)=AU405,1,0)</f>
        <v>#N/A</v>
      </c>
      <c r="EH405" s="138" t="e">
        <f>IF(VLOOKUP(CONCATENATE(H405,F405,EH$2),Matemáticas!$A:$H,7,FALSE)=AV405,1,0)</f>
        <v>#N/A</v>
      </c>
      <c r="EI405" s="138" t="e">
        <f>IF(VLOOKUP(CONCATENATE(H405,F405,EI$2),Matemáticas!$A:$H,7,FALSE)=AW405,1,0)</f>
        <v>#N/A</v>
      </c>
      <c r="EJ405" s="138" t="e">
        <f>IF(VLOOKUP(CONCATENATE(H405,F405,EJ$2),Matemáticas!$A:$H,7,FALSE)=AX405,1,0)</f>
        <v>#N/A</v>
      </c>
      <c r="EK405" s="138" t="e">
        <f>IF(VLOOKUP(CONCATENATE(H405,F405,EK$2),Matemáticas!$A:$H,7,FALSE)=AY405,1,0)</f>
        <v>#N/A</v>
      </c>
      <c r="EL405" s="138" t="e">
        <f>IF(VLOOKUP(CONCATENATE(H405,F405,EL$2),Matemáticas!$A:$H,7,FALSE)=AZ405,1,0)</f>
        <v>#N/A</v>
      </c>
      <c r="EM405" s="138" t="e">
        <f>IF(VLOOKUP(CONCATENATE(H405,F405,EM$2),Matemáticas!$A:$H,7,FALSE)=BA405,1,0)</f>
        <v>#N/A</v>
      </c>
      <c r="EN405" s="138" t="e">
        <f>IF(VLOOKUP(CONCATENATE(H405,F405,EN$2),Matemáticas!$A:$H,7,FALSE)=BB405,1,0)</f>
        <v>#N/A</v>
      </c>
      <c r="EO405" s="138" t="e">
        <f>IF(VLOOKUP(CONCATENATE(H405,F405,EO$2),Matemáticas!$A:$H,7,FALSE)=BC405,1,0)</f>
        <v>#N/A</v>
      </c>
      <c r="EP405" s="138" t="e">
        <f>IF(VLOOKUP(CONCATENATE(H405,F405,EP$2),Matemáticas!$A:$H,7,FALSE)=BD405,1,0)</f>
        <v>#N/A</v>
      </c>
      <c r="EQ405" s="138" t="e">
        <f>IF(VLOOKUP(CONCATENATE(H405,F405,EQ$2),Matemáticas!$A:$H,7,FALSE)=BE405,1,0)</f>
        <v>#N/A</v>
      </c>
      <c r="ER405" s="138" t="e">
        <f>IF(VLOOKUP(CONCATENATE(H405,F405,ER$2),Matemáticas!$A:$H,7,FALSE)=BF405,1,0)</f>
        <v>#N/A</v>
      </c>
      <c r="ES405" s="138" t="e">
        <f>IF(VLOOKUP(CONCATENATE(H405,F405,ES$2),Matemáticas!$A:$H,7,FALSE)=BG405,1,0)</f>
        <v>#N/A</v>
      </c>
      <c r="ET405" s="138" t="e">
        <f>IF(VLOOKUP(CONCATENATE(H405,F405,ET$2),Matemáticas!$A:$H,7,FALSE)=BH405,1,0)</f>
        <v>#N/A</v>
      </c>
      <c r="EU405" s="138" t="e">
        <f>IF(VLOOKUP(CONCATENATE(H405,F405,EU$2),Matemáticas!$A:$H,7,FALSE)=BI405,1,0)</f>
        <v>#N/A</v>
      </c>
      <c r="EV405" s="138" t="e">
        <f>IF(VLOOKUP(CONCATENATE(H405,F405,EV$2),Ciencias!$A:$H,7,FALSE)=BJ405,1,0)</f>
        <v>#N/A</v>
      </c>
      <c r="EW405" s="138" t="e">
        <f>IF(VLOOKUP(CONCATENATE(H405,F405,EW$2),Ciencias!$A:$H,7,FALSE)=BK405,1,0)</f>
        <v>#N/A</v>
      </c>
      <c r="EX405" s="138" t="e">
        <f>IF(VLOOKUP(CONCATENATE(H405,F405,EX$2),Ciencias!$A:$H,7,FALSE)=BL405,1,0)</f>
        <v>#N/A</v>
      </c>
      <c r="EY405" s="138" t="e">
        <f>IF(VLOOKUP(CONCATENATE(H405,F405,EY$2),Ciencias!$A:$H,7,FALSE)=BM405,1,0)</f>
        <v>#N/A</v>
      </c>
      <c r="EZ405" s="138" t="e">
        <f>IF(VLOOKUP(CONCATENATE(H405,F405,EZ$2),Ciencias!$A:$H,7,FALSE)=BN405,1,0)</f>
        <v>#N/A</v>
      </c>
      <c r="FA405" s="138" t="e">
        <f>IF(VLOOKUP(CONCATENATE(H405,F405,FA$2),Ciencias!$A:$H,7,FALSE)=BO405,1,0)</f>
        <v>#N/A</v>
      </c>
      <c r="FB405" s="138" t="e">
        <f>IF(VLOOKUP(CONCATENATE(H405,F405,FB$2),Ciencias!$A:$H,7,FALSE)=BP405,1,0)</f>
        <v>#N/A</v>
      </c>
      <c r="FC405" s="138" t="e">
        <f>IF(VLOOKUP(CONCATENATE(H405,F405,FC$2),Ciencias!$A:$H,7,FALSE)=BQ405,1,0)</f>
        <v>#N/A</v>
      </c>
      <c r="FD405" s="138" t="e">
        <f>IF(VLOOKUP(CONCATENATE(H405,F405,FD$2),Ciencias!$A:$H,7,FALSE)=BR405,1,0)</f>
        <v>#N/A</v>
      </c>
      <c r="FE405" s="138" t="e">
        <f>IF(VLOOKUP(CONCATENATE(H405,F405,FE$2),Ciencias!$A:$H,7,FALSE)=BS405,1,0)</f>
        <v>#N/A</v>
      </c>
      <c r="FF405" s="138" t="e">
        <f>IF(VLOOKUP(CONCATENATE(H405,F405,FF$2),Ciencias!$A:$H,7,FALSE)=BT405,1,0)</f>
        <v>#N/A</v>
      </c>
      <c r="FG405" s="138" t="e">
        <f>IF(VLOOKUP(CONCATENATE(H405,F405,FG$2),Ciencias!$A:$H,7,FALSE)=BU405,1,0)</f>
        <v>#N/A</v>
      </c>
      <c r="FH405" s="138" t="e">
        <f>IF(VLOOKUP(CONCATENATE(H405,F405,FH$2),Ciencias!$A:$H,7,FALSE)=BV405,1,0)</f>
        <v>#N/A</v>
      </c>
      <c r="FI405" s="138" t="e">
        <f>IF(VLOOKUP(CONCATENATE(H405,F405,FI$2),Ciencias!$A:$H,7,FALSE)=BW405,1,0)</f>
        <v>#N/A</v>
      </c>
      <c r="FJ405" s="138" t="e">
        <f>IF(VLOOKUP(CONCATENATE(H405,F405,FJ$2),Ciencias!$A:$H,7,FALSE)=BX405,1,0)</f>
        <v>#N/A</v>
      </c>
      <c r="FK405" s="138" t="e">
        <f>IF(VLOOKUP(CONCATENATE(H405,F405,FK$2),Ciencias!$A:$H,7,FALSE)=BY405,1,0)</f>
        <v>#N/A</v>
      </c>
      <c r="FL405" s="138" t="e">
        <f>IF(VLOOKUP(CONCATENATE(H405,F405,FL$2),Ciencias!$A:$H,7,FALSE)=BZ405,1,0)</f>
        <v>#N/A</v>
      </c>
      <c r="FM405" s="138" t="e">
        <f>IF(VLOOKUP(CONCATENATE(H405,F405,FM$2),Ciencias!$A:$H,7,FALSE)=CA405,1,0)</f>
        <v>#N/A</v>
      </c>
      <c r="FN405" s="138" t="e">
        <f>IF(VLOOKUP(CONCATENATE(H405,F405,FN$2),Ciencias!$A:$H,7,FALSE)=CB405,1,0)</f>
        <v>#N/A</v>
      </c>
      <c r="FO405" s="138" t="e">
        <f>IF(VLOOKUP(CONCATENATE(H405,F405,FO$2),Ciencias!$A:$H,7,FALSE)=CC405,1,0)</f>
        <v>#N/A</v>
      </c>
      <c r="FP405" s="138" t="e">
        <f>IF(VLOOKUP(CONCATENATE(H405,F405,FP$2),GeoHis!$A:$H,7,FALSE)=CD405,1,0)</f>
        <v>#N/A</v>
      </c>
      <c r="FQ405" s="138" t="e">
        <f>IF(VLOOKUP(CONCATENATE(H405,F405,FQ$2),GeoHis!$A:$H,7,FALSE)=CE405,1,0)</f>
        <v>#N/A</v>
      </c>
      <c r="FR405" s="138" t="e">
        <f>IF(VLOOKUP(CONCATENATE(H405,F405,FR$2),GeoHis!$A:$H,7,FALSE)=CF405,1,0)</f>
        <v>#N/A</v>
      </c>
      <c r="FS405" s="138" t="e">
        <f>IF(VLOOKUP(CONCATENATE(H405,F405,FS$2),GeoHis!$A:$H,7,FALSE)=CG405,1,0)</f>
        <v>#N/A</v>
      </c>
      <c r="FT405" s="138" t="e">
        <f>IF(VLOOKUP(CONCATENATE(H405,F405,FT$2),GeoHis!$A:$H,7,FALSE)=CH405,1,0)</f>
        <v>#N/A</v>
      </c>
      <c r="FU405" s="138" t="e">
        <f>IF(VLOOKUP(CONCATENATE(H405,F405,FU$2),GeoHis!$A:$H,7,FALSE)=CI405,1,0)</f>
        <v>#N/A</v>
      </c>
      <c r="FV405" s="138" t="e">
        <f>IF(VLOOKUP(CONCATENATE(H405,F405,FV$2),GeoHis!$A:$H,7,FALSE)=CJ405,1,0)</f>
        <v>#N/A</v>
      </c>
      <c r="FW405" s="138" t="e">
        <f>IF(VLOOKUP(CONCATENATE(H405,F405,FW$2),GeoHis!$A:$H,7,FALSE)=CK405,1,0)</f>
        <v>#N/A</v>
      </c>
      <c r="FX405" s="138" t="e">
        <f>IF(VLOOKUP(CONCATENATE(H405,F405,FX$2),GeoHis!$A:$H,7,FALSE)=CL405,1,0)</f>
        <v>#N/A</v>
      </c>
      <c r="FY405" s="138" t="e">
        <f>IF(VLOOKUP(CONCATENATE(H405,F405,FY$2),GeoHis!$A:$H,7,FALSE)=CM405,1,0)</f>
        <v>#N/A</v>
      </c>
      <c r="FZ405" s="138" t="e">
        <f>IF(VLOOKUP(CONCATENATE(H405,F405,FZ$2),GeoHis!$A:$H,7,FALSE)=CN405,1,0)</f>
        <v>#N/A</v>
      </c>
      <c r="GA405" s="138" t="e">
        <f>IF(VLOOKUP(CONCATENATE(H405,F405,GA$2),GeoHis!$A:$H,7,FALSE)=CO405,1,0)</f>
        <v>#N/A</v>
      </c>
      <c r="GB405" s="138" t="e">
        <f>IF(VLOOKUP(CONCATENATE(H405,F405,GB$2),GeoHis!$A:$H,7,FALSE)=CP405,1,0)</f>
        <v>#N/A</v>
      </c>
      <c r="GC405" s="138" t="e">
        <f>IF(VLOOKUP(CONCATENATE(H405,F405,GC$2),GeoHis!$A:$H,7,FALSE)=CQ405,1,0)</f>
        <v>#N/A</v>
      </c>
      <c r="GD405" s="138" t="e">
        <f>IF(VLOOKUP(CONCATENATE(H405,F405,GD$2),GeoHis!$A:$H,7,FALSE)=CR405,1,0)</f>
        <v>#N/A</v>
      </c>
      <c r="GE405" s="135" t="str">
        <f t="shared" si="55"/>
        <v/>
      </c>
    </row>
    <row r="406" spans="1:187" x14ac:dyDescent="0.25">
      <c r="A406" s="127" t="str">
        <f>IF(C406="","",'Datos Generales'!$A$25)</f>
        <v/>
      </c>
      <c r="D406" s="126" t="str">
        <f t="shared" si="48"/>
        <v/>
      </c>
      <c r="E406" s="126">
        <f t="shared" si="49"/>
        <v>0</v>
      </c>
      <c r="F406" s="126" t="str">
        <f t="shared" si="50"/>
        <v/>
      </c>
      <c r="G406" s="126" t="str">
        <f>IF(C406="","",'Datos Generales'!$D$19)</f>
        <v/>
      </c>
      <c r="H406" s="21" t="str">
        <f>IF(C406="","",'Datos Generales'!$A$19)</f>
        <v/>
      </c>
      <c r="I406" s="126" t="str">
        <f>IF(C406="","",'Datos Generales'!$A$7)</f>
        <v/>
      </c>
      <c r="J406" s="21" t="str">
        <f>IF(C406="","",'Datos Generales'!$A$13)</f>
        <v/>
      </c>
      <c r="K406" s="21" t="str">
        <f>IF(C406="","",'Datos Generales'!$A$10)</f>
        <v/>
      </c>
      <c r="CS406" s="142" t="str">
        <f t="shared" si="51"/>
        <v/>
      </c>
      <c r="CT406" s="142" t="str">
        <f t="shared" si="52"/>
        <v/>
      </c>
      <c r="CU406" s="142" t="str">
        <f t="shared" si="53"/>
        <v/>
      </c>
      <c r="CV406" s="142" t="str">
        <f t="shared" si="54"/>
        <v/>
      </c>
      <c r="CW406" s="142" t="str">
        <f>IF(C406="","",IF('Datos Generales'!$A$19=1,AVERAGE(FP406:GD406),AVERAGE(Captura!FP406:FY406)))</f>
        <v/>
      </c>
      <c r="CX406" s="138" t="e">
        <f>IF(VLOOKUP(CONCATENATE($H$4,$F$4,CX$2),Español!$A:$H,7,FALSE)=L406,1,0)</f>
        <v>#N/A</v>
      </c>
      <c r="CY406" s="138" t="e">
        <f>IF(VLOOKUP(CONCATENATE(H406,F406,CY$2),Español!$A:$H,7,FALSE)=M406,1,0)</f>
        <v>#N/A</v>
      </c>
      <c r="CZ406" s="138" t="e">
        <f>IF(VLOOKUP(CONCATENATE(H406,F406,CZ$2),Español!$A:$H,7,FALSE)=N406,1,0)</f>
        <v>#N/A</v>
      </c>
      <c r="DA406" s="138" t="e">
        <f>IF(VLOOKUP(CONCATENATE(H406,F406,DA$2),Español!$A:$H,7,FALSE)=O406,1,0)</f>
        <v>#N/A</v>
      </c>
      <c r="DB406" s="138" t="e">
        <f>IF(VLOOKUP(CONCATENATE(H406,F406,DB$2),Español!$A:$H,7,FALSE)=P406,1,0)</f>
        <v>#N/A</v>
      </c>
      <c r="DC406" s="138" t="e">
        <f>IF(VLOOKUP(CONCATENATE(H406,F406,DC$2),Español!$A:$H,7,FALSE)=Q406,1,0)</f>
        <v>#N/A</v>
      </c>
      <c r="DD406" s="138" t="e">
        <f>IF(VLOOKUP(CONCATENATE(H406,F406,DD$2),Español!$A:$H,7,FALSE)=R406,1,0)</f>
        <v>#N/A</v>
      </c>
      <c r="DE406" s="138" t="e">
        <f>IF(VLOOKUP(CONCATENATE(H406,F406,DE$2),Español!$A:$H,7,FALSE)=S406,1,0)</f>
        <v>#N/A</v>
      </c>
      <c r="DF406" s="138" t="e">
        <f>IF(VLOOKUP(CONCATENATE(H406,F406,DF$2),Español!$A:$H,7,FALSE)=T406,1,0)</f>
        <v>#N/A</v>
      </c>
      <c r="DG406" s="138" t="e">
        <f>IF(VLOOKUP(CONCATENATE(H406,F406,DG$2),Español!$A:$H,7,FALSE)=U406,1,0)</f>
        <v>#N/A</v>
      </c>
      <c r="DH406" s="138" t="e">
        <f>IF(VLOOKUP(CONCATENATE(H406,F406,DH$2),Español!$A:$H,7,FALSE)=V406,1,0)</f>
        <v>#N/A</v>
      </c>
      <c r="DI406" s="138" t="e">
        <f>IF(VLOOKUP(CONCATENATE(H406,F406,DI$2),Español!$A:$H,7,FALSE)=W406,1,0)</f>
        <v>#N/A</v>
      </c>
      <c r="DJ406" s="138" t="e">
        <f>IF(VLOOKUP(CONCATENATE(H406,F406,DJ$2),Español!$A:$H,7,FALSE)=X406,1,0)</f>
        <v>#N/A</v>
      </c>
      <c r="DK406" s="138" t="e">
        <f>IF(VLOOKUP(CONCATENATE(H406,F406,DK$2),Español!$A:$H,7,FALSE)=Y406,1,0)</f>
        <v>#N/A</v>
      </c>
      <c r="DL406" s="138" t="e">
        <f>IF(VLOOKUP(CONCATENATE(H406,F406,DL$2),Español!$A:$H,7,FALSE)=Z406,1,0)</f>
        <v>#N/A</v>
      </c>
      <c r="DM406" s="138" t="e">
        <f>IF(VLOOKUP(CONCATENATE(H406,F406,DM$2),Español!$A:$H,7,FALSE)=AA406,1,0)</f>
        <v>#N/A</v>
      </c>
      <c r="DN406" s="138" t="e">
        <f>IF(VLOOKUP(CONCATENATE(H406,F406,DN$2),Español!$A:$H,7,FALSE)=AB406,1,0)</f>
        <v>#N/A</v>
      </c>
      <c r="DO406" s="138" t="e">
        <f>IF(VLOOKUP(CONCATENATE(H406,F406,DO$2),Español!$A:$H,7,FALSE)=AC406,1,0)</f>
        <v>#N/A</v>
      </c>
      <c r="DP406" s="138" t="e">
        <f>IF(VLOOKUP(CONCATENATE(H406,F406,DP$2),Español!$A:$H,7,FALSE)=AD406,1,0)</f>
        <v>#N/A</v>
      </c>
      <c r="DQ406" s="138" t="e">
        <f>IF(VLOOKUP(CONCATENATE(H406,F406,DQ$2),Español!$A:$H,7,FALSE)=AE406,1,0)</f>
        <v>#N/A</v>
      </c>
      <c r="DR406" s="138" t="e">
        <f>IF(VLOOKUP(CONCATENATE(H406,F406,DR$2),Inglés!$A:$H,7,FALSE)=AF406,1,0)</f>
        <v>#N/A</v>
      </c>
      <c r="DS406" s="138" t="e">
        <f>IF(VLOOKUP(CONCATENATE(H406,F406,DS$2),Inglés!$A:$H,7,FALSE)=AG406,1,0)</f>
        <v>#N/A</v>
      </c>
      <c r="DT406" s="138" t="e">
        <f>IF(VLOOKUP(CONCATENATE(H406,F406,DT$2),Inglés!$A:$H,7,FALSE)=AH406,1,0)</f>
        <v>#N/A</v>
      </c>
      <c r="DU406" s="138" t="e">
        <f>IF(VLOOKUP(CONCATENATE(H406,F406,DU$2),Inglés!$A:$H,7,FALSE)=AI406,1,0)</f>
        <v>#N/A</v>
      </c>
      <c r="DV406" s="138" t="e">
        <f>IF(VLOOKUP(CONCATENATE(H406,F406,DV$2),Inglés!$A:$H,7,FALSE)=AJ406,1,0)</f>
        <v>#N/A</v>
      </c>
      <c r="DW406" s="138" t="e">
        <f>IF(VLOOKUP(CONCATENATE(H406,F406,DW$2),Inglés!$A:$H,7,FALSE)=AK406,1,0)</f>
        <v>#N/A</v>
      </c>
      <c r="DX406" s="138" t="e">
        <f>IF(VLOOKUP(CONCATENATE(H406,F406,DX$2),Inglés!$A:$H,7,FALSE)=AL406,1,0)</f>
        <v>#N/A</v>
      </c>
      <c r="DY406" s="138" t="e">
        <f>IF(VLOOKUP(CONCATENATE(H406,F406,DY$2),Inglés!$A:$H,7,FALSE)=AM406,1,0)</f>
        <v>#N/A</v>
      </c>
      <c r="DZ406" s="138" t="e">
        <f>IF(VLOOKUP(CONCATENATE(H406,F406,DZ$2),Inglés!$A:$H,7,FALSE)=AN406,1,0)</f>
        <v>#N/A</v>
      </c>
      <c r="EA406" s="138" t="e">
        <f>IF(VLOOKUP(CONCATENATE(H406,F406,EA$2),Inglés!$A:$H,7,FALSE)=AO406,1,0)</f>
        <v>#N/A</v>
      </c>
      <c r="EB406" s="138" t="e">
        <f>IF(VLOOKUP(CONCATENATE(H406,F406,EB$2),Matemáticas!$A:$H,7,FALSE)=AP406,1,0)</f>
        <v>#N/A</v>
      </c>
      <c r="EC406" s="138" t="e">
        <f>IF(VLOOKUP(CONCATENATE(H406,F406,EC$2),Matemáticas!$A:$H,7,FALSE)=AQ406,1,0)</f>
        <v>#N/A</v>
      </c>
      <c r="ED406" s="138" t="e">
        <f>IF(VLOOKUP(CONCATENATE(H406,F406,ED$2),Matemáticas!$A:$H,7,FALSE)=AR406,1,0)</f>
        <v>#N/A</v>
      </c>
      <c r="EE406" s="138" t="e">
        <f>IF(VLOOKUP(CONCATENATE(H406,F406,EE$2),Matemáticas!$A:$H,7,FALSE)=AS406,1,0)</f>
        <v>#N/A</v>
      </c>
      <c r="EF406" s="138" t="e">
        <f>IF(VLOOKUP(CONCATENATE(H406,F406,EF$2),Matemáticas!$A:$H,7,FALSE)=AT406,1,0)</f>
        <v>#N/A</v>
      </c>
      <c r="EG406" s="138" t="e">
        <f>IF(VLOOKUP(CONCATENATE(H406,F406,EG$2),Matemáticas!$A:$H,7,FALSE)=AU406,1,0)</f>
        <v>#N/A</v>
      </c>
      <c r="EH406" s="138" t="e">
        <f>IF(VLOOKUP(CONCATENATE(H406,F406,EH$2),Matemáticas!$A:$H,7,FALSE)=AV406,1,0)</f>
        <v>#N/A</v>
      </c>
      <c r="EI406" s="138" t="e">
        <f>IF(VLOOKUP(CONCATENATE(H406,F406,EI$2),Matemáticas!$A:$H,7,FALSE)=AW406,1,0)</f>
        <v>#N/A</v>
      </c>
      <c r="EJ406" s="138" t="e">
        <f>IF(VLOOKUP(CONCATENATE(H406,F406,EJ$2),Matemáticas!$A:$H,7,FALSE)=AX406,1,0)</f>
        <v>#N/A</v>
      </c>
      <c r="EK406" s="138" t="e">
        <f>IF(VLOOKUP(CONCATENATE(H406,F406,EK$2),Matemáticas!$A:$H,7,FALSE)=AY406,1,0)</f>
        <v>#N/A</v>
      </c>
      <c r="EL406" s="138" t="e">
        <f>IF(VLOOKUP(CONCATENATE(H406,F406,EL$2),Matemáticas!$A:$H,7,FALSE)=AZ406,1,0)</f>
        <v>#N/A</v>
      </c>
      <c r="EM406" s="138" t="e">
        <f>IF(VLOOKUP(CONCATENATE(H406,F406,EM$2),Matemáticas!$A:$H,7,FALSE)=BA406,1,0)</f>
        <v>#N/A</v>
      </c>
      <c r="EN406" s="138" t="e">
        <f>IF(VLOOKUP(CONCATENATE(H406,F406,EN$2),Matemáticas!$A:$H,7,FALSE)=BB406,1,0)</f>
        <v>#N/A</v>
      </c>
      <c r="EO406" s="138" t="e">
        <f>IF(VLOOKUP(CONCATENATE(H406,F406,EO$2),Matemáticas!$A:$H,7,FALSE)=BC406,1,0)</f>
        <v>#N/A</v>
      </c>
      <c r="EP406" s="138" t="e">
        <f>IF(VLOOKUP(CONCATENATE(H406,F406,EP$2),Matemáticas!$A:$H,7,FALSE)=BD406,1,0)</f>
        <v>#N/A</v>
      </c>
      <c r="EQ406" s="138" t="e">
        <f>IF(VLOOKUP(CONCATENATE(H406,F406,EQ$2),Matemáticas!$A:$H,7,FALSE)=BE406,1,0)</f>
        <v>#N/A</v>
      </c>
      <c r="ER406" s="138" t="e">
        <f>IF(VLOOKUP(CONCATENATE(H406,F406,ER$2),Matemáticas!$A:$H,7,FALSE)=BF406,1,0)</f>
        <v>#N/A</v>
      </c>
      <c r="ES406" s="138" t="e">
        <f>IF(VLOOKUP(CONCATENATE(H406,F406,ES$2),Matemáticas!$A:$H,7,FALSE)=BG406,1,0)</f>
        <v>#N/A</v>
      </c>
      <c r="ET406" s="138" t="e">
        <f>IF(VLOOKUP(CONCATENATE(H406,F406,ET$2),Matemáticas!$A:$H,7,FALSE)=BH406,1,0)</f>
        <v>#N/A</v>
      </c>
      <c r="EU406" s="138" t="e">
        <f>IF(VLOOKUP(CONCATENATE(H406,F406,EU$2),Matemáticas!$A:$H,7,FALSE)=BI406,1,0)</f>
        <v>#N/A</v>
      </c>
      <c r="EV406" s="138" t="e">
        <f>IF(VLOOKUP(CONCATENATE(H406,F406,EV$2),Ciencias!$A:$H,7,FALSE)=BJ406,1,0)</f>
        <v>#N/A</v>
      </c>
      <c r="EW406" s="138" t="e">
        <f>IF(VLOOKUP(CONCATENATE(H406,F406,EW$2),Ciencias!$A:$H,7,FALSE)=BK406,1,0)</f>
        <v>#N/A</v>
      </c>
      <c r="EX406" s="138" t="e">
        <f>IF(VLOOKUP(CONCATENATE(H406,F406,EX$2),Ciencias!$A:$H,7,FALSE)=BL406,1,0)</f>
        <v>#N/A</v>
      </c>
      <c r="EY406" s="138" t="e">
        <f>IF(VLOOKUP(CONCATENATE(H406,F406,EY$2),Ciencias!$A:$H,7,FALSE)=BM406,1,0)</f>
        <v>#N/A</v>
      </c>
      <c r="EZ406" s="138" t="e">
        <f>IF(VLOOKUP(CONCATENATE(H406,F406,EZ$2),Ciencias!$A:$H,7,FALSE)=BN406,1,0)</f>
        <v>#N/A</v>
      </c>
      <c r="FA406" s="138" t="e">
        <f>IF(VLOOKUP(CONCATENATE(H406,F406,FA$2),Ciencias!$A:$H,7,FALSE)=BO406,1,0)</f>
        <v>#N/A</v>
      </c>
      <c r="FB406" s="138" t="e">
        <f>IF(VLOOKUP(CONCATENATE(H406,F406,FB$2),Ciencias!$A:$H,7,FALSE)=BP406,1,0)</f>
        <v>#N/A</v>
      </c>
      <c r="FC406" s="138" t="e">
        <f>IF(VLOOKUP(CONCATENATE(H406,F406,FC$2),Ciencias!$A:$H,7,FALSE)=BQ406,1,0)</f>
        <v>#N/A</v>
      </c>
      <c r="FD406" s="138" t="e">
        <f>IF(VLOOKUP(CONCATENATE(H406,F406,FD$2),Ciencias!$A:$H,7,FALSE)=BR406,1,0)</f>
        <v>#N/A</v>
      </c>
      <c r="FE406" s="138" t="e">
        <f>IF(VLOOKUP(CONCATENATE(H406,F406,FE$2),Ciencias!$A:$H,7,FALSE)=BS406,1,0)</f>
        <v>#N/A</v>
      </c>
      <c r="FF406" s="138" t="e">
        <f>IF(VLOOKUP(CONCATENATE(H406,F406,FF$2),Ciencias!$A:$H,7,FALSE)=BT406,1,0)</f>
        <v>#N/A</v>
      </c>
      <c r="FG406" s="138" t="e">
        <f>IF(VLOOKUP(CONCATENATE(H406,F406,FG$2),Ciencias!$A:$H,7,FALSE)=BU406,1,0)</f>
        <v>#N/A</v>
      </c>
      <c r="FH406" s="138" t="e">
        <f>IF(VLOOKUP(CONCATENATE(H406,F406,FH$2),Ciencias!$A:$H,7,FALSE)=BV406,1,0)</f>
        <v>#N/A</v>
      </c>
      <c r="FI406" s="138" t="e">
        <f>IF(VLOOKUP(CONCATENATE(H406,F406,FI$2),Ciencias!$A:$H,7,FALSE)=BW406,1,0)</f>
        <v>#N/A</v>
      </c>
      <c r="FJ406" s="138" t="e">
        <f>IF(VLOOKUP(CONCATENATE(H406,F406,FJ$2),Ciencias!$A:$H,7,FALSE)=BX406,1,0)</f>
        <v>#N/A</v>
      </c>
      <c r="FK406" s="138" t="e">
        <f>IF(VLOOKUP(CONCATENATE(H406,F406,FK$2),Ciencias!$A:$H,7,FALSE)=BY406,1,0)</f>
        <v>#N/A</v>
      </c>
      <c r="FL406" s="138" t="e">
        <f>IF(VLOOKUP(CONCATENATE(H406,F406,FL$2),Ciencias!$A:$H,7,FALSE)=BZ406,1,0)</f>
        <v>#N/A</v>
      </c>
      <c r="FM406" s="138" t="e">
        <f>IF(VLOOKUP(CONCATENATE(H406,F406,FM$2),Ciencias!$A:$H,7,FALSE)=CA406,1,0)</f>
        <v>#N/A</v>
      </c>
      <c r="FN406" s="138" t="e">
        <f>IF(VLOOKUP(CONCATENATE(H406,F406,FN$2),Ciencias!$A:$H,7,FALSE)=CB406,1,0)</f>
        <v>#N/A</v>
      </c>
      <c r="FO406" s="138" t="e">
        <f>IF(VLOOKUP(CONCATENATE(H406,F406,FO$2),Ciencias!$A:$H,7,FALSE)=CC406,1,0)</f>
        <v>#N/A</v>
      </c>
      <c r="FP406" s="138" t="e">
        <f>IF(VLOOKUP(CONCATENATE(H406,F406,FP$2),GeoHis!$A:$H,7,FALSE)=CD406,1,0)</f>
        <v>#N/A</v>
      </c>
      <c r="FQ406" s="138" t="e">
        <f>IF(VLOOKUP(CONCATENATE(H406,F406,FQ$2),GeoHis!$A:$H,7,FALSE)=CE406,1,0)</f>
        <v>#N/A</v>
      </c>
      <c r="FR406" s="138" t="e">
        <f>IF(VLOOKUP(CONCATENATE(H406,F406,FR$2),GeoHis!$A:$H,7,FALSE)=CF406,1,0)</f>
        <v>#N/A</v>
      </c>
      <c r="FS406" s="138" t="e">
        <f>IF(VLOOKUP(CONCATENATE(H406,F406,FS$2),GeoHis!$A:$H,7,FALSE)=CG406,1,0)</f>
        <v>#N/A</v>
      </c>
      <c r="FT406" s="138" t="e">
        <f>IF(VLOOKUP(CONCATENATE(H406,F406,FT$2),GeoHis!$A:$H,7,FALSE)=CH406,1,0)</f>
        <v>#N/A</v>
      </c>
      <c r="FU406" s="138" t="e">
        <f>IF(VLOOKUP(CONCATENATE(H406,F406,FU$2),GeoHis!$A:$H,7,FALSE)=CI406,1,0)</f>
        <v>#N/A</v>
      </c>
      <c r="FV406" s="138" t="e">
        <f>IF(VLOOKUP(CONCATENATE(H406,F406,FV$2),GeoHis!$A:$H,7,FALSE)=CJ406,1,0)</f>
        <v>#N/A</v>
      </c>
      <c r="FW406" s="138" t="e">
        <f>IF(VLOOKUP(CONCATENATE(H406,F406,FW$2),GeoHis!$A:$H,7,FALSE)=CK406,1,0)</f>
        <v>#N/A</v>
      </c>
      <c r="FX406" s="138" t="e">
        <f>IF(VLOOKUP(CONCATENATE(H406,F406,FX$2),GeoHis!$A:$H,7,FALSE)=CL406,1,0)</f>
        <v>#N/A</v>
      </c>
      <c r="FY406" s="138" t="e">
        <f>IF(VLOOKUP(CONCATENATE(H406,F406,FY$2),GeoHis!$A:$H,7,FALSE)=CM406,1,0)</f>
        <v>#N/A</v>
      </c>
      <c r="FZ406" s="138" t="e">
        <f>IF(VLOOKUP(CONCATENATE(H406,F406,FZ$2),GeoHis!$A:$H,7,FALSE)=CN406,1,0)</f>
        <v>#N/A</v>
      </c>
      <c r="GA406" s="138" t="e">
        <f>IF(VLOOKUP(CONCATENATE(H406,F406,GA$2),GeoHis!$A:$H,7,FALSE)=CO406,1,0)</f>
        <v>#N/A</v>
      </c>
      <c r="GB406" s="138" t="e">
        <f>IF(VLOOKUP(CONCATENATE(H406,F406,GB$2),GeoHis!$A:$H,7,FALSE)=CP406,1,0)</f>
        <v>#N/A</v>
      </c>
      <c r="GC406" s="138" t="e">
        <f>IF(VLOOKUP(CONCATENATE(H406,F406,GC$2),GeoHis!$A:$H,7,FALSE)=CQ406,1,0)</f>
        <v>#N/A</v>
      </c>
      <c r="GD406" s="138" t="e">
        <f>IF(VLOOKUP(CONCATENATE(H406,F406,GD$2),GeoHis!$A:$H,7,FALSE)=CR406,1,0)</f>
        <v>#N/A</v>
      </c>
      <c r="GE406" s="135" t="str">
        <f t="shared" si="55"/>
        <v/>
      </c>
    </row>
    <row r="407" spans="1:187" x14ac:dyDescent="0.25">
      <c r="A407" s="127" t="str">
        <f>IF(C407="","",'Datos Generales'!$A$25)</f>
        <v/>
      </c>
      <c r="D407" s="126" t="str">
        <f t="shared" si="48"/>
        <v/>
      </c>
      <c r="E407" s="126">
        <f t="shared" si="49"/>
        <v>0</v>
      </c>
      <c r="F407" s="126" t="str">
        <f t="shared" si="50"/>
        <v/>
      </c>
      <c r="G407" s="126" t="str">
        <f>IF(C407="","",'Datos Generales'!$D$19)</f>
        <v/>
      </c>
      <c r="H407" s="21" t="str">
        <f>IF(C407="","",'Datos Generales'!$A$19)</f>
        <v/>
      </c>
      <c r="I407" s="126" t="str">
        <f>IF(C407="","",'Datos Generales'!$A$7)</f>
        <v/>
      </c>
      <c r="J407" s="21" t="str">
        <f>IF(C407="","",'Datos Generales'!$A$13)</f>
        <v/>
      </c>
      <c r="K407" s="21" t="str">
        <f>IF(C407="","",'Datos Generales'!$A$10)</f>
        <v/>
      </c>
      <c r="CS407" s="142" t="str">
        <f t="shared" si="51"/>
        <v/>
      </c>
      <c r="CT407" s="142" t="str">
        <f t="shared" si="52"/>
        <v/>
      </c>
      <c r="CU407" s="142" t="str">
        <f t="shared" si="53"/>
        <v/>
      </c>
      <c r="CV407" s="142" t="str">
        <f t="shared" si="54"/>
        <v/>
      </c>
      <c r="CW407" s="142" t="str">
        <f>IF(C407="","",IF('Datos Generales'!$A$19=1,AVERAGE(FP407:GD407),AVERAGE(Captura!FP407:FY407)))</f>
        <v/>
      </c>
      <c r="CX407" s="138" t="e">
        <f>IF(VLOOKUP(CONCATENATE($H$4,$F$4,CX$2),Español!$A:$H,7,FALSE)=L407,1,0)</f>
        <v>#N/A</v>
      </c>
      <c r="CY407" s="138" t="e">
        <f>IF(VLOOKUP(CONCATENATE(H407,F407,CY$2),Español!$A:$H,7,FALSE)=M407,1,0)</f>
        <v>#N/A</v>
      </c>
      <c r="CZ407" s="138" t="e">
        <f>IF(VLOOKUP(CONCATENATE(H407,F407,CZ$2),Español!$A:$H,7,FALSE)=N407,1,0)</f>
        <v>#N/A</v>
      </c>
      <c r="DA407" s="138" t="e">
        <f>IF(VLOOKUP(CONCATENATE(H407,F407,DA$2),Español!$A:$H,7,FALSE)=O407,1,0)</f>
        <v>#N/A</v>
      </c>
      <c r="DB407" s="138" t="e">
        <f>IF(VLOOKUP(CONCATENATE(H407,F407,DB$2),Español!$A:$H,7,FALSE)=P407,1,0)</f>
        <v>#N/A</v>
      </c>
      <c r="DC407" s="138" t="e">
        <f>IF(VLOOKUP(CONCATENATE(H407,F407,DC$2),Español!$A:$H,7,FALSE)=Q407,1,0)</f>
        <v>#N/A</v>
      </c>
      <c r="DD407" s="138" t="e">
        <f>IF(VLOOKUP(CONCATENATE(H407,F407,DD$2),Español!$A:$H,7,FALSE)=R407,1,0)</f>
        <v>#N/A</v>
      </c>
      <c r="DE407" s="138" t="e">
        <f>IF(VLOOKUP(CONCATENATE(H407,F407,DE$2),Español!$A:$H,7,FALSE)=S407,1,0)</f>
        <v>#N/A</v>
      </c>
      <c r="DF407" s="138" t="e">
        <f>IF(VLOOKUP(CONCATENATE(H407,F407,DF$2),Español!$A:$H,7,FALSE)=T407,1,0)</f>
        <v>#N/A</v>
      </c>
      <c r="DG407" s="138" t="e">
        <f>IF(VLOOKUP(CONCATENATE(H407,F407,DG$2),Español!$A:$H,7,FALSE)=U407,1,0)</f>
        <v>#N/A</v>
      </c>
      <c r="DH407" s="138" t="e">
        <f>IF(VLOOKUP(CONCATENATE(H407,F407,DH$2),Español!$A:$H,7,FALSE)=V407,1,0)</f>
        <v>#N/A</v>
      </c>
      <c r="DI407" s="138" t="e">
        <f>IF(VLOOKUP(CONCATENATE(H407,F407,DI$2),Español!$A:$H,7,FALSE)=W407,1,0)</f>
        <v>#N/A</v>
      </c>
      <c r="DJ407" s="138" t="e">
        <f>IF(VLOOKUP(CONCATENATE(H407,F407,DJ$2),Español!$A:$H,7,FALSE)=X407,1,0)</f>
        <v>#N/A</v>
      </c>
      <c r="DK407" s="138" t="e">
        <f>IF(VLOOKUP(CONCATENATE(H407,F407,DK$2),Español!$A:$H,7,FALSE)=Y407,1,0)</f>
        <v>#N/A</v>
      </c>
      <c r="DL407" s="138" t="e">
        <f>IF(VLOOKUP(CONCATENATE(H407,F407,DL$2),Español!$A:$H,7,FALSE)=Z407,1,0)</f>
        <v>#N/A</v>
      </c>
      <c r="DM407" s="138" t="e">
        <f>IF(VLOOKUP(CONCATENATE(H407,F407,DM$2),Español!$A:$H,7,FALSE)=AA407,1,0)</f>
        <v>#N/A</v>
      </c>
      <c r="DN407" s="138" t="e">
        <f>IF(VLOOKUP(CONCATENATE(H407,F407,DN$2),Español!$A:$H,7,FALSE)=AB407,1,0)</f>
        <v>#N/A</v>
      </c>
      <c r="DO407" s="138" t="e">
        <f>IF(VLOOKUP(CONCATENATE(H407,F407,DO$2),Español!$A:$H,7,FALSE)=AC407,1,0)</f>
        <v>#N/A</v>
      </c>
      <c r="DP407" s="138" t="e">
        <f>IF(VLOOKUP(CONCATENATE(H407,F407,DP$2),Español!$A:$H,7,FALSE)=AD407,1,0)</f>
        <v>#N/A</v>
      </c>
      <c r="DQ407" s="138" t="e">
        <f>IF(VLOOKUP(CONCATENATE(H407,F407,DQ$2),Español!$A:$H,7,FALSE)=AE407,1,0)</f>
        <v>#N/A</v>
      </c>
      <c r="DR407" s="138" t="e">
        <f>IF(VLOOKUP(CONCATENATE(H407,F407,DR$2),Inglés!$A:$H,7,FALSE)=AF407,1,0)</f>
        <v>#N/A</v>
      </c>
      <c r="DS407" s="138" t="e">
        <f>IF(VLOOKUP(CONCATENATE(H407,F407,DS$2),Inglés!$A:$H,7,FALSE)=AG407,1,0)</f>
        <v>#N/A</v>
      </c>
      <c r="DT407" s="138" t="e">
        <f>IF(VLOOKUP(CONCATENATE(H407,F407,DT$2),Inglés!$A:$H,7,FALSE)=AH407,1,0)</f>
        <v>#N/A</v>
      </c>
      <c r="DU407" s="138" t="e">
        <f>IF(VLOOKUP(CONCATENATE(H407,F407,DU$2),Inglés!$A:$H,7,FALSE)=AI407,1,0)</f>
        <v>#N/A</v>
      </c>
      <c r="DV407" s="138" t="e">
        <f>IF(VLOOKUP(CONCATENATE(H407,F407,DV$2),Inglés!$A:$H,7,FALSE)=AJ407,1,0)</f>
        <v>#N/A</v>
      </c>
      <c r="DW407" s="138" t="e">
        <f>IF(VLOOKUP(CONCATENATE(H407,F407,DW$2),Inglés!$A:$H,7,FALSE)=AK407,1,0)</f>
        <v>#N/A</v>
      </c>
      <c r="DX407" s="138" t="e">
        <f>IF(VLOOKUP(CONCATENATE(H407,F407,DX$2),Inglés!$A:$H,7,FALSE)=AL407,1,0)</f>
        <v>#N/A</v>
      </c>
      <c r="DY407" s="138" t="e">
        <f>IF(VLOOKUP(CONCATENATE(H407,F407,DY$2),Inglés!$A:$H,7,FALSE)=AM407,1,0)</f>
        <v>#N/A</v>
      </c>
      <c r="DZ407" s="138" t="e">
        <f>IF(VLOOKUP(CONCATENATE(H407,F407,DZ$2),Inglés!$A:$H,7,FALSE)=AN407,1,0)</f>
        <v>#N/A</v>
      </c>
      <c r="EA407" s="138" t="e">
        <f>IF(VLOOKUP(CONCATENATE(H407,F407,EA$2),Inglés!$A:$H,7,FALSE)=AO407,1,0)</f>
        <v>#N/A</v>
      </c>
      <c r="EB407" s="138" t="e">
        <f>IF(VLOOKUP(CONCATENATE(H407,F407,EB$2),Matemáticas!$A:$H,7,FALSE)=AP407,1,0)</f>
        <v>#N/A</v>
      </c>
      <c r="EC407" s="138" t="e">
        <f>IF(VLOOKUP(CONCATENATE(H407,F407,EC$2),Matemáticas!$A:$H,7,FALSE)=AQ407,1,0)</f>
        <v>#N/A</v>
      </c>
      <c r="ED407" s="138" t="e">
        <f>IF(VLOOKUP(CONCATENATE(H407,F407,ED$2),Matemáticas!$A:$H,7,FALSE)=AR407,1,0)</f>
        <v>#N/A</v>
      </c>
      <c r="EE407" s="138" t="e">
        <f>IF(VLOOKUP(CONCATENATE(H407,F407,EE$2),Matemáticas!$A:$H,7,FALSE)=AS407,1,0)</f>
        <v>#N/A</v>
      </c>
      <c r="EF407" s="138" t="e">
        <f>IF(VLOOKUP(CONCATENATE(H407,F407,EF$2),Matemáticas!$A:$H,7,FALSE)=AT407,1,0)</f>
        <v>#N/A</v>
      </c>
      <c r="EG407" s="138" t="e">
        <f>IF(VLOOKUP(CONCATENATE(H407,F407,EG$2),Matemáticas!$A:$H,7,FALSE)=AU407,1,0)</f>
        <v>#N/A</v>
      </c>
      <c r="EH407" s="138" t="e">
        <f>IF(VLOOKUP(CONCATENATE(H407,F407,EH$2),Matemáticas!$A:$H,7,FALSE)=AV407,1,0)</f>
        <v>#N/A</v>
      </c>
      <c r="EI407" s="138" t="e">
        <f>IF(VLOOKUP(CONCATENATE(H407,F407,EI$2),Matemáticas!$A:$H,7,FALSE)=AW407,1,0)</f>
        <v>#N/A</v>
      </c>
      <c r="EJ407" s="138" t="e">
        <f>IF(VLOOKUP(CONCATENATE(H407,F407,EJ$2),Matemáticas!$A:$H,7,FALSE)=AX407,1,0)</f>
        <v>#N/A</v>
      </c>
      <c r="EK407" s="138" t="e">
        <f>IF(VLOOKUP(CONCATENATE(H407,F407,EK$2),Matemáticas!$A:$H,7,FALSE)=AY407,1,0)</f>
        <v>#N/A</v>
      </c>
      <c r="EL407" s="138" t="e">
        <f>IF(VLOOKUP(CONCATENATE(H407,F407,EL$2),Matemáticas!$A:$H,7,FALSE)=AZ407,1,0)</f>
        <v>#N/A</v>
      </c>
      <c r="EM407" s="138" t="e">
        <f>IF(VLOOKUP(CONCATENATE(H407,F407,EM$2),Matemáticas!$A:$H,7,FALSE)=BA407,1,0)</f>
        <v>#N/A</v>
      </c>
      <c r="EN407" s="138" t="e">
        <f>IF(VLOOKUP(CONCATENATE(H407,F407,EN$2),Matemáticas!$A:$H,7,FALSE)=BB407,1,0)</f>
        <v>#N/A</v>
      </c>
      <c r="EO407" s="138" t="e">
        <f>IF(VLOOKUP(CONCATENATE(H407,F407,EO$2),Matemáticas!$A:$H,7,FALSE)=BC407,1,0)</f>
        <v>#N/A</v>
      </c>
      <c r="EP407" s="138" t="e">
        <f>IF(VLOOKUP(CONCATENATE(H407,F407,EP$2),Matemáticas!$A:$H,7,FALSE)=BD407,1,0)</f>
        <v>#N/A</v>
      </c>
      <c r="EQ407" s="138" t="e">
        <f>IF(VLOOKUP(CONCATENATE(H407,F407,EQ$2),Matemáticas!$A:$H,7,FALSE)=BE407,1,0)</f>
        <v>#N/A</v>
      </c>
      <c r="ER407" s="138" t="e">
        <f>IF(VLOOKUP(CONCATENATE(H407,F407,ER$2),Matemáticas!$A:$H,7,FALSE)=BF407,1,0)</f>
        <v>#N/A</v>
      </c>
      <c r="ES407" s="138" t="e">
        <f>IF(VLOOKUP(CONCATENATE(H407,F407,ES$2),Matemáticas!$A:$H,7,FALSE)=BG407,1,0)</f>
        <v>#N/A</v>
      </c>
      <c r="ET407" s="138" t="e">
        <f>IF(VLOOKUP(CONCATENATE(H407,F407,ET$2),Matemáticas!$A:$H,7,FALSE)=BH407,1,0)</f>
        <v>#N/A</v>
      </c>
      <c r="EU407" s="138" t="e">
        <f>IF(VLOOKUP(CONCATENATE(H407,F407,EU$2),Matemáticas!$A:$H,7,FALSE)=BI407,1,0)</f>
        <v>#N/A</v>
      </c>
      <c r="EV407" s="138" t="e">
        <f>IF(VLOOKUP(CONCATENATE(H407,F407,EV$2),Ciencias!$A:$H,7,FALSE)=BJ407,1,0)</f>
        <v>#N/A</v>
      </c>
      <c r="EW407" s="138" t="e">
        <f>IF(VLOOKUP(CONCATENATE(H407,F407,EW$2),Ciencias!$A:$H,7,FALSE)=BK407,1,0)</f>
        <v>#N/A</v>
      </c>
      <c r="EX407" s="138" t="e">
        <f>IF(VLOOKUP(CONCATENATE(H407,F407,EX$2),Ciencias!$A:$H,7,FALSE)=BL407,1,0)</f>
        <v>#N/A</v>
      </c>
      <c r="EY407" s="138" t="e">
        <f>IF(VLOOKUP(CONCATENATE(H407,F407,EY$2),Ciencias!$A:$H,7,FALSE)=BM407,1,0)</f>
        <v>#N/A</v>
      </c>
      <c r="EZ407" s="138" t="e">
        <f>IF(VLOOKUP(CONCATENATE(H407,F407,EZ$2),Ciencias!$A:$H,7,FALSE)=BN407,1,0)</f>
        <v>#N/A</v>
      </c>
      <c r="FA407" s="138" t="e">
        <f>IF(VLOOKUP(CONCATENATE(H407,F407,FA$2),Ciencias!$A:$H,7,FALSE)=BO407,1,0)</f>
        <v>#N/A</v>
      </c>
      <c r="FB407" s="138" t="e">
        <f>IF(VLOOKUP(CONCATENATE(H407,F407,FB$2),Ciencias!$A:$H,7,FALSE)=BP407,1,0)</f>
        <v>#N/A</v>
      </c>
      <c r="FC407" s="138" t="e">
        <f>IF(VLOOKUP(CONCATENATE(H407,F407,FC$2),Ciencias!$A:$H,7,FALSE)=BQ407,1,0)</f>
        <v>#N/A</v>
      </c>
      <c r="FD407" s="138" t="e">
        <f>IF(VLOOKUP(CONCATENATE(H407,F407,FD$2),Ciencias!$A:$H,7,FALSE)=BR407,1,0)</f>
        <v>#N/A</v>
      </c>
      <c r="FE407" s="138" t="e">
        <f>IF(VLOOKUP(CONCATENATE(H407,F407,FE$2),Ciencias!$A:$H,7,FALSE)=BS407,1,0)</f>
        <v>#N/A</v>
      </c>
      <c r="FF407" s="138" t="e">
        <f>IF(VLOOKUP(CONCATENATE(H407,F407,FF$2),Ciencias!$A:$H,7,FALSE)=BT407,1,0)</f>
        <v>#N/A</v>
      </c>
      <c r="FG407" s="138" t="e">
        <f>IF(VLOOKUP(CONCATENATE(H407,F407,FG$2),Ciencias!$A:$H,7,FALSE)=BU407,1,0)</f>
        <v>#N/A</v>
      </c>
      <c r="FH407" s="138" t="e">
        <f>IF(VLOOKUP(CONCATENATE(H407,F407,FH$2),Ciencias!$A:$H,7,FALSE)=BV407,1,0)</f>
        <v>#N/A</v>
      </c>
      <c r="FI407" s="138" t="e">
        <f>IF(VLOOKUP(CONCATENATE(H407,F407,FI$2),Ciencias!$A:$H,7,FALSE)=BW407,1,0)</f>
        <v>#N/A</v>
      </c>
      <c r="FJ407" s="138" t="e">
        <f>IF(VLOOKUP(CONCATENATE(H407,F407,FJ$2),Ciencias!$A:$H,7,FALSE)=BX407,1,0)</f>
        <v>#N/A</v>
      </c>
      <c r="FK407" s="138" t="e">
        <f>IF(VLOOKUP(CONCATENATE(H407,F407,FK$2),Ciencias!$A:$H,7,FALSE)=BY407,1,0)</f>
        <v>#N/A</v>
      </c>
      <c r="FL407" s="138" t="e">
        <f>IF(VLOOKUP(CONCATENATE(H407,F407,FL$2),Ciencias!$A:$H,7,FALSE)=BZ407,1,0)</f>
        <v>#N/A</v>
      </c>
      <c r="FM407" s="138" t="e">
        <f>IF(VLOOKUP(CONCATENATE(H407,F407,FM$2),Ciencias!$A:$H,7,FALSE)=CA407,1,0)</f>
        <v>#N/A</v>
      </c>
      <c r="FN407" s="138" t="e">
        <f>IF(VLOOKUP(CONCATENATE(H407,F407,FN$2),Ciencias!$A:$H,7,FALSE)=CB407,1,0)</f>
        <v>#N/A</v>
      </c>
      <c r="FO407" s="138" t="e">
        <f>IF(VLOOKUP(CONCATENATE(H407,F407,FO$2),Ciencias!$A:$H,7,FALSE)=CC407,1,0)</f>
        <v>#N/A</v>
      </c>
      <c r="FP407" s="138" t="e">
        <f>IF(VLOOKUP(CONCATENATE(H407,F407,FP$2),GeoHis!$A:$H,7,FALSE)=CD407,1,0)</f>
        <v>#N/A</v>
      </c>
      <c r="FQ407" s="138" t="e">
        <f>IF(VLOOKUP(CONCATENATE(H407,F407,FQ$2),GeoHis!$A:$H,7,FALSE)=CE407,1,0)</f>
        <v>#N/A</v>
      </c>
      <c r="FR407" s="138" t="e">
        <f>IF(VLOOKUP(CONCATENATE(H407,F407,FR$2),GeoHis!$A:$H,7,FALSE)=CF407,1,0)</f>
        <v>#N/A</v>
      </c>
      <c r="FS407" s="138" t="e">
        <f>IF(VLOOKUP(CONCATENATE(H407,F407,FS$2),GeoHis!$A:$H,7,FALSE)=CG407,1,0)</f>
        <v>#N/A</v>
      </c>
      <c r="FT407" s="138" t="e">
        <f>IF(VLOOKUP(CONCATENATE(H407,F407,FT$2),GeoHis!$A:$H,7,FALSE)=CH407,1,0)</f>
        <v>#N/A</v>
      </c>
      <c r="FU407" s="138" t="e">
        <f>IF(VLOOKUP(CONCATENATE(H407,F407,FU$2),GeoHis!$A:$H,7,FALSE)=CI407,1,0)</f>
        <v>#N/A</v>
      </c>
      <c r="FV407" s="138" t="e">
        <f>IF(VLOOKUP(CONCATENATE(H407,F407,FV$2),GeoHis!$A:$H,7,FALSE)=CJ407,1,0)</f>
        <v>#N/A</v>
      </c>
      <c r="FW407" s="138" t="e">
        <f>IF(VLOOKUP(CONCATENATE(H407,F407,FW$2),GeoHis!$A:$H,7,FALSE)=CK407,1,0)</f>
        <v>#N/A</v>
      </c>
      <c r="FX407" s="138" t="e">
        <f>IF(VLOOKUP(CONCATENATE(H407,F407,FX$2),GeoHis!$A:$H,7,FALSE)=CL407,1,0)</f>
        <v>#N/A</v>
      </c>
      <c r="FY407" s="138" t="e">
        <f>IF(VLOOKUP(CONCATENATE(H407,F407,FY$2),GeoHis!$A:$H,7,FALSE)=CM407,1,0)</f>
        <v>#N/A</v>
      </c>
      <c r="FZ407" s="138" t="e">
        <f>IF(VLOOKUP(CONCATENATE(H407,F407,FZ$2),GeoHis!$A:$H,7,FALSE)=CN407,1,0)</f>
        <v>#N/A</v>
      </c>
      <c r="GA407" s="138" t="e">
        <f>IF(VLOOKUP(CONCATENATE(H407,F407,GA$2),GeoHis!$A:$H,7,FALSE)=CO407,1,0)</f>
        <v>#N/A</v>
      </c>
      <c r="GB407" s="138" t="e">
        <f>IF(VLOOKUP(CONCATENATE(H407,F407,GB$2),GeoHis!$A:$H,7,FALSE)=CP407,1,0)</f>
        <v>#N/A</v>
      </c>
      <c r="GC407" s="138" t="e">
        <f>IF(VLOOKUP(CONCATENATE(H407,F407,GC$2),GeoHis!$A:$H,7,FALSE)=CQ407,1,0)</f>
        <v>#N/A</v>
      </c>
      <c r="GD407" s="138" t="e">
        <f>IF(VLOOKUP(CONCATENATE(H407,F407,GD$2),GeoHis!$A:$H,7,FALSE)=CR407,1,0)</f>
        <v>#N/A</v>
      </c>
      <c r="GE407" s="135" t="str">
        <f t="shared" si="55"/>
        <v/>
      </c>
    </row>
    <row r="408" spans="1:187" x14ac:dyDescent="0.25">
      <c r="A408" s="127" t="str">
        <f>IF(C408="","",'Datos Generales'!$A$25)</f>
        <v/>
      </c>
      <c r="D408" s="126" t="str">
        <f t="shared" si="48"/>
        <v/>
      </c>
      <c r="E408" s="126">
        <f t="shared" si="49"/>
        <v>0</v>
      </c>
      <c r="F408" s="126" t="str">
        <f t="shared" si="50"/>
        <v/>
      </c>
      <c r="G408" s="126" t="str">
        <f>IF(C408="","",'Datos Generales'!$D$19)</f>
        <v/>
      </c>
      <c r="H408" s="21" t="str">
        <f>IF(C408="","",'Datos Generales'!$A$19)</f>
        <v/>
      </c>
      <c r="I408" s="126" t="str">
        <f>IF(C408="","",'Datos Generales'!$A$7)</f>
        <v/>
      </c>
      <c r="J408" s="21" t="str">
        <f>IF(C408="","",'Datos Generales'!$A$13)</f>
        <v/>
      </c>
      <c r="K408" s="21" t="str">
        <f>IF(C408="","",'Datos Generales'!$A$10)</f>
        <v/>
      </c>
      <c r="CS408" s="142" t="str">
        <f t="shared" si="51"/>
        <v/>
      </c>
      <c r="CT408" s="142" t="str">
        <f t="shared" si="52"/>
        <v/>
      </c>
      <c r="CU408" s="142" t="str">
        <f t="shared" si="53"/>
        <v/>
      </c>
      <c r="CV408" s="142" t="str">
        <f t="shared" si="54"/>
        <v/>
      </c>
      <c r="CW408" s="142" t="str">
        <f>IF(C408="","",IF('Datos Generales'!$A$19=1,AVERAGE(FP408:GD408),AVERAGE(Captura!FP408:FY408)))</f>
        <v/>
      </c>
      <c r="CX408" s="138" t="e">
        <f>IF(VLOOKUP(CONCATENATE($H$4,$F$4,CX$2),Español!$A:$H,7,FALSE)=L408,1,0)</f>
        <v>#N/A</v>
      </c>
      <c r="CY408" s="138" t="e">
        <f>IF(VLOOKUP(CONCATENATE(H408,F408,CY$2),Español!$A:$H,7,FALSE)=M408,1,0)</f>
        <v>#N/A</v>
      </c>
      <c r="CZ408" s="138" t="e">
        <f>IF(VLOOKUP(CONCATENATE(H408,F408,CZ$2),Español!$A:$H,7,FALSE)=N408,1,0)</f>
        <v>#N/A</v>
      </c>
      <c r="DA408" s="138" t="e">
        <f>IF(VLOOKUP(CONCATENATE(H408,F408,DA$2),Español!$A:$H,7,FALSE)=O408,1,0)</f>
        <v>#N/A</v>
      </c>
      <c r="DB408" s="138" t="e">
        <f>IF(VLOOKUP(CONCATENATE(H408,F408,DB$2),Español!$A:$H,7,FALSE)=P408,1,0)</f>
        <v>#N/A</v>
      </c>
      <c r="DC408" s="138" t="e">
        <f>IF(VLOOKUP(CONCATENATE(H408,F408,DC$2),Español!$A:$H,7,FALSE)=Q408,1,0)</f>
        <v>#N/A</v>
      </c>
      <c r="DD408" s="138" t="e">
        <f>IF(VLOOKUP(CONCATENATE(H408,F408,DD$2),Español!$A:$H,7,FALSE)=R408,1,0)</f>
        <v>#N/A</v>
      </c>
      <c r="DE408" s="138" t="e">
        <f>IF(VLOOKUP(CONCATENATE(H408,F408,DE$2),Español!$A:$H,7,FALSE)=S408,1,0)</f>
        <v>#N/A</v>
      </c>
      <c r="DF408" s="138" t="e">
        <f>IF(VLOOKUP(CONCATENATE(H408,F408,DF$2),Español!$A:$H,7,FALSE)=T408,1,0)</f>
        <v>#N/A</v>
      </c>
      <c r="DG408" s="138" t="e">
        <f>IF(VLOOKUP(CONCATENATE(H408,F408,DG$2),Español!$A:$H,7,FALSE)=U408,1,0)</f>
        <v>#N/A</v>
      </c>
      <c r="DH408" s="138" t="e">
        <f>IF(VLOOKUP(CONCATENATE(H408,F408,DH$2),Español!$A:$H,7,FALSE)=V408,1,0)</f>
        <v>#N/A</v>
      </c>
      <c r="DI408" s="138" t="e">
        <f>IF(VLOOKUP(CONCATENATE(H408,F408,DI$2),Español!$A:$H,7,FALSE)=W408,1,0)</f>
        <v>#N/A</v>
      </c>
      <c r="DJ408" s="138" t="e">
        <f>IF(VLOOKUP(CONCATENATE(H408,F408,DJ$2),Español!$A:$H,7,FALSE)=X408,1,0)</f>
        <v>#N/A</v>
      </c>
      <c r="DK408" s="138" t="e">
        <f>IF(VLOOKUP(CONCATENATE(H408,F408,DK$2),Español!$A:$H,7,FALSE)=Y408,1,0)</f>
        <v>#N/A</v>
      </c>
      <c r="DL408" s="138" t="e">
        <f>IF(VLOOKUP(CONCATENATE(H408,F408,DL$2),Español!$A:$H,7,FALSE)=Z408,1,0)</f>
        <v>#N/A</v>
      </c>
      <c r="DM408" s="138" t="e">
        <f>IF(VLOOKUP(CONCATENATE(H408,F408,DM$2),Español!$A:$H,7,FALSE)=AA408,1,0)</f>
        <v>#N/A</v>
      </c>
      <c r="DN408" s="138" t="e">
        <f>IF(VLOOKUP(CONCATENATE(H408,F408,DN$2),Español!$A:$H,7,FALSE)=AB408,1,0)</f>
        <v>#N/A</v>
      </c>
      <c r="DO408" s="138" t="e">
        <f>IF(VLOOKUP(CONCATENATE(H408,F408,DO$2),Español!$A:$H,7,FALSE)=AC408,1,0)</f>
        <v>#N/A</v>
      </c>
      <c r="DP408" s="138" t="e">
        <f>IF(VLOOKUP(CONCATENATE(H408,F408,DP$2),Español!$A:$H,7,FALSE)=AD408,1,0)</f>
        <v>#N/A</v>
      </c>
      <c r="DQ408" s="138" t="e">
        <f>IF(VLOOKUP(CONCATENATE(H408,F408,DQ$2),Español!$A:$H,7,FALSE)=AE408,1,0)</f>
        <v>#N/A</v>
      </c>
      <c r="DR408" s="138" t="e">
        <f>IF(VLOOKUP(CONCATENATE(H408,F408,DR$2),Inglés!$A:$H,7,FALSE)=AF408,1,0)</f>
        <v>#N/A</v>
      </c>
      <c r="DS408" s="138" t="e">
        <f>IF(VLOOKUP(CONCATENATE(H408,F408,DS$2),Inglés!$A:$H,7,FALSE)=AG408,1,0)</f>
        <v>#N/A</v>
      </c>
      <c r="DT408" s="138" t="e">
        <f>IF(VLOOKUP(CONCATENATE(H408,F408,DT$2),Inglés!$A:$H,7,FALSE)=AH408,1,0)</f>
        <v>#N/A</v>
      </c>
      <c r="DU408" s="138" t="e">
        <f>IF(VLOOKUP(CONCATENATE(H408,F408,DU$2),Inglés!$A:$H,7,FALSE)=AI408,1,0)</f>
        <v>#N/A</v>
      </c>
      <c r="DV408" s="138" t="e">
        <f>IF(VLOOKUP(CONCATENATE(H408,F408,DV$2),Inglés!$A:$H,7,FALSE)=AJ408,1,0)</f>
        <v>#N/A</v>
      </c>
      <c r="DW408" s="138" t="e">
        <f>IF(VLOOKUP(CONCATENATE(H408,F408,DW$2),Inglés!$A:$H,7,FALSE)=AK408,1,0)</f>
        <v>#N/A</v>
      </c>
      <c r="DX408" s="138" t="e">
        <f>IF(VLOOKUP(CONCATENATE(H408,F408,DX$2),Inglés!$A:$H,7,FALSE)=AL408,1,0)</f>
        <v>#N/A</v>
      </c>
      <c r="DY408" s="138" t="e">
        <f>IF(VLOOKUP(CONCATENATE(H408,F408,DY$2),Inglés!$A:$H,7,FALSE)=AM408,1,0)</f>
        <v>#N/A</v>
      </c>
      <c r="DZ408" s="138" t="e">
        <f>IF(VLOOKUP(CONCATENATE(H408,F408,DZ$2),Inglés!$A:$H,7,FALSE)=AN408,1,0)</f>
        <v>#N/A</v>
      </c>
      <c r="EA408" s="138" t="e">
        <f>IF(VLOOKUP(CONCATENATE(H408,F408,EA$2),Inglés!$A:$H,7,FALSE)=AO408,1,0)</f>
        <v>#N/A</v>
      </c>
      <c r="EB408" s="138" t="e">
        <f>IF(VLOOKUP(CONCATENATE(H408,F408,EB$2),Matemáticas!$A:$H,7,FALSE)=AP408,1,0)</f>
        <v>#N/A</v>
      </c>
      <c r="EC408" s="138" t="e">
        <f>IF(VLOOKUP(CONCATENATE(H408,F408,EC$2),Matemáticas!$A:$H,7,FALSE)=AQ408,1,0)</f>
        <v>#N/A</v>
      </c>
      <c r="ED408" s="138" t="e">
        <f>IF(VLOOKUP(CONCATENATE(H408,F408,ED$2),Matemáticas!$A:$H,7,FALSE)=AR408,1,0)</f>
        <v>#N/A</v>
      </c>
      <c r="EE408" s="138" t="e">
        <f>IF(VLOOKUP(CONCATENATE(H408,F408,EE$2),Matemáticas!$A:$H,7,FALSE)=AS408,1,0)</f>
        <v>#N/A</v>
      </c>
      <c r="EF408" s="138" t="e">
        <f>IF(VLOOKUP(CONCATENATE(H408,F408,EF$2),Matemáticas!$A:$H,7,FALSE)=AT408,1,0)</f>
        <v>#N/A</v>
      </c>
      <c r="EG408" s="138" t="e">
        <f>IF(VLOOKUP(CONCATENATE(H408,F408,EG$2),Matemáticas!$A:$H,7,FALSE)=AU408,1,0)</f>
        <v>#N/A</v>
      </c>
      <c r="EH408" s="138" t="e">
        <f>IF(VLOOKUP(CONCATENATE(H408,F408,EH$2),Matemáticas!$A:$H,7,FALSE)=AV408,1,0)</f>
        <v>#N/A</v>
      </c>
      <c r="EI408" s="138" t="e">
        <f>IF(VLOOKUP(CONCATENATE(H408,F408,EI$2),Matemáticas!$A:$H,7,FALSE)=AW408,1,0)</f>
        <v>#N/A</v>
      </c>
      <c r="EJ408" s="138" t="e">
        <f>IF(VLOOKUP(CONCATENATE(H408,F408,EJ$2),Matemáticas!$A:$H,7,FALSE)=AX408,1,0)</f>
        <v>#N/A</v>
      </c>
      <c r="EK408" s="138" t="e">
        <f>IF(VLOOKUP(CONCATENATE(H408,F408,EK$2),Matemáticas!$A:$H,7,FALSE)=AY408,1,0)</f>
        <v>#N/A</v>
      </c>
      <c r="EL408" s="138" t="e">
        <f>IF(VLOOKUP(CONCATENATE(H408,F408,EL$2),Matemáticas!$A:$H,7,FALSE)=AZ408,1,0)</f>
        <v>#N/A</v>
      </c>
      <c r="EM408" s="138" t="e">
        <f>IF(VLOOKUP(CONCATENATE(H408,F408,EM$2),Matemáticas!$A:$H,7,FALSE)=BA408,1,0)</f>
        <v>#N/A</v>
      </c>
      <c r="EN408" s="138" t="e">
        <f>IF(VLOOKUP(CONCATENATE(H408,F408,EN$2),Matemáticas!$A:$H,7,FALSE)=BB408,1,0)</f>
        <v>#N/A</v>
      </c>
      <c r="EO408" s="138" t="e">
        <f>IF(VLOOKUP(CONCATENATE(H408,F408,EO$2),Matemáticas!$A:$H,7,FALSE)=BC408,1,0)</f>
        <v>#N/A</v>
      </c>
      <c r="EP408" s="138" t="e">
        <f>IF(VLOOKUP(CONCATENATE(H408,F408,EP$2),Matemáticas!$A:$H,7,FALSE)=BD408,1,0)</f>
        <v>#N/A</v>
      </c>
      <c r="EQ408" s="138" t="e">
        <f>IF(VLOOKUP(CONCATENATE(H408,F408,EQ$2),Matemáticas!$A:$H,7,FALSE)=BE408,1,0)</f>
        <v>#N/A</v>
      </c>
      <c r="ER408" s="138" t="e">
        <f>IF(VLOOKUP(CONCATENATE(H408,F408,ER$2),Matemáticas!$A:$H,7,FALSE)=BF408,1,0)</f>
        <v>#N/A</v>
      </c>
      <c r="ES408" s="138" t="e">
        <f>IF(VLOOKUP(CONCATENATE(H408,F408,ES$2),Matemáticas!$A:$H,7,FALSE)=BG408,1,0)</f>
        <v>#N/A</v>
      </c>
      <c r="ET408" s="138" t="e">
        <f>IF(VLOOKUP(CONCATENATE(H408,F408,ET$2),Matemáticas!$A:$H,7,FALSE)=BH408,1,0)</f>
        <v>#N/A</v>
      </c>
      <c r="EU408" s="138" t="e">
        <f>IF(VLOOKUP(CONCATENATE(H408,F408,EU$2),Matemáticas!$A:$H,7,FALSE)=BI408,1,0)</f>
        <v>#N/A</v>
      </c>
      <c r="EV408" s="138" t="e">
        <f>IF(VLOOKUP(CONCATENATE(H408,F408,EV$2),Ciencias!$A:$H,7,FALSE)=BJ408,1,0)</f>
        <v>#N/A</v>
      </c>
      <c r="EW408" s="138" t="e">
        <f>IF(VLOOKUP(CONCATENATE(H408,F408,EW$2),Ciencias!$A:$H,7,FALSE)=BK408,1,0)</f>
        <v>#N/A</v>
      </c>
      <c r="EX408" s="138" t="e">
        <f>IF(VLOOKUP(CONCATENATE(H408,F408,EX$2),Ciencias!$A:$H,7,FALSE)=BL408,1,0)</f>
        <v>#N/A</v>
      </c>
      <c r="EY408" s="138" t="e">
        <f>IF(VLOOKUP(CONCATENATE(H408,F408,EY$2),Ciencias!$A:$H,7,FALSE)=BM408,1,0)</f>
        <v>#N/A</v>
      </c>
      <c r="EZ408" s="138" t="e">
        <f>IF(VLOOKUP(CONCATENATE(H408,F408,EZ$2),Ciencias!$A:$H,7,FALSE)=BN408,1,0)</f>
        <v>#N/A</v>
      </c>
      <c r="FA408" s="138" t="e">
        <f>IF(VLOOKUP(CONCATENATE(H408,F408,FA$2),Ciencias!$A:$H,7,FALSE)=BO408,1,0)</f>
        <v>#N/A</v>
      </c>
      <c r="FB408" s="138" t="e">
        <f>IF(VLOOKUP(CONCATENATE(H408,F408,FB$2),Ciencias!$A:$H,7,FALSE)=BP408,1,0)</f>
        <v>#N/A</v>
      </c>
      <c r="FC408" s="138" t="e">
        <f>IF(VLOOKUP(CONCATENATE(H408,F408,FC$2),Ciencias!$A:$H,7,FALSE)=BQ408,1,0)</f>
        <v>#N/A</v>
      </c>
      <c r="FD408" s="138" t="e">
        <f>IF(VLOOKUP(CONCATENATE(H408,F408,FD$2),Ciencias!$A:$H,7,FALSE)=BR408,1,0)</f>
        <v>#N/A</v>
      </c>
      <c r="FE408" s="138" t="e">
        <f>IF(VLOOKUP(CONCATENATE(H408,F408,FE$2),Ciencias!$A:$H,7,FALSE)=BS408,1,0)</f>
        <v>#N/A</v>
      </c>
      <c r="FF408" s="138" t="e">
        <f>IF(VLOOKUP(CONCATENATE(H408,F408,FF$2),Ciencias!$A:$H,7,FALSE)=BT408,1,0)</f>
        <v>#N/A</v>
      </c>
      <c r="FG408" s="138" t="e">
        <f>IF(VLOOKUP(CONCATENATE(H408,F408,FG$2),Ciencias!$A:$H,7,FALSE)=BU408,1,0)</f>
        <v>#N/A</v>
      </c>
      <c r="FH408" s="138" t="e">
        <f>IF(VLOOKUP(CONCATENATE(H408,F408,FH$2),Ciencias!$A:$H,7,FALSE)=BV408,1,0)</f>
        <v>#N/A</v>
      </c>
      <c r="FI408" s="138" t="e">
        <f>IF(VLOOKUP(CONCATENATE(H408,F408,FI$2),Ciencias!$A:$H,7,FALSE)=BW408,1,0)</f>
        <v>#N/A</v>
      </c>
      <c r="FJ408" s="138" t="e">
        <f>IF(VLOOKUP(CONCATENATE(H408,F408,FJ$2),Ciencias!$A:$H,7,FALSE)=BX408,1,0)</f>
        <v>#N/A</v>
      </c>
      <c r="FK408" s="138" t="e">
        <f>IF(VLOOKUP(CONCATENATE(H408,F408,FK$2),Ciencias!$A:$H,7,FALSE)=BY408,1,0)</f>
        <v>#N/A</v>
      </c>
      <c r="FL408" s="138" t="e">
        <f>IF(VLOOKUP(CONCATENATE(H408,F408,FL$2),Ciencias!$A:$H,7,FALSE)=BZ408,1,0)</f>
        <v>#N/A</v>
      </c>
      <c r="FM408" s="138" t="e">
        <f>IF(VLOOKUP(CONCATENATE(H408,F408,FM$2),Ciencias!$A:$H,7,FALSE)=CA408,1,0)</f>
        <v>#N/A</v>
      </c>
      <c r="FN408" s="138" t="e">
        <f>IF(VLOOKUP(CONCATENATE(H408,F408,FN$2),Ciencias!$A:$H,7,FALSE)=CB408,1,0)</f>
        <v>#N/A</v>
      </c>
      <c r="FO408" s="138" t="e">
        <f>IF(VLOOKUP(CONCATENATE(H408,F408,FO$2),Ciencias!$A:$H,7,FALSE)=CC408,1,0)</f>
        <v>#N/A</v>
      </c>
      <c r="FP408" s="138" t="e">
        <f>IF(VLOOKUP(CONCATENATE(H408,F408,FP$2),GeoHis!$A:$H,7,FALSE)=CD408,1,0)</f>
        <v>#N/A</v>
      </c>
      <c r="FQ408" s="138" t="e">
        <f>IF(VLOOKUP(CONCATENATE(H408,F408,FQ$2),GeoHis!$A:$H,7,FALSE)=CE408,1,0)</f>
        <v>#N/A</v>
      </c>
      <c r="FR408" s="138" t="e">
        <f>IF(VLOOKUP(CONCATENATE(H408,F408,FR$2),GeoHis!$A:$H,7,FALSE)=CF408,1,0)</f>
        <v>#N/A</v>
      </c>
      <c r="FS408" s="138" t="e">
        <f>IF(VLOOKUP(CONCATENATE(H408,F408,FS$2),GeoHis!$A:$H,7,FALSE)=CG408,1,0)</f>
        <v>#N/A</v>
      </c>
      <c r="FT408" s="138" t="e">
        <f>IF(VLOOKUP(CONCATENATE(H408,F408,FT$2),GeoHis!$A:$H,7,FALSE)=CH408,1,0)</f>
        <v>#N/A</v>
      </c>
      <c r="FU408" s="138" t="e">
        <f>IF(VLOOKUP(CONCATENATE(H408,F408,FU$2),GeoHis!$A:$H,7,FALSE)=CI408,1,0)</f>
        <v>#N/A</v>
      </c>
      <c r="FV408" s="138" t="e">
        <f>IF(VLOOKUP(CONCATENATE(H408,F408,FV$2),GeoHis!$A:$H,7,FALSE)=CJ408,1,0)</f>
        <v>#N/A</v>
      </c>
      <c r="FW408" s="138" t="e">
        <f>IF(VLOOKUP(CONCATENATE(H408,F408,FW$2),GeoHis!$A:$H,7,FALSE)=CK408,1,0)</f>
        <v>#N/A</v>
      </c>
      <c r="FX408" s="138" t="e">
        <f>IF(VLOOKUP(CONCATENATE(H408,F408,FX$2),GeoHis!$A:$H,7,FALSE)=CL408,1,0)</f>
        <v>#N/A</v>
      </c>
      <c r="FY408" s="138" t="e">
        <f>IF(VLOOKUP(CONCATENATE(H408,F408,FY$2),GeoHis!$A:$H,7,FALSE)=CM408,1,0)</f>
        <v>#N/A</v>
      </c>
      <c r="FZ408" s="138" t="e">
        <f>IF(VLOOKUP(CONCATENATE(H408,F408,FZ$2),GeoHis!$A:$H,7,FALSE)=CN408,1,0)</f>
        <v>#N/A</v>
      </c>
      <c r="GA408" s="138" t="e">
        <f>IF(VLOOKUP(CONCATENATE(H408,F408,GA$2),GeoHis!$A:$H,7,FALSE)=CO408,1,0)</f>
        <v>#N/A</v>
      </c>
      <c r="GB408" s="138" t="e">
        <f>IF(VLOOKUP(CONCATENATE(H408,F408,GB$2),GeoHis!$A:$H,7,FALSE)=CP408,1,0)</f>
        <v>#N/A</v>
      </c>
      <c r="GC408" s="138" t="e">
        <f>IF(VLOOKUP(CONCATENATE(H408,F408,GC$2),GeoHis!$A:$H,7,FALSE)=CQ408,1,0)</f>
        <v>#N/A</v>
      </c>
      <c r="GD408" s="138" t="e">
        <f>IF(VLOOKUP(CONCATENATE(H408,F408,GD$2),GeoHis!$A:$H,7,FALSE)=CR408,1,0)</f>
        <v>#N/A</v>
      </c>
      <c r="GE408" s="135" t="str">
        <f t="shared" si="55"/>
        <v/>
      </c>
    </row>
    <row r="409" spans="1:187" x14ac:dyDescent="0.25">
      <c r="A409" s="127" t="str">
        <f>IF(C409="","",'Datos Generales'!$A$25)</f>
        <v/>
      </c>
      <c r="D409" s="126" t="str">
        <f t="shared" si="48"/>
        <v/>
      </c>
      <c r="E409" s="126">
        <f t="shared" si="49"/>
        <v>0</v>
      </c>
      <c r="F409" s="126" t="str">
        <f t="shared" si="50"/>
        <v/>
      </c>
      <c r="G409" s="126" t="str">
        <f>IF(C409="","",'Datos Generales'!$D$19)</f>
        <v/>
      </c>
      <c r="H409" s="21" t="str">
        <f>IF(C409="","",'Datos Generales'!$A$19)</f>
        <v/>
      </c>
      <c r="I409" s="126" t="str">
        <f>IF(C409="","",'Datos Generales'!$A$7)</f>
        <v/>
      </c>
      <c r="J409" s="21" t="str">
        <f>IF(C409="","",'Datos Generales'!$A$13)</f>
        <v/>
      </c>
      <c r="K409" s="21" t="str">
        <f>IF(C409="","",'Datos Generales'!$A$10)</f>
        <v/>
      </c>
      <c r="CS409" s="142" t="str">
        <f t="shared" si="51"/>
        <v/>
      </c>
      <c r="CT409" s="142" t="str">
        <f t="shared" si="52"/>
        <v/>
      </c>
      <c r="CU409" s="142" t="str">
        <f t="shared" si="53"/>
        <v/>
      </c>
      <c r="CV409" s="142" t="str">
        <f t="shared" si="54"/>
        <v/>
      </c>
      <c r="CW409" s="142" t="str">
        <f>IF(C409="","",IF('Datos Generales'!$A$19=1,AVERAGE(FP409:GD409),AVERAGE(Captura!FP409:FY409)))</f>
        <v/>
      </c>
      <c r="CX409" s="138" t="e">
        <f>IF(VLOOKUP(CONCATENATE($H$4,$F$4,CX$2),Español!$A:$H,7,FALSE)=L409,1,0)</f>
        <v>#N/A</v>
      </c>
      <c r="CY409" s="138" t="e">
        <f>IF(VLOOKUP(CONCATENATE(H409,F409,CY$2),Español!$A:$H,7,FALSE)=M409,1,0)</f>
        <v>#N/A</v>
      </c>
      <c r="CZ409" s="138" t="e">
        <f>IF(VLOOKUP(CONCATENATE(H409,F409,CZ$2),Español!$A:$H,7,FALSE)=N409,1,0)</f>
        <v>#N/A</v>
      </c>
      <c r="DA409" s="138" t="e">
        <f>IF(VLOOKUP(CONCATENATE(H409,F409,DA$2),Español!$A:$H,7,FALSE)=O409,1,0)</f>
        <v>#N/A</v>
      </c>
      <c r="DB409" s="138" t="e">
        <f>IF(VLOOKUP(CONCATENATE(H409,F409,DB$2),Español!$A:$H,7,FALSE)=P409,1,0)</f>
        <v>#N/A</v>
      </c>
      <c r="DC409" s="138" t="e">
        <f>IF(VLOOKUP(CONCATENATE(H409,F409,DC$2),Español!$A:$H,7,FALSE)=Q409,1,0)</f>
        <v>#N/A</v>
      </c>
      <c r="DD409" s="138" t="e">
        <f>IF(VLOOKUP(CONCATENATE(H409,F409,DD$2),Español!$A:$H,7,FALSE)=R409,1,0)</f>
        <v>#N/A</v>
      </c>
      <c r="DE409" s="138" t="e">
        <f>IF(VLOOKUP(CONCATENATE(H409,F409,DE$2),Español!$A:$H,7,FALSE)=S409,1,0)</f>
        <v>#N/A</v>
      </c>
      <c r="DF409" s="138" t="e">
        <f>IF(VLOOKUP(CONCATENATE(H409,F409,DF$2),Español!$A:$H,7,FALSE)=T409,1,0)</f>
        <v>#N/A</v>
      </c>
      <c r="DG409" s="138" t="e">
        <f>IF(VLOOKUP(CONCATENATE(H409,F409,DG$2),Español!$A:$H,7,FALSE)=U409,1,0)</f>
        <v>#N/A</v>
      </c>
      <c r="DH409" s="138" t="e">
        <f>IF(VLOOKUP(CONCATENATE(H409,F409,DH$2),Español!$A:$H,7,FALSE)=V409,1,0)</f>
        <v>#N/A</v>
      </c>
      <c r="DI409" s="138" t="e">
        <f>IF(VLOOKUP(CONCATENATE(H409,F409,DI$2),Español!$A:$H,7,FALSE)=W409,1,0)</f>
        <v>#N/A</v>
      </c>
      <c r="DJ409" s="138" t="e">
        <f>IF(VLOOKUP(CONCATENATE(H409,F409,DJ$2),Español!$A:$H,7,FALSE)=X409,1,0)</f>
        <v>#N/A</v>
      </c>
      <c r="DK409" s="138" t="e">
        <f>IF(VLOOKUP(CONCATENATE(H409,F409,DK$2),Español!$A:$H,7,FALSE)=Y409,1,0)</f>
        <v>#N/A</v>
      </c>
      <c r="DL409" s="138" t="e">
        <f>IF(VLOOKUP(CONCATENATE(H409,F409,DL$2),Español!$A:$H,7,FALSE)=Z409,1,0)</f>
        <v>#N/A</v>
      </c>
      <c r="DM409" s="138" t="e">
        <f>IF(VLOOKUP(CONCATENATE(H409,F409,DM$2),Español!$A:$H,7,FALSE)=AA409,1,0)</f>
        <v>#N/A</v>
      </c>
      <c r="DN409" s="138" t="e">
        <f>IF(VLOOKUP(CONCATENATE(H409,F409,DN$2),Español!$A:$H,7,FALSE)=AB409,1,0)</f>
        <v>#N/A</v>
      </c>
      <c r="DO409" s="138" t="e">
        <f>IF(VLOOKUP(CONCATENATE(H409,F409,DO$2),Español!$A:$H,7,FALSE)=AC409,1,0)</f>
        <v>#N/A</v>
      </c>
      <c r="DP409" s="138" t="e">
        <f>IF(VLOOKUP(CONCATENATE(H409,F409,DP$2),Español!$A:$H,7,FALSE)=AD409,1,0)</f>
        <v>#N/A</v>
      </c>
      <c r="DQ409" s="138" t="e">
        <f>IF(VLOOKUP(CONCATENATE(H409,F409,DQ$2),Español!$A:$H,7,FALSE)=AE409,1,0)</f>
        <v>#N/A</v>
      </c>
      <c r="DR409" s="138" t="e">
        <f>IF(VLOOKUP(CONCATENATE(H409,F409,DR$2),Inglés!$A:$H,7,FALSE)=AF409,1,0)</f>
        <v>#N/A</v>
      </c>
      <c r="DS409" s="138" t="e">
        <f>IF(VLOOKUP(CONCATENATE(H409,F409,DS$2),Inglés!$A:$H,7,FALSE)=AG409,1,0)</f>
        <v>#N/A</v>
      </c>
      <c r="DT409" s="138" t="e">
        <f>IF(VLOOKUP(CONCATENATE(H409,F409,DT$2),Inglés!$A:$H,7,FALSE)=AH409,1,0)</f>
        <v>#N/A</v>
      </c>
      <c r="DU409" s="138" t="e">
        <f>IF(VLOOKUP(CONCATENATE(H409,F409,DU$2),Inglés!$A:$H,7,FALSE)=AI409,1,0)</f>
        <v>#N/A</v>
      </c>
      <c r="DV409" s="138" t="e">
        <f>IF(VLOOKUP(CONCATENATE(H409,F409,DV$2),Inglés!$A:$H,7,FALSE)=AJ409,1,0)</f>
        <v>#N/A</v>
      </c>
      <c r="DW409" s="138" t="e">
        <f>IF(VLOOKUP(CONCATENATE(H409,F409,DW$2),Inglés!$A:$H,7,FALSE)=AK409,1,0)</f>
        <v>#N/A</v>
      </c>
      <c r="DX409" s="138" t="e">
        <f>IF(VLOOKUP(CONCATENATE(H409,F409,DX$2),Inglés!$A:$H,7,FALSE)=AL409,1,0)</f>
        <v>#N/A</v>
      </c>
      <c r="DY409" s="138" t="e">
        <f>IF(VLOOKUP(CONCATENATE(H409,F409,DY$2),Inglés!$A:$H,7,FALSE)=AM409,1,0)</f>
        <v>#N/A</v>
      </c>
      <c r="DZ409" s="138" t="e">
        <f>IF(VLOOKUP(CONCATENATE(H409,F409,DZ$2),Inglés!$A:$H,7,FALSE)=AN409,1,0)</f>
        <v>#N/A</v>
      </c>
      <c r="EA409" s="138" t="e">
        <f>IF(VLOOKUP(CONCATENATE(H409,F409,EA$2),Inglés!$A:$H,7,FALSE)=AO409,1,0)</f>
        <v>#N/A</v>
      </c>
      <c r="EB409" s="138" t="e">
        <f>IF(VLOOKUP(CONCATENATE(H409,F409,EB$2),Matemáticas!$A:$H,7,FALSE)=AP409,1,0)</f>
        <v>#N/A</v>
      </c>
      <c r="EC409" s="138" t="e">
        <f>IF(VLOOKUP(CONCATENATE(H409,F409,EC$2),Matemáticas!$A:$H,7,FALSE)=AQ409,1,0)</f>
        <v>#N/A</v>
      </c>
      <c r="ED409" s="138" t="e">
        <f>IF(VLOOKUP(CONCATENATE(H409,F409,ED$2),Matemáticas!$A:$H,7,FALSE)=AR409,1,0)</f>
        <v>#N/A</v>
      </c>
      <c r="EE409" s="138" t="e">
        <f>IF(VLOOKUP(CONCATENATE(H409,F409,EE$2),Matemáticas!$A:$H,7,FALSE)=AS409,1,0)</f>
        <v>#N/A</v>
      </c>
      <c r="EF409" s="138" t="e">
        <f>IF(VLOOKUP(CONCATENATE(H409,F409,EF$2),Matemáticas!$A:$H,7,FALSE)=AT409,1,0)</f>
        <v>#N/A</v>
      </c>
      <c r="EG409" s="138" t="e">
        <f>IF(VLOOKUP(CONCATENATE(H409,F409,EG$2),Matemáticas!$A:$H,7,FALSE)=AU409,1,0)</f>
        <v>#N/A</v>
      </c>
      <c r="EH409" s="138" t="e">
        <f>IF(VLOOKUP(CONCATENATE(H409,F409,EH$2),Matemáticas!$A:$H,7,FALSE)=AV409,1,0)</f>
        <v>#N/A</v>
      </c>
      <c r="EI409" s="138" t="e">
        <f>IF(VLOOKUP(CONCATENATE(H409,F409,EI$2),Matemáticas!$A:$H,7,FALSE)=AW409,1,0)</f>
        <v>#N/A</v>
      </c>
      <c r="EJ409" s="138" t="e">
        <f>IF(VLOOKUP(CONCATENATE(H409,F409,EJ$2),Matemáticas!$A:$H,7,FALSE)=AX409,1,0)</f>
        <v>#N/A</v>
      </c>
      <c r="EK409" s="138" t="e">
        <f>IF(VLOOKUP(CONCATENATE(H409,F409,EK$2),Matemáticas!$A:$H,7,FALSE)=AY409,1,0)</f>
        <v>#N/A</v>
      </c>
      <c r="EL409" s="138" t="e">
        <f>IF(VLOOKUP(CONCATENATE(H409,F409,EL$2),Matemáticas!$A:$H,7,FALSE)=AZ409,1,0)</f>
        <v>#N/A</v>
      </c>
      <c r="EM409" s="138" t="e">
        <f>IF(VLOOKUP(CONCATENATE(H409,F409,EM$2),Matemáticas!$A:$H,7,FALSE)=BA409,1,0)</f>
        <v>#N/A</v>
      </c>
      <c r="EN409" s="138" t="e">
        <f>IF(VLOOKUP(CONCATENATE(H409,F409,EN$2),Matemáticas!$A:$H,7,FALSE)=BB409,1,0)</f>
        <v>#N/A</v>
      </c>
      <c r="EO409" s="138" t="e">
        <f>IF(VLOOKUP(CONCATENATE(H409,F409,EO$2),Matemáticas!$A:$H,7,FALSE)=BC409,1,0)</f>
        <v>#N/A</v>
      </c>
      <c r="EP409" s="138" t="e">
        <f>IF(VLOOKUP(CONCATENATE(H409,F409,EP$2),Matemáticas!$A:$H,7,FALSE)=BD409,1,0)</f>
        <v>#N/A</v>
      </c>
      <c r="EQ409" s="138" t="e">
        <f>IF(VLOOKUP(CONCATENATE(H409,F409,EQ$2),Matemáticas!$A:$H,7,FALSE)=BE409,1,0)</f>
        <v>#N/A</v>
      </c>
      <c r="ER409" s="138" t="e">
        <f>IF(VLOOKUP(CONCATENATE(H409,F409,ER$2),Matemáticas!$A:$H,7,FALSE)=BF409,1,0)</f>
        <v>#N/A</v>
      </c>
      <c r="ES409" s="138" t="e">
        <f>IF(VLOOKUP(CONCATENATE(H409,F409,ES$2),Matemáticas!$A:$H,7,FALSE)=BG409,1,0)</f>
        <v>#N/A</v>
      </c>
      <c r="ET409" s="138" t="e">
        <f>IF(VLOOKUP(CONCATENATE(H409,F409,ET$2),Matemáticas!$A:$H,7,FALSE)=BH409,1,0)</f>
        <v>#N/A</v>
      </c>
      <c r="EU409" s="138" t="e">
        <f>IF(VLOOKUP(CONCATENATE(H409,F409,EU$2),Matemáticas!$A:$H,7,FALSE)=BI409,1,0)</f>
        <v>#N/A</v>
      </c>
      <c r="EV409" s="138" t="e">
        <f>IF(VLOOKUP(CONCATENATE(H409,F409,EV$2),Ciencias!$A:$H,7,FALSE)=BJ409,1,0)</f>
        <v>#N/A</v>
      </c>
      <c r="EW409" s="138" t="e">
        <f>IF(VLOOKUP(CONCATENATE(H409,F409,EW$2),Ciencias!$A:$H,7,FALSE)=BK409,1,0)</f>
        <v>#N/A</v>
      </c>
      <c r="EX409" s="138" t="e">
        <f>IF(VLOOKUP(CONCATENATE(H409,F409,EX$2),Ciencias!$A:$H,7,FALSE)=BL409,1,0)</f>
        <v>#N/A</v>
      </c>
      <c r="EY409" s="138" t="e">
        <f>IF(VLOOKUP(CONCATENATE(H409,F409,EY$2),Ciencias!$A:$H,7,FALSE)=BM409,1,0)</f>
        <v>#N/A</v>
      </c>
      <c r="EZ409" s="138" t="e">
        <f>IF(VLOOKUP(CONCATENATE(H409,F409,EZ$2),Ciencias!$A:$H,7,FALSE)=BN409,1,0)</f>
        <v>#N/A</v>
      </c>
      <c r="FA409" s="138" t="e">
        <f>IF(VLOOKUP(CONCATENATE(H409,F409,FA$2),Ciencias!$A:$H,7,FALSE)=BO409,1,0)</f>
        <v>#N/A</v>
      </c>
      <c r="FB409" s="138" t="e">
        <f>IF(VLOOKUP(CONCATENATE(H409,F409,FB$2),Ciencias!$A:$H,7,FALSE)=BP409,1,0)</f>
        <v>#N/A</v>
      </c>
      <c r="FC409" s="138" t="e">
        <f>IF(VLOOKUP(CONCATENATE(H409,F409,FC$2),Ciencias!$A:$H,7,FALSE)=BQ409,1,0)</f>
        <v>#N/A</v>
      </c>
      <c r="FD409" s="138" t="e">
        <f>IF(VLOOKUP(CONCATENATE(H409,F409,FD$2),Ciencias!$A:$H,7,FALSE)=BR409,1,0)</f>
        <v>#N/A</v>
      </c>
      <c r="FE409" s="138" t="e">
        <f>IF(VLOOKUP(CONCATENATE(H409,F409,FE$2),Ciencias!$A:$H,7,FALSE)=BS409,1,0)</f>
        <v>#N/A</v>
      </c>
      <c r="FF409" s="138" t="e">
        <f>IF(VLOOKUP(CONCATENATE(H409,F409,FF$2),Ciencias!$A:$H,7,FALSE)=BT409,1,0)</f>
        <v>#N/A</v>
      </c>
      <c r="FG409" s="138" t="e">
        <f>IF(VLOOKUP(CONCATENATE(H409,F409,FG$2),Ciencias!$A:$H,7,FALSE)=BU409,1,0)</f>
        <v>#N/A</v>
      </c>
      <c r="FH409" s="138" t="e">
        <f>IF(VLOOKUP(CONCATENATE(H409,F409,FH$2),Ciencias!$A:$H,7,FALSE)=BV409,1,0)</f>
        <v>#N/A</v>
      </c>
      <c r="FI409" s="138" t="e">
        <f>IF(VLOOKUP(CONCATENATE(H409,F409,FI$2),Ciencias!$A:$H,7,FALSE)=BW409,1,0)</f>
        <v>#N/A</v>
      </c>
      <c r="FJ409" s="138" t="e">
        <f>IF(VLOOKUP(CONCATENATE(H409,F409,FJ$2),Ciencias!$A:$H,7,FALSE)=BX409,1,0)</f>
        <v>#N/A</v>
      </c>
      <c r="FK409" s="138" t="e">
        <f>IF(VLOOKUP(CONCATENATE(H409,F409,FK$2),Ciencias!$A:$H,7,FALSE)=BY409,1,0)</f>
        <v>#N/A</v>
      </c>
      <c r="FL409" s="138" t="e">
        <f>IF(VLOOKUP(CONCATENATE(H409,F409,FL$2),Ciencias!$A:$H,7,FALSE)=BZ409,1,0)</f>
        <v>#N/A</v>
      </c>
      <c r="FM409" s="138" t="e">
        <f>IF(VLOOKUP(CONCATENATE(H409,F409,FM$2),Ciencias!$A:$H,7,FALSE)=CA409,1,0)</f>
        <v>#N/A</v>
      </c>
      <c r="FN409" s="138" t="e">
        <f>IF(VLOOKUP(CONCATENATE(H409,F409,FN$2),Ciencias!$A:$H,7,FALSE)=CB409,1,0)</f>
        <v>#N/A</v>
      </c>
      <c r="FO409" s="138" t="e">
        <f>IF(VLOOKUP(CONCATENATE(H409,F409,FO$2),Ciencias!$A:$H,7,FALSE)=CC409,1,0)</f>
        <v>#N/A</v>
      </c>
      <c r="FP409" s="138" t="e">
        <f>IF(VLOOKUP(CONCATENATE(H409,F409,FP$2),GeoHis!$A:$H,7,FALSE)=CD409,1,0)</f>
        <v>#N/A</v>
      </c>
      <c r="FQ409" s="138" t="e">
        <f>IF(VLOOKUP(CONCATENATE(H409,F409,FQ$2),GeoHis!$A:$H,7,FALSE)=CE409,1,0)</f>
        <v>#N/A</v>
      </c>
      <c r="FR409" s="138" t="e">
        <f>IF(VLOOKUP(CONCATENATE(H409,F409,FR$2),GeoHis!$A:$H,7,FALSE)=CF409,1,0)</f>
        <v>#N/A</v>
      </c>
      <c r="FS409" s="138" t="e">
        <f>IF(VLOOKUP(CONCATENATE(H409,F409,FS$2),GeoHis!$A:$H,7,FALSE)=CG409,1,0)</f>
        <v>#N/A</v>
      </c>
      <c r="FT409" s="138" t="e">
        <f>IF(VLOOKUP(CONCATENATE(H409,F409,FT$2),GeoHis!$A:$H,7,FALSE)=CH409,1,0)</f>
        <v>#N/A</v>
      </c>
      <c r="FU409" s="138" t="e">
        <f>IF(VLOOKUP(CONCATENATE(H409,F409,FU$2),GeoHis!$A:$H,7,FALSE)=CI409,1,0)</f>
        <v>#N/A</v>
      </c>
      <c r="FV409" s="138" t="e">
        <f>IF(VLOOKUP(CONCATENATE(H409,F409,FV$2),GeoHis!$A:$H,7,FALSE)=CJ409,1,0)</f>
        <v>#N/A</v>
      </c>
      <c r="FW409" s="138" t="e">
        <f>IF(VLOOKUP(CONCATENATE(H409,F409,FW$2),GeoHis!$A:$H,7,FALSE)=CK409,1,0)</f>
        <v>#N/A</v>
      </c>
      <c r="FX409" s="138" t="e">
        <f>IF(VLOOKUP(CONCATENATE(H409,F409,FX$2),GeoHis!$A:$H,7,FALSE)=CL409,1,0)</f>
        <v>#N/A</v>
      </c>
      <c r="FY409" s="138" t="e">
        <f>IF(VLOOKUP(CONCATENATE(H409,F409,FY$2),GeoHis!$A:$H,7,FALSE)=CM409,1,0)</f>
        <v>#N/A</v>
      </c>
      <c r="FZ409" s="138" t="e">
        <f>IF(VLOOKUP(CONCATENATE(H409,F409,FZ$2),GeoHis!$A:$H,7,FALSE)=CN409,1,0)</f>
        <v>#N/A</v>
      </c>
      <c r="GA409" s="138" t="e">
        <f>IF(VLOOKUP(CONCATENATE(H409,F409,GA$2),GeoHis!$A:$H,7,FALSE)=CO409,1,0)</f>
        <v>#N/A</v>
      </c>
      <c r="GB409" s="138" t="e">
        <f>IF(VLOOKUP(CONCATENATE(H409,F409,GB$2),GeoHis!$A:$H,7,FALSE)=CP409,1,0)</f>
        <v>#N/A</v>
      </c>
      <c r="GC409" s="138" t="e">
        <f>IF(VLOOKUP(CONCATENATE(H409,F409,GC$2),GeoHis!$A:$H,7,FALSE)=CQ409,1,0)</f>
        <v>#N/A</v>
      </c>
      <c r="GD409" s="138" t="e">
        <f>IF(VLOOKUP(CONCATENATE(H409,F409,GD$2),GeoHis!$A:$H,7,FALSE)=CR409,1,0)</f>
        <v>#N/A</v>
      </c>
      <c r="GE409" s="135" t="str">
        <f t="shared" si="55"/>
        <v/>
      </c>
    </row>
    <row r="410" spans="1:187" x14ac:dyDescent="0.25">
      <c r="A410" s="127" t="str">
        <f>IF(C410="","",'Datos Generales'!$A$25)</f>
        <v/>
      </c>
      <c r="D410" s="126" t="str">
        <f t="shared" si="48"/>
        <v/>
      </c>
      <c r="E410" s="126">
        <f t="shared" si="49"/>
        <v>0</v>
      </c>
      <c r="F410" s="126" t="str">
        <f t="shared" si="50"/>
        <v/>
      </c>
      <c r="G410" s="126" t="str">
        <f>IF(C410="","",'Datos Generales'!$D$19)</f>
        <v/>
      </c>
      <c r="H410" s="21" t="str">
        <f>IF(C410="","",'Datos Generales'!$A$19)</f>
        <v/>
      </c>
      <c r="I410" s="126" t="str">
        <f>IF(C410="","",'Datos Generales'!$A$7)</f>
        <v/>
      </c>
      <c r="J410" s="21" t="str">
        <f>IF(C410="","",'Datos Generales'!$A$13)</f>
        <v/>
      </c>
      <c r="K410" s="21" t="str">
        <f>IF(C410="","",'Datos Generales'!$A$10)</f>
        <v/>
      </c>
      <c r="CS410" s="142" t="str">
        <f t="shared" si="51"/>
        <v/>
      </c>
      <c r="CT410" s="142" t="str">
        <f t="shared" si="52"/>
        <v/>
      </c>
      <c r="CU410" s="142" t="str">
        <f t="shared" si="53"/>
        <v/>
      </c>
      <c r="CV410" s="142" t="str">
        <f t="shared" si="54"/>
        <v/>
      </c>
      <c r="CW410" s="142" t="str">
        <f>IF(C410="","",IF('Datos Generales'!$A$19=1,AVERAGE(FP410:GD410),AVERAGE(Captura!FP410:FY410)))</f>
        <v/>
      </c>
      <c r="CX410" s="138" t="e">
        <f>IF(VLOOKUP(CONCATENATE($H$4,$F$4,CX$2),Español!$A:$H,7,FALSE)=L410,1,0)</f>
        <v>#N/A</v>
      </c>
      <c r="CY410" s="138" t="e">
        <f>IF(VLOOKUP(CONCATENATE(H410,F410,CY$2),Español!$A:$H,7,FALSE)=M410,1,0)</f>
        <v>#N/A</v>
      </c>
      <c r="CZ410" s="138" t="e">
        <f>IF(VLOOKUP(CONCATENATE(H410,F410,CZ$2),Español!$A:$H,7,FALSE)=N410,1,0)</f>
        <v>#N/A</v>
      </c>
      <c r="DA410" s="138" t="e">
        <f>IF(VLOOKUP(CONCATENATE(H410,F410,DA$2),Español!$A:$H,7,FALSE)=O410,1,0)</f>
        <v>#N/A</v>
      </c>
      <c r="DB410" s="138" t="e">
        <f>IF(VLOOKUP(CONCATENATE(H410,F410,DB$2),Español!$A:$H,7,FALSE)=P410,1,0)</f>
        <v>#N/A</v>
      </c>
      <c r="DC410" s="138" t="e">
        <f>IF(VLOOKUP(CONCATENATE(H410,F410,DC$2),Español!$A:$H,7,FALSE)=Q410,1,0)</f>
        <v>#N/A</v>
      </c>
      <c r="DD410" s="138" t="e">
        <f>IF(VLOOKUP(CONCATENATE(H410,F410,DD$2),Español!$A:$H,7,FALSE)=R410,1,0)</f>
        <v>#N/A</v>
      </c>
      <c r="DE410" s="138" t="e">
        <f>IF(VLOOKUP(CONCATENATE(H410,F410,DE$2),Español!$A:$H,7,FALSE)=S410,1,0)</f>
        <v>#N/A</v>
      </c>
      <c r="DF410" s="138" t="e">
        <f>IF(VLOOKUP(CONCATENATE(H410,F410,DF$2),Español!$A:$H,7,FALSE)=T410,1,0)</f>
        <v>#N/A</v>
      </c>
      <c r="DG410" s="138" t="e">
        <f>IF(VLOOKUP(CONCATENATE(H410,F410,DG$2),Español!$A:$H,7,FALSE)=U410,1,0)</f>
        <v>#N/A</v>
      </c>
      <c r="DH410" s="138" t="e">
        <f>IF(VLOOKUP(CONCATENATE(H410,F410,DH$2),Español!$A:$H,7,FALSE)=V410,1,0)</f>
        <v>#N/A</v>
      </c>
      <c r="DI410" s="138" t="e">
        <f>IF(VLOOKUP(CONCATENATE(H410,F410,DI$2),Español!$A:$H,7,FALSE)=W410,1,0)</f>
        <v>#N/A</v>
      </c>
      <c r="DJ410" s="138" t="e">
        <f>IF(VLOOKUP(CONCATENATE(H410,F410,DJ$2),Español!$A:$H,7,FALSE)=X410,1,0)</f>
        <v>#N/A</v>
      </c>
      <c r="DK410" s="138" t="e">
        <f>IF(VLOOKUP(CONCATENATE(H410,F410,DK$2),Español!$A:$H,7,FALSE)=Y410,1,0)</f>
        <v>#N/A</v>
      </c>
      <c r="DL410" s="138" t="e">
        <f>IF(VLOOKUP(CONCATENATE(H410,F410,DL$2),Español!$A:$H,7,FALSE)=Z410,1,0)</f>
        <v>#N/A</v>
      </c>
      <c r="DM410" s="138" t="e">
        <f>IF(VLOOKUP(CONCATENATE(H410,F410,DM$2),Español!$A:$H,7,FALSE)=AA410,1,0)</f>
        <v>#N/A</v>
      </c>
      <c r="DN410" s="138" t="e">
        <f>IF(VLOOKUP(CONCATENATE(H410,F410,DN$2),Español!$A:$H,7,FALSE)=AB410,1,0)</f>
        <v>#N/A</v>
      </c>
      <c r="DO410" s="138" t="e">
        <f>IF(VLOOKUP(CONCATENATE(H410,F410,DO$2),Español!$A:$H,7,FALSE)=AC410,1,0)</f>
        <v>#N/A</v>
      </c>
      <c r="DP410" s="138" t="e">
        <f>IF(VLOOKUP(CONCATENATE(H410,F410,DP$2),Español!$A:$H,7,FALSE)=AD410,1,0)</f>
        <v>#N/A</v>
      </c>
      <c r="DQ410" s="138" t="e">
        <f>IF(VLOOKUP(CONCATENATE(H410,F410,DQ$2),Español!$A:$H,7,FALSE)=AE410,1,0)</f>
        <v>#N/A</v>
      </c>
      <c r="DR410" s="138" t="e">
        <f>IF(VLOOKUP(CONCATENATE(H410,F410,DR$2),Inglés!$A:$H,7,FALSE)=AF410,1,0)</f>
        <v>#N/A</v>
      </c>
      <c r="DS410" s="138" t="e">
        <f>IF(VLOOKUP(CONCATENATE(H410,F410,DS$2),Inglés!$A:$H,7,FALSE)=AG410,1,0)</f>
        <v>#N/A</v>
      </c>
      <c r="DT410" s="138" t="e">
        <f>IF(VLOOKUP(CONCATENATE(H410,F410,DT$2),Inglés!$A:$H,7,FALSE)=AH410,1,0)</f>
        <v>#N/A</v>
      </c>
      <c r="DU410" s="138" t="e">
        <f>IF(VLOOKUP(CONCATENATE(H410,F410,DU$2),Inglés!$A:$H,7,FALSE)=AI410,1,0)</f>
        <v>#N/A</v>
      </c>
      <c r="DV410" s="138" t="e">
        <f>IF(VLOOKUP(CONCATENATE(H410,F410,DV$2),Inglés!$A:$H,7,FALSE)=AJ410,1,0)</f>
        <v>#N/A</v>
      </c>
      <c r="DW410" s="138" t="e">
        <f>IF(VLOOKUP(CONCATENATE(H410,F410,DW$2),Inglés!$A:$H,7,FALSE)=AK410,1,0)</f>
        <v>#N/A</v>
      </c>
      <c r="DX410" s="138" t="e">
        <f>IF(VLOOKUP(CONCATENATE(H410,F410,DX$2),Inglés!$A:$H,7,FALSE)=AL410,1,0)</f>
        <v>#N/A</v>
      </c>
      <c r="DY410" s="138" t="e">
        <f>IF(VLOOKUP(CONCATENATE(H410,F410,DY$2),Inglés!$A:$H,7,FALSE)=AM410,1,0)</f>
        <v>#N/A</v>
      </c>
      <c r="DZ410" s="138" t="e">
        <f>IF(VLOOKUP(CONCATENATE(H410,F410,DZ$2),Inglés!$A:$H,7,FALSE)=AN410,1,0)</f>
        <v>#N/A</v>
      </c>
      <c r="EA410" s="138" t="e">
        <f>IF(VLOOKUP(CONCATENATE(H410,F410,EA$2),Inglés!$A:$H,7,FALSE)=AO410,1,0)</f>
        <v>#N/A</v>
      </c>
      <c r="EB410" s="138" t="e">
        <f>IF(VLOOKUP(CONCATENATE(H410,F410,EB$2),Matemáticas!$A:$H,7,FALSE)=AP410,1,0)</f>
        <v>#N/A</v>
      </c>
      <c r="EC410" s="138" t="e">
        <f>IF(VLOOKUP(CONCATENATE(H410,F410,EC$2),Matemáticas!$A:$H,7,FALSE)=AQ410,1,0)</f>
        <v>#N/A</v>
      </c>
      <c r="ED410" s="138" t="e">
        <f>IF(VLOOKUP(CONCATENATE(H410,F410,ED$2),Matemáticas!$A:$H,7,FALSE)=AR410,1,0)</f>
        <v>#N/A</v>
      </c>
      <c r="EE410" s="138" t="e">
        <f>IF(VLOOKUP(CONCATENATE(H410,F410,EE$2),Matemáticas!$A:$H,7,FALSE)=AS410,1,0)</f>
        <v>#N/A</v>
      </c>
      <c r="EF410" s="138" t="e">
        <f>IF(VLOOKUP(CONCATENATE(H410,F410,EF$2),Matemáticas!$A:$H,7,FALSE)=AT410,1,0)</f>
        <v>#N/A</v>
      </c>
      <c r="EG410" s="138" t="e">
        <f>IF(VLOOKUP(CONCATENATE(H410,F410,EG$2),Matemáticas!$A:$H,7,FALSE)=AU410,1,0)</f>
        <v>#N/A</v>
      </c>
      <c r="EH410" s="138" t="e">
        <f>IF(VLOOKUP(CONCATENATE(H410,F410,EH$2),Matemáticas!$A:$H,7,FALSE)=AV410,1,0)</f>
        <v>#N/A</v>
      </c>
      <c r="EI410" s="138" t="e">
        <f>IF(VLOOKUP(CONCATENATE(H410,F410,EI$2),Matemáticas!$A:$H,7,FALSE)=AW410,1,0)</f>
        <v>#N/A</v>
      </c>
      <c r="EJ410" s="138" t="e">
        <f>IF(VLOOKUP(CONCATENATE(H410,F410,EJ$2),Matemáticas!$A:$H,7,FALSE)=AX410,1,0)</f>
        <v>#N/A</v>
      </c>
      <c r="EK410" s="138" t="e">
        <f>IF(VLOOKUP(CONCATENATE(H410,F410,EK$2),Matemáticas!$A:$H,7,FALSE)=AY410,1,0)</f>
        <v>#N/A</v>
      </c>
      <c r="EL410" s="138" t="e">
        <f>IF(VLOOKUP(CONCATENATE(H410,F410,EL$2),Matemáticas!$A:$H,7,FALSE)=AZ410,1,0)</f>
        <v>#N/A</v>
      </c>
      <c r="EM410" s="138" t="e">
        <f>IF(VLOOKUP(CONCATENATE(H410,F410,EM$2),Matemáticas!$A:$H,7,FALSE)=BA410,1,0)</f>
        <v>#N/A</v>
      </c>
      <c r="EN410" s="138" t="e">
        <f>IF(VLOOKUP(CONCATENATE(H410,F410,EN$2),Matemáticas!$A:$H,7,FALSE)=BB410,1,0)</f>
        <v>#N/A</v>
      </c>
      <c r="EO410" s="138" t="e">
        <f>IF(VLOOKUP(CONCATENATE(H410,F410,EO$2),Matemáticas!$A:$H,7,FALSE)=BC410,1,0)</f>
        <v>#N/A</v>
      </c>
      <c r="EP410" s="138" t="e">
        <f>IF(VLOOKUP(CONCATENATE(H410,F410,EP$2),Matemáticas!$A:$H,7,FALSE)=BD410,1,0)</f>
        <v>#N/A</v>
      </c>
      <c r="EQ410" s="138" t="e">
        <f>IF(VLOOKUP(CONCATENATE(H410,F410,EQ$2),Matemáticas!$A:$H,7,FALSE)=BE410,1,0)</f>
        <v>#N/A</v>
      </c>
      <c r="ER410" s="138" t="e">
        <f>IF(VLOOKUP(CONCATENATE(H410,F410,ER$2),Matemáticas!$A:$H,7,FALSE)=BF410,1,0)</f>
        <v>#N/A</v>
      </c>
      <c r="ES410" s="138" t="e">
        <f>IF(VLOOKUP(CONCATENATE(H410,F410,ES$2),Matemáticas!$A:$H,7,FALSE)=BG410,1,0)</f>
        <v>#N/A</v>
      </c>
      <c r="ET410" s="138" t="e">
        <f>IF(VLOOKUP(CONCATENATE(H410,F410,ET$2),Matemáticas!$A:$H,7,FALSE)=BH410,1,0)</f>
        <v>#N/A</v>
      </c>
      <c r="EU410" s="138" t="e">
        <f>IF(VLOOKUP(CONCATENATE(H410,F410,EU$2),Matemáticas!$A:$H,7,FALSE)=BI410,1,0)</f>
        <v>#N/A</v>
      </c>
      <c r="EV410" s="138" t="e">
        <f>IF(VLOOKUP(CONCATENATE(H410,F410,EV$2),Ciencias!$A:$H,7,FALSE)=BJ410,1,0)</f>
        <v>#N/A</v>
      </c>
      <c r="EW410" s="138" t="e">
        <f>IF(VLOOKUP(CONCATENATE(H410,F410,EW$2),Ciencias!$A:$H,7,FALSE)=BK410,1,0)</f>
        <v>#N/A</v>
      </c>
      <c r="EX410" s="138" t="e">
        <f>IF(VLOOKUP(CONCATENATE(H410,F410,EX$2),Ciencias!$A:$H,7,FALSE)=BL410,1,0)</f>
        <v>#N/A</v>
      </c>
      <c r="EY410" s="138" t="e">
        <f>IF(VLOOKUP(CONCATENATE(H410,F410,EY$2),Ciencias!$A:$H,7,FALSE)=BM410,1,0)</f>
        <v>#N/A</v>
      </c>
      <c r="EZ410" s="138" t="e">
        <f>IF(VLOOKUP(CONCATENATE(H410,F410,EZ$2),Ciencias!$A:$H,7,FALSE)=BN410,1,0)</f>
        <v>#N/A</v>
      </c>
      <c r="FA410" s="138" t="e">
        <f>IF(VLOOKUP(CONCATENATE(H410,F410,FA$2),Ciencias!$A:$H,7,FALSE)=BO410,1,0)</f>
        <v>#N/A</v>
      </c>
      <c r="FB410" s="138" t="e">
        <f>IF(VLOOKUP(CONCATENATE(H410,F410,FB$2),Ciencias!$A:$H,7,FALSE)=BP410,1,0)</f>
        <v>#N/A</v>
      </c>
      <c r="FC410" s="138" t="e">
        <f>IF(VLOOKUP(CONCATENATE(H410,F410,FC$2),Ciencias!$A:$H,7,FALSE)=BQ410,1,0)</f>
        <v>#N/A</v>
      </c>
      <c r="FD410" s="138" t="e">
        <f>IF(VLOOKUP(CONCATENATE(H410,F410,FD$2),Ciencias!$A:$H,7,FALSE)=BR410,1,0)</f>
        <v>#N/A</v>
      </c>
      <c r="FE410" s="138" t="e">
        <f>IF(VLOOKUP(CONCATENATE(H410,F410,FE$2),Ciencias!$A:$H,7,FALSE)=BS410,1,0)</f>
        <v>#N/A</v>
      </c>
      <c r="FF410" s="138" t="e">
        <f>IF(VLOOKUP(CONCATENATE(H410,F410,FF$2),Ciencias!$A:$H,7,FALSE)=BT410,1,0)</f>
        <v>#N/A</v>
      </c>
      <c r="FG410" s="138" t="e">
        <f>IF(VLOOKUP(CONCATENATE(H410,F410,FG$2),Ciencias!$A:$H,7,FALSE)=BU410,1,0)</f>
        <v>#N/A</v>
      </c>
      <c r="FH410" s="138" t="e">
        <f>IF(VLOOKUP(CONCATENATE(H410,F410,FH$2),Ciencias!$A:$H,7,FALSE)=BV410,1,0)</f>
        <v>#N/A</v>
      </c>
      <c r="FI410" s="138" t="e">
        <f>IF(VLOOKUP(CONCATENATE(H410,F410,FI$2),Ciencias!$A:$H,7,FALSE)=BW410,1,0)</f>
        <v>#N/A</v>
      </c>
      <c r="FJ410" s="138" t="e">
        <f>IF(VLOOKUP(CONCATENATE(H410,F410,FJ$2),Ciencias!$A:$H,7,FALSE)=BX410,1,0)</f>
        <v>#N/A</v>
      </c>
      <c r="FK410" s="138" t="e">
        <f>IF(VLOOKUP(CONCATENATE(H410,F410,FK$2),Ciencias!$A:$H,7,FALSE)=BY410,1,0)</f>
        <v>#N/A</v>
      </c>
      <c r="FL410" s="138" t="e">
        <f>IF(VLOOKUP(CONCATENATE(H410,F410,FL$2),Ciencias!$A:$H,7,FALSE)=BZ410,1,0)</f>
        <v>#N/A</v>
      </c>
      <c r="FM410" s="138" t="e">
        <f>IF(VLOOKUP(CONCATENATE(H410,F410,FM$2),Ciencias!$A:$H,7,FALSE)=CA410,1,0)</f>
        <v>#N/A</v>
      </c>
      <c r="FN410" s="138" t="e">
        <f>IF(VLOOKUP(CONCATENATE(H410,F410,FN$2),Ciencias!$A:$H,7,FALSE)=CB410,1,0)</f>
        <v>#N/A</v>
      </c>
      <c r="FO410" s="138" t="e">
        <f>IF(VLOOKUP(CONCATENATE(H410,F410,FO$2),Ciencias!$A:$H,7,FALSE)=CC410,1,0)</f>
        <v>#N/A</v>
      </c>
      <c r="FP410" s="138" t="e">
        <f>IF(VLOOKUP(CONCATENATE(H410,F410,FP$2),GeoHis!$A:$H,7,FALSE)=CD410,1,0)</f>
        <v>#N/A</v>
      </c>
      <c r="FQ410" s="138" t="e">
        <f>IF(VLOOKUP(CONCATENATE(H410,F410,FQ$2),GeoHis!$A:$H,7,FALSE)=CE410,1,0)</f>
        <v>#N/A</v>
      </c>
      <c r="FR410" s="138" t="e">
        <f>IF(VLOOKUP(CONCATENATE(H410,F410,FR$2),GeoHis!$A:$H,7,FALSE)=CF410,1,0)</f>
        <v>#N/A</v>
      </c>
      <c r="FS410" s="138" t="e">
        <f>IF(VLOOKUP(CONCATENATE(H410,F410,FS$2),GeoHis!$A:$H,7,FALSE)=CG410,1,0)</f>
        <v>#N/A</v>
      </c>
      <c r="FT410" s="138" t="e">
        <f>IF(VLOOKUP(CONCATENATE(H410,F410,FT$2),GeoHis!$A:$H,7,FALSE)=CH410,1,0)</f>
        <v>#N/A</v>
      </c>
      <c r="FU410" s="138" t="e">
        <f>IF(VLOOKUP(CONCATENATE(H410,F410,FU$2),GeoHis!$A:$H,7,FALSE)=CI410,1,0)</f>
        <v>#N/A</v>
      </c>
      <c r="FV410" s="138" t="e">
        <f>IF(VLOOKUP(CONCATENATE(H410,F410,FV$2),GeoHis!$A:$H,7,FALSE)=CJ410,1,0)</f>
        <v>#N/A</v>
      </c>
      <c r="FW410" s="138" t="e">
        <f>IF(VLOOKUP(CONCATENATE(H410,F410,FW$2),GeoHis!$A:$H,7,FALSE)=CK410,1,0)</f>
        <v>#N/A</v>
      </c>
      <c r="FX410" s="138" t="e">
        <f>IF(VLOOKUP(CONCATENATE(H410,F410,FX$2),GeoHis!$A:$H,7,FALSE)=CL410,1,0)</f>
        <v>#N/A</v>
      </c>
      <c r="FY410" s="138" t="e">
        <f>IF(VLOOKUP(CONCATENATE(H410,F410,FY$2),GeoHis!$A:$H,7,FALSE)=CM410,1,0)</f>
        <v>#N/A</v>
      </c>
      <c r="FZ410" s="138" t="e">
        <f>IF(VLOOKUP(CONCATENATE(H410,F410,FZ$2),GeoHis!$A:$H,7,FALSE)=CN410,1,0)</f>
        <v>#N/A</v>
      </c>
      <c r="GA410" s="138" t="e">
        <f>IF(VLOOKUP(CONCATENATE(H410,F410,GA$2),GeoHis!$A:$H,7,FALSE)=CO410,1,0)</f>
        <v>#N/A</v>
      </c>
      <c r="GB410" s="138" t="e">
        <f>IF(VLOOKUP(CONCATENATE(H410,F410,GB$2),GeoHis!$A:$H,7,FALSE)=CP410,1,0)</f>
        <v>#N/A</v>
      </c>
      <c r="GC410" s="138" t="e">
        <f>IF(VLOOKUP(CONCATENATE(H410,F410,GC$2),GeoHis!$A:$H,7,FALSE)=CQ410,1,0)</f>
        <v>#N/A</v>
      </c>
      <c r="GD410" s="138" t="e">
        <f>IF(VLOOKUP(CONCATENATE(H410,F410,GD$2),GeoHis!$A:$H,7,FALSE)=CR410,1,0)</f>
        <v>#N/A</v>
      </c>
      <c r="GE410" s="135" t="str">
        <f t="shared" si="55"/>
        <v/>
      </c>
    </row>
    <row r="411" spans="1:187" x14ac:dyDescent="0.25">
      <c r="A411" s="127" t="str">
        <f>IF(C411="","",'Datos Generales'!$A$25)</f>
        <v/>
      </c>
      <c r="D411" s="126" t="str">
        <f t="shared" si="48"/>
        <v/>
      </c>
      <c r="E411" s="126">
        <f t="shared" si="49"/>
        <v>0</v>
      </c>
      <c r="F411" s="126" t="str">
        <f t="shared" si="50"/>
        <v/>
      </c>
      <c r="G411" s="126" t="str">
        <f>IF(C411="","",'Datos Generales'!$D$19)</f>
        <v/>
      </c>
      <c r="H411" s="21" t="str">
        <f>IF(C411="","",'Datos Generales'!$A$19)</f>
        <v/>
      </c>
      <c r="I411" s="126" t="str">
        <f>IF(C411="","",'Datos Generales'!$A$7)</f>
        <v/>
      </c>
      <c r="J411" s="21" t="str">
        <f>IF(C411="","",'Datos Generales'!$A$13)</f>
        <v/>
      </c>
      <c r="K411" s="21" t="str">
        <f>IF(C411="","",'Datos Generales'!$A$10)</f>
        <v/>
      </c>
      <c r="CS411" s="142" t="str">
        <f t="shared" si="51"/>
        <v/>
      </c>
      <c r="CT411" s="142" t="str">
        <f t="shared" si="52"/>
        <v/>
      </c>
      <c r="CU411" s="142" t="str">
        <f t="shared" si="53"/>
        <v/>
      </c>
      <c r="CV411" s="142" t="str">
        <f t="shared" si="54"/>
        <v/>
      </c>
      <c r="CW411" s="142" t="str">
        <f>IF(C411="","",IF('Datos Generales'!$A$19=1,AVERAGE(FP411:GD411),AVERAGE(Captura!FP411:FY411)))</f>
        <v/>
      </c>
      <c r="CX411" s="138" t="e">
        <f>IF(VLOOKUP(CONCATENATE($H$4,$F$4,CX$2),Español!$A:$H,7,FALSE)=L411,1,0)</f>
        <v>#N/A</v>
      </c>
      <c r="CY411" s="138" t="e">
        <f>IF(VLOOKUP(CONCATENATE(H411,F411,CY$2),Español!$A:$H,7,FALSE)=M411,1,0)</f>
        <v>#N/A</v>
      </c>
      <c r="CZ411" s="138" t="e">
        <f>IF(VLOOKUP(CONCATENATE(H411,F411,CZ$2),Español!$A:$H,7,FALSE)=N411,1,0)</f>
        <v>#N/A</v>
      </c>
      <c r="DA411" s="138" t="e">
        <f>IF(VLOOKUP(CONCATENATE(H411,F411,DA$2),Español!$A:$H,7,FALSE)=O411,1,0)</f>
        <v>#N/A</v>
      </c>
      <c r="DB411" s="138" t="e">
        <f>IF(VLOOKUP(CONCATENATE(H411,F411,DB$2),Español!$A:$H,7,FALSE)=P411,1,0)</f>
        <v>#N/A</v>
      </c>
      <c r="DC411" s="138" t="e">
        <f>IF(VLOOKUP(CONCATENATE(H411,F411,DC$2),Español!$A:$H,7,FALSE)=Q411,1,0)</f>
        <v>#N/A</v>
      </c>
      <c r="DD411" s="138" t="e">
        <f>IF(VLOOKUP(CONCATENATE(H411,F411,DD$2),Español!$A:$H,7,FALSE)=R411,1,0)</f>
        <v>#N/A</v>
      </c>
      <c r="DE411" s="138" t="e">
        <f>IF(VLOOKUP(CONCATENATE(H411,F411,DE$2),Español!$A:$H,7,FALSE)=S411,1,0)</f>
        <v>#N/A</v>
      </c>
      <c r="DF411" s="138" t="e">
        <f>IF(VLOOKUP(CONCATENATE(H411,F411,DF$2),Español!$A:$H,7,FALSE)=T411,1,0)</f>
        <v>#N/A</v>
      </c>
      <c r="DG411" s="138" t="e">
        <f>IF(VLOOKUP(CONCATENATE(H411,F411,DG$2),Español!$A:$H,7,FALSE)=U411,1,0)</f>
        <v>#N/A</v>
      </c>
      <c r="DH411" s="138" t="e">
        <f>IF(VLOOKUP(CONCATENATE(H411,F411,DH$2),Español!$A:$H,7,FALSE)=V411,1,0)</f>
        <v>#N/A</v>
      </c>
      <c r="DI411" s="138" t="e">
        <f>IF(VLOOKUP(CONCATENATE(H411,F411,DI$2),Español!$A:$H,7,FALSE)=W411,1,0)</f>
        <v>#N/A</v>
      </c>
      <c r="DJ411" s="138" t="e">
        <f>IF(VLOOKUP(CONCATENATE(H411,F411,DJ$2),Español!$A:$H,7,FALSE)=X411,1,0)</f>
        <v>#N/A</v>
      </c>
      <c r="DK411" s="138" t="e">
        <f>IF(VLOOKUP(CONCATENATE(H411,F411,DK$2),Español!$A:$H,7,FALSE)=Y411,1,0)</f>
        <v>#N/A</v>
      </c>
      <c r="DL411" s="138" t="e">
        <f>IF(VLOOKUP(CONCATENATE(H411,F411,DL$2),Español!$A:$H,7,FALSE)=Z411,1,0)</f>
        <v>#N/A</v>
      </c>
      <c r="DM411" s="138" t="e">
        <f>IF(VLOOKUP(CONCATENATE(H411,F411,DM$2),Español!$A:$H,7,FALSE)=AA411,1,0)</f>
        <v>#N/A</v>
      </c>
      <c r="DN411" s="138" t="e">
        <f>IF(VLOOKUP(CONCATENATE(H411,F411,DN$2),Español!$A:$H,7,FALSE)=AB411,1,0)</f>
        <v>#N/A</v>
      </c>
      <c r="DO411" s="138" t="e">
        <f>IF(VLOOKUP(CONCATENATE(H411,F411,DO$2),Español!$A:$H,7,FALSE)=AC411,1,0)</f>
        <v>#N/A</v>
      </c>
      <c r="DP411" s="138" t="e">
        <f>IF(VLOOKUP(CONCATENATE(H411,F411,DP$2),Español!$A:$H,7,FALSE)=AD411,1,0)</f>
        <v>#N/A</v>
      </c>
      <c r="DQ411" s="138" t="e">
        <f>IF(VLOOKUP(CONCATENATE(H411,F411,DQ$2),Español!$A:$H,7,FALSE)=AE411,1,0)</f>
        <v>#N/A</v>
      </c>
      <c r="DR411" s="138" t="e">
        <f>IF(VLOOKUP(CONCATENATE(H411,F411,DR$2),Inglés!$A:$H,7,FALSE)=AF411,1,0)</f>
        <v>#N/A</v>
      </c>
      <c r="DS411" s="138" t="e">
        <f>IF(VLOOKUP(CONCATENATE(H411,F411,DS$2),Inglés!$A:$H,7,FALSE)=AG411,1,0)</f>
        <v>#N/A</v>
      </c>
      <c r="DT411" s="138" t="e">
        <f>IF(VLOOKUP(CONCATENATE(H411,F411,DT$2),Inglés!$A:$H,7,FALSE)=AH411,1,0)</f>
        <v>#N/A</v>
      </c>
      <c r="DU411" s="138" t="e">
        <f>IF(VLOOKUP(CONCATENATE(H411,F411,DU$2),Inglés!$A:$H,7,FALSE)=AI411,1,0)</f>
        <v>#N/A</v>
      </c>
      <c r="DV411" s="138" t="e">
        <f>IF(VLOOKUP(CONCATENATE(H411,F411,DV$2),Inglés!$A:$H,7,FALSE)=AJ411,1,0)</f>
        <v>#N/A</v>
      </c>
      <c r="DW411" s="138" t="e">
        <f>IF(VLOOKUP(CONCATENATE(H411,F411,DW$2),Inglés!$A:$H,7,FALSE)=AK411,1,0)</f>
        <v>#N/A</v>
      </c>
      <c r="DX411" s="138" t="e">
        <f>IF(VLOOKUP(CONCATENATE(H411,F411,DX$2),Inglés!$A:$H,7,FALSE)=AL411,1,0)</f>
        <v>#N/A</v>
      </c>
      <c r="DY411" s="138" t="e">
        <f>IF(VLOOKUP(CONCATENATE(H411,F411,DY$2),Inglés!$A:$H,7,FALSE)=AM411,1,0)</f>
        <v>#N/A</v>
      </c>
      <c r="DZ411" s="138" t="e">
        <f>IF(VLOOKUP(CONCATENATE(H411,F411,DZ$2),Inglés!$A:$H,7,FALSE)=AN411,1,0)</f>
        <v>#N/A</v>
      </c>
      <c r="EA411" s="138" t="e">
        <f>IF(VLOOKUP(CONCATENATE(H411,F411,EA$2),Inglés!$A:$H,7,FALSE)=AO411,1,0)</f>
        <v>#N/A</v>
      </c>
      <c r="EB411" s="138" t="e">
        <f>IF(VLOOKUP(CONCATENATE(H411,F411,EB$2),Matemáticas!$A:$H,7,FALSE)=AP411,1,0)</f>
        <v>#N/A</v>
      </c>
      <c r="EC411" s="138" t="e">
        <f>IF(VLOOKUP(CONCATENATE(H411,F411,EC$2),Matemáticas!$A:$H,7,FALSE)=AQ411,1,0)</f>
        <v>#N/A</v>
      </c>
      <c r="ED411" s="138" t="e">
        <f>IF(VLOOKUP(CONCATENATE(H411,F411,ED$2),Matemáticas!$A:$H,7,FALSE)=AR411,1,0)</f>
        <v>#N/A</v>
      </c>
      <c r="EE411" s="138" t="e">
        <f>IF(VLOOKUP(CONCATENATE(H411,F411,EE$2),Matemáticas!$A:$H,7,FALSE)=AS411,1,0)</f>
        <v>#N/A</v>
      </c>
      <c r="EF411" s="138" t="e">
        <f>IF(VLOOKUP(CONCATENATE(H411,F411,EF$2),Matemáticas!$A:$H,7,FALSE)=AT411,1,0)</f>
        <v>#N/A</v>
      </c>
      <c r="EG411" s="138" t="e">
        <f>IF(VLOOKUP(CONCATENATE(H411,F411,EG$2),Matemáticas!$A:$H,7,FALSE)=AU411,1,0)</f>
        <v>#N/A</v>
      </c>
      <c r="EH411" s="138" t="e">
        <f>IF(VLOOKUP(CONCATENATE(H411,F411,EH$2),Matemáticas!$A:$H,7,FALSE)=AV411,1,0)</f>
        <v>#N/A</v>
      </c>
      <c r="EI411" s="138" t="e">
        <f>IF(VLOOKUP(CONCATENATE(H411,F411,EI$2),Matemáticas!$A:$H,7,FALSE)=AW411,1,0)</f>
        <v>#N/A</v>
      </c>
      <c r="EJ411" s="138" t="e">
        <f>IF(VLOOKUP(CONCATENATE(H411,F411,EJ$2),Matemáticas!$A:$H,7,FALSE)=AX411,1,0)</f>
        <v>#N/A</v>
      </c>
      <c r="EK411" s="138" t="e">
        <f>IF(VLOOKUP(CONCATENATE(H411,F411,EK$2),Matemáticas!$A:$H,7,FALSE)=AY411,1,0)</f>
        <v>#N/A</v>
      </c>
      <c r="EL411" s="138" t="e">
        <f>IF(VLOOKUP(CONCATENATE(H411,F411,EL$2),Matemáticas!$A:$H,7,FALSE)=AZ411,1,0)</f>
        <v>#N/A</v>
      </c>
      <c r="EM411" s="138" t="e">
        <f>IF(VLOOKUP(CONCATENATE(H411,F411,EM$2),Matemáticas!$A:$H,7,FALSE)=BA411,1,0)</f>
        <v>#N/A</v>
      </c>
      <c r="EN411" s="138" t="e">
        <f>IF(VLOOKUP(CONCATENATE(H411,F411,EN$2),Matemáticas!$A:$H,7,FALSE)=BB411,1,0)</f>
        <v>#N/A</v>
      </c>
      <c r="EO411" s="138" t="e">
        <f>IF(VLOOKUP(CONCATENATE(H411,F411,EO$2),Matemáticas!$A:$H,7,FALSE)=BC411,1,0)</f>
        <v>#N/A</v>
      </c>
      <c r="EP411" s="138" t="e">
        <f>IF(VLOOKUP(CONCATENATE(H411,F411,EP$2),Matemáticas!$A:$H,7,FALSE)=BD411,1,0)</f>
        <v>#N/A</v>
      </c>
      <c r="EQ411" s="138" t="e">
        <f>IF(VLOOKUP(CONCATENATE(H411,F411,EQ$2),Matemáticas!$A:$H,7,FALSE)=BE411,1,0)</f>
        <v>#N/A</v>
      </c>
      <c r="ER411" s="138" t="e">
        <f>IF(VLOOKUP(CONCATENATE(H411,F411,ER$2),Matemáticas!$A:$H,7,FALSE)=BF411,1,0)</f>
        <v>#N/A</v>
      </c>
      <c r="ES411" s="138" t="e">
        <f>IF(VLOOKUP(CONCATENATE(H411,F411,ES$2),Matemáticas!$A:$H,7,FALSE)=BG411,1,0)</f>
        <v>#N/A</v>
      </c>
      <c r="ET411" s="138" t="e">
        <f>IF(VLOOKUP(CONCATENATE(H411,F411,ET$2),Matemáticas!$A:$H,7,FALSE)=BH411,1,0)</f>
        <v>#N/A</v>
      </c>
      <c r="EU411" s="138" t="e">
        <f>IF(VLOOKUP(CONCATENATE(H411,F411,EU$2),Matemáticas!$A:$H,7,FALSE)=BI411,1,0)</f>
        <v>#N/A</v>
      </c>
      <c r="EV411" s="138" t="e">
        <f>IF(VLOOKUP(CONCATENATE(H411,F411,EV$2),Ciencias!$A:$H,7,FALSE)=BJ411,1,0)</f>
        <v>#N/A</v>
      </c>
      <c r="EW411" s="138" t="e">
        <f>IF(VLOOKUP(CONCATENATE(H411,F411,EW$2),Ciencias!$A:$H,7,FALSE)=BK411,1,0)</f>
        <v>#N/A</v>
      </c>
      <c r="EX411" s="138" t="e">
        <f>IF(VLOOKUP(CONCATENATE(H411,F411,EX$2),Ciencias!$A:$H,7,FALSE)=BL411,1,0)</f>
        <v>#N/A</v>
      </c>
      <c r="EY411" s="138" t="e">
        <f>IF(VLOOKUP(CONCATENATE(H411,F411,EY$2),Ciencias!$A:$H,7,FALSE)=BM411,1,0)</f>
        <v>#N/A</v>
      </c>
      <c r="EZ411" s="138" t="e">
        <f>IF(VLOOKUP(CONCATENATE(H411,F411,EZ$2),Ciencias!$A:$H,7,FALSE)=BN411,1,0)</f>
        <v>#N/A</v>
      </c>
      <c r="FA411" s="138" t="e">
        <f>IF(VLOOKUP(CONCATENATE(H411,F411,FA$2),Ciencias!$A:$H,7,FALSE)=BO411,1,0)</f>
        <v>#N/A</v>
      </c>
      <c r="FB411" s="138" t="e">
        <f>IF(VLOOKUP(CONCATENATE(H411,F411,FB$2),Ciencias!$A:$H,7,FALSE)=BP411,1,0)</f>
        <v>#N/A</v>
      </c>
      <c r="FC411" s="138" t="e">
        <f>IF(VLOOKUP(CONCATENATE(H411,F411,FC$2),Ciencias!$A:$H,7,FALSE)=BQ411,1,0)</f>
        <v>#N/A</v>
      </c>
      <c r="FD411" s="138" t="e">
        <f>IF(VLOOKUP(CONCATENATE(H411,F411,FD$2),Ciencias!$A:$H,7,FALSE)=BR411,1,0)</f>
        <v>#N/A</v>
      </c>
      <c r="FE411" s="138" t="e">
        <f>IF(VLOOKUP(CONCATENATE(H411,F411,FE$2),Ciencias!$A:$H,7,FALSE)=BS411,1,0)</f>
        <v>#N/A</v>
      </c>
      <c r="FF411" s="138" t="e">
        <f>IF(VLOOKUP(CONCATENATE(H411,F411,FF$2),Ciencias!$A:$H,7,FALSE)=BT411,1,0)</f>
        <v>#N/A</v>
      </c>
      <c r="FG411" s="138" t="e">
        <f>IF(VLOOKUP(CONCATENATE(H411,F411,FG$2),Ciencias!$A:$H,7,FALSE)=BU411,1,0)</f>
        <v>#N/A</v>
      </c>
      <c r="FH411" s="138" t="e">
        <f>IF(VLOOKUP(CONCATENATE(H411,F411,FH$2),Ciencias!$A:$H,7,FALSE)=BV411,1,0)</f>
        <v>#N/A</v>
      </c>
      <c r="FI411" s="138" t="e">
        <f>IF(VLOOKUP(CONCATENATE(H411,F411,FI$2),Ciencias!$A:$H,7,FALSE)=BW411,1,0)</f>
        <v>#N/A</v>
      </c>
      <c r="FJ411" s="138" t="e">
        <f>IF(VLOOKUP(CONCATENATE(H411,F411,FJ$2),Ciencias!$A:$H,7,FALSE)=BX411,1,0)</f>
        <v>#N/A</v>
      </c>
      <c r="FK411" s="138" t="e">
        <f>IF(VLOOKUP(CONCATENATE(H411,F411,FK$2),Ciencias!$A:$H,7,FALSE)=BY411,1,0)</f>
        <v>#N/A</v>
      </c>
      <c r="FL411" s="138" t="e">
        <f>IF(VLOOKUP(CONCATENATE(H411,F411,FL$2),Ciencias!$A:$H,7,FALSE)=BZ411,1,0)</f>
        <v>#N/A</v>
      </c>
      <c r="FM411" s="138" t="e">
        <f>IF(VLOOKUP(CONCATENATE(H411,F411,FM$2),Ciencias!$A:$H,7,FALSE)=CA411,1,0)</f>
        <v>#N/A</v>
      </c>
      <c r="FN411" s="138" t="e">
        <f>IF(VLOOKUP(CONCATENATE(H411,F411,FN$2),Ciencias!$A:$H,7,FALSE)=CB411,1,0)</f>
        <v>#N/A</v>
      </c>
      <c r="FO411" s="138" t="e">
        <f>IF(VLOOKUP(CONCATENATE(H411,F411,FO$2),Ciencias!$A:$H,7,FALSE)=CC411,1,0)</f>
        <v>#N/A</v>
      </c>
      <c r="FP411" s="138" t="e">
        <f>IF(VLOOKUP(CONCATENATE(H411,F411,FP$2),GeoHis!$A:$H,7,FALSE)=CD411,1,0)</f>
        <v>#N/A</v>
      </c>
      <c r="FQ411" s="138" t="e">
        <f>IF(VLOOKUP(CONCATENATE(H411,F411,FQ$2),GeoHis!$A:$H,7,FALSE)=CE411,1,0)</f>
        <v>#N/A</v>
      </c>
      <c r="FR411" s="138" t="e">
        <f>IF(VLOOKUP(CONCATENATE(H411,F411,FR$2),GeoHis!$A:$H,7,FALSE)=CF411,1,0)</f>
        <v>#N/A</v>
      </c>
      <c r="FS411" s="138" t="e">
        <f>IF(VLOOKUP(CONCATENATE(H411,F411,FS$2),GeoHis!$A:$H,7,FALSE)=CG411,1,0)</f>
        <v>#N/A</v>
      </c>
      <c r="FT411" s="138" t="e">
        <f>IF(VLOOKUP(CONCATENATE(H411,F411,FT$2),GeoHis!$A:$H,7,FALSE)=CH411,1,0)</f>
        <v>#N/A</v>
      </c>
      <c r="FU411" s="138" t="e">
        <f>IF(VLOOKUP(CONCATENATE(H411,F411,FU$2),GeoHis!$A:$H,7,FALSE)=CI411,1,0)</f>
        <v>#N/A</v>
      </c>
      <c r="FV411" s="138" t="e">
        <f>IF(VLOOKUP(CONCATENATE(H411,F411,FV$2),GeoHis!$A:$H,7,FALSE)=CJ411,1,0)</f>
        <v>#N/A</v>
      </c>
      <c r="FW411" s="138" t="e">
        <f>IF(VLOOKUP(CONCATENATE(H411,F411,FW$2),GeoHis!$A:$H,7,FALSE)=CK411,1,0)</f>
        <v>#N/A</v>
      </c>
      <c r="FX411" s="138" t="e">
        <f>IF(VLOOKUP(CONCATENATE(H411,F411,FX$2),GeoHis!$A:$H,7,FALSE)=CL411,1,0)</f>
        <v>#N/A</v>
      </c>
      <c r="FY411" s="138" t="e">
        <f>IF(VLOOKUP(CONCATENATE(H411,F411,FY$2),GeoHis!$A:$H,7,FALSE)=CM411,1,0)</f>
        <v>#N/A</v>
      </c>
      <c r="FZ411" s="138" t="e">
        <f>IF(VLOOKUP(CONCATENATE(H411,F411,FZ$2),GeoHis!$A:$H,7,FALSE)=CN411,1,0)</f>
        <v>#N/A</v>
      </c>
      <c r="GA411" s="138" t="e">
        <f>IF(VLOOKUP(CONCATENATE(H411,F411,GA$2),GeoHis!$A:$H,7,FALSE)=CO411,1,0)</f>
        <v>#N/A</v>
      </c>
      <c r="GB411" s="138" t="e">
        <f>IF(VLOOKUP(CONCATENATE(H411,F411,GB$2),GeoHis!$A:$H,7,FALSE)=CP411,1,0)</f>
        <v>#N/A</v>
      </c>
      <c r="GC411" s="138" t="e">
        <f>IF(VLOOKUP(CONCATENATE(H411,F411,GC$2),GeoHis!$A:$H,7,FALSE)=CQ411,1,0)</f>
        <v>#N/A</v>
      </c>
      <c r="GD411" s="138" t="e">
        <f>IF(VLOOKUP(CONCATENATE(H411,F411,GD$2),GeoHis!$A:$H,7,FALSE)=CR411,1,0)</f>
        <v>#N/A</v>
      </c>
      <c r="GE411" s="135" t="str">
        <f t="shared" si="55"/>
        <v/>
      </c>
    </row>
    <row r="412" spans="1:187" x14ac:dyDescent="0.25">
      <c r="A412" s="127" t="str">
        <f>IF(C412="","",'Datos Generales'!$A$25)</f>
        <v/>
      </c>
      <c r="D412" s="126" t="str">
        <f t="shared" si="48"/>
        <v/>
      </c>
      <c r="E412" s="126">
        <f t="shared" si="49"/>
        <v>0</v>
      </c>
      <c r="F412" s="126" t="str">
        <f t="shared" si="50"/>
        <v/>
      </c>
      <c r="G412" s="126" t="str">
        <f>IF(C412="","",'Datos Generales'!$D$19)</f>
        <v/>
      </c>
      <c r="H412" s="21" t="str">
        <f>IF(C412="","",'Datos Generales'!$A$19)</f>
        <v/>
      </c>
      <c r="I412" s="126" t="str">
        <f>IF(C412="","",'Datos Generales'!$A$7)</f>
        <v/>
      </c>
      <c r="J412" s="21" t="str">
        <f>IF(C412="","",'Datos Generales'!$A$13)</f>
        <v/>
      </c>
      <c r="K412" s="21" t="str">
        <f>IF(C412="","",'Datos Generales'!$A$10)</f>
        <v/>
      </c>
      <c r="CS412" s="142" t="str">
        <f t="shared" si="51"/>
        <v/>
      </c>
      <c r="CT412" s="142" t="str">
        <f t="shared" si="52"/>
        <v/>
      </c>
      <c r="CU412" s="142" t="str">
        <f t="shared" si="53"/>
        <v/>
      </c>
      <c r="CV412" s="142" t="str">
        <f t="shared" si="54"/>
        <v/>
      </c>
      <c r="CW412" s="142" t="str">
        <f>IF(C412="","",IF('Datos Generales'!$A$19=1,AVERAGE(FP412:GD412),AVERAGE(Captura!FP412:FY412)))</f>
        <v/>
      </c>
      <c r="CX412" s="138" t="e">
        <f>IF(VLOOKUP(CONCATENATE($H$4,$F$4,CX$2),Español!$A:$H,7,FALSE)=L412,1,0)</f>
        <v>#N/A</v>
      </c>
      <c r="CY412" s="138" t="e">
        <f>IF(VLOOKUP(CONCATENATE(H412,F412,CY$2),Español!$A:$H,7,FALSE)=M412,1,0)</f>
        <v>#N/A</v>
      </c>
      <c r="CZ412" s="138" t="e">
        <f>IF(VLOOKUP(CONCATENATE(H412,F412,CZ$2),Español!$A:$H,7,FALSE)=N412,1,0)</f>
        <v>#N/A</v>
      </c>
      <c r="DA412" s="138" t="e">
        <f>IF(VLOOKUP(CONCATENATE(H412,F412,DA$2),Español!$A:$H,7,FALSE)=O412,1,0)</f>
        <v>#N/A</v>
      </c>
      <c r="DB412" s="138" t="e">
        <f>IF(VLOOKUP(CONCATENATE(H412,F412,DB$2),Español!$A:$H,7,FALSE)=P412,1,0)</f>
        <v>#N/A</v>
      </c>
      <c r="DC412" s="138" t="e">
        <f>IF(VLOOKUP(CONCATENATE(H412,F412,DC$2),Español!$A:$H,7,FALSE)=Q412,1,0)</f>
        <v>#N/A</v>
      </c>
      <c r="DD412" s="138" t="e">
        <f>IF(VLOOKUP(CONCATENATE(H412,F412,DD$2),Español!$A:$H,7,FALSE)=R412,1,0)</f>
        <v>#N/A</v>
      </c>
      <c r="DE412" s="138" t="e">
        <f>IF(VLOOKUP(CONCATENATE(H412,F412,DE$2),Español!$A:$H,7,FALSE)=S412,1,0)</f>
        <v>#N/A</v>
      </c>
      <c r="DF412" s="138" t="e">
        <f>IF(VLOOKUP(CONCATENATE(H412,F412,DF$2),Español!$A:$H,7,FALSE)=T412,1,0)</f>
        <v>#N/A</v>
      </c>
      <c r="DG412" s="138" t="e">
        <f>IF(VLOOKUP(CONCATENATE(H412,F412,DG$2),Español!$A:$H,7,FALSE)=U412,1,0)</f>
        <v>#N/A</v>
      </c>
      <c r="DH412" s="138" t="e">
        <f>IF(VLOOKUP(CONCATENATE(H412,F412,DH$2),Español!$A:$H,7,FALSE)=V412,1,0)</f>
        <v>#N/A</v>
      </c>
      <c r="DI412" s="138" t="e">
        <f>IF(VLOOKUP(CONCATENATE(H412,F412,DI$2),Español!$A:$H,7,FALSE)=W412,1,0)</f>
        <v>#N/A</v>
      </c>
      <c r="DJ412" s="138" t="e">
        <f>IF(VLOOKUP(CONCATENATE(H412,F412,DJ$2),Español!$A:$H,7,FALSE)=X412,1,0)</f>
        <v>#N/A</v>
      </c>
      <c r="DK412" s="138" t="e">
        <f>IF(VLOOKUP(CONCATENATE(H412,F412,DK$2),Español!$A:$H,7,FALSE)=Y412,1,0)</f>
        <v>#N/A</v>
      </c>
      <c r="DL412" s="138" t="e">
        <f>IF(VLOOKUP(CONCATENATE(H412,F412,DL$2),Español!$A:$H,7,FALSE)=Z412,1,0)</f>
        <v>#N/A</v>
      </c>
      <c r="DM412" s="138" t="e">
        <f>IF(VLOOKUP(CONCATENATE(H412,F412,DM$2),Español!$A:$H,7,FALSE)=AA412,1,0)</f>
        <v>#N/A</v>
      </c>
      <c r="DN412" s="138" t="e">
        <f>IF(VLOOKUP(CONCATENATE(H412,F412,DN$2),Español!$A:$H,7,FALSE)=AB412,1,0)</f>
        <v>#N/A</v>
      </c>
      <c r="DO412" s="138" t="e">
        <f>IF(VLOOKUP(CONCATENATE(H412,F412,DO$2),Español!$A:$H,7,FALSE)=AC412,1,0)</f>
        <v>#N/A</v>
      </c>
      <c r="DP412" s="138" t="e">
        <f>IF(VLOOKUP(CONCATENATE(H412,F412,DP$2),Español!$A:$H,7,FALSE)=AD412,1,0)</f>
        <v>#N/A</v>
      </c>
      <c r="DQ412" s="138" t="e">
        <f>IF(VLOOKUP(CONCATENATE(H412,F412,DQ$2),Español!$A:$H,7,FALSE)=AE412,1,0)</f>
        <v>#N/A</v>
      </c>
      <c r="DR412" s="138" t="e">
        <f>IF(VLOOKUP(CONCATENATE(H412,F412,DR$2),Inglés!$A:$H,7,FALSE)=AF412,1,0)</f>
        <v>#N/A</v>
      </c>
      <c r="DS412" s="138" t="e">
        <f>IF(VLOOKUP(CONCATENATE(H412,F412,DS$2),Inglés!$A:$H,7,FALSE)=AG412,1,0)</f>
        <v>#N/A</v>
      </c>
      <c r="DT412" s="138" t="e">
        <f>IF(VLOOKUP(CONCATENATE(H412,F412,DT$2),Inglés!$A:$H,7,FALSE)=AH412,1,0)</f>
        <v>#N/A</v>
      </c>
      <c r="DU412" s="138" t="e">
        <f>IF(VLOOKUP(CONCATENATE(H412,F412,DU$2),Inglés!$A:$H,7,FALSE)=AI412,1,0)</f>
        <v>#N/A</v>
      </c>
      <c r="DV412" s="138" t="e">
        <f>IF(VLOOKUP(CONCATENATE(H412,F412,DV$2),Inglés!$A:$H,7,FALSE)=AJ412,1,0)</f>
        <v>#N/A</v>
      </c>
      <c r="DW412" s="138" t="e">
        <f>IF(VLOOKUP(CONCATENATE(H412,F412,DW$2),Inglés!$A:$H,7,FALSE)=AK412,1,0)</f>
        <v>#N/A</v>
      </c>
      <c r="DX412" s="138" t="e">
        <f>IF(VLOOKUP(CONCATENATE(H412,F412,DX$2),Inglés!$A:$H,7,FALSE)=AL412,1,0)</f>
        <v>#N/A</v>
      </c>
      <c r="DY412" s="138" t="e">
        <f>IF(VLOOKUP(CONCATENATE(H412,F412,DY$2),Inglés!$A:$H,7,FALSE)=AM412,1,0)</f>
        <v>#N/A</v>
      </c>
      <c r="DZ412" s="138" t="e">
        <f>IF(VLOOKUP(CONCATENATE(H412,F412,DZ$2),Inglés!$A:$H,7,FALSE)=AN412,1,0)</f>
        <v>#N/A</v>
      </c>
      <c r="EA412" s="138" t="e">
        <f>IF(VLOOKUP(CONCATENATE(H412,F412,EA$2),Inglés!$A:$H,7,FALSE)=AO412,1,0)</f>
        <v>#N/A</v>
      </c>
      <c r="EB412" s="138" t="e">
        <f>IF(VLOOKUP(CONCATENATE(H412,F412,EB$2),Matemáticas!$A:$H,7,FALSE)=AP412,1,0)</f>
        <v>#N/A</v>
      </c>
      <c r="EC412" s="138" t="e">
        <f>IF(VLOOKUP(CONCATENATE(H412,F412,EC$2),Matemáticas!$A:$H,7,FALSE)=AQ412,1,0)</f>
        <v>#N/A</v>
      </c>
      <c r="ED412" s="138" t="e">
        <f>IF(VLOOKUP(CONCATENATE(H412,F412,ED$2),Matemáticas!$A:$H,7,FALSE)=AR412,1,0)</f>
        <v>#N/A</v>
      </c>
      <c r="EE412" s="138" t="e">
        <f>IF(VLOOKUP(CONCATENATE(H412,F412,EE$2),Matemáticas!$A:$H,7,FALSE)=AS412,1,0)</f>
        <v>#N/A</v>
      </c>
      <c r="EF412" s="138" t="e">
        <f>IF(VLOOKUP(CONCATENATE(H412,F412,EF$2),Matemáticas!$A:$H,7,FALSE)=AT412,1,0)</f>
        <v>#N/A</v>
      </c>
      <c r="EG412" s="138" t="e">
        <f>IF(VLOOKUP(CONCATENATE(H412,F412,EG$2),Matemáticas!$A:$H,7,FALSE)=AU412,1,0)</f>
        <v>#N/A</v>
      </c>
      <c r="EH412" s="138" t="e">
        <f>IF(VLOOKUP(CONCATENATE(H412,F412,EH$2),Matemáticas!$A:$H,7,FALSE)=AV412,1,0)</f>
        <v>#N/A</v>
      </c>
      <c r="EI412" s="138" t="e">
        <f>IF(VLOOKUP(CONCATENATE(H412,F412,EI$2),Matemáticas!$A:$H,7,FALSE)=AW412,1,0)</f>
        <v>#N/A</v>
      </c>
      <c r="EJ412" s="138" t="e">
        <f>IF(VLOOKUP(CONCATENATE(H412,F412,EJ$2),Matemáticas!$A:$H,7,FALSE)=AX412,1,0)</f>
        <v>#N/A</v>
      </c>
      <c r="EK412" s="138" t="e">
        <f>IF(VLOOKUP(CONCATENATE(H412,F412,EK$2),Matemáticas!$A:$H,7,FALSE)=AY412,1,0)</f>
        <v>#N/A</v>
      </c>
      <c r="EL412" s="138" t="e">
        <f>IF(VLOOKUP(CONCATENATE(H412,F412,EL$2),Matemáticas!$A:$H,7,FALSE)=AZ412,1,0)</f>
        <v>#N/A</v>
      </c>
      <c r="EM412" s="138" t="e">
        <f>IF(VLOOKUP(CONCATENATE(H412,F412,EM$2),Matemáticas!$A:$H,7,FALSE)=BA412,1,0)</f>
        <v>#N/A</v>
      </c>
      <c r="EN412" s="138" t="e">
        <f>IF(VLOOKUP(CONCATENATE(H412,F412,EN$2),Matemáticas!$A:$H,7,FALSE)=BB412,1,0)</f>
        <v>#N/A</v>
      </c>
      <c r="EO412" s="138" t="e">
        <f>IF(VLOOKUP(CONCATENATE(H412,F412,EO$2),Matemáticas!$A:$H,7,FALSE)=BC412,1,0)</f>
        <v>#N/A</v>
      </c>
      <c r="EP412" s="138" t="e">
        <f>IF(VLOOKUP(CONCATENATE(H412,F412,EP$2),Matemáticas!$A:$H,7,FALSE)=BD412,1,0)</f>
        <v>#N/A</v>
      </c>
      <c r="EQ412" s="138" t="e">
        <f>IF(VLOOKUP(CONCATENATE(H412,F412,EQ$2),Matemáticas!$A:$H,7,FALSE)=BE412,1,0)</f>
        <v>#N/A</v>
      </c>
      <c r="ER412" s="138" t="e">
        <f>IF(VLOOKUP(CONCATENATE(H412,F412,ER$2),Matemáticas!$A:$H,7,FALSE)=BF412,1,0)</f>
        <v>#N/A</v>
      </c>
      <c r="ES412" s="138" t="e">
        <f>IF(VLOOKUP(CONCATENATE(H412,F412,ES$2),Matemáticas!$A:$H,7,FALSE)=BG412,1,0)</f>
        <v>#N/A</v>
      </c>
      <c r="ET412" s="138" t="e">
        <f>IF(VLOOKUP(CONCATENATE(H412,F412,ET$2),Matemáticas!$A:$H,7,FALSE)=BH412,1,0)</f>
        <v>#N/A</v>
      </c>
      <c r="EU412" s="138" t="e">
        <f>IF(VLOOKUP(CONCATENATE(H412,F412,EU$2),Matemáticas!$A:$H,7,FALSE)=BI412,1,0)</f>
        <v>#N/A</v>
      </c>
      <c r="EV412" s="138" t="e">
        <f>IF(VLOOKUP(CONCATENATE(H412,F412,EV$2),Ciencias!$A:$H,7,FALSE)=BJ412,1,0)</f>
        <v>#N/A</v>
      </c>
      <c r="EW412" s="138" t="e">
        <f>IF(VLOOKUP(CONCATENATE(H412,F412,EW$2),Ciencias!$A:$H,7,FALSE)=BK412,1,0)</f>
        <v>#N/A</v>
      </c>
      <c r="EX412" s="138" t="e">
        <f>IF(VLOOKUP(CONCATENATE(H412,F412,EX$2),Ciencias!$A:$H,7,FALSE)=BL412,1,0)</f>
        <v>#N/A</v>
      </c>
      <c r="EY412" s="138" t="e">
        <f>IF(VLOOKUP(CONCATENATE(H412,F412,EY$2),Ciencias!$A:$H,7,FALSE)=BM412,1,0)</f>
        <v>#N/A</v>
      </c>
      <c r="EZ412" s="138" t="e">
        <f>IF(VLOOKUP(CONCATENATE(H412,F412,EZ$2),Ciencias!$A:$H,7,FALSE)=BN412,1,0)</f>
        <v>#N/A</v>
      </c>
      <c r="FA412" s="138" t="e">
        <f>IF(VLOOKUP(CONCATENATE(H412,F412,FA$2),Ciencias!$A:$H,7,FALSE)=BO412,1,0)</f>
        <v>#N/A</v>
      </c>
      <c r="FB412" s="138" t="e">
        <f>IF(VLOOKUP(CONCATENATE(H412,F412,FB$2),Ciencias!$A:$H,7,FALSE)=BP412,1,0)</f>
        <v>#N/A</v>
      </c>
      <c r="FC412" s="138" t="e">
        <f>IF(VLOOKUP(CONCATENATE(H412,F412,FC$2),Ciencias!$A:$H,7,FALSE)=BQ412,1,0)</f>
        <v>#N/A</v>
      </c>
      <c r="FD412" s="138" t="e">
        <f>IF(VLOOKUP(CONCATENATE(H412,F412,FD$2),Ciencias!$A:$H,7,FALSE)=BR412,1,0)</f>
        <v>#N/A</v>
      </c>
      <c r="FE412" s="138" t="e">
        <f>IF(VLOOKUP(CONCATENATE(H412,F412,FE$2),Ciencias!$A:$H,7,FALSE)=BS412,1,0)</f>
        <v>#N/A</v>
      </c>
      <c r="FF412" s="138" t="e">
        <f>IF(VLOOKUP(CONCATENATE(H412,F412,FF$2),Ciencias!$A:$H,7,FALSE)=BT412,1,0)</f>
        <v>#N/A</v>
      </c>
      <c r="FG412" s="138" t="e">
        <f>IF(VLOOKUP(CONCATENATE(H412,F412,FG$2),Ciencias!$A:$H,7,FALSE)=BU412,1,0)</f>
        <v>#N/A</v>
      </c>
      <c r="FH412" s="138" t="e">
        <f>IF(VLOOKUP(CONCATENATE(H412,F412,FH$2),Ciencias!$A:$H,7,FALSE)=BV412,1,0)</f>
        <v>#N/A</v>
      </c>
      <c r="FI412" s="138" t="e">
        <f>IF(VLOOKUP(CONCATENATE(H412,F412,FI$2),Ciencias!$A:$H,7,FALSE)=BW412,1,0)</f>
        <v>#N/A</v>
      </c>
      <c r="FJ412" s="138" t="e">
        <f>IF(VLOOKUP(CONCATENATE(H412,F412,FJ$2),Ciencias!$A:$H,7,FALSE)=BX412,1,0)</f>
        <v>#N/A</v>
      </c>
      <c r="FK412" s="138" t="e">
        <f>IF(VLOOKUP(CONCATENATE(H412,F412,FK$2),Ciencias!$A:$H,7,FALSE)=BY412,1,0)</f>
        <v>#N/A</v>
      </c>
      <c r="FL412" s="138" t="e">
        <f>IF(VLOOKUP(CONCATENATE(H412,F412,FL$2),Ciencias!$A:$H,7,FALSE)=BZ412,1,0)</f>
        <v>#N/A</v>
      </c>
      <c r="FM412" s="138" t="e">
        <f>IF(VLOOKUP(CONCATENATE(H412,F412,FM$2),Ciencias!$A:$H,7,FALSE)=CA412,1,0)</f>
        <v>#N/A</v>
      </c>
      <c r="FN412" s="138" t="e">
        <f>IF(VLOOKUP(CONCATENATE(H412,F412,FN$2),Ciencias!$A:$H,7,FALSE)=CB412,1,0)</f>
        <v>#N/A</v>
      </c>
      <c r="FO412" s="138" t="e">
        <f>IF(VLOOKUP(CONCATENATE(H412,F412,FO$2),Ciencias!$A:$H,7,FALSE)=CC412,1,0)</f>
        <v>#N/A</v>
      </c>
      <c r="FP412" s="138" t="e">
        <f>IF(VLOOKUP(CONCATENATE(H412,F412,FP$2),GeoHis!$A:$H,7,FALSE)=CD412,1,0)</f>
        <v>#N/A</v>
      </c>
      <c r="FQ412" s="138" t="e">
        <f>IF(VLOOKUP(CONCATENATE(H412,F412,FQ$2),GeoHis!$A:$H,7,FALSE)=CE412,1,0)</f>
        <v>#N/A</v>
      </c>
      <c r="FR412" s="138" t="e">
        <f>IF(VLOOKUP(CONCATENATE(H412,F412,FR$2),GeoHis!$A:$H,7,FALSE)=CF412,1,0)</f>
        <v>#N/A</v>
      </c>
      <c r="FS412" s="138" t="e">
        <f>IF(VLOOKUP(CONCATENATE(H412,F412,FS$2),GeoHis!$A:$H,7,FALSE)=CG412,1,0)</f>
        <v>#N/A</v>
      </c>
      <c r="FT412" s="138" t="e">
        <f>IF(VLOOKUP(CONCATENATE(H412,F412,FT$2),GeoHis!$A:$H,7,FALSE)=CH412,1,0)</f>
        <v>#N/A</v>
      </c>
      <c r="FU412" s="138" t="e">
        <f>IF(VLOOKUP(CONCATENATE(H412,F412,FU$2),GeoHis!$A:$H,7,FALSE)=CI412,1,0)</f>
        <v>#N/A</v>
      </c>
      <c r="FV412" s="138" t="e">
        <f>IF(VLOOKUP(CONCATENATE(H412,F412,FV$2),GeoHis!$A:$H,7,FALSE)=CJ412,1,0)</f>
        <v>#N/A</v>
      </c>
      <c r="FW412" s="138" t="e">
        <f>IF(VLOOKUP(CONCATENATE(H412,F412,FW$2),GeoHis!$A:$H,7,FALSE)=CK412,1,0)</f>
        <v>#N/A</v>
      </c>
      <c r="FX412" s="138" t="e">
        <f>IF(VLOOKUP(CONCATENATE(H412,F412,FX$2),GeoHis!$A:$H,7,FALSE)=CL412,1,0)</f>
        <v>#N/A</v>
      </c>
      <c r="FY412" s="138" t="e">
        <f>IF(VLOOKUP(CONCATENATE(H412,F412,FY$2),GeoHis!$A:$H,7,FALSE)=CM412,1,0)</f>
        <v>#N/A</v>
      </c>
      <c r="FZ412" s="138" t="e">
        <f>IF(VLOOKUP(CONCATENATE(H412,F412,FZ$2),GeoHis!$A:$H,7,FALSE)=CN412,1,0)</f>
        <v>#N/A</v>
      </c>
      <c r="GA412" s="138" t="e">
        <f>IF(VLOOKUP(CONCATENATE(H412,F412,GA$2),GeoHis!$A:$H,7,FALSE)=CO412,1,0)</f>
        <v>#N/A</v>
      </c>
      <c r="GB412" s="138" t="e">
        <f>IF(VLOOKUP(CONCATENATE(H412,F412,GB$2),GeoHis!$A:$H,7,FALSE)=CP412,1,0)</f>
        <v>#N/A</v>
      </c>
      <c r="GC412" s="138" t="e">
        <f>IF(VLOOKUP(CONCATENATE(H412,F412,GC$2),GeoHis!$A:$H,7,FALSE)=CQ412,1,0)</f>
        <v>#N/A</v>
      </c>
      <c r="GD412" s="138" t="e">
        <f>IF(VLOOKUP(CONCATENATE(H412,F412,GD$2),GeoHis!$A:$H,7,FALSE)=CR412,1,0)</f>
        <v>#N/A</v>
      </c>
      <c r="GE412" s="135" t="str">
        <f t="shared" si="55"/>
        <v/>
      </c>
    </row>
    <row r="413" spans="1:187" x14ac:dyDescent="0.25">
      <c r="A413" s="127" t="str">
        <f>IF(C413="","",'Datos Generales'!$A$25)</f>
        <v/>
      </c>
      <c r="D413" s="126" t="str">
        <f t="shared" si="48"/>
        <v/>
      </c>
      <c r="E413" s="126">
        <f t="shared" si="49"/>
        <v>0</v>
      </c>
      <c r="F413" s="126" t="str">
        <f t="shared" si="50"/>
        <v/>
      </c>
      <c r="G413" s="126" t="str">
        <f>IF(C413="","",'Datos Generales'!$D$19)</f>
        <v/>
      </c>
      <c r="H413" s="21" t="str">
        <f>IF(C413="","",'Datos Generales'!$A$19)</f>
        <v/>
      </c>
      <c r="I413" s="126" t="str">
        <f>IF(C413="","",'Datos Generales'!$A$7)</f>
        <v/>
      </c>
      <c r="J413" s="21" t="str">
        <f>IF(C413="","",'Datos Generales'!$A$13)</f>
        <v/>
      </c>
      <c r="K413" s="21" t="str">
        <f>IF(C413="","",'Datos Generales'!$A$10)</f>
        <v/>
      </c>
      <c r="CS413" s="142" t="str">
        <f t="shared" si="51"/>
        <v/>
      </c>
      <c r="CT413" s="142" t="str">
        <f t="shared" si="52"/>
        <v/>
      </c>
      <c r="CU413" s="142" t="str">
        <f t="shared" si="53"/>
        <v/>
      </c>
      <c r="CV413" s="142" t="str">
        <f t="shared" si="54"/>
        <v/>
      </c>
      <c r="CW413" s="142" t="str">
        <f>IF(C413="","",IF('Datos Generales'!$A$19=1,AVERAGE(FP413:GD413),AVERAGE(Captura!FP413:FY413)))</f>
        <v/>
      </c>
      <c r="CX413" s="138" t="e">
        <f>IF(VLOOKUP(CONCATENATE($H$4,$F$4,CX$2),Español!$A:$H,7,FALSE)=L413,1,0)</f>
        <v>#N/A</v>
      </c>
      <c r="CY413" s="138" t="e">
        <f>IF(VLOOKUP(CONCATENATE(H413,F413,CY$2),Español!$A:$H,7,FALSE)=M413,1,0)</f>
        <v>#N/A</v>
      </c>
      <c r="CZ413" s="138" t="e">
        <f>IF(VLOOKUP(CONCATENATE(H413,F413,CZ$2),Español!$A:$H,7,FALSE)=N413,1,0)</f>
        <v>#N/A</v>
      </c>
      <c r="DA413" s="138" t="e">
        <f>IF(VLOOKUP(CONCATENATE(H413,F413,DA$2),Español!$A:$H,7,FALSE)=O413,1,0)</f>
        <v>#N/A</v>
      </c>
      <c r="DB413" s="138" t="e">
        <f>IF(VLOOKUP(CONCATENATE(H413,F413,DB$2),Español!$A:$H,7,FALSE)=P413,1,0)</f>
        <v>#N/A</v>
      </c>
      <c r="DC413" s="138" t="e">
        <f>IF(VLOOKUP(CONCATENATE(H413,F413,DC$2),Español!$A:$H,7,FALSE)=Q413,1,0)</f>
        <v>#N/A</v>
      </c>
      <c r="DD413" s="138" t="e">
        <f>IF(VLOOKUP(CONCATENATE(H413,F413,DD$2),Español!$A:$H,7,FALSE)=R413,1,0)</f>
        <v>#N/A</v>
      </c>
      <c r="DE413" s="138" t="e">
        <f>IF(VLOOKUP(CONCATENATE(H413,F413,DE$2),Español!$A:$H,7,FALSE)=S413,1,0)</f>
        <v>#N/A</v>
      </c>
      <c r="DF413" s="138" t="e">
        <f>IF(VLOOKUP(CONCATENATE(H413,F413,DF$2),Español!$A:$H,7,FALSE)=T413,1,0)</f>
        <v>#N/A</v>
      </c>
      <c r="DG413" s="138" t="e">
        <f>IF(VLOOKUP(CONCATENATE(H413,F413,DG$2),Español!$A:$H,7,FALSE)=U413,1,0)</f>
        <v>#N/A</v>
      </c>
      <c r="DH413" s="138" t="e">
        <f>IF(VLOOKUP(CONCATENATE(H413,F413,DH$2),Español!$A:$H,7,FALSE)=V413,1,0)</f>
        <v>#N/A</v>
      </c>
      <c r="DI413" s="138" t="e">
        <f>IF(VLOOKUP(CONCATENATE(H413,F413,DI$2),Español!$A:$H,7,FALSE)=W413,1,0)</f>
        <v>#N/A</v>
      </c>
      <c r="DJ413" s="138" t="e">
        <f>IF(VLOOKUP(CONCATENATE(H413,F413,DJ$2),Español!$A:$H,7,FALSE)=X413,1,0)</f>
        <v>#N/A</v>
      </c>
      <c r="DK413" s="138" t="e">
        <f>IF(VLOOKUP(CONCATENATE(H413,F413,DK$2),Español!$A:$H,7,FALSE)=Y413,1,0)</f>
        <v>#N/A</v>
      </c>
      <c r="DL413" s="138" t="e">
        <f>IF(VLOOKUP(CONCATENATE(H413,F413,DL$2),Español!$A:$H,7,FALSE)=Z413,1,0)</f>
        <v>#N/A</v>
      </c>
      <c r="DM413" s="138" t="e">
        <f>IF(VLOOKUP(CONCATENATE(H413,F413,DM$2),Español!$A:$H,7,FALSE)=AA413,1,0)</f>
        <v>#N/A</v>
      </c>
      <c r="DN413" s="138" t="e">
        <f>IF(VLOOKUP(CONCATENATE(H413,F413,DN$2),Español!$A:$H,7,FALSE)=AB413,1,0)</f>
        <v>#N/A</v>
      </c>
      <c r="DO413" s="138" t="e">
        <f>IF(VLOOKUP(CONCATENATE(H413,F413,DO$2),Español!$A:$H,7,FALSE)=AC413,1,0)</f>
        <v>#N/A</v>
      </c>
      <c r="DP413" s="138" t="e">
        <f>IF(VLOOKUP(CONCATENATE(H413,F413,DP$2),Español!$A:$H,7,FALSE)=AD413,1,0)</f>
        <v>#N/A</v>
      </c>
      <c r="DQ413" s="138" t="e">
        <f>IF(VLOOKUP(CONCATENATE(H413,F413,DQ$2),Español!$A:$H,7,FALSE)=AE413,1,0)</f>
        <v>#N/A</v>
      </c>
      <c r="DR413" s="138" t="e">
        <f>IF(VLOOKUP(CONCATENATE(H413,F413,DR$2),Inglés!$A:$H,7,FALSE)=AF413,1,0)</f>
        <v>#N/A</v>
      </c>
      <c r="DS413" s="138" t="e">
        <f>IF(VLOOKUP(CONCATENATE(H413,F413,DS$2),Inglés!$A:$H,7,FALSE)=AG413,1,0)</f>
        <v>#N/A</v>
      </c>
      <c r="DT413" s="138" t="e">
        <f>IF(VLOOKUP(CONCATENATE(H413,F413,DT$2),Inglés!$A:$H,7,FALSE)=AH413,1,0)</f>
        <v>#N/A</v>
      </c>
      <c r="DU413" s="138" t="e">
        <f>IF(VLOOKUP(CONCATENATE(H413,F413,DU$2),Inglés!$A:$H,7,FALSE)=AI413,1,0)</f>
        <v>#N/A</v>
      </c>
      <c r="DV413" s="138" t="e">
        <f>IF(VLOOKUP(CONCATENATE(H413,F413,DV$2),Inglés!$A:$H,7,FALSE)=AJ413,1,0)</f>
        <v>#N/A</v>
      </c>
      <c r="DW413" s="138" t="e">
        <f>IF(VLOOKUP(CONCATENATE(H413,F413,DW$2),Inglés!$A:$H,7,FALSE)=AK413,1,0)</f>
        <v>#N/A</v>
      </c>
      <c r="DX413" s="138" t="e">
        <f>IF(VLOOKUP(CONCATENATE(H413,F413,DX$2),Inglés!$A:$H,7,FALSE)=AL413,1,0)</f>
        <v>#N/A</v>
      </c>
      <c r="DY413" s="138" t="e">
        <f>IF(VLOOKUP(CONCATENATE(H413,F413,DY$2),Inglés!$A:$H,7,FALSE)=AM413,1,0)</f>
        <v>#N/A</v>
      </c>
      <c r="DZ413" s="138" t="e">
        <f>IF(VLOOKUP(CONCATENATE(H413,F413,DZ$2),Inglés!$A:$H,7,FALSE)=AN413,1,0)</f>
        <v>#N/A</v>
      </c>
      <c r="EA413" s="138" t="e">
        <f>IF(VLOOKUP(CONCATENATE(H413,F413,EA$2),Inglés!$A:$H,7,FALSE)=AO413,1,0)</f>
        <v>#N/A</v>
      </c>
      <c r="EB413" s="138" t="e">
        <f>IF(VLOOKUP(CONCATENATE(H413,F413,EB$2),Matemáticas!$A:$H,7,FALSE)=AP413,1,0)</f>
        <v>#N/A</v>
      </c>
      <c r="EC413" s="138" t="e">
        <f>IF(VLOOKUP(CONCATENATE(H413,F413,EC$2),Matemáticas!$A:$H,7,FALSE)=AQ413,1,0)</f>
        <v>#N/A</v>
      </c>
      <c r="ED413" s="138" t="e">
        <f>IF(VLOOKUP(CONCATENATE(H413,F413,ED$2),Matemáticas!$A:$H,7,FALSE)=AR413,1,0)</f>
        <v>#N/A</v>
      </c>
      <c r="EE413" s="138" t="e">
        <f>IF(VLOOKUP(CONCATENATE(H413,F413,EE$2),Matemáticas!$A:$H,7,FALSE)=AS413,1,0)</f>
        <v>#N/A</v>
      </c>
      <c r="EF413" s="138" t="e">
        <f>IF(VLOOKUP(CONCATENATE(H413,F413,EF$2),Matemáticas!$A:$H,7,FALSE)=AT413,1,0)</f>
        <v>#N/A</v>
      </c>
      <c r="EG413" s="138" t="e">
        <f>IF(VLOOKUP(CONCATENATE(H413,F413,EG$2),Matemáticas!$A:$H,7,FALSE)=AU413,1,0)</f>
        <v>#N/A</v>
      </c>
      <c r="EH413" s="138" t="e">
        <f>IF(VLOOKUP(CONCATENATE(H413,F413,EH$2),Matemáticas!$A:$H,7,FALSE)=AV413,1,0)</f>
        <v>#N/A</v>
      </c>
      <c r="EI413" s="138" t="e">
        <f>IF(VLOOKUP(CONCATENATE(H413,F413,EI$2),Matemáticas!$A:$H,7,FALSE)=AW413,1,0)</f>
        <v>#N/A</v>
      </c>
      <c r="EJ413" s="138" t="e">
        <f>IF(VLOOKUP(CONCATENATE(H413,F413,EJ$2),Matemáticas!$A:$H,7,FALSE)=AX413,1,0)</f>
        <v>#N/A</v>
      </c>
      <c r="EK413" s="138" t="e">
        <f>IF(VLOOKUP(CONCATENATE(H413,F413,EK$2),Matemáticas!$A:$H,7,FALSE)=AY413,1,0)</f>
        <v>#N/A</v>
      </c>
      <c r="EL413" s="138" t="e">
        <f>IF(VLOOKUP(CONCATENATE(H413,F413,EL$2),Matemáticas!$A:$H,7,FALSE)=AZ413,1,0)</f>
        <v>#N/A</v>
      </c>
      <c r="EM413" s="138" t="e">
        <f>IF(VLOOKUP(CONCATENATE(H413,F413,EM$2),Matemáticas!$A:$H,7,FALSE)=BA413,1,0)</f>
        <v>#N/A</v>
      </c>
      <c r="EN413" s="138" t="e">
        <f>IF(VLOOKUP(CONCATENATE(H413,F413,EN$2),Matemáticas!$A:$H,7,FALSE)=BB413,1,0)</f>
        <v>#N/A</v>
      </c>
      <c r="EO413" s="138" t="e">
        <f>IF(VLOOKUP(CONCATENATE(H413,F413,EO$2),Matemáticas!$A:$H,7,FALSE)=BC413,1,0)</f>
        <v>#N/A</v>
      </c>
      <c r="EP413" s="138" t="e">
        <f>IF(VLOOKUP(CONCATENATE(H413,F413,EP$2),Matemáticas!$A:$H,7,FALSE)=BD413,1,0)</f>
        <v>#N/A</v>
      </c>
      <c r="EQ413" s="138" t="e">
        <f>IF(VLOOKUP(CONCATENATE(H413,F413,EQ$2),Matemáticas!$A:$H,7,FALSE)=BE413,1,0)</f>
        <v>#N/A</v>
      </c>
      <c r="ER413" s="138" t="e">
        <f>IF(VLOOKUP(CONCATENATE(H413,F413,ER$2),Matemáticas!$A:$H,7,FALSE)=BF413,1,0)</f>
        <v>#N/A</v>
      </c>
      <c r="ES413" s="138" t="e">
        <f>IF(VLOOKUP(CONCATENATE(H413,F413,ES$2),Matemáticas!$A:$H,7,FALSE)=BG413,1,0)</f>
        <v>#N/A</v>
      </c>
      <c r="ET413" s="138" t="e">
        <f>IF(VLOOKUP(CONCATENATE(H413,F413,ET$2),Matemáticas!$A:$H,7,FALSE)=BH413,1,0)</f>
        <v>#N/A</v>
      </c>
      <c r="EU413" s="138" t="e">
        <f>IF(VLOOKUP(CONCATENATE(H413,F413,EU$2),Matemáticas!$A:$H,7,FALSE)=BI413,1,0)</f>
        <v>#N/A</v>
      </c>
      <c r="EV413" s="138" t="e">
        <f>IF(VLOOKUP(CONCATENATE(H413,F413,EV$2),Ciencias!$A:$H,7,FALSE)=BJ413,1,0)</f>
        <v>#N/A</v>
      </c>
      <c r="EW413" s="138" t="e">
        <f>IF(VLOOKUP(CONCATENATE(H413,F413,EW$2),Ciencias!$A:$H,7,FALSE)=BK413,1,0)</f>
        <v>#N/A</v>
      </c>
      <c r="EX413" s="138" t="e">
        <f>IF(VLOOKUP(CONCATENATE(H413,F413,EX$2),Ciencias!$A:$H,7,FALSE)=BL413,1,0)</f>
        <v>#N/A</v>
      </c>
      <c r="EY413" s="138" t="e">
        <f>IF(VLOOKUP(CONCATENATE(H413,F413,EY$2),Ciencias!$A:$H,7,FALSE)=BM413,1,0)</f>
        <v>#N/A</v>
      </c>
      <c r="EZ413" s="138" t="e">
        <f>IF(VLOOKUP(CONCATENATE(H413,F413,EZ$2),Ciencias!$A:$H,7,FALSE)=BN413,1,0)</f>
        <v>#N/A</v>
      </c>
      <c r="FA413" s="138" t="e">
        <f>IF(VLOOKUP(CONCATENATE(H413,F413,FA$2),Ciencias!$A:$H,7,FALSE)=BO413,1,0)</f>
        <v>#N/A</v>
      </c>
      <c r="FB413" s="138" t="e">
        <f>IF(VLOOKUP(CONCATENATE(H413,F413,FB$2),Ciencias!$A:$H,7,FALSE)=BP413,1,0)</f>
        <v>#N/A</v>
      </c>
      <c r="FC413" s="138" t="e">
        <f>IF(VLOOKUP(CONCATENATE(H413,F413,FC$2),Ciencias!$A:$H,7,FALSE)=BQ413,1,0)</f>
        <v>#N/A</v>
      </c>
      <c r="FD413" s="138" t="e">
        <f>IF(VLOOKUP(CONCATENATE(H413,F413,FD$2),Ciencias!$A:$H,7,FALSE)=BR413,1,0)</f>
        <v>#N/A</v>
      </c>
      <c r="FE413" s="138" t="e">
        <f>IF(VLOOKUP(CONCATENATE(H413,F413,FE$2),Ciencias!$A:$H,7,FALSE)=BS413,1,0)</f>
        <v>#N/A</v>
      </c>
      <c r="FF413" s="138" t="e">
        <f>IF(VLOOKUP(CONCATENATE(H413,F413,FF$2),Ciencias!$A:$H,7,FALSE)=BT413,1,0)</f>
        <v>#N/A</v>
      </c>
      <c r="FG413" s="138" t="e">
        <f>IF(VLOOKUP(CONCATENATE(H413,F413,FG$2),Ciencias!$A:$H,7,FALSE)=BU413,1,0)</f>
        <v>#N/A</v>
      </c>
      <c r="FH413" s="138" t="e">
        <f>IF(VLOOKUP(CONCATENATE(H413,F413,FH$2),Ciencias!$A:$H,7,FALSE)=BV413,1,0)</f>
        <v>#N/A</v>
      </c>
      <c r="FI413" s="138" t="e">
        <f>IF(VLOOKUP(CONCATENATE(H413,F413,FI$2),Ciencias!$A:$H,7,FALSE)=BW413,1,0)</f>
        <v>#N/A</v>
      </c>
      <c r="FJ413" s="138" t="e">
        <f>IF(VLOOKUP(CONCATENATE(H413,F413,FJ$2),Ciencias!$A:$H,7,FALSE)=BX413,1,0)</f>
        <v>#N/A</v>
      </c>
      <c r="FK413" s="138" t="e">
        <f>IF(VLOOKUP(CONCATENATE(H413,F413,FK$2),Ciencias!$A:$H,7,FALSE)=BY413,1,0)</f>
        <v>#N/A</v>
      </c>
      <c r="FL413" s="138" t="e">
        <f>IF(VLOOKUP(CONCATENATE(H413,F413,FL$2),Ciencias!$A:$H,7,FALSE)=BZ413,1,0)</f>
        <v>#N/A</v>
      </c>
      <c r="FM413" s="138" t="e">
        <f>IF(VLOOKUP(CONCATENATE(H413,F413,FM$2),Ciencias!$A:$H,7,FALSE)=CA413,1,0)</f>
        <v>#N/A</v>
      </c>
      <c r="FN413" s="138" t="e">
        <f>IF(VLOOKUP(CONCATENATE(H413,F413,FN$2),Ciencias!$A:$H,7,FALSE)=CB413,1,0)</f>
        <v>#N/A</v>
      </c>
      <c r="FO413" s="138" t="e">
        <f>IF(VLOOKUP(CONCATENATE(H413,F413,FO$2),Ciencias!$A:$H,7,FALSE)=CC413,1,0)</f>
        <v>#N/A</v>
      </c>
      <c r="FP413" s="138" t="e">
        <f>IF(VLOOKUP(CONCATENATE(H413,F413,FP$2),GeoHis!$A:$H,7,FALSE)=CD413,1,0)</f>
        <v>#N/A</v>
      </c>
      <c r="FQ413" s="138" t="e">
        <f>IF(VLOOKUP(CONCATENATE(H413,F413,FQ$2),GeoHis!$A:$H,7,FALSE)=CE413,1,0)</f>
        <v>#N/A</v>
      </c>
      <c r="FR413" s="138" t="e">
        <f>IF(VLOOKUP(CONCATENATE(H413,F413,FR$2),GeoHis!$A:$H,7,FALSE)=CF413,1,0)</f>
        <v>#N/A</v>
      </c>
      <c r="FS413" s="138" t="e">
        <f>IF(VLOOKUP(CONCATENATE(H413,F413,FS$2),GeoHis!$A:$H,7,FALSE)=CG413,1,0)</f>
        <v>#N/A</v>
      </c>
      <c r="FT413" s="138" t="e">
        <f>IF(VLOOKUP(CONCATENATE(H413,F413,FT$2),GeoHis!$A:$H,7,FALSE)=CH413,1,0)</f>
        <v>#N/A</v>
      </c>
      <c r="FU413" s="138" t="e">
        <f>IF(VLOOKUP(CONCATENATE(H413,F413,FU$2),GeoHis!$A:$H,7,FALSE)=CI413,1,0)</f>
        <v>#N/A</v>
      </c>
      <c r="FV413" s="138" t="e">
        <f>IF(VLOOKUP(CONCATENATE(H413,F413,FV$2),GeoHis!$A:$H,7,FALSE)=CJ413,1,0)</f>
        <v>#N/A</v>
      </c>
      <c r="FW413" s="138" t="e">
        <f>IF(VLOOKUP(CONCATENATE(H413,F413,FW$2),GeoHis!$A:$H,7,FALSE)=CK413,1,0)</f>
        <v>#N/A</v>
      </c>
      <c r="FX413" s="138" t="e">
        <f>IF(VLOOKUP(CONCATENATE(H413,F413,FX$2),GeoHis!$A:$H,7,FALSE)=CL413,1,0)</f>
        <v>#N/A</v>
      </c>
      <c r="FY413" s="138" t="e">
        <f>IF(VLOOKUP(CONCATENATE(H413,F413,FY$2),GeoHis!$A:$H,7,FALSE)=CM413,1,0)</f>
        <v>#N/A</v>
      </c>
      <c r="FZ413" s="138" t="e">
        <f>IF(VLOOKUP(CONCATENATE(H413,F413,FZ$2),GeoHis!$A:$H,7,FALSE)=CN413,1,0)</f>
        <v>#N/A</v>
      </c>
      <c r="GA413" s="138" t="e">
        <f>IF(VLOOKUP(CONCATENATE(H413,F413,GA$2),GeoHis!$A:$H,7,FALSE)=CO413,1,0)</f>
        <v>#N/A</v>
      </c>
      <c r="GB413" s="138" t="e">
        <f>IF(VLOOKUP(CONCATENATE(H413,F413,GB$2),GeoHis!$A:$H,7,FALSE)=CP413,1,0)</f>
        <v>#N/A</v>
      </c>
      <c r="GC413" s="138" t="e">
        <f>IF(VLOOKUP(CONCATENATE(H413,F413,GC$2),GeoHis!$A:$H,7,FALSE)=CQ413,1,0)</f>
        <v>#N/A</v>
      </c>
      <c r="GD413" s="138" t="e">
        <f>IF(VLOOKUP(CONCATENATE(H413,F413,GD$2),GeoHis!$A:$H,7,FALSE)=CR413,1,0)</f>
        <v>#N/A</v>
      </c>
      <c r="GE413" s="135" t="str">
        <f t="shared" si="55"/>
        <v/>
      </c>
    </row>
    <row r="414" spans="1:187" x14ac:dyDescent="0.25">
      <c r="A414" s="127" t="str">
        <f>IF(C414="","",'Datos Generales'!$A$25)</f>
        <v/>
      </c>
      <c r="D414" s="126" t="str">
        <f t="shared" si="48"/>
        <v/>
      </c>
      <c r="E414" s="126">
        <f t="shared" si="49"/>
        <v>0</v>
      </c>
      <c r="F414" s="126" t="str">
        <f t="shared" si="50"/>
        <v/>
      </c>
      <c r="G414" s="126" t="str">
        <f>IF(C414="","",'Datos Generales'!$D$19)</f>
        <v/>
      </c>
      <c r="H414" s="21" t="str">
        <f>IF(C414="","",'Datos Generales'!$A$19)</f>
        <v/>
      </c>
      <c r="I414" s="126" t="str">
        <f>IF(C414="","",'Datos Generales'!$A$7)</f>
        <v/>
      </c>
      <c r="J414" s="21" t="str">
        <f>IF(C414="","",'Datos Generales'!$A$13)</f>
        <v/>
      </c>
      <c r="K414" s="21" t="str">
        <f>IF(C414="","",'Datos Generales'!$A$10)</f>
        <v/>
      </c>
      <c r="CS414" s="142" t="str">
        <f t="shared" si="51"/>
        <v/>
      </c>
      <c r="CT414" s="142" t="str">
        <f t="shared" si="52"/>
        <v/>
      </c>
      <c r="CU414" s="142" t="str">
        <f t="shared" si="53"/>
        <v/>
      </c>
      <c r="CV414" s="142" t="str">
        <f t="shared" si="54"/>
        <v/>
      </c>
      <c r="CW414" s="142" t="str">
        <f>IF(C414="","",IF('Datos Generales'!$A$19=1,AVERAGE(FP414:GD414),AVERAGE(Captura!FP414:FY414)))</f>
        <v/>
      </c>
      <c r="CX414" s="138" t="e">
        <f>IF(VLOOKUP(CONCATENATE($H$4,$F$4,CX$2),Español!$A:$H,7,FALSE)=L414,1,0)</f>
        <v>#N/A</v>
      </c>
      <c r="CY414" s="138" t="e">
        <f>IF(VLOOKUP(CONCATENATE(H414,F414,CY$2),Español!$A:$H,7,FALSE)=M414,1,0)</f>
        <v>#N/A</v>
      </c>
      <c r="CZ414" s="138" t="e">
        <f>IF(VLOOKUP(CONCATENATE(H414,F414,CZ$2),Español!$A:$H,7,FALSE)=N414,1,0)</f>
        <v>#N/A</v>
      </c>
      <c r="DA414" s="138" t="e">
        <f>IF(VLOOKUP(CONCATENATE(H414,F414,DA$2),Español!$A:$H,7,FALSE)=O414,1,0)</f>
        <v>#N/A</v>
      </c>
      <c r="DB414" s="138" t="e">
        <f>IF(VLOOKUP(CONCATENATE(H414,F414,DB$2),Español!$A:$H,7,FALSE)=P414,1,0)</f>
        <v>#N/A</v>
      </c>
      <c r="DC414" s="138" t="e">
        <f>IF(VLOOKUP(CONCATENATE(H414,F414,DC$2),Español!$A:$H,7,FALSE)=Q414,1,0)</f>
        <v>#N/A</v>
      </c>
      <c r="DD414" s="138" t="e">
        <f>IF(VLOOKUP(CONCATENATE(H414,F414,DD$2),Español!$A:$H,7,FALSE)=R414,1,0)</f>
        <v>#N/A</v>
      </c>
      <c r="DE414" s="138" t="e">
        <f>IF(VLOOKUP(CONCATENATE(H414,F414,DE$2),Español!$A:$H,7,FALSE)=S414,1,0)</f>
        <v>#N/A</v>
      </c>
      <c r="DF414" s="138" t="e">
        <f>IF(VLOOKUP(CONCATENATE(H414,F414,DF$2),Español!$A:$H,7,FALSE)=T414,1,0)</f>
        <v>#N/A</v>
      </c>
      <c r="DG414" s="138" t="e">
        <f>IF(VLOOKUP(CONCATENATE(H414,F414,DG$2),Español!$A:$H,7,FALSE)=U414,1,0)</f>
        <v>#N/A</v>
      </c>
      <c r="DH414" s="138" t="e">
        <f>IF(VLOOKUP(CONCATENATE(H414,F414,DH$2),Español!$A:$H,7,FALSE)=V414,1,0)</f>
        <v>#N/A</v>
      </c>
      <c r="DI414" s="138" t="e">
        <f>IF(VLOOKUP(CONCATENATE(H414,F414,DI$2),Español!$A:$H,7,FALSE)=W414,1,0)</f>
        <v>#N/A</v>
      </c>
      <c r="DJ414" s="138" t="e">
        <f>IF(VLOOKUP(CONCATENATE(H414,F414,DJ$2),Español!$A:$H,7,FALSE)=X414,1,0)</f>
        <v>#N/A</v>
      </c>
      <c r="DK414" s="138" t="e">
        <f>IF(VLOOKUP(CONCATENATE(H414,F414,DK$2),Español!$A:$H,7,FALSE)=Y414,1,0)</f>
        <v>#N/A</v>
      </c>
      <c r="DL414" s="138" t="e">
        <f>IF(VLOOKUP(CONCATENATE(H414,F414,DL$2),Español!$A:$H,7,FALSE)=Z414,1,0)</f>
        <v>#N/A</v>
      </c>
      <c r="DM414" s="138" t="e">
        <f>IF(VLOOKUP(CONCATENATE(H414,F414,DM$2),Español!$A:$H,7,FALSE)=AA414,1,0)</f>
        <v>#N/A</v>
      </c>
      <c r="DN414" s="138" t="e">
        <f>IF(VLOOKUP(CONCATENATE(H414,F414,DN$2),Español!$A:$H,7,FALSE)=AB414,1,0)</f>
        <v>#N/A</v>
      </c>
      <c r="DO414" s="138" t="e">
        <f>IF(VLOOKUP(CONCATENATE(H414,F414,DO$2),Español!$A:$H,7,FALSE)=AC414,1,0)</f>
        <v>#N/A</v>
      </c>
      <c r="DP414" s="138" t="e">
        <f>IF(VLOOKUP(CONCATENATE(H414,F414,DP$2),Español!$A:$H,7,FALSE)=AD414,1,0)</f>
        <v>#N/A</v>
      </c>
      <c r="DQ414" s="138" t="e">
        <f>IF(VLOOKUP(CONCATENATE(H414,F414,DQ$2),Español!$A:$H,7,FALSE)=AE414,1,0)</f>
        <v>#N/A</v>
      </c>
      <c r="DR414" s="138" t="e">
        <f>IF(VLOOKUP(CONCATENATE(H414,F414,DR$2),Inglés!$A:$H,7,FALSE)=AF414,1,0)</f>
        <v>#N/A</v>
      </c>
      <c r="DS414" s="138" t="e">
        <f>IF(VLOOKUP(CONCATENATE(H414,F414,DS$2),Inglés!$A:$H,7,FALSE)=AG414,1,0)</f>
        <v>#N/A</v>
      </c>
      <c r="DT414" s="138" t="e">
        <f>IF(VLOOKUP(CONCATENATE(H414,F414,DT$2),Inglés!$A:$H,7,FALSE)=AH414,1,0)</f>
        <v>#N/A</v>
      </c>
      <c r="DU414" s="138" t="e">
        <f>IF(VLOOKUP(CONCATENATE(H414,F414,DU$2),Inglés!$A:$H,7,FALSE)=AI414,1,0)</f>
        <v>#N/A</v>
      </c>
      <c r="DV414" s="138" t="e">
        <f>IF(VLOOKUP(CONCATENATE(H414,F414,DV$2),Inglés!$A:$H,7,FALSE)=AJ414,1,0)</f>
        <v>#N/A</v>
      </c>
      <c r="DW414" s="138" t="e">
        <f>IF(VLOOKUP(CONCATENATE(H414,F414,DW$2),Inglés!$A:$H,7,FALSE)=AK414,1,0)</f>
        <v>#N/A</v>
      </c>
      <c r="DX414" s="138" t="e">
        <f>IF(VLOOKUP(CONCATENATE(H414,F414,DX$2),Inglés!$A:$H,7,FALSE)=AL414,1,0)</f>
        <v>#N/A</v>
      </c>
      <c r="DY414" s="138" t="e">
        <f>IF(VLOOKUP(CONCATENATE(H414,F414,DY$2),Inglés!$A:$H,7,FALSE)=AM414,1,0)</f>
        <v>#N/A</v>
      </c>
      <c r="DZ414" s="138" t="e">
        <f>IF(VLOOKUP(CONCATENATE(H414,F414,DZ$2),Inglés!$A:$H,7,FALSE)=AN414,1,0)</f>
        <v>#N/A</v>
      </c>
      <c r="EA414" s="138" t="e">
        <f>IF(VLOOKUP(CONCATENATE(H414,F414,EA$2),Inglés!$A:$H,7,FALSE)=AO414,1,0)</f>
        <v>#N/A</v>
      </c>
      <c r="EB414" s="138" t="e">
        <f>IF(VLOOKUP(CONCATENATE(H414,F414,EB$2),Matemáticas!$A:$H,7,FALSE)=AP414,1,0)</f>
        <v>#N/A</v>
      </c>
      <c r="EC414" s="138" t="e">
        <f>IF(VLOOKUP(CONCATENATE(H414,F414,EC$2),Matemáticas!$A:$H,7,FALSE)=AQ414,1,0)</f>
        <v>#N/A</v>
      </c>
      <c r="ED414" s="138" t="e">
        <f>IF(VLOOKUP(CONCATENATE(H414,F414,ED$2),Matemáticas!$A:$H,7,FALSE)=AR414,1,0)</f>
        <v>#N/A</v>
      </c>
      <c r="EE414" s="138" t="e">
        <f>IF(VLOOKUP(CONCATENATE(H414,F414,EE$2),Matemáticas!$A:$H,7,FALSE)=AS414,1,0)</f>
        <v>#N/A</v>
      </c>
      <c r="EF414" s="138" t="e">
        <f>IF(VLOOKUP(CONCATENATE(H414,F414,EF$2),Matemáticas!$A:$H,7,FALSE)=AT414,1,0)</f>
        <v>#N/A</v>
      </c>
      <c r="EG414" s="138" t="e">
        <f>IF(VLOOKUP(CONCATENATE(H414,F414,EG$2),Matemáticas!$A:$H,7,FALSE)=AU414,1,0)</f>
        <v>#N/A</v>
      </c>
      <c r="EH414" s="138" t="e">
        <f>IF(VLOOKUP(CONCATENATE(H414,F414,EH$2),Matemáticas!$A:$H,7,FALSE)=AV414,1,0)</f>
        <v>#N/A</v>
      </c>
      <c r="EI414" s="138" t="e">
        <f>IF(VLOOKUP(CONCATENATE(H414,F414,EI$2),Matemáticas!$A:$H,7,FALSE)=AW414,1,0)</f>
        <v>#N/A</v>
      </c>
      <c r="EJ414" s="138" t="e">
        <f>IF(VLOOKUP(CONCATENATE(H414,F414,EJ$2),Matemáticas!$A:$H,7,FALSE)=AX414,1,0)</f>
        <v>#N/A</v>
      </c>
      <c r="EK414" s="138" t="e">
        <f>IF(VLOOKUP(CONCATENATE(H414,F414,EK$2),Matemáticas!$A:$H,7,FALSE)=AY414,1,0)</f>
        <v>#N/A</v>
      </c>
      <c r="EL414" s="138" t="e">
        <f>IF(VLOOKUP(CONCATENATE(H414,F414,EL$2),Matemáticas!$A:$H,7,FALSE)=AZ414,1,0)</f>
        <v>#N/A</v>
      </c>
      <c r="EM414" s="138" t="e">
        <f>IF(VLOOKUP(CONCATENATE(H414,F414,EM$2),Matemáticas!$A:$H,7,FALSE)=BA414,1,0)</f>
        <v>#N/A</v>
      </c>
      <c r="EN414" s="138" t="e">
        <f>IF(VLOOKUP(CONCATENATE(H414,F414,EN$2),Matemáticas!$A:$H,7,FALSE)=BB414,1,0)</f>
        <v>#N/A</v>
      </c>
      <c r="EO414" s="138" t="e">
        <f>IF(VLOOKUP(CONCATENATE(H414,F414,EO$2),Matemáticas!$A:$H,7,FALSE)=BC414,1,0)</f>
        <v>#N/A</v>
      </c>
      <c r="EP414" s="138" t="e">
        <f>IF(VLOOKUP(CONCATENATE(H414,F414,EP$2),Matemáticas!$A:$H,7,FALSE)=BD414,1,0)</f>
        <v>#N/A</v>
      </c>
      <c r="EQ414" s="138" t="e">
        <f>IF(VLOOKUP(CONCATENATE(H414,F414,EQ$2),Matemáticas!$A:$H,7,FALSE)=BE414,1,0)</f>
        <v>#N/A</v>
      </c>
      <c r="ER414" s="138" t="e">
        <f>IF(VLOOKUP(CONCATENATE(H414,F414,ER$2),Matemáticas!$A:$H,7,FALSE)=BF414,1,0)</f>
        <v>#N/A</v>
      </c>
      <c r="ES414" s="138" t="e">
        <f>IF(VLOOKUP(CONCATENATE(H414,F414,ES$2),Matemáticas!$A:$H,7,FALSE)=BG414,1,0)</f>
        <v>#N/A</v>
      </c>
      <c r="ET414" s="138" t="e">
        <f>IF(VLOOKUP(CONCATENATE(H414,F414,ET$2),Matemáticas!$A:$H,7,FALSE)=BH414,1,0)</f>
        <v>#N/A</v>
      </c>
      <c r="EU414" s="138" t="e">
        <f>IF(VLOOKUP(CONCATENATE(H414,F414,EU$2),Matemáticas!$A:$H,7,FALSE)=BI414,1,0)</f>
        <v>#N/A</v>
      </c>
      <c r="EV414" s="138" t="e">
        <f>IF(VLOOKUP(CONCATENATE(H414,F414,EV$2),Ciencias!$A:$H,7,FALSE)=BJ414,1,0)</f>
        <v>#N/A</v>
      </c>
      <c r="EW414" s="138" t="e">
        <f>IF(VLOOKUP(CONCATENATE(H414,F414,EW$2),Ciencias!$A:$H,7,FALSE)=BK414,1,0)</f>
        <v>#N/A</v>
      </c>
      <c r="EX414" s="138" t="e">
        <f>IF(VLOOKUP(CONCATENATE(H414,F414,EX$2),Ciencias!$A:$H,7,FALSE)=BL414,1,0)</f>
        <v>#N/A</v>
      </c>
      <c r="EY414" s="138" t="e">
        <f>IF(VLOOKUP(CONCATENATE(H414,F414,EY$2),Ciencias!$A:$H,7,FALSE)=BM414,1,0)</f>
        <v>#N/A</v>
      </c>
      <c r="EZ414" s="138" t="e">
        <f>IF(VLOOKUP(CONCATENATE(H414,F414,EZ$2),Ciencias!$A:$H,7,FALSE)=BN414,1,0)</f>
        <v>#N/A</v>
      </c>
      <c r="FA414" s="138" t="e">
        <f>IF(VLOOKUP(CONCATENATE(H414,F414,FA$2),Ciencias!$A:$H,7,FALSE)=BO414,1,0)</f>
        <v>#N/A</v>
      </c>
      <c r="FB414" s="138" t="e">
        <f>IF(VLOOKUP(CONCATENATE(H414,F414,FB$2),Ciencias!$A:$H,7,FALSE)=BP414,1,0)</f>
        <v>#N/A</v>
      </c>
      <c r="FC414" s="138" t="e">
        <f>IF(VLOOKUP(CONCATENATE(H414,F414,FC$2),Ciencias!$A:$H,7,FALSE)=BQ414,1,0)</f>
        <v>#N/A</v>
      </c>
      <c r="FD414" s="138" t="e">
        <f>IF(VLOOKUP(CONCATENATE(H414,F414,FD$2),Ciencias!$A:$H,7,FALSE)=BR414,1,0)</f>
        <v>#N/A</v>
      </c>
      <c r="FE414" s="138" t="e">
        <f>IF(VLOOKUP(CONCATENATE(H414,F414,FE$2),Ciencias!$A:$H,7,FALSE)=BS414,1,0)</f>
        <v>#N/A</v>
      </c>
      <c r="FF414" s="138" t="e">
        <f>IF(VLOOKUP(CONCATENATE(H414,F414,FF$2),Ciencias!$A:$H,7,FALSE)=BT414,1,0)</f>
        <v>#N/A</v>
      </c>
      <c r="FG414" s="138" t="e">
        <f>IF(VLOOKUP(CONCATENATE(H414,F414,FG$2),Ciencias!$A:$H,7,FALSE)=BU414,1,0)</f>
        <v>#N/A</v>
      </c>
      <c r="FH414" s="138" t="e">
        <f>IF(VLOOKUP(CONCATENATE(H414,F414,FH$2),Ciencias!$A:$H,7,FALSE)=BV414,1,0)</f>
        <v>#N/A</v>
      </c>
      <c r="FI414" s="138" t="e">
        <f>IF(VLOOKUP(CONCATENATE(H414,F414,FI$2),Ciencias!$A:$H,7,FALSE)=BW414,1,0)</f>
        <v>#N/A</v>
      </c>
      <c r="FJ414" s="138" t="e">
        <f>IF(VLOOKUP(CONCATENATE(H414,F414,FJ$2),Ciencias!$A:$H,7,FALSE)=BX414,1,0)</f>
        <v>#N/A</v>
      </c>
      <c r="FK414" s="138" t="e">
        <f>IF(VLOOKUP(CONCATENATE(H414,F414,FK$2),Ciencias!$A:$H,7,FALSE)=BY414,1,0)</f>
        <v>#N/A</v>
      </c>
      <c r="FL414" s="138" t="e">
        <f>IF(VLOOKUP(CONCATENATE(H414,F414,FL$2),Ciencias!$A:$H,7,FALSE)=BZ414,1,0)</f>
        <v>#N/A</v>
      </c>
      <c r="FM414" s="138" t="e">
        <f>IF(VLOOKUP(CONCATENATE(H414,F414,FM$2),Ciencias!$A:$H,7,FALSE)=CA414,1,0)</f>
        <v>#N/A</v>
      </c>
      <c r="FN414" s="138" t="e">
        <f>IF(VLOOKUP(CONCATENATE(H414,F414,FN$2),Ciencias!$A:$H,7,FALSE)=CB414,1,0)</f>
        <v>#N/A</v>
      </c>
      <c r="FO414" s="138" t="e">
        <f>IF(VLOOKUP(CONCATENATE(H414,F414,FO$2),Ciencias!$A:$H,7,FALSE)=CC414,1,0)</f>
        <v>#N/A</v>
      </c>
      <c r="FP414" s="138" t="e">
        <f>IF(VLOOKUP(CONCATENATE(H414,F414,FP$2),GeoHis!$A:$H,7,FALSE)=CD414,1,0)</f>
        <v>#N/A</v>
      </c>
      <c r="FQ414" s="138" t="e">
        <f>IF(VLOOKUP(CONCATENATE(H414,F414,FQ$2),GeoHis!$A:$H,7,FALSE)=CE414,1,0)</f>
        <v>#N/A</v>
      </c>
      <c r="FR414" s="138" t="e">
        <f>IF(VLOOKUP(CONCATENATE(H414,F414,FR$2),GeoHis!$A:$H,7,FALSE)=CF414,1,0)</f>
        <v>#N/A</v>
      </c>
      <c r="FS414" s="138" t="e">
        <f>IF(VLOOKUP(CONCATENATE(H414,F414,FS$2),GeoHis!$A:$H,7,FALSE)=CG414,1,0)</f>
        <v>#N/A</v>
      </c>
      <c r="FT414" s="138" t="e">
        <f>IF(VLOOKUP(CONCATENATE(H414,F414,FT$2),GeoHis!$A:$H,7,FALSE)=CH414,1,0)</f>
        <v>#N/A</v>
      </c>
      <c r="FU414" s="138" t="e">
        <f>IF(VLOOKUP(CONCATENATE(H414,F414,FU$2),GeoHis!$A:$H,7,FALSE)=CI414,1,0)</f>
        <v>#N/A</v>
      </c>
      <c r="FV414" s="138" t="e">
        <f>IF(VLOOKUP(CONCATENATE(H414,F414,FV$2),GeoHis!$A:$H,7,FALSE)=CJ414,1,0)</f>
        <v>#N/A</v>
      </c>
      <c r="FW414" s="138" t="e">
        <f>IF(VLOOKUP(CONCATENATE(H414,F414,FW$2),GeoHis!$A:$H,7,FALSE)=CK414,1,0)</f>
        <v>#N/A</v>
      </c>
      <c r="FX414" s="138" t="e">
        <f>IF(VLOOKUP(CONCATENATE(H414,F414,FX$2),GeoHis!$A:$H,7,FALSE)=CL414,1,0)</f>
        <v>#N/A</v>
      </c>
      <c r="FY414" s="138" t="e">
        <f>IF(VLOOKUP(CONCATENATE(H414,F414,FY$2),GeoHis!$A:$H,7,FALSE)=CM414,1,0)</f>
        <v>#N/A</v>
      </c>
      <c r="FZ414" s="138" t="e">
        <f>IF(VLOOKUP(CONCATENATE(H414,F414,FZ$2),GeoHis!$A:$H,7,FALSE)=CN414,1,0)</f>
        <v>#N/A</v>
      </c>
      <c r="GA414" s="138" t="e">
        <f>IF(VLOOKUP(CONCATENATE(H414,F414,GA$2),GeoHis!$A:$H,7,FALSE)=CO414,1,0)</f>
        <v>#N/A</v>
      </c>
      <c r="GB414" s="138" t="e">
        <f>IF(VLOOKUP(CONCATENATE(H414,F414,GB$2),GeoHis!$A:$H,7,FALSE)=CP414,1,0)</f>
        <v>#N/A</v>
      </c>
      <c r="GC414" s="138" t="e">
        <f>IF(VLOOKUP(CONCATENATE(H414,F414,GC$2),GeoHis!$A:$H,7,FALSE)=CQ414,1,0)</f>
        <v>#N/A</v>
      </c>
      <c r="GD414" s="138" t="e">
        <f>IF(VLOOKUP(CONCATENATE(H414,F414,GD$2),GeoHis!$A:$H,7,FALSE)=CR414,1,0)</f>
        <v>#N/A</v>
      </c>
      <c r="GE414" s="135" t="str">
        <f t="shared" si="55"/>
        <v/>
      </c>
    </row>
    <row r="415" spans="1:187" x14ac:dyDescent="0.25">
      <c r="A415" s="127" t="str">
        <f>IF(C415="","",'Datos Generales'!$A$25)</f>
        <v/>
      </c>
      <c r="D415" s="126" t="str">
        <f t="shared" si="48"/>
        <v/>
      </c>
      <c r="E415" s="126">
        <f t="shared" si="49"/>
        <v>0</v>
      </c>
      <c r="F415" s="126" t="str">
        <f t="shared" si="50"/>
        <v/>
      </c>
      <c r="G415" s="126" t="str">
        <f>IF(C415="","",'Datos Generales'!$D$19)</f>
        <v/>
      </c>
      <c r="H415" s="21" t="str">
        <f>IF(C415="","",'Datos Generales'!$A$19)</f>
        <v/>
      </c>
      <c r="I415" s="126" t="str">
        <f>IF(C415="","",'Datos Generales'!$A$7)</f>
        <v/>
      </c>
      <c r="J415" s="21" t="str">
        <f>IF(C415="","",'Datos Generales'!$A$13)</f>
        <v/>
      </c>
      <c r="K415" s="21" t="str">
        <f>IF(C415="","",'Datos Generales'!$A$10)</f>
        <v/>
      </c>
      <c r="CS415" s="142" t="str">
        <f t="shared" si="51"/>
        <v/>
      </c>
      <c r="CT415" s="142" t="str">
        <f t="shared" si="52"/>
        <v/>
      </c>
      <c r="CU415" s="142" t="str">
        <f t="shared" si="53"/>
        <v/>
      </c>
      <c r="CV415" s="142" t="str">
        <f t="shared" si="54"/>
        <v/>
      </c>
      <c r="CW415" s="142" t="str">
        <f>IF(C415="","",IF('Datos Generales'!$A$19=1,AVERAGE(FP415:GD415),AVERAGE(Captura!FP415:FY415)))</f>
        <v/>
      </c>
      <c r="CX415" s="138" t="e">
        <f>IF(VLOOKUP(CONCATENATE($H$4,$F$4,CX$2),Español!$A:$H,7,FALSE)=L415,1,0)</f>
        <v>#N/A</v>
      </c>
      <c r="CY415" s="138" t="e">
        <f>IF(VLOOKUP(CONCATENATE(H415,F415,CY$2),Español!$A:$H,7,FALSE)=M415,1,0)</f>
        <v>#N/A</v>
      </c>
      <c r="CZ415" s="138" t="e">
        <f>IF(VLOOKUP(CONCATENATE(H415,F415,CZ$2),Español!$A:$H,7,FALSE)=N415,1,0)</f>
        <v>#N/A</v>
      </c>
      <c r="DA415" s="138" t="e">
        <f>IF(VLOOKUP(CONCATENATE(H415,F415,DA$2),Español!$A:$H,7,FALSE)=O415,1,0)</f>
        <v>#N/A</v>
      </c>
      <c r="DB415" s="138" t="e">
        <f>IF(VLOOKUP(CONCATENATE(H415,F415,DB$2),Español!$A:$H,7,FALSE)=P415,1,0)</f>
        <v>#N/A</v>
      </c>
      <c r="DC415" s="138" t="e">
        <f>IF(VLOOKUP(CONCATENATE(H415,F415,DC$2),Español!$A:$H,7,FALSE)=Q415,1,0)</f>
        <v>#N/A</v>
      </c>
      <c r="DD415" s="138" t="e">
        <f>IF(VLOOKUP(CONCATENATE(H415,F415,DD$2),Español!$A:$H,7,FALSE)=R415,1,0)</f>
        <v>#N/A</v>
      </c>
      <c r="DE415" s="138" t="e">
        <f>IF(VLOOKUP(CONCATENATE(H415,F415,DE$2),Español!$A:$H,7,FALSE)=S415,1,0)</f>
        <v>#N/A</v>
      </c>
      <c r="DF415" s="138" t="e">
        <f>IF(VLOOKUP(CONCATENATE(H415,F415,DF$2),Español!$A:$H,7,FALSE)=T415,1,0)</f>
        <v>#N/A</v>
      </c>
      <c r="DG415" s="138" t="e">
        <f>IF(VLOOKUP(CONCATENATE(H415,F415,DG$2),Español!$A:$H,7,FALSE)=U415,1,0)</f>
        <v>#N/A</v>
      </c>
      <c r="DH415" s="138" t="e">
        <f>IF(VLOOKUP(CONCATENATE(H415,F415,DH$2),Español!$A:$H,7,FALSE)=V415,1,0)</f>
        <v>#N/A</v>
      </c>
      <c r="DI415" s="138" t="e">
        <f>IF(VLOOKUP(CONCATENATE(H415,F415,DI$2),Español!$A:$H,7,FALSE)=W415,1,0)</f>
        <v>#N/A</v>
      </c>
      <c r="DJ415" s="138" t="e">
        <f>IF(VLOOKUP(CONCATENATE(H415,F415,DJ$2),Español!$A:$H,7,FALSE)=X415,1,0)</f>
        <v>#N/A</v>
      </c>
      <c r="DK415" s="138" t="e">
        <f>IF(VLOOKUP(CONCATENATE(H415,F415,DK$2),Español!$A:$H,7,FALSE)=Y415,1,0)</f>
        <v>#N/A</v>
      </c>
      <c r="DL415" s="138" t="e">
        <f>IF(VLOOKUP(CONCATENATE(H415,F415,DL$2),Español!$A:$H,7,FALSE)=Z415,1,0)</f>
        <v>#N/A</v>
      </c>
      <c r="DM415" s="138" t="e">
        <f>IF(VLOOKUP(CONCATENATE(H415,F415,DM$2),Español!$A:$H,7,FALSE)=AA415,1,0)</f>
        <v>#N/A</v>
      </c>
      <c r="DN415" s="138" t="e">
        <f>IF(VLOOKUP(CONCATENATE(H415,F415,DN$2),Español!$A:$H,7,FALSE)=AB415,1,0)</f>
        <v>#N/A</v>
      </c>
      <c r="DO415" s="138" t="e">
        <f>IF(VLOOKUP(CONCATENATE(H415,F415,DO$2),Español!$A:$H,7,FALSE)=AC415,1,0)</f>
        <v>#N/A</v>
      </c>
      <c r="DP415" s="138" t="e">
        <f>IF(VLOOKUP(CONCATENATE(H415,F415,DP$2),Español!$A:$H,7,FALSE)=AD415,1,0)</f>
        <v>#N/A</v>
      </c>
      <c r="DQ415" s="138" t="e">
        <f>IF(VLOOKUP(CONCATENATE(H415,F415,DQ$2),Español!$A:$H,7,FALSE)=AE415,1,0)</f>
        <v>#N/A</v>
      </c>
      <c r="DR415" s="138" t="e">
        <f>IF(VLOOKUP(CONCATENATE(H415,F415,DR$2),Inglés!$A:$H,7,FALSE)=AF415,1,0)</f>
        <v>#N/A</v>
      </c>
      <c r="DS415" s="138" t="e">
        <f>IF(VLOOKUP(CONCATENATE(H415,F415,DS$2),Inglés!$A:$H,7,FALSE)=AG415,1,0)</f>
        <v>#N/A</v>
      </c>
      <c r="DT415" s="138" t="e">
        <f>IF(VLOOKUP(CONCATENATE(H415,F415,DT$2),Inglés!$A:$H,7,FALSE)=AH415,1,0)</f>
        <v>#N/A</v>
      </c>
      <c r="DU415" s="138" t="e">
        <f>IF(VLOOKUP(CONCATENATE(H415,F415,DU$2),Inglés!$A:$H,7,FALSE)=AI415,1,0)</f>
        <v>#N/A</v>
      </c>
      <c r="DV415" s="138" t="e">
        <f>IF(VLOOKUP(CONCATENATE(H415,F415,DV$2),Inglés!$A:$H,7,FALSE)=AJ415,1,0)</f>
        <v>#N/A</v>
      </c>
      <c r="DW415" s="138" t="e">
        <f>IF(VLOOKUP(CONCATENATE(H415,F415,DW$2),Inglés!$A:$H,7,FALSE)=AK415,1,0)</f>
        <v>#N/A</v>
      </c>
      <c r="DX415" s="138" t="e">
        <f>IF(VLOOKUP(CONCATENATE(H415,F415,DX$2),Inglés!$A:$H,7,FALSE)=AL415,1,0)</f>
        <v>#N/A</v>
      </c>
      <c r="DY415" s="138" t="e">
        <f>IF(VLOOKUP(CONCATENATE(H415,F415,DY$2),Inglés!$A:$H,7,FALSE)=AM415,1,0)</f>
        <v>#N/A</v>
      </c>
      <c r="DZ415" s="138" t="e">
        <f>IF(VLOOKUP(CONCATENATE(H415,F415,DZ$2),Inglés!$A:$H,7,FALSE)=AN415,1,0)</f>
        <v>#N/A</v>
      </c>
      <c r="EA415" s="138" t="e">
        <f>IF(VLOOKUP(CONCATENATE(H415,F415,EA$2),Inglés!$A:$H,7,FALSE)=AO415,1,0)</f>
        <v>#N/A</v>
      </c>
      <c r="EB415" s="138" t="e">
        <f>IF(VLOOKUP(CONCATENATE(H415,F415,EB$2),Matemáticas!$A:$H,7,FALSE)=AP415,1,0)</f>
        <v>#N/A</v>
      </c>
      <c r="EC415" s="138" t="e">
        <f>IF(VLOOKUP(CONCATENATE(H415,F415,EC$2),Matemáticas!$A:$H,7,FALSE)=AQ415,1,0)</f>
        <v>#N/A</v>
      </c>
      <c r="ED415" s="138" t="e">
        <f>IF(VLOOKUP(CONCATENATE(H415,F415,ED$2),Matemáticas!$A:$H,7,FALSE)=AR415,1,0)</f>
        <v>#N/A</v>
      </c>
      <c r="EE415" s="138" t="e">
        <f>IF(VLOOKUP(CONCATENATE(H415,F415,EE$2),Matemáticas!$A:$H,7,FALSE)=AS415,1,0)</f>
        <v>#N/A</v>
      </c>
      <c r="EF415" s="138" t="e">
        <f>IF(VLOOKUP(CONCATENATE(H415,F415,EF$2),Matemáticas!$A:$H,7,FALSE)=AT415,1,0)</f>
        <v>#N/A</v>
      </c>
      <c r="EG415" s="138" t="e">
        <f>IF(VLOOKUP(CONCATENATE(H415,F415,EG$2),Matemáticas!$A:$H,7,FALSE)=AU415,1,0)</f>
        <v>#N/A</v>
      </c>
      <c r="EH415" s="138" t="e">
        <f>IF(VLOOKUP(CONCATENATE(H415,F415,EH$2),Matemáticas!$A:$H,7,FALSE)=AV415,1,0)</f>
        <v>#N/A</v>
      </c>
      <c r="EI415" s="138" t="e">
        <f>IF(VLOOKUP(CONCATENATE(H415,F415,EI$2),Matemáticas!$A:$H,7,FALSE)=AW415,1,0)</f>
        <v>#N/A</v>
      </c>
      <c r="EJ415" s="138" t="e">
        <f>IF(VLOOKUP(CONCATENATE(H415,F415,EJ$2),Matemáticas!$A:$H,7,FALSE)=AX415,1,0)</f>
        <v>#N/A</v>
      </c>
      <c r="EK415" s="138" t="e">
        <f>IF(VLOOKUP(CONCATENATE(H415,F415,EK$2),Matemáticas!$A:$H,7,FALSE)=AY415,1,0)</f>
        <v>#N/A</v>
      </c>
      <c r="EL415" s="138" t="e">
        <f>IF(VLOOKUP(CONCATENATE(H415,F415,EL$2),Matemáticas!$A:$H,7,FALSE)=AZ415,1,0)</f>
        <v>#N/A</v>
      </c>
      <c r="EM415" s="138" t="e">
        <f>IF(VLOOKUP(CONCATENATE(H415,F415,EM$2),Matemáticas!$A:$H,7,FALSE)=BA415,1,0)</f>
        <v>#N/A</v>
      </c>
      <c r="EN415" s="138" t="e">
        <f>IF(VLOOKUP(CONCATENATE(H415,F415,EN$2),Matemáticas!$A:$H,7,FALSE)=BB415,1,0)</f>
        <v>#N/A</v>
      </c>
      <c r="EO415" s="138" t="e">
        <f>IF(VLOOKUP(CONCATENATE(H415,F415,EO$2),Matemáticas!$A:$H,7,FALSE)=BC415,1,0)</f>
        <v>#N/A</v>
      </c>
      <c r="EP415" s="138" t="e">
        <f>IF(VLOOKUP(CONCATENATE(H415,F415,EP$2),Matemáticas!$A:$H,7,FALSE)=BD415,1,0)</f>
        <v>#N/A</v>
      </c>
      <c r="EQ415" s="138" t="e">
        <f>IF(VLOOKUP(CONCATENATE(H415,F415,EQ$2),Matemáticas!$A:$H,7,FALSE)=BE415,1,0)</f>
        <v>#N/A</v>
      </c>
      <c r="ER415" s="138" t="e">
        <f>IF(VLOOKUP(CONCATENATE(H415,F415,ER$2),Matemáticas!$A:$H,7,FALSE)=BF415,1,0)</f>
        <v>#N/A</v>
      </c>
      <c r="ES415" s="138" t="e">
        <f>IF(VLOOKUP(CONCATENATE(H415,F415,ES$2),Matemáticas!$A:$H,7,FALSE)=BG415,1,0)</f>
        <v>#N/A</v>
      </c>
      <c r="ET415" s="138" t="e">
        <f>IF(VLOOKUP(CONCATENATE(H415,F415,ET$2),Matemáticas!$A:$H,7,FALSE)=BH415,1,0)</f>
        <v>#N/A</v>
      </c>
      <c r="EU415" s="138" t="e">
        <f>IF(VLOOKUP(CONCATENATE(H415,F415,EU$2),Matemáticas!$A:$H,7,FALSE)=BI415,1,0)</f>
        <v>#N/A</v>
      </c>
      <c r="EV415" s="138" t="e">
        <f>IF(VLOOKUP(CONCATENATE(H415,F415,EV$2),Ciencias!$A:$H,7,FALSE)=BJ415,1,0)</f>
        <v>#N/A</v>
      </c>
      <c r="EW415" s="138" t="e">
        <f>IF(VLOOKUP(CONCATENATE(H415,F415,EW$2),Ciencias!$A:$H,7,FALSE)=BK415,1,0)</f>
        <v>#N/A</v>
      </c>
      <c r="EX415" s="138" t="e">
        <f>IF(VLOOKUP(CONCATENATE(H415,F415,EX$2),Ciencias!$A:$H,7,FALSE)=BL415,1,0)</f>
        <v>#N/A</v>
      </c>
      <c r="EY415" s="138" t="e">
        <f>IF(VLOOKUP(CONCATENATE(H415,F415,EY$2),Ciencias!$A:$H,7,FALSE)=BM415,1,0)</f>
        <v>#N/A</v>
      </c>
      <c r="EZ415" s="138" t="e">
        <f>IF(VLOOKUP(CONCATENATE(H415,F415,EZ$2),Ciencias!$A:$H,7,FALSE)=BN415,1,0)</f>
        <v>#N/A</v>
      </c>
      <c r="FA415" s="138" t="e">
        <f>IF(VLOOKUP(CONCATENATE(H415,F415,FA$2),Ciencias!$A:$H,7,FALSE)=BO415,1,0)</f>
        <v>#N/A</v>
      </c>
      <c r="FB415" s="138" t="e">
        <f>IF(VLOOKUP(CONCATENATE(H415,F415,FB$2),Ciencias!$A:$H,7,FALSE)=BP415,1,0)</f>
        <v>#N/A</v>
      </c>
      <c r="FC415" s="138" t="e">
        <f>IF(VLOOKUP(CONCATENATE(H415,F415,FC$2),Ciencias!$A:$H,7,FALSE)=BQ415,1,0)</f>
        <v>#N/A</v>
      </c>
      <c r="FD415" s="138" t="e">
        <f>IF(VLOOKUP(CONCATENATE(H415,F415,FD$2),Ciencias!$A:$H,7,FALSE)=BR415,1,0)</f>
        <v>#N/A</v>
      </c>
      <c r="FE415" s="138" t="e">
        <f>IF(VLOOKUP(CONCATENATE(H415,F415,FE$2),Ciencias!$A:$H,7,FALSE)=BS415,1,0)</f>
        <v>#N/A</v>
      </c>
      <c r="FF415" s="138" t="e">
        <f>IF(VLOOKUP(CONCATENATE(H415,F415,FF$2),Ciencias!$A:$H,7,FALSE)=BT415,1,0)</f>
        <v>#N/A</v>
      </c>
      <c r="FG415" s="138" t="e">
        <f>IF(VLOOKUP(CONCATENATE(H415,F415,FG$2),Ciencias!$A:$H,7,FALSE)=BU415,1,0)</f>
        <v>#N/A</v>
      </c>
      <c r="FH415" s="138" t="e">
        <f>IF(VLOOKUP(CONCATENATE(H415,F415,FH$2),Ciencias!$A:$H,7,FALSE)=BV415,1,0)</f>
        <v>#N/A</v>
      </c>
      <c r="FI415" s="138" t="e">
        <f>IF(VLOOKUP(CONCATENATE(H415,F415,FI$2),Ciencias!$A:$H,7,FALSE)=BW415,1,0)</f>
        <v>#N/A</v>
      </c>
      <c r="FJ415" s="138" t="e">
        <f>IF(VLOOKUP(CONCATENATE(H415,F415,FJ$2),Ciencias!$A:$H,7,FALSE)=BX415,1,0)</f>
        <v>#N/A</v>
      </c>
      <c r="FK415" s="138" t="e">
        <f>IF(VLOOKUP(CONCATENATE(H415,F415,FK$2),Ciencias!$A:$H,7,FALSE)=BY415,1,0)</f>
        <v>#N/A</v>
      </c>
      <c r="FL415" s="138" t="e">
        <f>IF(VLOOKUP(CONCATENATE(H415,F415,FL$2),Ciencias!$A:$H,7,FALSE)=BZ415,1,0)</f>
        <v>#N/A</v>
      </c>
      <c r="FM415" s="138" t="e">
        <f>IF(VLOOKUP(CONCATENATE(H415,F415,FM$2),Ciencias!$A:$H,7,FALSE)=CA415,1,0)</f>
        <v>#N/A</v>
      </c>
      <c r="FN415" s="138" t="e">
        <f>IF(VLOOKUP(CONCATENATE(H415,F415,FN$2),Ciencias!$A:$H,7,FALSE)=CB415,1,0)</f>
        <v>#N/A</v>
      </c>
      <c r="FO415" s="138" t="e">
        <f>IF(VLOOKUP(CONCATENATE(H415,F415,FO$2),Ciencias!$A:$H,7,FALSE)=CC415,1,0)</f>
        <v>#N/A</v>
      </c>
      <c r="FP415" s="138" t="e">
        <f>IF(VLOOKUP(CONCATENATE(H415,F415,FP$2),GeoHis!$A:$H,7,FALSE)=CD415,1,0)</f>
        <v>#N/A</v>
      </c>
      <c r="FQ415" s="138" t="e">
        <f>IF(VLOOKUP(CONCATENATE(H415,F415,FQ$2),GeoHis!$A:$H,7,FALSE)=CE415,1,0)</f>
        <v>#N/A</v>
      </c>
      <c r="FR415" s="138" t="e">
        <f>IF(VLOOKUP(CONCATENATE(H415,F415,FR$2),GeoHis!$A:$H,7,FALSE)=CF415,1,0)</f>
        <v>#N/A</v>
      </c>
      <c r="FS415" s="138" t="e">
        <f>IF(VLOOKUP(CONCATENATE(H415,F415,FS$2),GeoHis!$A:$H,7,FALSE)=CG415,1,0)</f>
        <v>#N/A</v>
      </c>
      <c r="FT415" s="138" t="e">
        <f>IF(VLOOKUP(CONCATENATE(H415,F415,FT$2),GeoHis!$A:$H,7,FALSE)=CH415,1,0)</f>
        <v>#N/A</v>
      </c>
      <c r="FU415" s="138" t="e">
        <f>IF(VLOOKUP(CONCATENATE(H415,F415,FU$2),GeoHis!$A:$H,7,FALSE)=CI415,1,0)</f>
        <v>#N/A</v>
      </c>
      <c r="FV415" s="138" t="e">
        <f>IF(VLOOKUP(CONCATENATE(H415,F415,FV$2),GeoHis!$A:$H,7,FALSE)=CJ415,1,0)</f>
        <v>#N/A</v>
      </c>
      <c r="FW415" s="138" t="e">
        <f>IF(VLOOKUP(CONCATENATE(H415,F415,FW$2),GeoHis!$A:$H,7,FALSE)=CK415,1,0)</f>
        <v>#N/A</v>
      </c>
      <c r="FX415" s="138" t="e">
        <f>IF(VLOOKUP(CONCATENATE(H415,F415,FX$2),GeoHis!$A:$H,7,FALSE)=CL415,1,0)</f>
        <v>#N/A</v>
      </c>
      <c r="FY415" s="138" t="e">
        <f>IF(VLOOKUP(CONCATENATE(H415,F415,FY$2),GeoHis!$A:$H,7,FALSE)=CM415,1,0)</f>
        <v>#N/A</v>
      </c>
      <c r="FZ415" s="138" t="e">
        <f>IF(VLOOKUP(CONCATENATE(H415,F415,FZ$2),GeoHis!$A:$H,7,FALSE)=CN415,1,0)</f>
        <v>#N/A</v>
      </c>
      <c r="GA415" s="138" t="e">
        <f>IF(VLOOKUP(CONCATENATE(H415,F415,GA$2),GeoHis!$A:$H,7,FALSE)=CO415,1,0)</f>
        <v>#N/A</v>
      </c>
      <c r="GB415" s="138" t="e">
        <f>IF(VLOOKUP(CONCATENATE(H415,F415,GB$2),GeoHis!$A:$H,7,FALSE)=CP415,1,0)</f>
        <v>#N/A</v>
      </c>
      <c r="GC415" s="138" t="e">
        <f>IF(VLOOKUP(CONCATENATE(H415,F415,GC$2),GeoHis!$A:$H,7,FALSE)=CQ415,1,0)</f>
        <v>#N/A</v>
      </c>
      <c r="GD415" s="138" t="e">
        <f>IF(VLOOKUP(CONCATENATE(H415,F415,GD$2),GeoHis!$A:$H,7,FALSE)=CR415,1,0)</f>
        <v>#N/A</v>
      </c>
      <c r="GE415" s="135" t="str">
        <f t="shared" si="55"/>
        <v/>
      </c>
    </row>
    <row r="416" spans="1:187" x14ac:dyDescent="0.25">
      <c r="A416" s="127" t="str">
        <f>IF(C416="","",'Datos Generales'!$A$25)</f>
        <v/>
      </c>
      <c r="D416" s="126" t="str">
        <f t="shared" si="48"/>
        <v/>
      </c>
      <c r="E416" s="126">
        <f t="shared" si="49"/>
        <v>0</v>
      </c>
      <c r="F416" s="126" t="str">
        <f t="shared" si="50"/>
        <v/>
      </c>
      <c r="G416" s="126" t="str">
        <f>IF(C416="","",'Datos Generales'!$D$19)</f>
        <v/>
      </c>
      <c r="H416" s="21" t="str">
        <f>IF(C416="","",'Datos Generales'!$A$19)</f>
        <v/>
      </c>
      <c r="I416" s="126" t="str">
        <f>IF(C416="","",'Datos Generales'!$A$7)</f>
        <v/>
      </c>
      <c r="J416" s="21" t="str">
        <f>IF(C416="","",'Datos Generales'!$A$13)</f>
        <v/>
      </c>
      <c r="K416" s="21" t="str">
        <f>IF(C416="","",'Datos Generales'!$A$10)</f>
        <v/>
      </c>
      <c r="CS416" s="142" t="str">
        <f t="shared" si="51"/>
        <v/>
      </c>
      <c r="CT416" s="142" t="str">
        <f t="shared" si="52"/>
        <v/>
      </c>
      <c r="CU416" s="142" t="str">
        <f t="shared" si="53"/>
        <v/>
      </c>
      <c r="CV416" s="142" t="str">
        <f t="shared" si="54"/>
        <v/>
      </c>
      <c r="CW416" s="142" t="str">
        <f>IF(C416="","",IF('Datos Generales'!$A$19=1,AVERAGE(FP416:GD416),AVERAGE(Captura!FP416:FY416)))</f>
        <v/>
      </c>
      <c r="CX416" s="138" t="e">
        <f>IF(VLOOKUP(CONCATENATE($H$4,$F$4,CX$2),Español!$A:$H,7,FALSE)=L416,1,0)</f>
        <v>#N/A</v>
      </c>
      <c r="CY416" s="138" t="e">
        <f>IF(VLOOKUP(CONCATENATE(H416,F416,CY$2),Español!$A:$H,7,FALSE)=M416,1,0)</f>
        <v>#N/A</v>
      </c>
      <c r="CZ416" s="138" t="e">
        <f>IF(VLOOKUP(CONCATENATE(H416,F416,CZ$2),Español!$A:$H,7,FALSE)=N416,1,0)</f>
        <v>#N/A</v>
      </c>
      <c r="DA416" s="138" t="e">
        <f>IF(VLOOKUP(CONCATENATE(H416,F416,DA$2),Español!$A:$H,7,FALSE)=O416,1,0)</f>
        <v>#N/A</v>
      </c>
      <c r="DB416" s="138" t="e">
        <f>IF(VLOOKUP(CONCATENATE(H416,F416,DB$2),Español!$A:$H,7,FALSE)=P416,1,0)</f>
        <v>#N/A</v>
      </c>
      <c r="DC416" s="138" t="e">
        <f>IF(VLOOKUP(CONCATENATE(H416,F416,DC$2),Español!$A:$H,7,FALSE)=Q416,1,0)</f>
        <v>#N/A</v>
      </c>
      <c r="DD416" s="138" t="e">
        <f>IF(VLOOKUP(CONCATENATE(H416,F416,DD$2),Español!$A:$H,7,FALSE)=R416,1,0)</f>
        <v>#N/A</v>
      </c>
      <c r="DE416" s="138" t="e">
        <f>IF(VLOOKUP(CONCATENATE(H416,F416,DE$2),Español!$A:$H,7,FALSE)=S416,1,0)</f>
        <v>#N/A</v>
      </c>
      <c r="DF416" s="138" t="e">
        <f>IF(VLOOKUP(CONCATENATE(H416,F416,DF$2),Español!$A:$H,7,FALSE)=T416,1,0)</f>
        <v>#N/A</v>
      </c>
      <c r="DG416" s="138" t="e">
        <f>IF(VLOOKUP(CONCATENATE(H416,F416,DG$2),Español!$A:$H,7,FALSE)=U416,1,0)</f>
        <v>#N/A</v>
      </c>
      <c r="DH416" s="138" t="e">
        <f>IF(VLOOKUP(CONCATENATE(H416,F416,DH$2),Español!$A:$H,7,FALSE)=V416,1,0)</f>
        <v>#N/A</v>
      </c>
      <c r="DI416" s="138" t="e">
        <f>IF(VLOOKUP(CONCATENATE(H416,F416,DI$2),Español!$A:$H,7,FALSE)=W416,1,0)</f>
        <v>#N/A</v>
      </c>
      <c r="DJ416" s="138" t="e">
        <f>IF(VLOOKUP(CONCATENATE(H416,F416,DJ$2),Español!$A:$H,7,FALSE)=X416,1,0)</f>
        <v>#N/A</v>
      </c>
      <c r="DK416" s="138" t="e">
        <f>IF(VLOOKUP(CONCATENATE(H416,F416,DK$2),Español!$A:$H,7,FALSE)=Y416,1,0)</f>
        <v>#N/A</v>
      </c>
      <c r="DL416" s="138" t="e">
        <f>IF(VLOOKUP(CONCATENATE(H416,F416,DL$2),Español!$A:$H,7,FALSE)=Z416,1,0)</f>
        <v>#N/A</v>
      </c>
      <c r="DM416" s="138" t="e">
        <f>IF(VLOOKUP(CONCATENATE(H416,F416,DM$2),Español!$A:$H,7,FALSE)=AA416,1,0)</f>
        <v>#N/A</v>
      </c>
      <c r="DN416" s="138" t="e">
        <f>IF(VLOOKUP(CONCATENATE(H416,F416,DN$2),Español!$A:$H,7,FALSE)=AB416,1,0)</f>
        <v>#N/A</v>
      </c>
      <c r="DO416" s="138" t="e">
        <f>IF(VLOOKUP(CONCATENATE(H416,F416,DO$2),Español!$A:$H,7,FALSE)=AC416,1,0)</f>
        <v>#N/A</v>
      </c>
      <c r="DP416" s="138" t="e">
        <f>IF(VLOOKUP(CONCATENATE(H416,F416,DP$2),Español!$A:$H,7,FALSE)=AD416,1,0)</f>
        <v>#N/A</v>
      </c>
      <c r="DQ416" s="138" t="e">
        <f>IF(VLOOKUP(CONCATENATE(H416,F416,DQ$2),Español!$A:$H,7,FALSE)=AE416,1,0)</f>
        <v>#N/A</v>
      </c>
      <c r="DR416" s="138" t="e">
        <f>IF(VLOOKUP(CONCATENATE(H416,F416,DR$2),Inglés!$A:$H,7,FALSE)=AF416,1,0)</f>
        <v>#N/A</v>
      </c>
      <c r="DS416" s="138" t="e">
        <f>IF(VLOOKUP(CONCATENATE(H416,F416,DS$2),Inglés!$A:$H,7,FALSE)=AG416,1,0)</f>
        <v>#N/A</v>
      </c>
      <c r="DT416" s="138" t="e">
        <f>IF(VLOOKUP(CONCATENATE(H416,F416,DT$2),Inglés!$A:$H,7,FALSE)=AH416,1,0)</f>
        <v>#N/A</v>
      </c>
      <c r="DU416" s="138" t="e">
        <f>IF(VLOOKUP(CONCATENATE(H416,F416,DU$2),Inglés!$A:$H,7,FALSE)=AI416,1,0)</f>
        <v>#N/A</v>
      </c>
      <c r="DV416" s="138" t="e">
        <f>IF(VLOOKUP(CONCATENATE(H416,F416,DV$2),Inglés!$A:$H,7,FALSE)=AJ416,1,0)</f>
        <v>#N/A</v>
      </c>
      <c r="DW416" s="138" t="e">
        <f>IF(VLOOKUP(CONCATENATE(H416,F416,DW$2),Inglés!$A:$H,7,FALSE)=AK416,1,0)</f>
        <v>#N/A</v>
      </c>
      <c r="DX416" s="138" t="e">
        <f>IF(VLOOKUP(CONCATENATE(H416,F416,DX$2),Inglés!$A:$H,7,FALSE)=AL416,1,0)</f>
        <v>#N/A</v>
      </c>
      <c r="DY416" s="138" t="e">
        <f>IF(VLOOKUP(CONCATENATE(H416,F416,DY$2),Inglés!$A:$H,7,FALSE)=AM416,1,0)</f>
        <v>#N/A</v>
      </c>
      <c r="DZ416" s="138" t="e">
        <f>IF(VLOOKUP(CONCATENATE(H416,F416,DZ$2),Inglés!$A:$H,7,FALSE)=AN416,1,0)</f>
        <v>#N/A</v>
      </c>
      <c r="EA416" s="138" t="e">
        <f>IF(VLOOKUP(CONCATENATE(H416,F416,EA$2),Inglés!$A:$H,7,FALSE)=AO416,1,0)</f>
        <v>#N/A</v>
      </c>
      <c r="EB416" s="138" t="e">
        <f>IF(VLOOKUP(CONCATENATE(H416,F416,EB$2),Matemáticas!$A:$H,7,FALSE)=AP416,1,0)</f>
        <v>#N/A</v>
      </c>
      <c r="EC416" s="138" t="e">
        <f>IF(VLOOKUP(CONCATENATE(H416,F416,EC$2),Matemáticas!$A:$H,7,FALSE)=AQ416,1,0)</f>
        <v>#N/A</v>
      </c>
      <c r="ED416" s="138" t="e">
        <f>IF(VLOOKUP(CONCATENATE(H416,F416,ED$2),Matemáticas!$A:$H,7,FALSE)=AR416,1,0)</f>
        <v>#N/A</v>
      </c>
      <c r="EE416" s="138" t="e">
        <f>IF(VLOOKUP(CONCATENATE(H416,F416,EE$2),Matemáticas!$A:$H,7,FALSE)=AS416,1,0)</f>
        <v>#N/A</v>
      </c>
      <c r="EF416" s="138" t="e">
        <f>IF(VLOOKUP(CONCATENATE(H416,F416,EF$2),Matemáticas!$A:$H,7,FALSE)=AT416,1,0)</f>
        <v>#N/A</v>
      </c>
      <c r="EG416" s="138" t="e">
        <f>IF(VLOOKUP(CONCATENATE(H416,F416,EG$2),Matemáticas!$A:$H,7,FALSE)=AU416,1,0)</f>
        <v>#N/A</v>
      </c>
      <c r="EH416" s="138" t="e">
        <f>IF(VLOOKUP(CONCATENATE(H416,F416,EH$2),Matemáticas!$A:$H,7,FALSE)=AV416,1,0)</f>
        <v>#N/A</v>
      </c>
      <c r="EI416" s="138" t="e">
        <f>IF(VLOOKUP(CONCATENATE(H416,F416,EI$2),Matemáticas!$A:$H,7,FALSE)=AW416,1,0)</f>
        <v>#N/A</v>
      </c>
      <c r="EJ416" s="138" t="e">
        <f>IF(VLOOKUP(CONCATENATE(H416,F416,EJ$2),Matemáticas!$A:$H,7,FALSE)=AX416,1,0)</f>
        <v>#N/A</v>
      </c>
      <c r="EK416" s="138" t="e">
        <f>IF(VLOOKUP(CONCATENATE(H416,F416,EK$2),Matemáticas!$A:$H,7,FALSE)=AY416,1,0)</f>
        <v>#N/A</v>
      </c>
      <c r="EL416" s="138" t="e">
        <f>IF(VLOOKUP(CONCATENATE(H416,F416,EL$2),Matemáticas!$A:$H,7,FALSE)=AZ416,1,0)</f>
        <v>#N/A</v>
      </c>
      <c r="EM416" s="138" t="e">
        <f>IF(VLOOKUP(CONCATENATE(H416,F416,EM$2),Matemáticas!$A:$H,7,FALSE)=BA416,1,0)</f>
        <v>#N/A</v>
      </c>
      <c r="EN416" s="138" t="e">
        <f>IF(VLOOKUP(CONCATENATE(H416,F416,EN$2),Matemáticas!$A:$H,7,FALSE)=BB416,1,0)</f>
        <v>#N/A</v>
      </c>
      <c r="EO416" s="138" t="e">
        <f>IF(VLOOKUP(CONCATENATE(H416,F416,EO$2),Matemáticas!$A:$H,7,FALSE)=BC416,1,0)</f>
        <v>#N/A</v>
      </c>
      <c r="EP416" s="138" t="e">
        <f>IF(VLOOKUP(CONCATENATE(H416,F416,EP$2),Matemáticas!$A:$H,7,FALSE)=BD416,1,0)</f>
        <v>#N/A</v>
      </c>
      <c r="EQ416" s="138" t="e">
        <f>IF(VLOOKUP(CONCATENATE(H416,F416,EQ$2),Matemáticas!$A:$H,7,FALSE)=BE416,1,0)</f>
        <v>#N/A</v>
      </c>
      <c r="ER416" s="138" t="e">
        <f>IF(VLOOKUP(CONCATENATE(H416,F416,ER$2),Matemáticas!$A:$H,7,FALSE)=BF416,1,0)</f>
        <v>#N/A</v>
      </c>
      <c r="ES416" s="138" t="e">
        <f>IF(VLOOKUP(CONCATENATE(H416,F416,ES$2),Matemáticas!$A:$H,7,FALSE)=BG416,1,0)</f>
        <v>#N/A</v>
      </c>
      <c r="ET416" s="138" t="e">
        <f>IF(VLOOKUP(CONCATENATE(H416,F416,ET$2),Matemáticas!$A:$H,7,FALSE)=BH416,1,0)</f>
        <v>#N/A</v>
      </c>
      <c r="EU416" s="138" t="e">
        <f>IF(VLOOKUP(CONCATENATE(H416,F416,EU$2),Matemáticas!$A:$H,7,FALSE)=BI416,1,0)</f>
        <v>#N/A</v>
      </c>
      <c r="EV416" s="138" t="e">
        <f>IF(VLOOKUP(CONCATENATE(H416,F416,EV$2),Ciencias!$A:$H,7,FALSE)=BJ416,1,0)</f>
        <v>#N/A</v>
      </c>
      <c r="EW416" s="138" t="e">
        <f>IF(VLOOKUP(CONCATENATE(H416,F416,EW$2),Ciencias!$A:$H,7,FALSE)=BK416,1,0)</f>
        <v>#N/A</v>
      </c>
      <c r="EX416" s="138" t="e">
        <f>IF(VLOOKUP(CONCATENATE(H416,F416,EX$2),Ciencias!$A:$H,7,FALSE)=BL416,1,0)</f>
        <v>#N/A</v>
      </c>
      <c r="EY416" s="138" t="e">
        <f>IF(VLOOKUP(CONCATENATE(H416,F416,EY$2),Ciencias!$A:$H,7,FALSE)=BM416,1,0)</f>
        <v>#N/A</v>
      </c>
      <c r="EZ416" s="138" t="e">
        <f>IF(VLOOKUP(CONCATENATE(H416,F416,EZ$2),Ciencias!$A:$H,7,FALSE)=BN416,1,0)</f>
        <v>#N/A</v>
      </c>
      <c r="FA416" s="138" t="e">
        <f>IF(VLOOKUP(CONCATENATE(H416,F416,FA$2),Ciencias!$A:$H,7,FALSE)=BO416,1,0)</f>
        <v>#N/A</v>
      </c>
      <c r="FB416" s="138" t="e">
        <f>IF(VLOOKUP(CONCATENATE(H416,F416,FB$2),Ciencias!$A:$H,7,FALSE)=BP416,1,0)</f>
        <v>#N/A</v>
      </c>
      <c r="FC416" s="138" t="e">
        <f>IF(VLOOKUP(CONCATENATE(H416,F416,FC$2),Ciencias!$A:$H,7,FALSE)=BQ416,1,0)</f>
        <v>#N/A</v>
      </c>
      <c r="FD416" s="138" t="e">
        <f>IF(VLOOKUP(CONCATENATE(H416,F416,FD$2),Ciencias!$A:$H,7,FALSE)=BR416,1,0)</f>
        <v>#N/A</v>
      </c>
      <c r="FE416" s="138" t="e">
        <f>IF(VLOOKUP(CONCATENATE(H416,F416,FE$2),Ciencias!$A:$H,7,FALSE)=BS416,1,0)</f>
        <v>#N/A</v>
      </c>
      <c r="FF416" s="138" t="e">
        <f>IF(VLOOKUP(CONCATENATE(H416,F416,FF$2),Ciencias!$A:$H,7,FALSE)=BT416,1,0)</f>
        <v>#N/A</v>
      </c>
      <c r="FG416" s="138" t="e">
        <f>IF(VLOOKUP(CONCATENATE(H416,F416,FG$2),Ciencias!$A:$H,7,FALSE)=BU416,1,0)</f>
        <v>#N/A</v>
      </c>
      <c r="FH416" s="138" t="e">
        <f>IF(VLOOKUP(CONCATENATE(H416,F416,FH$2),Ciencias!$A:$H,7,FALSE)=BV416,1,0)</f>
        <v>#N/A</v>
      </c>
      <c r="FI416" s="138" t="e">
        <f>IF(VLOOKUP(CONCATENATE(H416,F416,FI$2),Ciencias!$A:$H,7,FALSE)=BW416,1,0)</f>
        <v>#N/A</v>
      </c>
      <c r="FJ416" s="138" t="e">
        <f>IF(VLOOKUP(CONCATENATE(H416,F416,FJ$2),Ciencias!$A:$H,7,FALSE)=BX416,1,0)</f>
        <v>#N/A</v>
      </c>
      <c r="FK416" s="138" t="e">
        <f>IF(VLOOKUP(CONCATENATE(H416,F416,FK$2),Ciencias!$A:$H,7,FALSE)=BY416,1,0)</f>
        <v>#N/A</v>
      </c>
      <c r="FL416" s="138" t="e">
        <f>IF(VLOOKUP(CONCATENATE(H416,F416,FL$2),Ciencias!$A:$H,7,FALSE)=BZ416,1,0)</f>
        <v>#N/A</v>
      </c>
      <c r="FM416" s="138" t="e">
        <f>IF(VLOOKUP(CONCATENATE(H416,F416,FM$2),Ciencias!$A:$H,7,FALSE)=CA416,1,0)</f>
        <v>#N/A</v>
      </c>
      <c r="FN416" s="138" t="e">
        <f>IF(VLOOKUP(CONCATENATE(H416,F416,FN$2),Ciencias!$A:$H,7,FALSE)=CB416,1,0)</f>
        <v>#N/A</v>
      </c>
      <c r="FO416" s="138" t="e">
        <f>IF(VLOOKUP(CONCATENATE(H416,F416,FO$2),Ciencias!$A:$H,7,FALSE)=CC416,1,0)</f>
        <v>#N/A</v>
      </c>
      <c r="FP416" s="138" t="e">
        <f>IF(VLOOKUP(CONCATENATE(H416,F416,FP$2),GeoHis!$A:$H,7,FALSE)=CD416,1,0)</f>
        <v>#N/A</v>
      </c>
      <c r="FQ416" s="138" t="e">
        <f>IF(VLOOKUP(CONCATENATE(H416,F416,FQ$2),GeoHis!$A:$H,7,FALSE)=CE416,1,0)</f>
        <v>#N/A</v>
      </c>
      <c r="FR416" s="138" t="e">
        <f>IF(VLOOKUP(CONCATENATE(H416,F416,FR$2),GeoHis!$A:$H,7,FALSE)=CF416,1,0)</f>
        <v>#N/A</v>
      </c>
      <c r="FS416" s="138" t="e">
        <f>IF(VLOOKUP(CONCATENATE(H416,F416,FS$2),GeoHis!$A:$H,7,FALSE)=CG416,1,0)</f>
        <v>#N/A</v>
      </c>
      <c r="FT416" s="138" t="e">
        <f>IF(VLOOKUP(CONCATENATE(H416,F416,FT$2),GeoHis!$A:$H,7,FALSE)=CH416,1,0)</f>
        <v>#N/A</v>
      </c>
      <c r="FU416" s="138" t="e">
        <f>IF(VLOOKUP(CONCATENATE(H416,F416,FU$2),GeoHis!$A:$H,7,FALSE)=CI416,1,0)</f>
        <v>#N/A</v>
      </c>
      <c r="FV416" s="138" t="e">
        <f>IF(VLOOKUP(CONCATENATE(H416,F416,FV$2),GeoHis!$A:$H,7,FALSE)=CJ416,1,0)</f>
        <v>#N/A</v>
      </c>
      <c r="FW416" s="138" t="e">
        <f>IF(VLOOKUP(CONCATENATE(H416,F416,FW$2),GeoHis!$A:$H,7,FALSE)=CK416,1,0)</f>
        <v>#N/A</v>
      </c>
      <c r="FX416" s="138" t="e">
        <f>IF(VLOOKUP(CONCATENATE(H416,F416,FX$2),GeoHis!$A:$H,7,FALSE)=CL416,1,0)</f>
        <v>#N/A</v>
      </c>
      <c r="FY416" s="138" t="e">
        <f>IF(VLOOKUP(CONCATENATE(H416,F416,FY$2),GeoHis!$A:$H,7,FALSE)=CM416,1,0)</f>
        <v>#N/A</v>
      </c>
      <c r="FZ416" s="138" t="e">
        <f>IF(VLOOKUP(CONCATENATE(H416,F416,FZ$2),GeoHis!$A:$H,7,FALSE)=CN416,1,0)</f>
        <v>#N/A</v>
      </c>
      <c r="GA416" s="138" t="e">
        <f>IF(VLOOKUP(CONCATENATE(H416,F416,GA$2),GeoHis!$A:$H,7,FALSE)=CO416,1,0)</f>
        <v>#N/A</v>
      </c>
      <c r="GB416" s="138" t="e">
        <f>IF(VLOOKUP(CONCATENATE(H416,F416,GB$2),GeoHis!$A:$H,7,FALSE)=CP416,1,0)</f>
        <v>#N/A</v>
      </c>
      <c r="GC416" s="138" t="e">
        <f>IF(VLOOKUP(CONCATENATE(H416,F416,GC$2),GeoHis!$A:$H,7,FALSE)=CQ416,1,0)</f>
        <v>#N/A</v>
      </c>
      <c r="GD416" s="138" t="e">
        <f>IF(VLOOKUP(CONCATENATE(H416,F416,GD$2),GeoHis!$A:$H,7,FALSE)=CR416,1,0)</f>
        <v>#N/A</v>
      </c>
      <c r="GE416" s="135" t="str">
        <f t="shared" si="55"/>
        <v/>
      </c>
    </row>
    <row r="417" spans="1:187" x14ac:dyDescent="0.25">
      <c r="A417" s="127" t="str">
        <f>IF(C417="","",'Datos Generales'!$A$25)</f>
        <v/>
      </c>
      <c r="D417" s="126" t="str">
        <f t="shared" si="48"/>
        <v/>
      </c>
      <c r="E417" s="126">
        <f t="shared" si="49"/>
        <v>0</v>
      </c>
      <c r="F417" s="126" t="str">
        <f t="shared" si="50"/>
        <v/>
      </c>
      <c r="G417" s="126" t="str">
        <f>IF(C417="","",'Datos Generales'!$D$19)</f>
        <v/>
      </c>
      <c r="H417" s="21" t="str">
        <f>IF(C417="","",'Datos Generales'!$A$19)</f>
        <v/>
      </c>
      <c r="I417" s="126" t="str">
        <f>IF(C417="","",'Datos Generales'!$A$7)</f>
        <v/>
      </c>
      <c r="J417" s="21" t="str">
        <f>IF(C417="","",'Datos Generales'!$A$13)</f>
        <v/>
      </c>
      <c r="K417" s="21" t="str">
        <f>IF(C417="","",'Datos Generales'!$A$10)</f>
        <v/>
      </c>
      <c r="CS417" s="142" t="str">
        <f t="shared" si="51"/>
        <v/>
      </c>
      <c r="CT417" s="142" t="str">
        <f t="shared" si="52"/>
        <v/>
      </c>
      <c r="CU417" s="142" t="str">
        <f t="shared" si="53"/>
        <v/>
      </c>
      <c r="CV417" s="142" t="str">
        <f t="shared" si="54"/>
        <v/>
      </c>
      <c r="CW417" s="142" t="str">
        <f>IF(C417="","",IF('Datos Generales'!$A$19=1,AVERAGE(FP417:GD417),AVERAGE(Captura!FP417:FY417)))</f>
        <v/>
      </c>
      <c r="CX417" s="138" t="e">
        <f>IF(VLOOKUP(CONCATENATE($H$4,$F$4,CX$2),Español!$A:$H,7,FALSE)=L417,1,0)</f>
        <v>#N/A</v>
      </c>
      <c r="CY417" s="138" t="e">
        <f>IF(VLOOKUP(CONCATENATE(H417,F417,CY$2),Español!$A:$H,7,FALSE)=M417,1,0)</f>
        <v>#N/A</v>
      </c>
      <c r="CZ417" s="138" t="e">
        <f>IF(VLOOKUP(CONCATENATE(H417,F417,CZ$2),Español!$A:$H,7,FALSE)=N417,1,0)</f>
        <v>#N/A</v>
      </c>
      <c r="DA417" s="138" t="e">
        <f>IF(VLOOKUP(CONCATENATE(H417,F417,DA$2),Español!$A:$H,7,FALSE)=O417,1,0)</f>
        <v>#N/A</v>
      </c>
      <c r="DB417" s="138" t="e">
        <f>IF(VLOOKUP(CONCATENATE(H417,F417,DB$2),Español!$A:$H,7,FALSE)=P417,1,0)</f>
        <v>#N/A</v>
      </c>
      <c r="DC417" s="138" t="e">
        <f>IF(VLOOKUP(CONCATENATE(H417,F417,DC$2),Español!$A:$H,7,FALSE)=Q417,1,0)</f>
        <v>#N/A</v>
      </c>
      <c r="DD417" s="138" t="e">
        <f>IF(VLOOKUP(CONCATENATE(H417,F417,DD$2),Español!$A:$H,7,FALSE)=R417,1,0)</f>
        <v>#N/A</v>
      </c>
      <c r="DE417" s="138" t="e">
        <f>IF(VLOOKUP(CONCATENATE(H417,F417,DE$2),Español!$A:$H,7,FALSE)=S417,1,0)</f>
        <v>#N/A</v>
      </c>
      <c r="DF417" s="138" t="e">
        <f>IF(VLOOKUP(CONCATENATE(H417,F417,DF$2),Español!$A:$H,7,FALSE)=T417,1,0)</f>
        <v>#N/A</v>
      </c>
      <c r="DG417" s="138" t="e">
        <f>IF(VLOOKUP(CONCATENATE(H417,F417,DG$2),Español!$A:$H,7,FALSE)=U417,1,0)</f>
        <v>#N/A</v>
      </c>
      <c r="DH417" s="138" t="e">
        <f>IF(VLOOKUP(CONCATENATE(H417,F417,DH$2),Español!$A:$H,7,FALSE)=V417,1,0)</f>
        <v>#N/A</v>
      </c>
      <c r="DI417" s="138" t="e">
        <f>IF(VLOOKUP(CONCATENATE(H417,F417,DI$2),Español!$A:$H,7,FALSE)=W417,1,0)</f>
        <v>#N/A</v>
      </c>
      <c r="DJ417" s="138" t="e">
        <f>IF(VLOOKUP(CONCATENATE(H417,F417,DJ$2),Español!$A:$H,7,FALSE)=X417,1,0)</f>
        <v>#N/A</v>
      </c>
      <c r="DK417" s="138" t="e">
        <f>IF(VLOOKUP(CONCATENATE(H417,F417,DK$2),Español!$A:$H,7,FALSE)=Y417,1,0)</f>
        <v>#N/A</v>
      </c>
      <c r="DL417" s="138" t="e">
        <f>IF(VLOOKUP(CONCATENATE(H417,F417,DL$2),Español!$A:$H,7,FALSE)=Z417,1,0)</f>
        <v>#N/A</v>
      </c>
      <c r="DM417" s="138" t="e">
        <f>IF(VLOOKUP(CONCATENATE(H417,F417,DM$2),Español!$A:$H,7,FALSE)=AA417,1,0)</f>
        <v>#N/A</v>
      </c>
      <c r="DN417" s="138" t="e">
        <f>IF(VLOOKUP(CONCATENATE(H417,F417,DN$2),Español!$A:$H,7,FALSE)=AB417,1,0)</f>
        <v>#N/A</v>
      </c>
      <c r="DO417" s="138" t="e">
        <f>IF(VLOOKUP(CONCATENATE(H417,F417,DO$2),Español!$A:$H,7,FALSE)=AC417,1,0)</f>
        <v>#N/A</v>
      </c>
      <c r="DP417" s="138" t="e">
        <f>IF(VLOOKUP(CONCATENATE(H417,F417,DP$2),Español!$A:$H,7,FALSE)=AD417,1,0)</f>
        <v>#N/A</v>
      </c>
      <c r="DQ417" s="138" t="e">
        <f>IF(VLOOKUP(CONCATENATE(H417,F417,DQ$2),Español!$A:$H,7,FALSE)=AE417,1,0)</f>
        <v>#N/A</v>
      </c>
      <c r="DR417" s="138" t="e">
        <f>IF(VLOOKUP(CONCATENATE(H417,F417,DR$2),Inglés!$A:$H,7,FALSE)=AF417,1,0)</f>
        <v>#N/A</v>
      </c>
      <c r="DS417" s="138" t="e">
        <f>IF(VLOOKUP(CONCATENATE(H417,F417,DS$2),Inglés!$A:$H,7,FALSE)=AG417,1,0)</f>
        <v>#N/A</v>
      </c>
      <c r="DT417" s="138" t="e">
        <f>IF(VLOOKUP(CONCATENATE(H417,F417,DT$2),Inglés!$A:$H,7,FALSE)=AH417,1,0)</f>
        <v>#N/A</v>
      </c>
      <c r="DU417" s="138" t="e">
        <f>IF(VLOOKUP(CONCATENATE(H417,F417,DU$2),Inglés!$A:$H,7,FALSE)=AI417,1,0)</f>
        <v>#N/A</v>
      </c>
      <c r="DV417" s="138" t="e">
        <f>IF(VLOOKUP(CONCATENATE(H417,F417,DV$2),Inglés!$A:$H,7,FALSE)=AJ417,1,0)</f>
        <v>#N/A</v>
      </c>
      <c r="DW417" s="138" t="e">
        <f>IF(VLOOKUP(CONCATENATE(H417,F417,DW$2),Inglés!$A:$H,7,FALSE)=AK417,1,0)</f>
        <v>#N/A</v>
      </c>
      <c r="DX417" s="138" t="e">
        <f>IF(VLOOKUP(CONCATENATE(H417,F417,DX$2),Inglés!$A:$H,7,FALSE)=AL417,1,0)</f>
        <v>#N/A</v>
      </c>
      <c r="DY417" s="138" t="e">
        <f>IF(VLOOKUP(CONCATENATE(H417,F417,DY$2),Inglés!$A:$H,7,FALSE)=AM417,1,0)</f>
        <v>#N/A</v>
      </c>
      <c r="DZ417" s="138" t="e">
        <f>IF(VLOOKUP(CONCATENATE(H417,F417,DZ$2),Inglés!$A:$H,7,FALSE)=AN417,1,0)</f>
        <v>#N/A</v>
      </c>
      <c r="EA417" s="138" t="e">
        <f>IF(VLOOKUP(CONCATENATE(H417,F417,EA$2),Inglés!$A:$H,7,FALSE)=AO417,1,0)</f>
        <v>#N/A</v>
      </c>
      <c r="EB417" s="138" t="e">
        <f>IF(VLOOKUP(CONCATENATE(H417,F417,EB$2),Matemáticas!$A:$H,7,FALSE)=AP417,1,0)</f>
        <v>#N/A</v>
      </c>
      <c r="EC417" s="138" t="e">
        <f>IF(VLOOKUP(CONCATENATE(H417,F417,EC$2),Matemáticas!$A:$H,7,FALSE)=AQ417,1,0)</f>
        <v>#N/A</v>
      </c>
      <c r="ED417" s="138" t="e">
        <f>IF(VLOOKUP(CONCATENATE(H417,F417,ED$2),Matemáticas!$A:$H,7,FALSE)=AR417,1,0)</f>
        <v>#N/A</v>
      </c>
      <c r="EE417" s="138" t="e">
        <f>IF(VLOOKUP(CONCATENATE(H417,F417,EE$2),Matemáticas!$A:$H,7,FALSE)=AS417,1,0)</f>
        <v>#N/A</v>
      </c>
      <c r="EF417" s="138" t="e">
        <f>IF(VLOOKUP(CONCATENATE(H417,F417,EF$2),Matemáticas!$A:$H,7,FALSE)=AT417,1,0)</f>
        <v>#N/A</v>
      </c>
      <c r="EG417" s="138" t="e">
        <f>IF(VLOOKUP(CONCATENATE(H417,F417,EG$2),Matemáticas!$A:$H,7,FALSE)=AU417,1,0)</f>
        <v>#N/A</v>
      </c>
      <c r="EH417" s="138" t="e">
        <f>IF(VLOOKUP(CONCATENATE(H417,F417,EH$2),Matemáticas!$A:$H,7,FALSE)=AV417,1,0)</f>
        <v>#N/A</v>
      </c>
      <c r="EI417" s="138" t="e">
        <f>IF(VLOOKUP(CONCATENATE(H417,F417,EI$2),Matemáticas!$A:$H,7,FALSE)=AW417,1,0)</f>
        <v>#N/A</v>
      </c>
      <c r="EJ417" s="138" t="e">
        <f>IF(VLOOKUP(CONCATENATE(H417,F417,EJ$2),Matemáticas!$A:$H,7,FALSE)=AX417,1,0)</f>
        <v>#N/A</v>
      </c>
      <c r="EK417" s="138" t="e">
        <f>IF(VLOOKUP(CONCATENATE(H417,F417,EK$2),Matemáticas!$A:$H,7,FALSE)=AY417,1,0)</f>
        <v>#N/A</v>
      </c>
      <c r="EL417" s="138" t="e">
        <f>IF(VLOOKUP(CONCATENATE(H417,F417,EL$2),Matemáticas!$A:$H,7,FALSE)=AZ417,1,0)</f>
        <v>#N/A</v>
      </c>
      <c r="EM417" s="138" t="e">
        <f>IF(VLOOKUP(CONCATENATE(H417,F417,EM$2),Matemáticas!$A:$H,7,FALSE)=BA417,1,0)</f>
        <v>#N/A</v>
      </c>
      <c r="EN417" s="138" t="e">
        <f>IF(VLOOKUP(CONCATENATE(H417,F417,EN$2),Matemáticas!$A:$H,7,FALSE)=BB417,1,0)</f>
        <v>#N/A</v>
      </c>
      <c r="EO417" s="138" t="e">
        <f>IF(VLOOKUP(CONCATENATE(H417,F417,EO$2),Matemáticas!$A:$H,7,FALSE)=BC417,1,0)</f>
        <v>#N/A</v>
      </c>
      <c r="EP417" s="138" t="e">
        <f>IF(VLOOKUP(CONCATENATE(H417,F417,EP$2),Matemáticas!$A:$H,7,FALSE)=BD417,1,0)</f>
        <v>#N/A</v>
      </c>
      <c r="EQ417" s="138" t="e">
        <f>IF(VLOOKUP(CONCATENATE(H417,F417,EQ$2),Matemáticas!$A:$H,7,FALSE)=BE417,1,0)</f>
        <v>#N/A</v>
      </c>
      <c r="ER417" s="138" t="e">
        <f>IF(VLOOKUP(CONCATENATE(H417,F417,ER$2),Matemáticas!$A:$H,7,FALSE)=BF417,1,0)</f>
        <v>#N/A</v>
      </c>
      <c r="ES417" s="138" t="e">
        <f>IF(VLOOKUP(CONCATENATE(H417,F417,ES$2),Matemáticas!$A:$H,7,FALSE)=BG417,1,0)</f>
        <v>#N/A</v>
      </c>
      <c r="ET417" s="138" t="e">
        <f>IF(VLOOKUP(CONCATENATE(H417,F417,ET$2),Matemáticas!$A:$H,7,FALSE)=BH417,1,0)</f>
        <v>#N/A</v>
      </c>
      <c r="EU417" s="138" t="e">
        <f>IF(VLOOKUP(CONCATENATE(H417,F417,EU$2),Matemáticas!$A:$H,7,FALSE)=BI417,1,0)</f>
        <v>#N/A</v>
      </c>
      <c r="EV417" s="138" t="e">
        <f>IF(VLOOKUP(CONCATENATE(H417,F417,EV$2),Ciencias!$A:$H,7,FALSE)=BJ417,1,0)</f>
        <v>#N/A</v>
      </c>
      <c r="EW417" s="138" t="e">
        <f>IF(VLOOKUP(CONCATENATE(H417,F417,EW$2),Ciencias!$A:$H,7,FALSE)=BK417,1,0)</f>
        <v>#N/A</v>
      </c>
      <c r="EX417" s="138" t="e">
        <f>IF(VLOOKUP(CONCATENATE(H417,F417,EX$2),Ciencias!$A:$H,7,FALSE)=BL417,1,0)</f>
        <v>#N/A</v>
      </c>
      <c r="EY417" s="138" t="e">
        <f>IF(VLOOKUP(CONCATENATE(H417,F417,EY$2),Ciencias!$A:$H,7,FALSE)=BM417,1,0)</f>
        <v>#N/A</v>
      </c>
      <c r="EZ417" s="138" t="e">
        <f>IF(VLOOKUP(CONCATENATE(H417,F417,EZ$2),Ciencias!$A:$H,7,FALSE)=BN417,1,0)</f>
        <v>#N/A</v>
      </c>
      <c r="FA417" s="138" t="e">
        <f>IF(VLOOKUP(CONCATENATE(H417,F417,FA$2),Ciencias!$A:$H,7,FALSE)=BO417,1,0)</f>
        <v>#N/A</v>
      </c>
      <c r="FB417" s="138" t="e">
        <f>IF(VLOOKUP(CONCATENATE(H417,F417,FB$2),Ciencias!$A:$H,7,FALSE)=BP417,1,0)</f>
        <v>#N/A</v>
      </c>
      <c r="FC417" s="138" t="e">
        <f>IF(VLOOKUP(CONCATENATE(H417,F417,FC$2),Ciencias!$A:$H,7,FALSE)=BQ417,1,0)</f>
        <v>#N/A</v>
      </c>
      <c r="FD417" s="138" t="e">
        <f>IF(VLOOKUP(CONCATENATE(H417,F417,FD$2),Ciencias!$A:$H,7,FALSE)=BR417,1,0)</f>
        <v>#N/A</v>
      </c>
      <c r="FE417" s="138" t="e">
        <f>IF(VLOOKUP(CONCATENATE(H417,F417,FE$2),Ciencias!$A:$H,7,FALSE)=BS417,1,0)</f>
        <v>#N/A</v>
      </c>
      <c r="FF417" s="138" t="e">
        <f>IF(VLOOKUP(CONCATENATE(H417,F417,FF$2),Ciencias!$A:$H,7,FALSE)=BT417,1,0)</f>
        <v>#N/A</v>
      </c>
      <c r="FG417" s="138" t="e">
        <f>IF(VLOOKUP(CONCATENATE(H417,F417,FG$2),Ciencias!$A:$H,7,FALSE)=BU417,1,0)</f>
        <v>#N/A</v>
      </c>
      <c r="FH417" s="138" t="e">
        <f>IF(VLOOKUP(CONCATENATE(H417,F417,FH$2),Ciencias!$A:$H,7,FALSE)=BV417,1,0)</f>
        <v>#N/A</v>
      </c>
      <c r="FI417" s="138" t="e">
        <f>IF(VLOOKUP(CONCATENATE(H417,F417,FI$2),Ciencias!$A:$H,7,FALSE)=BW417,1,0)</f>
        <v>#N/A</v>
      </c>
      <c r="FJ417" s="138" t="e">
        <f>IF(VLOOKUP(CONCATENATE(H417,F417,FJ$2),Ciencias!$A:$H,7,FALSE)=BX417,1,0)</f>
        <v>#N/A</v>
      </c>
      <c r="FK417" s="138" t="e">
        <f>IF(VLOOKUP(CONCATENATE(H417,F417,FK$2),Ciencias!$A:$H,7,FALSE)=BY417,1,0)</f>
        <v>#N/A</v>
      </c>
      <c r="FL417" s="138" t="e">
        <f>IF(VLOOKUP(CONCATENATE(H417,F417,FL$2),Ciencias!$A:$H,7,FALSE)=BZ417,1,0)</f>
        <v>#N/A</v>
      </c>
      <c r="FM417" s="138" t="e">
        <f>IF(VLOOKUP(CONCATENATE(H417,F417,FM$2),Ciencias!$A:$H,7,FALSE)=CA417,1,0)</f>
        <v>#N/A</v>
      </c>
      <c r="FN417" s="138" t="e">
        <f>IF(VLOOKUP(CONCATENATE(H417,F417,FN$2),Ciencias!$A:$H,7,FALSE)=CB417,1,0)</f>
        <v>#N/A</v>
      </c>
      <c r="FO417" s="138" t="e">
        <f>IF(VLOOKUP(CONCATENATE(H417,F417,FO$2),Ciencias!$A:$H,7,FALSE)=CC417,1,0)</f>
        <v>#N/A</v>
      </c>
      <c r="FP417" s="138" t="e">
        <f>IF(VLOOKUP(CONCATENATE(H417,F417,FP$2),GeoHis!$A:$H,7,FALSE)=CD417,1,0)</f>
        <v>#N/A</v>
      </c>
      <c r="FQ417" s="138" t="e">
        <f>IF(VLOOKUP(CONCATENATE(H417,F417,FQ$2),GeoHis!$A:$H,7,FALSE)=CE417,1,0)</f>
        <v>#N/A</v>
      </c>
      <c r="FR417" s="138" t="e">
        <f>IF(VLOOKUP(CONCATENATE(H417,F417,FR$2),GeoHis!$A:$H,7,FALSE)=CF417,1,0)</f>
        <v>#N/A</v>
      </c>
      <c r="FS417" s="138" t="e">
        <f>IF(VLOOKUP(CONCATENATE(H417,F417,FS$2),GeoHis!$A:$H,7,FALSE)=CG417,1,0)</f>
        <v>#N/A</v>
      </c>
      <c r="FT417" s="138" t="e">
        <f>IF(VLOOKUP(CONCATENATE(H417,F417,FT$2),GeoHis!$A:$H,7,FALSE)=CH417,1,0)</f>
        <v>#N/A</v>
      </c>
      <c r="FU417" s="138" t="e">
        <f>IF(VLOOKUP(CONCATENATE(H417,F417,FU$2),GeoHis!$A:$H,7,FALSE)=CI417,1,0)</f>
        <v>#N/A</v>
      </c>
      <c r="FV417" s="138" t="e">
        <f>IF(VLOOKUP(CONCATENATE(H417,F417,FV$2),GeoHis!$A:$H,7,FALSE)=CJ417,1,0)</f>
        <v>#N/A</v>
      </c>
      <c r="FW417" s="138" t="e">
        <f>IF(VLOOKUP(CONCATENATE(H417,F417,FW$2),GeoHis!$A:$H,7,FALSE)=CK417,1,0)</f>
        <v>#N/A</v>
      </c>
      <c r="FX417" s="138" t="e">
        <f>IF(VLOOKUP(CONCATENATE(H417,F417,FX$2),GeoHis!$A:$H,7,FALSE)=CL417,1,0)</f>
        <v>#N/A</v>
      </c>
      <c r="FY417" s="138" t="e">
        <f>IF(VLOOKUP(CONCATENATE(H417,F417,FY$2),GeoHis!$A:$H,7,FALSE)=CM417,1,0)</f>
        <v>#N/A</v>
      </c>
      <c r="FZ417" s="138" t="e">
        <f>IF(VLOOKUP(CONCATENATE(H417,F417,FZ$2),GeoHis!$A:$H,7,FALSE)=CN417,1,0)</f>
        <v>#N/A</v>
      </c>
      <c r="GA417" s="138" t="e">
        <f>IF(VLOOKUP(CONCATENATE(H417,F417,GA$2),GeoHis!$A:$H,7,FALSE)=CO417,1,0)</f>
        <v>#N/A</v>
      </c>
      <c r="GB417" s="138" t="e">
        <f>IF(VLOOKUP(CONCATENATE(H417,F417,GB$2),GeoHis!$A:$H,7,FALSE)=CP417,1,0)</f>
        <v>#N/A</v>
      </c>
      <c r="GC417" s="138" t="e">
        <f>IF(VLOOKUP(CONCATENATE(H417,F417,GC$2),GeoHis!$A:$H,7,FALSE)=CQ417,1,0)</f>
        <v>#N/A</v>
      </c>
      <c r="GD417" s="138" t="e">
        <f>IF(VLOOKUP(CONCATENATE(H417,F417,GD$2),GeoHis!$A:$H,7,FALSE)=CR417,1,0)</f>
        <v>#N/A</v>
      </c>
      <c r="GE417" s="135" t="str">
        <f t="shared" si="55"/>
        <v/>
      </c>
    </row>
    <row r="418" spans="1:187" x14ac:dyDescent="0.25">
      <c r="A418" s="127" t="str">
        <f>IF(C418="","",'Datos Generales'!$A$25)</f>
        <v/>
      </c>
      <c r="D418" s="126" t="str">
        <f t="shared" si="48"/>
        <v/>
      </c>
      <c r="E418" s="126">
        <f t="shared" si="49"/>
        <v>0</v>
      </c>
      <c r="F418" s="126" t="str">
        <f t="shared" si="50"/>
        <v/>
      </c>
      <c r="G418" s="126" t="str">
        <f>IF(C418="","",'Datos Generales'!$D$19)</f>
        <v/>
      </c>
      <c r="H418" s="21" t="str">
        <f>IF(C418="","",'Datos Generales'!$A$19)</f>
        <v/>
      </c>
      <c r="I418" s="126" t="str">
        <f>IF(C418="","",'Datos Generales'!$A$7)</f>
        <v/>
      </c>
      <c r="J418" s="21" t="str">
        <f>IF(C418="","",'Datos Generales'!$A$13)</f>
        <v/>
      </c>
      <c r="K418" s="21" t="str">
        <f>IF(C418="","",'Datos Generales'!$A$10)</f>
        <v/>
      </c>
      <c r="CS418" s="142" t="str">
        <f t="shared" si="51"/>
        <v/>
      </c>
      <c r="CT418" s="142" t="str">
        <f t="shared" si="52"/>
        <v/>
      </c>
      <c r="CU418" s="142" t="str">
        <f t="shared" si="53"/>
        <v/>
      </c>
      <c r="CV418" s="142" t="str">
        <f t="shared" si="54"/>
        <v/>
      </c>
      <c r="CW418" s="142" t="str">
        <f>IF(C418="","",IF('Datos Generales'!$A$19=1,AVERAGE(FP418:GD418),AVERAGE(Captura!FP418:FY418)))</f>
        <v/>
      </c>
      <c r="CX418" s="138" t="e">
        <f>IF(VLOOKUP(CONCATENATE($H$4,$F$4,CX$2),Español!$A:$H,7,FALSE)=L418,1,0)</f>
        <v>#N/A</v>
      </c>
      <c r="CY418" s="138" t="e">
        <f>IF(VLOOKUP(CONCATENATE(H418,F418,CY$2),Español!$A:$H,7,FALSE)=M418,1,0)</f>
        <v>#N/A</v>
      </c>
      <c r="CZ418" s="138" t="e">
        <f>IF(VLOOKUP(CONCATENATE(H418,F418,CZ$2),Español!$A:$H,7,FALSE)=N418,1,0)</f>
        <v>#N/A</v>
      </c>
      <c r="DA418" s="138" t="e">
        <f>IF(VLOOKUP(CONCATENATE(H418,F418,DA$2),Español!$A:$H,7,FALSE)=O418,1,0)</f>
        <v>#N/A</v>
      </c>
      <c r="DB418" s="138" t="e">
        <f>IF(VLOOKUP(CONCATENATE(H418,F418,DB$2),Español!$A:$H,7,FALSE)=P418,1,0)</f>
        <v>#N/A</v>
      </c>
      <c r="DC418" s="138" t="e">
        <f>IF(VLOOKUP(CONCATENATE(H418,F418,DC$2),Español!$A:$H,7,FALSE)=Q418,1,0)</f>
        <v>#N/A</v>
      </c>
      <c r="DD418" s="138" t="e">
        <f>IF(VLOOKUP(CONCATENATE(H418,F418,DD$2),Español!$A:$H,7,FALSE)=R418,1,0)</f>
        <v>#N/A</v>
      </c>
      <c r="DE418" s="138" t="e">
        <f>IF(VLOOKUP(CONCATENATE(H418,F418,DE$2),Español!$A:$H,7,FALSE)=S418,1,0)</f>
        <v>#N/A</v>
      </c>
      <c r="DF418" s="138" t="e">
        <f>IF(VLOOKUP(CONCATENATE(H418,F418,DF$2),Español!$A:$H,7,FALSE)=T418,1,0)</f>
        <v>#N/A</v>
      </c>
      <c r="DG418" s="138" t="e">
        <f>IF(VLOOKUP(CONCATENATE(H418,F418,DG$2),Español!$A:$H,7,FALSE)=U418,1,0)</f>
        <v>#N/A</v>
      </c>
      <c r="DH418" s="138" t="e">
        <f>IF(VLOOKUP(CONCATENATE(H418,F418,DH$2),Español!$A:$H,7,FALSE)=V418,1,0)</f>
        <v>#N/A</v>
      </c>
      <c r="DI418" s="138" t="e">
        <f>IF(VLOOKUP(CONCATENATE(H418,F418,DI$2),Español!$A:$H,7,FALSE)=W418,1,0)</f>
        <v>#N/A</v>
      </c>
      <c r="DJ418" s="138" t="e">
        <f>IF(VLOOKUP(CONCATENATE(H418,F418,DJ$2),Español!$A:$H,7,FALSE)=X418,1,0)</f>
        <v>#N/A</v>
      </c>
      <c r="DK418" s="138" t="e">
        <f>IF(VLOOKUP(CONCATENATE(H418,F418,DK$2),Español!$A:$H,7,FALSE)=Y418,1,0)</f>
        <v>#N/A</v>
      </c>
      <c r="DL418" s="138" t="e">
        <f>IF(VLOOKUP(CONCATENATE(H418,F418,DL$2),Español!$A:$H,7,FALSE)=Z418,1,0)</f>
        <v>#N/A</v>
      </c>
      <c r="DM418" s="138" t="e">
        <f>IF(VLOOKUP(CONCATENATE(H418,F418,DM$2),Español!$A:$H,7,FALSE)=AA418,1,0)</f>
        <v>#N/A</v>
      </c>
      <c r="DN418" s="138" t="e">
        <f>IF(VLOOKUP(CONCATENATE(H418,F418,DN$2),Español!$A:$H,7,FALSE)=AB418,1,0)</f>
        <v>#N/A</v>
      </c>
      <c r="DO418" s="138" t="e">
        <f>IF(VLOOKUP(CONCATENATE(H418,F418,DO$2),Español!$A:$H,7,FALSE)=AC418,1,0)</f>
        <v>#N/A</v>
      </c>
      <c r="DP418" s="138" t="e">
        <f>IF(VLOOKUP(CONCATENATE(H418,F418,DP$2),Español!$A:$H,7,FALSE)=AD418,1,0)</f>
        <v>#N/A</v>
      </c>
      <c r="DQ418" s="138" t="e">
        <f>IF(VLOOKUP(CONCATENATE(H418,F418,DQ$2),Español!$A:$H,7,FALSE)=AE418,1,0)</f>
        <v>#N/A</v>
      </c>
      <c r="DR418" s="138" t="e">
        <f>IF(VLOOKUP(CONCATENATE(H418,F418,DR$2),Inglés!$A:$H,7,FALSE)=AF418,1,0)</f>
        <v>#N/A</v>
      </c>
      <c r="DS418" s="138" t="e">
        <f>IF(VLOOKUP(CONCATENATE(H418,F418,DS$2),Inglés!$A:$H,7,FALSE)=AG418,1,0)</f>
        <v>#N/A</v>
      </c>
      <c r="DT418" s="138" t="e">
        <f>IF(VLOOKUP(CONCATENATE(H418,F418,DT$2),Inglés!$A:$H,7,FALSE)=AH418,1,0)</f>
        <v>#N/A</v>
      </c>
      <c r="DU418" s="138" t="e">
        <f>IF(VLOOKUP(CONCATENATE(H418,F418,DU$2),Inglés!$A:$H,7,FALSE)=AI418,1,0)</f>
        <v>#N/A</v>
      </c>
      <c r="DV418" s="138" t="e">
        <f>IF(VLOOKUP(CONCATENATE(H418,F418,DV$2),Inglés!$A:$H,7,FALSE)=AJ418,1,0)</f>
        <v>#N/A</v>
      </c>
      <c r="DW418" s="138" t="e">
        <f>IF(VLOOKUP(CONCATENATE(H418,F418,DW$2),Inglés!$A:$H,7,FALSE)=AK418,1,0)</f>
        <v>#N/A</v>
      </c>
      <c r="DX418" s="138" t="e">
        <f>IF(VLOOKUP(CONCATENATE(H418,F418,DX$2),Inglés!$A:$H,7,FALSE)=AL418,1,0)</f>
        <v>#N/A</v>
      </c>
      <c r="DY418" s="138" t="e">
        <f>IF(VLOOKUP(CONCATENATE(H418,F418,DY$2),Inglés!$A:$H,7,FALSE)=AM418,1,0)</f>
        <v>#N/A</v>
      </c>
      <c r="DZ418" s="138" t="e">
        <f>IF(VLOOKUP(CONCATENATE(H418,F418,DZ$2),Inglés!$A:$H,7,FALSE)=AN418,1,0)</f>
        <v>#N/A</v>
      </c>
      <c r="EA418" s="138" t="e">
        <f>IF(VLOOKUP(CONCATENATE(H418,F418,EA$2),Inglés!$A:$H,7,FALSE)=AO418,1,0)</f>
        <v>#N/A</v>
      </c>
      <c r="EB418" s="138" t="e">
        <f>IF(VLOOKUP(CONCATENATE(H418,F418,EB$2),Matemáticas!$A:$H,7,FALSE)=AP418,1,0)</f>
        <v>#N/A</v>
      </c>
      <c r="EC418" s="138" t="e">
        <f>IF(VLOOKUP(CONCATENATE(H418,F418,EC$2),Matemáticas!$A:$H,7,FALSE)=AQ418,1,0)</f>
        <v>#N/A</v>
      </c>
      <c r="ED418" s="138" t="e">
        <f>IF(VLOOKUP(CONCATENATE(H418,F418,ED$2),Matemáticas!$A:$H,7,FALSE)=AR418,1,0)</f>
        <v>#N/A</v>
      </c>
      <c r="EE418" s="138" t="e">
        <f>IF(VLOOKUP(CONCATENATE(H418,F418,EE$2),Matemáticas!$A:$H,7,FALSE)=AS418,1,0)</f>
        <v>#N/A</v>
      </c>
      <c r="EF418" s="138" t="e">
        <f>IF(VLOOKUP(CONCATENATE(H418,F418,EF$2),Matemáticas!$A:$H,7,FALSE)=AT418,1,0)</f>
        <v>#N/A</v>
      </c>
      <c r="EG418" s="138" t="e">
        <f>IF(VLOOKUP(CONCATENATE(H418,F418,EG$2),Matemáticas!$A:$H,7,FALSE)=AU418,1,0)</f>
        <v>#N/A</v>
      </c>
      <c r="EH418" s="138" t="e">
        <f>IF(VLOOKUP(CONCATENATE(H418,F418,EH$2),Matemáticas!$A:$H,7,FALSE)=AV418,1,0)</f>
        <v>#N/A</v>
      </c>
      <c r="EI418" s="138" t="e">
        <f>IF(VLOOKUP(CONCATENATE(H418,F418,EI$2),Matemáticas!$A:$H,7,FALSE)=AW418,1,0)</f>
        <v>#N/A</v>
      </c>
      <c r="EJ418" s="138" t="e">
        <f>IF(VLOOKUP(CONCATENATE(H418,F418,EJ$2),Matemáticas!$A:$H,7,FALSE)=AX418,1,0)</f>
        <v>#N/A</v>
      </c>
      <c r="EK418" s="138" t="e">
        <f>IF(VLOOKUP(CONCATENATE(H418,F418,EK$2),Matemáticas!$A:$H,7,FALSE)=AY418,1,0)</f>
        <v>#N/A</v>
      </c>
      <c r="EL418" s="138" t="e">
        <f>IF(VLOOKUP(CONCATENATE(H418,F418,EL$2),Matemáticas!$A:$H,7,FALSE)=AZ418,1,0)</f>
        <v>#N/A</v>
      </c>
      <c r="EM418" s="138" t="e">
        <f>IF(VLOOKUP(CONCATENATE(H418,F418,EM$2),Matemáticas!$A:$H,7,FALSE)=BA418,1,0)</f>
        <v>#N/A</v>
      </c>
      <c r="EN418" s="138" t="e">
        <f>IF(VLOOKUP(CONCATENATE(H418,F418,EN$2),Matemáticas!$A:$H,7,FALSE)=BB418,1,0)</f>
        <v>#N/A</v>
      </c>
      <c r="EO418" s="138" t="e">
        <f>IF(VLOOKUP(CONCATENATE(H418,F418,EO$2),Matemáticas!$A:$H,7,FALSE)=BC418,1,0)</f>
        <v>#N/A</v>
      </c>
      <c r="EP418" s="138" t="e">
        <f>IF(VLOOKUP(CONCATENATE(H418,F418,EP$2),Matemáticas!$A:$H,7,FALSE)=BD418,1,0)</f>
        <v>#N/A</v>
      </c>
      <c r="EQ418" s="138" t="e">
        <f>IF(VLOOKUP(CONCATENATE(H418,F418,EQ$2),Matemáticas!$A:$H,7,FALSE)=BE418,1,0)</f>
        <v>#N/A</v>
      </c>
      <c r="ER418" s="138" t="e">
        <f>IF(VLOOKUP(CONCATENATE(H418,F418,ER$2),Matemáticas!$A:$H,7,FALSE)=BF418,1,0)</f>
        <v>#N/A</v>
      </c>
      <c r="ES418" s="138" t="e">
        <f>IF(VLOOKUP(CONCATENATE(H418,F418,ES$2),Matemáticas!$A:$H,7,FALSE)=BG418,1,0)</f>
        <v>#N/A</v>
      </c>
      <c r="ET418" s="138" t="e">
        <f>IF(VLOOKUP(CONCATENATE(H418,F418,ET$2),Matemáticas!$A:$H,7,FALSE)=BH418,1,0)</f>
        <v>#N/A</v>
      </c>
      <c r="EU418" s="138" t="e">
        <f>IF(VLOOKUP(CONCATENATE(H418,F418,EU$2),Matemáticas!$A:$H,7,FALSE)=BI418,1,0)</f>
        <v>#N/A</v>
      </c>
      <c r="EV418" s="138" t="e">
        <f>IF(VLOOKUP(CONCATENATE(H418,F418,EV$2),Ciencias!$A:$H,7,FALSE)=BJ418,1,0)</f>
        <v>#N/A</v>
      </c>
      <c r="EW418" s="138" t="e">
        <f>IF(VLOOKUP(CONCATENATE(H418,F418,EW$2),Ciencias!$A:$H,7,FALSE)=BK418,1,0)</f>
        <v>#N/A</v>
      </c>
      <c r="EX418" s="138" t="e">
        <f>IF(VLOOKUP(CONCATENATE(H418,F418,EX$2),Ciencias!$A:$H,7,FALSE)=BL418,1,0)</f>
        <v>#N/A</v>
      </c>
      <c r="EY418" s="138" t="e">
        <f>IF(VLOOKUP(CONCATENATE(H418,F418,EY$2),Ciencias!$A:$H,7,FALSE)=BM418,1,0)</f>
        <v>#N/A</v>
      </c>
      <c r="EZ418" s="138" t="e">
        <f>IF(VLOOKUP(CONCATENATE(H418,F418,EZ$2),Ciencias!$A:$H,7,FALSE)=BN418,1,0)</f>
        <v>#N/A</v>
      </c>
      <c r="FA418" s="138" t="e">
        <f>IF(VLOOKUP(CONCATENATE(H418,F418,FA$2),Ciencias!$A:$H,7,FALSE)=BO418,1,0)</f>
        <v>#N/A</v>
      </c>
      <c r="FB418" s="138" t="e">
        <f>IF(VLOOKUP(CONCATENATE(H418,F418,FB$2),Ciencias!$A:$H,7,FALSE)=BP418,1,0)</f>
        <v>#N/A</v>
      </c>
      <c r="FC418" s="138" t="e">
        <f>IF(VLOOKUP(CONCATENATE(H418,F418,FC$2),Ciencias!$A:$H,7,FALSE)=BQ418,1,0)</f>
        <v>#N/A</v>
      </c>
      <c r="FD418" s="138" t="e">
        <f>IF(VLOOKUP(CONCATENATE(H418,F418,FD$2),Ciencias!$A:$H,7,FALSE)=BR418,1,0)</f>
        <v>#N/A</v>
      </c>
      <c r="FE418" s="138" t="e">
        <f>IF(VLOOKUP(CONCATENATE(H418,F418,FE$2),Ciencias!$A:$H,7,FALSE)=BS418,1,0)</f>
        <v>#N/A</v>
      </c>
      <c r="FF418" s="138" t="e">
        <f>IF(VLOOKUP(CONCATENATE(H418,F418,FF$2),Ciencias!$A:$H,7,FALSE)=BT418,1,0)</f>
        <v>#N/A</v>
      </c>
      <c r="FG418" s="138" t="e">
        <f>IF(VLOOKUP(CONCATENATE(H418,F418,FG$2),Ciencias!$A:$H,7,FALSE)=BU418,1,0)</f>
        <v>#N/A</v>
      </c>
      <c r="FH418" s="138" t="e">
        <f>IF(VLOOKUP(CONCATENATE(H418,F418,FH$2),Ciencias!$A:$H,7,FALSE)=BV418,1,0)</f>
        <v>#N/A</v>
      </c>
      <c r="FI418" s="138" t="e">
        <f>IF(VLOOKUP(CONCATENATE(H418,F418,FI$2),Ciencias!$A:$H,7,FALSE)=BW418,1,0)</f>
        <v>#N/A</v>
      </c>
      <c r="FJ418" s="138" t="e">
        <f>IF(VLOOKUP(CONCATENATE(H418,F418,FJ$2),Ciencias!$A:$H,7,FALSE)=BX418,1,0)</f>
        <v>#N/A</v>
      </c>
      <c r="FK418" s="138" t="e">
        <f>IF(VLOOKUP(CONCATENATE(H418,F418,FK$2),Ciencias!$A:$H,7,FALSE)=BY418,1,0)</f>
        <v>#N/A</v>
      </c>
      <c r="FL418" s="138" t="e">
        <f>IF(VLOOKUP(CONCATENATE(H418,F418,FL$2),Ciencias!$A:$H,7,FALSE)=BZ418,1,0)</f>
        <v>#N/A</v>
      </c>
      <c r="FM418" s="138" t="e">
        <f>IF(VLOOKUP(CONCATENATE(H418,F418,FM$2),Ciencias!$A:$H,7,FALSE)=CA418,1,0)</f>
        <v>#N/A</v>
      </c>
      <c r="FN418" s="138" t="e">
        <f>IF(VLOOKUP(CONCATENATE(H418,F418,FN$2),Ciencias!$A:$H,7,FALSE)=CB418,1,0)</f>
        <v>#N/A</v>
      </c>
      <c r="FO418" s="138" t="e">
        <f>IF(VLOOKUP(CONCATENATE(H418,F418,FO$2),Ciencias!$A:$H,7,FALSE)=CC418,1,0)</f>
        <v>#N/A</v>
      </c>
      <c r="FP418" s="138" t="e">
        <f>IF(VLOOKUP(CONCATENATE(H418,F418,FP$2),GeoHis!$A:$H,7,FALSE)=CD418,1,0)</f>
        <v>#N/A</v>
      </c>
      <c r="FQ418" s="138" t="e">
        <f>IF(VLOOKUP(CONCATENATE(H418,F418,FQ$2),GeoHis!$A:$H,7,FALSE)=CE418,1,0)</f>
        <v>#N/A</v>
      </c>
      <c r="FR418" s="138" t="e">
        <f>IF(VLOOKUP(CONCATENATE(H418,F418,FR$2),GeoHis!$A:$H,7,FALSE)=CF418,1,0)</f>
        <v>#N/A</v>
      </c>
      <c r="FS418" s="138" t="e">
        <f>IF(VLOOKUP(CONCATENATE(H418,F418,FS$2),GeoHis!$A:$H,7,FALSE)=CG418,1,0)</f>
        <v>#N/A</v>
      </c>
      <c r="FT418" s="138" t="e">
        <f>IF(VLOOKUP(CONCATENATE(H418,F418,FT$2),GeoHis!$A:$H,7,FALSE)=CH418,1,0)</f>
        <v>#N/A</v>
      </c>
      <c r="FU418" s="138" t="e">
        <f>IF(VLOOKUP(CONCATENATE(H418,F418,FU$2),GeoHis!$A:$H,7,FALSE)=CI418,1,0)</f>
        <v>#N/A</v>
      </c>
      <c r="FV418" s="138" t="e">
        <f>IF(VLOOKUP(CONCATENATE(H418,F418,FV$2),GeoHis!$A:$H,7,FALSE)=CJ418,1,0)</f>
        <v>#N/A</v>
      </c>
      <c r="FW418" s="138" t="e">
        <f>IF(VLOOKUP(CONCATENATE(H418,F418,FW$2),GeoHis!$A:$H,7,FALSE)=CK418,1,0)</f>
        <v>#N/A</v>
      </c>
      <c r="FX418" s="138" t="e">
        <f>IF(VLOOKUP(CONCATENATE(H418,F418,FX$2),GeoHis!$A:$H,7,FALSE)=CL418,1,0)</f>
        <v>#N/A</v>
      </c>
      <c r="FY418" s="138" t="e">
        <f>IF(VLOOKUP(CONCATENATE(H418,F418,FY$2),GeoHis!$A:$H,7,FALSE)=CM418,1,0)</f>
        <v>#N/A</v>
      </c>
      <c r="FZ418" s="138" t="e">
        <f>IF(VLOOKUP(CONCATENATE(H418,F418,FZ$2),GeoHis!$A:$H,7,FALSE)=CN418,1,0)</f>
        <v>#N/A</v>
      </c>
      <c r="GA418" s="138" t="e">
        <f>IF(VLOOKUP(CONCATENATE(H418,F418,GA$2),GeoHis!$A:$H,7,FALSE)=CO418,1,0)</f>
        <v>#N/A</v>
      </c>
      <c r="GB418" s="138" t="e">
        <f>IF(VLOOKUP(CONCATENATE(H418,F418,GB$2),GeoHis!$A:$H,7,FALSE)=CP418,1,0)</f>
        <v>#N/A</v>
      </c>
      <c r="GC418" s="138" t="e">
        <f>IF(VLOOKUP(CONCATENATE(H418,F418,GC$2),GeoHis!$A:$H,7,FALSE)=CQ418,1,0)</f>
        <v>#N/A</v>
      </c>
      <c r="GD418" s="138" t="e">
        <f>IF(VLOOKUP(CONCATENATE(H418,F418,GD$2),GeoHis!$A:$H,7,FALSE)=CR418,1,0)</f>
        <v>#N/A</v>
      </c>
      <c r="GE418" s="135" t="str">
        <f t="shared" si="55"/>
        <v/>
      </c>
    </row>
    <row r="419" spans="1:187" x14ac:dyDescent="0.25">
      <c r="A419" s="127" t="str">
        <f>IF(C419="","",'Datos Generales'!$A$25)</f>
        <v/>
      </c>
      <c r="D419" s="126" t="str">
        <f t="shared" si="48"/>
        <v/>
      </c>
      <c r="E419" s="126">
        <f t="shared" si="49"/>
        <v>0</v>
      </c>
      <c r="F419" s="126" t="str">
        <f t="shared" si="50"/>
        <v/>
      </c>
      <c r="G419" s="126" t="str">
        <f>IF(C419="","",'Datos Generales'!$D$19)</f>
        <v/>
      </c>
      <c r="H419" s="21" t="str">
        <f>IF(C419="","",'Datos Generales'!$A$19)</f>
        <v/>
      </c>
      <c r="I419" s="126" t="str">
        <f>IF(C419="","",'Datos Generales'!$A$7)</f>
        <v/>
      </c>
      <c r="J419" s="21" t="str">
        <f>IF(C419="","",'Datos Generales'!$A$13)</f>
        <v/>
      </c>
      <c r="K419" s="21" t="str">
        <f>IF(C419="","",'Datos Generales'!$A$10)</f>
        <v/>
      </c>
      <c r="CS419" s="142" t="str">
        <f t="shared" si="51"/>
        <v/>
      </c>
      <c r="CT419" s="142" t="str">
        <f t="shared" si="52"/>
        <v/>
      </c>
      <c r="CU419" s="142" t="str">
        <f t="shared" si="53"/>
        <v/>
      </c>
      <c r="CV419" s="142" t="str">
        <f t="shared" si="54"/>
        <v/>
      </c>
      <c r="CW419" s="142" t="str">
        <f>IF(C419="","",IF('Datos Generales'!$A$19=1,AVERAGE(FP419:GD419),AVERAGE(Captura!FP419:FY419)))</f>
        <v/>
      </c>
      <c r="CX419" s="138" t="e">
        <f>IF(VLOOKUP(CONCATENATE($H$4,$F$4,CX$2),Español!$A:$H,7,FALSE)=L419,1,0)</f>
        <v>#N/A</v>
      </c>
      <c r="CY419" s="138" t="e">
        <f>IF(VLOOKUP(CONCATENATE(H419,F419,CY$2),Español!$A:$H,7,FALSE)=M419,1,0)</f>
        <v>#N/A</v>
      </c>
      <c r="CZ419" s="138" t="e">
        <f>IF(VLOOKUP(CONCATENATE(H419,F419,CZ$2),Español!$A:$H,7,FALSE)=N419,1,0)</f>
        <v>#N/A</v>
      </c>
      <c r="DA419" s="138" t="e">
        <f>IF(VLOOKUP(CONCATENATE(H419,F419,DA$2),Español!$A:$H,7,FALSE)=O419,1,0)</f>
        <v>#N/A</v>
      </c>
      <c r="DB419" s="138" t="e">
        <f>IF(VLOOKUP(CONCATENATE(H419,F419,DB$2),Español!$A:$H,7,FALSE)=P419,1,0)</f>
        <v>#N/A</v>
      </c>
      <c r="DC419" s="138" t="e">
        <f>IF(VLOOKUP(CONCATENATE(H419,F419,DC$2),Español!$A:$H,7,FALSE)=Q419,1,0)</f>
        <v>#N/A</v>
      </c>
      <c r="DD419" s="138" t="e">
        <f>IF(VLOOKUP(CONCATENATE(H419,F419,DD$2),Español!$A:$H,7,FALSE)=R419,1,0)</f>
        <v>#N/A</v>
      </c>
      <c r="DE419" s="138" t="e">
        <f>IF(VLOOKUP(CONCATENATE(H419,F419,DE$2),Español!$A:$H,7,FALSE)=S419,1,0)</f>
        <v>#N/A</v>
      </c>
      <c r="DF419" s="138" t="e">
        <f>IF(VLOOKUP(CONCATENATE(H419,F419,DF$2),Español!$A:$H,7,FALSE)=T419,1,0)</f>
        <v>#N/A</v>
      </c>
      <c r="DG419" s="138" t="e">
        <f>IF(VLOOKUP(CONCATENATE(H419,F419,DG$2),Español!$A:$H,7,FALSE)=U419,1,0)</f>
        <v>#N/A</v>
      </c>
      <c r="DH419" s="138" t="e">
        <f>IF(VLOOKUP(CONCATENATE(H419,F419,DH$2),Español!$A:$H,7,FALSE)=V419,1,0)</f>
        <v>#N/A</v>
      </c>
      <c r="DI419" s="138" t="e">
        <f>IF(VLOOKUP(CONCATENATE(H419,F419,DI$2),Español!$A:$H,7,FALSE)=W419,1,0)</f>
        <v>#N/A</v>
      </c>
      <c r="DJ419" s="138" t="e">
        <f>IF(VLOOKUP(CONCATENATE(H419,F419,DJ$2),Español!$A:$H,7,FALSE)=X419,1,0)</f>
        <v>#N/A</v>
      </c>
      <c r="DK419" s="138" t="e">
        <f>IF(VLOOKUP(CONCATENATE(H419,F419,DK$2),Español!$A:$H,7,FALSE)=Y419,1,0)</f>
        <v>#N/A</v>
      </c>
      <c r="DL419" s="138" t="e">
        <f>IF(VLOOKUP(CONCATENATE(H419,F419,DL$2),Español!$A:$H,7,FALSE)=Z419,1,0)</f>
        <v>#N/A</v>
      </c>
      <c r="DM419" s="138" t="e">
        <f>IF(VLOOKUP(CONCATENATE(H419,F419,DM$2),Español!$A:$H,7,FALSE)=AA419,1,0)</f>
        <v>#N/A</v>
      </c>
      <c r="DN419" s="138" t="e">
        <f>IF(VLOOKUP(CONCATENATE(H419,F419,DN$2),Español!$A:$H,7,FALSE)=AB419,1,0)</f>
        <v>#N/A</v>
      </c>
      <c r="DO419" s="138" t="e">
        <f>IF(VLOOKUP(CONCATENATE(H419,F419,DO$2),Español!$A:$H,7,FALSE)=AC419,1,0)</f>
        <v>#N/A</v>
      </c>
      <c r="DP419" s="138" t="e">
        <f>IF(VLOOKUP(CONCATENATE(H419,F419,DP$2),Español!$A:$H,7,FALSE)=AD419,1,0)</f>
        <v>#N/A</v>
      </c>
      <c r="DQ419" s="138" t="e">
        <f>IF(VLOOKUP(CONCATENATE(H419,F419,DQ$2),Español!$A:$H,7,FALSE)=AE419,1,0)</f>
        <v>#N/A</v>
      </c>
      <c r="DR419" s="138" t="e">
        <f>IF(VLOOKUP(CONCATENATE(H419,F419,DR$2),Inglés!$A:$H,7,FALSE)=AF419,1,0)</f>
        <v>#N/A</v>
      </c>
      <c r="DS419" s="138" t="e">
        <f>IF(VLOOKUP(CONCATENATE(H419,F419,DS$2),Inglés!$A:$H,7,FALSE)=AG419,1,0)</f>
        <v>#N/A</v>
      </c>
      <c r="DT419" s="138" t="e">
        <f>IF(VLOOKUP(CONCATENATE(H419,F419,DT$2),Inglés!$A:$H,7,FALSE)=AH419,1,0)</f>
        <v>#N/A</v>
      </c>
      <c r="DU419" s="138" t="e">
        <f>IF(VLOOKUP(CONCATENATE(H419,F419,DU$2),Inglés!$A:$H,7,FALSE)=AI419,1,0)</f>
        <v>#N/A</v>
      </c>
      <c r="DV419" s="138" t="e">
        <f>IF(VLOOKUP(CONCATENATE(H419,F419,DV$2),Inglés!$A:$H,7,FALSE)=AJ419,1,0)</f>
        <v>#N/A</v>
      </c>
      <c r="DW419" s="138" t="e">
        <f>IF(VLOOKUP(CONCATENATE(H419,F419,DW$2),Inglés!$A:$H,7,FALSE)=AK419,1,0)</f>
        <v>#N/A</v>
      </c>
      <c r="DX419" s="138" t="e">
        <f>IF(VLOOKUP(CONCATENATE(H419,F419,DX$2),Inglés!$A:$H,7,FALSE)=AL419,1,0)</f>
        <v>#N/A</v>
      </c>
      <c r="DY419" s="138" t="e">
        <f>IF(VLOOKUP(CONCATENATE(H419,F419,DY$2),Inglés!$A:$H,7,FALSE)=AM419,1,0)</f>
        <v>#N/A</v>
      </c>
      <c r="DZ419" s="138" t="e">
        <f>IF(VLOOKUP(CONCATENATE(H419,F419,DZ$2),Inglés!$A:$H,7,FALSE)=AN419,1,0)</f>
        <v>#N/A</v>
      </c>
      <c r="EA419" s="138" t="e">
        <f>IF(VLOOKUP(CONCATENATE(H419,F419,EA$2),Inglés!$A:$H,7,FALSE)=AO419,1,0)</f>
        <v>#N/A</v>
      </c>
      <c r="EB419" s="138" t="e">
        <f>IF(VLOOKUP(CONCATENATE(H419,F419,EB$2),Matemáticas!$A:$H,7,FALSE)=AP419,1,0)</f>
        <v>#N/A</v>
      </c>
      <c r="EC419" s="138" t="e">
        <f>IF(VLOOKUP(CONCATENATE(H419,F419,EC$2),Matemáticas!$A:$H,7,FALSE)=AQ419,1,0)</f>
        <v>#N/A</v>
      </c>
      <c r="ED419" s="138" t="e">
        <f>IF(VLOOKUP(CONCATENATE(H419,F419,ED$2),Matemáticas!$A:$H,7,FALSE)=AR419,1,0)</f>
        <v>#N/A</v>
      </c>
      <c r="EE419" s="138" t="e">
        <f>IF(VLOOKUP(CONCATENATE(H419,F419,EE$2),Matemáticas!$A:$H,7,FALSE)=AS419,1,0)</f>
        <v>#N/A</v>
      </c>
      <c r="EF419" s="138" t="e">
        <f>IF(VLOOKUP(CONCATENATE(H419,F419,EF$2),Matemáticas!$A:$H,7,FALSE)=AT419,1,0)</f>
        <v>#N/A</v>
      </c>
      <c r="EG419" s="138" t="e">
        <f>IF(VLOOKUP(CONCATENATE(H419,F419,EG$2),Matemáticas!$A:$H,7,FALSE)=AU419,1,0)</f>
        <v>#N/A</v>
      </c>
      <c r="EH419" s="138" t="e">
        <f>IF(VLOOKUP(CONCATENATE(H419,F419,EH$2),Matemáticas!$A:$H,7,FALSE)=AV419,1,0)</f>
        <v>#N/A</v>
      </c>
      <c r="EI419" s="138" t="e">
        <f>IF(VLOOKUP(CONCATENATE(H419,F419,EI$2),Matemáticas!$A:$H,7,FALSE)=AW419,1,0)</f>
        <v>#N/A</v>
      </c>
      <c r="EJ419" s="138" t="e">
        <f>IF(VLOOKUP(CONCATENATE(H419,F419,EJ$2),Matemáticas!$A:$H,7,FALSE)=AX419,1,0)</f>
        <v>#N/A</v>
      </c>
      <c r="EK419" s="138" t="e">
        <f>IF(VLOOKUP(CONCATENATE(H419,F419,EK$2),Matemáticas!$A:$H,7,FALSE)=AY419,1,0)</f>
        <v>#N/A</v>
      </c>
      <c r="EL419" s="138" t="e">
        <f>IF(VLOOKUP(CONCATENATE(H419,F419,EL$2),Matemáticas!$A:$H,7,FALSE)=AZ419,1,0)</f>
        <v>#N/A</v>
      </c>
      <c r="EM419" s="138" t="e">
        <f>IF(VLOOKUP(CONCATENATE(H419,F419,EM$2),Matemáticas!$A:$H,7,FALSE)=BA419,1,0)</f>
        <v>#N/A</v>
      </c>
      <c r="EN419" s="138" t="e">
        <f>IF(VLOOKUP(CONCATENATE(H419,F419,EN$2),Matemáticas!$A:$H,7,FALSE)=BB419,1,0)</f>
        <v>#N/A</v>
      </c>
      <c r="EO419" s="138" t="e">
        <f>IF(VLOOKUP(CONCATENATE(H419,F419,EO$2),Matemáticas!$A:$H,7,FALSE)=BC419,1,0)</f>
        <v>#N/A</v>
      </c>
      <c r="EP419" s="138" t="e">
        <f>IF(VLOOKUP(CONCATENATE(H419,F419,EP$2),Matemáticas!$A:$H,7,FALSE)=BD419,1,0)</f>
        <v>#N/A</v>
      </c>
      <c r="EQ419" s="138" t="e">
        <f>IF(VLOOKUP(CONCATENATE(H419,F419,EQ$2),Matemáticas!$A:$H,7,FALSE)=BE419,1,0)</f>
        <v>#N/A</v>
      </c>
      <c r="ER419" s="138" t="e">
        <f>IF(VLOOKUP(CONCATENATE(H419,F419,ER$2),Matemáticas!$A:$H,7,FALSE)=BF419,1,0)</f>
        <v>#N/A</v>
      </c>
      <c r="ES419" s="138" t="e">
        <f>IF(VLOOKUP(CONCATENATE(H419,F419,ES$2),Matemáticas!$A:$H,7,FALSE)=BG419,1,0)</f>
        <v>#N/A</v>
      </c>
      <c r="ET419" s="138" t="e">
        <f>IF(VLOOKUP(CONCATENATE(H419,F419,ET$2),Matemáticas!$A:$H,7,FALSE)=BH419,1,0)</f>
        <v>#N/A</v>
      </c>
      <c r="EU419" s="138" t="e">
        <f>IF(VLOOKUP(CONCATENATE(H419,F419,EU$2),Matemáticas!$A:$H,7,FALSE)=BI419,1,0)</f>
        <v>#N/A</v>
      </c>
      <c r="EV419" s="138" t="e">
        <f>IF(VLOOKUP(CONCATENATE(H419,F419,EV$2),Ciencias!$A:$H,7,FALSE)=BJ419,1,0)</f>
        <v>#N/A</v>
      </c>
      <c r="EW419" s="138" t="e">
        <f>IF(VLOOKUP(CONCATENATE(H419,F419,EW$2),Ciencias!$A:$H,7,FALSE)=BK419,1,0)</f>
        <v>#N/A</v>
      </c>
      <c r="EX419" s="138" t="e">
        <f>IF(VLOOKUP(CONCATENATE(H419,F419,EX$2),Ciencias!$A:$H,7,FALSE)=BL419,1,0)</f>
        <v>#N/A</v>
      </c>
      <c r="EY419" s="138" t="e">
        <f>IF(VLOOKUP(CONCATENATE(H419,F419,EY$2),Ciencias!$A:$H,7,FALSE)=BM419,1,0)</f>
        <v>#N/A</v>
      </c>
      <c r="EZ419" s="138" t="e">
        <f>IF(VLOOKUP(CONCATENATE(H419,F419,EZ$2),Ciencias!$A:$H,7,FALSE)=BN419,1,0)</f>
        <v>#N/A</v>
      </c>
      <c r="FA419" s="138" t="e">
        <f>IF(VLOOKUP(CONCATENATE(H419,F419,FA$2),Ciencias!$A:$H,7,FALSE)=BO419,1,0)</f>
        <v>#N/A</v>
      </c>
      <c r="FB419" s="138" t="e">
        <f>IF(VLOOKUP(CONCATENATE(H419,F419,FB$2),Ciencias!$A:$H,7,FALSE)=BP419,1,0)</f>
        <v>#N/A</v>
      </c>
      <c r="FC419" s="138" t="e">
        <f>IF(VLOOKUP(CONCATENATE(H419,F419,FC$2),Ciencias!$A:$H,7,FALSE)=BQ419,1,0)</f>
        <v>#N/A</v>
      </c>
      <c r="FD419" s="138" t="e">
        <f>IF(VLOOKUP(CONCATENATE(H419,F419,FD$2),Ciencias!$A:$H,7,FALSE)=BR419,1,0)</f>
        <v>#N/A</v>
      </c>
      <c r="FE419" s="138" t="e">
        <f>IF(VLOOKUP(CONCATENATE(H419,F419,FE$2),Ciencias!$A:$H,7,FALSE)=BS419,1,0)</f>
        <v>#N/A</v>
      </c>
      <c r="FF419" s="138" t="e">
        <f>IF(VLOOKUP(CONCATENATE(H419,F419,FF$2),Ciencias!$A:$H,7,FALSE)=BT419,1,0)</f>
        <v>#N/A</v>
      </c>
      <c r="FG419" s="138" t="e">
        <f>IF(VLOOKUP(CONCATENATE(H419,F419,FG$2),Ciencias!$A:$H,7,FALSE)=BU419,1,0)</f>
        <v>#N/A</v>
      </c>
      <c r="FH419" s="138" t="e">
        <f>IF(VLOOKUP(CONCATENATE(H419,F419,FH$2),Ciencias!$A:$H,7,FALSE)=BV419,1,0)</f>
        <v>#N/A</v>
      </c>
      <c r="FI419" s="138" t="e">
        <f>IF(VLOOKUP(CONCATENATE(H419,F419,FI$2),Ciencias!$A:$H,7,FALSE)=BW419,1,0)</f>
        <v>#N/A</v>
      </c>
      <c r="FJ419" s="138" t="e">
        <f>IF(VLOOKUP(CONCATENATE(H419,F419,FJ$2),Ciencias!$A:$H,7,FALSE)=BX419,1,0)</f>
        <v>#N/A</v>
      </c>
      <c r="FK419" s="138" t="e">
        <f>IF(VLOOKUP(CONCATENATE(H419,F419,FK$2),Ciencias!$A:$H,7,FALSE)=BY419,1,0)</f>
        <v>#N/A</v>
      </c>
      <c r="FL419" s="138" t="e">
        <f>IF(VLOOKUP(CONCATENATE(H419,F419,FL$2),Ciencias!$A:$H,7,FALSE)=BZ419,1,0)</f>
        <v>#N/A</v>
      </c>
      <c r="FM419" s="138" t="e">
        <f>IF(VLOOKUP(CONCATENATE(H419,F419,FM$2),Ciencias!$A:$H,7,FALSE)=CA419,1,0)</f>
        <v>#N/A</v>
      </c>
      <c r="FN419" s="138" t="e">
        <f>IF(VLOOKUP(CONCATENATE(H419,F419,FN$2),Ciencias!$A:$H,7,FALSE)=CB419,1,0)</f>
        <v>#N/A</v>
      </c>
      <c r="FO419" s="138" t="e">
        <f>IF(VLOOKUP(CONCATENATE(H419,F419,FO$2),Ciencias!$A:$H,7,FALSE)=CC419,1,0)</f>
        <v>#N/A</v>
      </c>
      <c r="FP419" s="138" t="e">
        <f>IF(VLOOKUP(CONCATENATE(H419,F419,FP$2),GeoHis!$A:$H,7,FALSE)=CD419,1,0)</f>
        <v>#N/A</v>
      </c>
      <c r="FQ419" s="138" t="e">
        <f>IF(VLOOKUP(CONCATENATE(H419,F419,FQ$2),GeoHis!$A:$H,7,FALSE)=CE419,1,0)</f>
        <v>#N/A</v>
      </c>
      <c r="FR419" s="138" t="e">
        <f>IF(VLOOKUP(CONCATENATE(H419,F419,FR$2),GeoHis!$A:$H,7,FALSE)=CF419,1,0)</f>
        <v>#N/A</v>
      </c>
      <c r="FS419" s="138" t="e">
        <f>IF(VLOOKUP(CONCATENATE(H419,F419,FS$2),GeoHis!$A:$H,7,FALSE)=CG419,1,0)</f>
        <v>#N/A</v>
      </c>
      <c r="FT419" s="138" t="e">
        <f>IF(VLOOKUP(CONCATENATE(H419,F419,FT$2),GeoHis!$A:$H,7,FALSE)=CH419,1,0)</f>
        <v>#N/A</v>
      </c>
      <c r="FU419" s="138" t="e">
        <f>IF(VLOOKUP(CONCATENATE(H419,F419,FU$2),GeoHis!$A:$H,7,FALSE)=CI419,1,0)</f>
        <v>#N/A</v>
      </c>
      <c r="FV419" s="138" t="e">
        <f>IF(VLOOKUP(CONCATENATE(H419,F419,FV$2),GeoHis!$A:$H,7,FALSE)=CJ419,1,0)</f>
        <v>#N/A</v>
      </c>
      <c r="FW419" s="138" t="e">
        <f>IF(VLOOKUP(CONCATENATE(H419,F419,FW$2),GeoHis!$A:$H,7,FALSE)=CK419,1,0)</f>
        <v>#N/A</v>
      </c>
      <c r="FX419" s="138" t="e">
        <f>IF(VLOOKUP(CONCATENATE(H419,F419,FX$2),GeoHis!$A:$H,7,FALSE)=CL419,1,0)</f>
        <v>#N/A</v>
      </c>
      <c r="FY419" s="138" t="e">
        <f>IF(VLOOKUP(CONCATENATE(H419,F419,FY$2),GeoHis!$A:$H,7,FALSE)=CM419,1,0)</f>
        <v>#N/A</v>
      </c>
      <c r="FZ419" s="138" t="e">
        <f>IF(VLOOKUP(CONCATENATE(H419,F419,FZ$2),GeoHis!$A:$H,7,FALSE)=CN419,1,0)</f>
        <v>#N/A</v>
      </c>
      <c r="GA419" s="138" t="e">
        <f>IF(VLOOKUP(CONCATENATE(H419,F419,GA$2),GeoHis!$A:$H,7,FALSE)=CO419,1,0)</f>
        <v>#N/A</v>
      </c>
      <c r="GB419" s="138" t="e">
        <f>IF(VLOOKUP(CONCATENATE(H419,F419,GB$2),GeoHis!$A:$H,7,FALSE)=CP419,1,0)</f>
        <v>#N/A</v>
      </c>
      <c r="GC419" s="138" t="e">
        <f>IF(VLOOKUP(CONCATENATE(H419,F419,GC$2),GeoHis!$A:$H,7,FALSE)=CQ419,1,0)</f>
        <v>#N/A</v>
      </c>
      <c r="GD419" s="138" t="e">
        <f>IF(VLOOKUP(CONCATENATE(H419,F419,GD$2),GeoHis!$A:$H,7,FALSE)=CR419,1,0)</f>
        <v>#N/A</v>
      </c>
      <c r="GE419" s="135" t="str">
        <f t="shared" si="55"/>
        <v/>
      </c>
    </row>
    <row r="420" spans="1:187" x14ac:dyDescent="0.25">
      <c r="A420" s="127" t="str">
        <f>IF(C420="","",'Datos Generales'!$A$25)</f>
        <v/>
      </c>
      <c r="D420" s="126" t="str">
        <f t="shared" si="48"/>
        <v/>
      </c>
      <c r="E420" s="126">
        <f t="shared" si="49"/>
        <v>0</v>
      </c>
      <c r="F420" s="126" t="str">
        <f t="shared" si="50"/>
        <v/>
      </c>
      <c r="G420" s="126" t="str">
        <f>IF(C420="","",'Datos Generales'!$D$19)</f>
        <v/>
      </c>
      <c r="H420" s="21" t="str">
        <f>IF(C420="","",'Datos Generales'!$A$19)</f>
        <v/>
      </c>
      <c r="I420" s="126" t="str">
        <f>IF(C420="","",'Datos Generales'!$A$7)</f>
        <v/>
      </c>
      <c r="J420" s="21" t="str">
        <f>IF(C420="","",'Datos Generales'!$A$13)</f>
        <v/>
      </c>
      <c r="K420" s="21" t="str">
        <f>IF(C420="","",'Datos Generales'!$A$10)</f>
        <v/>
      </c>
      <c r="CS420" s="142" t="str">
        <f t="shared" si="51"/>
        <v/>
      </c>
      <c r="CT420" s="142" t="str">
        <f t="shared" si="52"/>
        <v/>
      </c>
      <c r="CU420" s="142" t="str">
        <f t="shared" si="53"/>
        <v/>
      </c>
      <c r="CV420" s="142" t="str">
        <f t="shared" si="54"/>
        <v/>
      </c>
      <c r="CW420" s="142" t="str">
        <f>IF(C420="","",IF('Datos Generales'!$A$19=1,AVERAGE(FP420:GD420),AVERAGE(Captura!FP420:FY420)))</f>
        <v/>
      </c>
      <c r="CX420" s="138" t="e">
        <f>IF(VLOOKUP(CONCATENATE($H$4,$F$4,CX$2),Español!$A:$H,7,FALSE)=L420,1,0)</f>
        <v>#N/A</v>
      </c>
      <c r="CY420" s="138" t="e">
        <f>IF(VLOOKUP(CONCATENATE(H420,F420,CY$2),Español!$A:$H,7,FALSE)=M420,1,0)</f>
        <v>#N/A</v>
      </c>
      <c r="CZ420" s="138" t="e">
        <f>IF(VLOOKUP(CONCATENATE(H420,F420,CZ$2),Español!$A:$H,7,FALSE)=N420,1,0)</f>
        <v>#N/A</v>
      </c>
      <c r="DA420" s="138" t="e">
        <f>IF(VLOOKUP(CONCATENATE(H420,F420,DA$2),Español!$A:$H,7,FALSE)=O420,1,0)</f>
        <v>#N/A</v>
      </c>
      <c r="DB420" s="138" t="e">
        <f>IF(VLOOKUP(CONCATENATE(H420,F420,DB$2),Español!$A:$H,7,FALSE)=P420,1,0)</f>
        <v>#N/A</v>
      </c>
      <c r="DC420" s="138" t="e">
        <f>IF(VLOOKUP(CONCATENATE(H420,F420,DC$2),Español!$A:$H,7,FALSE)=Q420,1,0)</f>
        <v>#N/A</v>
      </c>
      <c r="DD420" s="138" t="e">
        <f>IF(VLOOKUP(CONCATENATE(H420,F420,DD$2),Español!$A:$H,7,FALSE)=R420,1,0)</f>
        <v>#N/A</v>
      </c>
      <c r="DE420" s="138" t="e">
        <f>IF(VLOOKUP(CONCATENATE(H420,F420,DE$2),Español!$A:$H,7,FALSE)=S420,1,0)</f>
        <v>#N/A</v>
      </c>
      <c r="DF420" s="138" t="e">
        <f>IF(VLOOKUP(CONCATENATE(H420,F420,DF$2),Español!$A:$H,7,FALSE)=T420,1,0)</f>
        <v>#N/A</v>
      </c>
      <c r="DG420" s="138" t="e">
        <f>IF(VLOOKUP(CONCATENATE(H420,F420,DG$2),Español!$A:$H,7,FALSE)=U420,1,0)</f>
        <v>#N/A</v>
      </c>
      <c r="DH420" s="138" t="e">
        <f>IF(VLOOKUP(CONCATENATE(H420,F420,DH$2),Español!$A:$H,7,FALSE)=V420,1,0)</f>
        <v>#N/A</v>
      </c>
      <c r="DI420" s="138" t="e">
        <f>IF(VLOOKUP(CONCATENATE(H420,F420,DI$2),Español!$A:$H,7,FALSE)=W420,1,0)</f>
        <v>#N/A</v>
      </c>
      <c r="DJ420" s="138" t="e">
        <f>IF(VLOOKUP(CONCATENATE(H420,F420,DJ$2),Español!$A:$H,7,FALSE)=X420,1,0)</f>
        <v>#N/A</v>
      </c>
      <c r="DK420" s="138" t="e">
        <f>IF(VLOOKUP(CONCATENATE(H420,F420,DK$2),Español!$A:$H,7,FALSE)=Y420,1,0)</f>
        <v>#N/A</v>
      </c>
      <c r="DL420" s="138" t="e">
        <f>IF(VLOOKUP(CONCATENATE(H420,F420,DL$2),Español!$A:$H,7,FALSE)=Z420,1,0)</f>
        <v>#N/A</v>
      </c>
      <c r="DM420" s="138" t="e">
        <f>IF(VLOOKUP(CONCATENATE(H420,F420,DM$2),Español!$A:$H,7,FALSE)=AA420,1,0)</f>
        <v>#N/A</v>
      </c>
      <c r="DN420" s="138" t="e">
        <f>IF(VLOOKUP(CONCATENATE(H420,F420,DN$2),Español!$A:$H,7,FALSE)=AB420,1,0)</f>
        <v>#N/A</v>
      </c>
      <c r="DO420" s="138" t="e">
        <f>IF(VLOOKUP(CONCATENATE(H420,F420,DO$2),Español!$A:$H,7,FALSE)=AC420,1,0)</f>
        <v>#N/A</v>
      </c>
      <c r="DP420" s="138" t="e">
        <f>IF(VLOOKUP(CONCATENATE(H420,F420,DP$2),Español!$A:$H,7,FALSE)=AD420,1,0)</f>
        <v>#N/A</v>
      </c>
      <c r="DQ420" s="138" t="e">
        <f>IF(VLOOKUP(CONCATENATE(H420,F420,DQ$2),Español!$A:$H,7,FALSE)=AE420,1,0)</f>
        <v>#N/A</v>
      </c>
      <c r="DR420" s="138" t="e">
        <f>IF(VLOOKUP(CONCATENATE(H420,F420,DR$2),Inglés!$A:$H,7,FALSE)=AF420,1,0)</f>
        <v>#N/A</v>
      </c>
      <c r="DS420" s="138" t="e">
        <f>IF(VLOOKUP(CONCATENATE(H420,F420,DS$2),Inglés!$A:$H,7,FALSE)=AG420,1,0)</f>
        <v>#N/A</v>
      </c>
      <c r="DT420" s="138" t="e">
        <f>IF(VLOOKUP(CONCATENATE(H420,F420,DT$2),Inglés!$A:$H,7,FALSE)=AH420,1,0)</f>
        <v>#N/A</v>
      </c>
      <c r="DU420" s="138" t="e">
        <f>IF(VLOOKUP(CONCATENATE(H420,F420,DU$2),Inglés!$A:$H,7,FALSE)=AI420,1,0)</f>
        <v>#N/A</v>
      </c>
      <c r="DV420" s="138" t="e">
        <f>IF(VLOOKUP(CONCATENATE(H420,F420,DV$2),Inglés!$A:$H,7,FALSE)=AJ420,1,0)</f>
        <v>#N/A</v>
      </c>
      <c r="DW420" s="138" t="e">
        <f>IF(VLOOKUP(CONCATENATE(H420,F420,DW$2),Inglés!$A:$H,7,FALSE)=AK420,1,0)</f>
        <v>#N/A</v>
      </c>
      <c r="DX420" s="138" t="e">
        <f>IF(VLOOKUP(CONCATENATE(H420,F420,DX$2),Inglés!$A:$H,7,FALSE)=AL420,1,0)</f>
        <v>#N/A</v>
      </c>
      <c r="DY420" s="138" t="e">
        <f>IF(VLOOKUP(CONCATENATE(H420,F420,DY$2),Inglés!$A:$H,7,FALSE)=AM420,1,0)</f>
        <v>#N/A</v>
      </c>
      <c r="DZ420" s="138" t="e">
        <f>IF(VLOOKUP(CONCATENATE(H420,F420,DZ$2),Inglés!$A:$H,7,FALSE)=AN420,1,0)</f>
        <v>#N/A</v>
      </c>
      <c r="EA420" s="138" t="e">
        <f>IF(VLOOKUP(CONCATENATE(H420,F420,EA$2),Inglés!$A:$H,7,FALSE)=AO420,1,0)</f>
        <v>#N/A</v>
      </c>
      <c r="EB420" s="138" t="e">
        <f>IF(VLOOKUP(CONCATENATE(H420,F420,EB$2),Matemáticas!$A:$H,7,FALSE)=AP420,1,0)</f>
        <v>#N/A</v>
      </c>
      <c r="EC420" s="138" t="e">
        <f>IF(VLOOKUP(CONCATENATE(H420,F420,EC$2),Matemáticas!$A:$H,7,FALSE)=AQ420,1,0)</f>
        <v>#N/A</v>
      </c>
      <c r="ED420" s="138" t="e">
        <f>IF(VLOOKUP(CONCATENATE(H420,F420,ED$2),Matemáticas!$A:$H,7,FALSE)=AR420,1,0)</f>
        <v>#N/A</v>
      </c>
      <c r="EE420" s="138" t="e">
        <f>IF(VLOOKUP(CONCATENATE(H420,F420,EE$2),Matemáticas!$A:$H,7,FALSE)=AS420,1,0)</f>
        <v>#N/A</v>
      </c>
      <c r="EF420" s="138" t="e">
        <f>IF(VLOOKUP(CONCATENATE(H420,F420,EF$2),Matemáticas!$A:$H,7,FALSE)=AT420,1,0)</f>
        <v>#N/A</v>
      </c>
      <c r="EG420" s="138" t="e">
        <f>IF(VLOOKUP(CONCATENATE(H420,F420,EG$2),Matemáticas!$A:$H,7,FALSE)=AU420,1,0)</f>
        <v>#N/A</v>
      </c>
      <c r="EH420" s="138" t="e">
        <f>IF(VLOOKUP(CONCATENATE(H420,F420,EH$2),Matemáticas!$A:$H,7,FALSE)=AV420,1,0)</f>
        <v>#N/A</v>
      </c>
      <c r="EI420" s="138" t="e">
        <f>IF(VLOOKUP(CONCATENATE(H420,F420,EI$2),Matemáticas!$A:$H,7,FALSE)=AW420,1,0)</f>
        <v>#N/A</v>
      </c>
      <c r="EJ420" s="138" t="e">
        <f>IF(VLOOKUP(CONCATENATE(H420,F420,EJ$2),Matemáticas!$A:$H,7,FALSE)=AX420,1,0)</f>
        <v>#N/A</v>
      </c>
      <c r="EK420" s="138" t="e">
        <f>IF(VLOOKUP(CONCATENATE(H420,F420,EK$2),Matemáticas!$A:$H,7,FALSE)=AY420,1,0)</f>
        <v>#N/A</v>
      </c>
      <c r="EL420" s="138" t="e">
        <f>IF(VLOOKUP(CONCATENATE(H420,F420,EL$2),Matemáticas!$A:$H,7,FALSE)=AZ420,1,0)</f>
        <v>#N/A</v>
      </c>
      <c r="EM420" s="138" t="e">
        <f>IF(VLOOKUP(CONCATENATE(H420,F420,EM$2),Matemáticas!$A:$H,7,FALSE)=BA420,1,0)</f>
        <v>#N/A</v>
      </c>
      <c r="EN420" s="138" t="e">
        <f>IF(VLOOKUP(CONCATENATE(H420,F420,EN$2),Matemáticas!$A:$H,7,FALSE)=BB420,1,0)</f>
        <v>#N/A</v>
      </c>
      <c r="EO420" s="138" t="e">
        <f>IF(VLOOKUP(CONCATENATE(H420,F420,EO$2),Matemáticas!$A:$H,7,FALSE)=BC420,1,0)</f>
        <v>#N/A</v>
      </c>
      <c r="EP420" s="138" t="e">
        <f>IF(VLOOKUP(CONCATENATE(H420,F420,EP$2),Matemáticas!$A:$H,7,FALSE)=BD420,1,0)</f>
        <v>#N/A</v>
      </c>
      <c r="EQ420" s="138" t="e">
        <f>IF(VLOOKUP(CONCATENATE(H420,F420,EQ$2),Matemáticas!$A:$H,7,FALSE)=BE420,1,0)</f>
        <v>#N/A</v>
      </c>
      <c r="ER420" s="138" t="e">
        <f>IF(VLOOKUP(CONCATENATE(H420,F420,ER$2),Matemáticas!$A:$H,7,FALSE)=BF420,1,0)</f>
        <v>#N/A</v>
      </c>
      <c r="ES420" s="138" t="e">
        <f>IF(VLOOKUP(CONCATENATE(H420,F420,ES$2),Matemáticas!$A:$H,7,FALSE)=BG420,1,0)</f>
        <v>#N/A</v>
      </c>
      <c r="ET420" s="138" t="e">
        <f>IF(VLOOKUP(CONCATENATE(H420,F420,ET$2),Matemáticas!$A:$H,7,FALSE)=BH420,1,0)</f>
        <v>#N/A</v>
      </c>
      <c r="EU420" s="138" t="e">
        <f>IF(VLOOKUP(CONCATENATE(H420,F420,EU$2),Matemáticas!$A:$H,7,FALSE)=BI420,1,0)</f>
        <v>#N/A</v>
      </c>
      <c r="EV420" s="138" t="e">
        <f>IF(VLOOKUP(CONCATENATE(H420,F420,EV$2),Ciencias!$A:$H,7,FALSE)=BJ420,1,0)</f>
        <v>#N/A</v>
      </c>
      <c r="EW420" s="138" t="e">
        <f>IF(VLOOKUP(CONCATENATE(H420,F420,EW$2),Ciencias!$A:$H,7,FALSE)=BK420,1,0)</f>
        <v>#N/A</v>
      </c>
      <c r="EX420" s="138" t="e">
        <f>IF(VLOOKUP(CONCATENATE(H420,F420,EX$2),Ciencias!$A:$H,7,FALSE)=BL420,1,0)</f>
        <v>#N/A</v>
      </c>
      <c r="EY420" s="138" t="e">
        <f>IF(VLOOKUP(CONCATENATE(H420,F420,EY$2),Ciencias!$A:$H,7,FALSE)=BM420,1,0)</f>
        <v>#N/A</v>
      </c>
      <c r="EZ420" s="138" t="e">
        <f>IF(VLOOKUP(CONCATENATE(H420,F420,EZ$2),Ciencias!$A:$H,7,FALSE)=BN420,1,0)</f>
        <v>#N/A</v>
      </c>
      <c r="FA420" s="138" t="e">
        <f>IF(VLOOKUP(CONCATENATE(H420,F420,FA$2),Ciencias!$A:$H,7,FALSE)=BO420,1,0)</f>
        <v>#N/A</v>
      </c>
      <c r="FB420" s="138" t="e">
        <f>IF(VLOOKUP(CONCATENATE(H420,F420,FB$2),Ciencias!$A:$H,7,FALSE)=BP420,1,0)</f>
        <v>#N/A</v>
      </c>
      <c r="FC420" s="138" t="e">
        <f>IF(VLOOKUP(CONCATENATE(H420,F420,FC$2),Ciencias!$A:$H,7,FALSE)=BQ420,1,0)</f>
        <v>#N/A</v>
      </c>
      <c r="FD420" s="138" t="e">
        <f>IF(VLOOKUP(CONCATENATE(H420,F420,FD$2),Ciencias!$A:$H,7,FALSE)=BR420,1,0)</f>
        <v>#N/A</v>
      </c>
      <c r="FE420" s="138" t="e">
        <f>IF(VLOOKUP(CONCATENATE(H420,F420,FE$2),Ciencias!$A:$H,7,FALSE)=BS420,1,0)</f>
        <v>#N/A</v>
      </c>
      <c r="FF420" s="138" t="e">
        <f>IF(VLOOKUP(CONCATENATE(H420,F420,FF$2),Ciencias!$A:$H,7,FALSE)=BT420,1,0)</f>
        <v>#N/A</v>
      </c>
      <c r="FG420" s="138" t="e">
        <f>IF(VLOOKUP(CONCATENATE(H420,F420,FG$2),Ciencias!$A:$H,7,FALSE)=BU420,1,0)</f>
        <v>#N/A</v>
      </c>
      <c r="FH420" s="138" t="e">
        <f>IF(VLOOKUP(CONCATENATE(H420,F420,FH$2),Ciencias!$A:$H,7,FALSE)=BV420,1,0)</f>
        <v>#N/A</v>
      </c>
      <c r="FI420" s="138" t="e">
        <f>IF(VLOOKUP(CONCATENATE(H420,F420,FI$2),Ciencias!$A:$H,7,FALSE)=BW420,1,0)</f>
        <v>#N/A</v>
      </c>
      <c r="FJ420" s="138" t="e">
        <f>IF(VLOOKUP(CONCATENATE(H420,F420,FJ$2),Ciencias!$A:$H,7,FALSE)=BX420,1,0)</f>
        <v>#N/A</v>
      </c>
      <c r="FK420" s="138" t="e">
        <f>IF(VLOOKUP(CONCATENATE(H420,F420,FK$2),Ciencias!$A:$H,7,FALSE)=BY420,1,0)</f>
        <v>#N/A</v>
      </c>
      <c r="FL420" s="138" t="e">
        <f>IF(VLOOKUP(CONCATENATE(H420,F420,FL$2),Ciencias!$A:$H,7,FALSE)=BZ420,1,0)</f>
        <v>#N/A</v>
      </c>
      <c r="FM420" s="138" t="e">
        <f>IF(VLOOKUP(CONCATENATE(H420,F420,FM$2),Ciencias!$A:$H,7,FALSE)=CA420,1,0)</f>
        <v>#N/A</v>
      </c>
      <c r="FN420" s="138" t="e">
        <f>IF(VLOOKUP(CONCATENATE(H420,F420,FN$2),Ciencias!$A:$H,7,FALSE)=CB420,1,0)</f>
        <v>#N/A</v>
      </c>
      <c r="FO420" s="138" t="e">
        <f>IF(VLOOKUP(CONCATENATE(H420,F420,FO$2),Ciencias!$A:$H,7,FALSE)=CC420,1,0)</f>
        <v>#N/A</v>
      </c>
      <c r="FP420" s="138" t="e">
        <f>IF(VLOOKUP(CONCATENATE(H420,F420,FP$2),GeoHis!$A:$H,7,FALSE)=CD420,1,0)</f>
        <v>#N/A</v>
      </c>
      <c r="FQ420" s="138" t="e">
        <f>IF(VLOOKUP(CONCATENATE(H420,F420,FQ$2),GeoHis!$A:$H,7,FALSE)=CE420,1,0)</f>
        <v>#N/A</v>
      </c>
      <c r="FR420" s="138" t="e">
        <f>IF(VLOOKUP(CONCATENATE(H420,F420,FR$2),GeoHis!$A:$H,7,FALSE)=CF420,1,0)</f>
        <v>#N/A</v>
      </c>
      <c r="FS420" s="138" t="e">
        <f>IF(VLOOKUP(CONCATENATE(H420,F420,FS$2),GeoHis!$A:$H,7,FALSE)=CG420,1,0)</f>
        <v>#N/A</v>
      </c>
      <c r="FT420" s="138" t="e">
        <f>IF(VLOOKUP(CONCATENATE(H420,F420,FT$2),GeoHis!$A:$H,7,FALSE)=CH420,1,0)</f>
        <v>#N/A</v>
      </c>
      <c r="FU420" s="138" t="e">
        <f>IF(VLOOKUP(CONCATENATE(H420,F420,FU$2),GeoHis!$A:$H,7,FALSE)=CI420,1,0)</f>
        <v>#N/A</v>
      </c>
      <c r="FV420" s="138" t="e">
        <f>IF(VLOOKUP(CONCATENATE(H420,F420,FV$2),GeoHis!$A:$H,7,FALSE)=CJ420,1,0)</f>
        <v>#N/A</v>
      </c>
      <c r="FW420" s="138" t="e">
        <f>IF(VLOOKUP(CONCATENATE(H420,F420,FW$2),GeoHis!$A:$H,7,FALSE)=CK420,1,0)</f>
        <v>#N/A</v>
      </c>
      <c r="FX420" s="138" t="e">
        <f>IF(VLOOKUP(CONCATENATE(H420,F420,FX$2),GeoHis!$A:$H,7,FALSE)=CL420,1,0)</f>
        <v>#N/A</v>
      </c>
      <c r="FY420" s="138" t="e">
        <f>IF(VLOOKUP(CONCATENATE(H420,F420,FY$2),GeoHis!$A:$H,7,FALSE)=CM420,1,0)</f>
        <v>#N/A</v>
      </c>
      <c r="FZ420" s="138" t="e">
        <f>IF(VLOOKUP(CONCATENATE(H420,F420,FZ$2),GeoHis!$A:$H,7,FALSE)=CN420,1,0)</f>
        <v>#N/A</v>
      </c>
      <c r="GA420" s="138" t="e">
        <f>IF(VLOOKUP(CONCATENATE(H420,F420,GA$2),GeoHis!$A:$H,7,FALSE)=CO420,1,0)</f>
        <v>#N/A</v>
      </c>
      <c r="GB420" s="138" t="e">
        <f>IF(VLOOKUP(CONCATENATE(H420,F420,GB$2),GeoHis!$A:$H,7,FALSE)=CP420,1,0)</f>
        <v>#N/A</v>
      </c>
      <c r="GC420" s="138" t="e">
        <f>IF(VLOOKUP(CONCATENATE(H420,F420,GC$2),GeoHis!$A:$H,7,FALSE)=CQ420,1,0)</f>
        <v>#N/A</v>
      </c>
      <c r="GD420" s="138" t="e">
        <f>IF(VLOOKUP(CONCATENATE(H420,F420,GD$2),GeoHis!$A:$H,7,FALSE)=CR420,1,0)</f>
        <v>#N/A</v>
      </c>
      <c r="GE420" s="135" t="str">
        <f t="shared" si="55"/>
        <v/>
      </c>
    </row>
    <row r="421" spans="1:187" x14ac:dyDescent="0.25">
      <c r="A421" s="127" t="str">
        <f>IF(C421="","",'Datos Generales'!$A$25)</f>
        <v/>
      </c>
      <c r="D421" s="126" t="str">
        <f t="shared" si="48"/>
        <v/>
      </c>
      <c r="E421" s="126">
        <f t="shared" si="49"/>
        <v>0</v>
      </c>
      <c r="F421" s="126" t="str">
        <f t="shared" si="50"/>
        <v/>
      </c>
      <c r="G421" s="126" t="str">
        <f>IF(C421="","",'Datos Generales'!$D$19)</f>
        <v/>
      </c>
      <c r="H421" s="21" t="str">
        <f>IF(C421="","",'Datos Generales'!$A$19)</f>
        <v/>
      </c>
      <c r="I421" s="126" t="str">
        <f>IF(C421="","",'Datos Generales'!$A$7)</f>
        <v/>
      </c>
      <c r="J421" s="21" t="str">
        <f>IF(C421="","",'Datos Generales'!$A$13)</f>
        <v/>
      </c>
      <c r="K421" s="21" t="str">
        <f>IF(C421="","",'Datos Generales'!$A$10)</f>
        <v/>
      </c>
      <c r="CS421" s="142" t="str">
        <f t="shared" si="51"/>
        <v/>
      </c>
      <c r="CT421" s="142" t="str">
        <f t="shared" si="52"/>
        <v/>
      </c>
      <c r="CU421" s="142" t="str">
        <f t="shared" si="53"/>
        <v/>
      </c>
      <c r="CV421" s="142" t="str">
        <f t="shared" si="54"/>
        <v/>
      </c>
      <c r="CW421" s="142" t="str">
        <f>IF(C421="","",IF('Datos Generales'!$A$19=1,AVERAGE(FP421:GD421),AVERAGE(Captura!FP421:FY421)))</f>
        <v/>
      </c>
      <c r="CX421" s="138" t="e">
        <f>IF(VLOOKUP(CONCATENATE($H$4,$F$4,CX$2),Español!$A:$H,7,FALSE)=L421,1,0)</f>
        <v>#N/A</v>
      </c>
      <c r="CY421" s="138" t="e">
        <f>IF(VLOOKUP(CONCATENATE(H421,F421,CY$2),Español!$A:$H,7,FALSE)=M421,1,0)</f>
        <v>#N/A</v>
      </c>
      <c r="CZ421" s="138" t="e">
        <f>IF(VLOOKUP(CONCATENATE(H421,F421,CZ$2),Español!$A:$H,7,FALSE)=N421,1,0)</f>
        <v>#N/A</v>
      </c>
      <c r="DA421" s="138" t="e">
        <f>IF(VLOOKUP(CONCATENATE(H421,F421,DA$2),Español!$A:$H,7,FALSE)=O421,1,0)</f>
        <v>#N/A</v>
      </c>
      <c r="DB421" s="138" t="e">
        <f>IF(VLOOKUP(CONCATENATE(H421,F421,DB$2),Español!$A:$H,7,FALSE)=P421,1,0)</f>
        <v>#N/A</v>
      </c>
      <c r="DC421" s="138" t="e">
        <f>IF(VLOOKUP(CONCATENATE(H421,F421,DC$2),Español!$A:$H,7,FALSE)=Q421,1,0)</f>
        <v>#N/A</v>
      </c>
      <c r="DD421" s="138" t="e">
        <f>IF(VLOOKUP(CONCATENATE(H421,F421,DD$2),Español!$A:$H,7,FALSE)=R421,1,0)</f>
        <v>#N/A</v>
      </c>
      <c r="DE421" s="138" t="e">
        <f>IF(VLOOKUP(CONCATENATE(H421,F421,DE$2),Español!$A:$H,7,FALSE)=S421,1,0)</f>
        <v>#N/A</v>
      </c>
      <c r="DF421" s="138" t="e">
        <f>IF(VLOOKUP(CONCATENATE(H421,F421,DF$2),Español!$A:$H,7,FALSE)=T421,1,0)</f>
        <v>#N/A</v>
      </c>
      <c r="DG421" s="138" t="e">
        <f>IF(VLOOKUP(CONCATENATE(H421,F421,DG$2),Español!$A:$H,7,FALSE)=U421,1,0)</f>
        <v>#N/A</v>
      </c>
      <c r="DH421" s="138" t="e">
        <f>IF(VLOOKUP(CONCATENATE(H421,F421,DH$2),Español!$A:$H,7,FALSE)=V421,1,0)</f>
        <v>#N/A</v>
      </c>
      <c r="DI421" s="138" t="e">
        <f>IF(VLOOKUP(CONCATENATE(H421,F421,DI$2),Español!$A:$H,7,FALSE)=W421,1,0)</f>
        <v>#N/A</v>
      </c>
      <c r="DJ421" s="138" t="e">
        <f>IF(VLOOKUP(CONCATENATE(H421,F421,DJ$2),Español!$A:$H,7,FALSE)=X421,1,0)</f>
        <v>#N/A</v>
      </c>
      <c r="DK421" s="138" t="e">
        <f>IF(VLOOKUP(CONCATENATE(H421,F421,DK$2),Español!$A:$H,7,FALSE)=Y421,1,0)</f>
        <v>#N/A</v>
      </c>
      <c r="DL421" s="138" t="e">
        <f>IF(VLOOKUP(CONCATENATE(H421,F421,DL$2),Español!$A:$H,7,FALSE)=Z421,1,0)</f>
        <v>#N/A</v>
      </c>
      <c r="DM421" s="138" t="e">
        <f>IF(VLOOKUP(CONCATENATE(H421,F421,DM$2),Español!$A:$H,7,FALSE)=AA421,1,0)</f>
        <v>#N/A</v>
      </c>
      <c r="DN421" s="138" t="e">
        <f>IF(VLOOKUP(CONCATENATE(H421,F421,DN$2),Español!$A:$H,7,FALSE)=AB421,1,0)</f>
        <v>#N/A</v>
      </c>
      <c r="DO421" s="138" t="e">
        <f>IF(VLOOKUP(CONCATENATE(H421,F421,DO$2),Español!$A:$H,7,FALSE)=AC421,1,0)</f>
        <v>#N/A</v>
      </c>
      <c r="DP421" s="138" t="e">
        <f>IF(VLOOKUP(CONCATENATE(H421,F421,DP$2),Español!$A:$H,7,FALSE)=AD421,1,0)</f>
        <v>#N/A</v>
      </c>
      <c r="DQ421" s="138" t="e">
        <f>IF(VLOOKUP(CONCATENATE(H421,F421,DQ$2),Español!$A:$H,7,FALSE)=AE421,1,0)</f>
        <v>#N/A</v>
      </c>
      <c r="DR421" s="138" t="e">
        <f>IF(VLOOKUP(CONCATENATE(H421,F421,DR$2),Inglés!$A:$H,7,FALSE)=AF421,1,0)</f>
        <v>#N/A</v>
      </c>
      <c r="DS421" s="138" t="e">
        <f>IF(VLOOKUP(CONCATENATE(H421,F421,DS$2),Inglés!$A:$H,7,FALSE)=AG421,1,0)</f>
        <v>#N/A</v>
      </c>
      <c r="DT421" s="138" t="e">
        <f>IF(VLOOKUP(CONCATENATE(H421,F421,DT$2),Inglés!$A:$H,7,FALSE)=AH421,1,0)</f>
        <v>#N/A</v>
      </c>
      <c r="DU421" s="138" t="e">
        <f>IF(VLOOKUP(CONCATENATE(H421,F421,DU$2),Inglés!$A:$H,7,FALSE)=AI421,1,0)</f>
        <v>#N/A</v>
      </c>
      <c r="DV421" s="138" t="e">
        <f>IF(VLOOKUP(CONCATENATE(H421,F421,DV$2),Inglés!$A:$H,7,FALSE)=AJ421,1,0)</f>
        <v>#N/A</v>
      </c>
      <c r="DW421" s="138" t="e">
        <f>IF(VLOOKUP(CONCATENATE(H421,F421,DW$2),Inglés!$A:$H,7,FALSE)=AK421,1,0)</f>
        <v>#N/A</v>
      </c>
      <c r="DX421" s="138" t="e">
        <f>IF(VLOOKUP(CONCATENATE(H421,F421,DX$2),Inglés!$A:$H,7,FALSE)=AL421,1,0)</f>
        <v>#N/A</v>
      </c>
      <c r="DY421" s="138" t="e">
        <f>IF(VLOOKUP(CONCATENATE(H421,F421,DY$2),Inglés!$A:$H,7,FALSE)=AM421,1,0)</f>
        <v>#N/A</v>
      </c>
      <c r="DZ421" s="138" t="e">
        <f>IF(VLOOKUP(CONCATENATE(H421,F421,DZ$2),Inglés!$A:$H,7,FALSE)=AN421,1,0)</f>
        <v>#N/A</v>
      </c>
      <c r="EA421" s="138" t="e">
        <f>IF(VLOOKUP(CONCATENATE(H421,F421,EA$2),Inglés!$A:$H,7,FALSE)=AO421,1,0)</f>
        <v>#N/A</v>
      </c>
      <c r="EB421" s="138" t="e">
        <f>IF(VLOOKUP(CONCATENATE(H421,F421,EB$2),Matemáticas!$A:$H,7,FALSE)=AP421,1,0)</f>
        <v>#N/A</v>
      </c>
      <c r="EC421" s="138" t="e">
        <f>IF(VLOOKUP(CONCATENATE(H421,F421,EC$2),Matemáticas!$A:$H,7,FALSE)=AQ421,1,0)</f>
        <v>#N/A</v>
      </c>
      <c r="ED421" s="138" t="e">
        <f>IF(VLOOKUP(CONCATENATE(H421,F421,ED$2),Matemáticas!$A:$H,7,FALSE)=AR421,1,0)</f>
        <v>#N/A</v>
      </c>
      <c r="EE421" s="138" t="e">
        <f>IF(VLOOKUP(CONCATENATE(H421,F421,EE$2),Matemáticas!$A:$H,7,FALSE)=AS421,1,0)</f>
        <v>#N/A</v>
      </c>
      <c r="EF421" s="138" t="e">
        <f>IF(VLOOKUP(CONCATENATE(H421,F421,EF$2),Matemáticas!$A:$H,7,FALSE)=AT421,1,0)</f>
        <v>#N/A</v>
      </c>
      <c r="EG421" s="138" t="e">
        <f>IF(VLOOKUP(CONCATENATE(H421,F421,EG$2),Matemáticas!$A:$H,7,FALSE)=AU421,1,0)</f>
        <v>#N/A</v>
      </c>
      <c r="EH421" s="138" t="e">
        <f>IF(VLOOKUP(CONCATENATE(H421,F421,EH$2),Matemáticas!$A:$H,7,FALSE)=AV421,1,0)</f>
        <v>#N/A</v>
      </c>
      <c r="EI421" s="138" t="e">
        <f>IF(VLOOKUP(CONCATENATE(H421,F421,EI$2),Matemáticas!$A:$H,7,FALSE)=AW421,1,0)</f>
        <v>#N/A</v>
      </c>
      <c r="EJ421" s="138" t="e">
        <f>IF(VLOOKUP(CONCATENATE(H421,F421,EJ$2),Matemáticas!$A:$H,7,FALSE)=AX421,1,0)</f>
        <v>#N/A</v>
      </c>
      <c r="EK421" s="138" t="e">
        <f>IF(VLOOKUP(CONCATENATE(H421,F421,EK$2),Matemáticas!$A:$H,7,FALSE)=AY421,1,0)</f>
        <v>#N/A</v>
      </c>
      <c r="EL421" s="138" t="e">
        <f>IF(VLOOKUP(CONCATENATE(H421,F421,EL$2),Matemáticas!$A:$H,7,FALSE)=AZ421,1,0)</f>
        <v>#N/A</v>
      </c>
      <c r="EM421" s="138" t="e">
        <f>IF(VLOOKUP(CONCATENATE(H421,F421,EM$2),Matemáticas!$A:$H,7,FALSE)=BA421,1,0)</f>
        <v>#N/A</v>
      </c>
      <c r="EN421" s="138" t="e">
        <f>IF(VLOOKUP(CONCATENATE(H421,F421,EN$2),Matemáticas!$A:$H,7,FALSE)=BB421,1,0)</f>
        <v>#N/A</v>
      </c>
      <c r="EO421" s="138" t="e">
        <f>IF(VLOOKUP(CONCATENATE(H421,F421,EO$2),Matemáticas!$A:$H,7,FALSE)=BC421,1,0)</f>
        <v>#N/A</v>
      </c>
      <c r="EP421" s="138" t="e">
        <f>IF(VLOOKUP(CONCATENATE(H421,F421,EP$2),Matemáticas!$A:$H,7,FALSE)=BD421,1,0)</f>
        <v>#N/A</v>
      </c>
      <c r="EQ421" s="138" t="e">
        <f>IF(VLOOKUP(CONCATENATE(H421,F421,EQ$2),Matemáticas!$A:$H,7,FALSE)=BE421,1,0)</f>
        <v>#N/A</v>
      </c>
      <c r="ER421" s="138" t="e">
        <f>IF(VLOOKUP(CONCATENATE(H421,F421,ER$2),Matemáticas!$A:$H,7,FALSE)=BF421,1,0)</f>
        <v>#N/A</v>
      </c>
      <c r="ES421" s="138" t="e">
        <f>IF(VLOOKUP(CONCATENATE(H421,F421,ES$2),Matemáticas!$A:$H,7,FALSE)=BG421,1,0)</f>
        <v>#N/A</v>
      </c>
      <c r="ET421" s="138" t="e">
        <f>IF(VLOOKUP(CONCATENATE(H421,F421,ET$2),Matemáticas!$A:$H,7,FALSE)=BH421,1,0)</f>
        <v>#N/A</v>
      </c>
      <c r="EU421" s="138" t="e">
        <f>IF(VLOOKUP(CONCATENATE(H421,F421,EU$2),Matemáticas!$A:$H,7,FALSE)=BI421,1,0)</f>
        <v>#N/A</v>
      </c>
      <c r="EV421" s="138" t="e">
        <f>IF(VLOOKUP(CONCATENATE(H421,F421,EV$2),Ciencias!$A:$H,7,FALSE)=BJ421,1,0)</f>
        <v>#N/A</v>
      </c>
      <c r="EW421" s="138" t="e">
        <f>IF(VLOOKUP(CONCATENATE(H421,F421,EW$2),Ciencias!$A:$H,7,FALSE)=BK421,1,0)</f>
        <v>#N/A</v>
      </c>
      <c r="EX421" s="138" t="e">
        <f>IF(VLOOKUP(CONCATENATE(H421,F421,EX$2),Ciencias!$A:$H,7,FALSE)=BL421,1,0)</f>
        <v>#N/A</v>
      </c>
      <c r="EY421" s="138" t="e">
        <f>IF(VLOOKUP(CONCATENATE(H421,F421,EY$2),Ciencias!$A:$H,7,FALSE)=BM421,1,0)</f>
        <v>#N/A</v>
      </c>
      <c r="EZ421" s="138" t="e">
        <f>IF(VLOOKUP(CONCATENATE(H421,F421,EZ$2),Ciencias!$A:$H,7,FALSE)=BN421,1,0)</f>
        <v>#N/A</v>
      </c>
      <c r="FA421" s="138" t="e">
        <f>IF(VLOOKUP(CONCATENATE(H421,F421,FA$2),Ciencias!$A:$H,7,FALSE)=BO421,1,0)</f>
        <v>#N/A</v>
      </c>
      <c r="FB421" s="138" t="e">
        <f>IF(VLOOKUP(CONCATENATE(H421,F421,FB$2),Ciencias!$A:$H,7,FALSE)=BP421,1,0)</f>
        <v>#N/A</v>
      </c>
      <c r="FC421" s="138" t="e">
        <f>IF(VLOOKUP(CONCATENATE(H421,F421,FC$2),Ciencias!$A:$H,7,FALSE)=BQ421,1,0)</f>
        <v>#N/A</v>
      </c>
      <c r="FD421" s="138" t="e">
        <f>IF(VLOOKUP(CONCATENATE(H421,F421,FD$2),Ciencias!$A:$H,7,FALSE)=BR421,1,0)</f>
        <v>#N/A</v>
      </c>
      <c r="FE421" s="138" t="e">
        <f>IF(VLOOKUP(CONCATENATE(H421,F421,FE$2),Ciencias!$A:$H,7,FALSE)=BS421,1,0)</f>
        <v>#N/A</v>
      </c>
      <c r="FF421" s="138" t="e">
        <f>IF(VLOOKUP(CONCATENATE(H421,F421,FF$2),Ciencias!$A:$H,7,FALSE)=BT421,1,0)</f>
        <v>#N/A</v>
      </c>
      <c r="FG421" s="138" t="e">
        <f>IF(VLOOKUP(CONCATENATE(H421,F421,FG$2),Ciencias!$A:$H,7,FALSE)=BU421,1,0)</f>
        <v>#N/A</v>
      </c>
      <c r="FH421" s="138" t="e">
        <f>IF(VLOOKUP(CONCATENATE(H421,F421,FH$2),Ciencias!$A:$H,7,FALSE)=BV421,1,0)</f>
        <v>#N/A</v>
      </c>
      <c r="FI421" s="138" t="e">
        <f>IF(VLOOKUP(CONCATENATE(H421,F421,FI$2),Ciencias!$A:$H,7,FALSE)=BW421,1,0)</f>
        <v>#N/A</v>
      </c>
      <c r="FJ421" s="138" t="e">
        <f>IF(VLOOKUP(CONCATENATE(H421,F421,FJ$2),Ciencias!$A:$H,7,FALSE)=BX421,1,0)</f>
        <v>#N/A</v>
      </c>
      <c r="FK421" s="138" t="e">
        <f>IF(VLOOKUP(CONCATENATE(H421,F421,FK$2),Ciencias!$A:$H,7,FALSE)=BY421,1,0)</f>
        <v>#N/A</v>
      </c>
      <c r="FL421" s="138" t="e">
        <f>IF(VLOOKUP(CONCATENATE(H421,F421,FL$2),Ciencias!$A:$H,7,FALSE)=BZ421,1,0)</f>
        <v>#N/A</v>
      </c>
      <c r="FM421" s="138" t="e">
        <f>IF(VLOOKUP(CONCATENATE(H421,F421,FM$2),Ciencias!$A:$H,7,FALSE)=CA421,1,0)</f>
        <v>#N/A</v>
      </c>
      <c r="FN421" s="138" t="e">
        <f>IF(VLOOKUP(CONCATENATE(H421,F421,FN$2),Ciencias!$A:$H,7,FALSE)=CB421,1,0)</f>
        <v>#N/A</v>
      </c>
      <c r="FO421" s="138" t="e">
        <f>IF(VLOOKUP(CONCATENATE(H421,F421,FO$2),Ciencias!$A:$H,7,FALSE)=CC421,1,0)</f>
        <v>#N/A</v>
      </c>
      <c r="FP421" s="138" t="e">
        <f>IF(VLOOKUP(CONCATENATE(H421,F421,FP$2),GeoHis!$A:$H,7,FALSE)=CD421,1,0)</f>
        <v>#N/A</v>
      </c>
      <c r="FQ421" s="138" t="e">
        <f>IF(VLOOKUP(CONCATENATE(H421,F421,FQ$2),GeoHis!$A:$H,7,FALSE)=CE421,1,0)</f>
        <v>#N/A</v>
      </c>
      <c r="FR421" s="138" t="e">
        <f>IF(VLOOKUP(CONCATENATE(H421,F421,FR$2),GeoHis!$A:$H,7,FALSE)=CF421,1,0)</f>
        <v>#N/A</v>
      </c>
      <c r="FS421" s="138" t="e">
        <f>IF(VLOOKUP(CONCATENATE(H421,F421,FS$2),GeoHis!$A:$H,7,FALSE)=CG421,1,0)</f>
        <v>#N/A</v>
      </c>
      <c r="FT421" s="138" t="e">
        <f>IF(VLOOKUP(CONCATENATE(H421,F421,FT$2),GeoHis!$A:$H,7,FALSE)=CH421,1,0)</f>
        <v>#N/A</v>
      </c>
      <c r="FU421" s="138" t="e">
        <f>IF(VLOOKUP(CONCATENATE(H421,F421,FU$2),GeoHis!$A:$H,7,FALSE)=CI421,1,0)</f>
        <v>#N/A</v>
      </c>
      <c r="FV421" s="138" t="e">
        <f>IF(VLOOKUP(CONCATENATE(H421,F421,FV$2),GeoHis!$A:$H,7,FALSE)=CJ421,1,0)</f>
        <v>#N/A</v>
      </c>
      <c r="FW421" s="138" t="e">
        <f>IF(VLOOKUP(CONCATENATE(H421,F421,FW$2),GeoHis!$A:$H,7,FALSE)=CK421,1,0)</f>
        <v>#N/A</v>
      </c>
      <c r="FX421" s="138" t="e">
        <f>IF(VLOOKUP(CONCATENATE(H421,F421,FX$2),GeoHis!$A:$H,7,FALSE)=CL421,1,0)</f>
        <v>#N/A</v>
      </c>
      <c r="FY421" s="138" t="e">
        <f>IF(VLOOKUP(CONCATENATE(H421,F421,FY$2),GeoHis!$A:$H,7,FALSE)=CM421,1,0)</f>
        <v>#N/A</v>
      </c>
      <c r="FZ421" s="138" t="e">
        <f>IF(VLOOKUP(CONCATENATE(H421,F421,FZ$2),GeoHis!$A:$H,7,FALSE)=CN421,1,0)</f>
        <v>#N/A</v>
      </c>
      <c r="GA421" s="138" t="e">
        <f>IF(VLOOKUP(CONCATENATE(H421,F421,GA$2),GeoHis!$A:$H,7,FALSE)=CO421,1,0)</f>
        <v>#N/A</v>
      </c>
      <c r="GB421" s="138" t="e">
        <f>IF(VLOOKUP(CONCATENATE(H421,F421,GB$2),GeoHis!$A:$H,7,FALSE)=CP421,1,0)</f>
        <v>#N/A</v>
      </c>
      <c r="GC421" s="138" t="e">
        <f>IF(VLOOKUP(CONCATENATE(H421,F421,GC$2),GeoHis!$A:$H,7,FALSE)=CQ421,1,0)</f>
        <v>#N/A</v>
      </c>
      <c r="GD421" s="138" t="e">
        <f>IF(VLOOKUP(CONCATENATE(H421,F421,GD$2),GeoHis!$A:$H,7,FALSE)=CR421,1,0)</f>
        <v>#N/A</v>
      </c>
      <c r="GE421" s="135" t="str">
        <f t="shared" si="55"/>
        <v/>
      </c>
    </row>
    <row r="422" spans="1:187" x14ac:dyDescent="0.25">
      <c r="A422" s="127" t="str">
        <f>IF(C422="","",'Datos Generales'!$A$25)</f>
        <v/>
      </c>
      <c r="D422" s="126" t="str">
        <f t="shared" si="48"/>
        <v/>
      </c>
      <c r="E422" s="126">
        <f t="shared" si="49"/>
        <v>0</v>
      </c>
      <c r="F422" s="126" t="str">
        <f t="shared" si="50"/>
        <v/>
      </c>
      <c r="G422" s="126" t="str">
        <f>IF(C422="","",'Datos Generales'!$D$19)</f>
        <v/>
      </c>
      <c r="H422" s="21" t="str">
        <f>IF(C422="","",'Datos Generales'!$A$19)</f>
        <v/>
      </c>
      <c r="I422" s="126" t="str">
        <f>IF(C422="","",'Datos Generales'!$A$7)</f>
        <v/>
      </c>
      <c r="J422" s="21" t="str">
        <f>IF(C422="","",'Datos Generales'!$A$13)</f>
        <v/>
      </c>
      <c r="K422" s="21" t="str">
        <f>IF(C422="","",'Datos Generales'!$A$10)</f>
        <v/>
      </c>
      <c r="CS422" s="142" t="str">
        <f t="shared" si="51"/>
        <v/>
      </c>
      <c r="CT422" s="142" t="str">
        <f t="shared" si="52"/>
        <v/>
      </c>
      <c r="CU422" s="142" t="str">
        <f t="shared" si="53"/>
        <v/>
      </c>
      <c r="CV422" s="142" t="str">
        <f t="shared" si="54"/>
        <v/>
      </c>
      <c r="CW422" s="142" t="str">
        <f>IF(C422="","",IF('Datos Generales'!$A$19=1,AVERAGE(FP422:GD422),AVERAGE(Captura!FP422:FY422)))</f>
        <v/>
      </c>
      <c r="CX422" s="138" t="e">
        <f>IF(VLOOKUP(CONCATENATE($H$4,$F$4,CX$2),Español!$A:$H,7,FALSE)=L422,1,0)</f>
        <v>#N/A</v>
      </c>
      <c r="CY422" s="138" t="e">
        <f>IF(VLOOKUP(CONCATENATE(H422,F422,CY$2),Español!$A:$H,7,FALSE)=M422,1,0)</f>
        <v>#N/A</v>
      </c>
      <c r="CZ422" s="138" t="e">
        <f>IF(VLOOKUP(CONCATENATE(H422,F422,CZ$2),Español!$A:$H,7,FALSE)=N422,1,0)</f>
        <v>#N/A</v>
      </c>
      <c r="DA422" s="138" t="e">
        <f>IF(VLOOKUP(CONCATENATE(H422,F422,DA$2),Español!$A:$H,7,FALSE)=O422,1,0)</f>
        <v>#N/A</v>
      </c>
      <c r="DB422" s="138" t="e">
        <f>IF(VLOOKUP(CONCATENATE(H422,F422,DB$2),Español!$A:$H,7,FALSE)=P422,1,0)</f>
        <v>#N/A</v>
      </c>
      <c r="DC422" s="138" t="e">
        <f>IF(VLOOKUP(CONCATENATE(H422,F422,DC$2),Español!$A:$H,7,FALSE)=Q422,1,0)</f>
        <v>#N/A</v>
      </c>
      <c r="DD422" s="138" t="e">
        <f>IF(VLOOKUP(CONCATENATE(H422,F422,DD$2),Español!$A:$H,7,FALSE)=R422,1,0)</f>
        <v>#N/A</v>
      </c>
      <c r="DE422" s="138" t="e">
        <f>IF(VLOOKUP(CONCATENATE(H422,F422,DE$2),Español!$A:$H,7,FALSE)=S422,1,0)</f>
        <v>#N/A</v>
      </c>
      <c r="DF422" s="138" t="e">
        <f>IF(VLOOKUP(CONCATENATE(H422,F422,DF$2),Español!$A:$H,7,FALSE)=T422,1,0)</f>
        <v>#N/A</v>
      </c>
      <c r="DG422" s="138" t="e">
        <f>IF(VLOOKUP(CONCATENATE(H422,F422,DG$2),Español!$A:$H,7,FALSE)=U422,1,0)</f>
        <v>#N/A</v>
      </c>
      <c r="DH422" s="138" t="e">
        <f>IF(VLOOKUP(CONCATENATE(H422,F422,DH$2),Español!$A:$H,7,FALSE)=V422,1,0)</f>
        <v>#N/A</v>
      </c>
      <c r="DI422" s="138" t="e">
        <f>IF(VLOOKUP(CONCATENATE(H422,F422,DI$2),Español!$A:$H,7,FALSE)=W422,1,0)</f>
        <v>#N/A</v>
      </c>
      <c r="DJ422" s="138" t="e">
        <f>IF(VLOOKUP(CONCATENATE(H422,F422,DJ$2),Español!$A:$H,7,FALSE)=X422,1,0)</f>
        <v>#N/A</v>
      </c>
      <c r="DK422" s="138" t="e">
        <f>IF(VLOOKUP(CONCATENATE(H422,F422,DK$2),Español!$A:$H,7,FALSE)=Y422,1,0)</f>
        <v>#N/A</v>
      </c>
      <c r="DL422" s="138" t="e">
        <f>IF(VLOOKUP(CONCATENATE(H422,F422,DL$2),Español!$A:$H,7,FALSE)=Z422,1,0)</f>
        <v>#N/A</v>
      </c>
      <c r="DM422" s="138" t="e">
        <f>IF(VLOOKUP(CONCATENATE(H422,F422,DM$2),Español!$A:$H,7,FALSE)=AA422,1,0)</f>
        <v>#N/A</v>
      </c>
      <c r="DN422" s="138" t="e">
        <f>IF(VLOOKUP(CONCATENATE(H422,F422,DN$2),Español!$A:$H,7,FALSE)=AB422,1,0)</f>
        <v>#N/A</v>
      </c>
      <c r="DO422" s="138" t="e">
        <f>IF(VLOOKUP(CONCATENATE(H422,F422,DO$2),Español!$A:$H,7,FALSE)=AC422,1,0)</f>
        <v>#N/A</v>
      </c>
      <c r="DP422" s="138" t="e">
        <f>IF(VLOOKUP(CONCATENATE(H422,F422,DP$2),Español!$A:$H,7,FALSE)=AD422,1,0)</f>
        <v>#N/A</v>
      </c>
      <c r="DQ422" s="138" t="e">
        <f>IF(VLOOKUP(CONCATENATE(H422,F422,DQ$2),Español!$A:$H,7,FALSE)=AE422,1,0)</f>
        <v>#N/A</v>
      </c>
      <c r="DR422" s="138" t="e">
        <f>IF(VLOOKUP(CONCATENATE(H422,F422,DR$2),Inglés!$A:$H,7,FALSE)=AF422,1,0)</f>
        <v>#N/A</v>
      </c>
      <c r="DS422" s="138" t="e">
        <f>IF(VLOOKUP(CONCATENATE(H422,F422,DS$2),Inglés!$A:$H,7,FALSE)=AG422,1,0)</f>
        <v>#N/A</v>
      </c>
      <c r="DT422" s="138" t="e">
        <f>IF(VLOOKUP(CONCATENATE(H422,F422,DT$2),Inglés!$A:$H,7,FALSE)=AH422,1,0)</f>
        <v>#N/A</v>
      </c>
      <c r="DU422" s="138" t="e">
        <f>IF(VLOOKUP(CONCATENATE(H422,F422,DU$2),Inglés!$A:$H,7,FALSE)=AI422,1,0)</f>
        <v>#N/A</v>
      </c>
      <c r="DV422" s="138" t="e">
        <f>IF(VLOOKUP(CONCATENATE(H422,F422,DV$2),Inglés!$A:$H,7,FALSE)=AJ422,1,0)</f>
        <v>#N/A</v>
      </c>
      <c r="DW422" s="138" t="e">
        <f>IF(VLOOKUP(CONCATENATE(H422,F422,DW$2),Inglés!$A:$H,7,FALSE)=AK422,1,0)</f>
        <v>#N/A</v>
      </c>
      <c r="DX422" s="138" t="e">
        <f>IF(VLOOKUP(CONCATENATE(H422,F422,DX$2),Inglés!$A:$H,7,FALSE)=AL422,1,0)</f>
        <v>#N/A</v>
      </c>
      <c r="DY422" s="138" t="e">
        <f>IF(VLOOKUP(CONCATENATE(H422,F422,DY$2),Inglés!$A:$H,7,FALSE)=AM422,1,0)</f>
        <v>#N/A</v>
      </c>
      <c r="DZ422" s="138" t="e">
        <f>IF(VLOOKUP(CONCATENATE(H422,F422,DZ$2),Inglés!$A:$H,7,FALSE)=AN422,1,0)</f>
        <v>#N/A</v>
      </c>
      <c r="EA422" s="138" t="e">
        <f>IF(VLOOKUP(CONCATENATE(H422,F422,EA$2),Inglés!$A:$H,7,FALSE)=AO422,1,0)</f>
        <v>#N/A</v>
      </c>
      <c r="EB422" s="138" t="e">
        <f>IF(VLOOKUP(CONCATENATE(H422,F422,EB$2),Matemáticas!$A:$H,7,FALSE)=AP422,1,0)</f>
        <v>#N/A</v>
      </c>
      <c r="EC422" s="138" t="e">
        <f>IF(VLOOKUP(CONCATENATE(H422,F422,EC$2),Matemáticas!$A:$H,7,FALSE)=AQ422,1,0)</f>
        <v>#N/A</v>
      </c>
      <c r="ED422" s="138" t="e">
        <f>IF(VLOOKUP(CONCATENATE(H422,F422,ED$2),Matemáticas!$A:$H,7,FALSE)=AR422,1,0)</f>
        <v>#N/A</v>
      </c>
      <c r="EE422" s="138" t="e">
        <f>IF(VLOOKUP(CONCATENATE(H422,F422,EE$2),Matemáticas!$A:$H,7,FALSE)=AS422,1,0)</f>
        <v>#N/A</v>
      </c>
      <c r="EF422" s="138" t="e">
        <f>IF(VLOOKUP(CONCATENATE(H422,F422,EF$2),Matemáticas!$A:$H,7,FALSE)=AT422,1,0)</f>
        <v>#N/A</v>
      </c>
      <c r="EG422" s="138" t="e">
        <f>IF(VLOOKUP(CONCATENATE(H422,F422,EG$2),Matemáticas!$A:$H,7,FALSE)=AU422,1,0)</f>
        <v>#N/A</v>
      </c>
      <c r="EH422" s="138" t="e">
        <f>IF(VLOOKUP(CONCATENATE(H422,F422,EH$2),Matemáticas!$A:$H,7,FALSE)=AV422,1,0)</f>
        <v>#N/A</v>
      </c>
      <c r="EI422" s="138" t="e">
        <f>IF(VLOOKUP(CONCATENATE(H422,F422,EI$2),Matemáticas!$A:$H,7,FALSE)=AW422,1,0)</f>
        <v>#N/A</v>
      </c>
      <c r="EJ422" s="138" t="e">
        <f>IF(VLOOKUP(CONCATENATE(H422,F422,EJ$2),Matemáticas!$A:$H,7,FALSE)=AX422,1,0)</f>
        <v>#N/A</v>
      </c>
      <c r="EK422" s="138" t="e">
        <f>IF(VLOOKUP(CONCATENATE(H422,F422,EK$2),Matemáticas!$A:$H,7,FALSE)=AY422,1,0)</f>
        <v>#N/A</v>
      </c>
      <c r="EL422" s="138" t="e">
        <f>IF(VLOOKUP(CONCATENATE(H422,F422,EL$2),Matemáticas!$A:$H,7,FALSE)=AZ422,1,0)</f>
        <v>#N/A</v>
      </c>
      <c r="EM422" s="138" t="e">
        <f>IF(VLOOKUP(CONCATENATE(H422,F422,EM$2),Matemáticas!$A:$H,7,FALSE)=BA422,1,0)</f>
        <v>#N/A</v>
      </c>
      <c r="EN422" s="138" t="e">
        <f>IF(VLOOKUP(CONCATENATE(H422,F422,EN$2),Matemáticas!$A:$H,7,FALSE)=BB422,1,0)</f>
        <v>#N/A</v>
      </c>
      <c r="EO422" s="138" t="e">
        <f>IF(VLOOKUP(CONCATENATE(H422,F422,EO$2),Matemáticas!$A:$H,7,FALSE)=BC422,1,0)</f>
        <v>#N/A</v>
      </c>
      <c r="EP422" s="138" t="e">
        <f>IF(VLOOKUP(CONCATENATE(H422,F422,EP$2),Matemáticas!$A:$H,7,FALSE)=BD422,1,0)</f>
        <v>#N/A</v>
      </c>
      <c r="EQ422" s="138" t="e">
        <f>IF(VLOOKUP(CONCATENATE(H422,F422,EQ$2),Matemáticas!$A:$H,7,FALSE)=BE422,1,0)</f>
        <v>#N/A</v>
      </c>
      <c r="ER422" s="138" t="e">
        <f>IF(VLOOKUP(CONCATENATE(H422,F422,ER$2),Matemáticas!$A:$H,7,FALSE)=BF422,1,0)</f>
        <v>#N/A</v>
      </c>
      <c r="ES422" s="138" t="e">
        <f>IF(VLOOKUP(CONCATENATE(H422,F422,ES$2),Matemáticas!$A:$H,7,FALSE)=BG422,1,0)</f>
        <v>#N/A</v>
      </c>
      <c r="ET422" s="138" t="e">
        <f>IF(VLOOKUP(CONCATENATE(H422,F422,ET$2),Matemáticas!$A:$H,7,FALSE)=BH422,1,0)</f>
        <v>#N/A</v>
      </c>
      <c r="EU422" s="138" t="e">
        <f>IF(VLOOKUP(CONCATENATE(H422,F422,EU$2),Matemáticas!$A:$H,7,FALSE)=BI422,1,0)</f>
        <v>#N/A</v>
      </c>
      <c r="EV422" s="138" t="e">
        <f>IF(VLOOKUP(CONCATENATE(H422,F422,EV$2),Ciencias!$A:$H,7,FALSE)=BJ422,1,0)</f>
        <v>#N/A</v>
      </c>
      <c r="EW422" s="138" t="e">
        <f>IF(VLOOKUP(CONCATENATE(H422,F422,EW$2),Ciencias!$A:$H,7,FALSE)=BK422,1,0)</f>
        <v>#N/A</v>
      </c>
      <c r="EX422" s="138" t="e">
        <f>IF(VLOOKUP(CONCATENATE(H422,F422,EX$2),Ciencias!$A:$H,7,FALSE)=BL422,1,0)</f>
        <v>#N/A</v>
      </c>
      <c r="EY422" s="138" t="e">
        <f>IF(VLOOKUP(CONCATENATE(H422,F422,EY$2),Ciencias!$A:$H,7,FALSE)=BM422,1,0)</f>
        <v>#N/A</v>
      </c>
      <c r="EZ422" s="138" t="e">
        <f>IF(VLOOKUP(CONCATENATE(H422,F422,EZ$2),Ciencias!$A:$H,7,FALSE)=BN422,1,0)</f>
        <v>#N/A</v>
      </c>
      <c r="FA422" s="138" t="e">
        <f>IF(VLOOKUP(CONCATENATE(H422,F422,FA$2),Ciencias!$A:$H,7,FALSE)=BO422,1,0)</f>
        <v>#N/A</v>
      </c>
      <c r="FB422" s="138" t="e">
        <f>IF(VLOOKUP(CONCATENATE(H422,F422,FB$2),Ciencias!$A:$H,7,FALSE)=BP422,1,0)</f>
        <v>#N/A</v>
      </c>
      <c r="FC422" s="138" t="e">
        <f>IF(VLOOKUP(CONCATENATE(H422,F422,FC$2),Ciencias!$A:$H,7,FALSE)=BQ422,1,0)</f>
        <v>#N/A</v>
      </c>
      <c r="FD422" s="138" t="e">
        <f>IF(VLOOKUP(CONCATENATE(H422,F422,FD$2),Ciencias!$A:$H,7,FALSE)=BR422,1,0)</f>
        <v>#N/A</v>
      </c>
      <c r="FE422" s="138" t="e">
        <f>IF(VLOOKUP(CONCATENATE(H422,F422,FE$2),Ciencias!$A:$H,7,FALSE)=BS422,1,0)</f>
        <v>#N/A</v>
      </c>
      <c r="FF422" s="138" t="e">
        <f>IF(VLOOKUP(CONCATENATE(H422,F422,FF$2),Ciencias!$A:$H,7,FALSE)=BT422,1,0)</f>
        <v>#N/A</v>
      </c>
      <c r="FG422" s="138" t="e">
        <f>IF(VLOOKUP(CONCATENATE(H422,F422,FG$2),Ciencias!$A:$H,7,FALSE)=BU422,1,0)</f>
        <v>#N/A</v>
      </c>
      <c r="FH422" s="138" t="e">
        <f>IF(VLOOKUP(CONCATENATE(H422,F422,FH$2),Ciencias!$A:$H,7,FALSE)=BV422,1,0)</f>
        <v>#N/A</v>
      </c>
      <c r="FI422" s="138" t="e">
        <f>IF(VLOOKUP(CONCATENATE(H422,F422,FI$2),Ciencias!$A:$H,7,FALSE)=BW422,1,0)</f>
        <v>#N/A</v>
      </c>
      <c r="FJ422" s="138" t="e">
        <f>IF(VLOOKUP(CONCATENATE(H422,F422,FJ$2),Ciencias!$A:$H,7,FALSE)=BX422,1,0)</f>
        <v>#N/A</v>
      </c>
      <c r="FK422" s="138" t="e">
        <f>IF(VLOOKUP(CONCATENATE(H422,F422,FK$2),Ciencias!$A:$H,7,FALSE)=BY422,1,0)</f>
        <v>#N/A</v>
      </c>
      <c r="FL422" s="138" t="e">
        <f>IF(VLOOKUP(CONCATENATE(H422,F422,FL$2),Ciencias!$A:$H,7,FALSE)=BZ422,1,0)</f>
        <v>#N/A</v>
      </c>
      <c r="FM422" s="138" t="e">
        <f>IF(VLOOKUP(CONCATENATE(H422,F422,FM$2),Ciencias!$A:$H,7,FALSE)=CA422,1,0)</f>
        <v>#N/A</v>
      </c>
      <c r="FN422" s="138" t="e">
        <f>IF(VLOOKUP(CONCATENATE(H422,F422,FN$2),Ciencias!$A:$H,7,FALSE)=CB422,1,0)</f>
        <v>#N/A</v>
      </c>
      <c r="FO422" s="138" t="e">
        <f>IF(VLOOKUP(CONCATENATE(H422,F422,FO$2),Ciencias!$A:$H,7,FALSE)=CC422,1,0)</f>
        <v>#N/A</v>
      </c>
      <c r="FP422" s="138" t="e">
        <f>IF(VLOOKUP(CONCATENATE(H422,F422,FP$2),GeoHis!$A:$H,7,FALSE)=CD422,1,0)</f>
        <v>#N/A</v>
      </c>
      <c r="FQ422" s="138" t="e">
        <f>IF(VLOOKUP(CONCATENATE(H422,F422,FQ$2),GeoHis!$A:$H,7,FALSE)=CE422,1,0)</f>
        <v>#N/A</v>
      </c>
      <c r="FR422" s="138" t="e">
        <f>IF(VLOOKUP(CONCATENATE(H422,F422,FR$2),GeoHis!$A:$H,7,FALSE)=CF422,1,0)</f>
        <v>#N/A</v>
      </c>
      <c r="FS422" s="138" t="e">
        <f>IF(VLOOKUP(CONCATENATE(H422,F422,FS$2),GeoHis!$A:$H,7,FALSE)=CG422,1,0)</f>
        <v>#N/A</v>
      </c>
      <c r="FT422" s="138" t="e">
        <f>IF(VLOOKUP(CONCATENATE(H422,F422,FT$2),GeoHis!$A:$H,7,FALSE)=CH422,1,0)</f>
        <v>#N/A</v>
      </c>
      <c r="FU422" s="138" t="e">
        <f>IF(VLOOKUP(CONCATENATE(H422,F422,FU$2),GeoHis!$A:$H,7,FALSE)=CI422,1,0)</f>
        <v>#N/A</v>
      </c>
      <c r="FV422" s="138" t="e">
        <f>IF(VLOOKUP(CONCATENATE(H422,F422,FV$2),GeoHis!$A:$H,7,FALSE)=CJ422,1,0)</f>
        <v>#N/A</v>
      </c>
      <c r="FW422" s="138" t="e">
        <f>IF(VLOOKUP(CONCATENATE(H422,F422,FW$2),GeoHis!$A:$H,7,FALSE)=CK422,1,0)</f>
        <v>#N/A</v>
      </c>
      <c r="FX422" s="138" t="e">
        <f>IF(VLOOKUP(CONCATENATE(H422,F422,FX$2),GeoHis!$A:$H,7,FALSE)=CL422,1,0)</f>
        <v>#N/A</v>
      </c>
      <c r="FY422" s="138" t="e">
        <f>IF(VLOOKUP(CONCATENATE(H422,F422,FY$2),GeoHis!$A:$H,7,FALSE)=CM422,1,0)</f>
        <v>#N/A</v>
      </c>
      <c r="FZ422" s="138" t="e">
        <f>IF(VLOOKUP(CONCATENATE(H422,F422,FZ$2),GeoHis!$A:$H,7,FALSE)=CN422,1,0)</f>
        <v>#N/A</v>
      </c>
      <c r="GA422" s="138" t="e">
        <f>IF(VLOOKUP(CONCATENATE(H422,F422,GA$2),GeoHis!$A:$H,7,FALSE)=CO422,1,0)</f>
        <v>#N/A</v>
      </c>
      <c r="GB422" s="138" t="e">
        <f>IF(VLOOKUP(CONCATENATE(H422,F422,GB$2),GeoHis!$A:$H,7,FALSE)=CP422,1,0)</f>
        <v>#N/A</v>
      </c>
      <c r="GC422" s="138" t="e">
        <f>IF(VLOOKUP(CONCATENATE(H422,F422,GC$2),GeoHis!$A:$H,7,FALSE)=CQ422,1,0)</f>
        <v>#N/A</v>
      </c>
      <c r="GD422" s="138" t="e">
        <f>IF(VLOOKUP(CONCATENATE(H422,F422,GD$2),GeoHis!$A:$H,7,FALSE)=CR422,1,0)</f>
        <v>#N/A</v>
      </c>
      <c r="GE422" s="135" t="str">
        <f t="shared" si="55"/>
        <v/>
      </c>
    </row>
    <row r="423" spans="1:187" x14ac:dyDescent="0.25">
      <c r="A423" s="127" t="str">
        <f>IF(C423="","",'Datos Generales'!$A$25)</f>
        <v/>
      </c>
      <c r="D423" s="126" t="str">
        <f t="shared" si="48"/>
        <v/>
      </c>
      <c r="E423" s="126">
        <f t="shared" si="49"/>
        <v>0</v>
      </c>
      <c r="F423" s="126" t="str">
        <f t="shared" si="50"/>
        <v/>
      </c>
      <c r="G423" s="126" t="str">
        <f>IF(C423="","",'Datos Generales'!$D$19)</f>
        <v/>
      </c>
      <c r="H423" s="21" t="str">
        <f>IF(C423="","",'Datos Generales'!$A$19)</f>
        <v/>
      </c>
      <c r="I423" s="126" t="str">
        <f>IF(C423="","",'Datos Generales'!$A$7)</f>
        <v/>
      </c>
      <c r="J423" s="21" t="str">
        <f>IF(C423="","",'Datos Generales'!$A$13)</f>
        <v/>
      </c>
      <c r="K423" s="21" t="str">
        <f>IF(C423="","",'Datos Generales'!$A$10)</f>
        <v/>
      </c>
      <c r="CS423" s="142" t="str">
        <f t="shared" si="51"/>
        <v/>
      </c>
      <c r="CT423" s="142" t="str">
        <f t="shared" si="52"/>
        <v/>
      </c>
      <c r="CU423" s="142" t="str">
        <f t="shared" si="53"/>
        <v/>
      </c>
      <c r="CV423" s="142" t="str">
        <f t="shared" si="54"/>
        <v/>
      </c>
      <c r="CW423" s="142" t="str">
        <f>IF(C423="","",IF('Datos Generales'!$A$19=1,AVERAGE(FP423:GD423),AVERAGE(Captura!FP423:FY423)))</f>
        <v/>
      </c>
      <c r="CX423" s="138" t="e">
        <f>IF(VLOOKUP(CONCATENATE($H$4,$F$4,CX$2),Español!$A:$H,7,FALSE)=L423,1,0)</f>
        <v>#N/A</v>
      </c>
      <c r="CY423" s="138" t="e">
        <f>IF(VLOOKUP(CONCATENATE(H423,F423,CY$2),Español!$A:$H,7,FALSE)=M423,1,0)</f>
        <v>#N/A</v>
      </c>
      <c r="CZ423" s="138" t="e">
        <f>IF(VLOOKUP(CONCATENATE(H423,F423,CZ$2),Español!$A:$H,7,FALSE)=N423,1,0)</f>
        <v>#N/A</v>
      </c>
      <c r="DA423" s="138" t="e">
        <f>IF(VLOOKUP(CONCATENATE(H423,F423,DA$2),Español!$A:$H,7,FALSE)=O423,1,0)</f>
        <v>#N/A</v>
      </c>
      <c r="DB423" s="138" t="e">
        <f>IF(VLOOKUP(CONCATENATE(H423,F423,DB$2),Español!$A:$H,7,FALSE)=P423,1,0)</f>
        <v>#N/A</v>
      </c>
      <c r="DC423" s="138" t="e">
        <f>IF(VLOOKUP(CONCATENATE(H423,F423,DC$2),Español!$A:$H,7,FALSE)=Q423,1,0)</f>
        <v>#N/A</v>
      </c>
      <c r="DD423" s="138" t="e">
        <f>IF(VLOOKUP(CONCATENATE(H423,F423,DD$2),Español!$A:$H,7,FALSE)=R423,1,0)</f>
        <v>#N/A</v>
      </c>
      <c r="DE423" s="138" t="e">
        <f>IF(VLOOKUP(CONCATENATE(H423,F423,DE$2),Español!$A:$H,7,FALSE)=S423,1,0)</f>
        <v>#N/A</v>
      </c>
      <c r="DF423" s="138" t="e">
        <f>IF(VLOOKUP(CONCATENATE(H423,F423,DF$2),Español!$A:$H,7,FALSE)=T423,1,0)</f>
        <v>#N/A</v>
      </c>
      <c r="DG423" s="138" t="e">
        <f>IF(VLOOKUP(CONCATENATE(H423,F423,DG$2),Español!$A:$H,7,FALSE)=U423,1,0)</f>
        <v>#N/A</v>
      </c>
      <c r="DH423" s="138" t="e">
        <f>IF(VLOOKUP(CONCATENATE(H423,F423,DH$2),Español!$A:$H,7,FALSE)=V423,1,0)</f>
        <v>#N/A</v>
      </c>
      <c r="DI423" s="138" t="e">
        <f>IF(VLOOKUP(CONCATENATE(H423,F423,DI$2),Español!$A:$H,7,FALSE)=W423,1,0)</f>
        <v>#N/A</v>
      </c>
      <c r="DJ423" s="138" t="e">
        <f>IF(VLOOKUP(CONCATENATE(H423,F423,DJ$2),Español!$A:$H,7,FALSE)=X423,1,0)</f>
        <v>#N/A</v>
      </c>
      <c r="DK423" s="138" t="e">
        <f>IF(VLOOKUP(CONCATENATE(H423,F423,DK$2),Español!$A:$H,7,FALSE)=Y423,1,0)</f>
        <v>#N/A</v>
      </c>
      <c r="DL423" s="138" t="e">
        <f>IF(VLOOKUP(CONCATENATE(H423,F423,DL$2),Español!$A:$H,7,FALSE)=Z423,1,0)</f>
        <v>#N/A</v>
      </c>
      <c r="DM423" s="138" t="e">
        <f>IF(VLOOKUP(CONCATENATE(H423,F423,DM$2),Español!$A:$H,7,FALSE)=AA423,1,0)</f>
        <v>#N/A</v>
      </c>
      <c r="DN423" s="138" t="e">
        <f>IF(VLOOKUP(CONCATENATE(H423,F423,DN$2),Español!$A:$H,7,FALSE)=AB423,1,0)</f>
        <v>#N/A</v>
      </c>
      <c r="DO423" s="138" t="e">
        <f>IF(VLOOKUP(CONCATENATE(H423,F423,DO$2),Español!$A:$H,7,FALSE)=AC423,1,0)</f>
        <v>#N/A</v>
      </c>
      <c r="DP423" s="138" t="e">
        <f>IF(VLOOKUP(CONCATENATE(H423,F423,DP$2),Español!$A:$H,7,FALSE)=AD423,1,0)</f>
        <v>#N/A</v>
      </c>
      <c r="DQ423" s="138" t="e">
        <f>IF(VLOOKUP(CONCATENATE(H423,F423,DQ$2),Español!$A:$H,7,FALSE)=AE423,1,0)</f>
        <v>#N/A</v>
      </c>
      <c r="DR423" s="138" t="e">
        <f>IF(VLOOKUP(CONCATENATE(H423,F423,DR$2),Inglés!$A:$H,7,FALSE)=AF423,1,0)</f>
        <v>#N/A</v>
      </c>
      <c r="DS423" s="138" t="e">
        <f>IF(VLOOKUP(CONCATENATE(H423,F423,DS$2),Inglés!$A:$H,7,FALSE)=AG423,1,0)</f>
        <v>#N/A</v>
      </c>
      <c r="DT423" s="138" t="e">
        <f>IF(VLOOKUP(CONCATENATE(H423,F423,DT$2),Inglés!$A:$H,7,FALSE)=AH423,1,0)</f>
        <v>#N/A</v>
      </c>
      <c r="DU423" s="138" t="e">
        <f>IF(VLOOKUP(CONCATENATE(H423,F423,DU$2),Inglés!$A:$H,7,FALSE)=AI423,1,0)</f>
        <v>#N/A</v>
      </c>
      <c r="DV423" s="138" t="e">
        <f>IF(VLOOKUP(CONCATENATE(H423,F423,DV$2),Inglés!$A:$H,7,FALSE)=AJ423,1,0)</f>
        <v>#N/A</v>
      </c>
      <c r="DW423" s="138" t="e">
        <f>IF(VLOOKUP(CONCATENATE(H423,F423,DW$2),Inglés!$A:$H,7,FALSE)=AK423,1,0)</f>
        <v>#N/A</v>
      </c>
      <c r="DX423" s="138" t="e">
        <f>IF(VLOOKUP(CONCATENATE(H423,F423,DX$2),Inglés!$A:$H,7,FALSE)=AL423,1,0)</f>
        <v>#N/A</v>
      </c>
      <c r="DY423" s="138" t="e">
        <f>IF(VLOOKUP(CONCATENATE(H423,F423,DY$2),Inglés!$A:$H,7,FALSE)=AM423,1,0)</f>
        <v>#N/A</v>
      </c>
      <c r="DZ423" s="138" t="e">
        <f>IF(VLOOKUP(CONCATENATE(H423,F423,DZ$2),Inglés!$A:$H,7,FALSE)=AN423,1,0)</f>
        <v>#N/A</v>
      </c>
      <c r="EA423" s="138" t="e">
        <f>IF(VLOOKUP(CONCATENATE(H423,F423,EA$2),Inglés!$A:$H,7,FALSE)=AO423,1,0)</f>
        <v>#N/A</v>
      </c>
      <c r="EB423" s="138" t="e">
        <f>IF(VLOOKUP(CONCATENATE(H423,F423,EB$2),Matemáticas!$A:$H,7,FALSE)=AP423,1,0)</f>
        <v>#N/A</v>
      </c>
      <c r="EC423" s="138" t="e">
        <f>IF(VLOOKUP(CONCATENATE(H423,F423,EC$2),Matemáticas!$A:$H,7,FALSE)=AQ423,1,0)</f>
        <v>#N/A</v>
      </c>
      <c r="ED423" s="138" t="e">
        <f>IF(VLOOKUP(CONCATENATE(H423,F423,ED$2),Matemáticas!$A:$H,7,FALSE)=AR423,1,0)</f>
        <v>#N/A</v>
      </c>
      <c r="EE423" s="138" t="e">
        <f>IF(VLOOKUP(CONCATENATE(H423,F423,EE$2),Matemáticas!$A:$H,7,FALSE)=AS423,1,0)</f>
        <v>#N/A</v>
      </c>
      <c r="EF423" s="138" t="e">
        <f>IF(VLOOKUP(CONCATENATE(H423,F423,EF$2),Matemáticas!$A:$H,7,FALSE)=AT423,1,0)</f>
        <v>#N/A</v>
      </c>
      <c r="EG423" s="138" t="e">
        <f>IF(VLOOKUP(CONCATENATE(H423,F423,EG$2),Matemáticas!$A:$H,7,FALSE)=AU423,1,0)</f>
        <v>#N/A</v>
      </c>
      <c r="EH423" s="138" t="e">
        <f>IF(VLOOKUP(CONCATENATE(H423,F423,EH$2),Matemáticas!$A:$H,7,FALSE)=AV423,1,0)</f>
        <v>#N/A</v>
      </c>
      <c r="EI423" s="138" t="e">
        <f>IF(VLOOKUP(CONCATENATE(H423,F423,EI$2),Matemáticas!$A:$H,7,FALSE)=AW423,1,0)</f>
        <v>#N/A</v>
      </c>
      <c r="EJ423" s="138" t="e">
        <f>IF(VLOOKUP(CONCATENATE(H423,F423,EJ$2),Matemáticas!$A:$H,7,FALSE)=AX423,1,0)</f>
        <v>#N/A</v>
      </c>
      <c r="EK423" s="138" t="e">
        <f>IF(VLOOKUP(CONCATENATE(H423,F423,EK$2),Matemáticas!$A:$H,7,FALSE)=AY423,1,0)</f>
        <v>#N/A</v>
      </c>
      <c r="EL423" s="138" t="e">
        <f>IF(VLOOKUP(CONCATENATE(H423,F423,EL$2),Matemáticas!$A:$H,7,FALSE)=AZ423,1,0)</f>
        <v>#N/A</v>
      </c>
      <c r="EM423" s="138" t="e">
        <f>IF(VLOOKUP(CONCATENATE(H423,F423,EM$2),Matemáticas!$A:$H,7,FALSE)=BA423,1,0)</f>
        <v>#N/A</v>
      </c>
      <c r="EN423" s="138" t="e">
        <f>IF(VLOOKUP(CONCATENATE(H423,F423,EN$2),Matemáticas!$A:$H,7,FALSE)=BB423,1,0)</f>
        <v>#N/A</v>
      </c>
      <c r="EO423" s="138" t="e">
        <f>IF(VLOOKUP(CONCATENATE(H423,F423,EO$2),Matemáticas!$A:$H,7,FALSE)=BC423,1,0)</f>
        <v>#N/A</v>
      </c>
      <c r="EP423" s="138" t="e">
        <f>IF(VLOOKUP(CONCATENATE(H423,F423,EP$2),Matemáticas!$A:$H,7,FALSE)=BD423,1,0)</f>
        <v>#N/A</v>
      </c>
      <c r="EQ423" s="138" t="e">
        <f>IF(VLOOKUP(CONCATENATE(H423,F423,EQ$2),Matemáticas!$A:$H,7,FALSE)=BE423,1,0)</f>
        <v>#N/A</v>
      </c>
      <c r="ER423" s="138" t="e">
        <f>IF(VLOOKUP(CONCATENATE(H423,F423,ER$2),Matemáticas!$A:$H,7,FALSE)=BF423,1,0)</f>
        <v>#N/A</v>
      </c>
      <c r="ES423" s="138" t="e">
        <f>IF(VLOOKUP(CONCATENATE(H423,F423,ES$2),Matemáticas!$A:$H,7,FALSE)=BG423,1,0)</f>
        <v>#N/A</v>
      </c>
      <c r="ET423" s="138" t="e">
        <f>IF(VLOOKUP(CONCATENATE(H423,F423,ET$2),Matemáticas!$A:$H,7,FALSE)=BH423,1,0)</f>
        <v>#N/A</v>
      </c>
      <c r="EU423" s="138" t="e">
        <f>IF(VLOOKUP(CONCATENATE(H423,F423,EU$2),Matemáticas!$A:$H,7,FALSE)=BI423,1,0)</f>
        <v>#N/A</v>
      </c>
      <c r="EV423" s="138" t="e">
        <f>IF(VLOOKUP(CONCATENATE(H423,F423,EV$2),Ciencias!$A:$H,7,FALSE)=BJ423,1,0)</f>
        <v>#N/A</v>
      </c>
      <c r="EW423" s="138" t="e">
        <f>IF(VLOOKUP(CONCATENATE(H423,F423,EW$2),Ciencias!$A:$H,7,FALSE)=BK423,1,0)</f>
        <v>#N/A</v>
      </c>
      <c r="EX423" s="138" t="e">
        <f>IF(VLOOKUP(CONCATENATE(H423,F423,EX$2),Ciencias!$A:$H,7,FALSE)=BL423,1,0)</f>
        <v>#N/A</v>
      </c>
      <c r="EY423" s="138" t="e">
        <f>IF(VLOOKUP(CONCATENATE(H423,F423,EY$2),Ciencias!$A:$H,7,FALSE)=BM423,1,0)</f>
        <v>#N/A</v>
      </c>
      <c r="EZ423" s="138" t="e">
        <f>IF(VLOOKUP(CONCATENATE(H423,F423,EZ$2),Ciencias!$A:$H,7,FALSE)=BN423,1,0)</f>
        <v>#N/A</v>
      </c>
      <c r="FA423" s="138" t="e">
        <f>IF(VLOOKUP(CONCATENATE(H423,F423,FA$2),Ciencias!$A:$H,7,FALSE)=BO423,1,0)</f>
        <v>#N/A</v>
      </c>
      <c r="FB423" s="138" t="e">
        <f>IF(VLOOKUP(CONCATENATE(H423,F423,FB$2),Ciencias!$A:$H,7,FALSE)=BP423,1,0)</f>
        <v>#N/A</v>
      </c>
      <c r="FC423" s="138" t="e">
        <f>IF(VLOOKUP(CONCATENATE(H423,F423,FC$2),Ciencias!$A:$H,7,FALSE)=BQ423,1,0)</f>
        <v>#N/A</v>
      </c>
      <c r="FD423" s="138" t="e">
        <f>IF(VLOOKUP(CONCATENATE(H423,F423,FD$2),Ciencias!$A:$H,7,FALSE)=BR423,1,0)</f>
        <v>#N/A</v>
      </c>
      <c r="FE423" s="138" t="e">
        <f>IF(VLOOKUP(CONCATENATE(H423,F423,FE$2),Ciencias!$A:$H,7,FALSE)=BS423,1,0)</f>
        <v>#N/A</v>
      </c>
      <c r="FF423" s="138" t="e">
        <f>IF(VLOOKUP(CONCATENATE(H423,F423,FF$2),Ciencias!$A:$H,7,FALSE)=BT423,1,0)</f>
        <v>#N/A</v>
      </c>
      <c r="FG423" s="138" t="e">
        <f>IF(VLOOKUP(CONCATENATE(H423,F423,FG$2),Ciencias!$A:$H,7,FALSE)=BU423,1,0)</f>
        <v>#N/A</v>
      </c>
      <c r="FH423" s="138" t="e">
        <f>IF(VLOOKUP(CONCATENATE(H423,F423,FH$2),Ciencias!$A:$H,7,FALSE)=BV423,1,0)</f>
        <v>#N/A</v>
      </c>
      <c r="FI423" s="138" t="e">
        <f>IF(VLOOKUP(CONCATENATE(H423,F423,FI$2),Ciencias!$A:$H,7,FALSE)=BW423,1,0)</f>
        <v>#N/A</v>
      </c>
      <c r="FJ423" s="138" t="e">
        <f>IF(VLOOKUP(CONCATENATE(H423,F423,FJ$2),Ciencias!$A:$H,7,FALSE)=BX423,1,0)</f>
        <v>#N/A</v>
      </c>
      <c r="FK423" s="138" t="e">
        <f>IF(VLOOKUP(CONCATENATE(H423,F423,FK$2),Ciencias!$A:$H,7,FALSE)=BY423,1,0)</f>
        <v>#N/A</v>
      </c>
      <c r="FL423" s="138" t="e">
        <f>IF(VLOOKUP(CONCATENATE(H423,F423,FL$2),Ciencias!$A:$H,7,FALSE)=BZ423,1,0)</f>
        <v>#N/A</v>
      </c>
      <c r="FM423" s="138" t="e">
        <f>IF(VLOOKUP(CONCATENATE(H423,F423,FM$2),Ciencias!$A:$H,7,FALSE)=CA423,1,0)</f>
        <v>#N/A</v>
      </c>
      <c r="FN423" s="138" t="e">
        <f>IF(VLOOKUP(CONCATENATE(H423,F423,FN$2),Ciencias!$A:$H,7,FALSE)=CB423,1,0)</f>
        <v>#N/A</v>
      </c>
      <c r="FO423" s="138" t="e">
        <f>IF(VLOOKUP(CONCATENATE(H423,F423,FO$2),Ciencias!$A:$H,7,FALSE)=CC423,1,0)</f>
        <v>#N/A</v>
      </c>
      <c r="FP423" s="138" t="e">
        <f>IF(VLOOKUP(CONCATENATE(H423,F423,FP$2),GeoHis!$A:$H,7,FALSE)=CD423,1,0)</f>
        <v>#N/A</v>
      </c>
      <c r="FQ423" s="138" t="e">
        <f>IF(VLOOKUP(CONCATENATE(H423,F423,FQ$2),GeoHis!$A:$H,7,FALSE)=CE423,1,0)</f>
        <v>#N/A</v>
      </c>
      <c r="FR423" s="138" t="e">
        <f>IF(VLOOKUP(CONCATENATE(H423,F423,FR$2),GeoHis!$A:$H,7,FALSE)=CF423,1,0)</f>
        <v>#N/A</v>
      </c>
      <c r="FS423" s="138" t="e">
        <f>IF(VLOOKUP(CONCATENATE(H423,F423,FS$2),GeoHis!$A:$H,7,FALSE)=CG423,1,0)</f>
        <v>#N/A</v>
      </c>
      <c r="FT423" s="138" t="e">
        <f>IF(VLOOKUP(CONCATENATE(H423,F423,FT$2),GeoHis!$A:$H,7,FALSE)=CH423,1,0)</f>
        <v>#N/A</v>
      </c>
      <c r="FU423" s="138" t="e">
        <f>IF(VLOOKUP(CONCATENATE(H423,F423,FU$2),GeoHis!$A:$H,7,FALSE)=CI423,1,0)</f>
        <v>#N/A</v>
      </c>
      <c r="FV423" s="138" t="e">
        <f>IF(VLOOKUP(CONCATENATE(H423,F423,FV$2),GeoHis!$A:$H,7,FALSE)=CJ423,1,0)</f>
        <v>#N/A</v>
      </c>
      <c r="FW423" s="138" t="e">
        <f>IF(VLOOKUP(CONCATENATE(H423,F423,FW$2),GeoHis!$A:$H,7,FALSE)=CK423,1,0)</f>
        <v>#N/A</v>
      </c>
      <c r="FX423" s="138" t="e">
        <f>IF(VLOOKUP(CONCATENATE(H423,F423,FX$2),GeoHis!$A:$H,7,FALSE)=CL423,1,0)</f>
        <v>#N/A</v>
      </c>
      <c r="FY423" s="138" t="e">
        <f>IF(VLOOKUP(CONCATENATE(H423,F423,FY$2),GeoHis!$A:$H,7,FALSE)=CM423,1,0)</f>
        <v>#N/A</v>
      </c>
      <c r="FZ423" s="138" t="e">
        <f>IF(VLOOKUP(CONCATENATE(H423,F423,FZ$2),GeoHis!$A:$H,7,FALSE)=CN423,1,0)</f>
        <v>#N/A</v>
      </c>
      <c r="GA423" s="138" t="e">
        <f>IF(VLOOKUP(CONCATENATE(H423,F423,GA$2),GeoHis!$A:$H,7,FALSE)=CO423,1,0)</f>
        <v>#N/A</v>
      </c>
      <c r="GB423" s="138" t="e">
        <f>IF(VLOOKUP(CONCATENATE(H423,F423,GB$2),GeoHis!$A:$H,7,FALSE)=CP423,1,0)</f>
        <v>#N/A</v>
      </c>
      <c r="GC423" s="138" t="e">
        <f>IF(VLOOKUP(CONCATENATE(H423,F423,GC$2),GeoHis!$A:$H,7,FALSE)=CQ423,1,0)</f>
        <v>#N/A</v>
      </c>
      <c r="GD423" s="138" t="e">
        <f>IF(VLOOKUP(CONCATENATE(H423,F423,GD$2),GeoHis!$A:$H,7,FALSE)=CR423,1,0)</f>
        <v>#N/A</v>
      </c>
      <c r="GE423" s="135" t="str">
        <f t="shared" si="55"/>
        <v/>
      </c>
    </row>
    <row r="424" spans="1:187" x14ac:dyDescent="0.25">
      <c r="A424" s="127" t="str">
        <f>IF(C424="","",'Datos Generales'!$A$25)</f>
        <v/>
      </c>
      <c r="D424" s="126" t="str">
        <f t="shared" si="48"/>
        <v/>
      </c>
      <c r="E424" s="126">
        <f t="shared" si="49"/>
        <v>0</v>
      </c>
      <c r="F424" s="126" t="str">
        <f t="shared" si="50"/>
        <v/>
      </c>
      <c r="G424" s="126" t="str">
        <f>IF(C424="","",'Datos Generales'!$D$19)</f>
        <v/>
      </c>
      <c r="H424" s="21" t="str">
        <f>IF(C424="","",'Datos Generales'!$A$19)</f>
        <v/>
      </c>
      <c r="I424" s="126" t="str">
        <f>IF(C424="","",'Datos Generales'!$A$7)</f>
        <v/>
      </c>
      <c r="J424" s="21" t="str">
        <f>IF(C424="","",'Datos Generales'!$A$13)</f>
        <v/>
      </c>
      <c r="K424" s="21" t="str">
        <f>IF(C424="","",'Datos Generales'!$A$10)</f>
        <v/>
      </c>
      <c r="CS424" s="142" t="str">
        <f t="shared" si="51"/>
        <v/>
      </c>
      <c r="CT424" s="142" t="str">
        <f t="shared" si="52"/>
        <v/>
      </c>
      <c r="CU424" s="142" t="str">
        <f t="shared" si="53"/>
        <v/>
      </c>
      <c r="CV424" s="142" t="str">
        <f t="shared" si="54"/>
        <v/>
      </c>
      <c r="CW424" s="142" t="str">
        <f>IF(C424="","",IF('Datos Generales'!$A$19=1,AVERAGE(FP424:GD424),AVERAGE(Captura!FP424:FY424)))</f>
        <v/>
      </c>
      <c r="CX424" s="138" t="e">
        <f>IF(VLOOKUP(CONCATENATE($H$4,$F$4,CX$2),Español!$A:$H,7,FALSE)=L424,1,0)</f>
        <v>#N/A</v>
      </c>
      <c r="CY424" s="138" t="e">
        <f>IF(VLOOKUP(CONCATENATE(H424,F424,CY$2),Español!$A:$H,7,FALSE)=M424,1,0)</f>
        <v>#N/A</v>
      </c>
      <c r="CZ424" s="138" t="e">
        <f>IF(VLOOKUP(CONCATENATE(H424,F424,CZ$2),Español!$A:$H,7,FALSE)=N424,1,0)</f>
        <v>#N/A</v>
      </c>
      <c r="DA424" s="138" t="e">
        <f>IF(VLOOKUP(CONCATENATE(H424,F424,DA$2),Español!$A:$H,7,FALSE)=O424,1,0)</f>
        <v>#N/A</v>
      </c>
      <c r="DB424" s="138" t="e">
        <f>IF(VLOOKUP(CONCATENATE(H424,F424,DB$2),Español!$A:$H,7,FALSE)=P424,1,0)</f>
        <v>#N/A</v>
      </c>
      <c r="DC424" s="138" t="e">
        <f>IF(VLOOKUP(CONCATENATE(H424,F424,DC$2),Español!$A:$H,7,FALSE)=Q424,1,0)</f>
        <v>#N/A</v>
      </c>
      <c r="DD424" s="138" t="e">
        <f>IF(VLOOKUP(CONCATENATE(H424,F424,DD$2),Español!$A:$H,7,FALSE)=R424,1,0)</f>
        <v>#N/A</v>
      </c>
      <c r="DE424" s="138" t="e">
        <f>IF(VLOOKUP(CONCATENATE(H424,F424,DE$2),Español!$A:$H,7,FALSE)=S424,1,0)</f>
        <v>#N/A</v>
      </c>
      <c r="DF424" s="138" t="e">
        <f>IF(VLOOKUP(CONCATENATE(H424,F424,DF$2),Español!$A:$H,7,FALSE)=T424,1,0)</f>
        <v>#N/A</v>
      </c>
      <c r="DG424" s="138" t="e">
        <f>IF(VLOOKUP(CONCATENATE(H424,F424,DG$2),Español!$A:$H,7,FALSE)=U424,1,0)</f>
        <v>#N/A</v>
      </c>
      <c r="DH424" s="138" t="e">
        <f>IF(VLOOKUP(CONCATENATE(H424,F424,DH$2),Español!$A:$H,7,FALSE)=V424,1,0)</f>
        <v>#N/A</v>
      </c>
      <c r="DI424" s="138" t="e">
        <f>IF(VLOOKUP(CONCATENATE(H424,F424,DI$2),Español!$A:$H,7,FALSE)=W424,1,0)</f>
        <v>#N/A</v>
      </c>
      <c r="DJ424" s="138" t="e">
        <f>IF(VLOOKUP(CONCATENATE(H424,F424,DJ$2),Español!$A:$H,7,FALSE)=X424,1,0)</f>
        <v>#N/A</v>
      </c>
      <c r="DK424" s="138" t="e">
        <f>IF(VLOOKUP(CONCATENATE(H424,F424,DK$2),Español!$A:$H,7,FALSE)=Y424,1,0)</f>
        <v>#N/A</v>
      </c>
      <c r="DL424" s="138" t="e">
        <f>IF(VLOOKUP(CONCATENATE(H424,F424,DL$2),Español!$A:$H,7,FALSE)=Z424,1,0)</f>
        <v>#N/A</v>
      </c>
      <c r="DM424" s="138" t="e">
        <f>IF(VLOOKUP(CONCATENATE(H424,F424,DM$2),Español!$A:$H,7,FALSE)=AA424,1,0)</f>
        <v>#N/A</v>
      </c>
      <c r="DN424" s="138" t="e">
        <f>IF(VLOOKUP(CONCATENATE(H424,F424,DN$2),Español!$A:$H,7,FALSE)=AB424,1,0)</f>
        <v>#N/A</v>
      </c>
      <c r="DO424" s="138" t="e">
        <f>IF(VLOOKUP(CONCATENATE(H424,F424,DO$2),Español!$A:$H,7,FALSE)=AC424,1,0)</f>
        <v>#N/A</v>
      </c>
      <c r="DP424" s="138" t="e">
        <f>IF(VLOOKUP(CONCATENATE(H424,F424,DP$2),Español!$A:$H,7,FALSE)=AD424,1,0)</f>
        <v>#N/A</v>
      </c>
      <c r="DQ424" s="138" t="e">
        <f>IF(VLOOKUP(CONCATENATE(H424,F424,DQ$2),Español!$A:$H,7,FALSE)=AE424,1,0)</f>
        <v>#N/A</v>
      </c>
      <c r="DR424" s="138" t="e">
        <f>IF(VLOOKUP(CONCATENATE(H424,F424,DR$2),Inglés!$A:$H,7,FALSE)=AF424,1,0)</f>
        <v>#N/A</v>
      </c>
      <c r="DS424" s="138" t="e">
        <f>IF(VLOOKUP(CONCATENATE(H424,F424,DS$2),Inglés!$A:$H,7,FALSE)=AG424,1,0)</f>
        <v>#N/A</v>
      </c>
      <c r="DT424" s="138" t="e">
        <f>IF(VLOOKUP(CONCATENATE(H424,F424,DT$2),Inglés!$A:$H,7,FALSE)=AH424,1,0)</f>
        <v>#N/A</v>
      </c>
      <c r="DU424" s="138" t="e">
        <f>IF(VLOOKUP(CONCATENATE(H424,F424,DU$2),Inglés!$A:$H,7,FALSE)=AI424,1,0)</f>
        <v>#N/A</v>
      </c>
      <c r="DV424" s="138" t="e">
        <f>IF(VLOOKUP(CONCATENATE(H424,F424,DV$2),Inglés!$A:$H,7,FALSE)=AJ424,1,0)</f>
        <v>#N/A</v>
      </c>
      <c r="DW424" s="138" t="e">
        <f>IF(VLOOKUP(CONCATENATE(H424,F424,DW$2),Inglés!$A:$H,7,FALSE)=AK424,1,0)</f>
        <v>#N/A</v>
      </c>
      <c r="DX424" s="138" t="e">
        <f>IF(VLOOKUP(CONCATENATE(H424,F424,DX$2),Inglés!$A:$H,7,FALSE)=AL424,1,0)</f>
        <v>#N/A</v>
      </c>
      <c r="DY424" s="138" t="e">
        <f>IF(VLOOKUP(CONCATENATE(H424,F424,DY$2),Inglés!$A:$H,7,FALSE)=AM424,1,0)</f>
        <v>#N/A</v>
      </c>
      <c r="DZ424" s="138" t="e">
        <f>IF(VLOOKUP(CONCATENATE(H424,F424,DZ$2),Inglés!$A:$H,7,FALSE)=AN424,1,0)</f>
        <v>#N/A</v>
      </c>
      <c r="EA424" s="138" t="e">
        <f>IF(VLOOKUP(CONCATENATE(H424,F424,EA$2),Inglés!$A:$H,7,FALSE)=AO424,1,0)</f>
        <v>#N/A</v>
      </c>
      <c r="EB424" s="138" t="e">
        <f>IF(VLOOKUP(CONCATENATE(H424,F424,EB$2),Matemáticas!$A:$H,7,FALSE)=AP424,1,0)</f>
        <v>#N/A</v>
      </c>
      <c r="EC424" s="138" t="e">
        <f>IF(VLOOKUP(CONCATENATE(H424,F424,EC$2),Matemáticas!$A:$H,7,FALSE)=AQ424,1,0)</f>
        <v>#N/A</v>
      </c>
      <c r="ED424" s="138" t="e">
        <f>IF(VLOOKUP(CONCATENATE(H424,F424,ED$2),Matemáticas!$A:$H,7,FALSE)=AR424,1,0)</f>
        <v>#N/A</v>
      </c>
      <c r="EE424" s="138" t="e">
        <f>IF(VLOOKUP(CONCATENATE(H424,F424,EE$2),Matemáticas!$A:$H,7,FALSE)=AS424,1,0)</f>
        <v>#N/A</v>
      </c>
      <c r="EF424" s="138" t="e">
        <f>IF(VLOOKUP(CONCATENATE(H424,F424,EF$2),Matemáticas!$A:$H,7,FALSE)=AT424,1,0)</f>
        <v>#N/A</v>
      </c>
      <c r="EG424" s="138" t="e">
        <f>IF(VLOOKUP(CONCATENATE(H424,F424,EG$2),Matemáticas!$A:$H,7,FALSE)=AU424,1,0)</f>
        <v>#N/A</v>
      </c>
      <c r="EH424" s="138" t="e">
        <f>IF(VLOOKUP(CONCATENATE(H424,F424,EH$2),Matemáticas!$A:$H,7,FALSE)=AV424,1,0)</f>
        <v>#N/A</v>
      </c>
      <c r="EI424" s="138" t="e">
        <f>IF(VLOOKUP(CONCATENATE(H424,F424,EI$2),Matemáticas!$A:$H,7,FALSE)=AW424,1,0)</f>
        <v>#N/A</v>
      </c>
      <c r="EJ424" s="138" t="e">
        <f>IF(VLOOKUP(CONCATENATE(H424,F424,EJ$2),Matemáticas!$A:$H,7,FALSE)=AX424,1,0)</f>
        <v>#N/A</v>
      </c>
      <c r="EK424" s="138" t="e">
        <f>IF(VLOOKUP(CONCATENATE(H424,F424,EK$2),Matemáticas!$A:$H,7,FALSE)=AY424,1,0)</f>
        <v>#N/A</v>
      </c>
      <c r="EL424" s="138" t="e">
        <f>IF(VLOOKUP(CONCATENATE(H424,F424,EL$2),Matemáticas!$A:$H,7,FALSE)=AZ424,1,0)</f>
        <v>#N/A</v>
      </c>
      <c r="EM424" s="138" t="e">
        <f>IF(VLOOKUP(CONCATENATE(H424,F424,EM$2),Matemáticas!$A:$H,7,FALSE)=BA424,1,0)</f>
        <v>#N/A</v>
      </c>
      <c r="EN424" s="138" t="e">
        <f>IF(VLOOKUP(CONCATENATE(H424,F424,EN$2),Matemáticas!$A:$H,7,FALSE)=BB424,1,0)</f>
        <v>#N/A</v>
      </c>
      <c r="EO424" s="138" t="e">
        <f>IF(VLOOKUP(CONCATENATE(H424,F424,EO$2),Matemáticas!$A:$H,7,FALSE)=BC424,1,0)</f>
        <v>#N/A</v>
      </c>
      <c r="EP424" s="138" t="e">
        <f>IF(VLOOKUP(CONCATENATE(H424,F424,EP$2),Matemáticas!$A:$H,7,FALSE)=BD424,1,0)</f>
        <v>#N/A</v>
      </c>
      <c r="EQ424" s="138" t="e">
        <f>IF(VLOOKUP(CONCATENATE(H424,F424,EQ$2),Matemáticas!$A:$H,7,FALSE)=BE424,1,0)</f>
        <v>#N/A</v>
      </c>
      <c r="ER424" s="138" t="e">
        <f>IF(VLOOKUP(CONCATENATE(H424,F424,ER$2),Matemáticas!$A:$H,7,FALSE)=BF424,1,0)</f>
        <v>#N/A</v>
      </c>
      <c r="ES424" s="138" t="e">
        <f>IF(VLOOKUP(CONCATENATE(H424,F424,ES$2),Matemáticas!$A:$H,7,FALSE)=BG424,1,0)</f>
        <v>#N/A</v>
      </c>
      <c r="ET424" s="138" t="e">
        <f>IF(VLOOKUP(CONCATENATE(H424,F424,ET$2),Matemáticas!$A:$H,7,FALSE)=BH424,1,0)</f>
        <v>#N/A</v>
      </c>
      <c r="EU424" s="138" t="e">
        <f>IF(VLOOKUP(CONCATENATE(H424,F424,EU$2),Matemáticas!$A:$H,7,FALSE)=BI424,1,0)</f>
        <v>#N/A</v>
      </c>
      <c r="EV424" s="138" t="e">
        <f>IF(VLOOKUP(CONCATENATE(H424,F424,EV$2),Ciencias!$A:$H,7,FALSE)=BJ424,1,0)</f>
        <v>#N/A</v>
      </c>
      <c r="EW424" s="138" t="e">
        <f>IF(VLOOKUP(CONCATENATE(H424,F424,EW$2),Ciencias!$A:$H,7,FALSE)=BK424,1,0)</f>
        <v>#N/A</v>
      </c>
      <c r="EX424" s="138" t="e">
        <f>IF(VLOOKUP(CONCATENATE(H424,F424,EX$2),Ciencias!$A:$H,7,FALSE)=BL424,1,0)</f>
        <v>#N/A</v>
      </c>
      <c r="EY424" s="138" t="e">
        <f>IF(VLOOKUP(CONCATENATE(H424,F424,EY$2),Ciencias!$A:$H,7,FALSE)=BM424,1,0)</f>
        <v>#N/A</v>
      </c>
      <c r="EZ424" s="138" t="e">
        <f>IF(VLOOKUP(CONCATENATE(H424,F424,EZ$2),Ciencias!$A:$H,7,FALSE)=BN424,1,0)</f>
        <v>#N/A</v>
      </c>
      <c r="FA424" s="138" t="e">
        <f>IF(VLOOKUP(CONCATENATE(H424,F424,FA$2),Ciencias!$A:$H,7,FALSE)=BO424,1,0)</f>
        <v>#N/A</v>
      </c>
      <c r="FB424" s="138" t="e">
        <f>IF(VLOOKUP(CONCATENATE(H424,F424,FB$2),Ciencias!$A:$H,7,FALSE)=BP424,1,0)</f>
        <v>#N/A</v>
      </c>
      <c r="FC424" s="138" t="e">
        <f>IF(VLOOKUP(CONCATENATE(H424,F424,FC$2),Ciencias!$A:$H,7,FALSE)=BQ424,1,0)</f>
        <v>#N/A</v>
      </c>
      <c r="FD424" s="138" t="e">
        <f>IF(VLOOKUP(CONCATENATE(H424,F424,FD$2),Ciencias!$A:$H,7,FALSE)=BR424,1,0)</f>
        <v>#N/A</v>
      </c>
      <c r="FE424" s="138" t="e">
        <f>IF(VLOOKUP(CONCATENATE(H424,F424,FE$2),Ciencias!$A:$H,7,FALSE)=BS424,1,0)</f>
        <v>#N/A</v>
      </c>
      <c r="FF424" s="138" t="e">
        <f>IF(VLOOKUP(CONCATENATE(H424,F424,FF$2),Ciencias!$A:$H,7,FALSE)=BT424,1,0)</f>
        <v>#N/A</v>
      </c>
      <c r="FG424" s="138" t="e">
        <f>IF(VLOOKUP(CONCATENATE(H424,F424,FG$2),Ciencias!$A:$H,7,FALSE)=BU424,1,0)</f>
        <v>#N/A</v>
      </c>
      <c r="FH424" s="138" t="e">
        <f>IF(VLOOKUP(CONCATENATE(H424,F424,FH$2),Ciencias!$A:$H,7,FALSE)=BV424,1,0)</f>
        <v>#N/A</v>
      </c>
      <c r="FI424" s="138" t="e">
        <f>IF(VLOOKUP(CONCATENATE(H424,F424,FI$2),Ciencias!$A:$H,7,FALSE)=BW424,1,0)</f>
        <v>#N/A</v>
      </c>
      <c r="FJ424" s="138" t="e">
        <f>IF(VLOOKUP(CONCATENATE(H424,F424,FJ$2),Ciencias!$A:$H,7,FALSE)=BX424,1,0)</f>
        <v>#N/A</v>
      </c>
      <c r="FK424" s="138" t="e">
        <f>IF(VLOOKUP(CONCATENATE(H424,F424,FK$2),Ciencias!$A:$H,7,FALSE)=BY424,1,0)</f>
        <v>#N/A</v>
      </c>
      <c r="FL424" s="138" t="e">
        <f>IF(VLOOKUP(CONCATENATE(H424,F424,FL$2),Ciencias!$A:$H,7,FALSE)=BZ424,1,0)</f>
        <v>#N/A</v>
      </c>
      <c r="FM424" s="138" t="e">
        <f>IF(VLOOKUP(CONCATENATE(H424,F424,FM$2),Ciencias!$A:$H,7,FALSE)=CA424,1,0)</f>
        <v>#N/A</v>
      </c>
      <c r="FN424" s="138" t="e">
        <f>IF(VLOOKUP(CONCATENATE(H424,F424,FN$2),Ciencias!$A:$H,7,FALSE)=CB424,1,0)</f>
        <v>#N/A</v>
      </c>
      <c r="FO424" s="138" t="e">
        <f>IF(VLOOKUP(CONCATENATE(H424,F424,FO$2),Ciencias!$A:$H,7,FALSE)=CC424,1,0)</f>
        <v>#N/A</v>
      </c>
      <c r="FP424" s="138" t="e">
        <f>IF(VLOOKUP(CONCATENATE(H424,F424,FP$2),GeoHis!$A:$H,7,FALSE)=CD424,1,0)</f>
        <v>#N/A</v>
      </c>
      <c r="FQ424" s="138" t="e">
        <f>IF(VLOOKUP(CONCATENATE(H424,F424,FQ$2),GeoHis!$A:$H,7,FALSE)=CE424,1,0)</f>
        <v>#N/A</v>
      </c>
      <c r="FR424" s="138" t="e">
        <f>IF(VLOOKUP(CONCATENATE(H424,F424,FR$2),GeoHis!$A:$H,7,FALSE)=CF424,1,0)</f>
        <v>#N/A</v>
      </c>
      <c r="FS424" s="138" t="e">
        <f>IF(VLOOKUP(CONCATENATE(H424,F424,FS$2),GeoHis!$A:$H,7,FALSE)=CG424,1,0)</f>
        <v>#N/A</v>
      </c>
      <c r="FT424" s="138" t="e">
        <f>IF(VLOOKUP(CONCATENATE(H424,F424,FT$2),GeoHis!$A:$H,7,FALSE)=CH424,1,0)</f>
        <v>#N/A</v>
      </c>
      <c r="FU424" s="138" t="e">
        <f>IF(VLOOKUP(CONCATENATE(H424,F424,FU$2),GeoHis!$A:$H,7,FALSE)=CI424,1,0)</f>
        <v>#N/A</v>
      </c>
      <c r="FV424" s="138" t="e">
        <f>IF(VLOOKUP(CONCATENATE(H424,F424,FV$2),GeoHis!$A:$H,7,FALSE)=CJ424,1,0)</f>
        <v>#N/A</v>
      </c>
      <c r="FW424" s="138" t="e">
        <f>IF(VLOOKUP(CONCATENATE(H424,F424,FW$2),GeoHis!$A:$H,7,FALSE)=CK424,1,0)</f>
        <v>#N/A</v>
      </c>
      <c r="FX424" s="138" t="e">
        <f>IF(VLOOKUP(CONCATENATE(H424,F424,FX$2),GeoHis!$A:$H,7,FALSE)=CL424,1,0)</f>
        <v>#N/A</v>
      </c>
      <c r="FY424" s="138" t="e">
        <f>IF(VLOOKUP(CONCATENATE(H424,F424,FY$2),GeoHis!$A:$H,7,FALSE)=CM424,1,0)</f>
        <v>#N/A</v>
      </c>
      <c r="FZ424" s="138" t="e">
        <f>IF(VLOOKUP(CONCATENATE(H424,F424,FZ$2),GeoHis!$A:$H,7,FALSE)=CN424,1,0)</f>
        <v>#N/A</v>
      </c>
      <c r="GA424" s="138" t="e">
        <f>IF(VLOOKUP(CONCATENATE(H424,F424,GA$2),GeoHis!$A:$H,7,FALSE)=CO424,1,0)</f>
        <v>#N/A</v>
      </c>
      <c r="GB424" s="138" t="e">
        <f>IF(VLOOKUP(CONCATENATE(H424,F424,GB$2),GeoHis!$A:$H,7,FALSE)=CP424,1,0)</f>
        <v>#N/A</v>
      </c>
      <c r="GC424" s="138" t="e">
        <f>IF(VLOOKUP(CONCATENATE(H424,F424,GC$2),GeoHis!$A:$H,7,FALSE)=CQ424,1,0)</f>
        <v>#N/A</v>
      </c>
      <c r="GD424" s="138" t="e">
        <f>IF(VLOOKUP(CONCATENATE(H424,F424,GD$2),GeoHis!$A:$H,7,FALSE)=CR424,1,0)</f>
        <v>#N/A</v>
      </c>
      <c r="GE424" s="135" t="str">
        <f t="shared" si="55"/>
        <v/>
      </c>
    </row>
    <row r="425" spans="1:187" x14ac:dyDescent="0.25">
      <c r="A425" s="127" t="str">
        <f>IF(C425="","",'Datos Generales'!$A$25)</f>
        <v/>
      </c>
      <c r="D425" s="126" t="str">
        <f t="shared" si="48"/>
        <v/>
      </c>
      <c r="E425" s="126">
        <f t="shared" si="49"/>
        <v>0</v>
      </c>
      <c r="F425" s="126" t="str">
        <f t="shared" si="50"/>
        <v/>
      </c>
      <c r="G425" s="126" t="str">
        <f>IF(C425="","",'Datos Generales'!$D$19)</f>
        <v/>
      </c>
      <c r="H425" s="21" t="str">
        <f>IF(C425="","",'Datos Generales'!$A$19)</f>
        <v/>
      </c>
      <c r="I425" s="126" t="str">
        <f>IF(C425="","",'Datos Generales'!$A$7)</f>
        <v/>
      </c>
      <c r="J425" s="21" t="str">
        <f>IF(C425="","",'Datos Generales'!$A$13)</f>
        <v/>
      </c>
      <c r="K425" s="21" t="str">
        <f>IF(C425="","",'Datos Generales'!$A$10)</f>
        <v/>
      </c>
      <c r="CS425" s="142" t="str">
        <f t="shared" si="51"/>
        <v/>
      </c>
      <c r="CT425" s="142" t="str">
        <f t="shared" si="52"/>
        <v/>
      </c>
      <c r="CU425" s="142" t="str">
        <f t="shared" si="53"/>
        <v/>
      </c>
      <c r="CV425" s="142" t="str">
        <f t="shared" si="54"/>
        <v/>
      </c>
      <c r="CW425" s="142" t="str">
        <f>IF(C425="","",IF('Datos Generales'!$A$19=1,AVERAGE(FP425:GD425),AVERAGE(Captura!FP425:FY425)))</f>
        <v/>
      </c>
      <c r="CX425" s="138" t="e">
        <f>IF(VLOOKUP(CONCATENATE($H$4,$F$4,CX$2),Español!$A:$H,7,FALSE)=L425,1,0)</f>
        <v>#N/A</v>
      </c>
      <c r="CY425" s="138" t="e">
        <f>IF(VLOOKUP(CONCATENATE(H425,F425,CY$2),Español!$A:$H,7,FALSE)=M425,1,0)</f>
        <v>#N/A</v>
      </c>
      <c r="CZ425" s="138" t="e">
        <f>IF(VLOOKUP(CONCATENATE(H425,F425,CZ$2),Español!$A:$H,7,FALSE)=N425,1,0)</f>
        <v>#N/A</v>
      </c>
      <c r="DA425" s="138" t="e">
        <f>IF(VLOOKUP(CONCATENATE(H425,F425,DA$2),Español!$A:$H,7,FALSE)=O425,1,0)</f>
        <v>#N/A</v>
      </c>
      <c r="DB425" s="138" t="e">
        <f>IF(VLOOKUP(CONCATENATE(H425,F425,DB$2),Español!$A:$H,7,FALSE)=P425,1,0)</f>
        <v>#N/A</v>
      </c>
      <c r="DC425" s="138" t="e">
        <f>IF(VLOOKUP(CONCATENATE(H425,F425,DC$2),Español!$A:$H,7,FALSE)=Q425,1,0)</f>
        <v>#N/A</v>
      </c>
      <c r="DD425" s="138" t="e">
        <f>IF(VLOOKUP(CONCATENATE(H425,F425,DD$2),Español!$A:$H,7,FALSE)=R425,1,0)</f>
        <v>#N/A</v>
      </c>
      <c r="DE425" s="138" t="e">
        <f>IF(VLOOKUP(CONCATENATE(H425,F425,DE$2),Español!$A:$H,7,FALSE)=S425,1,0)</f>
        <v>#N/A</v>
      </c>
      <c r="DF425" s="138" t="e">
        <f>IF(VLOOKUP(CONCATENATE(H425,F425,DF$2),Español!$A:$H,7,FALSE)=T425,1,0)</f>
        <v>#N/A</v>
      </c>
      <c r="DG425" s="138" t="e">
        <f>IF(VLOOKUP(CONCATENATE(H425,F425,DG$2),Español!$A:$H,7,FALSE)=U425,1,0)</f>
        <v>#N/A</v>
      </c>
      <c r="DH425" s="138" t="e">
        <f>IF(VLOOKUP(CONCATENATE(H425,F425,DH$2),Español!$A:$H,7,FALSE)=V425,1,0)</f>
        <v>#N/A</v>
      </c>
      <c r="DI425" s="138" t="e">
        <f>IF(VLOOKUP(CONCATENATE(H425,F425,DI$2),Español!$A:$H,7,FALSE)=W425,1,0)</f>
        <v>#N/A</v>
      </c>
      <c r="DJ425" s="138" t="e">
        <f>IF(VLOOKUP(CONCATENATE(H425,F425,DJ$2),Español!$A:$H,7,FALSE)=X425,1,0)</f>
        <v>#N/A</v>
      </c>
      <c r="DK425" s="138" t="e">
        <f>IF(VLOOKUP(CONCATENATE(H425,F425,DK$2),Español!$A:$H,7,FALSE)=Y425,1,0)</f>
        <v>#N/A</v>
      </c>
      <c r="DL425" s="138" t="e">
        <f>IF(VLOOKUP(CONCATENATE(H425,F425,DL$2),Español!$A:$H,7,FALSE)=Z425,1,0)</f>
        <v>#N/A</v>
      </c>
      <c r="DM425" s="138" t="e">
        <f>IF(VLOOKUP(CONCATENATE(H425,F425,DM$2),Español!$A:$H,7,FALSE)=AA425,1,0)</f>
        <v>#N/A</v>
      </c>
      <c r="DN425" s="138" t="e">
        <f>IF(VLOOKUP(CONCATENATE(H425,F425,DN$2),Español!$A:$H,7,FALSE)=AB425,1,0)</f>
        <v>#N/A</v>
      </c>
      <c r="DO425" s="138" t="e">
        <f>IF(VLOOKUP(CONCATENATE(H425,F425,DO$2),Español!$A:$H,7,FALSE)=AC425,1,0)</f>
        <v>#N/A</v>
      </c>
      <c r="DP425" s="138" t="e">
        <f>IF(VLOOKUP(CONCATENATE(H425,F425,DP$2),Español!$A:$H,7,FALSE)=AD425,1,0)</f>
        <v>#N/A</v>
      </c>
      <c r="DQ425" s="138" t="e">
        <f>IF(VLOOKUP(CONCATENATE(H425,F425,DQ$2),Español!$A:$H,7,FALSE)=AE425,1,0)</f>
        <v>#N/A</v>
      </c>
      <c r="DR425" s="138" t="e">
        <f>IF(VLOOKUP(CONCATENATE(H425,F425,DR$2),Inglés!$A:$H,7,FALSE)=AF425,1,0)</f>
        <v>#N/A</v>
      </c>
      <c r="DS425" s="138" t="e">
        <f>IF(VLOOKUP(CONCATENATE(H425,F425,DS$2),Inglés!$A:$H,7,FALSE)=AG425,1,0)</f>
        <v>#N/A</v>
      </c>
      <c r="DT425" s="138" t="e">
        <f>IF(VLOOKUP(CONCATENATE(H425,F425,DT$2),Inglés!$A:$H,7,FALSE)=AH425,1,0)</f>
        <v>#N/A</v>
      </c>
      <c r="DU425" s="138" t="e">
        <f>IF(VLOOKUP(CONCATENATE(H425,F425,DU$2),Inglés!$A:$H,7,FALSE)=AI425,1,0)</f>
        <v>#N/A</v>
      </c>
      <c r="DV425" s="138" t="e">
        <f>IF(VLOOKUP(CONCATENATE(H425,F425,DV$2),Inglés!$A:$H,7,FALSE)=AJ425,1,0)</f>
        <v>#N/A</v>
      </c>
      <c r="DW425" s="138" t="e">
        <f>IF(VLOOKUP(CONCATENATE(H425,F425,DW$2),Inglés!$A:$H,7,FALSE)=AK425,1,0)</f>
        <v>#N/A</v>
      </c>
      <c r="DX425" s="138" t="e">
        <f>IF(VLOOKUP(CONCATENATE(H425,F425,DX$2),Inglés!$A:$H,7,FALSE)=AL425,1,0)</f>
        <v>#N/A</v>
      </c>
      <c r="DY425" s="138" t="e">
        <f>IF(VLOOKUP(CONCATENATE(H425,F425,DY$2),Inglés!$A:$H,7,FALSE)=AM425,1,0)</f>
        <v>#N/A</v>
      </c>
      <c r="DZ425" s="138" t="e">
        <f>IF(VLOOKUP(CONCATENATE(H425,F425,DZ$2),Inglés!$A:$H,7,FALSE)=AN425,1,0)</f>
        <v>#N/A</v>
      </c>
      <c r="EA425" s="138" t="e">
        <f>IF(VLOOKUP(CONCATENATE(H425,F425,EA$2),Inglés!$A:$H,7,FALSE)=AO425,1,0)</f>
        <v>#N/A</v>
      </c>
      <c r="EB425" s="138" t="e">
        <f>IF(VLOOKUP(CONCATENATE(H425,F425,EB$2),Matemáticas!$A:$H,7,FALSE)=AP425,1,0)</f>
        <v>#N/A</v>
      </c>
      <c r="EC425" s="138" t="e">
        <f>IF(VLOOKUP(CONCATENATE(H425,F425,EC$2),Matemáticas!$A:$H,7,FALSE)=AQ425,1,0)</f>
        <v>#N/A</v>
      </c>
      <c r="ED425" s="138" t="e">
        <f>IF(VLOOKUP(CONCATENATE(H425,F425,ED$2),Matemáticas!$A:$H,7,FALSE)=AR425,1,0)</f>
        <v>#N/A</v>
      </c>
      <c r="EE425" s="138" t="e">
        <f>IF(VLOOKUP(CONCATENATE(H425,F425,EE$2),Matemáticas!$A:$H,7,FALSE)=AS425,1,0)</f>
        <v>#N/A</v>
      </c>
      <c r="EF425" s="138" t="e">
        <f>IF(VLOOKUP(CONCATENATE(H425,F425,EF$2),Matemáticas!$A:$H,7,FALSE)=AT425,1,0)</f>
        <v>#N/A</v>
      </c>
      <c r="EG425" s="138" t="e">
        <f>IF(VLOOKUP(CONCATENATE(H425,F425,EG$2),Matemáticas!$A:$H,7,FALSE)=AU425,1,0)</f>
        <v>#N/A</v>
      </c>
      <c r="EH425" s="138" t="e">
        <f>IF(VLOOKUP(CONCATENATE(H425,F425,EH$2),Matemáticas!$A:$H,7,FALSE)=AV425,1,0)</f>
        <v>#N/A</v>
      </c>
      <c r="EI425" s="138" t="e">
        <f>IF(VLOOKUP(CONCATENATE(H425,F425,EI$2),Matemáticas!$A:$H,7,FALSE)=AW425,1,0)</f>
        <v>#N/A</v>
      </c>
      <c r="EJ425" s="138" t="e">
        <f>IF(VLOOKUP(CONCATENATE(H425,F425,EJ$2),Matemáticas!$A:$H,7,FALSE)=AX425,1,0)</f>
        <v>#N/A</v>
      </c>
      <c r="EK425" s="138" t="e">
        <f>IF(VLOOKUP(CONCATENATE(H425,F425,EK$2),Matemáticas!$A:$H,7,FALSE)=AY425,1,0)</f>
        <v>#N/A</v>
      </c>
      <c r="EL425" s="138" t="e">
        <f>IF(VLOOKUP(CONCATENATE(H425,F425,EL$2),Matemáticas!$A:$H,7,FALSE)=AZ425,1,0)</f>
        <v>#N/A</v>
      </c>
      <c r="EM425" s="138" t="e">
        <f>IF(VLOOKUP(CONCATENATE(H425,F425,EM$2),Matemáticas!$A:$H,7,FALSE)=BA425,1,0)</f>
        <v>#N/A</v>
      </c>
      <c r="EN425" s="138" t="e">
        <f>IF(VLOOKUP(CONCATENATE(H425,F425,EN$2),Matemáticas!$A:$H,7,FALSE)=BB425,1,0)</f>
        <v>#N/A</v>
      </c>
      <c r="EO425" s="138" t="e">
        <f>IF(VLOOKUP(CONCATENATE(H425,F425,EO$2),Matemáticas!$A:$H,7,FALSE)=BC425,1,0)</f>
        <v>#N/A</v>
      </c>
      <c r="EP425" s="138" t="e">
        <f>IF(VLOOKUP(CONCATENATE(H425,F425,EP$2),Matemáticas!$A:$H,7,FALSE)=BD425,1,0)</f>
        <v>#N/A</v>
      </c>
      <c r="EQ425" s="138" t="e">
        <f>IF(VLOOKUP(CONCATENATE(H425,F425,EQ$2),Matemáticas!$A:$H,7,FALSE)=BE425,1,0)</f>
        <v>#N/A</v>
      </c>
      <c r="ER425" s="138" t="e">
        <f>IF(VLOOKUP(CONCATENATE(H425,F425,ER$2),Matemáticas!$A:$H,7,FALSE)=BF425,1,0)</f>
        <v>#N/A</v>
      </c>
      <c r="ES425" s="138" t="e">
        <f>IF(VLOOKUP(CONCATENATE(H425,F425,ES$2),Matemáticas!$A:$H,7,FALSE)=BG425,1,0)</f>
        <v>#N/A</v>
      </c>
      <c r="ET425" s="138" t="e">
        <f>IF(VLOOKUP(CONCATENATE(H425,F425,ET$2),Matemáticas!$A:$H,7,FALSE)=BH425,1,0)</f>
        <v>#N/A</v>
      </c>
      <c r="EU425" s="138" t="e">
        <f>IF(VLOOKUP(CONCATENATE(H425,F425,EU$2),Matemáticas!$A:$H,7,FALSE)=BI425,1,0)</f>
        <v>#N/A</v>
      </c>
      <c r="EV425" s="138" t="e">
        <f>IF(VLOOKUP(CONCATENATE(H425,F425,EV$2),Ciencias!$A:$H,7,FALSE)=BJ425,1,0)</f>
        <v>#N/A</v>
      </c>
      <c r="EW425" s="138" t="e">
        <f>IF(VLOOKUP(CONCATENATE(H425,F425,EW$2),Ciencias!$A:$H,7,FALSE)=BK425,1,0)</f>
        <v>#N/A</v>
      </c>
      <c r="EX425" s="138" t="e">
        <f>IF(VLOOKUP(CONCATENATE(H425,F425,EX$2),Ciencias!$A:$H,7,FALSE)=BL425,1,0)</f>
        <v>#N/A</v>
      </c>
      <c r="EY425" s="138" t="e">
        <f>IF(VLOOKUP(CONCATENATE(H425,F425,EY$2),Ciencias!$A:$H,7,FALSE)=BM425,1,0)</f>
        <v>#N/A</v>
      </c>
      <c r="EZ425" s="138" t="e">
        <f>IF(VLOOKUP(CONCATENATE(H425,F425,EZ$2),Ciencias!$A:$H,7,FALSE)=BN425,1,0)</f>
        <v>#N/A</v>
      </c>
      <c r="FA425" s="138" t="e">
        <f>IF(VLOOKUP(CONCATENATE(H425,F425,FA$2),Ciencias!$A:$H,7,FALSE)=BO425,1,0)</f>
        <v>#N/A</v>
      </c>
      <c r="FB425" s="138" t="e">
        <f>IF(VLOOKUP(CONCATENATE(H425,F425,FB$2),Ciencias!$A:$H,7,FALSE)=BP425,1,0)</f>
        <v>#N/A</v>
      </c>
      <c r="FC425" s="138" t="e">
        <f>IF(VLOOKUP(CONCATENATE(H425,F425,FC$2),Ciencias!$A:$H,7,FALSE)=BQ425,1,0)</f>
        <v>#N/A</v>
      </c>
      <c r="FD425" s="138" t="e">
        <f>IF(VLOOKUP(CONCATENATE(H425,F425,FD$2),Ciencias!$A:$H,7,FALSE)=BR425,1,0)</f>
        <v>#N/A</v>
      </c>
      <c r="FE425" s="138" t="e">
        <f>IF(VLOOKUP(CONCATENATE(H425,F425,FE$2),Ciencias!$A:$H,7,FALSE)=BS425,1,0)</f>
        <v>#N/A</v>
      </c>
      <c r="FF425" s="138" t="e">
        <f>IF(VLOOKUP(CONCATENATE(H425,F425,FF$2),Ciencias!$A:$H,7,FALSE)=BT425,1,0)</f>
        <v>#N/A</v>
      </c>
      <c r="FG425" s="138" t="e">
        <f>IF(VLOOKUP(CONCATENATE(H425,F425,FG$2),Ciencias!$A:$H,7,FALSE)=BU425,1,0)</f>
        <v>#N/A</v>
      </c>
      <c r="FH425" s="138" t="e">
        <f>IF(VLOOKUP(CONCATENATE(H425,F425,FH$2),Ciencias!$A:$H,7,FALSE)=BV425,1,0)</f>
        <v>#N/A</v>
      </c>
      <c r="FI425" s="138" t="e">
        <f>IF(VLOOKUP(CONCATENATE(H425,F425,FI$2),Ciencias!$A:$H,7,FALSE)=BW425,1,0)</f>
        <v>#N/A</v>
      </c>
      <c r="FJ425" s="138" t="e">
        <f>IF(VLOOKUP(CONCATENATE(H425,F425,FJ$2),Ciencias!$A:$H,7,FALSE)=BX425,1,0)</f>
        <v>#N/A</v>
      </c>
      <c r="FK425" s="138" t="e">
        <f>IF(VLOOKUP(CONCATENATE(H425,F425,FK$2),Ciencias!$A:$H,7,FALSE)=BY425,1,0)</f>
        <v>#N/A</v>
      </c>
      <c r="FL425" s="138" t="e">
        <f>IF(VLOOKUP(CONCATENATE(H425,F425,FL$2),Ciencias!$A:$H,7,FALSE)=BZ425,1,0)</f>
        <v>#N/A</v>
      </c>
      <c r="FM425" s="138" t="e">
        <f>IF(VLOOKUP(CONCATENATE(H425,F425,FM$2),Ciencias!$A:$H,7,FALSE)=CA425,1,0)</f>
        <v>#N/A</v>
      </c>
      <c r="FN425" s="138" t="e">
        <f>IF(VLOOKUP(CONCATENATE(H425,F425,FN$2),Ciencias!$A:$H,7,FALSE)=CB425,1,0)</f>
        <v>#N/A</v>
      </c>
      <c r="FO425" s="138" t="e">
        <f>IF(VLOOKUP(CONCATENATE(H425,F425,FO$2),Ciencias!$A:$H,7,FALSE)=CC425,1,0)</f>
        <v>#N/A</v>
      </c>
      <c r="FP425" s="138" t="e">
        <f>IF(VLOOKUP(CONCATENATE(H425,F425,FP$2),GeoHis!$A:$H,7,FALSE)=CD425,1,0)</f>
        <v>#N/A</v>
      </c>
      <c r="FQ425" s="138" t="e">
        <f>IF(VLOOKUP(CONCATENATE(H425,F425,FQ$2),GeoHis!$A:$H,7,FALSE)=CE425,1,0)</f>
        <v>#N/A</v>
      </c>
      <c r="FR425" s="138" t="e">
        <f>IF(VLOOKUP(CONCATENATE(H425,F425,FR$2),GeoHis!$A:$H,7,FALSE)=CF425,1,0)</f>
        <v>#N/A</v>
      </c>
      <c r="FS425" s="138" t="e">
        <f>IF(VLOOKUP(CONCATENATE(H425,F425,FS$2),GeoHis!$A:$H,7,FALSE)=CG425,1,0)</f>
        <v>#N/A</v>
      </c>
      <c r="FT425" s="138" t="e">
        <f>IF(VLOOKUP(CONCATENATE(H425,F425,FT$2),GeoHis!$A:$H,7,FALSE)=CH425,1,0)</f>
        <v>#N/A</v>
      </c>
      <c r="FU425" s="138" t="e">
        <f>IF(VLOOKUP(CONCATENATE(H425,F425,FU$2),GeoHis!$A:$H,7,FALSE)=CI425,1,0)</f>
        <v>#N/A</v>
      </c>
      <c r="FV425" s="138" t="e">
        <f>IF(VLOOKUP(CONCATENATE(H425,F425,FV$2),GeoHis!$A:$H,7,FALSE)=CJ425,1,0)</f>
        <v>#N/A</v>
      </c>
      <c r="FW425" s="138" t="e">
        <f>IF(VLOOKUP(CONCATENATE(H425,F425,FW$2),GeoHis!$A:$H,7,FALSE)=CK425,1,0)</f>
        <v>#N/A</v>
      </c>
      <c r="FX425" s="138" t="e">
        <f>IF(VLOOKUP(CONCATENATE(H425,F425,FX$2),GeoHis!$A:$H,7,FALSE)=CL425,1,0)</f>
        <v>#N/A</v>
      </c>
      <c r="FY425" s="138" t="e">
        <f>IF(VLOOKUP(CONCATENATE(H425,F425,FY$2),GeoHis!$A:$H,7,FALSE)=CM425,1,0)</f>
        <v>#N/A</v>
      </c>
      <c r="FZ425" s="138" t="e">
        <f>IF(VLOOKUP(CONCATENATE(H425,F425,FZ$2),GeoHis!$A:$H,7,FALSE)=CN425,1,0)</f>
        <v>#N/A</v>
      </c>
      <c r="GA425" s="138" t="e">
        <f>IF(VLOOKUP(CONCATENATE(H425,F425,GA$2),GeoHis!$A:$H,7,FALSE)=CO425,1,0)</f>
        <v>#N/A</v>
      </c>
      <c r="GB425" s="138" t="e">
        <f>IF(VLOOKUP(CONCATENATE(H425,F425,GB$2),GeoHis!$A:$H,7,FALSE)=CP425,1,0)</f>
        <v>#N/A</v>
      </c>
      <c r="GC425" s="138" t="e">
        <f>IF(VLOOKUP(CONCATENATE(H425,F425,GC$2),GeoHis!$A:$H,7,FALSE)=CQ425,1,0)</f>
        <v>#N/A</v>
      </c>
      <c r="GD425" s="138" t="e">
        <f>IF(VLOOKUP(CONCATENATE(H425,F425,GD$2),GeoHis!$A:$H,7,FALSE)=CR425,1,0)</f>
        <v>#N/A</v>
      </c>
      <c r="GE425" s="135" t="str">
        <f t="shared" si="55"/>
        <v/>
      </c>
    </row>
    <row r="426" spans="1:187" x14ac:dyDescent="0.25">
      <c r="A426" s="127" t="str">
        <f>IF(C426="","",'Datos Generales'!$A$25)</f>
        <v/>
      </c>
      <c r="D426" s="126" t="str">
        <f t="shared" si="48"/>
        <v/>
      </c>
      <c r="E426" s="126">
        <f t="shared" si="49"/>
        <v>0</v>
      </c>
      <c r="F426" s="126" t="str">
        <f t="shared" si="50"/>
        <v/>
      </c>
      <c r="G426" s="126" t="str">
        <f>IF(C426="","",'Datos Generales'!$D$19)</f>
        <v/>
      </c>
      <c r="H426" s="21" t="str">
        <f>IF(C426="","",'Datos Generales'!$A$19)</f>
        <v/>
      </c>
      <c r="I426" s="126" t="str">
        <f>IF(C426="","",'Datos Generales'!$A$7)</f>
        <v/>
      </c>
      <c r="J426" s="21" t="str">
        <f>IF(C426="","",'Datos Generales'!$A$13)</f>
        <v/>
      </c>
      <c r="K426" s="21" t="str">
        <f>IF(C426="","",'Datos Generales'!$A$10)</f>
        <v/>
      </c>
      <c r="CS426" s="142" t="str">
        <f t="shared" si="51"/>
        <v/>
      </c>
      <c r="CT426" s="142" t="str">
        <f t="shared" si="52"/>
        <v/>
      </c>
      <c r="CU426" s="142" t="str">
        <f t="shared" si="53"/>
        <v/>
      </c>
      <c r="CV426" s="142" t="str">
        <f t="shared" si="54"/>
        <v/>
      </c>
      <c r="CW426" s="142" t="str">
        <f>IF(C426="","",IF('Datos Generales'!$A$19=1,AVERAGE(FP426:GD426),AVERAGE(Captura!FP426:FY426)))</f>
        <v/>
      </c>
      <c r="CX426" s="138" t="e">
        <f>IF(VLOOKUP(CONCATENATE($H$4,$F$4,CX$2),Español!$A:$H,7,FALSE)=L426,1,0)</f>
        <v>#N/A</v>
      </c>
      <c r="CY426" s="138" t="e">
        <f>IF(VLOOKUP(CONCATENATE(H426,F426,CY$2),Español!$A:$H,7,FALSE)=M426,1,0)</f>
        <v>#N/A</v>
      </c>
      <c r="CZ426" s="138" t="e">
        <f>IF(VLOOKUP(CONCATENATE(H426,F426,CZ$2),Español!$A:$H,7,FALSE)=N426,1,0)</f>
        <v>#N/A</v>
      </c>
      <c r="DA426" s="138" t="e">
        <f>IF(VLOOKUP(CONCATENATE(H426,F426,DA$2),Español!$A:$H,7,FALSE)=O426,1,0)</f>
        <v>#N/A</v>
      </c>
      <c r="DB426" s="138" t="e">
        <f>IF(VLOOKUP(CONCATENATE(H426,F426,DB$2),Español!$A:$H,7,FALSE)=P426,1,0)</f>
        <v>#N/A</v>
      </c>
      <c r="DC426" s="138" t="e">
        <f>IF(VLOOKUP(CONCATENATE(H426,F426,DC$2),Español!$A:$H,7,FALSE)=Q426,1,0)</f>
        <v>#N/A</v>
      </c>
      <c r="DD426" s="138" t="e">
        <f>IF(VLOOKUP(CONCATENATE(H426,F426,DD$2),Español!$A:$H,7,FALSE)=R426,1,0)</f>
        <v>#N/A</v>
      </c>
      <c r="DE426" s="138" t="e">
        <f>IF(VLOOKUP(CONCATENATE(H426,F426,DE$2),Español!$A:$H,7,FALSE)=S426,1,0)</f>
        <v>#N/A</v>
      </c>
      <c r="DF426" s="138" t="e">
        <f>IF(VLOOKUP(CONCATENATE(H426,F426,DF$2),Español!$A:$H,7,FALSE)=T426,1,0)</f>
        <v>#N/A</v>
      </c>
      <c r="DG426" s="138" t="e">
        <f>IF(VLOOKUP(CONCATENATE(H426,F426,DG$2),Español!$A:$H,7,FALSE)=U426,1,0)</f>
        <v>#N/A</v>
      </c>
      <c r="DH426" s="138" t="e">
        <f>IF(VLOOKUP(CONCATENATE(H426,F426,DH$2),Español!$A:$H,7,FALSE)=V426,1,0)</f>
        <v>#N/A</v>
      </c>
      <c r="DI426" s="138" t="e">
        <f>IF(VLOOKUP(CONCATENATE(H426,F426,DI$2),Español!$A:$H,7,FALSE)=W426,1,0)</f>
        <v>#N/A</v>
      </c>
      <c r="DJ426" s="138" t="e">
        <f>IF(VLOOKUP(CONCATENATE(H426,F426,DJ$2),Español!$A:$H,7,FALSE)=X426,1,0)</f>
        <v>#N/A</v>
      </c>
      <c r="DK426" s="138" t="e">
        <f>IF(VLOOKUP(CONCATENATE(H426,F426,DK$2),Español!$A:$H,7,FALSE)=Y426,1,0)</f>
        <v>#N/A</v>
      </c>
      <c r="DL426" s="138" t="e">
        <f>IF(VLOOKUP(CONCATENATE(H426,F426,DL$2),Español!$A:$H,7,FALSE)=Z426,1,0)</f>
        <v>#N/A</v>
      </c>
      <c r="DM426" s="138" t="e">
        <f>IF(VLOOKUP(CONCATENATE(H426,F426,DM$2),Español!$A:$H,7,FALSE)=AA426,1,0)</f>
        <v>#N/A</v>
      </c>
      <c r="DN426" s="138" t="e">
        <f>IF(VLOOKUP(CONCATENATE(H426,F426,DN$2),Español!$A:$H,7,FALSE)=AB426,1,0)</f>
        <v>#N/A</v>
      </c>
      <c r="DO426" s="138" t="e">
        <f>IF(VLOOKUP(CONCATENATE(H426,F426,DO$2),Español!$A:$H,7,FALSE)=AC426,1,0)</f>
        <v>#N/A</v>
      </c>
      <c r="DP426" s="138" t="e">
        <f>IF(VLOOKUP(CONCATENATE(H426,F426,DP$2),Español!$A:$H,7,FALSE)=AD426,1,0)</f>
        <v>#N/A</v>
      </c>
      <c r="DQ426" s="138" t="e">
        <f>IF(VLOOKUP(CONCATENATE(H426,F426,DQ$2),Español!$A:$H,7,FALSE)=AE426,1,0)</f>
        <v>#N/A</v>
      </c>
      <c r="DR426" s="138" t="e">
        <f>IF(VLOOKUP(CONCATENATE(H426,F426,DR$2),Inglés!$A:$H,7,FALSE)=AF426,1,0)</f>
        <v>#N/A</v>
      </c>
      <c r="DS426" s="138" t="e">
        <f>IF(VLOOKUP(CONCATENATE(H426,F426,DS$2),Inglés!$A:$H,7,FALSE)=AG426,1,0)</f>
        <v>#N/A</v>
      </c>
      <c r="DT426" s="138" t="e">
        <f>IF(VLOOKUP(CONCATENATE(H426,F426,DT$2),Inglés!$A:$H,7,FALSE)=AH426,1,0)</f>
        <v>#N/A</v>
      </c>
      <c r="DU426" s="138" t="e">
        <f>IF(VLOOKUP(CONCATENATE(H426,F426,DU$2),Inglés!$A:$H,7,FALSE)=AI426,1,0)</f>
        <v>#N/A</v>
      </c>
      <c r="DV426" s="138" t="e">
        <f>IF(VLOOKUP(CONCATENATE(H426,F426,DV$2),Inglés!$A:$H,7,FALSE)=AJ426,1,0)</f>
        <v>#N/A</v>
      </c>
      <c r="DW426" s="138" t="e">
        <f>IF(VLOOKUP(CONCATENATE(H426,F426,DW$2),Inglés!$A:$H,7,FALSE)=AK426,1,0)</f>
        <v>#N/A</v>
      </c>
      <c r="DX426" s="138" t="e">
        <f>IF(VLOOKUP(CONCATENATE(H426,F426,DX$2),Inglés!$A:$H,7,FALSE)=AL426,1,0)</f>
        <v>#N/A</v>
      </c>
      <c r="DY426" s="138" t="e">
        <f>IF(VLOOKUP(CONCATENATE(H426,F426,DY$2),Inglés!$A:$H,7,FALSE)=AM426,1,0)</f>
        <v>#N/A</v>
      </c>
      <c r="DZ426" s="138" t="e">
        <f>IF(VLOOKUP(CONCATENATE(H426,F426,DZ$2),Inglés!$A:$H,7,FALSE)=AN426,1,0)</f>
        <v>#N/A</v>
      </c>
      <c r="EA426" s="138" t="e">
        <f>IF(VLOOKUP(CONCATENATE(H426,F426,EA$2),Inglés!$A:$H,7,FALSE)=AO426,1,0)</f>
        <v>#N/A</v>
      </c>
      <c r="EB426" s="138" t="e">
        <f>IF(VLOOKUP(CONCATENATE(H426,F426,EB$2),Matemáticas!$A:$H,7,FALSE)=AP426,1,0)</f>
        <v>#N/A</v>
      </c>
      <c r="EC426" s="138" t="e">
        <f>IF(VLOOKUP(CONCATENATE(H426,F426,EC$2),Matemáticas!$A:$H,7,FALSE)=AQ426,1,0)</f>
        <v>#N/A</v>
      </c>
      <c r="ED426" s="138" t="e">
        <f>IF(VLOOKUP(CONCATENATE(H426,F426,ED$2),Matemáticas!$A:$H,7,FALSE)=AR426,1,0)</f>
        <v>#N/A</v>
      </c>
      <c r="EE426" s="138" t="e">
        <f>IF(VLOOKUP(CONCATENATE(H426,F426,EE$2),Matemáticas!$A:$H,7,FALSE)=AS426,1,0)</f>
        <v>#N/A</v>
      </c>
      <c r="EF426" s="138" t="e">
        <f>IF(VLOOKUP(CONCATENATE(H426,F426,EF$2),Matemáticas!$A:$H,7,FALSE)=AT426,1,0)</f>
        <v>#N/A</v>
      </c>
      <c r="EG426" s="138" t="e">
        <f>IF(VLOOKUP(CONCATENATE(H426,F426,EG$2),Matemáticas!$A:$H,7,FALSE)=AU426,1,0)</f>
        <v>#N/A</v>
      </c>
      <c r="EH426" s="138" t="e">
        <f>IF(VLOOKUP(CONCATENATE(H426,F426,EH$2),Matemáticas!$A:$H,7,FALSE)=AV426,1,0)</f>
        <v>#N/A</v>
      </c>
      <c r="EI426" s="138" t="e">
        <f>IF(VLOOKUP(CONCATENATE(H426,F426,EI$2),Matemáticas!$A:$H,7,FALSE)=AW426,1,0)</f>
        <v>#N/A</v>
      </c>
      <c r="EJ426" s="138" t="e">
        <f>IF(VLOOKUP(CONCATENATE(H426,F426,EJ$2),Matemáticas!$A:$H,7,FALSE)=AX426,1,0)</f>
        <v>#N/A</v>
      </c>
      <c r="EK426" s="138" t="e">
        <f>IF(VLOOKUP(CONCATENATE(H426,F426,EK$2),Matemáticas!$A:$H,7,FALSE)=AY426,1,0)</f>
        <v>#N/A</v>
      </c>
      <c r="EL426" s="138" t="e">
        <f>IF(VLOOKUP(CONCATENATE(H426,F426,EL$2),Matemáticas!$A:$H,7,FALSE)=AZ426,1,0)</f>
        <v>#N/A</v>
      </c>
      <c r="EM426" s="138" t="e">
        <f>IF(VLOOKUP(CONCATENATE(H426,F426,EM$2),Matemáticas!$A:$H,7,FALSE)=BA426,1,0)</f>
        <v>#N/A</v>
      </c>
      <c r="EN426" s="138" t="e">
        <f>IF(VLOOKUP(CONCATENATE(H426,F426,EN$2),Matemáticas!$A:$H,7,FALSE)=BB426,1,0)</f>
        <v>#N/A</v>
      </c>
      <c r="EO426" s="138" t="e">
        <f>IF(VLOOKUP(CONCATENATE(H426,F426,EO$2),Matemáticas!$A:$H,7,FALSE)=BC426,1,0)</f>
        <v>#N/A</v>
      </c>
      <c r="EP426" s="138" t="e">
        <f>IF(VLOOKUP(CONCATENATE(H426,F426,EP$2),Matemáticas!$A:$H,7,FALSE)=BD426,1,0)</f>
        <v>#N/A</v>
      </c>
      <c r="EQ426" s="138" t="e">
        <f>IF(VLOOKUP(CONCATENATE(H426,F426,EQ$2),Matemáticas!$A:$H,7,FALSE)=BE426,1,0)</f>
        <v>#N/A</v>
      </c>
      <c r="ER426" s="138" t="e">
        <f>IF(VLOOKUP(CONCATENATE(H426,F426,ER$2),Matemáticas!$A:$H,7,FALSE)=BF426,1,0)</f>
        <v>#N/A</v>
      </c>
      <c r="ES426" s="138" t="e">
        <f>IF(VLOOKUP(CONCATENATE(H426,F426,ES$2),Matemáticas!$A:$H,7,FALSE)=BG426,1,0)</f>
        <v>#N/A</v>
      </c>
      <c r="ET426" s="138" t="e">
        <f>IF(VLOOKUP(CONCATENATE(H426,F426,ET$2),Matemáticas!$A:$H,7,FALSE)=BH426,1,0)</f>
        <v>#N/A</v>
      </c>
      <c r="EU426" s="138" t="e">
        <f>IF(VLOOKUP(CONCATENATE(H426,F426,EU$2),Matemáticas!$A:$H,7,FALSE)=BI426,1,0)</f>
        <v>#N/A</v>
      </c>
      <c r="EV426" s="138" t="e">
        <f>IF(VLOOKUP(CONCATENATE(H426,F426,EV$2),Ciencias!$A:$H,7,FALSE)=BJ426,1,0)</f>
        <v>#N/A</v>
      </c>
      <c r="EW426" s="138" t="e">
        <f>IF(VLOOKUP(CONCATENATE(H426,F426,EW$2),Ciencias!$A:$H,7,FALSE)=BK426,1,0)</f>
        <v>#N/A</v>
      </c>
      <c r="EX426" s="138" t="e">
        <f>IF(VLOOKUP(CONCATENATE(H426,F426,EX$2),Ciencias!$A:$H,7,FALSE)=BL426,1,0)</f>
        <v>#N/A</v>
      </c>
      <c r="EY426" s="138" t="e">
        <f>IF(VLOOKUP(CONCATENATE(H426,F426,EY$2),Ciencias!$A:$H,7,FALSE)=BM426,1,0)</f>
        <v>#N/A</v>
      </c>
      <c r="EZ426" s="138" t="e">
        <f>IF(VLOOKUP(CONCATENATE(H426,F426,EZ$2),Ciencias!$A:$H,7,FALSE)=BN426,1,0)</f>
        <v>#N/A</v>
      </c>
      <c r="FA426" s="138" t="e">
        <f>IF(VLOOKUP(CONCATENATE(H426,F426,FA$2),Ciencias!$A:$H,7,FALSE)=BO426,1,0)</f>
        <v>#N/A</v>
      </c>
      <c r="FB426" s="138" t="e">
        <f>IF(VLOOKUP(CONCATENATE(H426,F426,FB$2),Ciencias!$A:$H,7,FALSE)=BP426,1,0)</f>
        <v>#N/A</v>
      </c>
      <c r="FC426" s="138" t="e">
        <f>IF(VLOOKUP(CONCATENATE(H426,F426,FC$2),Ciencias!$A:$H,7,FALSE)=BQ426,1,0)</f>
        <v>#N/A</v>
      </c>
      <c r="FD426" s="138" t="e">
        <f>IF(VLOOKUP(CONCATENATE(H426,F426,FD$2),Ciencias!$A:$H,7,FALSE)=BR426,1,0)</f>
        <v>#N/A</v>
      </c>
      <c r="FE426" s="138" t="e">
        <f>IF(VLOOKUP(CONCATENATE(H426,F426,FE$2),Ciencias!$A:$H,7,FALSE)=BS426,1,0)</f>
        <v>#N/A</v>
      </c>
      <c r="FF426" s="138" t="e">
        <f>IF(VLOOKUP(CONCATENATE(H426,F426,FF$2),Ciencias!$A:$H,7,FALSE)=BT426,1,0)</f>
        <v>#N/A</v>
      </c>
      <c r="FG426" s="138" t="e">
        <f>IF(VLOOKUP(CONCATENATE(H426,F426,FG$2),Ciencias!$A:$H,7,FALSE)=BU426,1,0)</f>
        <v>#N/A</v>
      </c>
      <c r="FH426" s="138" t="e">
        <f>IF(VLOOKUP(CONCATENATE(H426,F426,FH$2),Ciencias!$A:$H,7,FALSE)=BV426,1,0)</f>
        <v>#N/A</v>
      </c>
      <c r="FI426" s="138" t="e">
        <f>IF(VLOOKUP(CONCATENATE(H426,F426,FI$2),Ciencias!$A:$H,7,FALSE)=BW426,1,0)</f>
        <v>#N/A</v>
      </c>
      <c r="FJ426" s="138" t="e">
        <f>IF(VLOOKUP(CONCATENATE(H426,F426,FJ$2),Ciencias!$A:$H,7,FALSE)=BX426,1,0)</f>
        <v>#N/A</v>
      </c>
      <c r="FK426" s="138" t="e">
        <f>IF(VLOOKUP(CONCATENATE(H426,F426,FK$2),Ciencias!$A:$H,7,FALSE)=BY426,1,0)</f>
        <v>#N/A</v>
      </c>
      <c r="FL426" s="138" t="e">
        <f>IF(VLOOKUP(CONCATENATE(H426,F426,FL$2),Ciencias!$A:$H,7,FALSE)=BZ426,1,0)</f>
        <v>#N/A</v>
      </c>
      <c r="FM426" s="138" t="e">
        <f>IF(VLOOKUP(CONCATENATE(H426,F426,FM$2),Ciencias!$A:$H,7,FALSE)=CA426,1,0)</f>
        <v>#N/A</v>
      </c>
      <c r="FN426" s="138" t="e">
        <f>IF(VLOOKUP(CONCATENATE(H426,F426,FN$2),Ciencias!$A:$H,7,FALSE)=CB426,1,0)</f>
        <v>#N/A</v>
      </c>
      <c r="FO426" s="138" t="e">
        <f>IF(VLOOKUP(CONCATENATE(H426,F426,FO$2),Ciencias!$A:$H,7,FALSE)=CC426,1,0)</f>
        <v>#N/A</v>
      </c>
      <c r="FP426" s="138" t="e">
        <f>IF(VLOOKUP(CONCATENATE(H426,F426,FP$2),GeoHis!$A:$H,7,FALSE)=CD426,1,0)</f>
        <v>#N/A</v>
      </c>
      <c r="FQ426" s="138" t="e">
        <f>IF(VLOOKUP(CONCATENATE(H426,F426,FQ$2),GeoHis!$A:$H,7,FALSE)=CE426,1,0)</f>
        <v>#N/A</v>
      </c>
      <c r="FR426" s="138" t="e">
        <f>IF(VLOOKUP(CONCATENATE(H426,F426,FR$2),GeoHis!$A:$H,7,FALSE)=CF426,1,0)</f>
        <v>#N/A</v>
      </c>
      <c r="FS426" s="138" t="e">
        <f>IF(VLOOKUP(CONCATENATE(H426,F426,FS$2),GeoHis!$A:$H,7,FALSE)=CG426,1,0)</f>
        <v>#N/A</v>
      </c>
      <c r="FT426" s="138" t="e">
        <f>IF(VLOOKUP(CONCATENATE(H426,F426,FT$2),GeoHis!$A:$H,7,FALSE)=CH426,1,0)</f>
        <v>#N/A</v>
      </c>
      <c r="FU426" s="138" t="e">
        <f>IF(VLOOKUP(CONCATENATE(H426,F426,FU$2),GeoHis!$A:$H,7,FALSE)=CI426,1,0)</f>
        <v>#N/A</v>
      </c>
      <c r="FV426" s="138" t="e">
        <f>IF(VLOOKUP(CONCATENATE(H426,F426,FV$2),GeoHis!$A:$H,7,FALSE)=CJ426,1,0)</f>
        <v>#N/A</v>
      </c>
      <c r="FW426" s="138" t="e">
        <f>IF(VLOOKUP(CONCATENATE(H426,F426,FW$2),GeoHis!$A:$H,7,FALSE)=CK426,1,0)</f>
        <v>#N/A</v>
      </c>
      <c r="FX426" s="138" t="e">
        <f>IF(VLOOKUP(CONCATENATE(H426,F426,FX$2),GeoHis!$A:$H,7,FALSE)=CL426,1,0)</f>
        <v>#N/A</v>
      </c>
      <c r="FY426" s="138" t="e">
        <f>IF(VLOOKUP(CONCATENATE(H426,F426,FY$2),GeoHis!$A:$H,7,FALSE)=CM426,1,0)</f>
        <v>#N/A</v>
      </c>
      <c r="FZ426" s="138" t="e">
        <f>IF(VLOOKUP(CONCATENATE(H426,F426,FZ$2),GeoHis!$A:$H,7,FALSE)=CN426,1,0)</f>
        <v>#N/A</v>
      </c>
      <c r="GA426" s="138" t="e">
        <f>IF(VLOOKUP(CONCATENATE(H426,F426,GA$2),GeoHis!$A:$H,7,FALSE)=CO426,1,0)</f>
        <v>#N/A</v>
      </c>
      <c r="GB426" s="138" t="e">
        <f>IF(VLOOKUP(CONCATENATE(H426,F426,GB$2),GeoHis!$A:$H,7,FALSE)=CP426,1,0)</f>
        <v>#N/A</v>
      </c>
      <c r="GC426" s="138" t="e">
        <f>IF(VLOOKUP(CONCATENATE(H426,F426,GC$2),GeoHis!$A:$H,7,FALSE)=CQ426,1,0)</f>
        <v>#N/A</v>
      </c>
      <c r="GD426" s="138" t="e">
        <f>IF(VLOOKUP(CONCATENATE(H426,F426,GD$2),GeoHis!$A:$H,7,FALSE)=CR426,1,0)</f>
        <v>#N/A</v>
      </c>
      <c r="GE426" s="135" t="str">
        <f t="shared" si="55"/>
        <v/>
      </c>
    </row>
    <row r="427" spans="1:187" x14ac:dyDescent="0.25">
      <c r="A427" s="127" t="str">
        <f>IF(C427="","",'Datos Generales'!$A$25)</f>
        <v/>
      </c>
      <c r="D427" s="126" t="str">
        <f t="shared" si="48"/>
        <v/>
      </c>
      <c r="E427" s="126">
        <f t="shared" si="49"/>
        <v>0</v>
      </c>
      <c r="F427" s="126" t="str">
        <f t="shared" si="50"/>
        <v/>
      </c>
      <c r="G427" s="126" t="str">
        <f>IF(C427="","",'Datos Generales'!$D$19)</f>
        <v/>
      </c>
      <c r="H427" s="21" t="str">
        <f>IF(C427="","",'Datos Generales'!$A$19)</f>
        <v/>
      </c>
      <c r="I427" s="126" t="str">
        <f>IF(C427="","",'Datos Generales'!$A$7)</f>
        <v/>
      </c>
      <c r="J427" s="21" t="str">
        <f>IF(C427="","",'Datos Generales'!$A$13)</f>
        <v/>
      </c>
      <c r="K427" s="21" t="str">
        <f>IF(C427="","",'Datos Generales'!$A$10)</f>
        <v/>
      </c>
      <c r="CS427" s="142" t="str">
        <f t="shared" si="51"/>
        <v/>
      </c>
      <c r="CT427" s="142" t="str">
        <f t="shared" si="52"/>
        <v/>
      </c>
      <c r="CU427" s="142" t="str">
        <f t="shared" si="53"/>
        <v/>
      </c>
      <c r="CV427" s="142" t="str">
        <f t="shared" si="54"/>
        <v/>
      </c>
      <c r="CW427" s="142" t="str">
        <f>IF(C427="","",IF('Datos Generales'!$A$19=1,AVERAGE(FP427:GD427),AVERAGE(Captura!FP427:FY427)))</f>
        <v/>
      </c>
      <c r="CX427" s="138" t="e">
        <f>IF(VLOOKUP(CONCATENATE($H$4,$F$4,CX$2),Español!$A:$H,7,FALSE)=L427,1,0)</f>
        <v>#N/A</v>
      </c>
      <c r="CY427" s="138" t="e">
        <f>IF(VLOOKUP(CONCATENATE(H427,F427,CY$2),Español!$A:$H,7,FALSE)=M427,1,0)</f>
        <v>#N/A</v>
      </c>
      <c r="CZ427" s="138" t="e">
        <f>IF(VLOOKUP(CONCATENATE(H427,F427,CZ$2),Español!$A:$H,7,FALSE)=N427,1,0)</f>
        <v>#N/A</v>
      </c>
      <c r="DA427" s="138" t="e">
        <f>IF(VLOOKUP(CONCATENATE(H427,F427,DA$2),Español!$A:$H,7,FALSE)=O427,1,0)</f>
        <v>#N/A</v>
      </c>
      <c r="DB427" s="138" t="e">
        <f>IF(VLOOKUP(CONCATENATE(H427,F427,DB$2),Español!$A:$H,7,FALSE)=P427,1,0)</f>
        <v>#N/A</v>
      </c>
      <c r="DC427" s="138" t="e">
        <f>IF(VLOOKUP(CONCATENATE(H427,F427,DC$2),Español!$A:$H,7,FALSE)=Q427,1,0)</f>
        <v>#N/A</v>
      </c>
      <c r="DD427" s="138" t="e">
        <f>IF(VLOOKUP(CONCATENATE(H427,F427,DD$2),Español!$A:$H,7,FALSE)=R427,1,0)</f>
        <v>#N/A</v>
      </c>
      <c r="DE427" s="138" t="e">
        <f>IF(VLOOKUP(CONCATENATE(H427,F427,DE$2),Español!$A:$H,7,FALSE)=S427,1,0)</f>
        <v>#N/A</v>
      </c>
      <c r="DF427" s="138" t="e">
        <f>IF(VLOOKUP(CONCATENATE(H427,F427,DF$2),Español!$A:$H,7,FALSE)=T427,1,0)</f>
        <v>#N/A</v>
      </c>
      <c r="DG427" s="138" t="e">
        <f>IF(VLOOKUP(CONCATENATE(H427,F427,DG$2),Español!$A:$H,7,FALSE)=U427,1,0)</f>
        <v>#N/A</v>
      </c>
      <c r="DH427" s="138" t="e">
        <f>IF(VLOOKUP(CONCATENATE(H427,F427,DH$2),Español!$A:$H,7,FALSE)=V427,1,0)</f>
        <v>#N/A</v>
      </c>
      <c r="DI427" s="138" t="e">
        <f>IF(VLOOKUP(CONCATENATE(H427,F427,DI$2),Español!$A:$H,7,FALSE)=W427,1,0)</f>
        <v>#N/A</v>
      </c>
      <c r="DJ427" s="138" t="e">
        <f>IF(VLOOKUP(CONCATENATE(H427,F427,DJ$2),Español!$A:$H,7,FALSE)=X427,1,0)</f>
        <v>#N/A</v>
      </c>
      <c r="DK427" s="138" t="e">
        <f>IF(VLOOKUP(CONCATENATE(H427,F427,DK$2),Español!$A:$H,7,FALSE)=Y427,1,0)</f>
        <v>#N/A</v>
      </c>
      <c r="DL427" s="138" t="e">
        <f>IF(VLOOKUP(CONCATENATE(H427,F427,DL$2),Español!$A:$H,7,FALSE)=Z427,1,0)</f>
        <v>#N/A</v>
      </c>
      <c r="DM427" s="138" t="e">
        <f>IF(VLOOKUP(CONCATENATE(H427,F427,DM$2),Español!$A:$H,7,FALSE)=AA427,1,0)</f>
        <v>#N/A</v>
      </c>
      <c r="DN427" s="138" t="e">
        <f>IF(VLOOKUP(CONCATENATE(H427,F427,DN$2),Español!$A:$H,7,FALSE)=AB427,1,0)</f>
        <v>#N/A</v>
      </c>
      <c r="DO427" s="138" t="e">
        <f>IF(VLOOKUP(CONCATENATE(H427,F427,DO$2),Español!$A:$H,7,FALSE)=AC427,1,0)</f>
        <v>#N/A</v>
      </c>
      <c r="DP427" s="138" t="e">
        <f>IF(VLOOKUP(CONCATENATE(H427,F427,DP$2),Español!$A:$H,7,FALSE)=AD427,1,0)</f>
        <v>#N/A</v>
      </c>
      <c r="DQ427" s="138" t="e">
        <f>IF(VLOOKUP(CONCATENATE(H427,F427,DQ$2),Español!$A:$H,7,FALSE)=AE427,1,0)</f>
        <v>#N/A</v>
      </c>
      <c r="DR427" s="138" t="e">
        <f>IF(VLOOKUP(CONCATENATE(H427,F427,DR$2),Inglés!$A:$H,7,FALSE)=AF427,1,0)</f>
        <v>#N/A</v>
      </c>
      <c r="DS427" s="138" t="e">
        <f>IF(VLOOKUP(CONCATENATE(H427,F427,DS$2),Inglés!$A:$H,7,FALSE)=AG427,1,0)</f>
        <v>#N/A</v>
      </c>
      <c r="DT427" s="138" t="e">
        <f>IF(VLOOKUP(CONCATENATE(H427,F427,DT$2),Inglés!$A:$H,7,FALSE)=AH427,1,0)</f>
        <v>#N/A</v>
      </c>
      <c r="DU427" s="138" t="e">
        <f>IF(VLOOKUP(CONCATENATE(H427,F427,DU$2),Inglés!$A:$H,7,FALSE)=AI427,1,0)</f>
        <v>#N/A</v>
      </c>
      <c r="DV427" s="138" t="e">
        <f>IF(VLOOKUP(CONCATENATE(H427,F427,DV$2),Inglés!$A:$H,7,FALSE)=AJ427,1,0)</f>
        <v>#N/A</v>
      </c>
      <c r="DW427" s="138" t="e">
        <f>IF(VLOOKUP(CONCATENATE(H427,F427,DW$2),Inglés!$A:$H,7,FALSE)=AK427,1,0)</f>
        <v>#N/A</v>
      </c>
      <c r="DX427" s="138" t="e">
        <f>IF(VLOOKUP(CONCATENATE(H427,F427,DX$2),Inglés!$A:$H,7,FALSE)=AL427,1,0)</f>
        <v>#N/A</v>
      </c>
      <c r="DY427" s="138" t="e">
        <f>IF(VLOOKUP(CONCATENATE(H427,F427,DY$2),Inglés!$A:$H,7,FALSE)=AM427,1,0)</f>
        <v>#N/A</v>
      </c>
      <c r="DZ427" s="138" t="e">
        <f>IF(VLOOKUP(CONCATENATE(H427,F427,DZ$2),Inglés!$A:$H,7,FALSE)=AN427,1,0)</f>
        <v>#N/A</v>
      </c>
      <c r="EA427" s="138" t="e">
        <f>IF(VLOOKUP(CONCATENATE(H427,F427,EA$2),Inglés!$A:$H,7,FALSE)=AO427,1,0)</f>
        <v>#N/A</v>
      </c>
      <c r="EB427" s="138" t="e">
        <f>IF(VLOOKUP(CONCATENATE(H427,F427,EB$2),Matemáticas!$A:$H,7,FALSE)=AP427,1,0)</f>
        <v>#N/A</v>
      </c>
      <c r="EC427" s="138" t="e">
        <f>IF(VLOOKUP(CONCATENATE(H427,F427,EC$2),Matemáticas!$A:$H,7,FALSE)=AQ427,1,0)</f>
        <v>#N/A</v>
      </c>
      <c r="ED427" s="138" t="e">
        <f>IF(VLOOKUP(CONCATENATE(H427,F427,ED$2),Matemáticas!$A:$H,7,FALSE)=AR427,1,0)</f>
        <v>#N/A</v>
      </c>
      <c r="EE427" s="138" t="e">
        <f>IF(VLOOKUP(CONCATENATE(H427,F427,EE$2),Matemáticas!$A:$H,7,FALSE)=AS427,1,0)</f>
        <v>#N/A</v>
      </c>
      <c r="EF427" s="138" t="e">
        <f>IF(VLOOKUP(CONCATENATE(H427,F427,EF$2),Matemáticas!$A:$H,7,FALSE)=AT427,1,0)</f>
        <v>#N/A</v>
      </c>
      <c r="EG427" s="138" t="e">
        <f>IF(VLOOKUP(CONCATENATE(H427,F427,EG$2),Matemáticas!$A:$H,7,FALSE)=AU427,1,0)</f>
        <v>#N/A</v>
      </c>
      <c r="EH427" s="138" t="e">
        <f>IF(VLOOKUP(CONCATENATE(H427,F427,EH$2),Matemáticas!$A:$H,7,FALSE)=AV427,1,0)</f>
        <v>#N/A</v>
      </c>
      <c r="EI427" s="138" t="e">
        <f>IF(VLOOKUP(CONCATENATE(H427,F427,EI$2),Matemáticas!$A:$H,7,FALSE)=AW427,1,0)</f>
        <v>#N/A</v>
      </c>
      <c r="EJ427" s="138" t="e">
        <f>IF(VLOOKUP(CONCATENATE(H427,F427,EJ$2),Matemáticas!$A:$H,7,FALSE)=AX427,1,0)</f>
        <v>#N/A</v>
      </c>
      <c r="EK427" s="138" t="e">
        <f>IF(VLOOKUP(CONCATENATE(H427,F427,EK$2),Matemáticas!$A:$H,7,FALSE)=AY427,1,0)</f>
        <v>#N/A</v>
      </c>
      <c r="EL427" s="138" t="e">
        <f>IF(VLOOKUP(CONCATENATE(H427,F427,EL$2),Matemáticas!$A:$H,7,FALSE)=AZ427,1,0)</f>
        <v>#N/A</v>
      </c>
      <c r="EM427" s="138" t="e">
        <f>IF(VLOOKUP(CONCATENATE(H427,F427,EM$2),Matemáticas!$A:$H,7,FALSE)=BA427,1,0)</f>
        <v>#N/A</v>
      </c>
      <c r="EN427" s="138" t="e">
        <f>IF(VLOOKUP(CONCATENATE(H427,F427,EN$2),Matemáticas!$A:$H,7,FALSE)=BB427,1,0)</f>
        <v>#N/A</v>
      </c>
      <c r="EO427" s="138" t="e">
        <f>IF(VLOOKUP(CONCATENATE(H427,F427,EO$2),Matemáticas!$A:$H,7,FALSE)=BC427,1,0)</f>
        <v>#N/A</v>
      </c>
      <c r="EP427" s="138" t="e">
        <f>IF(VLOOKUP(CONCATENATE(H427,F427,EP$2),Matemáticas!$A:$H,7,FALSE)=BD427,1,0)</f>
        <v>#N/A</v>
      </c>
      <c r="EQ427" s="138" t="e">
        <f>IF(VLOOKUP(CONCATENATE(H427,F427,EQ$2),Matemáticas!$A:$H,7,FALSE)=BE427,1,0)</f>
        <v>#N/A</v>
      </c>
      <c r="ER427" s="138" t="e">
        <f>IF(VLOOKUP(CONCATENATE(H427,F427,ER$2),Matemáticas!$A:$H,7,FALSE)=BF427,1,0)</f>
        <v>#N/A</v>
      </c>
      <c r="ES427" s="138" t="e">
        <f>IF(VLOOKUP(CONCATENATE(H427,F427,ES$2),Matemáticas!$A:$H,7,FALSE)=BG427,1,0)</f>
        <v>#N/A</v>
      </c>
      <c r="ET427" s="138" t="e">
        <f>IF(VLOOKUP(CONCATENATE(H427,F427,ET$2),Matemáticas!$A:$H,7,FALSE)=BH427,1,0)</f>
        <v>#N/A</v>
      </c>
      <c r="EU427" s="138" t="e">
        <f>IF(VLOOKUP(CONCATENATE(H427,F427,EU$2),Matemáticas!$A:$H,7,FALSE)=BI427,1,0)</f>
        <v>#N/A</v>
      </c>
      <c r="EV427" s="138" t="e">
        <f>IF(VLOOKUP(CONCATENATE(H427,F427,EV$2),Ciencias!$A:$H,7,FALSE)=BJ427,1,0)</f>
        <v>#N/A</v>
      </c>
      <c r="EW427" s="138" t="e">
        <f>IF(VLOOKUP(CONCATENATE(H427,F427,EW$2),Ciencias!$A:$H,7,FALSE)=BK427,1,0)</f>
        <v>#N/A</v>
      </c>
      <c r="EX427" s="138" t="e">
        <f>IF(VLOOKUP(CONCATENATE(H427,F427,EX$2),Ciencias!$A:$H,7,FALSE)=BL427,1,0)</f>
        <v>#N/A</v>
      </c>
      <c r="EY427" s="138" t="e">
        <f>IF(VLOOKUP(CONCATENATE(H427,F427,EY$2),Ciencias!$A:$H,7,FALSE)=BM427,1,0)</f>
        <v>#N/A</v>
      </c>
      <c r="EZ427" s="138" t="e">
        <f>IF(VLOOKUP(CONCATENATE(H427,F427,EZ$2),Ciencias!$A:$H,7,FALSE)=BN427,1,0)</f>
        <v>#N/A</v>
      </c>
      <c r="FA427" s="138" t="e">
        <f>IF(VLOOKUP(CONCATENATE(H427,F427,FA$2),Ciencias!$A:$H,7,FALSE)=BO427,1,0)</f>
        <v>#N/A</v>
      </c>
      <c r="FB427" s="138" t="e">
        <f>IF(VLOOKUP(CONCATENATE(H427,F427,FB$2),Ciencias!$A:$H,7,FALSE)=BP427,1,0)</f>
        <v>#N/A</v>
      </c>
      <c r="FC427" s="138" t="e">
        <f>IF(VLOOKUP(CONCATENATE(H427,F427,FC$2),Ciencias!$A:$H,7,FALSE)=BQ427,1,0)</f>
        <v>#N/A</v>
      </c>
      <c r="FD427" s="138" t="e">
        <f>IF(VLOOKUP(CONCATENATE(H427,F427,FD$2),Ciencias!$A:$H,7,FALSE)=BR427,1,0)</f>
        <v>#N/A</v>
      </c>
      <c r="FE427" s="138" t="e">
        <f>IF(VLOOKUP(CONCATENATE(H427,F427,FE$2),Ciencias!$A:$H,7,FALSE)=BS427,1,0)</f>
        <v>#N/A</v>
      </c>
      <c r="FF427" s="138" t="e">
        <f>IF(VLOOKUP(CONCATENATE(H427,F427,FF$2),Ciencias!$A:$H,7,FALSE)=BT427,1,0)</f>
        <v>#N/A</v>
      </c>
      <c r="FG427" s="138" t="e">
        <f>IF(VLOOKUP(CONCATENATE(H427,F427,FG$2),Ciencias!$A:$H,7,FALSE)=BU427,1,0)</f>
        <v>#N/A</v>
      </c>
      <c r="FH427" s="138" t="e">
        <f>IF(VLOOKUP(CONCATENATE(H427,F427,FH$2),Ciencias!$A:$H,7,FALSE)=BV427,1,0)</f>
        <v>#N/A</v>
      </c>
      <c r="FI427" s="138" t="e">
        <f>IF(VLOOKUP(CONCATENATE(H427,F427,FI$2),Ciencias!$A:$H,7,FALSE)=BW427,1,0)</f>
        <v>#N/A</v>
      </c>
      <c r="FJ427" s="138" t="e">
        <f>IF(VLOOKUP(CONCATENATE(H427,F427,FJ$2),Ciencias!$A:$H,7,FALSE)=BX427,1,0)</f>
        <v>#N/A</v>
      </c>
      <c r="FK427" s="138" t="e">
        <f>IF(VLOOKUP(CONCATENATE(H427,F427,FK$2),Ciencias!$A:$H,7,FALSE)=BY427,1,0)</f>
        <v>#N/A</v>
      </c>
      <c r="FL427" s="138" t="e">
        <f>IF(VLOOKUP(CONCATENATE(H427,F427,FL$2),Ciencias!$A:$H,7,FALSE)=BZ427,1,0)</f>
        <v>#N/A</v>
      </c>
      <c r="FM427" s="138" t="e">
        <f>IF(VLOOKUP(CONCATENATE(H427,F427,FM$2),Ciencias!$A:$H,7,FALSE)=CA427,1,0)</f>
        <v>#N/A</v>
      </c>
      <c r="FN427" s="138" t="e">
        <f>IF(VLOOKUP(CONCATENATE(H427,F427,FN$2),Ciencias!$A:$H,7,FALSE)=CB427,1,0)</f>
        <v>#N/A</v>
      </c>
      <c r="FO427" s="138" t="e">
        <f>IF(VLOOKUP(CONCATENATE(H427,F427,FO$2),Ciencias!$A:$H,7,FALSE)=CC427,1,0)</f>
        <v>#N/A</v>
      </c>
      <c r="FP427" s="138" t="e">
        <f>IF(VLOOKUP(CONCATENATE(H427,F427,FP$2),GeoHis!$A:$H,7,FALSE)=CD427,1,0)</f>
        <v>#N/A</v>
      </c>
      <c r="FQ427" s="138" t="e">
        <f>IF(VLOOKUP(CONCATENATE(H427,F427,FQ$2),GeoHis!$A:$H,7,FALSE)=CE427,1,0)</f>
        <v>#N/A</v>
      </c>
      <c r="FR427" s="138" t="e">
        <f>IF(VLOOKUP(CONCATENATE(H427,F427,FR$2),GeoHis!$A:$H,7,FALSE)=CF427,1,0)</f>
        <v>#N/A</v>
      </c>
      <c r="FS427" s="138" t="e">
        <f>IF(VLOOKUP(CONCATENATE(H427,F427,FS$2),GeoHis!$A:$H,7,FALSE)=CG427,1,0)</f>
        <v>#N/A</v>
      </c>
      <c r="FT427" s="138" t="e">
        <f>IF(VLOOKUP(CONCATENATE(H427,F427,FT$2),GeoHis!$A:$H,7,FALSE)=CH427,1,0)</f>
        <v>#N/A</v>
      </c>
      <c r="FU427" s="138" t="e">
        <f>IF(VLOOKUP(CONCATENATE(H427,F427,FU$2),GeoHis!$A:$H,7,FALSE)=CI427,1,0)</f>
        <v>#N/A</v>
      </c>
      <c r="FV427" s="138" t="e">
        <f>IF(VLOOKUP(CONCATENATE(H427,F427,FV$2),GeoHis!$A:$H,7,FALSE)=CJ427,1,0)</f>
        <v>#N/A</v>
      </c>
      <c r="FW427" s="138" t="e">
        <f>IF(VLOOKUP(CONCATENATE(H427,F427,FW$2),GeoHis!$A:$H,7,FALSE)=CK427,1,0)</f>
        <v>#N/A</v>
      </c>
      <c r="FX427" s="138" t="e">
        <f>IF(VLOOKUP(CONCATENATE(H427,F427,FX$2),GeoHis!$A:$H,7,FALSE)=CL427,1,0)</f>
        <v>#N/A</v>
      </c>
      <c r="FY427" s="138" t="e">
        <f>IF(VLOOKUP(CONCATENATE(H427,F427,FY$2),GeoHis!$A:$H,7,FALSE)=CM427,1,0)</f>
        <v>#N/A</v>
      </c>
      <c r="FZ427" s="138" t="e">
        <f>IF(VLOOKUP(CONCATENATE(H427,F427,FZ$2),GeoHis!$A:$H,7,FALSE)=CN427,1,0)</f>
        <v>#N/A</v>
      </c>
      <c r="GA427" s="138" t="e">
        <f>IF(VLOOKUP(CONCATENATE(H427,F427,GA$2),GeoHis!$A:$H,7,FALSE)=CO427,1,0)</f>
        <v>#N/A</v>
      </c>
      <c r="GB427" s="138" t="e">
        <f>IF(VLOOKUP(CONCATENATE(H427,F427,GB$2),GeoHis!$A:$H,7,FALSE)=CP427,1,0)</f>
        <v>#N/A</v>
      </c>
      <c r="GC427" s="138" t="e">
        <f>IF(VLOOKUP(CONCATENATE(H427,F427,GC$2),GeoHis!$A:$H,7,FALSE)=CQ427,1,0)</f>
        <v>#N/A</v>
      </c>
      <c r="GD427" s="138" t="e">
        <f>IF(VLOOKUP(CONCATENATE(H427,F427,GD$2),GeoHis!$A:$H,7,FALSE)=CR427,1,0)</f>
        <v>#N/A</v>
      </c>
      <c r="GE427" s="135" t="str">
        <f t="shared" si="55"/>
        <v/>
      </c>
    </row>
    <row r="428" spans="1:187" x14ac:dyDescent="0.25">
      <c r="A428" s="127" t="str">
        <f>IF(C428="","",'Datos Generales'!$A$25)</f>
        <v/>
      </c>
      <c r="D428" s="126" t="str">
        <f t="shared" si="48"/>
        <v/>
      </c>
      <c r="E428" s="126">
        <f t="shared" si="49"/>
        <v>0</v>
      </c>
      <c r="F428" s="126" t="str">
        <f t="shared" si="50"/>
        <v/>
      </c>
      <c r="G428" s="126" t="str">
        <f>IF(C428="","",'Datos Generales'!$D$19)</f>
        <v/>
      </c>
      <c r="H428" s="21" t="str">
        <f>IF(C428="","",'Datos Generales'!$A$19)</f>
        <v/>
      </c>
      <c r="I428" s="126" t="str">
        <f>IF(C428="","",'Datos Generales'!$A$7)</f>
        <v/>
      </c>
      <c r="J428" s="21" t="str">
        <f>IF(C428="","",'Datos Generales'!$A$13)</f>
        <v/>
      </c>
      <c r="K428" s="21" t="str">
        <f>IF(C428="","",'Datos Generales'!$A$10)</f>
        <v/>
      </c>
      <c r="CS428" s="142" t="str">
        <f t="shared" si="51"/>
        <v/>
      </c>
      <c r="CT428" s="142" t="str">
        <f t="shared" si="52"/>
        <v/>
      </c>
      <c r="CU428" s="142" t="str">
        <f t="shared" si="53"/>
        <v/>
      </c>
      <c r="CV428" s="142" t="str">
        <f t="shared" si="54"/>
        <v/>
      </c>
      <c r="CW428" s="142" t="str">
        <f>IF(C428="","",IF('Datos Generales'!$A$19=1,AVERAGE(FP428:GD428),AVERAGE(Captura!FP428:FY428)))</f>
        <v/>
      </c>
      <c r="CX428" s="138" t="e">
        <f>IF(VLOOKUP(CONCATENATE($H$4,$F$4,CX$2),Español!$A:$H,7,FALSE)=L428,1,0)</f>
        <v>#N/A</v>
      </c>
      <c r="CY428" s="138" t="e">
        <f>IF(VLOOKUP(CONCATENATE(H428,F428,CY$2),Español!$A:$H,7,FALSE)=M428,1,0)</f>
        <v>#N/A</v>
      </c>
      <c r="CZ428" s="138" t="e">
        <f>IF(VLOOKUP(CONCATENATE(H428,F428,CZ$2),Español!$A:$H,7,FALSE)=N428,1,0)</f>
        <v>#N/A</v>
      </c>
      <c r="DA428" s="138" t="e">
        <f>IF(VLOOKUP(CONCATENATE(H428,F428,DA$2),Español!$A:$H,7,FALSE)=O428,1,0)</f>
        <v>#N/A</v>
      </c>
      <c r="DB428" s="138" t="e">
        <f>IF(VLOOKUP(CONCATENATE(H428,F428,DB$2),Español!$A:$H,7,FALSE)=P428,1,0)</f>
        <v>#N/A</v>
      </c>
      <c r="DC428" s="138" t="e">
        <f>IF(VLOOKUP(CONCATENATE(H428,F428,DC$2),Español!$A:$H,7,FALSE)=Q428,1,0)</f>
        <v>#N/A</v>
      </c>
      <c r="DD428" s="138" t="e">
        <f>IF(VLOOKUP(CONCATENATE(H428,F428,DD$2),Español!$A:$H,7,FALSE)=R428,1,0)</f>
        <v>#N/A</v>
      </c>
      <c r="DE428" s="138" t="e">
        <f>IF(VLOOKUP(CONCATENATE(H428,F428,DE$2),Español!$A:$H,7,FALSE)=S428,1,0)</f>
        <v>#N/A</v>
      </c>
      <c r="DF428" s="138" t="e">
        <f>IF(VLOOKUP(CONCATENATE(H428,F428,DF$2),Español!$A:$H,7,FALSE)=T428,1,0)</f>
        <v>#N/A</v>
      </c>
      <c r="DG428" s="138" t="e">
        <f>IF(VLOOKUP(CONCATENATE(H428,F428,DG$2),Español!$A:$H,7,FALSE)=U428,1,0)</f>
        <v>#N/A</v>
      </c>
      <c r="DH428" s="138" t="e">
        <f>IF(VLOOKUP(CONCATENATE(H428,F428,DH$2),Español!$A:$H,7,FALSE)=V428,1,0)</f>
        <v>#N/A</v>
      </c>
      <c r="DI428" s="138" t="e">
        <f>IF(VLOOKUP(CONCATENATE(H428,F428,DI$2),Español!$A:$H,7,FALSE)=W428,1,0)</f>
        <v>#N/A</v>
      </c>
      <c r="DJ428" s="138" t="e">
        <f>IF(VLOOKUP(CONCATENATE(H428,F428,DJ$2),Español!$A:$H,7,FALSE)=X428,1,0)</f>
        <v>#N/A</v>
      </c>
      <c r="DK428" s="138" t="e">
        <f>IF(VLOOKUP(CONCATENATE(H428,F428,DK$2),Español!$A:$H,7,FALSE)=Y428,1,0)</f>
        <v>#N/A</v>
      </c>
      <c r="DL428" s="138" t="e">
        <f>IF(VLOOKUP(CONCATENATE(H428,F428,DL$2),Español!$A:$H,7,FALSE)=Z428,1,0)</f>
        <v>#N/A</v>
      </c>
      <c r="DM428" s="138" t="e">
        <f>IF(VLOOKUP(CONCATENATE(H428,F428,DM$2),Español!$A:$H,7,FALSE)=AA428,1,0)</f>
        <v>#N/A</v>
      </c>
      <c r="DN428" s="138" t="e">
        <f>IF(VLOOKUP(CONCATENATE(H428,F428,DN$2),Español!$A:$H,7,FALSE)=AB428,1,0)</f>
        <v>#N/A</v>
      </c>
      <c r="DO428" s="138" t="e">
        <f>IF(VLOOKUP(CONCATENATE(H428,F428,DO$2),Español!$A:$H,7,FALSE)=AC428,1,0)</f>
        <v>#N/A</v>
      </c>
      <c r="DP428" s="138" t="e">
        <f>IF(VLOOKUP(CONCATENATE(H428,F428,DP$2),Español!$A:$H,7,FALSE)=AD428,1,0)</f>
        <v>#N/A</v>
      </c>
      <c r="DQ428" s="138" t="e">
        <f>IF(VLOOKUP(CONCATENATE(H428,F428,DQ$2),Español!$A:$H,7,FALSE)=AE428,1,0)</f>
        <v>#N/A</v>
      </c>
      <c r="DR428" s="138" t="e">
        <f>IF(VLOOKUP(CONCATENATE(H428,F428,DR$2),Inglés!$A:$H,7,FALSE)=AF428,1,0)</f>
        <v>#N/A</v>
      </c>
      <c r="DS428" s="138" t="e">
        <f>IF(VLOOKUP(CONCATENATE(H428,F428,DS$2),Inglés!$A:$H,7,FALSE)=AG428,1,0)</f>
        <v>#N/A</v>
      </c>
      <c r="DT428" s="138" t="e">
        <f>IF(VLOOKUP(CONCATENATE(H428,F428,DT$2),Inglés!$A:$H,7,FALSE)=AH428,1,0)</f>
        <v>#N/A</v>
      </c>
      <c r="DU428" s="138" t="e">
        <f>IF(VLOOKUP(CONCATENATE(H428,F428,DU$2),Inglés!$A:$H,7,FALSE)=AI428,1,0)</f>
        <v>#N/A</v>
      </c>
      <c r="DV428" s="138" t="e">
        <f>IF(VLOOKUP(CONCATENATE(H428,F428,DV$2),Inglés!$A:$H,7,FALSE)=AJ428,1,0)</f>
        <v>#N/A</v>
      </c>
      <c r="DW428" s="138" t="e">
        <f>IF(VLOOKUP(CONCATENATE(H428,F428,DW$2),Inglés!$A:$H,7,FALSE)=AK428,1,0)</f>
        <v>#N/A</v>
      </c>
      <c r="DX428" s="138" t="e">
        <f>IF(VLOOKUP(CONCATENATE(H428,F428,DX$2),Inglés!$A:$H,7,FALSE)=AL428,1,0)</f>
        <v>#N/A</v>
      </c>
      <c r="DY428" s="138" t="e">
        <f>IF(VLOOKUP(CONCATENATE(H428,F428,DY$2),Inglés!$A:$H,7,FALSE)=AM428,1,0)</f>
        <v>#N/A</v>
      </c>
      <c r="DZ428" s="138" t="e">
        <f>IF(VLOOKUP(CONCATENATE(H428,F428,DZ$2),Inglés!$A:$H,7,FALSE)=AN428,1,0)</f>
        <v>#N/A</v>
      </c>
      <c r="EA428" s="138" t="e">
        <f>IF(VLOOKUP(CONCATENATE(H428,F428,EA$2),Inglés!$A:$H,7,FALSE)=AO428,1,0)</f>
        <v>#N/A</v>
      </c>
      <c r="EB428" s="138" t="e">
        <f>IF(VLOOKUP(CONCATENATE(H428,F428,EB$2),Matemáticas!$A:$H,7,FALSE)=AP428,1,0)</f>
        <v>#N/A</v>
      </c>
      <c r="EC428" s="138" t="e">
        <f>IF(VLOOKUP(CONCATENATE(H428,F428,EC$2),Matemáticas!$A:$H,7,FALSE)=AQ428,1,0)</f>
        <v>#N/A</v>
      </c>
      <c r="ED428" s="138" t="e">
        <f>IF(VLOOKUP(CONCATENATE(H428,F428,ED$2),Matemáticas!$A:$H,7,FALSE)=AR428,1,0)</f>
        <v>#N/A</v>
      </c>
      <c r="EE428" s="138" t="e">
        <f>IF(VLOOKUP(CONCATENATE(H428,F428,EE$2),Matemáticas!$A:$H,7,FALSE)=AS428,1,0)</f>
        <v>#N/A</v>
      </c>
      <c r="EF428" s="138" t="e">
        <f>IF(VLOOKUP(CONCATENATE(H428,F428,EF$2),Matemáticas!$A:$H,7,FALSE)=AT428,1,0)</f>
        <v>#N/A</v>
      </c>
      <c r="EG428" s="138" t="e">
        <f>IF(VLOOKUP(CONCATENATE(H428,F428,EG$2),Matemáticas!$A:$H,7,FALSE)=AU428,1,0)</f>
        <v>#N/A</v>
      </c>
      <c r="EH428" s="138" t="e">
        <f>IF(VLOOKUP(CONCATENATE(H428,F428,EH$2),Matemáticas!$A:$H,7,FALSE)=AV428,1,0)</f>
        <v>#N/A</v>
      </c>
      <c r="EI428" s="138" t="e">
        <f>IF(VLOOKUP(CONCATENATE(H428,F428,EI$2),Matemáticas!$A:$H,7,FALSE)=AW428,1,0)</f>
        <v>#N/A</v>
      </c>
      <c r="EJ428" s="138" t="e">
        <f>IF(VLOOKUP(CONCATENATE(H428,F428,EJ$2),Matemáticas!$A:$H,7,FALSE)=AX428,1,0)</f>
        <v>#N/A</v>
      </c>
      <c r="EK428" s="138" t="e">
        <f>IF(VLOOKUP(CONCATENATE(H428,F428,EK$2),Matemáticas!$A:$H,7,FALSE)=AY428,1,0)</f>
        <v>#N/A</v>
      </c>
      <c r="EL428" s="138" t="e">
        <f>IF(VLOOKUP(CONCATENATE(H428,F428,EL$2),Matemáticas!$A:$H,7,FALSE)=AZ428,1,0)</f>
        <v>#N/A</v>
      </c>
      <c r="EM428" s="138" t="e">
        <f>IF(VLOOKUP(CONCATENATE(H428,F428,EM$2),Matemáticas!$A:$H,7,FALSE)=BA428,1,0)</f>
        <v>#N/A</v>
      </c>
      <c r="EN428" s="138" t="e">
        <f>IF(VLOOKUP(CONCATENATE(H428,F428,EN$2),Matemáticas!$A:$H,7,FALSE)=BB428,1,0)</f>
        <v>#N/A</v>
      </c>
      <c r="EO428" s="138" t="e">
        <f>IF(VLOOKUP(CONCATENATE(H428,F428,EO$2),Matemáticas!$A:$H,7,FALSE)=BC428,1,0)</f>
        <v>#N/A</v>
      </c>
      <c r="EP428" s="138" t="e">
        <f>IF(VLOOKUP(CONCATENATE(H428,F428,EP$2),Matemáticas!$A:$H,7,FALSE)=BD428,1,0)</f>
        <v>#N/A</v>
      </c>
      <c r="EQ428" s="138" t="e">
        <f>IF(VLOOKUP(CONCATENATE(H428,F428,EQ$2),Matemáticas!$A:$H,7,FALSE)=BE428,1,0)</f>
        <v>#N/A</v>
      </c>
      <c r="ER428" s="138" t="e">
        <f>IF(VLOOKUP(CONCATENATE(H428,F428,ER$2),Matemáticas!$A:$H,7,FALSE)=BF428,1,0)</f>
        <v>#N/A</v>
      </c>
      <c r="ES428" s="138" t="e">
        <f>IF(VLOOKUP(CONCATENATE(H428,F428,ES$2),Matemáticas!$A:$H,7,FALSE)=BG428,1,0)</f>
        <v>#N/A</v>
      </c>
      <c r="ET428" s="138" t="e">
        <f>IF(VLOOKUP(CONCATENATE(H428,F428,ET$2),Matemáticas!$A:$H,7,FALSE)=BH428,1,0)</f>
        <v>#N/A</v>
      </c>
      <c r="EU428" s="138" t="e">
        <f>IF(VLOOKUP(CONCATENATE(H428,F428,EU$2),Matemáticas!$A:$H,7,FALSE)=BI428,1,0)</f>
        <v>#N/A</v>
      </c>
      <c r="EV428" s="138" t="e">
        <f>IF(VLOOKUP(CONCATENATE(H428,F428,EV$2),Ciencias!$A:$H,7,FALSE)=BJ428,1,0)</f>
        <v>#N/A</v>
      </c>
      <c r="EW428" s="138" t="e">
        <f>IF(VLOOKUP(CONCATENATE(H428,F428,EW$2),Ciencias!$A:$H,7,FALSE)=BK428,1,0)</f>
        <v>#N/A</v>
      </c>
      <c r="EX428" s="138" t="e">
        <f>IF(VLOOKUP(CONCATENATE(H428,F428,EX$2),Ciencias!$A:$H,7,FALSE)=BL428,1,0)</f>
        <v>#N/A</v>
      </c>
      <c r="EY428" s="138" t="e">
        <f>IF(VLOOKUP(CONCATENATE(H428,F428,EY$2),Ciencias!$A:$H,7,FALSE)=BM428,1,0)</f>
        <v>#N/A</v>
      </c>
      <c r="EZ428" s="138" t="e">
        <f>IF(VLOOKUP(CONCATENATE(H428,F428,EZ$2),Ciencias!$A:$H,7,FALSE)=BN428,1,0)</f>
        <v>#N/A</v>
      </c>
      <c r="FA428" s="138" t="e">
        <f>IF(VLOOKUP(CONCATENATE(H428,F428,FA$2),Ciencias!$A:$H,7,FALSE)=BO428,1,0)</f>
        <v>#N/A</v>
      </c>
      <c r="FB428" s="138" t="e">
        <f>IF(VLOOKUP(CONCATENATE(H428,F428,FB$2),Ciencias!$A:$H,7,FALSE)=BP428,1,0)</f>
        <v>#N/A</v>
      </c>
      <c r="FC428" s="138" t="e">
        <f>IF(VLOOKUP(CONCATENATE(H428,F428,FC$2),Ciencias!$A:$H,7,FALSE)=BQ428,1,0)</f>
        <v>#N/A</v>
      </c>
      <c r="FD428" s="138" t="e">
        <f>IF(VLOOKUP(CONCATENATE(H428,F428,FD$2),Ciencias!$A:$H,7,FALSE)=BR428,1,0)</f>
        <v>#N/A</v>
      </c>
      <c r="FE428" s="138" t="e">
        <f>IF(VLOOKUP(CONCATENATE(H428,F428,FE$2),Ciencias!$A:$H,7,FALSE)=BS428,1,0)</f>
        <v>#N/A</v>
      </c>
      <c r="FF428" s="138" t="e">
        <f>IF(VLOOKUP(CONCATENATE(H428,F428,FF$2),Ciencias!$A:$H,7,FALSE)=BT428,1,0)</f>
        <v>#N/A</v>
      </c>
      <c r="FG428" s="138" t="e">
        <f>IF(VLOOKUP(CONCATENATE(H428,F428,FG$2),Ciencias!$A:$H,7,FALSE)=BU428,1,0)</f>
        <v>#N/A</v>
      </c>
      <c r="FH428" s="138" t="e">
        <f>IF(VLOOKUP(CONCATENATE(H428,F428,FH$2),Ciencias!$A:$H,7,FALSE)=BV428,1,0)</f>
        <v>#N/A</v>
      </c>
      <c r="FI428" s="138" t="e">
        <f>IF(VLOOKUP(CONCATENATE(H428,F428,FI$2),Ciencias!$A:$H,7,FALSE)=BW428,1,0)</f>
        <v>#N/A</v>
      </c>
      <c r="FJ428" s="138" t="e">
        <f>IF(VLOOKUP(CONCATENATE(H428,F428,FJ$2),Ciencias!$A:$H,7,FALSE)=BX428,1,0)</f>
        <v>#N/A</v>
      </c>
      <c r="FK428" s="138" t="e">
        <f>IF(VLOOKUP(CONCATENATE(H428,F428,FK$2),Ciencias!$A:$H,7,FALSE)=BY428,1,0)</f>
        <v>#N/A</v>
      </c>
      <c r="FL428" s="138" t="e">
        <f>IF(VLOOKUP(CONCATENATE(H428,F428,FL$2),Ciencias!$A:$H,7,FALSE)=BZ428,1,0)</f>
        <v>#N/A</v>
      </c>
      <c r="FM428" s="138" t="e">
        <f>IF(VLOOKUP(CONCATENATE(H428,F428,FM$2),Ciencias!$A:$H,7,FALSE)=CA428,1,0)</f>
        <v>#N/A</v>
      </c>
      <c r="FN428" s="138" t="e">
        <f>IF(VLOOKUP(CONCATENATE(H428,F428,FN$2),Ciencias!$A:$H,7,FALSE)=CB428,1,0)</f>
        <v>#N/A</v>
      </c>
      <c r="FO428" s="138" t="e">
        <f>IF(VLOOKUP(CONCATENATE(H428,F428,FO$2),Ciencias!$A:$H,7,FALSE)=CC428,1,0)</f>
        <v>#N/A</v>
      </c>
      <c r="FP428" s="138" t="e">
        <f>IF(VLOOKUP(CONCATENATE(H428,F428,FP$2),GeoHis!$A:$H,7,FALSE)=CD428,1,0)</f>
        <v>#N/A</v>
      </c>
      <c r="FQ428" s="138" t="e">
        <f>IF(VLOOKUP(CONCATENATE(H428,F428,FQ$2),GeoHis!$A:$H,7,FALSE)=CE428,1,0)</f>
        <v>#N/A</v>
      </c>
      <c r="FR428" s="138" t="e">
        <f>IF(VLOOKUP(CONCATENATE(H428,F428,FR$2),GeoHis!$A:$H,7,FALSE)=CF428,1,0)</f>
        <v>#N/A</v>
      </c>
      <c r="FS428" s="138" t="e">
        <f>IF(VLOOKUP(CONCATENATE(H428,F428,FS$2),GeoHis!$A:$H,7,FALSE)=CG428,1,0)</f>
        <v>#N/A</v>
      </c>
      <c r="FT428" s="138" t="e">
        <f>IF(VLOOKUP(CONCATENATE(H428,F428,FT$2),GeoHis!$A:$H,7,FALSE)=CH428,1,0)</f>
        <v>#N/A</v>
      </c>
      <c r="FU428" s="138" t="e">
        <f>IF(VLOOKUP(CONCATENATE(H428,F428,FU$2),GeoHis!$A:$H,7,FALSE)=CI428,1,0)</f>
        <v>#N/A</v>
      </c>
      <c r="FV428" s="138" t="e">
        <f>IF(VLOOKUP(CONCATENATE(H428,F428,FV$2),GeoHis!$A:$H,7,FALSE)=CJ428,1,0)</f>
        <v>#N/A</v>
      </c>
      <c r="FW428" s="138" t="e">
        <f>IF(VLOOKUP(CONCATENATE(H428,F428,FW$2),GeoHis!$A:$H,7,FALSE)=CK428,1,0)</f>
        <v>#N/A</v>
      </c>
      <c r="FX428" s="138" t="e">
        <f>IF(VLOOKUP(CONCATENATE(H428,F428,FX$2),GeoHis!$A:$H,7,FALSE)=CL428,1,0)</f>
        <v>#N/A</v>
      </c>
      <c r="FY428" s="138" t="e">
        <f>IF(VLOOKUP(CONCATENATE(H428,F428,FY$2),GeoHis!$A:$H,7,FALSE)=CM428,1,0)</f>
        <v>#N/A</v>
      </c>
      <c r="FZ428" s="138" t="e">
        <f>IF(VLOOKUP(CONCATENATE(H428,F428,FZ$2),GeoHis!$A:$H,7,FALSE)=CN428,1,0)</f>
        <v>#N/A</v>
      </c>
      <c r="GA428" s="138" t="e">
        <f>IF(VLOOKUP(CONCATENATE(H428,F428,GA$2),GeoHis!$A:$H,7,FALSE)=CO428,1,0)</f>
        <v>#N/A</v>
      </c>
      <c r="GB428" s="138" t="e">
        <f>IF(VLOOKUP(CONCATENATE(H428,F428,GB$2),GeoHis!$A:$H,7,FALSE)=CP428,1,0)</f>
        <v>#N/A</v>
      </c>
      <c r="GC428" s="138" t="e">
        <f>IF(VLOOKUP(CONCATENATE(H428,F428,GC$2),GeoHis!$A:$H,7,FALSE)=CQ428,1,0)</f>
        <v>#N/A</v>
      </c>
      <c r="GD428" s="138" t="e">
        <f>IF(VLOOKUP(CONCATENATE(H428,F428,GD$2),GeoHis!$A:$H,7,FALSE)=CR428,1,0)</f>
        <v>#N/A</v>
      </c>
      <c r="GE428" s="135" t="str">
        <f t="shared" si="55"/>
        <v/>
      </c>
    </row>
    <row r="429" spans="1:187" x14ac:dyDescent="0.25">
      <c r="A429" s="127" t="str">
        <f>IF(C429="","",'Datos Generales'!$A$25)</f>
        <v/>
      </c>
      <c r="D429" s="126" t="str">
        <f t="shared" si="48"/>
        <v/>
      </c>
      <c r="E429" s="126">
        <f t="shared" si="49"/>
        <v>0</v>
      </c>
      <c r="F429" s="126" t="str">
        <f t="shared" si="50"/>
        <v/>
      </c>
      <c r="G429" s="126" t="str">
        <f>IF(C429="","",'Datos Generales'!$D$19)</f>
        <v/>
      </c>
      <c r="H429" s="21" t="str">
        <f>IF(C429="","",'Datos Generales'!$A$19)</f>
        <v/>
      </c>
      <c r="I429" s="126" t="str">
        <f>IF(C429="","",'Datos Generales'!$A$7)</f>
        <v/>
      </c>
      <c r="J429" s="21" t="str">
        <f>IF(C429="","",'Datos Generales'!$A$13)</f>
        <v/>
      </c>
      <c r="K429" s="21" t="str">
        <f>IF(C429="","",'Datos Generales'!$A$10)</f>
        <v/>
      </c>
      <c r="CS429" s="142" t="str">
        <f t="shared" si="51"/>
        <v/>
      </c>
      <c r="CT429" s="142" t="str">
        <f t="shared" si="52"/>
        <v/>
      </c>
      <c r="CU429" s="142" t="str">
        <f t="shared" si="53"/>
        <v/>
      </c>
      <c r="CV429" s="142" t="str">
        <f t="shared" si="54"/>
        <v/>
      </c>
      <c r="CW429" s="142" t="str">
        <f>IF(C429="","",IF('Datos Generales'!$A$19=1,AVERAGE(FP429:GD429),AVERAGE(Captura!FP429:FY429)))</f>
        <v/>
      </c>
      <c r="CX429" s="138" t="e">
        <f>IF(VLOOKUP(CONCATENATE($H$4,$F$4,CX$2),Español!$A:$H,7,FALSE)=L429,1,0)</f>
        <v>#N/A</v>
      </c>
      <c r="CY429" s="138" t="e">
        <f>IF(VLOOKUP(CONCATENATE(H429,F429,CY$2),Español!$A:$H,7,FALSE)=M429,1,0)</f>
        <v>#N/A</v>
      </c>
      <c r="CZ429" s="138" t="e">
        <f>IF(VLOOKUP(CONCATENATE(H429,F429,CZ$2),Español!$A:$H,7,FALSE)=N429,1,0)</f>
        <v>#N/A</v>
      </c>
      <c r="DA429" s="138" t="e">
        <f>IF(VLOOKUP(CONCATENATE(H429,F429,DA$2),Español!$A:$H,7,FALSE)=O429,1,0)</f>
        <v>#N/A</v>
      </c>
      <c r="DB429" s="138" t="e">
        <f>IF(VLOOKUP(CONCATENATE(H429,F429,DB$2),Español!$A:$H,7,FALSE)=P429,1,0)</f>
        <v>#N/A</v>
      </c>
      <c r="DC429" s="138" t="e">
        <f>IF(VLOOKUP(CONCATENATE(H429,F429,DC$2),Español!$A:$H,7,FALSE)=Q429,1,0)</f>
        <v>#N/A</v>
      </c>
      <c r="DD429" s="138" t="e">
        <f>IF(VLOOKUP(CONCATENATE(H429,F429,DD$2),Español!$A:$H,7,FALSE)=R429,1,0)</f>
        <v>#N/A</v>
      </c>
      <c r="DE429" s="138" t="e">
        <f>IF(VLOOKUP(CONCATENATE(H429,F429,DE$2),Español!$A:$H,7,FALSE)=S429,1,0)</f>
        <v>#N/A</v>
      </c>
      <c r="DF429" s="138" t="e">
        <f>IF(VLOOKUP(CONCATENATE(H429,F429,DF$2),Español!$A:$H,7,FALSE)=T429,1,0)</f>
        <v>#N/A</v>
      </c>
      <c r="DG429" s="138" t="e">
        <f>IF(VLOOKUP(CONCATENATE(H429,F429,DG$2),Español!$A:$H,7,FALSE)=U429,1,0)</f>
        <v>#N/A</v>
      </c>
      <c r="DH429" s="138" t="e">
        <f>IF(VLOOKUP(CONCATENATE(H429,F429,DH$2),Español!$A:$H,7,FALSE)=V429,1,0)</f>
        <v>#N/A</v>
      </c>
      <c r="DI429" s="138" t="e">
        <f>IF(VLOOKUP(CONCATENATE(H429,F429,DI$2),Español!$A:$H,7,FALSE)=W429,1,0)</f>
        <v>#N/A</v>
      </c>
      <c r="DJ429" s="138" t="e">
        <f>IF(VLOOKUP(CONCATENATE(H429,F429,DJ$2),Español!$A:$H,7,FALSE)=X429,1,0)</f>
        <v>#N/A</v>
      </c>
      <c r="DK429" s="138" t="e">
        <f>IF(VLOOKUP(CONCATENATE(H429,F429,DK$2),Español!$A:$H,7,FALSE)=Y429,1,0)</f>
        <v>#N/A</v>
      </c>
      <c r="DL429" s="138" t="e">
        <f>IF(VLOOKUP(CONCATENATE(H429,F429,DL$2),Español!$A:$H,7,FALSE)=Z429,1,0)</f>
        <v>#N/A</v>
      </c>
      <c r="DM429" s="138" t="e">
        <f>IF(VLOOKUP(CONCATENATE(H429,F429,DM$2),Español!$A:$H,7,FALSE)=AA429,1,0)</f>
        <v>#N/A</v>
      </c>
      <c r="DN429" s="138" t="e">
        <f>IF(VLOOKUP(CONCATENATE(H429,F429,DN$2),Español!$A:$H,7,FALSE)=AB429,1,0)</f>
        <v>#N/A</v>
      </c>
      <c r="DO429" s="138" t="e">
        <f>IF(VLOOKUP(CONCATENATE(H429,F429,DO$2),Español!$A:$H,7,FALSE)=AC429,1,0)</f>
        <v>#N/A</v>
      </c>
      <c r="DP429" s="138" t="e">
        <f>IF(VLOOKUP(CONCATENATE(H429,F429,DP$2),Español!$A:$H,7,FALSE)=AD429,1,0)</f>
        <v>#N/A</v>
      </c>
      <c r="DQ429" s="138" t="e">
        <f>IF(VLOOKUP(CONCATENATE(H429,F429,DQ$2),Español!$A:$H,7,FALSE)=AE429,1,0)</f>
        <v>#N/A</v>
      </c>
      <c r="DR429" s="138" t="e">
        <f>IF(VLOOKUP(CONCATENATE(H429,F429,DR$2),Inglés!$A:$H,7,FALSE)=AF429,1,0)</f>
        <v>#N/A</v>
      </c>
      <c r="DS429" s="138" t="e">
        <f>IF(VLOOKUP(CONCATENATE(H429,F429,DS$2),Inglés!$A:$H,7,FALSE)=AG429,1,0)</f>
        <v>#N/A</v>
      </c>
      <c r="DT429" s="138" t="e">
        <f>IF(VLOOKUP(CONCATENATE(H429,F429,DT$2),Inglés!$A:$H,7,FALSE)=AH429,1,0)</f>
        <v>#N/A</v>
      </c>
      <c r="DU429" s="138" t="e">
        <f>IF(VLOOKUP(CONCATENATE(H429,F429,DU$2),Inglés!$A:$H,7,FALSE)=AI429,1,0)</f>
        <v>#N/A</v>
      </c>
      <c r="DV429" s="138" t="e">
        <f>IF(VLOOKUP(CONCATENATE(H429,F429,DV$2),Inglés!$A:$H,7,FALSE)=AJ429,1,0)</f>
        <v>#N/A</v>
      </c>
      <c r="DW429" s="138" t="e">
        <f>IF(VLOOKUP(CONCATENATE(H429,F429,DW$2),Inglés!$A:$H,7,FALSE)=AK429,1,0)</f>
        <v>#N/A</v>
      </c>
      <c r="DX429" s="138" t="e">
        <f>IF(VLOOKUP(CONCATENATE(H429,F429,DX$2),Inglés!$A:$H,7,FALSE)=AL429,1,0)</f>
        <v>#N/A</v>
      </c>
      <c r="DY429" s="138" t="e">
        <f>IF(VLOOKUP(CONCATENATE(H429,F429,DY$2),Inglés!$A:$H,7,FALSE)=AM429,1,0)</f>
        <v>#N/A</v>
      </c>
      <c r="DZ429" s="138" t="e">
        <f>IF(VLOOKUP(CONCATENATE(H429,F429,DZ$2),Inglés!$A:$H,7,FALSE)=AN429,1,0)</f>
        <v>#N/A</v>
      </c>
      <c r="EA429" s="138" t="e">
        <f>IF(VLOOKUP(CONCATENATE(H429,F429,EA$2),Inglés!$A:$H,7,FALSE)=AO429,1,0)</f>
        <v>#N/A</v>
      </c>
      <c r="EB429" s="138" t="e">
        <f>IF(VLOOKUP(CONCATENATE(H429,F429,EB$2),Matemáticas!$A:$H,7,FALSE)=AP429,1,0)</f>
        <v>#N/A</v>
      </c>
      <c r="EC429" s="138" t="e">
        <f>IF(VLOOKUP(CONCATENATE(H429,F429,EC$2),Matemáticas!$A:$H,7,FALSE)=AQ429,1,0)</f>
        <v>#N/A</v>
      </c>
      <c r="ED429" s="138" t="e">
        <f>IF(VLOOKUP(CONCATENATE(H429,F429,ED$2),Matemáticas!$A:$H,7,FALSE)=AR429,1,0)</f>
        <v>#N/A</v>
      </c>
      <c r="EE429" s="138" t="e">
        <f>IF(VLOOKUP(CONCATENATE(H429,F429,EE$2),Matemáticas!$A:$H,7,FALSE)=AS429,1,0)</f>
        <v>#N/A</v>
      </c>
      <c r="EF429" s="138" t="e">
        <f>IF(VLOOKUP(CONCATENATE(H429,F429,EF$2),Matemáticas!$A:$H,7,FALSE)=AT429,1,0)</f>
        <v>#N/A</v>
      </c>
      <c r="EG429" s="138" t="e">
        <f>IF(VLOOKUP(CONCATENATE(H429,F429,EG$2),Matemáticas!$A:$H,7,FALSE)=AU429,1,0)</f>
        <v>#N/A</v>
      </c>
      <c r="EH429" s="138" t="e">
        <f>IF(VLOOKUP(CONCATENATE(H429,F429,EH$2),Matemáticas!$A:$H,7,FALSE)=AV429,1,0)</f>
        <v>#N/A</v>
      </c>
      <c r="EI429" s="138" t="e">
        <f>IF(VLOOKUP(CONCATENATE(H429,F429,EI$2),Matemáticas!$A:$H,7,FALSE)=AW429,1,0)</f>
        <v>#N/A</v>
      </c>
      <c r="EJ429" s="138" t="e">
        <f>IF(VLOOKUP(CONCATENATE(H429,F429,EJ$2),Matemáticas!$A:$H,7,FALSE)=AX429,1,0)</f>
        <v>#N/A</v>
      </c>
      <c r="EK429" s="138" t="e">
        <f>IF(VLOOKUP(CONCATENATE(H429,F429,EK$2),Matemáticas!$A:$H,7,FALSE)=AY429,1,0)</f>
        <v>#N/A</v>
      </c>
      <c r="EL429" s="138" t="e">
        <f>IF(VLOOKUP(CONCATENATE(H429,F429,EL$2),Matemáticas!$A:$H,7,FALSE)=AZ429,1,0)</f>
        <v>#N/A</v>
      </c>
      <c r="EM429" s="138" t="e">
        <f>IF(VLOOKUP(CONCATENATE(H429,F429,EM$2),Matemáticas!$A:$H,7,FALSE)=BA429,1,0)</f>
        <v>#N/A</v>
      </c>
      <c r="EN429" s="138" t="e">
        <f>IF(VLOOKUP(CONCATENATE(H429,F429,EN$2),Matemáticas!$A:$H,7,FALSE)=BB429,1,0)</f>
        <v>#N/A</v>
      </c>
      <c r="EO429" s="138" t="e">
        <f>IF(VLOOKUP(CONCATENATE(H429,F429,EO$2),Matemáticas!$A:$H,7,FALSE)=BC429,1,0)</f>
        <v>#N/A</v>
      </c>
      <c r="EP429" s="138" t="e">
        <f>IF(VLOOKUP(CONCATENATE(H429,F429,EP$2),Matemáticas!$A:$H,7,FALSE)=BD429,1,0)</f>
        <v>#N/A</v>
      </c>
      <c r="EQ429" s="138" t="e">
        <f>IF(VLOOKUP(CONCATENATE(H429,F429,EQ$2),Matemáticas!$A:$H,7,FALSE)=BE429,1,0)</f>
        <v>#N/A</v>
      </c>
      <c r="ER429" s="138" t="e">
        <f>IF(VLOOKUP(CONCATENATE(H429,F429,ER$2),Matemáticas!$A:$H,7,FALSE)=BF429,1,0)</f>
        <v>#N/A</v>
      </c>
      <c r="ES429" s="138" t="e">
        <f>IF(VLOOKUP(CONCATENATE(H429,F429,ES$2),Matemáticas!$A:$H,7,FALSE)=BG429,1,0)</f>
        <v>#N/A</v>
      </c>
      <c r="ET429" s="138" t="e">
        <f>IF(VLOOKUP(CONCATENATE(H429,F429,ET$2),Matemáticas!$A:$H,7,FALSE)=BH429,1,0)</f>
        <v>#N/A</v>
      </c>
      <c r="EU429" s="138" t="e">
        <f>IF(VLOOKUP(CONCATENATE(H429,F429,EU$2),Matemáticas!$A:$H,7,FALSE)=BI429,1,0)</f>
        <v>#N/A</v>
      </c>
      <c r="EV429" s="138" t="e">
        <f>IF(VLOOKUP(CONCATENATE(H429,F429,EV$2),Ciencias!$A:$H,7,FALSE)=BJ429,1,0)</f>
        <v>#N/A</v>
      </c>
      <c r="EW429" s="138" t="e">
        <f>IF(VLOOKUP(CONCATENATE(H429,F429,EW$2),Ciencias!$A:$H,7,FALSE)=BK429,1,0)</f>
        <v>#N/A</v>
      </c>
      <c r="EX429" s="138" t="e">
        <f>IF(VLOOKUP(CONCATENATE(H429,F429,EX$2),Ciencias!$A:$H,7,FALSE)=BL429,1,0)</f>
        <v>#N/A</v>
      </c>
      <c r="EY429" s="138" t="e">
        <f>IF(VLOOKUP(CONCATENATE(H429,F429,EY$2),Ciencias!$A:$H,7,FALSE)=BM429,1,0)</f>
        <v>#N/A</v>
      </c>
      <c r="EZ429" s="138" t="e">
        <f>IF(VLOOKUP(CONCATENATE(H429,F429,EZ$2),Ciencias!$A:$H,7,FALSE)=BN429,1,0)</f>
        <v>#N/A</v>
      </c>
      <c r="FA429" s="138" t="e">
        <f>IF(VLOOKUP(CONCATENATE(H429,F429,FA$2),Ciencias!$A:$H,7,FALSE)=BO429,1,0)</f>
        <v>#N/A</v>
      </c>
      <c r="FB429" s="138" t="e">
        <f>IF(VLOOKUP(CONCATENATE(H429,F429,FB$2),Ciencias!$A:$H,7,FALSE)=BP429,1,0)</f>
        <v>#N/A</v>
      </c>
      <c r="FC429" s="138" t="e">
        <f>IF(VLOOKUP(CONCATENATE(H429,F429,FC$2),Ciencias!$A:$H,7,FALSE)=BQ429,1,0)</f>
        <v>#N/A</v>
      </c>
      <c r="FD429" s="138" t="e">
        <f>IF(VLOOKUP(CONCATENATE(H429,F429,FD$2),Ciencias!$A:$H,7,FALSE)=BR429,1,0)</f>
        <v>#N/A</v>
      </c>
      <c r="FE429" s="138" t="e">
        <f>IF(VLOOKUP(CONCATENATE(H429,F429,FE$2),Ciencias!$A:$H,7,FALSE)=BS429,1,0)</f>
        <v>#N/A</v>
      </c>
      <c r="FF429" s="138" t="e">
        <f>IF(VLOOKUP(CONCATENATE(H429,F429,FF$2),Ciencias!$A:$H,7,FALSE)=BT429,1,0)</f>
        <v>#N/A</v>
      </c>
      <c r="FG429" s="138" t="e">
        <f>IF(VLOOKUP(CONCATENATE(H429,F429,FG$2),Ciencias!$A:$H,7,FALSE)=BU429,1,0)</f>
        <v>#N/A</v>
      </c>
      <c r="FH429" s="138" t="e">
        <f>IF(VLOOKUP(CONCATENATE(H429,F429,FH$2),Ciencias!$A:$H,7,FALSE)=BV429,1,0)</f>
        <v>#N/A</v>
      </c>
      <c r="FI429" s="138" t="e">
        <f>IF(VLOOKUP(CONCATENATE(H429,F429,FI$2),Ciencias!$A:$H,7,FALSE)=BW429,1,0)</f>
        <v>#N/A</v>
      </c>
      <c r="FJ429" s="138" t="e">
        <f>IF(VLOOKUP(CONCATENATE(H429,F429,FJ$2),Ciencias!$A:$H,7,FALSE)=BX429,1,0)</f>
        <v>#N/A</v>
      </c>
      <c r="FK429" s="138" t="e">
        <f>IF(VLOOKUP(CONCATENATE(H429,F429,FK$2),Ciencias!$A:$H,7,FALSE)=BY429,1,0)</f>
        <v>#N/A</v>
      </c>
      <c r="FL429" s="138" t="e">
        <f>IF(VLOOKUP(CONCATENATE(H429,F429,FL$2),Ciencias!$A:$H,7,FALSE)=BZ429,1,0)</f>
        <v>#N/A</v>
      </c>
      <c r="FM429" s="138" t="e">
        <f>IF(VLOOKUP(CONCATENATE(H429,F429,FM$2),Ciencias!$A:$H,7,FALSE)=CA429,1,0)</f>
        <v>#N/A</v>
      </c>
      <c r="FN429" s="138" t="e">
        <f>IF(VLOOKUP(CONCATENATE(H429,F429,FN$2),Ciencias!$A:$H,7,FALSE)=CB429,1,0)</f>
        <v>#N/A</v>
      </c>
      <c r="FO429" s="138" t="e">
        <f>IF(VLOOKUP(CONCATENATE(H429,F429,FO$2),Ciencias!$A:$H,7,FALSE)=CC429,1,0)</f>
        <v>#N/A</v>
      </c>
      <c r="FP429" s="138" t="e">
        <f>IF(VLOOKUP(CONCATENATE(H429,F429,FP$2),GeoHis!$A:$H,7,FALSE)=CD429,1,0)</f>
        <v>#N/A</v>
      </c>
      <c r="FQ429" s="138" t="e">
        <f>IF(VLOOKUP(CONCATENATE(H429,F429,FQ$2),GeoHis!$A:$H,7,FALSE)=CE429,1,0)</f>
        <v>#N/A</v>
      </c>
      <c r="FR429" s="138" t="e">
        <f>IF(VLOOKUP(CONCATENATE(H429,F429,FR$2),GeoHis!$A:$H,7,FALSE)=CF429,1,0)</f>
        <v>#N/A</v>
      </c>
      <c r="FS429" s="138" t="e">
        <f>IF(VLOOKUP(CONCATENATE(H429,F429,FS$2),GeoHis!$A:$H,7,FALSE)=CG429,1,0)</f>
        <v>#N/A</v>
      </c>
      <c r="FT429" s="138" t="e">
        <f>IF(VLOOKUP(CONCATENATE(H429,F429,FT$2),GeoHis!$A:$H,7,FALSE)=CH429,1,0)</f>
        <v>#N/A</v>
      </c>
      <c r="FU429" s="138" t="e">
        <f>IF(VLOOKUP(CONCATENATE(H429,F429,FU$2),GeoHis!$A:$H,7,FALSE)=CI429,1,0)</f>
        <v>#N/A</v>
      </c>
      <c r="FV429" s="138" t="e">
        <f>IF(VLOOKUP(CONCATENATE(H429,F429,FV$2),GeoHis!$A:$H,7,FALSE)=CJ429,1,0)</f>
        <v>#N/A</v>
      </c>
      <c r="FW429" s="138" t="e">
        <f>IF(VLOOKUP(CONCATENATE(H429,F429,FW$2),GeoHis!$A:$H,7,FALSE)=CK429,1,0)</f>
        <v>#N/A</v>
      </c>
      <c r="FX429" s="138" t="e">
        <f>IF(VLOOKUP(CONCATENATE(H429,F429,FX$2),GeoHis!$A:$H,7,FALSE)=CL429,1,0)</f>
        <v>#N/A</v>
      </c>
      <c r="FY429" s="138" t="e">
        <f>IF(VLOOKUP(CONCATENATE(H429,F429,FY$2),GeoHis!$A:$H,7,FALSE)=CM429,1,0)</f>
        <v>#N/A</v>
      </c>
      <c r="FZ429" s="138" t="e">
        <f>IF(VLOOKUP(CONCATENATE(H429,F429,FZ$2),GeoHis!$A:$H,7,FALSE)=CN429,1,0)</f>
        <v>#N/A</v>
      </c>
      <c r="GA429" s="138" t="e">
        <f>IF(VLOOKUP(CONCATENATE(H429,F429,GA$2),GeoHis!$A:$H,7,FALSE)=CO429,1,0)</f>
        <v>#N/A</v>
      </c>
      <c r="GB429" s="138" t="e">
        <f>IF(VLOOKUP(CONCATENATE(H429,F429,GB$2),GeoHis!$A:$H,7,FALSE)=CP429,1,0)</f>
        <v>#N/A</v>
      </c>
      <c r="GC429" s="138" t="e">
        <f>IF(VLOOKUP(CONCATENATE(H429,F429,GC$2),GeoHis!$A:$H,7,FALSE)=CQ429,1,0)</f>
        <v>#N/A</v>
      </c>
      <c r="GD429" s="138" t="e">
        <f>IF(VLOOKUP(CONCATENATE(H429,F429,GD$2),GeoHis!$A:$H,7,FALSE)=CR429,1,0)</f>
        <v>#N/A</v>
      </c>
      <c r="GE429" s="135" t="str">
        <f t="shared" si="55"/>
        <v/>
      </c>
    </row>
    <row r="430" spans="1:187" x14ac:dyDescent="0.25">
      <c r="A430" s="127" t="str">
        <f>IF(C430="","",'Datos Generales'!$A$25)</f>
        <v/>
      </c>
      <c r="D430" s="126" t="str">
        <f t="shared" si="48"/>
        <v/>
      </c>
      <c r="E430" s="126">
        <f t="shared" si="49"/>
        <v>0</v>
      </c>
      <c r="F430" s="126" t="str">
        <f t="shared" si="50"/>
        <v/>
      </c>
      <c r="G430" s="126" t="str">
        <f>IF(C430="","",'Datos Generales'!$D$19)</f>
        <v/>
      </c>
      <c r="H430" s="21" t="str">
        <f>IF(C430="","",'Datos Generales'!$A$19)</f>
        <v/>
      </c>
      <c r="I430" s="126" t="str">
        <f>IF(C430="","",'Datos Generales'!$A$7)</f>
        <v/>
      </c>
      <c r="J430" s="21" t="str">
        <f>IF(C430="","",'Datos Generales'!$A$13)</f>
        <v/>
      </c>
      <c r="K430" s="21" t="str">
        <f>IF(C430="","",'Datos Generales'!$A$10)</f>
        <v/>
      </c>
      <c r="CS430" s="142" t="str">
        <f t="shared" si="51"/>
        <v/>
      </c>
      <c r="CT430" s="142" t="str">
        <f t="shared" si="52"/>
        <v/>
      </c>
      <c r="CU430" s="142" t="str">
        <f t="shared" si="53"/>
        <v/>
      </c>
      <c r="CV430" s="142" t="str">
        <f t="shared" si="54"/>
        <v/>
      </c>
      <c r="CW430" s="142" t="str">
        <f>IF(C430="","",IF('Datos Generales'!$A$19=1,AVERAGE(FP430:GD430),AVERAGE(Captura!FP430:FY430)))</f>
        <v/>
      </c>
      <c r="CX430" s="138" t="e">
        <f>IF(VLOOKUP(CONCATENATE($H$4,$F$4,CX$2),Español!$A:$H,7,FALSE)=L430,1,0)</f>
        <v>#N/A</v>
      </c>
      <c r="CY430" s="138" t="e">
        <f>IF(VLOOKUP(CONCATENATE(H430,F430,CY$2),Español!$A:$H,7,FALSE)=M430,1,0)</f>
        <v>#N/A</v>
      </c>
      <c r="CZ430" s="138" t="e">
        <f>IF(VLOOKUP(CONCATENATE(H430,F430,CZ$2),Español!$A:$H,7,FALSE)=N430,1,0)</f>
        <v>#N/A</v>
      </c>
      <c r="DA430" s="138" t="e">
        <f>IF(VLOOKUP(CONCATENATE(H430,F430,DA$2),Español!$A:$H,7,FALSE)=O430,1,0)</f>
        <v>#N/A</v>
      </c>
      <c r="DB430" s="138" t="e">
        <f>IF(VLOOKUP(CONCATENATE(H430,F430,DB$2),Español!$A:$H,7,FALSE)=P430,1,0)</f>
        <v>#N/A</v>
      </c>
      <c r="DC430" s="138" t="e">
        <f>IF(VLOOKUP(CONCATENATE(H430,F430,DC$2),Español!$A:$H,7,FALSE)=Q430,1,0)</f>
        <v>#N/A</v>
      </c>
      <c r="DD430" s="138" t="e">
        <f>IF(VLOOKUP(CONCATENATE(H430,F430,DD$2),Español!$A:$H,7,FALSE)=R430,1,0)</f>
        <v>#N/A</v>
      </c>
      <c r="DE430" s="138" t="e">
        <f>IF(VLOOKUP(CONCATENATE(H430,F430,DE$2),Español!$A:$H,7,FALSE)=S430,1,0)</f>
        <v>#N/A</v>
      </c>
      <c r="DF430" s="138" t="e">
        <f>IF(VLOOKUP(CONCATENATE(H430,F430,DF$2),Español!$A:$H,7,FALSE)=T430,1,0)</f>
        <v>#N/A</v>
      </c>
      <c r="DG430" s="138" t="e">
        <f>IF(VLOOKUP(CONCATENATE(H430,F430,DG$2),Español!$A:$H,7,FALSE)=U430,1,0)</f>
        <v>#N/A</v>
      </c>
      <c r="DH430" s="138" t="e">
        <f>IF(VLOOKUP(CONCATENATE(H430,F430,DH$2),Español!$A:$H,7,FALSE)=V430,1,0)</f>
        <v>#N/A</v>
      </c>
      <c r="DI430" s="138" t="e">
        <f>IF(VLOOKUP(CONCATENATE(H430,F430,DI$2),Español!$A:$H,7,FALSE)=W430,1,0)</f>
        <v>#N/A</v>
      </c>
      <c r="DJ430" s="138" t="e">
        <f>IF(VLOOKUP(CONCATENATE(H430,F430,DJ$2),Español!$A:$H,7,FALSE)=X430,1,0)</f>
        <v>#N/A</v>
      </c>
      <c r="DK430" s="138" t="e">
        <f>IF(VLOOKUP(CONCATENATE(H430,F430,DK$2),Español!$A:$H,7,FALSE)=Y430,1,0)</f>
        <v>#N/A</v>
      </c>
      <c r="DL430" s="138" t="e">
        <f>IF(VLOOKUP(CONCATENATE(H430,F430,DL$2),Español!$A:$H,7,FALSE)=Z430,1,0)</f>
        <v>#N/A</v>
      </c>
      <c r="DM430" s="138" t="e">
        <f>IF(VLOOKUP(CONCATENATE(H430,F430,DM$2),Español!$A:$H,7,FALSE)=AA430,1,0)</f>
        <v>#N/A</v>
      </c>
      <c r="DN430" s="138" t="e">
        <f>IF(VLOOKUP(CONCATENATE(H430,F430,DN$2),Español!$A:$H,7,FALSE)=AB430,1,0)</f>
        <v>#N/A</v>
      </c>
      <c r="DO430" s="138" t="e">
        <f>IF(VLOOKUP(CONCATENATE(H430,F430,DO$2),Español!$A:$H,7,FALSE)=AC430,1,0)</f>
        <v>#N/A</v>
      </c>
      <c r="DP430" s="138" t="e">
        <f>IF(VLOOKUP(CONCATENATE(H430,F430,DP$2),Español!$A:$H,7,FALSE)=AD430,1,0)</f>
        <v>#N/A</v>
      </c>
      <c r="DQ430" s="138" t="e">
        <f>IF(VLOOKUP(CONCATENATE(H430,F430,DQ$2),Español!$A:$H,7,FALSE)=AE430,1,0)</f>
        <v>#N/A</v>
      </c>
      <c r="DR430" s="138" t="e">
        <f>IF(VLOOKUP(CONCATENATE(H430,F430,DR$2),Inglés!$A:$H,7,FALSE)=AF430,1,0)</f>
        <v>#N/A</v>
      </c>
      <c r="DS430" s="138" t="e">
        <f>IF(VLOOKUP(CONCATENATE(H430,F430,DS$2),Inglés!$A:$H,7,FALSE)=AG430,1,0)</f>
        <v>#N/A</v>
      </c>
      <c r="DT430" s="138" t="e">
        <f>IF(VLOOKUP(CONCATENATE(H430,F430,DT$2),Inglés!$A:$H,7,FALSE)=AH430,1,0)</f>
        <v>#N/A</v>
      </c>
      <c r="DU430" s="138" t="e">
        <f>IF(VLOOKUP(CONCATENATE(H430,F430,DU$2),Inglés!$A:$H,7,FALSE)=AI430,1,0)</f>
        <v>#N/A</v>
      </c>
      <c r="DV430" s="138" t="e">
        <f>IF(VLOOKUP(CONCATENATE(H430,F430,DV$2),Inglés!$A:$H,7,FALSE)=AJ430,1,0)</f>
        <v>#N/A</v>
      </c>
      <c r="DW430" s="138" t="e">
        <f>IF(VLOOKUP(CONCATENATE(H430,F430,DW$2),Inglés!$A:$H,7,FALSE)=AK430,1,0)</f>
        <v>#N/A</v>
      </c>
      <c r="DX430" s="138" t="e">
        <f>IF(VLOOKUP(CONCATENATE(H430,F430,DX$2),Inglés!$A:$H,7,FALSE)=AL430,1,0)</f>
        <v>#N/A</v>
      </c>
      <c r="DY430" s="138" t="e">
        <f>IF(VLOOKUP(CONCATENATE(H430,F430,DY$2),Inglés!$A:$H,7,FALSE)=AM430,1,0)</f>
        <v>#N/A</v>
      </c>
      <c r="DZ430" s="138" t="e">
        <f>IF(VLOOKUP(CONCATENATE(H430,F430,DZ$2),Inglés!$A:$H,7,FALSE)=AN430,1,0)</f>
        <v>#N/A</v>
      </c>
      <c r="EA430" s="138" t="e">
        <f>IF(VLOOKUP(CONCATENATE(H430,F430,EA$2),Inglés!$A:$H,7,FALSE)=AO430,1,0)</f>
        <v>#N/A</v>
      </c>
      <c r="EB430" s="138" t="e">
        <f>IF(VLOOKUP(CONCATENATE(H430,F430,EB$2),Matemáticas!$A:$H,7,FALSE)=AP430,1,0)</f>
        <v>#N/A</v>
      </c>
      <c r="EC430" s="138" t="e">
        <f>IF(VLOOKUP(CONCATENATE(H430,F430,EC$2),Matemáticas!$A:$H,7,FALSE)=AQ430,1,0)</f>
        <v>#N/A</v>
      </c>
      <c r="ED430" s="138" t="e">
        <f>IF(VLOOKUP(CONCATENATE(H430,F430,ED$2),Matemáticas!$A:$H,7,FALSE)=AR430,1,0)</f>
        <v>#N/A</v>
      </c>
      <c r="EE430" s="138" t="e">
        <f>IF(VLOOKUP(CONCATENATE(H430,F430,EE$2),Matemáticas!$A:$H,7,FALSE)=AS430,1,0)</f>
        <v>#N/A</v>
      </c>
      <c r="EF430" s="138" t="e">
        <f>IF(VLOOKUP(CONCATENATE(H430,F430,EF$2),Matemáticas!$A:$H,7,FALSE)=AT430,1,0)</f>
        <v>#N/A</v>
      </c>
      <c r="EG430" s="138" t="e">
        <f>IF(VLOOKUP(CONCATENATE(H430,F430,EG$2),Matemáticas!$A:$H,7,FALSE)=AU430,1,0)</f>
        <v>#N/A</v>
      </c>
      <c r="EH430" s="138" t="e">
        <f>IF(VLOOKUP(CONCATENATE(H430,F430,EH$2),Matemáticas!$A:$H,7,FALSE)=AV430,1,0)</f>
        <v>#N/A</v>
      </c>
      <c r="EI430" s="138" t="e">
        <f>IF(VLOOKUP(CONCATENATE(H430,F430,EI$2),Matemáticas!$A:$H,7,FALSE)=AW430,1,0)</f>
        <v>#N/A</v>
      </c>
      <c r="EJ430" s="138" t="e">
        <f>IF(VLOOKUP(CONCATENATE(H430,F430,EJ$2),Matemáticas!$A:$H,7,FALSE)=AX430,1,0)</f>
        <v>#N/A</v>
      </c>
      <c r="EK430" s="138" t="e">
        <f>IF(VLOOKUP(CONCATENATE(H430,F430,EK$2),Matemáticas!$A:$H,7,FALSE)=AY430,1,0)</f>
        <v>#N/A</v>
      </c>
      <c r="EL430" s="138" t="e">
        <f>IF(VLOOKUP(CONCATENATE(H430,F430,EL$2),Matemáticas!$A:$H,7,FALSE)=AZ430,1,0)</f>
        <v>#N/A</v>
      </c>
      <c r="EM430" s="138" t="e">
        <f>IF(VLOOKUP(CONCATENATE(H430,F430,EM$2),Matemáticas!$A:$H,7,FALSE)=BA430,1,0)</f>
        <v>#N/A</v>
      </c>
      <c r="EN430" s="138" t="e">
        <f>IF(VLOOKUP(CONCATENATE(H430,F430,EN$2),Matemáticas!$A:$H,7,FALSE)=BB430,1,0)</f>
        <v>#N/A</v>
      </c>
      <c r="EO430" s="138" t="e">
        <f>IF(VLOOKUP(CONCATENATE(H430,F430,EO$2),Matemáticas!$A:$H,7,FALSE)=BC430,1,0)</f>
        <v>#N/A</v>
      </c>
      <c r="EP430" s="138" t="e">
        <f>IF(VLOOKUP(CONCATENATE(H430,F430,EP$2),Matemáticas!$A:$H,7,FALSE)=BD430,1,0)</f>
        <v>#N/A</v>
      </c>
      <c r="EQ430" s="138" t="e">
        <f>IF(VLOOKUP(CONCATENATE(H430,F430,EQ$2),Matemáticas!$A:$H,7,FALSE)=BE430,1,0)</f>
        <v>#N/A</v>
      </c>
      <c r="ER430" s="138" t="e">
        <f>IF(VLOOKUP(CONCATENATE(H430,F430,ER$2),Matemáticas!$A:$H,7,FALSE)=BF430,1,0)</f>
        <v>#N/A</v>
      </c>
      <c r="ES430" s="138" t="e">
        <f>IF(VLOOKUP(CONCATENATE(H430,F430,ES$2),Matemáticas!$A:$H,7,FALSE)=BG430,1,0)</f>
        <v>#N/A</v>
      </c>
      <c r="ET430" s="138" t="e">
        <f>IF(VLOOKUP(CONCATENATE(H430,F430,ET$2),Matemáticas!$A:$H,7,FALSE)=BH430,1,0)</f>
        <v>#N/A</v>
      </c>
      <c r="EU430" s="138" t="e">
        <f>IF(VLOOKUP(CONCATENATE(H430,F430,EU$2),Matemáticas!$A:$H,7,FALSE)=BI430,1,0)</f>
        <v>#N/A</v>
      </c>
      <c r="EV430" s="138" t="e">
        <f>IF(VLOOKUP(CONCATENATE(H430,F430,EV$2),Ciencias!$A:$H,7,FALSE)=BJ430,1,0)</f>
        <v>#N/A</v>
      </c>
      <c r="EW430" s="138" t="e">
        <f>IF(VLOOKUP(CONCATENATE(H430,F430,EW$2),Ciencias!$A:$H,7,FALSE)=BK430,1,0)</f>
        <v>#N/A</v>
      </c>
      <c r="EX430" s="138" t="e">
        <f>IF(VLOOKUP(CONCATENATE(H430,F430,EX$2),Ciencias!$A:$H,7,FALSE)=BL430,1,0)</f>
        <v>#N/A</v>
      </c>
      <c r="EY430" s="138" t="e">
        <f>IF(VLOOKUP(CONCATENATE(H430,F430,EY$2),Ciencias!$A:$H,7,FALSE)=BM430,1,0)</f>
        <v>#N/A</v>
      </c>
      <c r="EZ430" s="138" t="e">
        <f>IF(VLOOKUP(CONCATENATE(H430,F430,EZ$2),Ciencias!$A:$H,7,FALSE)=BN430,1,0)</f>
        <v>#N/A</v>
      </c>
      <c r="FA430" s="138" t="e">
        <f>IF(VLOOKUP(CONCATENATE(H430,F430,FA$2),Ciencias!$A:$H,7,FALSE)=BO430,1,0)</f>
        <v>#N/A</v>
      </c>
      <c r="FB430" s="138" t="e">
        <f>IF(VLOOKUP(CONCATENATE(H430,F430,FB$2),Ciencias!$A:$H,7,FALSE)=BP430,1,0)</f>
        <v>#N/A</v>
      </c>
      <c r="FC430" s="138" t="e">
        <f>IF(VLOOKUP(CONCATENATE(H430,F430,FC$2),Ciencias!$A:$H,7,FALSE)=BQ430,1,0)</f>
        <v>#N/A</v>
      </c>
      <c r="FD430" s="138" t="e">
        <f>IF(VLOOKUP(CONCATENATE(H430,F430,FD$2),Ciencias!$A:$H,7,FALSE)=BR430,1,0)</f>
        <v>#N/A</v>
      </c>
      <c r="FE430" s="138" t="e">
        <f>IF(VLOOKUP(CONCATENATE(H430,F430,FE$2),Ciencias!$A:$H,7,FALSE)=BS430,1,0)</f>
        <v>#N/A</v>
      </c>
      <c r="FF430" s="138" t="e">
        <f>IF(VLOOKUP(CONCATENATE(H430,F430,FF$2),Ciencias!$A:$H,7,FALSE)=BT430,1,0)</f>
        <v>#N/A</v>
      </c>
      <c r="FG430" s="138" t="e">
        <f>IF(VLOOKUP(CONCATENATE(H430,F430,FG$2),Ciencias!$A:$H,7,FALSE)=BU430,1,0)</f>
        <v>#N/A</v>
      </c>
      <c r="FH430" s="138" t="e">
        <f>IF(VLOOKUP(CONCATENATE(H430,F430,FH$2),Ciencias!$A:$H,7,FALSE)=BV430,1,0)</f>
        <v>#N/A</v>
      </c>
      <c r="FI430" s="138" t="e">
        <f>IF(VLOOKUP(CONCATENATE(H430,F430,FI$2),Ciencias!$A:$H,7,FALSE)=BW430,1,0)</f>
        <v>#N/A</v>
      </c>
      <c r="FJ430" s="138" t="e">
        <f>IF(VLOOKUP(CONCATENATE(H430,F430,FJ$2),Ciencias!$A:$H,7,FALSE)=BX430,1,0)</f>
        <v>#N/A</v>
      </c>
      <c r="FK430" s="138" t="e">
        <f>IF(VLOOKUP(CONCATENATE(H430,F430,FK$2),Ciencias!$A:$H,7,FALSE)=BY430,1,0)</f>
        <v>#N/A</v>
      </c>
      <c r="FL430" s="138" t="e">
        <f>IF(VLOOKUP(CONCATENATE(H430,F430,FL$2),Ciencias!$A:$H,7,FALSE)=BZ430,1,0)</f>
        <v>#N/A</v>
      </c>
      <c r="FM430" s="138" t="e">
        <f>IF(VLOOKUP(CONCATENATE(H430,F430,FM$2),Ciencias!$A:$H,7,FALSE)=CA430,1,0)</f>
        <v>#N/A</v>
      </c>
      <c r="FN430" s="138" t="e">
        <f>IF(VLOOKUP(CONCATENATE(H430,F430,FN$2),Ciencias!$A:$H,7,FALSE)=CB430,1,0)</f>
        <v>#N/A</v>
      </c>
      <c r="FO430" s="138" t="e">
        <f>IF(VLOOKUP(CONCATENATE(H430,F430,FO$2),Ciencias!$A:$H,7,FALSE)=CC430,1,0)</f>
        <v>#N/A</v>
      </c>
      <c r="FP430" s="138" t="e">
        <f>IF(VLOOKUP(CONCATENATE(H430,F430,FP$2),GeoHis!$A:$H,7,FALSE)=CD430,1,0)</f>
        <v>#N/A</v>
      </c>
      <c r="FQ430" s="138" t="e">
        <f>IF(VLOOKUP(CONCATENATE(H430,F430,FQ$2),GeoHis!$A:$H,7,FALSE)=CE430,1,0)</f>
        <v>#N/A</v>
      </c>
      <c r="FR430" s="138" t="e">
        <f>IF(VLOOKUP(CONCATENATE(H430,F430,FR$2),GeoHis!$A:$H,7,FALSE)=CF430,1,0)</f>
        <v>#N/A</v>
      </c>
      <c r="FS430" s="138" t="e">
        <f>IF(VLOOKUP(CONCATENATE(H430,F430,FS$2),GeoHis!$A:$H,7,FALSE)=CG430,1,0)</f>
        <v>#N/A</v>
      </c>
      <c r="FT430" s="138" t="e">
        <f>IF(VLOOKUP(CONCATENATE(H430,F430,FT$2),GeoHis!$A:$H,7,FALSE)=CH430,1,0)</f>
        <v>#N/A</v>
      </c>
      <c r="FU430" s="138" t="e">
        <f>IF(VLOOKUP(CONCATENATE(H430,F430,FU$2),GeoHis!$A:$H,7,FALSE)=CI430,1,0)</f>
        <v>#N/A</v>
      </c>
      <c r="FV430" s="138" t="e">
        <f>IF(VLOOKUP(CONCATENATE(H430,F430,FV$2),GeoHis!$A:$H,7,FALSE)=CJ430,1,0)</f>
        <v>#N/A</v>
      </c>
      <c r="FW430" s="138" t="e">
        <f>IF(VLOOKUP(CONCATENATE(H430,F430,FW$2),GeoHis!$A:$H,7,FALSE)=CK430,1,0)</f>
        <v>#N/A</v>
      </c>
      <c r="FX430" s="138" t="e">
        <f>IF(VLOOKUP(CONCATENATE(H430,F430,FX$2),GeoHis!$A:$H,7,FALSE)=CL430,1,0)</f>
        <v>#N/A</v>
      </c>
      <c r="FY430" s="138" t="e">
        <f>IF(VLOOKUP(CONCATENATE(H430,F430,FY$2),GeoHis!$A:$H,7,FALSE)=CM430,1,0)</f>
        <v>#N/A</v>
      </c>
      <c r="FZ430" s="138" t="e">
        <f>IF(VLOOKUP(CONCATENATE(H430,F430,FZ$2),GeoHis!$A:$H,7,FALSE)=CN430,1,0)</f>
        <v>#N/A</v>
      </c>
      <c r="GA430" s="138" t="e">
        <f>IF(VLOOKUP(CONCATENATE(H430,F430,GA$2),GeoHis!$A:$H,7,FALSE)=CO430,1,0)</f>
        <v>#N/A</v>
      </c>
      <c r="GB430" s="138" t="e">
        <f>IF(VLOOKUP(CONCATENATE(H430,F430,GB$2),GeoHis!$A:$H,7,FALSE)=CP430,1,0)</f>
        <v>#N/A</v>
      </c>
      <c r="GC430" s="138" t="e">
        <f>IF(VLOOKUP(CONCATENATE(H430,F430,GC$2),GeoHis!$A:$H,7,FALSE)=CQ430,1,0)</f>
        <v>#N/A</v>
      </c>
      <c r="GD430" s="138" t="e">
        <f>IF(VLOOKUP(CONCATENATE(H430,F430,GD$2),GeoHis!$A:$H,7,FALSE)=CR430,1,0)</f>
        <v>#N/A</v>
      </c>
      <c r="GE430" s="135" t="str">
        <f t="shared" si="55"/>
        <v/>
      </c>
    </row>
    <row r="431" spans="1:187" x14ac:dyDescent="0.25">
      <c r="A431" s="127" t="str">
        <f>IF(C431="","",'Datos Generales'!$A$25)</f>
        <v/>
      </c>
      <c r="D431" s="126" t="str">
        <f t="shared" si="48"/>
        <v/>
      </c>
      <c r="E431" s="126">
        <f t="shared" si="49"/>
        <v>0</v>
      </c>
      <c r="F431" s="126" t="str">
        <f t="shared" si="50"/>
        <v/>
      </c>
      <c r="G431" s="126" t="str">
        <f>IF(C431="","",'Datos Generales'!$D$19)</f>
        <v/>
      </c>
      <c r="H431" s="21" t="str">
        <f>IF(C431="","",'Datos Generales'!$A$19)</f>
        <v/>
      </c>
      <c r="I431" s="126" t="str">
        <f>IF(C431="","",'Datos Generales'!$A$7)</f>
        <v/>
      </c>
      <c r="J431" s="21" t="str">
        <f>IF(C431="","",'Datos Generales'!$A$13)</f>
        <v/>
      </c>
      <c r="K431" s="21" t="str">
        <f>IF(C431="","",'Datos Generales'!$A$10)</f>
        <v/>
      </c>
      <c r="CS431" s="142" t="str">
        <f t="shared" si="51"/>
        <v/>
      </c>
      <c r="CT431" s="142" t="str">
        <f t="shared" si="52"/>
        <v/>
      </c>
      <c r="CU431" s="142" t="str">
        <f t="shared" si="53"/>
        <v/>
      </c>
      <c r="CV431" s="142" t="str">
        <f t="shared" si="54"/>
        <v/>
      </c>
      <c r="CW431" s="142" t="str">
        <f>IF(C431="","",IF('Datos Generales'!$A$19=1,AVERAGE(FP431:GD431),AVERAGE(Captura!FP431:FY431)))</f>
        <v/>
      </c>
      <c r="CX431" s="138" t="e">
        <f>IF(VLOOKUP(CONCATENATE($H$4,$F$4,CX$2),Español!$A:$H,7,FALSE)=L431,1,0)</f>
        <v>#N/A</v>
      </c>
      <c r="CY431" s="138" t="e">
        <f>IF(VLOOKUP(CONCATENATE(H431,F431,CY$2),Español!$A:$H,7,FALSE)=M431,1,0)</f>
        <v>#N/A</v>
      </c>
      <c r="CZ431" s="138" t="e">
        <f>IF(VLOOKUP(CONCATENATE(H431,F431,CZ$2),Español!$A:$H,7,FALSE)=N431,1,0)</f>
        <v>#N/A</v>
      </c>
      <c r="DA431" s="138" t="e">
        <f>IF(VLOOKUP(CONCATENATE(H431,F431,DA$2),Español!$A:$H,7,FALSE)=O431,1,0)</f>
        <v>#N/A</v>
      </c>
      <c r="DB431" s="138" t="e">
        <f>IF(VLOOKUP(CONCATENATE(H431,F431,DB$2),Español!$A:$H,7,FALSE)=P431,1,0)</f>
        <v>#N/A</v>
      </c>
      <c r="DC431" s="138" t="e">
        <f>IF(VLOOKUP(CONCATENATE(H431,F431,DC$2),Español!$A:$H,7,FALSE)=Q431,1,0)</f>
        <v>#N/A</v>
      </c>
      <c r="DD431" s="138" t="e">
        <f>IF(VLOOKUP(CONCATENATE(H431,F431,DD$2),Español!$A:$H,7,FALSE)=R431,1,0)</f>
        <v>#N/A</v>
      </c>
      <c r="DE431" s="138" t="e">
        <f>IF(VLOOKUP(CONCATENATE(H431,F431,DE$2),Español!$A:$H,7,FALSE)=S431,1,0)</f>
        <v>#N/A</v>
      </c>
      <c r="DF431" s="138" t="e">
        <f>IF(VLOOKUP(CONCATENATE(H431,F431,DF$2),Español!$A:$H,7,FALSE)=T431,1,0)</f>
        <v>#N/A</v>
      </c>
      <c r="DG431" s="138" t="e">
        <f>IF(VLOOKUP(CONCATENATE(H431,F431,DG$2),Español!$A:$H,7,FALSE)=U431,1,0)</f>
        <v>#N/A</v>
      </c>
      <c r="DH431" s="138" t="e">
        <f>IF(VLOOKUP(CONCATENATE(H431,F431,DH$2),Español!$A:$H,7,FALSE)=V431,1,0)</f>
        <v>#N/A</v>
      </c>
      <c r="DI431" s="138" t="e">
        <f>IF(VLOOKUP(CONCATENATE(H431,F431,DI$2),Español!$A:$H,7,FALSE)=W431,1,0)</f>
        <v>#N/A</v>
      </c>
      <c r="DJ431" s="138" t="e">
        <f>IF(VLOOKUP(CONCATENATE(H431,F431,DJ$2),Español!$A:$H,7,FALSE)=X431,1,0)</f>
        <v>#N/A</v>
      </c>
      <c r="DK431" s="138" t="e">
        <f>IF(VLOOKUP(CONCATENATE(H431,F431,DK$2),Español!$A:$H,7,FALSE)=Y431,1,0)</f>
        <v>#N/A</v>
      </c>
      <c r="DL431" s="138" t="e">
        <f>IF(VLOOKUP(CONCATENATE(H431,F431,DL$2),Español!$A:$H,7,FALSE)=Z431,1,0)</f>
        <v>#N/A</v>
      </c>
      <c r="DM431" s="138" t="e">
        <f>IF(VLOOKUP(CONCATENATE(H431,F431,DM$2),Español!$A:$H,7,FALSE)=AA431,1,0)</f>
        <v>#N/A</v>
      </c>
      <c r="DN431" s="138" t="e">
        <f>IF(VLOOKUP(CONCATENATE(H431,F431,DN$2),Español!$A:$H,7,FALSE)=AB431,1,0)</f>
        <v>#N/A</v>
      </c>
      <c r="DO431" s="138" t="e">
        <f>IF(VLOOKUP(CONCATENATE(H431,F431,DO$2),Español!$A:$H,7,FALSE)=AC431,1,0)</f>
        <v>#N/A</v>
      </c>
      <c r="DP431" s="138" t="e">
        <f>IF(VLOOKUP(CONCATENATE(H431,F431,DP$2),Español!$A:$H,7,FALSE)=AD431,1,0)</f>
        <v>#N/A</v>
      </c>
      <c r="DQ431" s="138" t="e">
        <f>IF(VLOOKUP(CONCATENATE(H431,F431,DQ$2),Español!$A:$H,7,FALSE)=AE431,1,0)</f>
        <v>#N/A</v>
      </c>
      <c r="DR431" s="138" t="e">
        <f>IF(VLOOKUP(CONCATENATE(H431,F431,DR$2),Inglés!$A:$H,7,FALSE)=AF431,1,0)</f>
        <v>#N/A</v>
      </c>
      <c r="DS431" s="138" t="e">
        <f>IF(VLOOKUP(CONCATENATE(H431,F431,DS$2),Inglés!$A:$H,7,FALSE)=AG431,1,0)</f>
        <v>#N/A</v>
      </c>
      <c r="DT431" s="138" t="e">
        <f>IF(VLOOKUP(CONCATENATE(H431,F431,DT$2),Inglés!$A:$H,7,FALSE)=AH431,1,0)</f>
        <v>#N/A</v>
      </c>
      <c r="DU431" s="138" t="e">
        <f>IF(VLOOKUP(CONCATENATE(H431,F431,DU$2),Inglés!$A:$H,7,FALSE)=AI431,1,0)</f>
        <v>#N/A</v>
      </c>
      <c r="DV431" s="138" t="e">
        <f>IF(VLOOKUP(CONCATENATE(H431,F431,DV$2),Inglés!$A:$H,7,FALSE)=AJ431,1,0)</f>
        <v>#N/A</v>
      </c>
      <c r="DW431" s="138" t="e">
        <f>IF(VLOOKUP(CONCATENATE(H431,F431,DW$2),Inglés!$A:$H,7,FALSE)=AK431,1,0)</f>
        <v>#N/A</v>
      </c>
      <c r="DX431" s="138" t="e">
        <f>IF(VLOOKUP(CONCATENATE(H431,F431,DX$2),Inglés!$A:$H,7,FALSE)=AL431,1,0)</f>
        <v>#N/A</v>
      </c>
      <c r="DY431" s="138" t="e">
        <f>IF(VLOOKUP(CONCATENATE(H431,F431,DY$2),Inglés!$A:$H,7,FALSE)=AM431,1,0)</f>
        <v>#N/A</v>
      </c>
      <c r="DZ431" s="138" t="e">
        <f>IF(VLOOKUP(CONCATENATE(H431,F431,DZ$2),Inglés!$A:$H,7,FALSE)=AN431,1,0)</f>
        <v>#N/A</v>
      </c>
      <c r="EA431" s="138" t="e">
        <f>IF(VLOOKUP(CONCATENATE(H431,F431,EA$2),Inglés!$A:$H,7,FALSE)=AO431,1,0)</f>
        <v>#N/A</v>
      </c>
      <c r="EB431" s="138" t="e">
        <f>IF(VLOOKUP(CONCATENATE(H431,F431,EB$2),Matemáticas!$A:$H,7,FALSE)=AP431,1,0)</f>
        <v>#N/A</v>
      </c>
      <c r="EC431" s="138" t="e">
        <f>IF(VLOOKUP(CONCATENATE(H431,F431,EC$2),Matemáticas!$A:$H,7,FALSE)=AQ431,1,0)</f>
        <v>#N/A</v>
      </c>
      <c r="ED431" s="138" t="e">
        <f>IF(VLOOKUP(CONCATENATE(H431,F431,ED$2),Matemáticas!$A:$H,7,FALSE)=AR431,1,0)</f>
        <v>#N/A</v>
      </c>
      <c r="EE431" s="138" t="e">
        <f>IF(VLOOKUP(CONCATENATE(H431,F431,EE$2),Matemáticas!$A:$H,7,FALSE)=AS431,1,0)</f>
        <v>#N/A</v>
      </c>
      <c r="EF431" s="138" t="e">
        <f>IF(VLOOKUP(CONCATENATE(H431,F431,EF$2),Matemáticas!$A:$H,7,FALSE)=AT431,1,0)</f>
        <v>#N/A</v>
      </c>
      <c r="EG431" s="138" t="e">
        <f>IF(VLOOKUP(CONCATENATE(H431,F431,EG$2),Matemáticas!$A:$H,7,FALSE)=AU431,1,0)</f>
        <v>#N/A</v>
      </c>
      <c r="EH431" s="138" t="e">
        <f>IF(VLOOKUP(CONCATENATE(H431,F431,EH$2),Matemáticas!$A:$H,7,FALSE)=AV431,1,0)</f>
        <v>#N/A</v>
      </c>
      <c r="EI431" s="138" t="e">
        <f>IF(VLOOKUP(CONCATENATE(H431,F431,EI$2),Matemáticas!$A:$H,7,FALSE)=AW431,1,0)</f>
        <v>#N/A</v>
      </c>
      <c r="EJ431" s="138" t="e">
        <f>IF(VLOOKUP(CONCATENATE(H431,F431,EJ$2),Matemáticas!$A:$H,7,FALSE)=AX431,1,0)</f>
        <v>#N/A</v>
      </c>
      <c r="EK431" s="138" t="e">
        <f>IF(VLOOKUP(CONCATENATE(H431,F431,EK$2),Matemáticas!$A:$H,7,FALSE)=AY431,1,0)</f>
        <v>#N/A</v>
      </c>
      <c r="EL431" s="138" t="e">
        <f>IF(VLOOKUP(CONCATENATE(H431,F431,EL$2),Matemáticas!$A:$H,7,FALSE)=AZ431,1,0)</f>
        <v>#N/A</v>
      </c>
      <c r="EM431" s="138" t="e">
        <f>IF(VLOOKUP(CONCATENATE(H431,F431,EM$2),Matemáticas!$A:$H,7,FALSE)=BA431,1,0)</f>
        <v>#N/A</v>
      </c>
      <c r="EN431" s="138" t="e">
        <f>IF(VLOOKUP(CONCATENATE(H431,F431,EN$2),Matemáticas!$A:$H,7,FALSE)=BB431,1,0)</f>
        <v>#N/A</v>
      </c>
      <c r="EO431" s="138" t="e">
        <f>IF(VLOOKUP(CONCATENATE(H431,F431,EO$2),Matemáticas!$A:$H,7,FALSE)=BC431,1,0)</f>
        <v>#N/A</v>
      </c>
      <c r="EP431" s="138" t="e">
        <f>IF(VLOOKUP(CONCATENATE(H431,F431,EP$2),Matemáticas!$A:$H,7,FALSE)=BD431,1,0)</f>
        <v>#N/A</v>
      </c>
      <c r="EQ431" s="138" t="e">
        <f>IF(VLOOKUP(CONCATENATE(H431,F431,EQ$2),Matemáticas!$A:$H,7,FALSE)=BE431,1,0)</f>
        <v>#N/A</v>
      </c>
      <c r="ER431" s="138" t="e">
        <f>IF(VLOOKUP(CONCATENATE(H431,F431,ER$2),Matemáticas!$A:$H,7,FALSE)=BF431,1,0)</f>
        <v>#N/A</v>
      </c>
      <c r="ES431" s="138" t="e">
        <f>IF(VLOOKUP(CONCATENATE(H431,F431,ES$2),Matemáticas!$A:$H,7,FALSE)=BG431,1,0)</f>
        <v>#N/A</v>
      </c>
      <c r="ET431" s="138" t="e">
        <f>IF(VLOOKUP(CONCATENATE(H431,F431,ET$2),Matemáticas!$A:$H,7,FALSE)=BH431,1,0)</f>
        <v>#N/A</v>
      </c>
      <c r="EU431" s="138" t="e">
        <f>IF(VLOOKUP(CONCATENATE(H431,F431,EU$2),Matemáticas!$A:$H,7,FALSE)=BI431,1,0)</f>
        <v>#N/A</v>
      </c>
      <c r="EV431" s="138" t="e">
        <f>IF(VLOOKUP(CONCATENATE(H431,F431,EV$2),Ciencias!$A:$H,7,FALSE)=BJ431,1,0)</f>
        <v>#N/A</v>
      </c>
      <c r="EW431" s="138" t="e">
        <f>IF(VLOOKUP(CONCATENATE(H431,F431,EW$2),Ciencias!$A:$H,7,FALSE)=BK431,1,0)</f>
        <v>#N/A</v>
      </c>
      <c r="EX431" s="138" t="e">
        <f>IF(VLOOKUP(CONCATENATE(H431,F431,EX$2),Ciencias!$A:$H,7,FALSE)=BL431,1,0)</f>
        <v>#N/A</v>
      </c>
      <c r="EY431" s="138" t="e">
        <f>IF(VLOOKUP(CONCATENATE(H431,F431,EY$2),Ciencias!$A:$H,7,FALSE)=BM431,1,0)</f>
        <v>#N/A</v>
      </c>
      <c r="EZ431" s="138" t="e">
        <f>IF(VLOOKUP(CONCATENATE(H431,F431,EZ$2),Ciencias!$A:$H,7,FALSE)=BN431,1,0)</f>
        <v>#N/A</v>
      </c>
      <c r="FA431" s="138" t="e">
        <f>IF(VLOOKUP(CONCATENATE(H431,F431,FA$2),Ciencias!$A:$H,7,FALSE)=BO431,1,0)</f>
        <v>#N/A</v>
      </c>
      <c r="FB431" s="138" t="e">
        <f>IF(VLOOKUP(CONCATENATE(H431,F431,FB$2),Ciencias!$A:$H,7,FALSE)=BP431,1,0)</f>
        <v>#N/A</v>
      </c>
      <c r="FC431" s="138" t="e">
        <f>IF(VLOOKUP(CONCATENATE(H431,F431,FC$2),Ciencias!$A:$H,7,FALSE)=BQ431,1,0)</f>
        <v>#N/A</v>
      </c>
      <c r="FD431" s="138" t="e">
        <f>IF(VLOOKUP(CONCATENATE(H431,F431,FD$2),Ciencias!$A:$H,7,FALSE)=BR431,1,0)</f>
        <v>#N/A</v>
      </c>
      <c r="FE431" s="138" t="e">
        <f>IF(VLOOKUP(CONCATENATE(H431,F431,FE$2),Ciencias!$A:$H,7,FALSE)=BS431,1,0)</f>
        <v>#N/A</v>
      </c>
      <c r="FF431" s="138" t="e">
        <f>IF(VLOOKUP(CONCATENATE(H431,F431,FF$2),Ciencias!$A:$H,7,FALSE)=BT431,1,0)</f>
        <v>#N/A</v>
      </c>
      <c r="FG431" s="138" t="e">
        <f>IF(VLOOKUP(CONCATENATE(H431,F431,FG$2),Ciencias!$A:$H,7,FALSE)=BU431,1,0)</f>
        <v>#N/A</v>
      </c>
      <c r="FH431" s="138" t="e">
        <f>IF(VLOOKUP(CONCATENATE(H431,F431,FH$2),Ciencias!$A:$H,7,FALSE)=BV431,1,0)</f>
        <v>#N/A</v>
      </c>
      <c r="FI431" s="138" t="e">
        <f>IF(VLOOKUP(CONCATENATE(H431,F431,FI$2),Ciencias!$A:$H,7,FALSE)=BW431,1,0)</f>
        <v>#N/A</v>
      </c>
      <c r="FJ431" s="138" t="e">
        <f>IF(VLOOKUP(CONCATENATE(H431,F431,FJ$2),Ciencias!$A:$H,7,FALSE)=BX431,1,0)</f>
        <v>#N/A</v>
      </c>
      <c r="FK431" s="138" t="e">
        <f>IF(VLOOKUP(CONCATENATE(H431,F431,FK$2),Ciencias!$A:$H,7,FALSE)=BY431,1,0)</f>
        <v>#N/A</v>
      </c>
      <c r="FL431" s="138" t="e">
        <f>IF(VLOOKUP(CONCATENATE(H431,F431,FL$2),Ciencias!$A:$H,7,FALSE)=BZ431,1,0)</f>
        <v>#N/A</v>
      </c>
      <c r="FM431" s="138" t="e">
        <f>IF(VLOOKUP(CONCATENATE(H431,F431,FM$2),Ciencias!$A:$H,7,FALSE)=CA431,1,0)</f>
        <v>#N/A</v>
      </c>
      <c r="FN431" s="138" t="e">
        <f>IF(VLOOKUP(CONCATENATE(H431,F431,FN$2),Ciencias!$A:$H,7,FALSE)=CB431,1,0)</f>
        <v>#N/A</v>
      </c>
      <c r="FO431" s="138" t="e">
        <f>IF(VLOOKUP(CONCATENATE(H431,F431,FO$2),Ciencias!$A:$H,7,FALSE)=CC431,1,0)</f>
        <v>#N/A</v>
      </c>
      <c r="FP431" s="138" t="e">
        <f>IF(VLOOKUP(CONCATENATE(H431,F431,FP$2),GeoHis!$A:$H,7,FALSE)=CD431,1,0)</f>
        <v>#N/A</v>
      </c>
      <c r="FQ431" s="138" t="e">
        <f>IF(VLOOKUP(CONCATENATE(H431,F431,FQ$2),GeoHis!$A:$H,7,FALSE)=CE431,1,0)</f>
        <v>#N/A</v>
      </c>
      <c r="FR431" s="138" t="e">
        <f>IF(VLOOKUP(CONCATENATE(H431,F431,FR$2),GeoHis!$A:$H,7,FALSE)=CF431,1,0)</f>
        <v>#N/A</v>
      </c>
      <c r="FS431" s="138" t="e">
        <f>IF(VLOOKUP(CONCATENATE(H431,F431,FS$2),GeoHis!$A:$H,7,FALSE)=CG431,1,0)</f>
        <v>#N/A</v>
      </c>
      <c r="FT431" s="138" t="e">
        <f>IF(VLOOKUP(CONCATENATE(H431,F431,FT$2),GeoHis!$A:$H,7,FALSE)=CH431,1,0)</f>
        <v>#N/A</v>
      </c>
      <c r="FU431" s="138" t="e">
        <f>IF(VLOOKUP(CONCATENATE(H431,F431,FU$2),GeoHis!$A:$H,7,FALSE)=CI431,1,0)</f>
        <v>#N/A</v>
      </c>
      <c r="FV431" s="138" t="e">
        <f>IF(VLOOKUP(CONCATENATE(H431,F431,FV$2),GeoHis!$A:$H,7,FALSE)=CJ431,1,0)</f>
        <v>#N/A</v>
      </c>
      <c r="FW431" s="138" t="e">
        <f>IF(VLOOKUP(CONCATENATE(H431,F431,FW$2),GeoHis!$A:$H,7,FALSE)=CK431,1,0)</f>
        <v>#N/A</v>
      </c>
      <c r="FX431" s="138" t="e">
        <f>IF(VLOOKUP(CONCATENATE(H431,F431,FX$2),GeoHis!$A:$H,7,FALSE)=CL431,1,0)</f>
        <v>#N/A</v>
      </c>
      <c r="FY431" s="138" t="e">
        <f>IF(VLOOKUP(CONCATENATE(H431,F431,FY$2),GeoHis!$A:$H,7,FALSE)=CM431,1,0)</f>
        <v>#N/A</v>
      </c>
      <c r="FZ431" s="138" t="e">
        <f>IF(VLOOKUP(CONCATENATE(H431,F431,FZ$2),GeoHis!$A:$H,7,FALSE)=CN431,1,0)</f>
        <v>#N/A</v>
      </c>
      <c r="GA431" s="138" t="e">
        <f>IF(VLOOKUP(CONCATENATE(H431,F431,GA$2),GeoHis!$A:$H,7,FALSE)=CO431,1,0)</f>
        <v>#N/A</v>
      </c>
      <c r="GB431" s="138" t="e">
        <f>IF(VLOOKUP(CONCATENATE(H431,F431,GB$2),GeoHis!$A:$H,7,FALSE)=CP431,1,0)</f>
        <v>#N/A</v>
      </c>
      <c r="GC431" s="138" t="e">
        <f>IF(VLOOKUP(CONCATENATE(H431,F431,GC$2),GeoHis!$A:$H,7,FALSE)=CQ431,1,0)</f>
        <v>#N/A</v>
      </c>
      <c r="GD431" s="138" t="e">
        <f>IF(VLOOKUP(CONCATENATE(H431,F431,GD$2),GeoHis!$A:$H,7,FALSE)=CR431,1,0)</f>
        <v>#N/A</v>
      </c>
      <c r="GE431" s="135" t="str">
        <f t="shared" si="55"/>
        <v/>
      </c>
    </row>
    <row r="432" spans="1:187" x14ac:dyDescent="0.25">
      <c r="A432" s="127" t="str">
        <f>IF(C432="","",'Datos Generales'!$A$25)</f>
        <v/>
      </c>
      <c r="D432" s="126" t="str">
        <f t="shared" si="48"/>
        <v/>
      </c>
      <c r="E432" s="126">
        <f t="shared" si="49"/>
        <v>0</v>
      </c>
      <c r="F432" s="126" t="str">
        <f t="shared" si="50"/>
        <v/>
      </c>
      <c r="G432" s="126" t="str">
        <f>IF(C432="","",'Datos Generales'!$D$19)</f>
        <v/>
      </c>
      <c r="H432" s="21" t="str">
        <f>IF(C432="","",'Datos Generales'!$A$19)</f>
        <v/>
      </c>
      <c r="I432" s="126" t="str">
        <f>IF(C432="","",'Datos Generales'!$A$7)</f>
        <v/>
      </c>
      <c r="J432" s="21" t="str">
        <f>IF(C432="","",'Datos Generales'!$A$13)</f>
        <v/>
      </c>
      <c r="K432" s="21" t="str">
        <f>IF(C432="","",'Datos Generales'!$A$10)</f>
        <v/>
      </c>
      <c r="CS432" s="142" t="str">
        <f t="shared" si="51"/>
        <v/>
      </c>
      <c r="CT432" s="142" t="str">
        <f t="shared" si="52"/>
        <v/>
      </c>
      <c r="CU432" s="142" t="str">
        <f t="shared" si="53"/>
        <v/>
      </c>
      <c r="CV432" s="142" t="str">
        <f t="shared" si="54"/>
        <v/>
      </c>
      <c r="CW432" s="142" t="str">
        <f>IF(C432="","",IF('Datos Generales'!$A$19=1,AVERAGE(FP432:GD432),AVERAGE(Captura!FP432:FY432)))</f>
        <v/>
      </c>
      <c r="CX432" s="138" t="e">
        <f>IF(VLOOKUP(CONCATENATE($H$4,$F$4,CX$2),Español!$A:$H,7,FALSE)=L432,1,0)</f>
        <v>#N/A</v>
      </c>
      <c r="CY432" s="138" t="e">
        <f>IF(VLOOKUP(CONCATENATE(H432,F432,CY$2),Español!$A:$H,7,FALSE)=M432,1,0)</f>
        <v>#N/A</v>
      </c>
      <c r="CZ432" s="138" t="e">
        <f>IF(VLOOKUP(CONCATENATE(H432,F432,CZ$2),Español!$A:$H,7,FALSE)=N432,1,0)</f>
        <v>#N/A</v>
      </c>
      <c r="DA432" s="138" t="e">
        <f>IF(VLOOKUP(CONCATENATE(H432,F432,DA$2),Español!$A:$H,7,FALSE)=O432,1,0)</f>
        <v>#N/A</v>
      </c>
      <c r="DB432" s="138" t="e">
        <f>IF(VLOOKUP(CONCATENATE(H432,F432,DB$2),Español!$A:$H,7,FALSE)=P432,1,0)</f>
        <v>#N/A</v>
      </c>
      <c r="DC432" s="138" t="e">
        <f>IF(VLOOKUP(CONCATENATE(H432,F432,DC$2),Español!$A:$H,7,FALSE)=Q432,1,0)</f>
        <v>#N/A</v>
      </c>
      <c r="DD432" s="138" t="e">
        <f>IF(VLOOKUP(CONCATENATE(H432,F432,DD$2),Español!$A:$H,7,FALSE)=R432,1,0)</f>
        <v>#N/A</v>
      </c>
      <c r="DE432" s="138" t="e">
        <f>IF(VLOOKUP(CONCATENATE(H432,F432,DE$2),Español!$A:$H,7,FALSE)=S432,1,0)</f>
        <v>#N/A</v>
      </c>
      <c r="DF432" s="138" t="e">
        <f>IF(VLOOKUP(CONCATENATE(H432,F432,DF$2),Español!$A:$H,7,FALSE)=T432,1,0)</f>
        <v>#N/A</v>
      </c>
      <c r="DG432" s="138" t="e">
        <f>IF(VLOOKUP(CONCATENATE(H432,F432,DG$2),Español!$A:$H,7,FALSE)=U432,1,0)</f>
        <v>#N/A</v>
      </c>
      <c r="DH432" s="138" t="e">
        <f>IF(VLOOKUP(CONCATENATE(H432,F432,DH$2),Español!$A:$H,7,FALSE)=V432,1,0)</f>
        <v>#N/A</v>
      </c>
      <c r="DI432" s="138" t="e">
        <f>IF(VLOOKUP(CONCATENATE(H432,F432,DI$2),Español!$A:$H,7,FALSE)=W432,1,0)</f>
        <v>#N/A</v>
      </c>
      <c r="DJ432" s="138" t="e">
        <f>IF(VLOOKUP(CONCATENATE(H432,F432,DJ$2),Español!$A:$H,7,FALSE)=X432,1,0)</f>
        <v>#N/A</v>
      </c>
      <c r="DK432" s="138" t="e">
        <f>IF(VLOOKUP(CONCATENATE(H432,F432,DK$2),Español!$A:$H,7,FALSE)=Y432,1,0)</f>
        <v>#N/A</v>
      </c>
      <c r="DL432" s="138" t="e">
        <f>IF(VLOOKUP(CONCATENATE(H432,F432,DL$2),Español!$A:$H,7,FALSE)=Z432,1,0)</f>
        <v>#N/A</v>
      </c>
      <c r="DM432" s="138" t="e">
        <f>IF(VLOOKUP(CONCATENATE(H432,F432,DM$2),Español!$A:$H,7,FALSE)=AA432,1,0)</f>
        <v>#N/A</v>
      </c>
      <c r="DN432" s="138" t="e">
        <f>IF(VLOOKUP(CONCATENATE(H432,F432,DN$2),Español!$A:$H,7,FALSE)=AB432,1,0)</f>
        <v>#N/A</v>
      </c>
      <c r="DO432" s="138" t="e">
        <f>IF(VLOOKUP(CONCATENATE(H432,F432,DO$2),Español!$A:$H,7,FALSE)=AC432,1,0)</f>
        <v>#N/A</v>
      </c>
      <c r="DP432" s="138" t="e">
        <f>IF(VLOOKUP(CONCATENATE(H432,F432,DP$2),Español!$A:$H,7,FALSE)=AD432,1,0)</f>
        <v>#N/A</v>
      </c>
      <c r="DQ432" s="138" t="e">
        <f>IF(VLOOKUP(CONCATENATE(H432,F432,DQ$2),Español!$A:$H,7,FALSE)=AE432,1,0)</f>
        <v>#N/A</v>
      </c>
      <c r="DR432" s="138" t="e">
        <f>IF(VLOOKUP(CONCATENATE(H432,F432,DR$2),Inglés!$A:$H,7,FALSE)=AF432,1,0)</f>
        <v>#N/A</v>
      </c>
      <c r="DS432" s="138" t="e">
        <f>IF(VLOOKUP(CONCATENATE(H432,F432,DS$2),Inglés!$A:$H,7,FALSE)=AG432,1,0)</f>
        <v>#N/A</v>
      </c>
      <c r="DT432" s="138" t="e">
        <f>IF(VLOOKUP(CONCATENATE(H432,F432,DT$2),Inglés!$A:$H,7,FALSE)=AH432,1,0)</f>
        <v>#N/A</v>
      </c>
      <c r="DU432" s="138" t="e">
        <f>IF(VLOOKUP(CONCATENATE(H432,F432,DU$2),Inglés!$A:$H,7,FALSE)=AI432,1,0)</f>
        <v>#N/A</v>
      </c>
      <c r="DV432" s="138" t="e">
        <f>IF(VLOOKUP(CONCATENATE(H432,F432,DV$2),Inglés!$A:$H,7,FALSE)=AJ432,1,0)</f>
        <v>#N/A</v>
      </c>
      <c r="DW432" s="138" t="e">
        <f>IF(VLOOKUP(CONCATENATE(H432,F432,DW$2),Inglés!$A:$H,7,FALSE)=AK432,1,0)</f>
        <v>#N/A</v>
      </c>
      <c r="DX432" s="138" t="e">
        <f>IF(VLOOKUP(CONCATENATE(H432,F432,DX$2),Inglés!$A:$H,7,FALSE)=AL432,1,0)</f>
        <v>#N/A</v>
      </c>
      <c r="DY432" s="138" t="e">
        <f>IF(VLOOKUP(CONCATENATE(H432,F432,DY$2),Inglés!$A:$H,7,FALSE)=AM432,1,0)</f>
        <v>#N/A</v>
      </c>
      <c r="DZ432" s="138" t="e">
        <f>IF(VLOOKUP(CONCATENATE(H432,F432,DZ$2),Inglés!$A:$H,7,FALSE)=AN432,1,0)</f>
        <v>#N/A</v>
      </c>
      <c r="EA432" s="138" t="e">
        <f>IF(VLOOKUP(CONCATENATE(H432,F432,EA$2),Inglés!$A:$H,7,FALSE)=AO432,1,0)</f>
        <v>#N/A</v>
      </c>
      <c r="EB432" s="138" t="e">
        <f>IF(VLOOKUP(CONCATENATE(H432,F432,EB$2),Matemáticas!$A:$H,7,FALSE)=AP432,1,0)</f>
        <v>#N/A</v>
      </c>
      <c r="EC432" s="138" t="e">
        <f>IF(VLOOKUP(CONCATENATE(H432,F432,EC$2),Matemáticas!$A:$H,7,FALSE)=AQ432,1,0)</f>
        <v>#N/A</v>
      </c>
      <c r="ED432" s="138" t="e">
        <f>IF(VLOOKUP(CONCATENATE(H432,F432,ED$2),Matemáticas!$A:$H,7,FALSE)=AR432,1,0)</f>
        <v>#N/A</v>
      </c>
      <c r="EE432" s="138" t="e">
        <f>IF(VLOOKUP(CONCATENATE(H432,F432,EE$2),Matemáticas!$A:$H,7,FALSE)=AS432,1,0)</f>
        <v>#N/A</v>
      </c>
      <c r="EF432" s="138" t="e">
        <f>IF(VLOOKUP(CONCATENATE(H432,F432,EF$2),Matemáticas!$A:$H,7,FALSE)=AT432,1,0)</f>
        <v>#N/A</v>
      </c>
      <c r="EG432" s="138" t="e">
        <f>IF(VLOOKUP(CONCATENATE(H432,F432,EG$2),Matemáticas!$A:$H,7,FALSE)=AU432,1,0)</f>
        <v>#N/A</v>
      </c>
      <c r="EH432" s="138" t="e">
        <f>IF(VLOOKUP(CONCATENATE(H432,F432,EH$2),Matemáticas!$A:$H,7,FALSE)=AV432,1,0)</f>
        <v>#N/A</v>
      </c>
      <c r="EI432" s="138" t="e">
        <f>IF(VLOOKUP(CONCATENATE(H432,F432,EI$2),Matemáticas!$A:$H,7,FALSE)=AW432,1,0)</f>
        <v>#N/A</v>
      </c>
      <c r="EJ432" s="138" t="e">
        <f>IF(VLOOKUP(CONCATENATE(H432,F432,EJ$2),Matemáticas!$A:$H,7,FALSE)=AX432,1,0)</f>
        <v>#N/A</v>
      </c>
      <c r="EK432" s="138" t="e">
        <f>IF(VLOOKUP(CONCATENATE(H432,F432,EK$2),Matemáticas!$A:$H,7,FALSE)=AY432,1,0)</f>
        <v>#N/A</v>
      </c>
      <c r="EL432" s="138" t="e">
        <f>IF(VLOOKUP(CONCATENATE(H432,F432,EL$2),Matemáticas!$A:$H,7,FALSE)=AZ432,1,0)</f>
        <v>#N/A</v>
      </c>
      <c r="EM432" s="138" t="e">
        <f>IF(VLOOKUP(CONCATENATE(H432,F432,EM$2),Matemáticas!$A:$H,7,FALSE)=BA432,1,0)</f>
        <v>#N/A</v>
      </c>
      <c r="EN432" s="138" t="e">
        <f>IF(VLOOKUP(CONCATENATE(H432,F432,EN$2),Matemáticas!$A:$H,7,FALSE)=BB432,1,0)</f>
        <v>#N/A</v>
      </c>
      <c r="EO432" s="138" t="e">
        <f>IF(VLOOKUP(CONCATENATE(H432,F432,EO$2),Matemáticas!$A:$H,7,FALSE)=BC432,1,0)</f>
        <v>#N/A</v>
      </c>
      <c r="EP432" s="138" t="e">
        <f>IF(VLOOKUP(CONCATENATE(H432,F432,EP$2),Matemáticas!$A:$H,7,FALSE)=BD432,1,0)</f>
        <v>#N/A</v>
      </c>
      <c r="EQ432" s="138" t="e">
        <f>IF(VLOOKUP(CONCATENATE(H432,F432,EQ$2),Matemáticas!$A:$H,7,FALSE)=BE432,1,0)</f>
        <v>#N/A</v>
      </c>
      <c r="ER432" s="138" t="e">
        <f>IF(VLOOKUP(CONCATENATE(H432,F432,ER$2),Matemáticas!$A:$H,7,FALSE)=BF432,1,0)</f>
        <v>#N/A</v>
      </c>
      <c r="ES432" s="138" t="e">
        <f>IF(VLOOKUP(CONCATENATE(H432,F432,ES$2),Matemáticas!$A:$H,7,FALSE)=BG432,1,0)</f>
        <v>#N/A</v>
      </c>
      <c r="ET432" s="138" t="e">
        <f>IF(VLOOKUP(CONCATENATE(H432,F432,ET$2),Matemáticas!$A:$H,7,FALSE)=BH432,1,0)</f>
        <v>#N/A</v>
      </c>
      <c r="EU432" s="138" t="e">
        <f>IF(VLOOKUP(CONCATENATE(H432,F432,EU$2),Matemáticas!$A:$H,7,FALSE)=BI432,1,0)</f>
        <v>#N/A</v>
      </c>
      <c r="EV432" s="138" t="e">
        <f>IF(VLOOKUP(CONCATENATE(H432,F432,EV$2),Ciencias!$A:$H,7,FALSE)=BJ432,1,0)</f>
        <v>#N/A</v>
      </c>
      <c r="EW432" s="138" t="e">
        <f>IF(VLOOKUP(CONCATENATE(H432,F432,EW$2),Ciencias!$A:$H,7,FALSE)=BK432,1,0)</f>
        <v>#N/A</v>
      </c>
      <c r="EX432" s="138" t="e">
        <f>IF(VLOOKUP(CONCATENATE(H432,F432,EX$2),Ciencias!$A:$H,7,FALSE)=BL432,1,0)</f>
        <v>#N/A</v>
      </c>
      <c r="EY432" s="138" t="e">
        <f>IF(VLOOKUP(CONCATENATE(H432,F432,EY$2),Ciencias!$A:$H,7,FALSE)=BM432,1,0)</f>
        <v>#N/A</v>
      </c>
      <c r="EZ432" s="138" t="e">
        <f>IF(VLOOKUP(CONCATENATE(H432,F432,EZ$2),Ciencias!$A:$H,7,FALSE)=BN432,1,0)</f>
        <v>#N/A</v>
      </c>
      <c r="FA432" s="138" t="e">
        <f>IF(VLOOKUP(CONCATENATE(H432,F432,FA$2),Ciencias!$A:$H,7,FALSE)=BO432,1,0)</f>
        <v>#N/A</v>
      </c>
      <c r="FB432" s="138" t="e">
        <f>IF(VLOOKUP(CONCATENATE(H432,F432,FB$2),Ciencias!$A:$H,7,FALSE)=BP432,1,0)</f>
        <v>#N/A</v>
      </c>
      <c r="FC432" s="138" t="e">
        <f>IF(VLOOKUP(CONCATENATE(H432,F432,FC$2),Ciencias!$A:$H,7,FALSE)=BQ432,1,0)</f>
        <v>#N/A</v>
      </c>
      <c r="FD432" s="138" t="e">
        <f>IF(VLOOKUP(CONCATENATE(H432,F432,FD$2),Ciencias!$A:$H,7,FALSE)=BR432,1,0)</f>
        <v>#N/A</v>
      </c>
      <c r="FE432" s="138" t="e">
        <f>IF(VLOOKUP(CONCATENATE(H432,F432,FE$2),Ciencias!$A:$H,7,FALSE)=BS432,1,0)</f>
        <v>#N/A</v>
      </c>
      <c r="FF432" s="138" t="e">
        <f>IF(VLOOKUP(CONCATENATE(H432,F432,FF$2),Ciencias!$A:$H,7,FALSE)=BT432,1,0)</f>
        <v>#N/A</v>
      </c>
      <c r="FG432" s="138" t="e">
        <f>IF(VLOOKUP(CONCATENATE(H432,F432,FG$2),Ciencias!$A:$H,7,FALSE)=BU432,1,0)</f>
        <v>#N/A</v>
      </c>
      <c r="FH432" s="138" t="e">
        <f>IF(VLOOKUP(CONCATENATE(H432,F432,FH$2),Ciencias!$A:$H,7,FALSE)=BV432,1,0)</f>
        <v>#N/A</v>
      </c>
      <c r="FI432" s="138" t="e">
        <f>IF(VLOOKUP(CONCATENATE(H432,F432,FI$2),Ciencias!$A:$H,7,FALSE)=BW432,1,0)</f>
        <v>#N/A</v>
      </c>
      <c r="FJ432" s="138" t="e">
        <f>IF(VLOOKUP(CONCATENATE(H432,F432,FJ$2),Ciencias!$A:$H,7,FALSE)=BX432,1,0)</f>
        <v>#N/A</v>
      </c>
      <c r="FK432" s="138" t="e">
        <f>IF(VLOOKUP(CONCATENATE(H432,F432,FK$2),Ciencias!$A:$H,7,FALSE)=BY432,1,0)</f>
        <v>#N/A</v>
      </c>
      <c r="FL432" s="138" t="e">
        <f>IF(VLOOKUP(CONCATENATE(H432,F432,FL$2),Ciencias!$A:$H,7,FALSE)=BZ432,1,0)</f>
        <v>#N/A</v>
      </c>
      <c r="FM432" s="138" t="e">
        <f>IF(VLOOKUP(CONCATENATE(H432,F432,FM$2),Ciencias!$A:$H,7,FALSE)=CA432,1,0)</f>
        <v>#N/A</v>
      </c>
      <c r="FN432" s="138" t="e">
        <f>IF(VLOOKUP(CONCATENATE(H432,F432,FN$2),Ciencias!$A:$H,7,FALSE)=CB432,1,0)</f>
        <v>#N/A</v>
      </c>
      <c r="FO432" s="138" t="e">
        <f>IF(VLOOKUP(CONCATENATE(H432,F432,FO$2),Ciencias!$A:$H,7,FALSE)=CC432,1,0)</f>
        <v>#N/A</v>
      </c>
      <c r="FP432" s="138" t="e">
        <f>IF(VLOOKUP(CONCATENATE(H432,F432,FP$2),GeoHis!$A:$H,7,FALSE)=CD432,1,0)</f>
        <v>#N/A</v>
      </c>
      <c r="FQ432" s="138" t="e">
        <f>IF(VLOOKUP(CONCATENATE(H432,F432,FQ$2),GeoHis!$A:$H,7,FALSE)=CE432,1,0)</f>
        <v>#N/A</v>
      </c>
      <c r="FR432" s="138" t="e">
        <f>IF(VLOOKUP(CONCATENATE(H432,F432,FR$2),GeoHis!$A:$H,7,FALSE)=CF432,1,0)</f>
        <v>#N/A</v>
      </c>
      <c r="FS432" s="138" t="e">
        <f>IF(VLOOKUP(CONCATENATE(H432,F432,FS$2),GeoHis!$A:$H,7,FALSE)=CG432,1,0)</f>
        <v>#N/A</v>
      </c>
      <c r="FT432" s="138" t="e">
        <f>IF(VLOOKUP(CONCATENATE(H432,F432,FT$2),GeoHis!$A:$H,7,FALSE)=CH432,1,0)</f>
        <v>#N/A</v>
      </c>
      <c r="FU432" s="138" t="e">
        <f>IF(VLOOKUP(CONCATENATE(H432,F432,FU$2),GeoHis!$A:$H,7,FALSE)=CI432,1,0)</f>
        <v>#N/A</v>
      </c>
      <c r="FV432" s="138" t="e">
        <f>IF(VLOOKUP(CONCATENATE(H432,F432,FV$2),GeoHis!$A:$H,7,FALSE)=CJ432,1,0)</f>
        <v>#N/A</v>
      </c>
      <c r="FW432" s="138" t="e">
        <f>IF(VLOOKUP(CONCATENATE(H432,F432,FW$2),GeoHis!$A:$H,7,FALSE)=CK432,1,0)</f>
        <v>#N/A</v>
      </c>
      <c r="FX432" s="138" t="e">
        <f>IF(VLOOKUP(CONCATENATE(H432,F432,FX$2),GeoHis!$A:$H,7,FALSE)=CL432,1,0)</f>
        <v>#N/A</v>
      </c>
      <c r="FY432" s="138" t="e">
        <f>IF(VLOOKUP(CONCATENATE(H432,F432,FY$2),GeoHis!$A:$H,7,FALSE)=CM432,1,0)</f>
        <v>#N/A</v>
      </c>
      <c r="FZ432" s="138" t="e">
        <f>IF(VLOOKUP(CONCATENATE(H432,F432,FZ$2),GeoHis!$A:$H,7,FALSE)=CN432,1,0)</f>
        <v>#N/A</v>
      </c>
      <c r="GA432" s="138" t="e">
        <f>IF(VLOOKUP(CONCATENATE(H432,F432,GA$2),GeoHis!$A:$H,7,FALSE)=CO432,1,0)</f>
        <v>#N/A</v>
      </c>
      <c r="GB432" s="138" t="e">
        <f>IF(VLOOKUP(CONCATENATE(H432,F432,GB$2),GeoHis!$A:$H,7,FALSE)=CP432,1,0)</f>
        <v>#N/A</v>
      </c>
      <c r="GC432" s="138" t="e">
        <f>IF(VLOOKUP(CONCATENATE(H432,F432,GC$2),GeoHis!$A:$H,7,FALSE)=CQ432,1,0)</f>
        <v>#N/A</v>
      </c>
      <c r="GD432" s="138" t="e">
        <f>IF(VLOOKUP(CONCATENATE(H432,F432,GD$2),GeoHis!$A:$H,7,FALSE)=CR432,1,0)</f>
        <v>#N/A</v>
      </c>
      <c r="GE432" s="135" t="str">
        <f t="shared" si="55"/>
        <v/>
      </c>
    </row>
    <row r="433" spans="1:187" x14ac:dyDescent="0.25">
      <c r="A433" s="127" t="str">
        <f>IF(C433="","",'Datos Generales'!$A$25)</f>
        <v/>
      </c>
      <c r="D433" s="126" t="str">
        <f t="shared" si="48"/>
        <v/>
      </c>
      <c r="E433" s="126">
        <f t="shared" si="49"/>
        <v>0</v>
      </c>
      <c r="F433" s="126" t="str">
        <f t="shared" si="50"/>
        <v/>
      </c>
      <c r="G433" s="126" t="str">
        <f>IF(C433="","",'Datos Generales'!$D$19)</f>
        <v/>
      </c>
      <c r="H433" s="21" t="str">
        <f>IF(C433="","",'Datos Generales'!$A$19)</f>
        <v/>
      </c>
      <c r="I433" s="126" t="str">
        <f>IF(C433="","",'Datos Generales'!$A$7)</f>
        <v/>
      </c>
      <c r="J433" s="21" t="str">
        <f>IF(C433="","",'Datos Generales'!$A$13)</f>
        <v/>
      </c>
      <c r="K433" s="21" t="str">
        <f>IF(C433="","",'Datos Generales'!$A$10)</f>
        <v/>
      </c>
      <c r="CS433" s="142" t="str">
        <f t="shared" si="51"/>
        <v/>
      </c>
      <c r="CT433" s="142" t="str">
        <f t="shared" si="52"/>
        <v/>
      </c>
      <c r="CU433" s="142" t="str">
        <f t="shared" si="53"/>
        <v/>
      </c>
      <c r="CV433" s="142" t="str">
        <f t="shared" si="54"/>
        <v/>
      </c>
      <c r="CW433" s="142" t="str">
        <f>IF(C433="","",IF('Datos Generales'!$A$19=1,AVERAGE(FP433:GD433),AVERAGE(Captura!FP433:FY433)))</f>
        <v/>
      </c>
      <c r="CX433" s="138" t="e">
        <f>IF(VLOOKUP(CONCATENATE($H$4,$F$4,CX$2),Español!$A:$H,7,FALSE)=L433,1,0)</f>
        <v>#N/A</v>
      </c>
      <c r="CY433" s="138" t="e">
        <f>IF(VLOOKUP(CONCATENATE(H433,F433,CY$2),Español!$A:$H,7,FALSE)=M433,1,0)</f>
        <v>#N/A</v>
      </c>
      <c r="CZ433" s="138" t="e">
        <f>IF(VLOOKUP(CONCATENATE(H433,F433,CZ$2),Español!$A:$H,7,FALSE)=N433,1,0)</f>
        <v>#N/A</v>
      </c>
      <c r="DA433" s="138" t="e">
        <f>IF(VLOOKUP(CONCATENATE(H433,F433,DA$2),Español!$A:$H,7,FALSE)=O433,1,0)</f>
        <v>#N/A</v>
      </c>
      <c r="DB433" s="138" t="e">
        <f>IF(VLOOKUP(CONCATENATE(H433,F433,DB$2),Español!$A:$H,7,FALSE)=P433,1,0)</f>
        <v>#N/A</v>
      </c>
      <c r="DC433" s="138" t="e">
        <f>IF(VLOOKUP(CONCATENATE(H433,F433,DC$2),Español!$A:$H,7,FALSE)=Q433,1,0)</f>
        <v>#N/A</v>
      </c>
      <c r="DD433" s="138" t="e">
        <f>IF(VLOOKUP(CONCATENATE(H433,F433,DD$2),Español!$A:$H,7,FALSE)=R433,1,0)</f>
        <v>#N/A</v>
      </c>
      <c r="DE433" s="138" t="e">
        <f>IF(VLOOKUP(CONCATENATE(H433,F433,DE$2),Español!$A:$H,7,FALSE)=S433,1,0)</f>
        <v>#N/A</v>
      </c>
      <c r="DF433" s="138" t="e">
        <f>IF(VLOOKUP(CONCATENATE(H433,F433,DF$2),Español!$A:$H,7,FALSE)=T433,1,0)</f>
        <v>#N/A</v>
      </c>
      <c r="DG433" s="138" t="e">
        <f>IF(VLOOKUP(CONCATENATE(H433,F433,DG$2),Español!$A:$H,7,FALSE)=U433,1,0)</f>
        <v>#N/A</v>
      </c>
      <c r="DH433" s="138" t="e">
        <f>IF(VLOOKUP(CONCATENATE(H433,F433,DH$2),Español!$A:$H,7,FALSE)=V433,1,0)</f>
        <v>#N/A</v>
      </c>
      <c r="DI433" s="138" t="e">
        <f>IF(VLOOKUP(CONCATENATE(H433,F433,DI$2),Español!$A:$H,7,FALSE)=W433,1,0)</f>
        <v>#N/A</v>
      </c>
      <c r="DJ433" s="138" t="e">
        <f>IF(VLOOKUP(CONCATENATE(H433,F433,DJ$2),Español!$A:$H,7,FALSE)=X433,1,0)</f>
        <v>#N/A</v>
      </c>
      <c r="DK433" s="138" t="e">
        <f>IF(VLOOKUP(CONCATENATE(H433,F433,DK$2),Español!$A:$H,7,FALSE)=Y433,1,0)</f>
        <v>#N/A</v>
      </c>
      <c r="DL433" s="138" t="e">
        <f>IF(VLOOKUP(CONCATENATE(H433,F433,DL$2),Español!$A:$H,7,FALSE)=Z433,1,0)</f>
        <v>#N/A</v>
      </c>
      <c r="DM433" s="138" t="e">
        <f>IF(VLOOKUP(CONCATENATE(H433,F433,DM$2),Español!$A:$H,7,FALSE)=AA433,1,0)</f>
        <v>#N/A</v>
      </c>
      <c r="DN433" s="138" t="e">
        <f>IF(VLOOKUP(CONCATENATE(H433,F433,DN$2),Español!$A:$H,7,FALSE)=AB433,1,0)</f>
        <v>#N/A</v>
      </c>
      <c r="DO433" s="138" t="e">
        <f>IF(VLOOKUP(CONCATENATE(H433,F433,DO$2),Español!$A:$H,7,FALSE)=AC433,1,0)</f>
        <v>#N/A</v>
      </c>
      <c r="DP433" s="138" t="e">
        <f>IF(VLOOKUP(CONCATENATE(H433,F433,DP$2),Español!$A:$H,7,FALSE)=AD433,1,0)</f>
        <v>#N/A</v>
      </c>
      <c r="DQ433" s="138" t="e">
        <f>IF(VLOOKUP(CONCATENATE(H433,F433,DQ$2),Español!$A:$H,7,FALSE)=AE433,1,0)</f>
        <v>#N/A</v>
      </c>
      <c r="DR433" s="138" t="e">
        <f>IF(VLOOKUP(CONCATENATE(H433,F433,DR$2),Inglés!$A:$H,7,FALSE)=AF433,1,0)</f>
        <v>#N/A</v>
      </c>
      <c r="DS433" s="138" t="e">
        <f>IF(VLOOKUP(CONCATENATE(H433,F433,DS$2),Inglés!$A:$H,7,FALSE)=AG433,1,0)</f>
        <v>#N/A</v>
      </c>
      <c r="DT433" s="138" t="e">
        <f>IF(VLOOKUP(CONCATENATE(H433,F433,DT$2),Inglés!$A:$H,7,FALSE)=AH433,1,0)</f>
        <v>#N/A</v>
      </c>
      <c r="DU433" s="138" t="e">
        <f>IF(VLOOKUP(CONCATENATE(H433,F433,DU$2),Inglés!$A:$H,7,FALSE)=AI433,1,0)</f>
        <v>#N/A</v>
      </c>
      <c r="DV433" s="138" t="e">
        <f>IF(VLOOKUP(CONCATENATE(H433,F433,DV$2),Inglés!$A:$H,7,FALSE)=AJ433,1,0)</f>
        <v>#N/A</v>
      </c>
      <c r="DW433" s="138" t="e">
        <f>IF(VLOOKUP(CONCATENATE(H433,F433,DW$2),Inglés!$A:$H,7,FALSE)=AK433,1,0)</f>
        <v>#N/A</v>
      </c>
      <c r="DX433" s="138" t="e">
        <f>IF(VLOOKUP(CONCATENATE(H433,F433,DX$2),Inglés!$A:$H,7,FALSE)=AL433,1,0)</f>
        <v>#N/A</v>
      </c>
      <c r="DY433" s="138" t="e">
        <f>IF(VLOOKUP(CONCATENATE(H433,F433,DY$2),Inglés!$A:$H,7,FALSE)=AM433,1,0)</f>
        <v>#N/A</v>
      </c>
      <c r="DZ433" s="138" t="e">
        <f>IF(VLOOKUP(CONCATENATE(H433,F433,DZ$2),Inglés!$A:$H,7,FALSE)=AN433,1,0)</f>
        <v>#N/A</v>
      </c>
      <c r="EA433" s="138" t="e">
        <f>IF(VLOOKUP(CONCATENATE(H433,F433,EA$2),Inglés!$A:$H,7,FALSE)=AO433,1,0)</f>
        <v>#N/A</v>
      </c>
      <c r="EB433" s="138" t="e">
        <f>IF(VLOOKUP(CONCATENATE(H433,F433,EB$2),Matemáticas!$A:$H,7,FALSE)=AP433,1,0)</f>
        <v>#N/A</v>
      </c>
      <c r="EC433" s="138" t="e">
        <f>IF(VLOOKUP(CONCATENATE(H433,F433,EC$2),Matemáticas!$A:$H,7,FALSE)=AQ433,1,0)</f>
        <v>#N/A</v>
      </c>
      <c r="ED433" s="138" t="e">
        <f>IF(VLOOKUP(CONCATENATE(H433,F433,ED$2),Matemáticas!$A:$H,7,FALSE)=AR433,1,0)</f>
        <v>#N/A</v>
      </c>
      <c r="EE433" s="138" t="e">
        <f>IF(VLOOKUP(CONCATENATE(H433,F433,EE$2),Matemáticas!$A:$H,7,FALSE)=AS433,1,0)</f>
        <v>#N/A</v>
      </c>
      <c r="EF433" s="138" t="e">
        <f>IF(VLOOKUP(CONCATENATE(H433,F433,EF$2),Matemáticas!$A:$H,7,FALSE)=AT433,1,0)</f>
        <v>#N/A</v>
      </c>
      <c r="EG433" s="138" t="e">
        <f>IF(VLOOKUP(CONCATENATE(H433,F433,EG$2),Matemáticas!$A:$H,7,FALSE)=AU433,1,0)</f>
        <v>#N/A</v>
      </c>
      <c r="EH433" s="138" t="e">
        <f>IF(VLOOKUP(CONCATENATE(H433,F433,EH$2),Matemáticas!$A:$H,7,FALSE)=AV433,1,0)</f>
        <v>#N/A</v>
      </c>
      <c r="EI433" s="138" t="e">
        <f>IF(VLOOKUP(CONCATENATE(H433,F433,EI$2),Matemáticas!$A:$H,7,FALSE)=AW433,1,0)</f>
        <v>#N/A</v>
      </c>
      <c r="EJ433" s="138" t="e">
        <f>IF(VLOOKUP(CONCATENATE(H433,F433,EJ$2),Matemáticas!$A:$H,7,FALSE)=AX433,1,0)</f>
        <v>#N/A</v>
      </c>
      <c r="EK433" s="138" t="e">
        <f>IF(VLOOKUP(CONCATENATE(H433,F433,EK$2),Matemáticas!$A:$H,7,FALSE)=AY433,1,0)</f>
        <v>#N/A</v>
      </c>
      <c r="EL433" s="138" t="e">
        <f>IF(VLOOKUP(CONCATENATE(H433,F433,EL$2),Matemáticas!$A:$H,7,FALSE)=AZ433,1,0)</f>
        <v>#N/A</v>
      </c>
      <c r="EM433" s="138" t="e">
        <f>IF(VLOOKUP(CONCATENATE(H433,F433,EM$2),Matemáticas!$A:$H,7,FALSE)=BA433,1,0)</f>
        <v>#N/A</v>
      </c>
      <c r="EN433" s="138" t="e">
        <f>IF(VLOOKUP(CONCATENATE(H433,F433,EN$2),Matemáticas!$A:$H,7,FALSE)=BB433,1,0)</f>
        <v>#N/A</v>
      </c>
      <c r="EO433" s="138" t="e">
        <f>IF(VLOOKUP(CONCATENATE(H433,F433,EO$2),Matemáticas!$A:$H,7,FALSE)=BC433,1,0)</f>
        <v>#N/A</v>
      </c>
      <c r="EP433" s="138" t="e">
        <f>IF(VLOOKUP(CONCATENATE(H433,F433,EP$2),Matemáticas!$A:$H,7,FALSE)=BD433,1,0)</f>
        <v>#N/A</v>
      </c>
      <c r="EQ433" s="138" t="e">
        <f>IF(VLOOKUP(CONCATENATE(H433,F433,EQ$2),Matemáticas!$A:$H,7,FALSE)=BE433,1,0)</f>
        <v>#N/A</v>
      </c>
      <c r="ER433" s="138" t="e">
        <f>IF(VLOOKUP(CONCATENATE(H433,F433,ER$2),Matemáticas!$A:$H,7,FALSE)=BF433,1,0)</f>
        <v>#N/A</v>
      </c>
      <c r="ES433" s="138" t="e">
        <f>IF(VLOOKUP(CONCATENATE(H433,F433,ES$2),Matemáticas!$A:$H,7,FALSE)=BG433,1,0)</f>
        <v>#N/A</v>
      </c>
      <c r="ET433" s="138" t="e">
        <f>IF(VLOOKUP(CONCATENATE(H433,F433,ET$2),Matemáticas!$A:$H,7,FALSE)=BH433,1,0)</f>
        <v>#N/A</v>
      </c>
      <c r="EU433" s="138" t="e">
        <f>IF(VLOOKUP(CONCATENATE(H433,F433,EU$2),Matemáticas!$A:$H,7,FALSE)=BI433,1,0)</f>
        <v>#N/A</v>
      </c>
      <c r="EV433" s="138" t="e">
        <f>IF(VLOOKUP(CONCATENATE(H433,F433,EV$2),Ciencias!$A:$H,7,FALSE)=BJ433,1,0)</f>
        <v>#N/A</v>
      </c>
      <c r="EW433" s="138" t="e">
        <f>IF(VLOOKUP(CONCATENATE(H433,F433,EW$2),Ciencias!$A:$H,7,FALSE)=BK433,1,0)</f>
        <v>#N/A</v>
      </c>
      <c r="EX433" s="138" t="e">
        <f>IF(VLOOKUP(CONCATENATE(H433,F433,EX$2),Ciencias!$A:$H,7,FALSE)=BL433,1,0)</f>
        <v>#N/A</v>
      </c>
      <c r="EY433" s="138" t="e">
        <f>IF(VLOOKUP(CONCATENATE(H433,F433,EY$2),Ciencias!$A:$H,7,FALSE)=BM433,1,0)</f>
        <v>#N/A</v>
      </c>
      <c r="EZ433" s="138" t="e">
        <f>IF(VLOOKUP(CONCATENATE(H433,F433,EZ$2),Ciencias!$A:$H,7,FALSE)=BN433,1,0)</f>
        <v>#N/A</v>
      </c>
      <c r="FA433" s="138" t="e">
        <f>IF(VLOOKUP(CONCATENATE(H433,F433,FA$2),Ciencias!$A:$H,7,FALSE)=BO433,1,0)</f>
        <v>#N/A</v>
      </c>
      <c r="FB433" s="138" t="e">
        <f>IF(VLOOKUP(CONCATENATE(H433,F433,FB$2),Ciencias!$A:$H,7,FALSE)=BP433,1,0)</f>
        <v>#N/A</v>
      </c>
      <c r="FC433" s="138" t="e">
        <f>IF(VLOOKUP(CONCATENATE(H433,F433,FC$2),Ciencias!$A:$H,7,FALSE)=BQ433,1,0)</f>
        <v>#N/A</v>
      </c>
      <c r="FD433" s="138" t="e">
        <f>IF(VLOOKUP(CONCATENATE(H433,F433,FD$2),Ciencias!$A:$H,7,FALSE)=BR433,1,0)</f>
        <v>#N/A</v>
      </c>
      <c r="FE433" s="138" t="e">
        <f>IF(VLOOKUP(CONCATENATE(H433,F433,FE$2),Ciencias!$A:$H,7,FALSE)=BS433,1,0)</f>
        <v>#N/A</v>
      </c>
      <c r="FF433" s="138" t="e">
        <f>IF(VLOOKUP(CONCATENATE(H433,F433,FF$2),Ciencias!$A:$H,7,FALSE)=BT433,1,0)</f>
        <v>#N/A</v>
      </c>
      <c r="FG433" s="138" t="e">
        <f>IF(VLOOKUP(CONCATENATE(H433,F433,FG$2),Ciencias!$A:$H,7,FALSE)=BU433,1,0)</f>
        <v>#N/A</v>
      </c>
      <c r="FH433" s="138" t="e">
        <f>IF(VLOOKUP(CONCATENATE(H433,F433,FH$2),Ciencias!$A:$H,7,FALSE)=BV433,1,0)</f>
        <v>#N/A</v>
      </c>
      <c r="FI433" s="138" t="e">
        <f>IF(VLOOKUP(CONCATENATE(H433,F433,FI$2),Ciencias!$A:$H,7,FALSE)=BW433,1,0)</f>
        <v>#N/A</v>
      </c>
      <c r="FJ433" s="138" t="e">
        <f>IF(VLOOKUP(CONCATENATE(H433,F433,FJ$2),Ciencias!$A:$H,7,FALSE)=BX433,1,0)</f>
        <v>#N/A</v>
      </c>
      <c r="FK433" s="138" t="e">
        <f>IF(VLOOKUP(CONCATENATE(H433,F433,FK$2),Ciencias!$A:$H,7,FALSE)=BY433,1,0)</f>
        <v>#N/A</v>
      </c>
      <c r="FL433" s="138" t="e">
        <f>IF(VLOOKUP(CONCATENATE(H433,F433,FL$2),Ciencias!$A:$H,7,FALSE)=BZ433,1,0)</f>
        <v>#N/A</v>
      </c>
      <c r="FM433" s="138" t="e">
        <f>IF(VLOOKUP(CONCATENATE(H433,F433,FM$2),Ciencias!$A:$H,7,FALSE)=CA433,1,0)</f>
        <v>#N/A</v>
      </c>
      <c r="FN433" s="138" t="e">
        <f>IF(VLOOKUP(CONCATENATE(H433,F433,FN$2),Ciencias!$A:$H,7,FALSE)=CB433,1,0)</f>
        <v>#N/A</v>
      </c>
      <c r="FO433" s="138" t="e">
        <f>IF(VLOOKUP(CONCATENATE(H433,F433,FO$2),Ciencias!$A:$H,7,FALSE)=CC433,1,0)</f>
        <v>#N/A</v>
      </c>
      <c r="FP433" s="138" t="e">
        <f>IF(VLOOKUP(CONCATENATE(H433,F433,FP$2),GeoHis!$A:$H,7,FALSE)=CD433,1,0)</f>
        <v>#N/A</v>
      </c>
      <c r="FQ433" s="138" t="e">
        <f>IF(VLOOKUP(CONCATENATE(H433,F433,FQ$2),GeoHis!$A:$H,7,FALSE)=CE433,1,0)</f>
        <v>#N/A</v>
      </c>
      <c r="FR433" s="138" t="e">
        <f>IF(VLOOKUP(CONCATENATE(H433,F433,FR$2),GeoHis!$A:$H,7,FALSE)=CF433,1,0)</f>
        <v>#N/A</v>
      </c>
      <c r="FS433" s="138" t="e">
        <f>IF(VLOOKUP(CONCATENATE(H433,F433,FS$2),GeoHis!$A:$H,7,FALSE)=CG433,1,0)</f>
        <v>#N/A</v>
      </c>
      <c r="FT433" s="138" t="e">
        <f>IF(VLOOKUP(CONCATENATE(H433,F433,FT$2),GeoHis!$A:$H,7,FALSE)=CH433,1,0)</f>
        <v>#N/A</v>
      </c>
      <c r="FU433" s="138" t="e">
        <f>IF(VLOOKUP(CONCATENATE(H433,F433,FU$2),GeoHis!$A:$H,7,FALSE)=CI433,1,0)</f>
        <v>#N/A</v>
      </c>
      <c r="FV433" s="138" t="e">
        <f>IF(VLOOKUP(CONCATENATE(H433,F433,FV$2),GeoHis!$A:$H,7,FALSE)=CJ433,1,0)</f>
        <v>#N/A</v>
      </c>
      <c r="FW433" s="138" t="e">
        <f>IF(VLOOKUP(CONCATENATE(H433,F433,FW$2),GeoHis!$A:$H,7,FALSE)=CK433,1,0)</f>
        <v>#N/A</v>
      </c>
      <c r="FX433" s="138" t="e">
        <f>IF(VLOOKUP(CONCATENATE(H433,F433,FX$2),GeoHis!$A:$H,7,FALSE)=CL433,1,0)</f>
        <v>#N/A</v>
      </c>
      <c r="FY433" s="138" t="e">
        <f>IF(VLOOKUP(CONCATENATE(H433,F433,FY$2),GeoHis!$A:$H,7,FALSE)=CM433,1,0)</f>
        <v>#N/A</v>
      </c>
      <c r="FZ433" s="138" t="e">
        <f>IF(VLOOKUP(CONCATENATE(H433,F433,FZ$2),GeoHis!$A:$H,7,FALSE)=CN433,1,0)</f>
        <v>#N/A</v>
      </c>
      <c r="GA433" s="138" t="e">
        <f>IF(VLOOKUP(CONCATENATE(H433,F433,GA$2),GeoHis!$A:$H,7,FALSE)=CO433,1,0)</f>
        <v>#N/A</v>
      </c>
      <c r="GB433" s="138" t="e">
        <f>IF(VLOOKUP(CONCATENATE(H433,F433,GB$2),GeoHis!$A:$H,7,FALSE)=CP433,1,0)</f>
        <v>#N/A</v>
      </c>
      <c r="GC433" s="138" t="e">
        <f>IF(VLOOKUP(CONCATENATE(H433,F433,GC$2),GeoHis!$A:$H,7,FALSE)=CQ433,1,0)</f>
        <v>#N/A</v>
      </c>
      <c r="GD433" s="138" t="e">
        <f>IF(VLOOKUP(CONCATENATE(H433,F433,GD$2),GeoHis!$A:$H,7,FALSE)=CR433,1,0)</f>
        <v>#N/A</v>
      </c>
      <c r="GE433" s="135" t="str">
        <f t="shared" si="55"/>
        <v/>
      </c>
    </row>
    <row r="434" spans="1:187" x14ac:dyDescent="0.25">
      <c r="A434" s="127" t="str">
        <f>IF(C434="","",'Datos Generales'!$A$25)</f>
        <v/>
      </c>
      <c r="D434" s="126" t="str">
        <f t="shared" si="48"/>
        <v/>
      </c>
      <c r="E434" s="126">
        <f t="shared" si="49"/>
        <v>0</v>
      </c>
      <c r="F434" s="126" t="str">
        <f t="shared" si="50"/>
        <v/>
      </c>
      <c r="G434" s="126" t="str">
        <f>IF(C434="","",'Datos Generales'!$D$19)</f>
        <v/>
      </c>
      <c r="H434" s="21" t="str">
        <f>IF(C434="","",'Datos Generales'!$A$19)</f>
        <v/>
      </c>
      <c r="I434" s="126" t="str">
        <f>IF(C434="","",'Datos Generales'!$A$7)</f>
        <v/>
      </c>
      <c r="J434" s="21" t="str">
        <f>IF(C434="","",'Datos Generales'!$A$13)</f>
        <v/>
      </c>
      <c r="K434" s="21" t="str">
        <f>IF(C434="","",'Datos Generales'!$A$10)</f>
        <v/>
      </c>
      <c r="CS434" s="142" t="str">
        <f t="shared" si="51"/>
        <v/>
      </c>
      <c r="CT434" s="142" t="str">
        <f t="shared" si="52"/>
        <v/>
      </c>
      <c r="CU434" s="142" t="str">
        <f t="shared" si="53"/>
        <v/>
      </c>
      <c r="CV434" s="142" t="str">
        <f t="shared" si="54"/>
        <v/>
      </c>
      <c r="CW434" s="142" t="str">
        <f>IF(C434="","",IF('Datos Generales'!$A$19=1,AVERAGE(FP434:GD434),AVERAGE(Captura!FP434:FY434)))</f>
        <v/>
      </c>
      <c r="CX434" s="138" t="e">
        <f>IF(VLOOKUP(CONCATENATE($H$4,$F$4,CX$2),Español!$A:$H,7,FALSE)=L434,1,0)</f>
        <v>#N/A</v>
      </c>
      <c r="CY434" s="138" t="e">
        <f>IF(VLOOKUP(CONCATENATE(H434,F434,CY$2),Español!$A:$H,7,FALSE)=M434,1,0)</f>
        <v>#N/A</v>
      </c>
      <c r="CZ434" s="138" t="e">
        <f>IF(VLOOKUP(CONCATENATE(H434,F434,CZ$2),Español!$A:$H,7,FALSE)=N434,1,0)</f>
        <v>#N/A</v>
      </c>
      <c r="DA434" s="138" t="e">
        <f>IF(VLOOKUP(CONCATENATE(H434,F434,DA$2),Español!$A:$H,7,FALSE)=O434,1,0)</f>
        <v>#N/A</v>
      </c>
      <c r="DB434" s="138" t="e">
        <f>IF(VLOOKUP(CONCATENATE(H434,F434,DB$2),Español!$A:$H,7,FALSE)=P434,1,0)</f>
        <v>#N/A</v>
      </c>
      <c r="DC434" s="138" t="e">
        <f>IF(VLOOKUP(CONCATENATE(H434,F434,DC$2),Español!$A:$H,7,FALSE)=Q434,1,0)</f>
        <v>#N/A</v>
      </c>
      <c r="DD434" s="138" t="e">
        <f>IF(VLOOKUP(CONCATENATE(H434,F434,DD$2),Español!$A:$H,7,FALSE)=R434,1,0)</f>
        <v>#N/A</v>
      </c>
      <c r="DE434" s="138" t="e">
        <f>IF(VLOOKUP(CONCATENATE(H434,F434,DE$2),Español!$A:$H,7,FALSE)=S434,1,0)</f>
        <v>#N/A</v>
      </c>
      <c r="DF434" s="138" t="e">
        <f>IF(VLOOKUP(CONCATENATE(H434,F434,DF$2),Español!$A:$H,7,FALSE)=T434,1,0)</f>
        <v>#N/A</v>
      </c>
      <c r="DG434" s="138" t="e">
        <f>IF(VLOOKUP(CONCATENATE(H434,F434,DG$2),Español!$A:$H,7,FALSE)=U434,1,0)</f>
        <v>#N/A</v>
      </c>
      <c r="DH434" s="138" t="e">
        <f>IF(VLOOKUP(CONCATENATE(H434,F434,DH$2),Español!$A:$H,7,FALSE)=V434,1,0)</f>
        <v>#N/A</v>
      </c>
      <c r="DI434" s="138" t="e">
        <f>IF(VLOOKUP(CONCATENATE(H434,F434,DI$2),Español!$A:$H,7,FALSE)=W434,1,0)</f>
        <v>#N/A</v>
      </c>
      <c r="DJ434" s="138" t="e">
        <f>IF(VLOOKUP(CONCATENATE(H434,F434,DJ$2),Español!$A:$H,7,FALSE)=X434,1,0)</f>
        <v>#N/A</v>
      </c>
      <c r="DK434" s="138" t="e">
        <f>IF(VLOOKUP(CONCATENATE(H434,F434,DK$2),Español!$A:$H,7,FALSE)=Y434,1,0)</f>
        <v>#N/A</v>
      </c>
      <c r="DL434" s="138" t="e">
        <f>IF(VLOOKUP(CONCATENATE(H434,F434,DL$2),Español!$A:$H,7,FALSE)=Z434,1,0)</f>
        <v>#N/A</v>
      </c>
      <c r="DM434" s="138" t="e">
        <f>IF(VLOOKUP(CONCATENATE(H434,F434,DM$2),Español!$A:$H,7,FALSE)=AA434,1,0)</f>
        <v>#N/A</v>
      </c>
      <c r="DN434" s="138" t="e">
        <f>IF(VLOOKUP(CONCATENATE(H434,F434,DN$2),Español!$A:$H,7,FALSE)=AB434,1,0)</f>
        <v>#N/A</v>
      </c>
      <c r="DO434" s="138" t="e">
        <f>IF(VLOOKUP(CONCATENATE(H434,F434,DO$2),Español!$A:$H,7,FALSE)=AC434,1,0)</f>
        <v>#N/A</v>
      </c>
      <c r="DP434" s="138" t="e">
        <f>IF(VLOOKUP(CONCATENATE(H434,F434,DP$2),Español!$A:$H,7,FALSE)=AD434,1,0)</f>
        <v>#N/A</v>
      </c>
      <c r="DQ434" s="138" t="e">
        <f>IF(VLOOKUP(CONCATENATE(H434,F434,DQ$2),Español!$A:$H,7,FALSE)=AE434,1,0)</f>
        <v>#N/A</v>
      </c>
      <c r="DR434" s="138" t="e">
        <f>IF(VLOOKUP(CONCATENATE(H434,F434,DR$2),Inglés!$A:$H,7,FALSE)=AF434,1,0)</f>
        <v>#N/A</v>
      </c>
      <c r="DS434" s="138" t="e">
        <f>IF(VLOOKUP(CONCATENATE(H434,F434,DS$2),Inglés!$A:$H,7,FALSE)=AG434,1,0)</f>
        <v>#N/A</v>
      </c>
      <c r="DT434" s="138" t="e">
        <f>IF(VLOOKUP(CONCATENATE(H434,F434,DT$2),Inglés!$A:$H,7,FALSE)=AH434,1,0)</f>
        <v>#N/A</v>
      </c>
      <c r="DU434" s="138" t="e">
        <f>IF(VLOOKUP(CONCATENATE(H434,F434,DU$2),Inglés!$A:$H,7,FALSE)=AI434,1,0)</f>
        <v>#N/A</v>
      </c>
      <c r="DV434" s="138" t="e">
        <f>IF(VLOOKUP(CONCATENATE(H434,F434,DV$2),Inglés!$A:$H,7,FALSE)=AJ434,1,0)</f>
        <v>#N/A</v>
      </c>
      <c r="DW434" s="138" t="e">
        <f>IF(VLOOKUP(CONCATENATE(H434,F434,DW$2),Inglés!$A:$H,7,FALSE)=AK434,1,0)</f>
        <v>#N/A</v>
      </c>
      <c r="DX434" s="138" t="e">
        <f>IF(VLOOKUP(CONCATENATE(H434,F434,DX$2),Inglés!$A:$H,7,FALSE)=AL434,1,0)</f>
        <v>#N/A</v>
      </c>
      <c r="DY434" s="138" t="e">
        <f>IF(VLOOKUP(CONCATENATE(H434,F434,DY$2),Inglés!$A:$H,7,FALSE)=AM434,1,0)</f>
        <v>#N/A</v>
      </c>
      <c r="DZ434" s="138" t="e">
        <f>IF(VLOOKUP(CONCATENATE(H434,F434,DZ$2),Inglés!$A:$H,7,FALSE)=AN434,1,0)</f>
        <v>#N/A</v>
      </c>
      <c r="EA434" s="138" t="e">
        <f>IF(VLOOKUP(CONCATENATE(H434,F434,EA$2),Inglés!$A:$H,7,FALSE)=AO434,1,0)</f>
        <v>#N/A</v>
      </c>
      <c r="EB434" s="138" t="e">
        <f>IF(VLOOKUP(CONCATENATE(H434,F434,EB$2),Matemáticas!$A:$H,7,FALSE)=AP434,1,0)</f>
        <v>#N/A</v>
      </c>
      <c r="EC434" s="138" t="e">
        <f>IF(VLOOKUP(CONCATENATE(H434,F434,EC$2),Matemáticas!$A:$H,7,FALSE)=AQ434,1,0)</f>
        <v>#N/A</v>
      </c>
      <c r="ED434" s="138" t="e">
        <f>IF(VLOOKUP(CONCATENATE(H434,F434,ED$2),Matemáticas!$A:$H,7,FALSE)=AR434,1,0)</f>
        <v>#N/A</v>
      </c>
      <c r="EE434" s="138" t="e">
        <f>IF(VLOOKUP(CONCATENATE(H434,F434,EE$2),Matemáticas!$A:$H,7,FALSE)=AS434,1,0)</f>
        <v>#N/A</v>
      </c>
      <c r="EF434" s="138" t="e">
        <f>IF(VLOOKUP(CONCATENATE(H434,F434,EF$2),Matemáticas!$A:$H,7,FALSE)=AT434,1,0)</f>
        <v>#N/A</v>
      </c>
      <c r="EG434" s="138" t="e">
        <f>IF(VLOOKUP(CONCATENATE(H434,F434,EG$2),Matemáticas!$A:$H,7,FALSE)=AU434,1,0)</f>
        <v>#N/A</v>
      </c>
      <c r="EH434" s="138" t="e">
        <f>IF(VLOOKUP(CONCATENATE(H434,F434,EH$2),Matemáticas!$A:$H,7,FALSE)=AV434,1,0)</f>
        <v>#N/A</v>
      </c>
      <c r="EI434" s="138" t="e">
        <f>IF(VLOOKUP(CONCATENATE(H434,F434,EI$2),Matemáticas!$A:$H,7,FALSE)=AW434,1,0)</f>
        <v>#N/A</v>
      </c>
      <c r="EJ434" s="138" t="e">
        <f>IF(VLOOKUP(CONCATENATE(H434,F434,EJ$2),Matemáticas!$A:$H,7,FALSE)=AX434,1,0)</f>
        <v>#N/A</v>
      </c>
      <c r="EK434" s="138" t="e">
        <f>IF(VLOOKUP(CONCATENATE(H434,F434,EK$2),Matemáticas!$A:$H,7,FALSE)=AY434,1,0)</f>
        <v>#N/A</v>
      </c>
      <c r="EL434" s="138" t="e">
        <f>IF(VLOOKUP(CONCATENATE(H434,F434,EL$2),Matemáticas!$A:$H,7,FALSE)=AZ434,1,0)</f>
        <v>#N/A</v>
      </c>
      <c r="EM434" s="138" t="e">
        <f>IF(VLOOKUP(CONCATENATE(H434,F434,EM$2),Matemáticas!$A:$H,7,FALSE)=BA434,1,0)</f>
        <v>#N/A</v>
      </c>
      <c r="EN434" s="138" t="e">
        <f>IF(VLOOKUP(CONCATENATE(H434,F434,EN$2),Matemáticas!$A:$H,7,FALSE)=BB434,1,0)</f>
        <v>#N/A</v>
      </c>
      <c r="EO434" s="138" t="e">
        <f>IF(VLOOKUP(CONCATENATE(H434,F434,EO$2),Matemáticas!$A:$H,7,FALSE)=BC434,1,0)</f>
        <v>#N/A</v>
      </c>
      <c r="EP434" s="138" t="e">
        <f>IF(VLOOKUP(CONCATENATE(H434,F434,EP$2),Matemáticas!$A:$H,7,FALSE)=BD434,1,0)</f>
        <v>#N/A</v>
      </c>
      <c r="EQ434" s="138" t="e">
        <f>IF(VLOOKUP(CONCATENATE(H434,F434,EQ$2),Matemáticas!$A:$H,7,FALSE)=BE434,1,0)</f>
        <v>#N/A</v>
      </c>
      <c r="ER434" s="138" t="e">
        <f>IF(VLOOKUP(CONCATENATE(H434,F434,ER$2),Matemáticas!$A:$H,7,FALSE)=BF434,1,0)</f>
        <v>#N/A</v>
      </c>
      <c r="ES434" s="138" t="e">
        <f>IF(VLOOKUP(CONCATENATE(H434,F434,ES$2),Matemáticas!$A:$H,7,FALSE)=BG434,1,0)</f>
        <v>#N/A</v>
      </c>
      <c r="ET434" s="138" t="e">
        <f>IF(VLOOKUP(CONCATENATE(H434,F434,ET$2),Matemáticas!$A:$H,7,FALSE)=BH434,1,0)</f>
        <v>#N/A</v>
      </c>
      <c r="EU434" s="138" t="e">
        <f>IF(VLOOKUP(CONCATENATE(H434,F434,EU$2),Matemáticas!$A:$H,7,FALSE)=BI434,1,0)</f>
        <v>#N/A</v>
      </c>
      <c r="EV434" s="138" t="e">
        <f>IF(VLOOKUP(CONCATENATE(H434,F434,EV$2),Ciencias!$A:$H,7,FALSE)=BJ434,1,0)</f>
        <v>#N/A</v>
      </c>
      <c r="EW434" s="138" t="e">
        <f>IF(VLOOKUP(CONCATENATE(H434,F434,EW$2),Ciencias!$A:$H,7,FALSE)=BK434,1,0)</f>
        <v>#N/A</v>
      </c>
      <c r="EX434" s="138" t="e">
        <f>IF(VLOOKUP(CONCATENATE(H434,F434,EX$2),Ciencias!$A:$H,7,FALSE)=BL434,1,0)</f>
        <v>#N/A</v>
      </c>
      <c r="EY434" s="138" t="e">
        <f>IF(VLOOKUP(CONCATENATE(H434,F434,EY$2),Ciencias!$A:$H,7,FALSE)=BM434,1,0)</f>
        <v>#N/A</v>
      </c>
      <c r="EZ434" s="138" t="e">
        <f>IF(VLOOKUP(CONCATENATE(H434,F434,EZ$2),Ciencias!$A:$H,7,FALSE)=BN434,1,0)</f>
        <v>#N/A</v>
      </c>
      <c r="FA434" s="138" t="e">
        <f>IF(VLOOKUP(CONCATENATE(H434,F434,FA$2),Ciencias!$A:$H,7,FALSE)=BO434,1,0)</f>
        <v>#N/A</v>
      </c>
      <c r="FB434" s="138" t="e">
        <f>IF(VLOOKUP(CONCATENATE(H434,F434,FB$2),Ciencias!$A:$H,7,FALSE)=BP434,1,0)</f>
        <v>#N/A</v>
      </c>
      <c r="FC434" s="138" t="e">
        <f>IF(VLOOKUP(CONCATENATE(H434,F434,FC$2),Ciencias!$A:$H,7,FALSE)=BQ434,1,0)</f>
        <v>#N/A</v>
      </c>
      <c r="FD434" s="138" t="e">
        <f>IF(VLOOKUP(CONCATENATE(H434,F434,FD$2),Ciencias!$A:$H,7,FALSE)=BR434,1,0)</f>
        <v>#N/A</v>
      </c>
      <c r="FE434" s="138" t="e">
        <f>IF(VLOOKUP(CONCATENATE(H434,F434,FE$2),Ciencias!$A:$H,7,FALSE)=BS434,1,0)</f>
        <v>#N/A</v>
      </c>
      <c r="FF434" s="138" t="e">
        <f>IF(VLOOKUP(CONCATENATE(H434,F434,FF$2),Ciencias!$A:$H,7,FALSE)=BT434,1,0)</f>
        <v>#N/A</v>
      </c>
      <c r="FG434" s="138" t="e">
        <f>IF(VLOOKUP(CONCATENATE(H434,F434,FG$2),Ciencias!$A:$H,7,FALSE)=BU434,1,0)</f>
        <v>#N/A</v>
      </c>
      <c r="FH434" s="138" t="e">
        <f>IF(VLOOKUP(CONCATENATE(H434,F434,FH$2),Ciencias!$A:$H,7,FALSE)=BV434,1,0)</f>
        <v>#N/A</v>
      </c>
      <c r="FI434" s="138" t="e">
        <f>IF(VLOOKUP(CONCATENATE(H434,F434,FI$2),Ciencias!$A:$H,7,FALSE)=BW434,1,0)</f>
        <v>#N/A</v>
      </c>
      <c r="FJ434" s="138" t="e">
        <f>IF(VLOOKUP(CONCATENATE(H434,F434,FJ$2),Ciencias!$A:$H,7,FALSE)=BX434,1,0)</f>
        <v>#N/A</v>
      </c>
      <c r="FK434" s="138" t="e">
        <f>IF(VLOOKUP(CONCATENATE(H434,F434,FK$2),Ciencias!$A:$H,7,FALSE)=BY434,1,0)</f>
        <v>#N/A</v>
      </c>
      <c r="FL434" s="138" t="e">
        <f>IF(VLOOKUP(CONCATENATE(H434,F434,FL$2),Ciencias!$A:$H,7,FALSE)=BZ434,1,0)</f>
        <v>#N/A</v>
      </c>
      <c r="FM434" s="138" t="e">
        <f>IF(VLOOKUP(CONCATENATE(H434,F434,FM$2),Ciencias!$A:$H,7,FALSE)=CA434,1,0)</f>
        <v>#N/A</v>
      </c>
      <c r="FN434" s="138" t="e">
        <f>IF(VLOOKUP(CONCATENATE(H434,F434,FN$2),Ciencias!$A:$H,7,FALSE)=CB434,1,0)</f>
        <v>#N/A</v>
      </c>
      <c r="FO434" s="138" t="e">
        <f>IF(VLOOKUP(CONCATENATE(H434,F434,FO$2),Ciencias!$A:$H,7,FALSE)=CC434,1,0)</f>
        <v>#N/A</v>
      </c>
      <c r="FP434" s="138" t="e">
        <f>IF(VLOOKUP(CONCATENATE(H434,F434,FP$2),GeoHis!$A:$H,7,FALSE)=CD434,1,0)</f>
        <v>#N/A</v>
      </c>
      <c r="FQ434" s="138" t="e">
        <f>IF(VLOOKUP(CONCATENATE(H434,F434,FQ$2),GeoHis!$A:$H,7,FALSE)=CE434,1,0)</f>
        <v>#N/A</v>
      </c>
      <c r="FR434" s="138" t="e">
        <f>IF(VLOOKUP(CONCATENATE(H434,F434,FR$2),GeoHis!$A:$H,7,FALSE)=CF434,1,0)</f>
        <v>#N/A</v>
      </c>
      <c r="FS434" s="138" t="e">
        <f>IF(VLOOKUP(CONCATENATE(H434,F434,FS$2),GeoHis!$A:$H,7,FALSE)=CG434,1,0)</f>
        <v>#N/A</v>
      </c>
      <c r="FT434" s="138" t="e">
        <f>IF(VLOOKUP(CONCATENATE(H434,F434,FT$2),GeoHis!$A:$H,7,FALSE)=CH434,1,0)</f>
        <v>#N/A</v>
      </c>
      <c r="FU434" s="138" t="e">
        <f>IF(VLOOKUP(CONCATENATE(H434,F434,FU$2),GeoHis!$A:$H,7,FALSE)=CI434,1,0)</f>
        <v>#N/A</v>
      </c>
      <c r="FV434" s="138" t="e">
        <f>IF(VLOOKUP(CONCATENATE(H434,F434,FV$2),GeoHis!$A:$H,7,FALSE)=CJ434,1,0)</f>
        <v>#N/A</v>
      </c>
      <c r="FW434" s="138" t="e">
        <f>IF(VLOOKUP(CONCATENATE(H434,F434,FW$2),GeoHis!$A:$H,7,FALSE)=CK434,1,0)</f>
        <v>#N/A</v>
      </c>
      <c r="FX434" s="138" t="e">
        <f>IF(VLOOKUP(CONCATENATE(H434,F434,FX$2),GeoHis!$A:$H,7,FALSE)=CL434,1,0)</f>
        <v>#N/A</v>
      </c>
      <c r="FY434" s="138" t="e">
        <f>IF(VLOOKUP(CONCATENATE(H434,F434,FY$2),GeoHis!$A:$H,7,FALSE)=CM434,1,0)</f>
        <v>#N/A</v>
      </c>
      <c r="FZ434" s="138" t="e">
        <f>IF(VLOOKUP(CONCATENATE(H434,F434,FZ$2),GeoHis!$A:$H,7,FALSE)=CN434,1,0)</f>
        <v>#N/A</v>
      </c>
      <c r="GA434" s="138" t="e">
        <f>IF(VLOOKUP(CONCATENATE(H434,F434,GA$2),GeoHis!$A:$H,7,FALSE)=CO434,1,0)</f>
        <v>#N/A</v>
      </c>
      <c r="GB434" s="138" t="e">
        <f>IF(VLOOKUP(CONCATENATE(H434,F434,GB$2),GeoHis!$A:$H,7,FALSE)=CP434,1,0)</f>
        <v>#N/A</v>
      </c>
      <c r="GC434" s="138" t="e">
        <f>IF(VLOOKUP(CONCATENATE(H434,F434,GC$2),GeoHis!$A:$H,7,FALSE)=CQ434,1,0)</f>
        <v>#N/A</v>
      </c>
      <c r="GD434" s="138" t="e">
        <f>IF(VLOOKUP(CONCATENATE(H434,F434,GD$2),GeoHis!$A:$H,7,FALSE)=CR434,1,0)</f>
        <v>#N/A</v>
      </c>
      <c r="GE434" s="135" t="str">
        <f t="shared" si="55"/>
        <v/>
      </c>
    </row>
    <row r="435" spans="1:187" x14ac:dyDescent="0.25">
      <c r="A435" s="127" t="str">
        <f>IF(C435="","",'Datos Generales'!$A$25)</f>
        <v/>
      </c>
      <c r="D435" s="126" t="str">
        <f t="shared" si="48"/>
        <v/>
      </c>
      <c r="E435" s="126">
        <f t="shared" si="49"/>
        <v>0</v>
      </c>
      <c r="F435" s="126" t="str">
        <f t="shared" si="50"/>
        <v/>
      </c>
      <c r="G435" s="126" t="str">
        <f>IF(C435="","",'Datos Generales'!$D$19)</f>
        <v/>
      </c>
      <c r="H435" s="21" t="str">
        <f>IF(C435="","",'Datos Generales'!$A$19)</f>
        <v/>
      </c>
      <c r="I435" s="126" t="str">
        <f>IF(C435="","",'Datos Generales'!$A$7)</f>
        <v/>
      </c>
      <c r="J435" s="21" t="str">
        <f>IF(C435="","",'Datos Generales'!$A$13)</f>
        <v/>
      </c>
      <c r="K435" s="21" t="str">
        <f>IF(C435="","",'Datos Generales'!$A$10)</f>
        <v/>
      </c>
      <c r="CS435" s="142" t="str">
        <f t="shared" si="51"/>
        <v/>
      </c>
      <c r="CT435" s="142" t="str">
        <f t="shared" si="52"/>
        <v/>
      </c>
      <c r="CU435" s="142" t="str">
        <f t="shared" si="53"/>
        <v/>
      </c>
      <c r="CV435" s="142" t="str">
        <f t="shared" si="54"/>
        <v/>
      </c>
      <c r="CW435" s="142" t="str">
        <f>IF(C435="","",IF('Datos Generales'!$A$19=1,AVERAGE(FP435:GD435),AVERAGE(Captura!FP435:FY435)))</f>
        <v/>
      </c>
      <c r="CX435" s="138" t="e">
        <f>IF(VLOOKUP(CONCATENATE($H$4,$F$4,CX$2),Español!$A:$H,7,FALSE)=L435,1,0)</f>
        <v>#N/A</v>
      </c>
      <c r="CY435" s="138" t="e">
        <f>IF(VLOOKUP(CONCATENATE(H435,F435,CY$2),Español!$A:$H,7,FALSE)=M435,1,0)</f>
        <v>#N/A</v>
      </c>
      <c r="CZ435" s="138" t="e">
        <f>IF(VLOOKUP(CONCATENATE(H435,F435,CZ$2),Español!$A:$H,7,FALSE)=N435,1,0)</f>
        <v>#N/A</v>
      </c>
      <c r="DA435" s="138" t="e">
        <f>IF(VLOOKUP(CONCATENATE(H435,F435,DA$2),Español!$A:$H,7,FALSE)=O435,1,0)</f>
        <v>#N/A</v>
      </c>
      <c r="DB435" s="138" t="e">
        <f>IF(VLOOKUP(CONCATENATE(H435,F435,DB$2),Español!$A:$H,7,FALSE)=P435,1,0)</f>
        <v>#N/A</v>
      </c>
      <c r="DC435" s="138" t="e">
        <f>IF(VLOOKUP(CONCATENATE(H435,F435,DC$2),Español!$A:$H,7,FALSE)=Q435,1,0)</f>
        <v>#N/A</v>
      </c>
      <c r="DD435" s="138" t="e">
        <f>IF(VLOOKUP(CONCATENATE(H435,F435,DD$2),Español!$A:$H,7,FALSE)=R435,1,0)</f>
        <v>#N/A</v>
      </c>
      <c r="DE435" s="138" t="e">
        <f>IF(VLOOKUP(CONCATENATE(H435,F435,DE$2),Español!$A:$H,7,FALSE)=S435,1,0)</f>
        <v>#N/A</v>
      </c>
      <c r="DF435" s="138" t="e">
        <f>IF(VLOOKUP(CONCATENATE(H435,F435,DF$2),Español!$A:$H,7,FALSE)=T435,1,0)</f>
        <v>#N/A</v>
      </c>
      <c r="DG435" s="138" t="e">
        <f>IF(VLOOKUP(CONCATENATE(H435,F435,DG$2),Español!$A:$H,7,FALSE)=U435,1,0)</f>
        <v>#N/A</v>
      </c>
      <c r="DH435" s="138" t="e">
        <f>IF(VLOOKUP(CONCATENATE(H435,F435,DH$2),Español!$A:$H,7,FALSE)=V435,1,0)</f>
        <v>#N/A</v>
      </c>
      <c r="DI435" s="138" t="e">
        <f>IF(VLOOKUP(CONCATENATE(H435,F435,DI$2),Español!$A:$H,7,FALSE)=W435,1,0)</f>
        <v>#N/A</v>
      </c>
      <c r="DJ435" s="138" t="e">
        <f>IF(VLOOKUP(CONCATENATE(H435,F435,DJ$2),Español!$A:$H,7,FALSE)=X435,1,0)</f>
        <v>#N/A</v>
      </c>
      <c r="DK435" s="138" t="e">
        <f>IF(VLOOKUP(CONCATENATE(H435,F435,DK$2),Español!$A:$H,7,FALSE)=Y435,1,0)</f>
        <v>#N/A</v>
      </c>
      <c r="DL435" s="138" t="e">
        <f>IF(VLOOKUP(CONCATENATE(H435,F435,DL$2),Español!$A:$H,7,FALSE)=Z435,1,0)</f>
        <v>#N/A</v>
      </c>
      <c r="DM435" s="138" t="e">
        <f>IF(VLOOKUP(CONCATENATE(H435,F435,DM$2),Español!$A:$H,7,FALSE)=AA435,1,0)</f>
        <v>#N/A</v>
      </c>
      <c r="DN435" s="138" t="e">
        <f>IF(VLOOKUP(CONCATENATE(H435,F435,DN$2),Español!$A:$H,7,FALSE)=AB435,1,0)</f>
        <v>#N/A</v>
      </c>
      <c r="DO435" s="138" t="e">
        <f>IF(VLOOKUP(CONCATENATE(H435,F435,DO$2),Español!$A:$H,7,FALSE)=AC435,1,0)</f>
        <v>#N/A</v>
      </c>
      <c r="DP435" s="138" t="e">
        <f>IF(VLOOKUP(CONCATENATE(H435,F435,DP$2),Español!$A:$H,7,FALSE)=AD435,1,0)</f>
        <v>#N/A</v>
      </c>
      <c r="DQ435" s="138" t="e">
        <f>IF(VLOOKUP(CONCATENATE(H435,F435,DQ$2),Español!$A:$H,7,FALSE)=AE435,1,0)</f>
        <v>#N/A</v>
      </c>
      <c r="DR435" s="138" t="e">
        <f>IF(VLOOKUP(CONCATENATE(H435,F435,DR$2),Inglés!$A:$H,7,FALSE)=AF435,1,0)</f>
        <v>#N/A</v>
      </c>
      <c r="DS435" s="138" t="e">
        <f>IF(VLOOKUP(CONCATENATE(H435,F435,DS$2),Inglés!$A:$H,7,FALSE)=AG435,1,0)</f>
        <v>#N/A</v>
      </c>
      <c r="DT435" s="138" t="e">
        <f>IF(VLOOKUP(CONCATENATE(H435,F435,DT$2),Inglés!$A:$H,7,FALSE)=AH435,1,0)</f>
        <v>#N/A</v>
      </c>
      <c r="DU435" s="138" t="e">
        <f>IF(VLOOKUP(CONCATENATE(H435,F435,DU$2),Inglés!$A:$H,7,FALSE)=AI435,1,0)</f>
        <v>#N/A</v>
      </c>
      <c r="DV435" s="138" t="e">
        <f>IF(VLOOKUP(CONCATENATE(H435,F435,DV$2),Inglés!$A:$H,7,FALSE)=AJ435,1,0)</f>
        <v>#N/A</v>
      </c>
      <c r="DW435" s="138" t="e">
        <f>IF(VLOOKUP(CONCATENATE(H435,F435,DW$2),Inglés!$A:$H,7,FALSE)=AK435,1,0)</f>
        <v>#N/A</v>
      </c>
      <c r="DX435" s="138" t="e">
        <f>IF(VLOOKUP(CONCATENATE(H435,F435,DX$2),Inglés!$A:$H,7,FALSE)=AL435,1,0)</f>
        <v>#N/A</v>
      </c>
      <c r="DY435" s="138" t="e">
        <f>IF(VLOOKUP(CONCATENATE(H435,F435,DY$2),Inglés!$A:$H,7,FALSE)=AM435,1,0)</f>
        <v>#N/A</v>
      </c>
      <c r="DZ435" s="138" t="e">
        <f>IF(VLOOKUP(CONCATENATE(H435,F435,DZ$2),Inglés!$A:$H,7,FALSE)=AN435,1,0)</f>
        <v>#N/A</v>
      </c>
      <c r="EA435" s="138" t="e">
        <f>IF(VLOOKUP(CONCATENATE(H435,F435,EA$2),Inglés!$A:$H,7,FALSE)=AO435,1,0)</f>
        <v>#N/A</v>
      </c>
      <c r="EB435" s="138" t="e">
        <f>IF(VLOOKUP(CONCATENATE(H435,F435,EB$2),Matemáticas!$A:$H,7,FALSE)=AP435,1,0)</f>
        <v>#N/A</v>
      </c>
      <c r="EC435" s="138" t="e">
        <f>IF(VLOOKUP(CONCATENATE(H435,F435,EC$2),Matemáticas!$A:$H,7,FALSE)=AQ435,1,0)</f>
        <v>#N/A</v>
      </c>
      <c r="ED435" s="138" t="e">
        <f>IF(VLOOKUP(CONCATENATE(H435,F435,ED$2),Matemáticas!$A:$H,7,FALSE)=AR435,1,0)</f>
        <v>#N/A</v>
      </c>
      <c r="EE435" s="138" t="e">
        <f>IF(VLOOKUP(CONCATENATE(H435,F435,EE$2),Matemáticas!$A:$H,7,FALSE)=AS435,1,0)</f>
        <v>#N/A</v>
      </c>
      <c r="EF435" s="138" t="e">
        <f>IF(VLOOKUP(CONCATENATE(H435,F435,EF$2),Matemáticas!$A:$H,7,FALSE)=AT435,1,0)</f>
        <v>#N/A</v>
      </c>
      <c r="EG435" s="138" t="e">
        <f>IF(VLOOKUP(CONCATENATE(H435,F435,EG$2),Matemáticas!$A:$H,7,FALSE)=AU435,1,0)</f>
        <v>#N/A</v>
      </c>
      <c r="EH435" s="138" t="e">
        <f>IF(VLOOKUP(CONCATENATE(H435,F435,EH$2),Matemáticas!$A:$H,7,FALSE)=AV435,1,0)</f>
        <v>#N/A</v>
      </c>
      <c r="EI435" s="138" t="e">
        <f>IF(VLOOKUP(CONCATENATE(H435,F435,EI$2),Matemáticas!$A:$H,7,FALSE)=AW435,1,0)</f>
        <v>#N/A</v>
      </c>
      <c r="EJ435" s="138" t="e">
        <f>IF(VLOOKUP(CONCATENATE(H435,F435,EJ$2),Matemáticas!$A:$H,7,FALSE)=AX435,1,0)</f>
        <v>#N/A</v>
      </c>
      <c r="EK435" s="138" t="e">
        <f>IF(VLOOKUP(CONCATENATE(H435,F435,EK$2),Matemáticas!$A:$H,7,FALSE)=AY435,1,0)</f>
        <v>#N/A</v>
      </c>
      <c r="EL435" s="138" t="e">
        <f>IF(VLOOKUP(CONCATENATE(H435,F435,EL$2),Matemáticas!$A:$H,7,FALSE)=AZ435,1,0)</f>
        <v>#N/A</v>
      </c>
      <c r="EM435" s="138" t="e">
        <f>IF(VLOOKUP(CONCATENATE(H435,F435,EM$2),Matemáticas!$A:$H,7,FALSE)=BA435,1,0)</f>
        <v>#N/A</v>
      </c>
      <c r="EN435" s="138" t="e">
        <f>IF(VLOOKUP(CONCATENATE(H435,F435,EN$2),Matemáticas!$A:$H,7,FALSE)=BB435,1,0)</f>
        <v>#N/A</v>
      </c>
      <c r="EO435" s="138" t="e">
        <f>IF(VLOOKUP(CONCATENATE(H435,F435,EO$2),Matemáticas!$A:$H,7,FALSE)=BC435,1,0)</f>
        <v>#N/A</v>
      </c>
      <c r="EP435" s="138" t="e">
        <f>IF(VLOOKUP(CONCATENATE(H435,F435,EP$2),Matemáticas!$A:$H,7,FALSE)=BD435,1,0)</f>
        <v>#N/A</v>
      </c>
      <c r="EQ435" s="138" t="e">
        <f>IF(VLOOKUP(CONCATENATE(H435,F435,EQ$2),Matemáticas!$A:$H,7,FALSE)=BE435,1,0)</f>
        <v>#N/A</v>
      </c>
      <c r="ER435" s="138" t="e">
        <f>IF(VLOOKUP(CONCATENATE(H435,F435,ER$2),Matemáticas!$A:$H,7,FALSE)=BF435,1,0)</f>
        <v>#N/A</v>
      </c>
      <c r="ES435" s="138" t="e">
        <f>IF(VLOOKUP(CONCATENATE(H435,F435,ES$2),Matemáticas!$A:$H,7,FALSE)=BG435,1,0)</f>
        <v>#N/A</v>
      </c>
      <c r="ET435" s="138" t="e">
        <f>IF(VLOOKUP(CONCATENATE(H435,F435,ET$2),Matemáticas!$A:$H,7,FALSE)=BH435,1,0)</f>
        <v>#N/A</v>
      </c>
      <c r="EU435" s="138" t="e">
        <f>IF(VLOOKUP(CONCATENATE(H435,F435,EU$2),Matemáticas!$A:$H,7,FALSE)=BI435,1,0)</f>
        <v>#N/A</v>
      </c>
      <c r="EV435" s="138" t="e">
        <f>IF(VLOOKUP(CONCATENATE(H435,F435,EV$2),Ciencias!$A:$H,7,FALSE)=BJ435,1,0)</f>
        <v>#N/A</v>
      </c>
      <c r="EW435" s="138" t="e">
        <f>IF(VLOOKUP(CONCATENATE(H435,F435,EW$2),Ciencias!$A:$H,7,FALSE)=BK435,1,0)</f>
        <v>#N/A</v>
      </c>
      <c r="EX435" s="138" t="e">
        <f>IF(VLOOKUP(CONCATENATE(H435,F435,EX$2),Ciencias!$A:$H,7,FALSE)=BL435,1,0)</f>
        <v>#N/A</v>
      </c>
      <c r="EY435" s="138" t="e">
        <f>IF(VLOOKUP(CONCATENATE(H435,F435,EY$2),Ciencias!$A:$H,7,FALSE)=BM435,1,0)</f>
        <v>#N/A</v>
      </c>
      <c r="EZ435" s="138" t="e">
        <f>IF(VLOOKUP(CONCATENATE(H435,F435,EZ$2),Ciencias!$A:$H,7,FALSE)=BN435,1,0)</f>
        <v>#N/A</v>
      </c>
      <c r="FA435" s="138" t="e">
        <f>IF(VLOOKUP(CONCATENATE(H435,F435,FA$2),Ciencias!$A:$H,7,FALSE)=BO435,1,0)</f>
        <v>#N/A</v>
      </c>
      <c r="FB435" s="138" t="e">
        <f>IF(VLOOKUP(CONCATENATE(H435,F435,FB$2),Ciencias!$A:$H,7,FALSE)=BP435,1,0)</f>
        <v>#N/A</v>
      </c>
      <c r="FC435" s="138" t="e">
        <f>IF(VLOOKUP(CONCATENATE(H435,F435,FC$2),Ciencias!$A:$H,7,FALSE)=BQ435,1,0)</f>
        <v>#N/A</v>
      </c>
      <c r="FD435" s="138" t="e">
        <f>IF(VLOOKUP(CONCATENATE(H435,F435,FD$2),Ciencias!$A:$H,7,FALSE)=BR435,1,0)</f>
        <v>#N/A</v>
      </c>
      <c r="FE435" s="138" t="e">
        <f>IF(VLOOKUP(CONCATENATE(H435,F435,FE$2),Ciencias!$A:$H,7,FALSE)=BS435,1,0)</f>
        <v>#N/A</v>
      </c>
      <c r="FF435" s="138" t="e">
        <f>IF(VLOOKUP(CONCATENATE(H435,F435,FF$2),Ciencias!$A:$H,7,FALSE)=BT435,1,0)</f>
        <v>#N/A</v>
      </c>
      <c r="FG435" s="138" t="e">
        <f>IF(VLOOKUP(CONCATENATE(H435,F435,FG$2),Ciencias!$A:$H,7,FALSE)=BU435,1,0)</f>
        <v>#N/A</v>
      </c>
      <c r="FH435" s="138" t="e">
        <f>IF(VLOOKUP(CONCATENATE(H435,F435,FH$2),Ciencias!$A:$H,7,FALSE)=BV435,1,0)</f>
        <v>#N/A</v>
      </c>
      <c r="FI435" s="138" t="e">
        <f>IF(VLOOKUP(CONCATENATE(H435,F435,FI$2),Ciencias!$A:$H,7,FALSE)=BW435,1,0)</f>
        <v>#N/A</v>
      </c>
      <c r="FJ435" s="138" t="e">
        <f>IF(VLOOKUP(CONCATENATE(H435,F435,FJ$2),Ciencias!$A:$H,7,FALSE)=BX435,1,0)</f>
        <v>#N/A</v>
      </c>
      <c r="FK435" s="138" t="e">
        <f>IF(VLOOKUP(CONCATENATE(H435,F435,FK$2),Ciencias!$A:$H,7,FALSE)=BY435,1,0)</f>
        <v>#N/A</v>
      </c>
      <c r="FL435" s="138" t="e">
        <f>IF(VLOOKUP(CONCATENATE(H435,F435,FL$2),Ciencias!$A:$H,7,FALSE)=BZ435,1,0)</f>
        <v>#N/A</v>
      </c>
      <c r="FM435" s="138" t="e">
        <f>IF(VLOOKUP(CONCATENATE(H435,F435,FM$2),Ciencias!$A:$H,7,FALSE)=CA435,1,0)</f>
        <v>#N/A</v>
      </c>
      <c r="FN435" s="138" t="e">
        <f>IF(VLOOKUP(CONCATENATE(H435,F435,FN$2),Ciencias!$A:$H,7,FALSE)=CB435,1,0)</f>
        <v>#N/A</v>
      </c>
      <c r="FO435" s="138" t="e">
        <f>IF(VLOOKUP(CONCATENATE(H435,F435,FO$2),Ciencias!$A:$H,7,FALSE)=CC435,1,0)</f>
        <v>#N/A</v>
      </c>
      <c r="FP435" s="138" t="e">
        <f>IF(VLOOKUP(CONCATENATE(H435,F435,FP$2),GeoHis!$A:$H,7,FALSE)=CD435,1,0)</f>
        <v>#N/A</v>
      </c>
      <c r="FQ435" s="138" t="e">
        <f>IF(VLOOKUP(CONCATENATE(H435,F435,FQ$2),GeoHis!$A:$H,7,FALSE)=CE435,1,0)</f>
        <v>#N/A</v>
      </c>
      <c r="FR435" s="138" t="e">
        <f>IF(VLOOKUP(CONCATENATE(H435,F435,FR$2),GeoHis!$A:$H,7,FALSE)=CF435,1,0)</f>
        <v>#N/A</v>
      </c>
      <c r="FS435" s="138" t="e">
        <f>IF(VLOOKUP(CONCATENATE(H435,F435,FS$2),GeoHis!$A:$H,7,FALSE)=CG435,1,0)</f>
        <v>#N/A</v>
      </c>
      <c r="FT435" s="138" t="e">
        <f>IF(VLOOKUP(CONCATENATE(H435,F435,FT$2),GeoHis!$A:$H,7,FALSE)=CH435,1,0)</f>
        <v>#N/A</v>
      </c>
      <c r="FU435" s="138" t="e">
        <f>IF(VLOOKUP(CONCATENATE(H435,F435,FU$2),GeoHis!$A:$H,7,FALSE)=CI435,1,0)</f>
        <v>#N/A</v>
      </c>
      <c r="FV435" s="138" t="e">
        <f>IF(VLOOKUP(CONCATENATE(H435,F435,FV$2),GeoHis!$A:$H,7,FALSE)=CJ435,1,0)</f>
        <v>#N/A</v>
      </c>
      <c r="FW435" s="138" t="e">
        <f>IF(VLOOKUP(CONCATENATE(H435,F435,FW$2),GeoHis!$A:$H,7,FALSE)=CK435,1,0)</f>
        <v>#N/A</v>
      </c>
      <c r="FX435" s="138" t="e">
        <f>IF(VLOOKUP(CONCATENATE(H435,F435,FX$2),GeoHis!$A:$H,7,FALSE)=CL435,1,0)</f>
        <v>#N/A</v>
      </c>
      <c r="FY435" s="138" t="e">
        <f>IF(VLOOKUP(CONCATENATE(H435,F435,FY$2),GeoHis!$A:$H,7,FALSE)=CM435,1,0)</f>
        <v>#N/A</v>
      </c>
      <c r="FZ435" s="138" t="e">
        <f>IF(VLOOKUP(CONCATENATE(H435,F435,FZ$2),GeoHis!$A:$H,7,FALSE)=CN435,1,0)</f>
        <v>#N/A</v>
      </c>
      <c r="GA435" s="138" t="e">
        <f>IF(VLOOKUP(CONCATENATE(H435,F435,GA$2),GeoHis!$A:$H,7,FALSE)=CO435,1,0)</f>
        <v>#N/A</v>
      </c>
      <c r="GB435" s="138" t="e">
        <f>IF(VLOOKUP(CONCATENATE(H435,F435,GB$2),GeoHis!$A:$H,7,FALSE)=CP435,1,0)</f>
        <v>#N/A</v>
      </c>
      <c r="GC435" s="138" t="e">
        <f>IF(VLOOKUP(CONCATENATE(H435,F435,GC$2),GeoHis!$A:$H,7,FALSE)=CQ435,1,0)</f>
        <v>#N/A</v>
      </c>
      <c r="GD435" s="138" t="e">
        <f>IF(VLOOKUP(CONCATENATE(H435,F435,GD$2),GeoHis!$A:$H,7,FALSE)=CR435,1,0)</f>
        <v>#N/A</v>
      </c>
      <c r="GE435" s="135" t="str">
        <f t="shared" si="55"/>
        <v/>
      </c>
    </row>
    <row r="436" spans="1:187" x14ac:dyDescent="0.25">
      <c r="A436" s="127" t="str">
        <f>IF(C436="","",'Datos Generales'!$A$25)</f>
        <v/>
      </c>
      <c r="D436" s="126" t="str">
        <f t="shared" si="48"/>
        <v/>
      </c>
      <c r="E436" s="126">
        <f t="shared" si="49"/>
        <v>0</v>
      </c>
      <c r="F436" s="126" t="str">
        <f t="shared" si="50"/>
        <v/>
      </c>
      <c r="G436" s="126" t="str">
        <f>IF(C436="","",'Datos Generales'!$D$19)</f>
        <v/>
      </c>
      <c r="H436" s="21" t="str">
        <f>IF(C436="","",'Datos Generales'!$A$19)</f>
        <v/>
      </c>
      <c r="I436" s="126" t="str">
        <f>IF(C436="","",'Datos Generales'!$A$7)</f>
        <v/>
      </c>
      <c r="J436" s="21" t="str">
        <f>IF(C436="","",'Datos Generales'!$A$13)</f>
        <v/>
      </c>
      <c r="K436" s="21" t="str">
        <f>IF(C436="","",'Datos Generales'!$A$10)</f>
        <v/>
      </c>
      <c r="CS436" s="142" t="str">
        <f t="shared" si="51"/>
        <v/>
      </c>
      <c r="CT436" s="142" t="str">
        <f t="shared" si="52"/>
        <v/>
      </c>
      <c r="CU436" s="142" t="str">
        <f t="shared" si="53"/>
        <v/>
      </c>
      <c r="CV436" s="142" t="str">
        <f t="shared" si="54"/>
        <v/>
      </c>
      <c r="CW436" s="142" t="str">
        <f>IF(C436="","",IF('Datos Generales'!$A$19=1,AVERAGE(FP436:GD436),AVERAGE(Captura!FP436:FY436)))</f>
        <v/>
      </c>
      <c r="CX436" s="138" t="e">
        <f>IF(VLOOKUP(CONCATENATE($H$4,$F$4,CX$2),Español!$A:$H,7,FALSE)=L436,1,0)</f>
        <v>#N/A</v>
      </c>
      <c r="CY436" s="138" t="e">
        <f>IF(VLOOKUP(CONCATENATE(H436,F436,CY$2),Español!$A:$H,7,FALSE)=M436,1,0)</f>
        <v>#N/A</v>
      </c>
      <c r="CZ436" s="138" t="e">
        <f>IF(VLOOKUP(CONCATENATE(H436,F436,CZ$2),Español!$A:$H,7,FALSE)=N436,1,0)</f>
        <v>#N/A</v>
      </c>
      <c r="DA436" s="138" t="e">
        <f>IF(VLOOKUP(CONCATENATE(H436,F436,DA$2),Español!$A:$H,7,FALSE)=O436,1,0)</f>
        <v>#N/A</v>
      </c>
      <c r="DB436" s="138" t="e">
        <f>IF(VLOOKUP(CONCATENATE(H436,F436,DB$2),Español!$A:$H,7,FALSE)=P436,1,0)</f>
        <v>#N/A</v>
      </c>
      <c r="DC436" s="138" t="e">
        <f>IF(VLOOKUP(CONCATENATE(H436,F436,DC$2),Español!$A:$H,7,FALSE)=Q436,1,0)</f>
        <v>#N/A</v>
      </c>
      <c r="DD436" s="138" t="e">
        <f>IF(VLOOKUP(CONCATENATE(H436,F436,DD$2),Español!$A:$H,7,FALSE)=R436,1,0)</f>
        <v>#N/A</v>
      </c>
      <c r="DE436" s="138" t="e">
        <f>IF(VLOOKUP(CONCATENATE(H436,F436,DE$2),Español!$A:$H,7,FALSE)=S436,1,0)</f>
        <v>#N/A</v>
      </c>
      <c r="DF436" s="138" t="e">
        <f>IF(VLOOKUP(CONCATENATE(H436,F436,DF$2),Español!$A:$H,7,FALSE)=T436,1,0)</f>
        <v>#N/A</v>
      </c>
      <c r="DG436" s="138" t="e">
        <f>IF(VLOOKUP(CONCATENATE(H436,F436,DG$2),Español!$A:$H,7,FALSE)=U436,1,0)</f>
        <v>#N/A</v>
      </c>
      <c r="DH436" s="138" t="e">
        <f>IF(VLOOKUP(CONCATENATE(H436,F436,DH$2),Español!$A:$H,7,FALSE)=V436,1,0)</f>
        <v>#N/A</v>
      </c>
      <c r="DI436" s="138" t="e">
        <f>IF(VLOOKUP(CONCATENATE(H436,F436,DI$2),Español!$A:$H,7,FALSE)=W436,1,0)</f>
        <v>#N/A</v>
      </c>
      <c r="DJ436" s="138" t="e">
        <f>IF(VLOOKUP(CONCATENATE(H436,F436,DJ$2),Español!$A:$H,7,FALSE)=X436,1,0)</f>
        <v>#N/A</v>
      </c>
      <c r="DK436" s="138" t="e">
        <f>IF(VLOOKUP(CONCATENATE(H436,F436,DK$2),Español!$A:$H,7,FALSE)=Y436,1,0)</f>
        <v>#N/A</v>
      </c>
      <c r="DL436" s="138" t="e">
        <f>IF(VLOOKUP(CONCATENATE(H436,F436,DL$2),Español!$A:$H,7,FALSE)=Z436,1,0)</f>
        <v>#N/A</v>
      </c>
      <c r="DM436" s="138" t="e">
        <f>IF(VLOOKUP(CONCATENATE(H436,F436,DM$2),Español!$A:$H,7,FALSE)=AA436,1,0)</f>
        <v>#N/A</v>
      </c>
      <c r="DN436" s="138" t="e">
        <f>IF(VLOOKUP(CONCATENATE(H436,F436,DN$2),Español!$A:$H,7,FALSE)=AB436,1,0)</f>
        <v>#N/A</v>
      </c>
      <c r="DO436" s="138" t="e">
        <f>IF(VLOOKUP(CONCATENATE(H436,F436,DO$2),Español!$A:$H,7,FALSE)=AC436,1,0)</f>
        <v>#N/A</v>
      </c>
      <c r="DP436" s="138" t="e">
        <f>IF(VLOOKUP(CONCATENATE(H436,F436,DP$2),Español!$A:$H,7,FALSE)=AD436,1,0)</f>
        <v>#N/A</v>
      </c>
      <c r="DQ436" s="138" t="e">
        <f>IF(VLOOKUP(CONCATENATE(H436,F436,DQ$2),Español!$A:$H,7,FALSE)=AE436,1,0)</f>
        <v>#N/A</v>
      </c>
      <c r="DR436" s="138" t="e">
        <f>IF(VLOOKUP(CONCATENATE(H436,F436,DR$2),Inglés!$A:$H,7,FALSE)=AF436,1,0)</f>
        <v>#N/A</v>
      </c>
      <c r="DS436" s="138" t="e">
        <f>IF(VLOOKUP(CONCATENATE(H436,F436,DS$2),Inglés!$A:$H,7,FALSE)=AG436,1,0)</f>
        <v>#N/A</v>
      </c>
      <c r="DT436" s="138" t="e">
        <f>IF(VLOOKUP(CONCATENATE(H436,F436,DT$2),Inglés!$A:$H,7,FALSE)=AH436,1,0)</f>
        <v>#N/A</v>
      </c>
      <c r="DU436" s="138" t="e">
        <f>IF(VLOOKUP(CONCATENATE(H436,F436,DU$2),Inglés!$A:$H,7,FALSE)=AI436,1,0)</f>
        <v>#N/A</v>
      </c>
      <c r="DV436" s="138" t="e">
        <f>IF(VLOOKUP(CONCATENATE(H436,F436,DV$2),Inglés!$A:$H,7,FALSE)=AJ436,1,0)</f>
        <v>#N/A</v>
      </c>
      <c r="DW436" s="138" t="e">
        <f>IF(VLOOKUP(CONCATENATE(H436,F436,DW$2),Inglés!$A:$H,7,FALSE)=AK436,1,0)</f>
        <v>#N/A</v>
      </c>
      <c r="DX436" s="138" t="e">
        <f>IF(VLOOKUP(CONCATENATE(H436,F436,DX$2),Inglés!$A:$H,7,FALSE)=AL436,1,0)</f>
        <v>#N/A</v>
      </c>
      <c r="DY436" s="138" t="e">
        <f>IF(VLOOKUP(CONCATENATE(H436,F436,DY$2),Inglés!$A:$H,7,FALSE)=AM436,1,0)</f>
        <v>#N/A</v>
      </c>
      <c r="DZ436" s="138" t="e">
        <f>IF(VLOOKUP(CONCATENATE(H436,F436,DZ$2),Inglés!$A:$H,7,FALSE)=AN436,1,0)</f>
        <v>#N/A</v>
      </c>
      <c r="EA436" s="138" t="e">
        <f>IF(VLOOKUP(CONCATENATE(H436,F436,EA$2),Inglés!$A:$H,7,FALSE)=AO436,1,0)</f>
        <v>#N/A</v>
      </c>
      <c r="EB436" s="138" t="e">
        <f>IF(VLOOKUP(CONCATENATE(H436,F436,EB$2),Matemáticas!$A:$H,7,FALSE)=AP436,1,0)</f>
        <v>#N/A</v>
      </c>
      <c r="EC436" s="138" t="e">
        <f>IF(VLOOKUP(CONCATENATE(H436,F436,EC$2),Matemáticas!$A:$H,7,FALSE)=AQ436,1,0)</f>
        <v>#N/A</v>
      </c>
      <c r="ED436" s="138" t="e">
        <f>IF(VLOOKUP(CONCATENATE(H436,F436,ED$2),Matemáticas!$A:$H,7,FALSE)=AR436,1,0)</f>
        <v>#N/A</v>
      </c>
      <c r="EE436" s="138" t="e">
        <f>IF(VLOOKUP(CONCATENATE(H436,F436,EE$2),Matemáticas!$A:$H,7,FALSE)=AS436,1,0)</f>
        <v>#N/A</v>
      </c>
      <c r="EF436" s="138" t="e">
        <f>IF(VLOOKUP(CONCATENATE(H436,F436,EF$2),Matemáticas!$A:$H,7,FALSE)=AT436,1,0)</f>
        <v>#N/A</v>
      </c>
      <c r="EG436" s="138" t="e">
        <f>IF(VLOOKUP(CONCATENATE(H436,F436,EG$2),Matemáticas!$A:$H,7,FALSE)=AU436,1,0)</f>
        <v>#N/A</v>
      </c>
      <c r="EH436" s="138" t="e">
        <f>IF(VLOOKUP(CONCATENATE(H436,F436,EH$2),Matemáticas!$A:$H,7,FALSE)=AV436,1,0)</f>
        <v>#N/A</v>
      </c>
      <c r="EI436" s="138" t="e">
        <f>IF(VLOOKUP(CONCATENATE(H436,F436,EI$2),Matemáticas!$A:$H,7,FALSE)=AW436,1,0)</f>
        <v>#N/A</v>
      </c>
      <c r="EJ436" s="138" t="e">
        <f>IF(VLOOKUP(CONCATENATE(H436,F436,EJ$2),Matemáticas!$A:$H,7,FALSE)=AX436,1,0)</f>
        <v>#N/A</v>
      </c>
      <c r="EK436" s="138" t="e">
        <f>IF(VLOOKUP(CONCATENATE(H436,F436,EK$2),Matemáticas!$A:$H,7,FALSE)=AY436,1,0)</f>
        <v>#N/A</v>
      </c>
      <c r="EL436" s="138" t="e">
        <f>IF(VLOOKUP(CONCATENATE(H436,F436,EL$2),Matemáticas!$A:$H,7,FALSE)=AZ436,1,0)</f>
        <v>#N/A</v>
      </c>
      <c r="EM436" s="138" t="e">
        <f>IF(VLOOKUP(CONCATENATE(H436,F436,EM$2),Matemáticas!$A:$H,7,FALSE)=BA436,1,0)</f>
        <v>#N/A</v>
      </c>
      <c r="EN436" s="138" t="e">
        <f>IF(VLOOKUP(CONCATENATE(H436,F436,EN$2),Matemáticas!$A:$H,7,FALSE)=BB436,1,0)</f>
        <v>#N/A</v>
      </c>
      <c r="EO436" s="138" t="e">
        <f>IF(VLOOKUP(CONCATENATE(H436,F436,EO$2),Matemáticas!$A:$H,7,FALSE)=BC436,1,0)</f>
        <v>#N/A</v>
      </c>
      <c r="EP436" s="138" t="e">
        <f>IF(VLOOKUP(CONCATENATE(H436,F436,EP$2),Matemáticas!$A:$H,7,FALSE)=BD436,1,0)</f>
        <v>#N/A</v>
      </c>
      <c r="EQ436" s="138" t="e">
        <f>IF(VLOOKUP(CONCATENATE(H436,F436,EQ$2),Matemáticas!$A:$H,7,FALSE)=BE436,1,0)</f>
        <v>#N/A</v>
      </c>
      <c r="ER436" s="138" t="e">
        <f>IF(VLOOKUP(CONCATENATE(H436,F436,ER$2),Matemáticas!$A:$H,7,FALSE)=BF436,1,0)</f>
        <v>#N/A</v>
      </c>
      <c r="ES436" s="138" t="e">
        <f>IF(VLOOKUP(CONCATENATE(H436,F436,ES$2),Matemáticas!$A:$H,7,FALSE)=BG436,1,0)</f>
        <v>#N/A</v>
      </c>
      <c r="ET436" s="138" t="e">
        <f>IF(VLOOKUP(CONCATENATE(H436,F436,ET$2),Matemáticas!$A:$H,7,FALSE)=BH436,1,0)</f>
        <v>#N/A</v>
      </c>
      <c r="EU436" s="138" t="e">
        <f>IF(VLOOKUP(CONCATENATE(H436,F436,EU$2),Matemáticas!$A:$H,7,FALSE)=BI436,1,0)</f>
        <v>#N/A</v>
      </c>
      <c r="EV436" s="138" t="e">
        <f>IF(VLOOKUP(CONCATENATE(H436,F436,EV$2),Ciencias!$A:$H,7,FALSE)=BJ436,1,0)</f>
        <v>#N/A</v>
      </c>
      <c r="EW436" s="138" t="e">
        <f>IF(VLOOKUP(CONCATENATE(H436,F436,EW$2),Ciencias!$A:$H,7,FALSE)=BK436,1,0)</f>
        <v>#N/A</v>
      </c>
      <c r="EX436" s="138" t="e">
        <f>IF(VLOOKUP(CONCATENATE(H436,F436,EX$2),Ciencias!$A:$H,7,FALSE)=BL436,1,0)</f>
        <v>#N/A</v>
      </c>
      <c r="EY436" s="138" t="e">
        <f>IF(VLOOKUP(CONCATENATE(H436,F436,EY$2),Ciencias!$A:$H,7,FALSE)=BM436,1,0)</f>
        <v>#N/A</v>
      </c>
      <c r="EZ436" s="138" t="e">
        <f>IF(VLOOKUP(CONCATENATE(H436,F436,EZ$2),Ciencias!$A:$H,7,FALSE)=BN436,1,0)</f>
        <v>#N/A</v>
      </c>
      <c r="FA436" s="138" t="e">
        <f>IF(VLOOKUP(CONCATENATE(H436,F436,FA$2),Ciencias!$A:$H,7,FALSE)=BO436,1,0)</f>
        <v>#N/A</v>
      </c>
      <c r="FB436" s="138" t="e">
        <f>IF(VLOOKUP(CONCATENATE(H436,F436,FB$2),Ciencias!$A:$H,7,FALSE)=BP436,1,0)</f>
        <v>#N/A</v>
      </c>
      <c r="FC436" s="138" t="e">
        <f>IF(VLOOKUP(CONCATENATE(H436,F436,FC$2),Ciencias!$A:$H,7,FALSE)=BQ436,1,0)</f>
        <v>#N/A</v>
      </c>
      <c r="FD436" s="138" t="e">
        <f>IF(VLOOKUP(CONCATENATE(H436,F436,FD$2),Ciencias!$A:$H,7,FALSE)=BR436,1,0)</f>
        <v>#N/A</v>
      </c>
      <c r="FE436" s="138" t="e">
        <f>IF(VLOOKUP(CONCATENATE(H436,F436,FE$2),Ciencias!$A:$H,7,FALSE)=BS436,1,0)</f>
        <v>#N/A</v>
      </c>
      <c r="FF436" s="138" t="e">
        <f>IF(VLOOKUP(CONCATENATE(H436,F436,FF$2),Ciencias!$A:$H,7,FALSE)=BT436,1,0)</f>
        <v>#N/A</v>
      </c>
      <c r="FG436" s="138" t="e">
        <f>IF(VLOOKUP(CONCATENATE(H436,F436,FG$2),Ciencias!$A:$H,7,FALSE)=BU436,1,0)</f>
        <v>#N/A</v>
      </c>
      <c r="FH436" s="138" t="e">
        <f>IF(VLOOKUP(CONCATENATE(H436,F436,FH$2),Ciencias!$A:$H,7,FALSE)=BV436,1,0)</f>
        <v>#N/A</v>
      </c>
      <c r="FI436" s="138" t="e">
        <f>IF(VLOOKUP(CONCATENATE(H436,F436,FI$2),Ciencias!$A:$H,7,FALSE)=BW436,1,0)</f>
        <v>#N/A</v>
      </c>
      <c r="FJ436" s="138" t="e">
        <f>IF(VLOOKUP(CONCATENATE(H436,F436,FJ$2),Ciencias!$A:$H,7,FALSE)=BX436,1,0)</f>
        <v>#N/A</v>
      </c>
      <c r="FK436" s="138" t="e">
        <f>IF(VLOOKUP(CONCATENATE(H436,F436,FK$2),Ciencias!$A:$H,7,FALSE)=BY436,1,0)</f>
        <v>#N/A</v>
      </c>
      <c r="FL436" s="138" t="e">
        <f>IF(VLOOKUP(CONCATENATE(H436,F436,FL$2),Ciencias!$A:$H,7,FALSE)=BZ436,1,0)</f>
        <v>#N/A</v>
      </c>
      <c r="FM436" s="138" t="e">
        <f>IF(VLOOKUP(CONCATENATE(H436,F436,FM$2),Ciencias!$A:$H,7,FALSE)=CA436,1,0)</f>
        <v>#N/A</v>
      </c>
      <c r="FN436" s="138" t="e">
        <f>IF(VLOOKUP(CONCATENATE(H436,F436,FN$2),Ciencias!$A:$H,7,FALSE)=CB436,1,0)</f>
        <v>#N/A</v>
      </c>
      <c r="FO436" s="138" t="e">
        <f>IF(VLOOKUP(CONCATENATE(H436,F436,FO$2),Ciencias!$A:$H,7,FALSE)=CC436,1,0)</f>
        <v>#N/A</v>
      </c>
      <c r="FP436" s="138" t="e">
        <f>IF(VLOOKUP(CONCATENATE(H436,F436,FP$2),GeoHis!$A:$H,7,FALSE)=CD436,1,0)</f>
        <v>#N/A</v>
      </c>
      <c r="FQ436" s="138" t="e">
        <f>IF(VLOOKUP(CONCATENATE(H436,F436,FQ$2),GeoHis!$A:$H,7,FALSE)=CE436,1,0)</f>
        <v>#N/A</v>
      </c>
      <c r="FR436" s="138" t="e">
        <f>IF(VLOOKUP(CONCATENATE(H436,F436,FR$2),GeoHis!$A:$H,7,FALSE)=CF436,1,0)</f>
        <v>#N/A</v>
      </c>
      <c r="FS436" s="138" t="e">
        <f>IF(VLOOKUP(CONCATENATE(H436,F436,FS$2),GeoHis!$A:$H,7,FALSE)=CG436,1,0)</f>
        <v>#N/A</v>
      </c>
      <c r="FT436" s="138" t="e">
        <f>IF(VLOOKUP(CONCATENATE(H436,F436,FT$2),GeoHis!$A:$H,7,FALSE)=CH436,1,0)</f>
        <v>#N/A</v>
      </c>
      <c r="FU436" s="138" t="e">
        <f>IF(VLOOKUP(CONCATENATE(H436,F436,FU$2),GeoHis!$A:$H,7,FALSE)=CI436,1,0)</f>
        <v>#N/A</v>
      </c>
      <c r="FV436" s="138" t="e">
        <f>IF(VLOOKUP(CONCATENATE(H436,F436,FV$2),GeoHis!$A:$H,7,FALSE)=CJ436,1,0)</f>
        <v>#N/A</v>
      </c>
      <c r="FW436" s="138" t="e">
        <f>IF(VLOOKUP(CONCATENATE(H436,F436,FW$2),GeoHis!$A:$H,7,FALSE)=CK436,1,0)</f>
        <v>#N/A</v>
      </c>
      <c r="FX436" s="138" t="e">
        <f>IF(VLOOKUP(CONCATENATE(H436,F436,FX$2),GeoHis!$A:$H,7,FALSE)=CL436,1,0)</f>
        <v>#N/A</v>
      </c>
      <c r="FY436" s="138" t="e">
        <f>IF(VLOOKUP(CONCATENATE(H436,F436,FY$2),GeoHis!$A:$H,7,FALSE)=CM436,1,0)</f>
        <v>#N/A</v>
      </c>
      <c r="FZ436" s="138" t="e">
        <f>IF(VLOOKUP(CONCATENATE(H436,F436,FZ$2),GeoHis!$A:$H,7,FALSE)=CN436,1,0)</f>
        <v>#N/A</v>
      </c>
      <c r="GA436" s="138" t="e">
        <f>IF(VLOOKUP(CONCATENATE(H436,F436,GA$2),GeoHis!$A:$H,7,FALSE)=CO436,1,0)</f>
        <v>#N/A</v>
      </c>
      <c r="GB436" s="138" t="e">
        <f>IF(VLOOKUP(CONCATENATE(H436,F436,GB$2),GeoHis!$A:$H,7,FALSE)=CP436,1,0)</f>
        <v>#N/A</v>
      </c>
      <c r="GC436" s="138" t="e">
        <f>IF(VLOOKUP(CONCATENATE(H436,F436,GC$2),GeoHis!$A:$H,7,FALSE)=CQ436,1,0)</f>
        <v>#N/A</v>
      </c>
      <c r="GD436" s="138" t="e">
        <f>IF(VLOOKUP(CONCATENATE(H436,F436,GD$2),GeoHis!$A:$H,7,FALSE)=CR436,1,0)</f>
        <v>#N/A</v>
      </c>
      <c r="GE436" s="135" t="str">
        <f t="shared" si="55"/>
        <v/>
      </c>
    </row>
    <row r="437" spans="1:187" x14ac:dyDescent="0.25">
      <c r="A437" s="127" t="str">
        <f>IF(C437="","",'Datos Generales'!$A$25)</f>
        <v/>
      </c>
      <c r="D437" s="126" t="str">
        <f t="shared" si="48"/>
        <v/>
      </c>
      <c r="E437" s="126">
        <f t="shared" si="49"/>
        <v>0</v>
      </c>
      <c r="F437" s="126" t="str">
        <f t="shared" si="50"/>
        <v/>
      </c>
      <c r="G437" s="126" t="str">
        <f>IF(C437="","",'Datos Generales'!$D$19)</f>
        <v/>
      </c>
      <c r="H437" s="21" t="str">
        <f>IF(C437="","",'Datos Generales'!$A$19)</f>
        <v/>
      </c>
      <c r="I437" s="126" t="str">
        <f>IF(C437="","",'Datos Generales'!$A$7)</f>
        <v/>
      </c>
      <c r="J437" s="21" t="str">
        <f>IF(C437="","",'Datos Generales'!$A$13)</f>
        <v/>
      </c>
      <c r="K437" s="21" t="str">
        <f>IF(C437="","",'Datos Generales'!$A$10)</f>
        <v/>
      </c>
      <c r="CS437" s="142" t="str">
        <f t="shared" si="51"/>
        <v/>
      </c>
      <c r="CT437" s="142" t="str">
        <f t="shared" si="52"/>
        <v/>
      </c>
      <c r="CU437" s="142" t="str">
        <f t="shared" si="53"/>
        <v/>
      </c>
      <c r="CV437" s="142" t="str">
        <f t="shared" si="54"/>
        <v/>
      </c>
      <c r="CW437" s="142" t="str">
        <f>IF(C437="","",IF('Datos Generales'!$A$19=1,AVERAGE(FP437:GD437),AVERAGE(Captura!FP437:FY437)))</f>
        <v/>
      </c>
      <c r="CX437" s="138" t="e">
        <f>IF(VLOOKUP(CONCATENATE($H$4,$F$4,CX$2),Español!$A:$H,7,FALSE)=L437,1,0)</f>
        <v>#N/A</v>
      </c>
      <c r="CY437" s="138" t="e">
        <f>IF(VLOOKUP(CONCATENATE(H437,F437,CY$2),Español!$A:$H,7,FALSE)=M437,1,0)</f>
        <v>#N/A</v>
      </c>
      <c r="CZ437" s="138" t="e">
        <f>IF(VLOOKUP(CONCATENATE(H437,F437,CZ$2),Español!$A:$H,7,FALSE)=N437,1,0)</f>
        <v>#N/A</v>
      </c>
      <c r="DA437" s="138" t="e">
        <f>IF(VLOOKUP(CONCATENATE(H437,F437,DA$2),Español!$A:$H,7,FALSE)=O437,1,0)</f>
        <v>#N/A</v>
      </c>
      <c r="DB437" s="138" t="e">
        <f>IF(VLOOKUP(CONCATENATE(H437,F437,DB$2),Español!$A:$H,7,FALSE)=P437,1,0)</f>
        <v>#N/A</v>
      </c>
      <c r="DC437" s="138" t="e">
        <f>IF(VLOOKUP(CONCATENATE(H437,F437,DC$2),Español!$A:$H,7,FALSE)=Q437,1,0)</f>
        <v>#N/A</v>
      </c>
      <c r="DD437" s="138" t="e">
        <f>IF(VLOOKUP(CONCATENATE(H437,F437,DD$2),Español!$A:$H,7,FALSE)=R437,1,0)</f>
        <v>#N/A</v>
      </c>
      <c r="DE437" s="138" t="e">
        <f>IF(VLOOKUP(CONCATENATE(H437,F437,DE$2),Español!$A:$H,7,FALSE)=S437,1,0)</f>
        <v>#N/A</v>
      </c>
      <c r="DF437" s="138" t="e">
        <f>IF(VLOOKUP(CONCATENATE(H437,F437,DF$2),Español!$A:$H,7,FALSE)=T437,1,0)</f>
        <v>#N/A</v>
      </c>
      <c r="DG437" s="138" t="e">
        <f>IF(VLOOKUP(CONCATENATE(H437,F437,DG$2),Español!$A:$H,7,FALSE)=U437,1,0)</f>
        <v>#N/A</v>
      </c>
      <c r="DH437" s="138" t="e">
        <f>IF(VLOOKUP(CONCATENATE(H437,F437,DH$2),Español!$A:$H,7,FALSE)=V437,1,0)</f>
        <v>#N/A</v>
      </c>
      <c r="DI437" s="138" t="e">
        <f>IF(VLOOKUP(CONCATENATE(H437,F437,DI$2),Español!$A:$H,7,FALSE)=W437,1,0)</f>
        <v>#N/A</v>
      </c>
      <c r="DJ437" s="138" t="e">
        <f>IF(VLOOKUP(CONCATENATE(H437,F437,DJ$2),Español!$A:$H,7,FALSE)=X437,1,0)</f>
        <v>#N/A</v>
      </c>
      <c r="DK437" s="138" t="e">
        <f>IF(VLOOKUP(CONCATENATE(H437,F437,DK$2),Español!$A:$H,7,FALSE)=Y437,1,0)</f>
        <v>#N/A</v>
      </c>
      <c r="DL437" s="138" t="e">
        <f>IF(VLOOKUP(CONCATENATE(H437,F437,DL$2),Español!$A:$H,7,FALSE)=Z437,1,0)</f>
        <v>#N/A</v>
      </c>
      <c r="DM437" s="138" t="e">
        <f>IF(VLOOKUP(CONCATENATE(H437,F437,DM$2),Español!$A:$H,7,FALSE)=AA437,1,0)</f>
        <v>#N/A</v>
      </c>
      <c r="DN437" s="138" t="e">
        <f>IF(VLOOKUP(CONCATENATE(H437,F437,DN$2),Español!$A:$H,7,FALSE)=AB437,1,0)</f>
        <v>#N/A</v>
      </c>
      <c r="DO437" s="138" t="e">
        <f>IF(VLOOKUP(CONCATENATE(H437,F437,DO$2),Español!$A:$H,7,FALSE)=AC437,1,0)</f>
        <v>#N/A</v>
      </c>
      <c r="DP437" s="138" t="e">
        <f>IF(VLOOKUP(CONCATENATE(H437,F437,DP$2),Español!$A:$H,7,FALSE)=AD437,1,0)</f>
        <v>#N/A</v>
      </c>
      <c r="DQ437" s="138" t="e">
        <f>IF(VLOOKUP(CONCATENATE(H437,F437,DQ$2),Español!$A:$H,7,FALSE)=AE437,1,0)</f>
        <v>#N/A</v>
      </c>
      <c r="DR437" s="138" t="e">
        <f>IF(VLOOKUP(CONCATENATE(H437,F437,DR$2),Inglés!$A:$H,7,FALSE)=AF437,1,0)</f>
        <v>#N/A</v>
      </c>
      <c r="DS437" s="138" t="e">
        <f>IF(VLOOKUP(CONCATENATE(H437,F437,DS$2),Inglés!$A:$H,7,FALSE)=AG437,1,0)</f>
        <v>#N/A</v>
      </c>
      <c r="DT437" s="138" t="e">
        <f>IF(VLOOKUP(CONCATENATE(H437,F437,DT$2),Inglés!$A:$H,7,FALSE)=AH437,1,0)</f>
        <v>#N/A</v>
      </c>
      <c r="DU437" s="138" t="e">
        <f>IF(VLOOKUP(CONCATENATE(H437,F437,DU$2),Inglés!$A:$H,7,FALSE)=AI437,1,0)</f>
        <v>#N/A</v>
      </c>
      <c r="DV437" s="138" t="e">
        <f>IF(VLOOKUP(CONCATENATE(H437,F437,DV$2),Inglés!$A:$H,7,FALSE)=AJ437,1,0)</f>
        <v>#N/A</v>
      </c>
      <c r="DW437" s="138" t="e">
        <f>IF(VLOOKUP(CONCATENATE(H437,F437,DW$2),Inglés!$A:$H,7,FALSE)=AK437,1,0)</f>
        <v>#N/A</v>
      </c>
      <c r="DX437" s="138" t="e">
        <f>IF(VLOOKUP(CONCATENATE(H437,F437,DX$2),Inglés!$A:$H,7,FALSE)=AL437,1,0)</f>
        <v>#N/A</v>
      </c>
      <c r="DY437" s="138" t="e">
        <f>IF(VLOOKUP(CONCATENATE(H437,F437,DY$2),Inglés!$A:$H,7,FALSE)=AM437,1,0)</f>
        <v>#N/A</v>
      </c>
      <c r="DZ437" s="138" t="e">
        <f>IF(VLOOKUP(CONCATENATE(H437,F437,DZ$2),Inglés!$A:$H,7,FALSE)=AN437,1,0)</f>
        <v>#N/A</v>
      </c>
      <c r="EA437" s="138" t="e">
        <f>IF(VLOOKUP(CONCATENATE(H437,F437,EA$2),Inglés!$A:$H,7,FALSE)=AO437,1,0)</f>
        <v>#N/A</v>
      </c>
      <c r="EB437" s="138" t="e">
        <f>IF(VLOOKUP(CONCATENATE(H437,F437,EB$2),Matemáticas!$A:$H,7,FALSE)=AP437,1,0)</f>
        <v>#N/A</v>
      </c>
      <c r="EC437" s="138" t="e">
        <f>IF(VLOOKUP(CONCATENATE(H437,F437,EC$2),Matemáticas!$A:$H,7,FALSE)=AQ437,1,0)</f>
        <v>#N/A</v>
      </c>
      <c r="ED437" s="138" t="e">
        <f>IF(VLOOKUP(CONCATENATE(H437,F437,ED$2),Matemáticas!$A:$H,7,FALSE)=AR437,1,0)</f>
        <v>#N/A</v>
      </c>
      <c r="EE437" s="138" t="e">
        <f>IF(VLOOKUP(CONCATENATE(H437,F437,EE$2),Matemáticas!$A:$H,7,FALSE)=AS437,1,0)</f>
        <v>#N/A</v>
      </c>
      <c r="EF437" s="138" t="e">
        <f>IF(VLOOKUP(CONCATENATE(H437,F437,EF$2),Matemáticas!$A:$H,7,FALSE)=AT437,1,0)</f>
        <v>#N/A</v>
      </c>
      <c r="EG437" s="138" t="e">
        <f>IF(VLOOKUP(CONCATENATE(H437,F437,EG$2),Matemáticas!$A:$H,7,FALSE)=AU437,1,0)</f>
        <v>#N/A</v>
      </c>
      <c r="EH437" s="138" t="e">
        <f>IF(VLOOKUP(CONCATENATE(H437,F437,EH$2),Matemáticas!$A:$H,7,FALSE)=AV437,1,0)</f>
        <v>#N/A</v>
      </c>
      <c r="EI437" s="138" t="e">
        <f>IF(VLOOKUP(CONCATENATE(H437,F437,EI$2),Matemáticas!$A:$H,7,FALSE)=AW437,1,0)</f>
        <v>#N/A</v>
      </c>
      <c r="EJ437" s="138" t="e">
        <f>IF(VLOOKUP(CONCATENATE(H437,F437,EJ$2),Matemáticas!$A:$H,7,FALSE)=AX437,1,0)</f>
        <v>#N/A</v>
      </c>
      <c r="EK437" s="138" t="e">
        <f>IF(VLOOKUP(CONCATENATE(H437,F437,EK$2),Matemáticas!$A:$H,7,FALSE)=AY437,1,0)</f>
        <v>#N/A</v>
      </c>
      <c r="EL437" s="138" t="e">
        <f>IF(VLOOKUP(CONCATENATE(H437,F437,EL$2),Matemáticas!$A:$H,7,FALSE)=AZ437,1,0)</f>
        <v>#N/A</v>
      </c>
      <c r="EM437" s="138" t="e">
        <f>IF(VLOOKUP(CONCATENATE(H437,F437,EM$2),Matemáticas!$A:$H,7,FALSE)=BA437,1,0)</f>
        <v>#N/A</v>
      </c>
      <c r="EN437" s="138" t="e">
        <f>IF(VLOOKUP(CONCATENATE(H437,F437,EN$2),Matemáticas!$A:$H,7,FALSE)=BB437,1,0)</f>
        <v>#N/A</v>
      </c>
      <c r="EO437" s="138" t="e">
        <f>IF(VLOOKUP(CONCATENATE(H437,F437,EO$2),Matemáticas!$A:$H,7,FALSE)=BC437,1,0)</f>
        <v>#N/A</v>
      </c>
      <c r="EP437" s="138" t="e">
        <f>IF(VLOOKUP(CONCATENATE(H437,F437,EP$2),Matemáticas!$A:$H,7,FALSE)=BD437,1,0)</f>
        <v>#N/A</v>
      </c>
      <c r="EQ437" s="138" t="e">
        <f>IF(VLOOKUP(CONCATENATE(H437,F437,EQ$2),Matemáticas!$A:$H,7,FALSE)=BE437,1,0)</f>
        <v>#N/A</v>
      </c>
      <c r="ER437" s="138" t="e">
        <f>IF(VLOOKUP(CONCATENATE(H437,F437,ER$2),Matemáticas!$A:$H,7,FALSE)=BF437,1,0)</f>
        <v>#N/A</v>
      </c>
      <c r="ES437" s="138" t="e">
        <f>IF(VLOOKUP(CONCATENATE(H437,F437,ES$2),Matemáticas!$A:$H,7,FALSE)=BG437,1,0)</f>
        <v>#N/A</v>
      </c>
      <c r="ET437" s="138" t="e">
        <f>IF(VLOOKUP(CONCATENATE(H437,F437,ET$2),Matemáticas!$A:$H,7,FALSE)=BH437,1,0)</f>
        <v>#N/A</v>
      </c>
      <c r="EU437" s="138" t="e">
        <f>IF(VLOOKUP(CONCATENATE(H437,F437,EU$2),Matemáticas!$A:$H,7,FALSE)=BI437,1,0)</f>
        <v>#N/A</v>
      </c>
      <c r="EV437" s="138" t="e">
        <f>IF(VLOOKUP(CONCATENATE(H437,F437,EV$2),Ciencias!$A:$H,7,FALSE)=BJ437,1,0)</f>
        <v>#N/A</v>
      </c>
      <c r="EW437" s="138" t="e">
        <f>IF(VLOOKUP(CONCATENATE(H437,F437,EW$2),Ciencias!$A:$H,7,FALSE)=BK437,1,0)</f>
        <v>#N/A</v>
      </c>
      <c r="EX437" s="138" t="e">
        <f>IF(VLOOKUP(CONCATENATE(H437,F437,EX$2),Ciencias!$A:$H,7,FALSE)=BL437,1,0)</f>
        <v>#N/A</v>
      </c>
      <c r="EY437" s="138" t="e">
        <f>IF(VLOOKUP(CONCATENATE(H437,F437,EY$2),Ciencias!$A:$H,7,FALSE)=BM437,1,0)</f>
        <v>#N/A</v>
      </c>
      <c r="EZ437" s="138" t="e">
        <f>IF(VLOOKUP(CONCATENATE(H437,F437,EZ$2),Ciencias!$A:$H,7,FALSE)=BN437,1,0)</f>
        <v>#N/A</v>
      </c>
      <c r="FA437" s="138" t="e">
        <f>IF(VLOOKUP(CONCATENATE(H437,F437,FA$2),Ciencias!$A:$H,7,FALSE)=BO437,1,0)</f>
        <v>#N/A</v>
      </c>
      <c r="FB437" s="138" t="e">
        <f>IF(VLOOKUP(CONCATENATE(H437,F437,FB$2),Ciencias!$A:$H,7,FALSE)=BP437,1,0)</f>
        <v>#N/A</v>
      </c>
      <c r="FC437" s="138" t="e">
        <f>IF(VLOOKUP(CONCATENATE(H437,F437,FC$2),Ciencias!$A:$H,7,FALSE)=BQ437,1,0)</f>
        <v>#N/A</v>
      </c>
      <c r="FD437" s="138" t="e">
        <f>IF(VLOOKUP(CONCATENATE(H437,F437,FD$2),Ciencias!$A:$H,7,FALSE)=BR437,1,0)</f>
        <v>#N/A</v>
      </c>
      <c r="FE437" s="138" t="e">
        <f>IF(VLOOKUP(CONCATENATE(H437,F437,FE$2),Ciencias!$A:$H,7,FALSE)=BS437,1,0)</f>
        <v>#N/A</v>
      </c>
      <c r="FF437" s="138" t="e">
        <f>IF(VLOOKUP(CONCATENATE(H437,F437,FF$2),Ciencias!$A:$H,7,FALSE)=BT437,1,0)</f>
        <v>#N/A</v>
      </c>
      <c r="FG437" s="138" t="e">
        <f>IF(VLOOKUP(CONCATENATE(H437,F437,FG$2),Ciencias!$A:$H,7,FALSE)=BU437,1,0)</f>
        <v>#N/A</v>
      </c>
      <c r="FH437" s="138" t="e">
        <f>IF(VLOOKUP(CONCATENATE(H437,F437,FH$2),Ciencias!$A:$H,7,FALSE)=BV437,1,0)</f>
        <v>#N/A</v>
      </c>
      <c r="FI437" s="138" t="e">
        <f>IF(VLOOKUP(CONCATENATE(H437,F437,FI$2),Ciencias!$A:$H,7,FALSE)=BW437,1,0)</f>
        <v>#N/A</v>
      </c>
      <c r="FJ437" s="138" t="e">
        <f>IF(VLOOKUP(CONCATENATE(H437,F437,FJ$2),Ciencias!$A:$H,7,FALSE)=BX437,1,0)</f>
        <v>#N/A</v>
      </c>
      <c r="FK437" s="138" t="e">
        <f>IF(VLOOKUP(CONCATENATE(H437,F437,FK$2),Ciencias!$A:$H,7,FALSE)=BY437,1,0)</f>
        <v>#N/A</v>
      </c>
      <c r="FL437" s="138" t="e">
        <f>IF(VLOOKUP(CONCATENATE(H437,F437,FL$2),Ciencias!$A:$H,7,FALSE)=BZ437,1,0)</f>
        <v>#N/A</v>
      </c>
      <c r="FM437" s="138" t="e">
        <f>IF(VLOOKUP(CONCATENATE(H437,F437,FM$2),Ciencias!$A:$H,7,FALSE)=CA437,1,0)</f>
        <v>#N/A</v>
      </c>
      <c r="FN437" s="138" t="e">
        <f>IF(VLOOKUP(CONCATENATE(H437,F437,FN$2),Ciencias!$A:$H,7,FALSE)=CB437,1,0)</f>
        <v>#N/A</v>
      </c>
      <c r="FO437" s="138" t="e">
        <f>IF(VLOOKUP(CONCATENATE(H437,F437,FO$2),Ciencias!$A:$H,7,FALSE)=CC437,1,0)</f>
        <v>#N/A</v>
      </c>
      <c r="FP437" s="138" t="e">
        <f>IF(VLOOKUP(CONCATENATE(H437,F437,FP$2),GeoHis!$A:$H,7,FALSE)=CD437,1,0)</f>
        <v>#N/A</v>
      </c>
      <c r="FQ437" s="138" t="e">
        <f>IF(VLOOKUP(CONCATENATE(H437,F437,FQ$2),GeoHis!$A:$H,7,FALSE)=CE437,1,0)</f>
        <v>#N/A</v>
      </c>
      <c r="FR437" s="138" t="e">
        <f>IF(VLOOKUP(CONCATENATE(H437,F437,FR$2),GeoHis!$A:$H,7,FALSE)=CF437,1,0)</f>
        <v>#N/A</v>
      </c>
      <c r="FS437" s="138" t="e">
        <f>IF(VLOOKUP(CONCATENATE(H437,F437,FS$2),GeoHis!$A:$H,7,FALSE)=CG437,1,0)</f>
        <v>#N/A</v>
      </c>
      <c r="FT437" s="138" t="e">
        <f>IF(VLOOKUP(CONCATENATE(H437,F437,FT$2),GeoHis!$A:$H,7,FALSE)=CH437,1,0)</f>
        <v>#N/A</v>
      </c>
      <c r="FU437" s="138" t="e">
        <f>IF(VLOOKUP(CONCATENATE(H437,F437,FU$2),GeoHis!$A:$H,7,FALSE)=CI437,1,0)</f>
        <v>#N/A</v>
      </c>
      <c r="FV437" s="138" t="e">
        <f>IF(VLOOKUP(CONCATENATE(H437,F437,FV$2),GeoHis!$A:$H,7,FALSE)=CJ437,1,0)</f>
        <v>#N/A</v>
      </c>
      <c r="FW437" s="138" t="e">
        <f>IF(VLOOKUP(CONCATENATE(H437,F437,FW$2),GeoHis!$A:$H,7,FALSE)=CK437,1,0)</f>
        <v>#N/A</v>
      </c>
      <c r="FX437" s="138" t="e">
        <f>IF(VLOOKUP(CONCATENATE(H437,F437,FX$2),GeoHis!$A:$H,7,FALSE)=CL437,1,0)</f>
        <v>#N/A</v>
      </c>
      <c r="FY437" s="138" t="e">
        <f>IF(VLOOKUP(CONCATENATE(H437,F437,FY$2),GeoHis!$A:$H,7,FALSE)=CM437,1,0)</f>
        <v>#N/A</v>
      </c>
      <c r="FZ437" s="138" t="e">
        <f>IF(VLOOKUP(CONCATENATE(H437,F437,FZ$2),GeoHis!$A:$H,7,FALSE)=CN437,1,0)</f>
        <v>#N/A</v>
      </c>
      <c r="GA437" s="138" t="e">
        <f>IF(VLOOKUP(CONCATENATE(H437,F437,GA$2),GeoHis!$A:$H,7,FALSE)=CO437,1,0)</f>
        <v>#N/A</v>
      </c>
      <c r="GB437" s="138" t="e">
        <f>IF(VLOOKUP(CONCATENATE(H437,F437,GB$2),GeoHis!$A:$H,7,FALSE)=CP437,1,0)</f>
        <v>#N/A</v>
      </c>
      <c r="GC437" s="138" t="e">
        <f>IF(VLOOKUP(CONCATENATE(H437,F437,GC$2),GeoHis!$A:$H,7,FALSE)=CQ437,1,0)</f>
        <v>#N/A</v>
      </c>
      <c r="GD437" s="138" t="e">
        <f>IF(VLOOKUP(CONCATENATE(H437,F437,GD$2),GeoHis!$A:$H,7,FALSE)=CR437,1,0)</f>
        <v>#N/A</v>
      </c>
      <c r="GE437" s="135" t="str">
        <f t="shared" si="55"/>
        <v/>
      </c>
    </row>
    <row r="438" spans="1:187" x14ac:dyDescent="0.25">
      <c r="A438" s="127" t="str">
        <f>IF(C438="","",'Datos Generales'!$A$25)</f>
        <v/>
      </c>
      <c r="D438" s="126" t="str">
        <f t="shared" si="48"/>
        <v/>
      </c>
      <c r="E438" s="126">
        <f t="shared" si="49"/>
        <v>0</v>
      </c>
      <c r="F438" s="126" t="str">
        <f t="shared" si="50"/>
        <v/>
      </c>
      <c r="G438" s="126" t="str">
        <f>IF(C438="","",'Datos Generales'!$D$19)</f>
        <v/>
      </c>
      <c r="H438" s="21" t="str">
        <f>IF(C438="","",'Datos Generales'!$A$19)</f>
        <v/>
      </c>
      <c r="I438" s="126" t="str">
        <f>IF(C438="","",'Datos Generales'!$A$7)</f>
        <v/>
      </c>
      <c r="J438" s="21" t="str">
        <f>IF(C438="","",'Datos Generales'!$A$13)</f>
        <v/>
      </c>
      <c r="K438" s="21" t="str">
        <f>IF(C438="","",'Datos Generales'!$A$10)</f>
        <v/>
      </c>
      <c r="CS438" s="142" t="str">
        <f t="shared" si="51"/>
        <v/>
      </c>
      <c r="CT438" s="142" t="str">
        <f t="shared" si="52"/>
        <v/>
      </c>
      <c r="CU438" s="142" t="str">
        <f t="shared" si="53"/>
        <v/>
      </c>
      <c r="CV438" s="142" t="str">
        <f t="shared" si="54"/>
        <v/>
      </c>
      <c r="CW438" s="142" t="str">
        <f>IF(C438="","",IF('Datos Generales'!$A$19=1,AVERAGE(FP438:GD438),AVERAGE(Captura!FP438:FY438)))</f>
        <v/>
      </c>
      <c r="CX438" s="138" t="e">
        <f>IF(VLOOKUP(CONCATENATE($H$4,$F$4,CX$2),Español!$A:$H,7,FALSE)=L438,1,0)</f>
        <v>#N/A</v>
      </c>
      <c r="CY438" s="138" t="e">
        <f>IF(VLOOKUP(CONCATENATE(H438,F438,CY$2),Español!$A:$H,7,FALSE)=M438,1,0)</f>
        <v>#N/A</v>
      </c>
      <c r="CZ438" s="138" t="e">
        <f>IF(VLOOKUP(CONCATENATE(H438,F438,CZ$2),Español!$A:$H,7,FALSE)=N438,1,0)</f>
        <v>#N/A</v>
      </c>
      <c r="DA438" s="138" t="e">
        <f>IF(VLOOKUP(CONCATENATE(H438,F438,DA$2),Español!$A:$H,7,FALSE)=O438,1,0)</f>
        <v>#N/A</v>
      </c>
      <c r="DB438" s="138" t="e">
        <f>IF(VLOOKUP(CONCATENATE(H438,F438,DB$2),Español!$A:$H,7,FALSE)=P438,1,0)</f>
        <v>#N/A</v>
      </c>
      <c r="DC438" s="138" t="e">
        <f>IF(VLOOKUP(CONCATENATE(H438,F438,DC$2),Español!$A:$H,7,FALSE)=Q438,1,0)</f>
        <v>#N/A</v>
      </c>
      <c r="DD438" s="138" t="e">
        <f>IF(VLOOKUP(CONCATENATE(H438,F438,DD$2),Español!$A:$H,7,FALSE)=R438,1,0)</f>
        <v>#N/A</v>
      </c>
      <c r="DE438" s="138" t="e">
        <f>IF(VLOOKUP(CONCATENATE(H438,F438,DE$2),Español!$A:$H,7,FALSE)=S438,1,0)</f>
        <v>#N/A</v>
      </c>
      <c r="DF438" s="138" t="e">
        <f>IF(VLOOKUP(CONCATENATE(H438,F438,DF$2),Español!$A:$H,7,FALSE)=T438,1,0)</f>
        <v>#N/A</v>
      </c>
      <c r="DG438" s="138" t="e">
        <f>IF(VLOOKUP(CONCATENATE(H438,F438,DG$2),Español!$A:$H,7,FALSE)=U438,1,0)</f>
        <v>#N/A</v>
      </c>
      <c r="DH438" s="138" t="e">
        <f>IF(VLOOKUP(CONCATENATE(H438,F438,DH$2),Español!$A:$H,7,FALSE)=V438,1,0)</f>
        <v>#N/A</v>
      </c>
      <c r="DI438" s="138" t="e">
        <f>IF(VLOOKUP(CONCATENATE(H438,F438,DI$2),Español!$A:$H,7,FALSE)=W438,1,0)</f>
        <v>#N/A</v>
      </c>
      <c r="DJ438" s="138" t="e">
        <f>IF(VLOOKUP(CONCATENATE(H438,F438,DJ$2),Español!$A:$H,7,FALSE)=X438,1,0)</f>
        <v>#N/A</v>
      </c>
      <c r="DK438" s="138" t="e">
        <f>IF(VLOOKUP(CONCATENATE(H438,F438,DK$2),Español!$A:$H,7,FALSE)=Y438,1,0)</f>
        <v>#N/A</v>
      </c>
      <c r="DL438" s="138" t="e">
        <f>IF(VLOOKUP(CONCATENATE(H438,F438,DL$2),Español!$A:$H,7,FALSE)=Z438,1,0)</f>
        <v>#N/A</v>
      </c>
      <c r="DM438" s="138" t="e">
        <f>IF(VLOOKUP(CONCATENATE(H438,F438,DM$2),Español!$A:$H,7,FALSE)=AA438,1,0)</f>
        <v>#N/A</v>
      </c>
      <c r="DN438" s="138" t="e">
        <f>IF(VLOOKUP(CONCATENATE(H438,F438,DN$2),Español!$A:$H,7,FALSE)=AB438,1,0)</f>
        <v>#N/A</v>
      </c>
      <c r="DO438" s="138" t="e">
        <f>IF(VLOOKUP(CONCATENATE(H438,F438,DO$2),Español!$A:$H,7,FALSE)=AC438,1,0)</f>
        <v>#N/A</v>
      </c>
      <c r="DP438" s="138" t="e">
        <f>IF(VLOOKUP(CONCATENATE(H438,F438,DP$2),Español!$A:$H,7,FALSE)=AD438,1,0)</f>
        <v>#N/A</v>
      </c>
      <c r="DQ438" s="138" t="e">
        <f>IF(VLOOKUP(CONCATENATE(H438,F438,DQ$2),Español!$A:$H,7,FALSE)=AE438,1,0)</f>
        <v>#N/A</v>
      </c>
      <c r="DR438" s="138" t="e">
        <f>IF(VLOOKUP(CONCATENATE(H438,F438,DR$2),Inglés!$A:$H,7,FALSE)=AF438,1,0)</f>
        <v>#N/A</v>
      </c>
      <c r="DS438" s="138" t="e">
        <f>IF(VLOOKUP(CONCATENATE(H438,F438,DS$2),Inglés!$A:$H,7,FALSE)=AG438,1,0)</f>
        <v>#N/A</v>
      </c>
      <c r="DT438" s="138" t="e">
        <f>IF(VLOOKUP(CONCATENATE(H438,F438,DT$2),Inglés!$A:$H,7,FALSE)=AH438,1,0)</f>
        <v>#N/A</v>
      </c>
      <c r="DU438" s="138" t="e">
        <f>IF(VLOOKUP(CONCATENATE(H438,F438,DU$2),Inglés!$A:$H,7,FALSE)=AI438,1,0)</f>
        <v>#N/A</v>
      </c>
      <c r="DV438" s="138" t="e">
        <f>IF(VLOOKUP(CONCATENATE(H438,F438,DV$2),Inglés!$A:$H,7,FALSE)=AJ438,1,0)</f>
        <v>#N/A</v>
      </c>
      <c r="DW438" s="138" t="e">
        <f>IF(VLOOKUP(CONCATENATE(H438,F438,DW$2),Inglés!$A:$H,7,FALSE)=AK438,1,0)</f>
        <v>#N/A</v>
      </c>
      <c r="DX438" s="138" t="e">
        <f>IF(VLOOKUP(CONCATENATE(H438,F438,DX$2),Inglés!$A:$H,7,FALSE)=AL438,1,0)</f>
        <v>#N/A</v>
      </c>
      <c r="DY438" s="138" t="e">
        <f>IF(VLOOKUP(CONCATENATE(H438,F438,DY$2),Inglés!$A:$H,7,FALSE)=AM438,1,0)</f>
        <v>#N/A</v>
      </c>
      <c r="DZ438" s="138" t="e">
        <f>IF(VLOOKUP(CONCATENATE(H438,F438,DZ$2),Inglés!$A:$H,7,FALSE)=AN438,1,0)</f>
        <v>#N/A</v>
      </c>
      <c r="EA438" s="138" t="e">
        <f>IF(VLOOKUP(CONCATENATE(H438,F438,EA$2),Inglés!$A:$H,7,FALSE)=AO438,1,0)</f>
        <v>#N/A</v>
      </c>
      <c r="EB438" s="138" t="e">
        <f>IF(VLOOKUP(CONCATENATE(H438,F438,EB$2),Matemáticas!$A:$H,7,FALSE)=AP438,1,0)</f>
        <v>#N/A</v>
      </c>
      <c r="EC438" s="138" t="e">
        <f>IF(VLOOKUP(CONCATENATE(H438,F438,EC$2),Matemáticas!$A:$H,7,FALSE)=AQ438,1,0)</f>
        <v>#N/A</v>
      </c>
      <c r="ED438" s="138" t="e">
        <f>IF(VLOOKUP(CONCATENATE(H438,F438,ED$2),Matemáticas!$A:$H,7,FALSE)=AR438,1,0)</f>
        <v>#N/A</v>
      </c>
      <c r="EE438" s="138" t="e">
        <f>IF(VLOOKUP(CONCATENATE(H438,F438,EE$2),Matemáticas!$A:$H,7,FALSE)=AS438,1,0)</f>
        <v>#N/A</v>
      </c>
      <c r="EF438" s="138" t="e">
        <f>IF(VLOOKUP(CONCATENATE(H438,F438,EF$2),Matemáticas!$A:$H,7,FALSE)=AT438,1,0)</f>
        <v>#N/A</v>
      </c>
      <c r="EG438" s="138" t="e">
        <f>IF(VLOOKUP(CONCATENATE(H438,F438,EG$2),Matemáticas!$A:$H,7,FALSE)=AU438,1,0)</f>
        <v>#N/A</v>
      </c>
      <c r="EH438" s="138" t="e">
        <f>IF(VLOOKUP(CONCATENATE(H438,F438,EH$2),Matemáticas!$A:$H,7,FALSE)=AV438,1,0)</f>
        <v>#N/A</v>
      </c>
      <c r="EI438" s="138" t="e">
        <f>IF(VLOOKUP(CONCATENATE(H438,F438,EI$2),Matemáticas!$A:$H,7,FALSE)=AW438,1,0)</f>
        <v>#N/A</v>
      </c>
      <c r="EJ438" s="138" t="e">
        <f>IF(VLOOKUP(CONCATENATE(H438,F438,EJ$2),Matemáticas!$A:$H,7,FALSE)=AX438,1,0)</f>
        <v>#N/A</v>
      </c>
      <c r="EK438" s="138" t="e">
        <f>IF(VLOOKUP(CONCATENATE(H438,F438,EK$2),Matemáticas!$A:$H,7,FALSE)=AY438,1,0)</f>
        <v>#N/A</v>
      </c>
      <c r="EL438" s="138" t="e">
        <f>IF(VLOOKUP(CONCATENATE(H438,F438,EL$2),Matemáticas!$A:$H,7,FALSE)=AZ438,1,0)</f>
        <v>#N/A</v>
      </c>
      <c r="EM438" s="138" t="e">
        <f>IF(VLOOKUP(CONCATENATE(H438,F438,EM$2),Matemáticas!$A:$H,7,FALSE)=BA438,1,0)</f>
        <v>#N/A</v>
      </c>
      <c r="EN438" s="138" t="e">
        <f>IF(VLOOKUP(CONCATENATE(H438,F438,EN$2),Matemáticas!$A:$H,7,FALSE)=BB438,1,0)</f>
        <v>#N/A</v>
      </c>
      <c r="EO438" s="138" t="e">
        <f>IF(VLOOKUP(CONCATENATE(H438,F438,EO$2),Matemáticas!$A:$H,7,FALSE)=BC438,1,0)</f>
        <v>#N/A</v>
      </c>
      <c r="EP438" s="138" t="e">
        <f>IF(VLOOKUP(CONCATENATE(H438,F438,EP$2),Matemáticas!$A:$H,7,FALSE)=BD438,1,0)</f>
        <v>#N/A</v>
      </c>
      <c r="EQ438" s="138" t="e">
        <f>IF(VLOOKUP(CONCATENATE(H438,F438,EQ$2),Matemáticas!$A:$H,7,FALSE)=BE438,1,0)</f>
        <v>#N/A</v>
      </c>
      <c r="ER438" s="138" t="e">
        <f>IF(VLOOKUP(CONCATENATE(H438,F438,ER$2),Matemáticas!$A:$H,7,FALSE)=BF438,1,0)</f>
        <v>#N/A</v>
      </c>
      <c r="ES438" s="138" t="e">
        <f>IF(VLOOKUP(CONCATENATE(H438,F438,ES$2),Matemáticas!$A:$H,7,FALSE)=BG438,1,0)</f>
        <v>#N/A</v>
      </c>
      <c r="ET438" s="138" t="e">
        <f>IF(VLOOKUP(CONCATENATE(H438,F438,ET$2),Matemáticas!$A:$H,7,FALSE)=BH438,1,0)</f>
        <v>#N/A</v>
      </c>
      <c r="EU438" s="138" t="e">
        <f>IF(VLOOKUP(CONCATENATE(H438,F438,EU$2),Matemáticas!$A:$H,7,FALSE)=BI438,1,0)</f>
        <v>#N/A</v>
      </c>
      <c r="EV438" s="138" t="e">
        <f>IF(VLOOKUP(CONCATENATE(H438,F438,EV$2),Ciencias!$A:$H,7,FALSE)=BJ438,1,0)</f>
        <v>#N/A</v>
      </c>
      <c r="EW438" s="138" t="e">
        <f>IF(VLOOKUP(CONCATENATE(H438,F438,EW$2),Ciencias!$A:$H,7,FALSE)=BK438,1,0)</f>
        <v>#N/A</v>
      </c>
      <c r="EX438" s="138" t="e">
        <f>IF(VLOOKUP(CONCATENATE(H438,F438,EX$2),Ciencias!$A:$H,7,FALSE)=BL438,1,0)</f>
        <v>#N/A</v>
      </c>
      <c r="EY438" s="138" t="e">
        <f>IF(VLOOKUP(CONCATENATE(H438,F438,EY$2),Ciencias!$A:$H,7,FALSE)=BM438,1,0)</f>
        <v>#N/A</v>
      </c>
      <c r="EZ438" s="138" t="e">
        <f>IF(VLOOKUP(CONCATENATE(H438,F438,EZ$2),Ciencias!$A:$H,7,FALSE)=BN438,1,0)</f>
        <v>#N/A</v>
      </c>
      <c r="FA438" s="138" t="e">
        <f>IF(VLOOKUP(CONCATENATE(H438,F438,FA$2),Ciencias!$A:$H,7,FALSE)=BO438,1,0)</f>
        <v>#N/A</v>
      </c>
      <c r="FB438" s="138" t="e">
        <f>IF(VLOOKUP(CONCATENATE(H438,F438,FB$2),Ciencias!$A:$H,7,FALSE)=BP438,1,0)</f>
        <v>#N/A</v>
      </c>
      <c r="FC438" s="138" t="e">
        <f>IF(VLOOKUP(CONCATENATE(H438,F438,FC$2),Ciencias!$A:$H,7,FALSE)=BQ438,1,0)</f>
        <v>#N/A</v>
      </c>
      <c r="FD438" s="138" t="e">
        <f>IF(VLOOKUP(CONCATENATE(H438,F438,FD$2),Ciencias!$A:$H,7,FALSE)=BR438,1,0)</f>
        <v>#N/A</v>
      </c>
      <c r="FE438" s="138" t="e">
        <f>IF(VLOOKUP(CONCATENATE(H438,F438,FE$2),Ciencias!$A:$H,7,FALSE)=BS438,1,0)</f>
        <v>#N/A</v>
      </c>
      <c r="FF438" s="138" t="e">
        <f>IF(VLOOKUP(CONCATENATE(H438,F438,FF$2),Ciencias!$A:$H,7,FALSE)=BT438,1,0)</f>
        <v>#N/A</v>
      </c>
      <c r="FG438" s="138" t="e">
        <f>IF(VLOOKUP(CONCATENATE(H438,F438,FG$2),Ciencias!$A:$H,7,FALSE)=BU438,1,0)</f>
        <v>#N/A</v>
      </c>
      <c r="FH438" s="138" t="e">
        <f>IF(VLOOKUP(CONCATENATE(H438,F438,FH$2),Ciencias!$A:$H,7,FALSE)=BV438,1,0)</f>
        <v>#N/A</v>
      </c>
      <c r="FI438" s="138" t="e">
        <f>IF(VLOOKUP(CONCATENATE(H438,F438,FI$2),Ciencias!$A:$H,7,FALSE)=BW438,1,0)</f>
        <v>#N/A</v>
      </c>
      <c r="FJ438" s="138" t="e">
        <f>IF(VLOOKUP(CONCATENATE(H438,F438,FJ$2),Ciencias!$A:$H,7,FALSE)=BX438,1,0)</f>
        <v>#N/A</v>
      </c>
      <c r="FK438" s="138" t="e">
        <f>IF(VLOOKUP(CONCATENATE(H438,F438,FK$2),Ciencias!$A:$H,7,FALSE)=BY438,1,0)</f>
        <v>#N/A</v>
      </c>
      <c r="FL438" s="138" t="e">
        <f>IF(VLOOKUP(CONCATENATE(H438,F438,FL$2),Ciencias!$A:$H,7,FALSE)=BZ438,1,0)</f>
        <v>#N/A</v>
      </c>
      <c r="FM438" s="138" t="e">
        <f>IF(VLOOKUP(CONCATENATE(H438,F438,FM$2),Ciencias!$A:$H,7,FALSE)=CA438,1,0)</f>
        <v>#N/A</v>
      </c>
      <c r="FN438" s="138" t="e">
        <f>IF(VLOOKUP(CONCATENATE(H438,F438,FN$2),Ciencias!$A:$H,7,FALSE)=CB438,1,0)</f>
        <v>#N/A</v>
      </c>
      <c r="FO438" s="138" t="e">
        <f>IF(VLOOKUP(CONCATENATE(H438,F438,FO$2),Ciencias!$A:$H,7,FALSE)=CC438,1,0)</f>
        <v>#N/A</v>
      </c>
      <c r="FP438" s="138" t="e">
        <f>IF(VLOOKUP(CONCATENATE(H438,F438,FP$2),GeoHis!$A:$H,7,FALSE)=CD438,1,0)</f>
        <v>#N/A</v>
      </c>
      <c r="FQ438" s="138" t="e">
        <f>IF(VLOOKUP(CONCATENATE(H438,F438,FQ$2),GeoHis!$A:$H,7,FALSE)=CE438,1,0)</f>
        <v>#N/A</v>
      </c>
      <c r="FR438" s="138" t="e">
        <f>IF(VLOOKUP(CONCATENATE(H438,F438,FR$2),GeoHis!$A:$H,7,FALSE)=CF438,1,0)</f>
        <v>#N/A</v>
      </c>
      <c r="FS438" s="138" t="e">
        <f>IF(VLOOKUP(CONCATENATE(H438,F438,FS$2),GeoHis!$A:$H,7,FALSE)=CG438,1,0)</f>
        <v>#N/A</v>
      </c>
      <c r="FT438" s="138" t="e">
        <f>IF(VLOOKUP(CONCATENATE(H438,F438,FT$2),GeoHis!$A:$H,7,FALSE)=CH438,1,0)</f>
        <v>#N/A</v>
      </c>
      <c r="FU438" s="138" t="e">
        <f>IF(VLOOKUP(CONCATENATE(H438,F438,FU$2),GeoHis!$A:$H,7,FALSE)=CI438,1,0)</f>
        <v>#N/A</v>
      </c>
      <c r="FV438" s="138" t="e">
        <f>IF(VLOOKUP(CONCATENATE(H438,F438,FV$2),GeoHis!$A:$H,7,FALSE)=CJ438,1,0)</f>
        <v>#N/A</v>
      </c>
      <c r="FW438" s="138" t="e">
        <f>IF(VLOOKUP(CONCATENATE(H438,F438,FW$2),GeoHis!$A:$H,7,FALSE)=CK438,1,0)</f>
        <v>#N/A</v>
      </c>
      <c r="FX438" s="138" t="e">
        <f>IF(VLOOKUP(CONCATENATE(H438,F438,FX$2),GeoHis!$A:$H,7,FALSE)=CL438,1,0)</f>
        <v>#N/A</v>
      </c>
      <c r="FY438" s="138" t="e">
        <f>IF(VLOOKUP(CONCATENATE(H438,F438,FY$2),GeoHis!$A:$H,7,FALSE)=CM438,1,0)</f>
        <v>#N/A</v>
      </c>
      <c r="FZ438" s="138" t="e">
        <f>IF(VLOOKUP(CONCATENATE(H438,F438,FZ$2),GeoHis!$A:$H,7,FALSE)=CN438,1,0)</f>
        <v>#N/A</v>
      </c>
      <c r="GA438" s="138" t="e">
        <f>IF(VLOOKUP(CONCATENATE(H438,F438,GA$2),GeoHis!$A:$H,7,FALSE)=CO438,1,0)</f>
        <v>#N/A</v>
      </c>
      <c r="GB438" s="138" t="e">
        <f>IF(VLOOKUP(CONCATENATE(H438,F438,GB$2),GeoHis!$A:$H,7,FALSE)=CP438,1,0)</f>
        <v>#N/A</v>
      </c>
      <c r="GC438" s="138" t="e">
        <f>IF(VLOOKUP(CONCATENATE(H438,F438,GC$2),GeoHis!$A:$H,7,FALSE)=CQ438,1,0)</f>
        <v>#N/A</v>
      </c>
      <c r="GD438" s="138" t="e">
        <f>IF(VLOOKUP(CONCATENATE(H438,F438,GD$2),GeoHis!$A:$H,7,FALSE)=CR438,1,0)</f>
        <v>#N/A</v>
      </c>
      <c r="GE438" s="135" t="str">
        <f t="shared" si="55"/>
        <v/>
      </c>
    </row>
    <row r="439" spans="1:187" x14ac:dyDescent="0.25">
      <c r="A439" s="127" t="str">
        <f>IF(C439="","",'Datos Generales'!$A$25)</f>
        <v/>
      </c>
      <c r="D439" s="126" t="str">
        <f t="shared" si="48"/>
        <v/>
      </c>
      <c r="E439" s="126">
        <f t="shared" si="49"/>
        <v>0</v>
      </c>
      <c r="F439" s="126" t="str">
        <f t="shared" si="50"/>
        <v/>
      </c>
      <c r="G439" s="126" t="str">
        <f>IF(C439="","",'Datos Generales'!$D$19)</f>
        <v/>
      </c>
      <c r="H439" s="21" t="str">
        <f>IF(C439="","",'Datos Generales'!$A$19)</f>
        <v/>
      </c>
      <c r="I439" s="126" t="str">
        <f>IF(C439="","",'Datos Generales'!$A$7)</f>
        <v/>
      </c>
      <c r="J439" s="21" t="str">
        <f>IF(C439="","",'Datos Generales'!$A$13)</f>
        <v/>
      </c>
      <c r="K439" s="21" t="str">
        <f>IF(C439="","",'Datos Generales'!$A$10)</f>
        <v/>
      </c>
      <c r="CS439" s="142" t="str">
        <f t="shared" si="51"/>
        <v/>
      </c>
      <c r="CT439" s="142" t="str">
        <f t="shared" si="52"/>
        <v/>
      </c>
      <c r="CU439" s="142" t="str">
        <f t="shared" si="53"/>
        <v/>
      </c>
      <c r="CV439" s="142" t="str">
        <f t="shared" si="54"/>
        <v/>
      </c>
      <c r="CW439" s="142" t="str">
        <f>IF(C439="","",IF('Datos Generales'!$A$19=1,AVERAGE(FP439:GD439),AVERAGE(Captura!FP439:FY439)))</f>
        <v/>
      </c>
      <c r="CX439" s="138" t="e">
        <f>IF(VLOOKUP(CONCATENATE($H$4,$F$4,CX$2),Español!$A:$H,7,FALSE)=L439,1,0)</f>
        <v>#N/A</v>
      </c>
      <c r="CY439" s="138" t="e">
        <f>IF(VLOOKUP(CONCATENATE(H439,F439,CY$2),Español!$A:$H,7,FALSE)=M439,1,0)</f>
        <v>#N/A</v>
      </c>
      <c r="CZ439" s="138" t="e">
        <f>IF(VLOOKUP(CONCATENATE(H439,F439,CZ$2),Español!$A:$H,7,FALSE)=N439,1,0)</f>
        <v>#N/A</v>
      </c>
      <c r="DA439" s="138" t="e">
        <f>IF(VLOOKUP(CONCATENATE(H439,F439,DA$2),Español!$A:$H,7,FALSE)=O439,1,0)</f>
        <v>#N/A</v>
      </c>
      <c r="DB439" s="138" t="e">
        <f>IF(VLOOKUP(CONCATENATE(H439,F439,DB$2),Español!$A:$H,7,FALSE)=P439,1,0)</f>
        <v>#N/A</v>
      </c>
      <c r="DC439" s="138" t="e">
        <f>IF(VLOOKUP(CONCATENATE(H439,F439,DC$2),Español!$A:$H,7,FALSE)=Q439,1,0)</f>
        <v>#N/A</v>
      </c>
      <c r="DD439" s="138" t="e">
        <f>IF(VLOOKUP(CONCATENATE(H439,F439,DD$2),Español!$A:$H,7,FALSE)=R439,1,0)</f>
        <v>#N/A</v>
      </c>
      <c r="DE439" s="138" t="e">
        <f>IF(VLOOKUP(CONCATENATE(H439,F439,DE$2),Español!$A:$H,7,FALSE)=S439,1,0)</f>
        <v>#N/A</v>
      </c>
      <c r="DF439" s="138" t="e">
        <f>IF(VLOOKUP(CONCATENATE(H439,F439,DF$2),Español!$A:$H,7,FALSE)=T439,1,0)</f>
        <v>#N/A</v>
      </c>
      <c r="DG439" s="138" t="e">
        <f>IF(VLOOKUP(CONCATENATE(H439,F439,DG$2),Español!$A:$H,7,FALSE)=U439,1,0)</f>
        <v>#N/A</v>
      </c>
      <c r="DH439" s="138" t="e">
        <f>IF(VLOOKUP(CONCATENATE(H439,F439,DH$2),Español!$A:$H,7,FALSE)=V439,1,0)</f>
        <v>#N/A</v>
      </c>
      <c r="DI439" s="138" t="e">
        <f>IF(VLOOKUP(CONCATENATE(H439,F439,DI$2),Español!$A:$H,7,FALSE)=W439,1,0)</f>
        <v>#N/A</v>
      </c>
      <c r="DJ439" s="138" t="e">
        <f>IF(VLOOKUP(CONCATENATE(H439,F439,DJ$2),Español!$A:$H,7,FALSE)=X439,1,0)</f>
        <v>#N/A</v>
      </c>
      <c r="DK439" s="138" t="e">
        <f>IF(VLOOKUP(CONCATENATE(H439,F439,DK$2),Español!$A:$H,7,FALSE)=Y439,1,0)</f>
        <v>#N/A</v>
      </c>
      <c r="DL439" s="138" t="e">
        <f>IF(VLOOKUP(CONCATENATE(H439,F439,DL$2),Español!$A:$H,7,FALSE)=Z439,1,0)</f>
        <v>#N/A</v>
      </c>
      <c r="DM439" s="138" t="e">
        <f>IF(VLOOKUP(CONCATENATE(H439,F439,DM$2),Español!$A:$H,7,FALSE)=AA439,1,0)</f>
        <v>#N/A</v>
      </c>
      <c r="DN439" s="138" t="e">
        <f>IF(VLOOKUP(CONCATENATE(H439,F439,DN$2),Español!$A:$H,7,FALSE)=AB439,1,0)</f>
        <v>#N/A</v>
      </c>
      <c r="DO439" s="138" t="e">
        <f>IF(VLOOKUP(CONCATENATE(H439,F439,DO$2),Español!$A:$H,7,FALSE)=AC439,1,0)</f>
        <v>#N/A</v>
      </c>
      <c r="DP439" s="138" t="e">
        <f>IF(VLOOKUP(CONCATENATE(H439,F439,DP$2),Español!$A:$H,7,FALSE)=AD439,1,0)</f>
        <v>#N/A</v>
      </c>
      <c r="DQ439" s="138" t="e">
        <f>IF(VLOOKUP(CONCATENATE(H439,F439,DQ$2),Español!$A:$H,7,FALSE)=AE439,1,0)</f>
        <v>#N/A</v>
      </c>
      <c r="DR439" s="138" t="e">
        <f>IF(VLOOKUP(CONCATENATE(H439,F439,DR$2),Inglés!$A:$H,7,FALSE)=AF439,1,0)</f>
        <v>#N/A</v>
      </c>
      <c r="DS439" s="138" t="e">
        <f>IF(VLOOKUP(CONCATENATE(H439,F439,DS$2),Inglés!$A:$H,7,FALSE)=AG439,1,0)</f>
        <v>#N/A</v>
      </c>
      <c r="DT439" s="138" t="e">
        <f>IF(VLOOKUP(CONCATENATE(H439,F439,DT$2),Inglés!$A:$H,7,FALSE)=AH439,1,0)</f>
        <v>#N/A</v>
      </c>
      <c r="DU439" s="138" t="e">
        <f>IF(VLOOKUP(CONCATENATE(H439,F439,DU$2),Inglés!$A:$H,7,FALSE)=AI439,1,0)</f>
        <v>#N/A</v>
      </c>
      <c r="DV439" s="138" t="e">
        <f>IF(VLOOKUP(CONCATENATE(H439,F439,DV$2),Inglés!$A:$H,7,FALSE)=AJ439,1,0)</f>
        <v>#N/A</v>
      </c>
      <c r="DW439" s="138" t="e">
        <f>IF(VLOOKUP(CONCATENATE(H439,F439,DW$2),Inglés!$A:$H,7,FALSE)=AK439,1,0)</f>
        <v>#N/A</v>
      </c>
      <c r="DX439" s="138" t="e">
        <f>IF(VLOOKUP(CONCATENATE(H439,F439,DX$2),Inglés!$A:$H,7,FALSE)=AL439,1,0)</f>
        <v>#N/A</v>
      </c>
      <c r="DY439" s="138" t="e">
        <f>IF(VLOOKUP(CONCATENATE(H439,F439,DY$2),Inglés!$A:$H,7,FALSE)=AM439,1,0)</f>
        <v>#N/A</v>
      </c>
      <c r="DZ439" s="138" t="e">
        <f>IF(VLOOKUP(CONCATENATE(H439,F439,DZ$2),Inglés!$A:$H,7,FALSE)=AN439,1,0)</f>
        <v>#N/A</v>
      </c>
      <c r="EA439" s="138" t="e">
        <f>IF(VLOOKUP(CONCATENATE(H439,F439,EA$2),Inglés!$A:$H,7,FALSE)=AO439,1,0)</f>
        <v>#N/A</v>
      </c>
      <c r="EB439" s="138" t="e">
        <f>IF(VLOOKUP(CONCATENATE(H439,F439,EB$2),Matemáticas!$A:$H,7,FALSE)=AP439,1,0)</f>
        <v>#N/A</v>
      </c>
      <c r="EC439" s="138" t="e">
        <f>IF(VLOOKUP(CONCATENATE(H439,F439,EC$2),Matemáticas!$A:$H,7,FALSE)=AQ439,1,0)</f>
        <v>#N/A</v>
      </c>
      <c r="ED439" s="138" t="e">
        <f>IF(VLOOKUP(CONCATENATE(H439,F439,ED$2),Matemáticas!$A:$H,7,FALSE)=AR439,1,0)</f>
        <v>#N/A</v>
      </c>
      <c r="EE439" s="138" t="e">
        <f>IF(VLOOKUP(CONCATENATE(H439,F439,EE$2),Matemáticas!$A:$H,7,FALSE)=AS439,1,0)</f>
        <v>#N/A</v>
      </c>
      <c r="EF439" s="138" t="e">
        <f>IF(VLOOKUP(CONCATENATE(H439,F439,EF$2),Matemáticas!$A:$H,7,FALSE)=AT439,1,0)</f>
        <v>#N/A</v>
      </c>
      <c r="EG439" s="138" t="e">
        <f>IF(VLOOKUP(CONCATENATE(H439,F439,EG$2),Matemáticas!$A:$H,7,FALSE)=AU439,1,0)</f>
        <v>#N/A</v>
      </c>
      <c r="EH439" s="138" t="e">
        <f>IF(VLOOKUP(CONCATENATE(H439,F439,EH$2),Matemáticas!$A:$H,7,FALSE)=AV439,1,0)</f>
        <v>#N/A</v>
      </c>
      <c r="EI439" s="138" t="e">
        <f>IF(VLOOKUP(CONCATENATE(H439,F439,EI$2),Matemáticas!$A:$H,7,FALSE)=AW439,1,0)</f>
        <v>#N/A</v>
      </c>
      <c r="EJ439" s="138" t="e">
        <f>IF(VLOOKUP(CONCATENATE(H439,F439,EJ$2),Matemáticas!$A:$H,7,FALSE)=AX439,1,0)</f>
        <v>#N/A</v>
      </c>
      <c r="EK439" s="138" t="e">
        <f>IF(VLOOKUP(CONCATENATE(H439,F439,EK$2),Matemáticas!$A:$H,7,FALSE)=AY439,1,0)</f>
        <v>#N/A</v>
      </c>
      <c r="EL439" s="138" t="e">
        <f>IF(VLOOKUP(CONCATENATE(H439,F439,EL$2),Matemáticas!$A:$H,7,FALSE)=AZ439,1,0)</f>
        <v>#N/A</v>
      </c>
      <c r="EM439" s="138" t="e">
        <f>IF(VLOOKUP(CONCATENATE(H439,F439,EM$2),Matemáticas!$A:$H,7,FALSE)=BA439,1,0)</f>
        <v>#N/A</v>
      </c>
      <c r="EN439" s="138" t="e">
        <f>IF(VLOOKUP(CONCATENATE(H439,F439,EN$2),Matemáticas!$A:$H,7,FALSE)=BB439,1,0)</f>
        <v>#N/A</v>
      </c>
      <c r="EO439" s="138" t="e">
        <f>IF(VLOOKUP(CONCATENATE(H439,F439,EO$2),Matemáticas!$A:$H,7,FALSE)=BC439,1,0)</f>
        <v>#N/A</v>
      </c>
      <c r="EP439" s="138" t="e">
        <f>IF(VLOOKUP(CONCATENATE(H439,F439,EP$2),Matemáticas!$A:$H,7,FALSE)=BD439,1,0)</f>
        <v>#N/A</v>
      </c>
      <c r="EQ439" s="138" t="e">
        <f>IF(VLOOKUP(CONCATENATE(H439,F439,EQ$2),Matemáticas!$A:$H,7,FALSE)=BE439,1,0)</f>
        <v>#N/A</v>
      </c>
      <c r="ER439" s="138" t="e">
        <f>IF(VLOOKUP(CONCATENATE(H439,F439,ER$2),Matemáticas!$A:$H,7,FALSE)=BF439,1,0)</f>
        <v>#N/A</v>
      </c>
      <c r="ES439" s="138" t="e">
        <f>IF(VLOOKUP(CONCATENATE(H439,F439,ES$2),Matemáticas!$A:$H,7,FALSE)=BG439,1,0)</f>
        <v>#N/A</v>
      </c>
      <c r="ET439" s="138" t="e">
        <f>IF(VLOOKUP(CONCATENATE(H439,F439,ET$2),Matemáticas!$A:$H,7,FALSE)=BH439,1,0)</f>
        <v>#N/A</v>
      </c>
      <c r="EU439" s="138" t="e">
        <f>IF(VLOOKUP(CONCATENATE(H439,F439,EU$2),Matemáticas!$A:$H,7,FALSE)=BI439,1,0)</f>
        <v>#N/A</v>
      </c>
      <c r="EV439" s="138" t="e">
        <f>IF(VLOOKUP(CONCATENATE(H439,F439,EV$2),Ciencias!$A:$H,7,FALSE)=BJ439,1,0)</f>
        <v>#N/A</v>
      </c>
      <c r="EW439" s="138" t="e">
        <f>IF(VLOOKUP(CONCATENATE(H439,F439,EW$2),Ciencias!$A:$H,7,FALSE)=BK439,1,0)</f>
        <v>#N/A</v>
      </c>
      <c r="EX439" s="138" t="e">
        <f>IF(VLOOKUP(CONCATENATE(H439,F439,EX$2),Ciencias!$A:$H,7,FALSE)=BL439,1,0)</f>
        <v>#N/A</v>
      </c>
      <c r="EY439" s="138" t="e">
        <f>IF(VLOOKUP(CONCATENATE(H439,F439,EY$2),Ciencias!$A:$H,7,FALSE)=BM439,1,0)</f>
        <v>#N/A</v>
      </c>
      <c r="EZ439" s="138" t="e">
        <f>IF(VLOOKUP(CONCATENATE(H439,F439,EZ$2),Ciencias!$A:$H,7,FALSE)=BN439,1,0)</f>
        <v>#N/A</v>
      </c>
      <c r="FA439" s="138" t="e">
        <f>IF(VLOOKUP(CONCATENATE(H439,F439,FA$2),Ciencias!$A:$H,7,FALSE)=BO439,1,0)</f>
        <v>#N/A</v>
      </c>
      <c r="FB439" s="138" t="e">
        <f>IF(VLOOKUP(CONCATENATE(H439,F439,FB$2),Ciencias!$A:$H,7,FALSE)=BP439,1,0)</f>
        <v>#N/A</v>
      </c>
      <c r="FC439" s="138" t="e">
        <f>IF(VLOOKUP(CONCATENATE(H439,F439,FC$2),Ciencias!$A:$H,7,FALSE)=BQ439,1,0)</f>
        <v>#N/A</v>
      </c>
      <c r="FD439" s="138" t="e">
        <f>IF(VLOOKUP(CONCATENATE(H439,F439,FD$2),Ciencias!$A:$H,7,FALSE)=BR439,1,0)</f>
        <v>#N/A</v>
      </c>
      <c r="FE439" s="138" t="e">
        <f>IF(VLOOKUP(CONCATENATE(H439,F439,FE$2),Ciencias!$A:$H,7,FALSE)=BS439,1,0)</f>
        <v>#N/A</v>
      </c>
      <c r="FF439" s="138" t="e">
        <f>IF(VLOOKUP(CONCATENATE(H439,F439,FF$2),Ciencias!$A:$H,7,FALSE)=BT439,1,0)</f>
        <v>#N/A</v>
      </c>
      <c r="FG439" s="138" t="e">
        <f>IF(VLOOKUP(CONCATENATE(H439,F439,FG$2),Ciencias!$A:$H,7,FALSE)=BU439,1,0)</f>
        <v>#N/A</v>
      </c>
      <c r="FH439" s="138" t="e">
        <f>IF(VLOOKUP(CONCATENATE(H439,F439,FH$2),Ciencias!$A:$H,7,FALSE)=BV439,1,0)</f>
        <v>#N/A</v>
      </c>
      <c r="FI439" s="138" t="e">
        <f>IF(VLOOKUP(CONCATENATE(H439,F439,FI$2),Ciencias!$A:$H,7,FALSE)=BW439,1,0)</f>
        <v>#N/A</v>
      </c>
      <c r="FJ439" s="138" t="e">
        <f>IF(VLOOKUP(CONCATENATE(H439,F439,FJ$2),Ciencias!$A:$H,7,FALSE)=BX439,1,0)</f>
        <v>#N/A</v>
      </c>
      <c r="FK439" s="138" t="e">
        <f>IF(VLOOKUP(CONCATENATE(H439,F439,FK$2),Ciencias!$A:$H,7,FALSE)=BY439,1,0)</f>
        <v>#N/A</v>
      </c>
      <c r="FL439" s="138" t="e">
        <f>IF(VLOOKUP(CONCATENATE(H439,F439,FL$2),Ciencias!$A:$H,7,FALSE)=BZ439,1,0)</f>
        <v>#N/A</v>
      </c>
      <c r="FM439" s="138" t="e">
        <f>IF(VLOOKUP(CONCATENATE(H439,F439,FM$2),Ciencias!$A:$H,7,FALSE)=CA439,1,0)</f>
        <v>#N/A</v>
      </c>
      <c r="FN439" s="138" t="e">
        <f>IF(VLOOKUP(CONCATENATE(H439,F439,FN$2),Ciencias!$A:$H,7,FALSE)=CB439,1,0)</f>
        <v>#N/A</v>
      </c>
      <c r="FO439" s="138" t="e">
        <f>IF(VLOOKUP(CONCATENATE(H439,F439,FO$2),Ciencias!$A:$H,7,FALSE)=CC439,1,0)</f>
        <v>#N/A</v>
      </c>
      <c r="FP439" s="138" t="e">
        <f>IF(VLOOKUP(CONCATENATE(H439,F439,FP$2),GeoHis!$A:$H,7,FALSE)=CD439,1,0)</f>
        <v>#N/A</v>
      </c>
      <c r="FQ439" s="138" t="e">
        <f>IF(VLOOKUP(CONCATENATE(H439,F439,FQ$2),GeoHis!$A:$H,7,FALSE)=CE439,1,0)</f>
        <v>#N/A</v>
      </c>
      <c r="FR439" s="138" t="e">
        <f>IF(VLOOKUP(CONCATENATE(H439,F439,FR$2),GeoHis!$A:$H,7,FALSE)=CF439,1,0)</f>
        <v>#N/A</v>
      </c>
      <c r="FS439" s="138" t="e">
        <f>IF(VLOOKUP(CONCATENATE(H439,F439,FS$2),GeoHis!$A:$H,7,FALSE)=CG439,1,0)</f>
        <v>#N/A</v>
      </c>
      <c r="FT439" s="138" t="e">
        <f>IF(VLOOKUP(CONCATENATE(H439,F439,FT$2),GeoHis!$A:$H,7,FALSE)=CH439,1,0)</f>
        <v>#N/A</v>
      </c>
      <c r="FU439" s="138" t="e">
        <f>IF(VLOOKUP(CONCATENATE(H439,F439,FU$2),GeoHis!$A:$H,7,FALSE)=CI439,1,0)</f>
        <v>#N/A</v>
      </c>
      <c r="FV439" s="138" t="e">
        <f>IF(VLOOKUP(CONCATENATE(H439,F439,FV$2),GeoHis!$A:$H,7,FALSE)=CJ439,1,0)</f>
        <v>#N/A</v>
      </c>
      <c r="FW439" s="138" t="e">
        <f>IF(VLOOKUP(CONCATENATE(H439,F439,FW$2),GeoHis!$A:$H,7,FALSE)=CK439,1,0)</f>
        <v>#N/A</v>
      </c>
      <c r="FX439" s="138" t="e">
        <f>IF(VLOOKUP(CONCATENATE(H439,F439,FX$2),GeoHis!$A:$H,7,FALSE)=CL439,1,0)</f>
        <v>#N/A</v>
      </c>
      <c r="FY439" s="138" t="e">
        <f>IF(VLOOKUP(CONCATENATE(H439,F439,FY$2),GeoHis!$A:$H,7,FALSE)=CM439,1,0)</f>
        <v>#N/A</v>
      </c>
      <c r="FZ439" s="138" t="e">
        <f>IF(VLOOKUP(CONCATENATE(H439,F439,FZ$2),GeoHis!$A:$H,7,FALSE)=CN439,1,0)</f>
        <v>#N/A</v>
      </c>
      <c r="GA439" s="138" t="e">
        <f>IF(VLOOKUP(CONCATENATE(H439,F439,GA$2),GeoHis!$A:$H,7,FALSE)=CO439,1,0)</f>
        <v>#N/A</v>
      </c>
      <c r="GB439" s="138" t="e">
        <f>IF(VLOOKUP(CONCATENATE(H439,F439,GB$2),GeoHis!$A:$H,7,FALSE)=CP439,1,0)</f>
        <v>#N/A</v>
      </c>
      <c r="GC439" s="138" t="e">
        <f>IF(VLOOKUP(CONCATENATE(H439,F439,GC$2),GeoHis!$A:$H,7,FALSE)=CQ439,1,0)</f>
        <v>#N/A</v>
      </c>
      <c r="GD439" s="138" t="e">
        <f>IF(VLOOKUP(CONCATENATE(H439,F439,GD$2),GeoHis!$A:$H,7,FALSE)=CR439,1,0)</f>
        <v>#N/A</v>
      </c>
      <c r="GE439" s="135" t="str">
        <f t="shared" si="55"/>
        <v/>
      </c>
    </row>
    <row r="440" spans="1:187" x14ac:dyDescent="0.25">
      <c r="A440" s="127" t="str">
        <f>IF(C440="","",'Datos Generales'!$A$25)</f>
        <v/>
      </c>
      <c r="D440" s="126" t="str">
        <f t="shared" si="48"/>
        <v/>
      </c>
      <c r="E440" s="126">
        <f t="shared" si="49"/>
        <v>0</v>
      </c>
      <c r="F440" s="126" t="str">
        <f t="shared" si="50"/>
        <v/>
      </c>
      <c r="G440" s="126" t="str">
        <f>IF(C440="","",'Datos Generales'!$D$19)</f>
        <v/>
      </c>
      <c r="H440" s="21" t="str">
        <f>IF(C440="","",'Datos Generales'!$A$19)</f>
        <v/>
      </c>
      <c r="I440" s="126" t="str">
        <f>IF(C440="","",'Datos Generales'!$A$7)</f>
        <v/>
      </c>
      <c r="J440" s="21" t="str">
        <f>IF(C440="","",'Datos Generales'!$A$13)</f>
        <v/>
      </c>
      <c r="K440" s="21" t="str">
        <f>IF(C440="","",'Datos Generales'!$A$10)</f>
        <v/>
      </c>
      <c r="CS440" s="142" t="str">
        <f t="shared" si="51"/>
        <v/>
      </c>
      <c r="CT440" s="142" t="str">
        <f t="shared" si="52"/>
        <v/>
      </c>
      <c r="CU440" s="142" t="str">
        <f t="shared" si="53"/>
        <v/>
      </c>
      <c r="CV440" s="142" t="str">
        <f t="shared" si="54"/>
        <v/>
      </c>
      <c r="CW440" s="142" t="str">
        <f>IF(C440="","",IF('Datos Generales'!$A$19=1,AVERAGE(FP440:GD440),AVERAGE(Captura!FP440:FY440)))</f>
        <v/>
      </c>
      <c r="CX440" s="138" t="e">
        <f>IF(VLOOKUP(CONCATENATE($H$4,$F$4,CX$2),Español!$A:$H,7,FALSE)=L440,1,0)</f>
        <v>#N/A</v>
      </c>
      <c r="CY440" s="138" t="e">
        <f>IF(VLOOKUP(CONCATENATE(H440,F440,CY$2),Español!$A:$H,7,FALSE)=M440,1,0)</f>
        <v>#N/A</v>
      </c>
      <c r="CZ440" s="138" t="e">
        <f>IF(VLOOKUP(CONCATENATE(H440,F440,CZ$2),Español!$A:$H,7,FALSE)=N440,1,0)</f>
        <v>#N/A</v>
      </c>
      <c r="DA440" s="138" t="e">
        <f>IF(VLOOKUP(CONCATENATE(H440,F440,DA$2),Español!$A:$H,7,FALSE)=O440,1,0)</f>
        <v>#N/A</v>
      </c>
      <c r="DB440" s="138" t="e">
        <f>IF(VLOOKUP(CONCATENATE(H440,F440,DB$2),Español!$A:$H,7,FALSE)=P440,1,0)</f>
        <v>#N/A</v>
      </c>
      <c r="DC440" s="138" t="e">
        <f>IF(VLOOKUP(CONCATENATE(H440,F440,DC$2),Español!$A:$H,7,FALSE)=Q440,1,0)</f>
        <v>#N/A</v>
      </c>
      <c r="DD440" s="138" t="e">
        <f>IF(VLOOKUP(CONCATENATE(H440,F440,DD$2),Español!$A:$H,7,FALSE)=R440,1,0)</f>
        <v>#N/A</v>
      </c>
      <c r="DE440" s="138" t="e">
        <f>IF(VLOOKUP(CONCATENATE(H440,F440,DE$2),Español!$A:$H,7,FALSE)=S440,1,0)</f>
        <v>#N/A</v>
      </c>
      <c r="DF440" s="138" t="e">
        <f>IF(VLOOKUP(CONCATENATE(H440,F440,DF$2),Español!$A:$H,7,FALSE)=T440,1,0)</f>
        <v>#N/A</v>
      </c>
      <c r="DG440" s="138" t="e">
        <f>IF(VLOOKUP(CONCATENATE(H440,F440,DG$2),Español!$A:$H,7,FALSE)=U440,1,0)</f>
        <v>#N/A</v>
      </c>
      <c r="DH440" s="138" t="e">
        <f>IF(VLOOKUP(CONCATENATE(H440,F440,DH$2),Español!$A:$H,7,FALSE)=V440,1,0)</f>
        <v>#N/A</v>
      </c>
      <c r="DI440" s="138" t="e">
        <f>IF(VLOOKUP(CONCATENATE(H440,F440,DI$2),Español!$A:$H,7,FALSE)=W440,1,0)</f>
        <v>#N/A</v>
      </c>
      <c r="DJ440" s="138" t="e">
        <f>IF(VLOOKUP(CONCATENATE(H440,F440,DJ$2),Español!$A:$H,7,FALSE)=X440,1,0)</f>
        <v>#N/A</v>
      </c>
      <c r="DK440" s="138" t="e">
        <f>IF(VLOOKUP(CONCATENATE(H440,F440,DK$2),Español!$A:$H,7,FALSE)=Y440,1,0)</f>
        <v>#N/A</v>
      </c>
      <c r="DL440" s="138" t="e">
        <f>IF(VLOOKUP(CONCATENATE(H440,F440,DL$2),Español!$A:$H,7,FALSE)=Z440,1,0)</f>
        <v>#N/A</v>
      </c>
      <c r="DM440" s="138" t="e">
        <f>IF(VLOOKUP(CONCATENATE(H440,F440,DM$2),Español!$A:$H,7,FALSE)=AA440,1,0)</f>
        <v>#N/A</v>
      </c>
      <c r="DN440" s="138" t="e">
        <f>IF(VLOOKUP(CONCATENATE(H440,F440,DN$2),Español!$A:$H,7,FALSE)=AB440,1,0)</f>
        <v>#N/A</v>
      </c>
      <c r="DO440" s="138" t="e">
        <f>IF(VLOOKUP(CONCATENATE(H440,F440,DO$2),Español!$A:$H,7,FALSE)=AC440,1,0)</f>
        <v>#N/A</v>
      </c>
      <c r="DP440" s="138" t="e">
        <f>IF(VLOOKUP(CONCATENATE(H440,F440,DP$2),Español!$A:$H,7,FALSE)=AD440,1,0)</f>
        <v>#N/A</v>
      </c>
      <c r="DQ440" s="138" t="e">
        <f>IF(VLOOKUP(CONCATENATE(H440,F440,DQ$2),Español!$A:$H,7,FALSE)=AE440,1,0)</f>
        <v>#N/A</v>
      </c>
      <c r="DR440" s="138" t="e">
        <f>IF(VLOOKUP(CONCATENATE(H440,F440,DR$2),Inglés!$A:$H,7,FALSE)=AF440,1,0)</f>
        <v>#N/A</v>
      </c>
      <c r="DS440" s="138" t="e">
        <f>IF(VLOOKUP(CONCATENATE(H440,F440,DS$2),Inglés!$A:$H,7,FALSE)=AG440,1,0)</f>
        <v>#N/A</v>
      </c>
      <c r="DT440" s="138" t="e">
        <f>IF(VLOOKUP(CONCATENATE(H440,F440,DT$2),Inglés!$A:$H,7,FALSE)=AH440,1,0)</f>
        <v>#N/A</v>
      </c>
      <c r="DU440" s="138" t="e">
        <f>IF(VLOOKUP(CONCATENATE(H440,F440,DU$2),Inglés!$A:$H,7,FALSE)=AI440,1,0)</f>
        <v>#N/A</v>
      </c>
      <c r="DV440" s="138" t="e">
        <f>IF(VLOOKUP(CONCATENATE(H440,F440,DV$2),Inglés!$A:$H,7,FALSE)=AJ440,1,0)</f>
        <v>#N/A</v>
      </c>
      <c r="DW440" s="138" t="e">
        <f>IF(VLOOKUP(CONCATENATE(H440,F440,DW$2),Inglés!$A:$H,7,FALSE)=AK440,1,0)</f>
        <v>#N/A</v>
      </c>
      <c r="DX440" s="138" t="e">
        <f>IF(VLOOKUP(CONCATENATE(H440,F440,DX$2),Inglés!$A:$H,7,FALSE)=AL440,1,0)</f>
        <v>#N/A</v>
      </c>
      <c r="DY440" s="138" t="e">
        <f>IF(VLOOKUP(CONCATENATE(H440,F440,DY$2),Inglés!$A:$H,7,FALSE)=AM440,1,0)</f>
        <v>#N/A</v>
      </c>
      <c r="DZ440" s="138" t="e">
        <f>IF(VLOOKUP(CONCATENATE(H440,F440,DZ$2),Inglés!$A:$H,7,FALSE)=AN440,1,0)</f>
        <v>#N/A</v>
      </c>
      <c r="EA440" s="138" t="e">
        <f>IF(VLOOKUP(CONCATENATE(H440,F440,EA$2),Inglés!$A:$H,7,FALSE)=AO440,1,0)</f>
        <v>#N/A</v>
      </c>
      <c r="EB440" s="138" t="e">
        <f>IF(VLOOKUP(CONCATENATE(H440,F440,EB$2),Matemáticas!$A:$H,7,FALSE)=AP440,1,0)</f>
        <v>#N/A</v>
      </c>
      <c r="EC440" s="138" t="e">
        <f>IF(VLOOKUP(CONCATENATE(H440,F440,EC$2),Matemáticas!$A:$H,7,FALSE)=AQ440,1,0)</f>
        <v>#N/A</v>
      </c>
      <c r="ED440" s="138" t="e">
        <f>IF(VLOOKUP(CONCATENATE(H440,F440,ED$2),Matemáticas!$A:$H,7,FALSE)=AR440,1,0)</f>
        <v>#N/A</v>
      </c>
      <c r="EE440" s="138" t="e">
        <f>IF(VLOOKUP(CONCATENATE(H440,F440,EE$2),Matemáticas!$A:$H,7,FALSE)=AS440,1,0)</f>
        <v>#N/A</v>
      </c>
      <c r="EF440" s="138" t="e">
        <f>IF(VLOOKUP(CONCATENATE(H440,F440,EF$2),Matemáticas!$A:$H,7,FALSE)=AT440,1,0)</f>
        <v>#N/A</v>
      </c>
      <c r="EG440" s="138" t="e">
        <f>IF(VLOOKUP(CONCATENATE(H440,F440,EG$2),Matemáticas!$A:$H,7,FALSE)=AU440,1,0)</f>
        <v>#N/A</v>
      </c>
      <c r="EH440" s="138" t="e">
        <f>IF(VLOOKUP(CONCATENATE(H440,F440,EH$2),Matemáticas!$A:$H,7,FALSE)=AV440,1,0)</f>
        <v>#N/A</v>
      </c>
      <c r="EI440" s="138" t="e">
        <f>IF(VLOOKUP(CONCATENATE(H440,F440,EI$2),Matemáticas!$A:$H,7,FALSE)=AW440,1,0)</f>
        <v>#N/A</v>
      </c>
      <c r="EJ440" s="138" t="e">
        <f>IF(VLOOKUP(CONCATENATE(H440,F440,EJ$2),Matemáticas!$A:$H,7,FALSE)=AX440,1,0)</f>
        <v>#N/A</v>
      </c>
      <c r="EK440" s="138" t="e">
        <f>IF(VLOOKUP(CONCATENATE(H440,F440,EK$2),Matemáticas!$A:$H,7,FALSE)=AY440,1,0)</f>
        <v>#N/A</v>
      </c>
      <c r="EL440" s="138" t="e">
        <f>IF(VLOOKUP(CONCATENATE(H440,F440,EL$2),Matemáticas!$A:$H,7,FALSE)=AZ440,1,0)</f>
        <v>#N/A</v>
      </c>
      <c r="EM440" s="138" t="e">
        <f>IF(VLOOKUP(CONCATENATE(H440,F440,EM$2),Matemáticas!$A:$H,7,FALSE)=BA440,1,0)</f>
        <v>#N/A</v>
      </c>
      <c r="EN440" s="138" t="e">
        <f>IF(VLOOKUP(CONCATENATE(H440,F440,EN$2),Matemáticas!$A:$H,7,FALSE)=BB440,1,0)</f>
        <v>#N/A</v>
      </c>
      <c r="EO440" s="138" t="e">
        <f>IF(VLOOKUP(CONCATENATE(H440,F440,EO$2),Matemáticas!$A:$H,7,FALSE)=BC440,1,0)</f>
        <v>#N/A</v>
      </c>
      <c r="EP440" s="138" t="e">
        <f>IF(VLOOKUP(CONCATENATE(H440,F440,EP$2),Matemáticas!$A:$H,7,FALSE)=BD440,1,0)</f>
        <v>#N/A</v>
      </c>
      <c r="EQ440" s="138" t="e">
        <f>IF(VLOOKUP(CONCATENATE(H440,F440,EQ$2),Matemáticas!$A:$H,7,FALSE)=BE440,1,0)</f>
        <v>#N/A</v>
      </c>
      <c r="ER440" s="138" t="e">
        <f>IF(VLOOKUP(CONCATENATE(H440,F440,ER$2),Matemáticas!$A:$H,7,FALSE)=BF440,1,0)</f>
        <v>#N/A</v>
      </c>
      <c r="ES440" s="138" t="e">
        <f>IF(VLOOKUP(CONCATENATE(H440,F440,ES$2),Matemáticas!$A:$H,7,FALSE)=BG440,1,0)</f>
        <v>#N/A</v>
      </c>
      <c r="ET440" s="138" t="e">
        <f>IF(VLOOKUP(CONCATENATE(H440,F440,ET$2),Matemáticas!$A:$H,7,FALSE)=BH440,1,0)</f>
        <v>#N/A</v>
      </c>
      <c r="EU440" s="138" t="e">
        <f>IF(VLOOKUP(CONCATENATE(H440,F440,EU$2),Matemáticas!$A:$H,7,FALSE)=BI440,1,0)</f>
        <v>#N/A</v>
      </c>
      <c r="EV440" s="138" t="e">
        <f>IF(VLOOKUP(CONCATENATE(H440,F440,EV$2),Ciencias!$A:$H,7,FALSE)=BJ440,1,0)</f>
        <v>#N/A</v>
      </c>
      <c r="EW440" s="138" t="e">
        <f>IF(VLOOKUP(CONCATENATE(H440,F440,EW$2),Ciencias!$A:$H,7,FALSE)=BK440,1,0)</f>
        <v>#N/A</v>
      </c>
      <c r="EX440" s="138" t="e">
        <f>IF(VLOOKUP(CONCATENATE(H440,F440,EX$2),Ciencias!$A:$H,7,FALSE)=BL440,1,0)</f>
        <v>#N/A</v>
      </c>
      <c r="EY440" s="138" t="e">
        <f>IF(VLOOKUP(CONCATENATE(H440,F440,EY$2),Ciencias!$A:$H,7,FALSE)=BM440,1,0)</f>
        <v>#N/A</v>
      </c>
      <c r="EZ440" s="138" t="e">
        <f>IF(VLOOKUP(CONCATENATE(H440,F440,EZ$2),Ciencias!$A:$H,7,FALSE)=BN440,1,0)</f>
        <v>#N/A</v>
      </c>
      <c r="FA440" s="138" t="e">
        <f>IF(VLOOKUP(CONCATENATE(H440,F440,FA$2),Ciencias!$A:$H,7,FALSE)=BO440,1,0)</f>
        <v>#N/A</v>
      </c>
      <c r="FB440" s="138" t="e">
        <f>IF(VLOOKUP(CONCATENATE(H440,F440,FB$2),Ciencias!$A:$H,7,FALSE)=BP440,1,0)</f>
        <v>#N/A</v>
      </c>
      <c r="FC440" s="138" t="e">
        <f>IF(VLOOKUP(CONCATENATE(H440,F440,FC$2),Ciencias!$A:$H,7,FALSE)=BQ440,1,0)</f>
        <v>#N/A</v>
      </c>
      <c r="FD440" s="138" t="e">
        <f>IF(VLOOKUP(CONCATENATE(H440,F440,FD$2),Ciencias!$A:$H,7,FALSE)=BR440,1,0)</f>
        <v>#N/A</v>
      </c>
      <c r="FE440" s="138" t="e">
        <f>IF(VLOOKUP(CONCATENATE(H440,F440,FE$2),Ciencias!$A:$H,7,FALSE)=BS440,1,0)</f>
        <v>#N/A</v>
      </c>
      <c r="FF440" s="138" t="e">
        <f>IF(VLOOKUP(CONCATENATE(H440,F440,FF$2),Ciencias!$A:$H,7,FALSE)=BT440,1,0)</f>
        <v>#N/A</v>
      </c>
      <c r="FG440" s="138" t="e">
        <f>IF(VLOOKUP(CONCATENATE(H440,F440,FG$2),Ciencias!$A:$H,7,FALSE)=BU440,1,0)</f>
        <v>#N/A</v>
      </c>
      <c r="FH440" s="138" t="e">
        <f>IF(VLOOKUP(CONCATENATE(H440,F440,FH$2),Ciencias!$A:$H,7,FALSE)=BV440,1,0)</f>
        <v>#N/A</v>
      </c>
      <c r="FI440" s="138" t="e">
        <f>IF(VLOOKUP(CONCATENATE(H440,F440,FI$2),Ciencias!$A:$H,7,FALSE)=BW440,1,0)</f>
        <v>#N/A</v>
      </c>
      <c r="FJ440" s="138" t="e">
        <f>IF(VLOOKUP(CONCATENATE(H440,F440,FJ$2),Ciencias!$A:$H,7,FALSE)=BX440,1,0)</f>
        <v>#N/A</v>
      </c>
      <c r="FK440" s="138" t="e">
        <f>IF(VLOOKUP(CONCATENATE(H440,F440,FK$2),Ciencias!$A:$H,7,FALSE)=BY440,1,0)</f>
        <v>#N/A</v>
      </c>
      <c r="FL440" s="138" t="e">
        <f>IF(VLOOKUP(CONCATENATE(H440,F440,FL$2),Ciencias!$A:$H,7,FALSE)=BZ440,1,0)</f>
        <v>#N/A</v>
      </c>
      <c r="FM440" s="138" t="e">
        <f>IF(VLOOKUP(CONCATENATE(H440,F440,FM$2),Ciencias!$A:$H,7,FALSE)=CA440,1,0)</f>
        <v>#N/A</v>
      </c>
      <c r="FN440" s="138" t="e">
        <f>IF(VLOOKUP(CONCATENATE(H440,F440,FN$2),Ciencias!$A:$H,7,FALSE)=CB440,1,0)</f>
        <v>#N/A</v>
      </c>
      <c r="FO440" s="138" t="e">
        <f>IF(VLOOKUP(CONCATENATE(H440,F440,FO$2),Ciencias!$A:$H,7,FALSE)=CC440,1,0)</f>
        <v>#N/A</v>
      </c>
      <c r="FP440" s="138" t="e">
        <f>IF(VLOOKUP(CONCATENATE(H440,F440,FP$2),GeoHis!$A:$H,7,FALSE)=CD440,1,0)</f>
        <v>#N/A</v>
      </c>
      <c r="FQ440" s="138" t="e">
        <f>IF(VLOOKUP(CONCATENATE(H440,F440,FQ$2),GeoHis!$A:$H,7,FALSE)=CE440,1,0)</f>
        <v>#N/A</v>
      </c>
      <c r="FR440" s="138" t="e">
        <f>IF(VLOOKUP(CONCATENATE(H440,F440,FR$2),GeoHis!$A:$H,7,FALSE)=CF440,1,0)</f>
        <v>#N/A</v>
      </c>
      <c r="FS440" s="138" t="e">
        <f>IF(VLOOKUP(CONCATENATE(H440,F440,FS$2),GeoHis!$A:$H,7,FALSE)=CG440,1,0)</f>
        <v>#N/A</v>
      </c>
      <c r="FT440" s="138" t="e">
        <f>IF(VLOOKUP(CONCATENATE(H440,F440,FT$2),GeoHis!$A:$H,7,FALSE)=CH440,1,0)</f>
        <v>#N/A</v>
      </c>
      <c r="FU440" s="138" t="e">
        <f>IF(VLOOKUP(CONCATENATE(H440,F440,FU$2),GeoHis!$A:$H,7,FALSE)=CI440,1,0)</f>
        <v>#N/A</v>
      </c>
      <c r="FV440" s="138" t="e">
        <f>IF(VLOOKUP(CONCATENATE(H440,F440,FV$2),GeoHis!$A:$H,7,FALSE)=CJ440,1,0)</f>
        <v>#N/A</v>
      </c>
      <c r="FW440" s="138" t="e">
        <f>IF(VLOOKUP(CONCATENATE(H440,F440,FW$2),GeoHis!$A:$H,7,FALSE)=CK440,1,0)</f>
        <v>#N/A</v>
      </c>
      <c r="FX440" s="138" t="e">
        <f>IF(VLOOKUP(CONCATENATE(H440,F440,FX$2),GeoHis!$A:$H,7,FALSE)=CL440,1,0)</f>
        <v>#N/A</v>
      </c>
      <c r="FY440" s="138" t="e">
        <f>IF(VLOOKUP(CONCATENATE(H440,F440,FY$2),GeoHis!$A:$H,7,FALSE)=CM440,1,0)</f>
        <v>#N/A</v>
      </c>
      <c r="FZ440" s="138" t="e">
        <f>IF(VLOOKUP(CONCATENATE(H440,F440,FZ$2),GeoHis!$A:$H,7,FALSE)=CN440,1,0)</f>
        <v>#N/A</v>
      </c>
      <c r="GA440" s="138" t="e">
        <f>IF(VLOOKUP(CONCATENATE(H440,F440,GA$2),GeoHis!$A:$H,7,FALSE)=CO440,1,0)</f>
        <v>#N/A</v>
      </c>
      <c r="GB440" s="138" t="e">
        <f>IF(VLOOKUP(CONCATENATE(H440,F440,GB$2),GeoHis!$A:$H,7,FALSE)=CP440,1,0)</f>
        <v>#N/A</v>
      </c>
      <c r="GC440" s="138" t="e">
        <f>IF(VLOOKUP(CONCATENATE(H440,F440,GC$2),GeoHis!$A:$H,7,FALSE)=CQ440,1,0)</f>
        <v>#N/A</v>
      </c>
      <c r="GD440" s="138" t="e">
        <f>IF(VLOOKUP(CONCATENATE(H440,F440,GD$2),GeoHis!$A:$H,7,FALSE)=CR440,1,0)</f>
        <v>#N/A</v>
      </c>
      <c r="GE440" s="135" t="str">
        <f t="shared" si="55"/>
        <v/>
      </c>
    </row>
    <row r="441" spans="1:187" x14ac:dyDescent="0.25">
      <c r="A441" s="127" t="str">
        <f>IF(C441="","",'Datos Generales'!$A$25)</f>
        <v/>
      </c>
      <c r="D441" s="126" t="str">
        <f t="shared" si="48"/>
        <v/>
      </c>
      <c r="E441" s="126">
        <f t="shared" si="49"/>
        <v>0</v>
      </c>
      <c r="F441" s="126" t="str">
        <f t="shared" si="50"/>
        <v/>
      </c>
      <c r="G441" s="126" t="str">
        <f>IF(C441="","",'Datos Generales'!$D$19)</f>
        <v/>
      </c>
      <c r="H441" s="21" t="str">
        <f>IF(C441="","",'Datos Generales'!$A$19)</f>
        <v/>
      </c>
      <c r="I441" s="126" t="str">
        <f>IF(C441="","",'Datos Generales'!$A$7)</f>
        <v/>
      </c>
      <c r="J441" s="21" t="str">
        <f>IF(C441="","",'Datos Generales'!$A$13)</f>
        <v/>
      </c>
      <c r="K441" s="21" t="str">
        <f>IF(C441="","",'Datos Generales'!$A$10)</f>
        <v/>
      </c>
      <c r="CS441" s="142" t="str">
        <f t="shared" si="51"/>
        <v/>
      </c>
      <c r="CT441" s="142" t="str">
        <f t="shared" si="52"/>
        <v/>
      </c>
      <c r="CU441" s="142" t="str">
        <f t="shared" si="53"/>
        <v/>
      </c>
      <c r="CV441" s="142" t="str">
        <f t="shared" si="54"/>
        <v/>
      </c>
      <c r="CW441" s="142" t="str">
        <f>IF(C441="","",IF('Datos Generales'!$A$19=1,AVERAGE(FP441:GD441),AVERAGE(Captura!FP441:FY441)))</f>
        <v/>
      </c>
      <c r="CX441" s="138" t="e">
        <f>IF(VLOOKUP(CONCATENATE($H$4,$F$4,CX$2),Español!$A:$H,7,FALSE)=L441,1,0)</f>
        <v>#N/A</v>
      </c>
      <c r="CY441" s="138" t="e">
        <f>IF(VLOOKUP(CONCATENATE(H441,F441,CY$2),Español!$A:$H,7,FALSE)=M441,1,0)</f>
        <v>#N/A</v>
      </c>
      <c r="CZ441" s="138" t="e">
        <f>IF(VLOOKUP(CONCATENATE(H441,F441,CZ$2),Español!$A:$H,7,FALSE)=N441,1,0)</f>
        <v>#N/A</v>
      </c>
      <c r="DA441" s="138" t="e">
        <f>IF(VLOOKUP(CONCATENATE(H441,F441,DA$2),Español!$A:$H,7,FALSE)=O441,1,0)</f>
        <v>#N/A</v>
      </c>
      <c r="DB441" s="138" t="e">
        <f>IF(VLOOKUP(CONCATENATE(H441,F441,DB$2),Español!$A:$H,7,FALSE)=P441,1,0)</f>
        <v>#N/A</v>
      </c>
      <c r="DC441" s="138" t="e">
        <f>IF(VLOOKUP(CONCATENATE(H441,F441,DC$2),Español!$A:$H,7,FALSE)=Q441,1,0)</f>
        <v>#N/A</v>
      </c>
      <c r="DD441" s="138" t="e">
        <f>IF(VLOOKUP(CONCATENATE(H441,F441,DD$2),Español!$A:$H,7,FALSE)=R441,1,0)</f>
        <v>#N/A</v>
      </c>
      <c r="DE441" s="138" t="e">
        <f>IF(VLOOKUP(CONCATENATE(H441,F441,DE$2),Español!$A:$H,7,FALSE)=S441,1,0)</f>
        <v>#N/A</v>
      </c>
      <c r="DF441" s="138" t="e">
        <f>IF(VLOOKUP(CONCATENATE(H441,F441,DF$2),Español!$A:$H,7,FALSE)=T441,1,0)</f>
        <v>#N/A</v>
      </c>
      <c r="DG441" s="138" t="e">
        <f>IF(VLOOKUP(CONCATENATE(H441,F441,DG$2),Español!$A:$H,7,FALSE)=U441,1,0)</f>
        <v>#N/A</v>
      </c>
      <c r="DH441" s="138" t="e">
        <f>IF(VLOOKUP(CONCATENATE(H441,F441,DH$2),Español!$A:$H,7,FALSE)=V441,1,0)</f>
        <v>#N/A</v>
      </c>
      <c r="DI441" s="138" t="e">
        <f>IF(VLOOKUP(CONCATENATE(H441,F441,DI$2),Español!$A:$H,7,FALSE)=W441,1,0)</f>
        <v>#N/A</v>
      </c>
      <c r="DJ441" s="138" t="e">
        <f>IF(VLOOKUP(CONCATENATE(H441,F441,DJ$2),Español!$A:$H,7,FALSE)=X441,1,0)</f>
        <v>#N/A</v>
      </c>
      <c r="DK441" s="138" t="e">
        <f>IF(VLOOKUP(CONCATENATE(H441,F441,DK$2),Español!$A:$H,7,FALSE)=Y441,1,0)</f>
        <v>#N/A</v>
      </c>
      <c r="DL441" s="138" t="e">
        <f>IF(VLOOKUP(CONCATENATE(H441,F441,DL$2),Español!$A:$H,7,FALSE)=Z441,1,0)</f>
        <v>#N/A</v>
      </c>
      <c r="DM441" s="138" t="e">
        <f>IF(VLOOKUP(CONCATENATE(H441,F441,DM$2),Español!$A:$H,7,FALSE)=AA441,1,0)</f>
        <v>#N/A</v>
      </c>
      <c r="DN441" s="138" t="e">
        <f>IF(VLOOKUP(CONCATENATE(H441,F441,DN$2),Español!$A:$H,7,FALSE)=AB441,1,0)</f>
        <v>#N/A</v>
      </c>
      <c r="DO441" s="138" t="e">
        <f>IF(VLOOKUP(CONCATENATE(H441,F441,DO$2),Español!$A:$H,7,FALSE)=AC441,1,0)</f>
        <v>#N/A</v>
      </c>
      <c r="DP441" s="138" t="e">
        <f>IF(VLOOKUP(CONCATENATE(H441,F441,DP$2),Español!$A:$H,7,FALSE)=AD441,1,0)</f>
        <v>#N/A</v>
      </c>
      <c r="DQ441" s="138" t="e">
        <f>IF(VLOOKUP(CONCATENATE(H441,F441,DQ$2),Español!$A:$H,7,FALSE)=AE441,1,0)</f>
        <v>#N/A</v>
      </c>
      <c r="DR441" s="138" t="e">
        <f>IF(VLOOKUP(CONCATENATE(H441,F441,DR$2),Inglés!$A:$H,7,FALSE)=AF441,1,0)</f>
        <v>#N/A</v>
      </c>
      <c r="DS441" s="138" t="e">
        <f>IF(VLOOKUP(CONCATENATE(H441,F441,DS$2),Inglés!$A:$H,7,FALSE)=AG441,1,0)</f>
        <v>#N/A</v>
      </c>
      <c r="DT441" s="138" t="e">
        <f>IF(VLOOKUP(CONCATENATE(H441,F441,DT$2),Inglés!$A:$H,7,FALSE)=AH441,1,0)</f>
        <v>#N/A</v>
      </c>
      <c r="DU441" s="138" t="e">
        <f>IF(VLOOKUP(CONCATENATE(H441,F441,DU$2),Inglés!$A:$H,7,FALSE)=AI441,1,0)</f>
        <v>#N/A</v>
      </c>
      <c r="DV441" s="138" t="e">
        <f>IF(VLOOKUP(CONCATENATE(H441,F441,DV$2),Inglés!$A:$H,7,FALSE)=AJ441,1,0)</f>
        <v>#N/A</v>
      </c>
      <c r="DW441" s="138" t="e">
        <f>IF(VLOOKUP(CONCATENATE(H441,F441,DW$2),Inglés!$A:$H,7,FALSE)=AK441,1,0)</f>
        <v>#N/A</v>
      </c>
      <c r="DX441" s="138" t="e">
        <f>IF(VLOOKUP(CONCATENATE(H441,F441,DX$2),Inglés!$A:$H,7,FALSE)=AL441,1,0)</f>
        <v>#N/A</v>
      </c>
      <c r="DY441" s="138" t="e">
        <f>IF(VLOOKUP(CONCATENATE(H441,F441,DY$2),Inglés!$A:$H,7,FALSE)=AM441,1,0)</f>
        <v>#N/A</v>
      </c>
      <c r="DZ441" s="138" t="e">
        <f>IF(VLOOKUP(CONCATENATE(H441,F441,DZ$2),Inglés!$A:$H,7,FALSE)=AN441,1,0)</f>
        <v>#N/A</v>
      </c>
      <c r="EA441" s="138" t="e">
        <f>IF(VLOOKUP(CONCATENATE(H441,F441,EA$2),Inglés!$A:$H,7,FALSE)=AO441,1,0)</f>
        <v>#N/A</v>
      </c>
      <c r="EB441" s="138" t="e">
        <f>IF(VLOOKUP(CONCATENATE(H441,F441,EB$2),Matemáticas!$A:$H,7,FALSE)=AP441,1,0)</f>
        <v>#N/A</v>
      </c>
      <c r="EC441" s="138" t="e">
        <f>IF(VLOOKUP(CONCATENATE(H441,F441,EC$2),Matemáticas!$A:$H,7,FALSE)=AQ441,1,0)</f>
        <v>#N/A</v>
      </c>
      <c r="ED441" s="138" t="e">
        <f>IF(VLOOKUP(CONCATENATE(H441,F441,ED$2),Matemáticas!$A:$H,7,FALSE)=AR441,1,0)</f>
        <v>#N/A</v>
      </c>
      <c r="EE441" s="138" t="e">
        <f>IF(VLOOKUP(CONCATENATE(H441,F441,EE$2),Matemáticas!$A:$H,7,FALSE)=AS441,1,0)</f>
        <v>#N/A</v>
      </c>
      <c r="EF441" s="138" t="e">
        <f>IF(VLOOKUP(CONCATENATE(H441,F441,EF$2),Matemáticas!$A:$H,7,FALSE)=AT441,1,0)</f>
        <v>#N/A</v>
      </c>
      <c r="EG441" s="138" t="e">
        <f>IF(VLOOKUP(CONCATENATE(H441,F441,EG$2),Matemáticas!$A:$H,7,FALSE)=AU441,1,0)</f>
        <v>#N/A</v>
      </c>
      <c r="EH441" s="138" t="e">
        <f>IF(VLOOKUP(CONCATENATE(H441,F441,EH$2),Matemáticas!$A:$H,7,FALSE)=AV441,1,0)</f>
        <v>#N/A</v>
      </c>
      <c r="EI441" s="138" t="e">
        <f>IF(VLOOKUP(CONCATENATE(H441,F441,EI$2),Matemáticas!$A:$H,7,FALSE)=AW441,1,0)</f>
        <v>#N/A</v>
      </c>
      <c r="EJ441" s="138" t="e">
        <f>IF(VLOOKUP(CONCATENATE(H441,F441,EJ$2),Matemáticas!$A:$H,7,FALSE)=AX441,1,0)</f>
        <v>#N/A</v>
      </c>
      <c r="EK441" s="138" t="e">
        <f>IF(VLOOKUP(CONCATENATE(H441,F441,EK$2),Matemáticas!$A:$H,7,FALSE)=AY441,1,0)</f>
        <v>#N/A</v>
      </c>
      <c r="EL441" s="138" t="e">
        <f>IF(VLOOKUP(CONCATENATE(H441,F441,EL$2),Matemáticas!$A:$H,7,FALSE)=AZ441,1,0)</f>
        <v>#N/A</v>
      </c>
      <c r="EM441" s="138" t="e">
        <f>IF(VLOOKUP(CONCATENATE(H441,F441,EM$2),Matemáticas!$A:$H,7,FALSE)=BA441,1,0)</f>
        <v>#N/A</v>
      </c>
      <c r="EN441" s="138" t="e">
        <f>IF(VLOOKUP(CONCATENATE(H441,F441,EN$2),Matemáticas!$A:$H,7,FALSE)=BB441,1,0)</f>
        <v>#N/A</v>
      </c>
      <c r="EO441" s="138" t="e">
        <f>IF(VLOOKUP(CONCATENATE(H441,F441,EO$2),Matemáticas!$A:$H,7,FALSE)=BC441,1,0)</f>
        <v>#N/A</v>
      </c>
      <c r="EP441" s="138" t="e">
        <f>IF(VLOOKUP(CONCATENATE(H441,F441,EP$2),Matemáticas!$A:$H,7,FALSE)=BD441,1,0)</f>
        <v>#N/A</v>
      </c>
      <c r="EQ441" s="138" t="e">
        <f>IF(VLOOKUP(CONCATENATE(H441,F441,EQ$2),Matemáticas!$A:$H,7,FALSE)=BE441,1,0)</f>
        <v>#N/A</v>
      </c>
      <c r="ER441" s="138" t="e">
        <f>IF(VLOOKUP(CONCATENATE(H441,F441,ER$2),Matemáticas!$A:$H,7,FALSE)=BF441,1,0)</f>
        <v>#N/A</v>
      </c>
      <c r="ES441" s="138" t="e">
        <f>IF(VLOOKUP(CONCATENATE(H441,F441,ES$2),Matemáticas!$A:$H,7,FALSE)=BG441,1,0)</f>
        <v>#N/A</v>
      </c>
      <c r="ET441" s="138" t="e">
        <f>IF(VLOOKUP(CONCATENATE(H441,F441,ET$2),Matemáticas!$A:$H,7,FALSE)=BH441,1,0)</f>
        <v>#N/A</v>
      </c>
      <c r="EU441" s="138" t="e">
        <f>IF(VLOOKUP(CONCATENATE(H441,F441,EU$2),Matemáticas!$A:$H,7,FALSE)=BI441,1,0)</f>
        <v>#N/A</v>
      </c>
      <c r="EV441" s="138" t="e">
        <f>IF(VLOOKUP(CONCATENATE(H441,F441,EV$2),Ciencias!$A:$H,7,FALSE)=BJ441,1,0)</f>
        <v>#N/A</v>
      </c>
      <c r="EW441" s="138" t="e">
        <f>IF(VLOOKUP(CONCATENATE(H441,F441,EW$2),Ciencias!$A:$H,7,FALSE)=BK441,1,0)</f>
        <v>#N/A</v>
      </c>
      <c r="EX441" s="138" t="e">
        <f>IF(VLOOKUP(CONCATENATE(H441,F441,EX$2),Ciencias!$A:$H,7,FALSE)=BL441,1,0)</f>
        <v>#N/A</v>
      </c>
      <c r="EY441" s="138" t="e">
        <f>IF(VLOOKUP(CONCATENATE(H441,F441,EY$2),Ciencias!$A:$H,7,FALSE)=BM441,1,0)</f>
        <v>#N/A</v>
      </c>
      <c r="EZ441" s="138" t="e">
        <f>IF(VLOOKUP(CONCATENATE(H441,F441,EZ$2),Ciencias!$A:$H,7,FALSE)=BN441,1,0)</f>
        <v>#N/A</v>
      </c>
      <c r="FA441" s="138" t="e">
        <f>IF(VLOOKUP(CONCATENATE(H441,F441,FA$2),Ciencias!$A:$H,7,FALSE)=BO441,1,0)</f>
        <v>#N/A</v>
      </c>
      <c r="FB441" s="138" t="e">
        <f>IF(VLOOKUP(CONCATENATE(H441,F441,FB$2),Ciencias!$A:$H,7,FALSE)=BP441,1,0)</f>
        <v>#N/A</v>
      </c>
      <c r="FC441" s="138" t="e">
        <f>IF(VLOOKUP(CONCATENATE(H441,F441,FC$2),Ciencias!$A:$H,7,FALSE)=BQ441,1,0)</f>
        <v>#N/A</v>
      </c>
      <c r="FD441" s="138" t="e">
        <f>IF(VLOOKUP(CONCATENATE(H441,F441,FD$2),Ciencias!$A:$H,7,FALSE)=BR441,1,0)</f>
        <v>#N/A</v>
      </c>
      <c r="FE441" s="138" t="e">
        <f>IF(VLOOKUP(CONCATENATE(H441,F441,FE$2),Ciencias!$A:$H,7,FALSE)=BS441,1,0)</f>
        <v>#N/A</v>
      </c>
      <c r="FF441" s="138" t="e">
        <f>IF(VLOOKUP(CONCATENATE(H441,F441,FF$2),Ciencias!$A:$H,7,FALSE)=BT441,1,0)</f>
        <v>#N/A</v>
      </c>
      <c r="FG441" s="138" t="e">
        <f>IF(VLOOKUP(CONCATENATE(H441,F441,FG$2),Ciencias!$A:$H,7,FALSE)=BU441,1,0)</f>
        <v>#N/A</v>
      </c>
      <c r="FH441" s="138" t="e">
        <f>IF(VLOOKUP(CONCATENATE(H441,F441,FH$2),Ciencias!$A:$H,7,FALSE)=BV441,1,0)</f>
        <v>#N/A</v>
      </c>
      <c r="FI441" s="138" t="e">
        <f>IF(VLOOKUP(CONCATENATE(H441,F441,FI$2),Ciencias!$A:$H,7,FALSE)=BW441,1,0)</f>
        <v>#N/A</v>
      </c>
      <c r="FJ441" s="138" t="e">
        <f>IF(VLOOKUP(CONCATENATE(H441,F441,FJ$2),Ciencias!$A:$H,7,FALSE)=BX441,1,0)</f>
        <v>#N/A</v>
      </c>
      <c r="FK441" s="138" t="e">
        <f>IF(VLOOKUP(CONCATENATE(H441,F441,FK$2),Ciencias!$A:$H,7,FALSE)=BY441,1,0)</f>
        <v>#N/A</v>
      </c>
      <c r="FL441" s="138" t="e">
        <f>IF(VLOOKUP(CONCATENATE(H441,F441,FL$2),Ciencias!$A:$H,7,FALSE)=BZ441,1,0)</f>
        <v>#N/A</v>
      </c>
      <c r="FM441" s="138" t="e">
        <f>IF(VLOOKUP(CONCATENATE(H441,F441,FM$2),Ciencias!$A:$H,7,FALSE)=CA441,1,0)</f>
        <v>#N/A</v>
      </c>
      <c r="FN441" s="138" t="e">
        <f>IF(VLOOKUP(CONCATENATE(H441,F441,FN$2),Ciencias!$A:$H,7,FALSE)=CB441,1,0)</f>
        <v>#N/A</v>
      </c>
      <c r="FO441" s="138" t="e">
        <f>IF(VLOOKUP(CONCATENATE(H441,F441,FO$2),Ciencias!$A:$H,7,FALSE)=CC441,1,0)</f>
        <v>#N/A</v>
      </c>
      <c r="FP441" s="138" t="e">
        <f>IF(VLOOKUP(CONCATENATE(H441,F441,FP$2),GeoHis!$A:$H,7,FALSE)=CD441,1,0)</f>
        <v>#N/A</v>
      </c>
      <c r="FQ441" s="138" t="e">
        <f>IF(VLOOKUP(CONCATENATE(H441,F441,FQ$2),GeoHis!$A:$H,7,FALSE)=CE441,1,0)</f>
        <v>#N/A</v>
      </c>
      <c r="FR441" s="138" t="e">
        <f>IF(VLOOKUP(CONCATENATE(H441,F441,FR$2),GeoHis!$A:$H,7,FALSE)=CF441,1,0)</f>
        <v>#N/A</v>
      </c>
      <c r="FS441" s="138" t="e">
        <f>IF(VLOOKUP(CONCATENATE(H441,F441,FS$2),GeoHis!$A:$H,7,FALSE)=CG441,1,0)</f>
        <v>#N/A</v>
      </c>
      <c r="FT441" s="138" t="e">
        <f>IF(VLOOKUP(CONCATENATE(H441,F441,FT$2),GeoHis!$A:$H,7,FALSE)=CH441,1,0)</f>
        <v>#N/A</v>
      </c>
      <c r="FU441" s="138" t="e">
        <f>IF(VLOOKUP(CONCATENATE(H441,F441,FU$2),GeoHis!$A:$H,7,FALSE)=CI441,1,0)</f>
        <v>#N/A</v>
      </c>
      <c r="FV441" s="138" t="e">
        <f>IF(VLOOKUP(CONCATENATE(H441,F441,FV$2),GeoHis!$A:$H,7,FALSE)=CJ441,1,0)</f>
        <v>#N/A</v>
      </c>
      <c r="FW441" s="138" t="e">
        <f>IF(VLOOKUP(CONCATENATE(H441,F441,FW$2),GeoHis!$A:$H,7,FALSE)=CK441,1,0)</f>
        <v>#N/A</v>
      </c>
      <c r="FX441" s="138" t="e">
        <f>IF(VLOOKUP(CONCATENATE(H441,F441,FX$2),GeoHis!$A:$H,7,FALSE)=CL441,1,0)</f>
        <v>#N/A</v>
      </c>
      <c r="FY441" s="138" t="e">
        <f>IF(VLOOKUP(CONCATENATE(H441,F441,FY$2),GeoHis!$A:$H,7,FALSE)=CM441,1,0)</f>
        <v>#N/A</v>
      </c>
      <c r="FZ441" s="138" t="e">
        <f>IF(VLOOKUP(CONCATENATE(H441,F441,FZ$2),GeoHis!$A:$H,7,FALSE)=CN441,1,0)</f>
        <v>#N/A</v>
      </c>
      <c r="GA441" s="138" t="e">
        <f>IF(VLOOKUP(CONCATENATE(H441,F441,GA$2),GeoHis!$A:$H,7,FALSE)=CO441,1,0)</f>
        <v>#N/A</v>
      </c>
      <c r="GB441" s="138" t="e">
        <f>IF(VLOOKUP(CONCATENATE(H441,F441,GB$2),GeoHis!$A:$H,7,FALSE)=CP441,1,0)</f>
        <v>#N/A</v>
      </c>
      <c r="GC441" s="138" t="e">
        <f>IF(VLOOKUP(CONCATENATE(H441,F441,GC$2),GeoHis!$A:$H,7,FALSE)=CQ441,1,0)</f>
        <v>#N/A</v>
      </c>
      <c r="GD441" s="138" t="e">
        <f>IF(VLOOKUP(CONCATENATE(H441,F441,GD$2),GeoHis!$A:$H,7,FALSE)=CR441,1,0)</f>
        <v>#N/A</v>
      </c>
      <c r="GE441" s="135" t="str">
        <f t="shared" si="55"/>
        <v/>
      </c>
    </row>
    <row r="442" spans="1:187" x14ac:dyDescent="0.25">
      <c r="A442" s="127" t="str">
        <f>IF(C442="","",'Datos Generales'!$A$25)</f>
        <v/>
      </c>
      <c r="D442" s="126" t="str">
        <f t="shared" si="48"/>
        <v/>
      </c>
      <c r="E442" s="126">
        <f t="shared" si="49"/>
        <v>0</v>
      </c>
      <c r="F442" s="126" t="str">
        <f t="shared" si="50"/>
        <v/>
      </c>
      <c r="G442" s="126" t="str">
        <f>IF(C442="","",'Datos Generales'!$D$19)</f>
        <v/>
      </c>
      <c r="H442" s="21" t="str">
        <f>IF(C442="","",'Datos Generales'!$A$19)</f>
        <v/>
      </c>
      <c r="I442" s="126" t="str">
        <f>IF(C442="","",'Datos Generales'!$A$7)</f>
        <v/>
      </c>
      <c r="J442" s="21" t="str">
        <f>IF(C442="","",'Datos Generales'!$A$13)</f>
        <v/>
      </c>
      <c r="K442" s="21" t="str">
        <f>IF(C442="","",'Datos Generales'!$A$10)</f>
        <v/>
      </c>
      <c r="CS442" s="142" t="str">
        <f t="shared" si="51"/>
        <v/>
      </c>
      <c r="CT442" s="142" t="str">
        <f t="shared" si="52"/>
        <v/>
      </c>
      <c r="CU442" s="142" t="str">
        <f t="shared" si="53"/>
        <v/>
      </c>
      <c r="CV442" s="142" t="str">
        <f t="shared" si="54"/>
        <v/>
      </c>
      <c r="CW442" s="142" t="str">
        <f>IF(C442="","",IF('Datos Generales'!$A$19=1,AVERAGE(FP442:GD442),AVERAGE(Captura!FP442:FY442)))</f>
        <v/>
      </c>
      <c r="CX442" s="138" t="e">
        <f>IF(VLOOKUP(CONCATENATE($H$4,$F$4,CX$2),Español!$A:$H,7,FALSE)=L442,1,0)</f>
        <v>#N/A</v>
      </c>
      <c r="CY442" s="138" t="e">
        <f>IF(VLOOKUP(CONCATENATE(H442,F442,CY$2),Español!$A:$H,7,FALSE)=M442,1,0)</f>
        <v>#N/A</v>
      </c>
      <c r="CZ442" s="138" t="e">
        <f>IF(VLOOKUP(CONCATENATE(H442,F442,CZ$2),Español!$A:$H,7,FALSE)=N442,1,0)</f>
        <v>#N/A</v>
      </c>
      <c r="DA442" s="138" t="e">
        <f>IF(VLOOKUP(CONCATENATE(H442,F442,DA$2),Español!$A:$H,7,FALSE)=O442,1,0)</f>
        <v>#N/A</v>
      </c>
      <c r="DB442" s="138" t="e">
        <f>IF(VLOOKUP(CONCATENATE(H442,F442,DB$2),Español!$A:$H,7,FALSE)=P442,1,0)</f>
        <v>#N/A</v>
      </c>
      <c r="DC442" s="138" t="e">
        <f>IF(VLOOKUP(CONCATENATE(H442,F442,DC$2),Español!$A:$H,7,FALSE)=Q442,1,0)</f>
        <v>#N/A</v>
      </c>
      <c r="DD442" s="138" t="e">
        <f>IF(VLOOKUP(CONCATENATE(H442,F442,DD$2),Español!$A:$H,7,FALSE)=R442,1,0)</f>
        <v>#N/A</v>
      </c>
      <c r="DE442" s="138" t="e">
        <f>IF(VLOOKUP(CONCATENATE(H442,F442,DE$2),Español!$A:$H,7,FALSE)=S442,1,0)</f>
        <v>#N/A</v>
      </c>
      <c r="DF442" s="138" t="e">
        <f>IF(VLOOKUP(CONCATENATE(H442,F442,DF$2),Español!$A:$H,7,FALSE)=T442,1,0)</f>
        <v>#N/A</v>
      </c>
      <c r="DG442" s="138" t="e">
        <f>IF(VLOOKUP(CONCATENATE(H442,F442,DG$2),Español!$A:$H,7,FALSE)=U442,1,0)</f>
        <v>#N/A</v>
      </c>
      <c r="DH442" s="138" t="e">
        <f>IF(VLOOKUP(CONCATENATE(H442,F442,DH$2),Español!$A:$H,7,FALSE)=V442,1,0)</f>
        <v>#N/A</v>
      </c>
      <c r="DI442" s="138" t="e">
        <f>IF(VLOOKUP(CONCATENATE(H442,F442,DI$2),Español!$A:$H,7,FALSE)=W442,1,0)</f>
        <v>#N/A</v>
      </c>
      <c r="DJ442" s="138" t="e">
        <f>IF(VLOOKUP(CONCATENATE(H442,F442,DJ$2),Español!$A:$H,7,FALSE)=X442,1,0)</f>
        <v>#N/A</v>
      </c>
      <c r="DK442" s="138" t="e">
        <f>IF(VLOOKUP(CONCATENATE(H442,F442,DK$2),Español!$A:$H,7,FALSE)=Y442,1,0)</f>
        <v>#N/A</v>
      </c>
      <c r="DL442" s="138" t="e">
        <f>IF(VLOOKUP(CONCATENATE(H442,F442,DL$2),Español!$A:$H,7,FALSE)=Z442,1,0)</f>
        <v>#N/A</v>
      </c>
      <c r="DM442" s="138" t="e">
        <f>IF(VLOOKUP(CONCATENATE(H442,F442,DM$2),Español!$A:$H,7,FALSE)=AA442,1,0)</f>
        <v>#N/A</v>
      </c>
      <c r="DN442" s="138" t="e">
        <f>IF(VLOOKUP(CONCATENATE(H442,F442,DN$2),Español!$A:$H,7,FALSE)=AB442,1,0)</f>
        <v>#N/A</v>
      </c>
      <c r="DO442" s="138" t="e">
        <f>IF(VLOOKUP(CONCATENATE(H442,F442,DO$2),Español!$A:$H,7,FALSE)=AC442,1,0)</f>
        <v>#N/A</v>
      </c>
      <c r="DP442" s="138" t="e">
        <f>IF(VLOOKUP(CONCATENATE(H442,F442,DP$2),Español!$A:$H,7,FALSE)=AD442,1,0)</f>
        <v>#N/A</v>
      </c>
      <c r="DQ442" s="138" t="e">
        <f>IF(VLOOKUP(CONCATENATE(H442,F442,DQ$2),Español!$A:$H,7,FALSE)=AE442,1,0)</f>
        <v>#N/A</v>
      </c>
      <c r="DR442" s="138" t="e">
        <f>IF(VLOOKUP(CONCATENATE(H442,F442,DR$2),Inglés!$A:$H,7,FALSE)=AF442,1,0)</f>
        <v>#N/A</v>
      </c>
      <c r="DS442" s="138" t="e">
        <f>IF(VLOOKUP(CONCATENATE(H442,F442,DS$2),Inglés!$A:$H,7,FALSE)=AG442,1,0)</f>
        <v>#N/A</v>
      </c>
      <c r="DT442" s="138" t="e">
        <f>IF(VLOOKUP(CONCATENATE(H442,F442,DT$2),Inglés!$A:$H,7,FALSE)=AH442,1,0)</f>
        <v>#N/A</v>
      </c>
      <c r="DU442" s="138" t="e">
        <f>IF(VLOOKUP(CONCATENATE(H442,F442,DU$2),Inglés!$A:$H,7,FALSE)=AI442,1,0)</f>
        <v>#N/A</v>
      </c>
      <c r="DV442" s="138" t="e">
        <f>IF(VLOOKUP(CONCATENATE(H442,F442,DV$2),Inglés!$A:$H,7,FALSE)=AJ442,1,0)</f>
        <v>#N/A</v>
      </c>
      <c r="DW442" s="138" t="e">
        <f>IF(VLOOKUP(CONCATENATE(H442,F442,DW$2),Inglés!$A:$H,7,FALSE)=AK442,1,0)</f>
        <v>#N/A</v>
      </c>
      <c r="DX442" s="138" t="e">
        <f>IF(VLOOKUP(CONCATENATE(H442,F442,DX$2),Inglés!$A:$H,7,FALSE)=AL442,1,0)</f>
        <v>#N/A</v>
      </c>
      <c r="DY442" s="138" t="e">
        <f>IF(VLOOKUP(CONCATENATE(H442,F442,DY$2),Inglés!$A:$H,7,FALSE)=AM442,1,0)</f>
        <v>#N/A</v>
      </c>
      <c r="DZ442" s="138" t="e">
        <f>IF(VLOOKUP(CONCATENATE(H442,F442,DZ$2),Inglés!$A:$H,7,FALSE)=AN442,1,0)</f>
        <v>#N/A</v>
      </c>
      <c r="EA442" s="138" t="e">
        <f>IF(VLOOKUP(CONCATENATE(H442,F442,EA$2),Inglés!$A:$H,7,FALSE)=AO442,1,0)</f>
        <v>#N/A</v>
      </c>
      <c r="EB442" s="138" t="e">
        <f>IF(VLOOKUP(CONCATENATE(H442,F442,EB$2),Matemáticas!$A:$H,7,FALSE)=AP442,1,0)</f>
        <v>#N/A</v>
      </c>
      <c r="EC442" s="138" t="e">
        <f>IF(VLOOKUP(CONCATENATE(H442,F442,EC$2),Matemáticas!$A:$H,7,FALSE)=AQ442,1,0)</f>
        <v>#N/A</v>
      </c>
      <c r="ED442" s="138" t="e">
        <f>IF(VLOOKUP(CONCATENATE(H442,F442,ED$2),Matemáticas!$A:$H,7,FALSE)=AR442,1,0)</f>
        <v>#N/A</v>
      </c>
      <c r="EE442" s="138" t="e">
        <f>IF(VLOOKUP(CONCATENATE(H442,F442,EE$2),Matemáticas!$A:$H,7,FALSE)=AS442,1,0)</f>
        <v>#N/A</v>
      </c>
      <c r="EF442" s="138" t="e">
        <f>IF(VLOOKUP(CONCATENATE(H442,F442,EF$2),Matemáticas!$A:$H,7,FALSE)=AT442,1,0)</f>
        <v>#N/A</v>
      </c>
      <c r="EG442" s="138" t="e">
        <f>IF(VLOOKUP(CONCATENATE(H442,F442,EG$2),Matemáticas!$A:$H,7,FALSE)=AU442,1,0)</f>
        <v>#N/A</v>
      </c>
      <c r="EH442" s="138" t="e">
        <f>IF(VLOOKUP(CONCATENATE(H442,F442,EH$2),Matemáticas!$A:$H,7,FALSE)=AV442,1,0)</f>
        <v>#N/A</v>
      </c>
      <c r="EI442" s="138" t="e">
        <f>IF(VLOOKUP(CONCATENATE(H442,F442,EI$2),Matemáticas!$A:$H,7,FALSE)=AW442,1,0)</f>
        <v>#N/A</v>
      </c>
      <c r="EJ442" s="138" t="e">
        <f>IF(VLOOKUP(CONCATENATE(H442,F442,EJ$2),Matemáticas!$A:$H,7,FALSE)=AX442,1,0)</f>
        <v>#N/A</v>
      </c>
      <c r="EK442" s="138" t="e">
        <f>IF(VLOOKUP(CONCATENATE(H442,F442,EK$2),Matemáticas!$A:$H,7,FALSE)=AY442,1,0)</f>
        <v>#N/A</v>
      </c>
      <c r="EL442" s="138" t="e">
        <f>IF(VLOOKUP(CONCATENATE(H442,F442,EL$2),Matemáticas!$A:$H,7,FALSE)=AZ442,1,0)</f>
        <v>#N/A</v>
      </c>
      <c r="EM442" s="138" t="e">
        <f>IF(VLOOKUP(CONCATENATE(H442,F442,EM$2),Matemáticas!$A:$H,7,FALSE)=BA442,1,0)</f>
        <v>#N/A</v>
      </c>
      <c r="EN442" s="138" t="e">
        <f>IF(VLOOKUP(CONCATENATE(H442,F442,EN$2),Matemáticas!$A:$H,7,FALSE)=BB442,1,0)</f>
        <v>#N/A</v>
      </c>
      <c r="EO442" s="138" t="e">
        <f>IF(VLOOKUP(CONCATENATE(H442,F442,EO$2),Matemáticas!$A:$H,7,FALSE)=BC442,1,0)</f>
        <v>#N/A</v>
      </c>
      <c r="EP442" s="138" t="e">
        <f>IF(VLOOKUP(CONCATENATE(H442,F442,EP$2),Matemáticas!$A:$H,7,FALSE)=BD442,1,0)</f>
        <v>#N/A</v>
      </c>
      <c r="EQ442" s="138" t="e">
        <f>IF(VLOOKUP(CONCATENATE(H442,F442,EQ$2),Matemáticas!$A:$H,7,FALSE)=BE442,1,0)</f>
        <v>#N/A</v>
      </c>
      <c r="ER442" s="138" t="e">
        <f>IF(VLOOKUP(CONCATENATE(H442,F442,ER$2),Matemáticas!$A:$H,7,FALSE)=BF442,1,0)</f>
        <v>#N/A</v>
      </c>
      <c r="ES442" s="138" t="e">
        <f>IF(VLOOKUP(CONCATENATE(H442,F442,ES$2),Matemáticas!$A:$H,7,FALSE)=BG442,1,0)</f>
        <v>#N/A</v>
      </c>
      <c r="ET442" s="138" t="e">
        <f>IF(VLOOKUP(CONCATENATE(H442,F442,ET$2),Matemáticas!$A:$H,7,FALSE)=BH442,1,0)</f>
        <v>#N/A</v>
      </c>
      <c r="EU442" s="138" t="e">
        <f>IF(VLOOKUP(CONCATENATE(H442,F442,EU$2),Matemáticas!$A:$H,7,FALSE)=BI442,1,0)</f>
        <v>#N/A</v>
      </c>
      <c r="EV442" s="138" t="e">
        <f>IF(VLOOKUP(CONCATENATE(H442,F442,EV$2),Ciencias!$A:$H,7,FALSE)=BJ442,1,0)</f>
        <v>#N/A</v>
      </c>
      <c r="EW442" s="138" t="e">
        <f>IF(VLOOKUP(CONCATENATE(H442,F442,EW$2),Ciencias!$A:$H,7,FALSE)=BK442,1,0)</f>
        <v>#N/A</v>
      </c>
      <c r="EX442" s="138" t="e">
        <f>IF(VLOOKUP(CONCATENATE(H442,F442,EX$2),Ciencias!$A:$H,7,FALSE)=BL442,1,0)</f>
        <v>#N/A</v>
      </c>
      <c r="EY442" s="138" t="e">
        <f>IF(VLOOKUP(CONCATENATE(H442,F442,EY$2),Ciencias!$A:$H,7,FALSE)=BM442,1,0)</f>
        <v>#N/A</v>
      </c>
      <c r="EZ442" s="138" t="e">
        <f>IF(VLOOKUP(CONCATENATE(H442,F442,EZ$2),Ciencias!$A:$H,7,FALSE)=BN442,1,0)</f>
        <v>#N/A</v>
      </c>
      <c r="FA442" s="138" t="e">
        <f>IF(VLOOKUP(CONCATENATE(H442,F442,FA$2),Ciencias!$A:$H,7,FALSE)=BO442,1,0)</f>
        <v>#N/A</v>
      </c>
      <c r="FB442" s="138" t="e">
        <f>IF(VLOOKUP(CONCATENATE(H442,F442,FB$2),Ciencias!$A:$H,7,FALSE)=BP442,1,0)</f>
        <v>#N/A</v>
      </c>
      <c r="FC442" s="138" t="e">
        <f>IF(VLOOKUP(CONCATENATE(H442,F442,FC$2),Ciencias!$A:$H,7,FALSE)=BQ442,1,0)</f>
        <v>#N/A</v>
      </c>
      <c r="FD442" s="138" t="e">
        <f>IF(VLOOKUP(CONCATENATE(H442,F442,FD$2),Ciencias!$A:$H,7,FALSE)=BR442,1,0)</f>
        <v>#N/A</v>
      </c>
      <c r="FE442" s="138" t="e">
        <f>IF(VLOOKUP(CONCATENATE(H442,F442,FE$2),Ciencias!$A:$H,7,FALSE)=BS442,1,0)</f>
        <v>#N/A</v>
      </c>
      <c r="FF442" s="138" t="e">
        <f>IF(VLOOKUP(CONCATENATE(H442,F442,FF$2),Ciencias!$A:$H,7,FALSE)=BT442,1,0)</f>
        <v>#N/A</v>
      </c>
      <c r="FG442" s="138" t="e">
        <f>IF(VLOOKUP(CONCATENATE(H442,F442,FG$2),Ciencias!$A:$H,7,FALSE)=BU442,1,0)</f>
        <v>#N/A</v>
      </c>
      <c r="FH442" s="138" t="e">
        <f>IF(VLOOKUP(CONCATENATE(H442,F442,FH$2),Ciencias!$A:$H,7,FALSE)=BV442,1,0)</f>
        <v>#N/A</v>
      </c>
      <c r="FI442" s="138" t="e">
        <f>IF(VLOOKUP(CONCATENATE(H442,F442,FI$2),Ciencias!$A:$H,7,FALSE)=BW442,1,0)</f>
        <v>#N/A</v>
      </c>
      <c r="FJ442" s="138" t="e">
        <f>IF(VLOOKUP(CONCATENATE(H442,F442,FJ$2),Ciencias!$A:$H,7,FALSE)=BX442,1,0)</f>
        <v>#N/A</v>
      </c>
      <c r="FK442" s="138" t="e">
        <f>IF(VLOOKUP(CONCATENATE(H442,F442,FK$2),Ciencias!$A:$H,7,FALSE)=BY442,1,0)</f>
        <v>#N/A</v>
      </c>
      <c r="FL442" s="138" t="e">
        <f>IF(VLOOKUP(CONCATENATE(H442,F442,FL$2),Ciencias!$A:$H,7,FALSE)=BZ442,1,0)</f>
        <v>#N/A</v>
      </c>
      <c r="FM442" s="138" t="e">
        <f>IF(VLOOKUP(CONCATENATE(H442,F442,FM$2),Ciencias!$A:$H,7,FALSE)=CA442,1,0)</f>
        <v>#N/A</v>
      </c>
      <c r="FN442" s="138" t="e">
        <f>IF(VLOOKUP(CONCATENATE(H442,F442,FN$2),Ciencias!$A:$H,7,FALSE)=CB442,1,0)</f>
        <v>#N/A</v>
      </c>
      <c r="FO442" s="138" t="e">
        <f>IF(VLOOKUP(CONCATENATE(H442,F442,FO$2),Ciencias!$A:$H,7,FALSE)=CC442,1,0)</f>
        <v>#N/A</v>
      </c>
      <c r="FP442" s="138" t="e">
        <f>IF(VLOOKUP(CONCATENATE(H442,F442,FP$2),GeoHis!$A:$H,7,FALSE)=CD442,1,0)</f>
        <v>#N/A</v>
      </c>
      <c r="FQ442" s="138" t="e">
        <f>IF(VLOOKUP(CONCATENATE(H442,F442,FQ$2),GeoHis!$A:$H,7,FALSE)=CE442,1,0)</f>
        <v>#N/A</v>
      </c>
      <c r="FR442" s="138" t="e">
        <f>IF(VLOOKUP(CONCATENATE(H442,F442,FR$2),GeoHis!$A:$H,7,FALSE)=CF442,1,0)</f>
        <v>#N/A</v>
      </c>
      <c r="FS442" s="138" t="e">
        <f>IF(VLOOKUP(CONCATENATE(H442,F442,FS$2),GeoHis!$A:$H,7,FALSE)=CG442,1,0)</f>
        <v>#N/A</v>
      </c>
      <c r="FT442" s="138" t="e">
        <f>IF(VLOOKUP(CONCATENATE(H442,F442,FT$2),GeoHis!$A:$H,7,FALSE)=CH442,1,0)</f>
        <v>#N/A</v>
      </c>
      <c r="FU442" s="138" t="e">
        <f>IF(VLOOKUP(CONCATENATE(H442,F442,FU$2),GeoHis!$A:$H,7,FALSE)=CI442,1,0)</f>
        <v>#N/A</v>
      </c>
      <c r="FV442" s="138" t="e">
        <f>IF(VLOOKUP(CONCATENATE(H442,F442,FV$2),GeoHis!$A:$H,7,FALSE)=CJ442,1,0)</f>
        <v>#N/A</v>
      </c>
      <c r="FW442" s="138" t="e">
        <f>IF(VLOOKUP(CONCATENATE(H442,F442,FW$2),GeoHis!$A:$H,7,FALSE)=CK442,1,0)</f>
        <v>#N/A</v>
      </c>
      <c r="FX442" s="138" t="e">
        <f>IF(VLOOKUP(CONCATENATE(H442,F442,FX$2),GeoHis!$A:$H,7,FALSE)=CL442,1,0)</f>
        <v>#N/A</v>
      </c>
      <c r="FY442" s="138" t="e">
        <f>IF(VLOOKUP(CONCATENATE(H442,F442,FY$2),GeoHis!$A:$H,7,FALSE)=CM442,1,0)</f>
        <v>#N/A</v>
      </c>
      <c r="FZ442" s="138" t="e">
        <f>IF(VLOOKUP(CONCATENATE(H442,F442,FZ$2),GeoHis!$A:$H,7,FALSE)=CN442,1,0)</f>
        <v>#N/A</v>
      </c>
      <c r="GA442" s="138" t="e">
        <f>IF(VLOOKUP(CONCATENATE(H442,F442,GA$2),GeoHis!$A:$H,7,FALSE)=CO442,1,0)</f>
        <v>#N/A</v>
      </c>
      <c r="GB442" s="138" t="e">
        <f>IF(VLOOKUP(CONCATENATE(H442,F442,GB$2),GeoHis!$A:$H,7,FALSE)=CP442,1,0)</f>
        <v>#N/A</v>
      </c>
      <c r="GC442" s="138" t="e">
        <f>IF(VLOOKUP(CONCATENATE(H442,F442,GC$2),GeoHis!$A:$H,7,FALSE)=CQ442,1,0)</f>
        <v>#N/A</v>
      </c>
      <c r="GD442" s="138" t="e">
        <f>IF(VLOOKUP(CONCATENATE(H442,F442,GD$2),GeoHis!$A:$H,7,FALSE)=CR442,1,0)</f>
        <v>#N/A</v>
      </c>
      <c r="GE442" s="135" t="str">
        <f t="shared" si="55"/>
        <v/>
      </c>
    </row>
    <row r="443" spans="1:187" x14ac:dyDescent="0.25">
      <c r="A443" s="127" t="str">
        <f>IF(C443="","",'Datos Generales'!$A$25)</f>
        <v/>
      </c>
      <c r="D443" s="126" t="str">
        <f t="shared" si="48"/>
        <v/>
      </c>
      <c r="E443" s="126">
        <f t="shared" si="49"/>
        <v>0</v>
      </c>
      <c r="F443" s="126" t="str">
        <f t="shared" si="50"/>
        <v/>
      </c>
      <c r="G443" s="126" t="str">
        <f>IF(C443="","",'Datos Generales'!$D$19)</f>
        <v/>
      </c>
      <c r="H443" s="21" t="str">
        <f>IF(C443="","",'Datos Generales'!$A$19)</f>
        <v/>
      </c>
      <c r="I443" s="126" t="str">
        <f>IF(C443="","",'Datos Generales'!$A$7)</f>
        <v/>
      </c>
      <c r="J443" s="21" t="str">
        <f>IF(C443="","",'Datos Generales'!$A$13)</f>
        <v/>
      </c>
      <c r="K443" s="21" t="str">
        <f>IF(C443="","",'Datos Generales'!$A$10)</f>
        <v/>
      </c>
      <c r="CS443" s="142" t="str">
        <f t="shared" si="51"/>
        <v/>
      </c>
      <c r="CT443" s="142" t="str">
        <f t="shared" si="52"/>
        <v/>
      </c>
      <c r="CU443" s="142" t="str">
        <f t="shared" si="53"/>
        <v/>
      </c>
      <c r="CV443" s="142" t="str">
        <f t="shared" si="54"/>
        <v/>
      </c>
      <c r="CW443" s="142" t="str">
        <f>IF(C443="","",IF('Datos Generales'!$A$19=1,AVERAGE(FP443:GD443),AVERAGE(Captura!FP443:FY443)))</f>
        <v/>
      </c>
      <c r="CX443" s="138" t="e">
        <f>IF(VLOOKUP(CONCATENATE($H$4,$F$4,CX$2),Español!$A:$H,7,FALSE)=L443,1,0)</f>
        <v>#N/A</v>
      </c>
      <c r="CY443" s="138" t="e">
        <f>IF(VLOOKUP(CONCATENATE(H443,F443,CY$2),Español!$A:$H,7,FALSE)=M443,1,0)</f>
        <v>#N/A</v>
      </c>
      <c r="CZ443" s="138" t="e">
        <f>IF(VLOOKUP(CONCATENATE(H443,F443,CZ$2),Español!$A:$H,7,FALSE)=N443,1,0)</f>
        <v>#N/A</v>
      </c>
      <c r="DA443" s="138" t="e">
        <f>IF(VLOOKUP(CONCATENATE(H443,F443,DA$2),Español!$A:$H,7,FALSE)=O443,1,0)</f>
        <v>#N/A</v>
      </c>
      <c r="DB443" s="138" t="e">
        <f>IF(VLOOKUP(CONCATENATE(H443,F443,DB$2),Español!$A:$H,7,FALSE)=P443,1,0)</f>
        <v>#N/A</v>
      </c>
      <c r="DC443" s="138" t="e">
        <f>IF(VLOOKUP(CONCATENATE(H443,F443,DC$2),Español!$A:$H,7,FALSE)=Q443,1,0)</f>
        <v>#N/A</v>
      </c>
      <c r="DD443" s="138" t="e">
        <f>IF(VLOOKUP(CONCATENATE(H443,F443,DD$2),Español!$A:$H,7,FALSE)=R443,1,0)</f>
        <v>#N/A</v>
      </c>
      <c r="DE443" s="138" t="e">
        <f>IF(VLOOKUP(CONCATENATE(H443,F443,DE$2),Español!$A:$H,7,FALSE)=S443,1,0)</f>
        <v>#N/A</v>
      </c>
      <c r="DF443" s="138" t="e">
        <f>IF(VLOOKUP(CONCATENATE(H443,F443,DF$2),Español!$A:$H,7,FALSE)=T443,1,0)</f>
        <v>#N/A</v>
      </c>
      <c r="DG443" s="138" t="e">
        <f>IF(VLOOKUP(CONCATENATE(H443,F443,DG$2),Español!$A:$H,7,FALSE)=U443,1,0)</f>
        <v>#N/A</v>
      </c>
      <c r="DH443" s="138" t="e">
        <f>IF(VLOOKUP(CONCATENATE(H443,F443,DH$2),Español!$A:$H,7,FALSE)=V443,1,0)</f>
        <v>#N/A</v>
      </c>
      <c r="DI443" s="138" t="e">
        <f>IF(VLOOKUP(CONCATENATE(H443,F443,DI$2),Español!$A:$H,7,FALSE)=W443,1,0)</f>
        <v>#N/A</v>
      </c>
      <c r="DJ443" s="138" t="e">
        <f>IF(VLOOKUP(CONCATENATE(H443,F443,DJ$2),Español!$A:$H,7,FALSE)=X443,1,0)</f>
        <v>#N/A</v>
      </c>
      <c r="DK443" s="138" t="e">
        <f>IF(VLOOKUP(CONCATENATE(H443,F443,DK$2),Español!$A:$H,7,FALSE)=Y443,1,0)</f>
        <v>#N/A</v>
      </c>
      <c r="DL443" s="138" t="e">
        <f>IF(VLOOKUP(CONCATENATE(H443,F443,DL$2),Español!$A:$H,7,FALSE)=Z443,1,0)</f>
        <v>#N/A</v>
      </c>
      <c r="DM443" s="138" t="e">
        <f>IF(VLOOKUP(CONCATENATE(H443,F443,DM$2),Español!$A:$H,7,FALSE)=AA443,1,0)</f>
        <v>#N/A</v>
      </c>
      <c r="DN443" s="138" t="e">
        <f>IF(VLOOKUP(CONCATENATE(H443,F443,DN$2),Español!$A:$H,7,FALSE)=AB443,1,0)</f>
        <v>#N/A</v>
      </c>
      <c r="DO443" s="138" t="e">
        <f>IF(VLOOKUP(CONCATENATE(H443,F443,DO$2),Español!$A:$H,7,FALSE)=AC443,1,0)</f>
        <v>#N/A</v>
      </c>
      <c r="DP443" s="138" t="e">
        <f>IF(VLOOKUP(CONCATENATE(H443,F443,DP$2),Español!$A:$H,7,FALSE)=AD443,1,0)</f>
        <v>#N/A</v>
      </c>
      <c r="DQ443" s="138" t="e">
        <f>IF(VLOOKUP(CONCATENATE(H443,F443,DQ$2),Español!$A:$H,7,FALSE)=AE443,1,0)</f>
        <v>#N/A</v>
      </c>
      <c r="DR443" s="138" t="e">
        <f>IF(VLOOKUP(CONCATENATE(H443,F443,DR$2),Inglés!$A:$H,7,FALSE)=AF443,1,0)</f>
        <v>#N/A</v>
      </c>
      <c r="DS443" s="138" t="e">
        <f>IF(VLOOKUP(CONCATENATE(H443,F443,DS$2),Inglés!$A:$H,7,FALSE)=AG443,1,0)</f>
        <v>#N/A</v>
      </c>
      <c r="DT443" s="138" t="e">
        <f>IF(VLOOKUP(CONCATENATE(H443,F443,DT$2),Inglés!$A:$H,7,FALSE)=AH443,1,0)</f>
        <v>#N/A</v>
      </c>
      <c r="DU443" s="138" t="e">
        <f>IF(VLOOKUP(CONCATENATE(H443,F443,DU$2),Inglés!$A:$H,7,FALSE)=AI443,1,0)</f>
        <v>#N/A</v>
      </c>
      <c r="DV443" s="138" t="e">
        <f>IF(VLOOKUP(CONCATENATE(H443,F443,DV$2),Inglés!$A:$H,7,FALSE)=AJ443,1,0)</f>
        <v>#N/A</v>
      </c>
      <c r="DW443" s="138" t="e">
        <f>IF(VLOOKUP(CONCATENATE(H443,F443,DW$2),Inglés!$A:$H,7,FALSE)=AK443,1,0)</f>
        <v>#N/A</v>
      </c>
      <c r="DX443" s="138" t="e">
        <f>IF(VLOOKUP(CONCATENATE(H443,F443,DX$2),Inglés!$A:$H,7,FALSE)=AL443,1,0)</f>
        <v>#N/A</v>
      </c>
      <c r="DY443" s="138" t="e">
        <f>IF(VLOOKUP(CONCATENATE(H443,F443,DY$2),Inglés!$A:$H,7,FALSE)=AM443,1,0)</f>
        <v>#N/A</v>
      </c>
      <c r="DZ443" s="138" t="e">
        <f>IF(VLOOKUP(CONCATENATE(H443,F443,DZ$2),Inglés!$A:$H,7,FALSE)=AN443,1,0)</f>
        <v>#N/A</v>
      </c>
      <c r="EA443" s="138" t="e">
        <f>IF(VLOOKUP(CONCATENATE(H443,F443,EA$2),Inglés!$A:$H,7,FALSE)=AO443,1,0)</f>
        <v>#N/A</v>
      </c>
      <c r="EB443" s="138" t="e">
        <f>IF(VLOOKUP(CONCATENATE(H443,F443,EB$2),Matemáticas!$A:$H,7,FALSE)=AP443,1,0)</f>
        <v>#N/A</v>
      </c>
      <c r="EC443" s="138" t="e">
        <f>IF(VLOOKUP(CONCATENATE(H443,F443,EC$2),Matemáticas!$A:$H,7,FALSE)=AQ443,1,0)</f>
        <v>#N/A</v>
      </c>
      <c r="ED443" s="138" t="e">
        <f>IF(VLOOKUP(CONCATENATE(H443,F443,ED$2),Matemáticas!$A:$H,7,FALSE)=AR443,1,0)</f>
        <v>#N/A</v>
      </c>
      <c r="EE443" s="138" t="e">
        <f>IF(VLOOKUP(CONCATENATE(H443,F443,EE$2),Matemáticas!$A:$H,7,FALSE)=AS443,1,0)</f>
        <v>#N/A</v>
      </c>
      <c r="EF443" s="138" t="e">
        <f>IF(VLOOKUP(CONCATENATE(H443,F443,EF$2),Matemáticas!$A:$H,7,FALSE)=AT443,1,0)</f>
        <v>#N/A</v>
      </c>
      <c r="EG443" s="138" t="e">
        <f>IF(VLOOKUP(CONCATENATE(H443,F443,EG$2),Matemáticas!$A:$H,7,FALSE)=AU443,1,0)</f>
        <v>#N/A</v>
      </c>
      <c r="EH443" s="138" t="e">
        <f>IF(VLOOKUP(CONCATENATE(H443,F443,EH$2),Matemáticas!$A:$H,7,FALSE)=AV443,1,0)</f>
        <v>#N/A</v>
      </c>
      <c r="EI443" s="138" t="e">
        <f>IF(VLOOKUP(CONCATENATE(H443,F443,EI$2),Matemáticas!$A:$H,7,FALSE)=AW443,1,0)</f>
        <v>#N/A</v>
      </c>
      <c r="EJ443" s="138" t="e">
        <f>IF(VLOOKUP(CONCATENATE(H443,F443,EJ$2),Matemáticas!$A:$H,7,FALSE)=AX443,1,0)</f>
        <v>#N/A</v>
      </c>
      <c r="EK443" s="138" t="e">
        <f>IF(VLOOKUP(CONCATENATE(H443,F443,EK$2),Matemáticas!$A:$H,7,FALSE)=AY443,1,0)</f>
        <v>#N/A</v>
      </c>
      <c r="EL443" s="138" t="e">
        <f>IF(VLOOKUP(CONCATENATE(H443,F443,EL$2),Matemáticas!$A:$H,7,FALSE)=AZ443,1,0)</f>
        <v>#N/A</v>
      </c>
      <c r="EM443" s="138" t="e">
        <f>IF(VLOOKUP(CONCATENATE(H443,F443,EM$2),Matemáticas!$A:$H,7,FALSE)=BA443,1,0)</f>
        <v>#N/A</v>
      </c>
      <c r="EN443" s="138" t="e">
        <f>IF(VLOOKUP(CONCATENATE(H443,F443,EN$2),Matemáticas!$A:$H,7,FALSE)=BB443,1,0)</f>
        <v>#N/A</v>
      </c>
      <c r="EO443" s="138" t="e">
        <f>IF(VLOOKUP(CONCATENATE(H443,F443,EO$2),Matemáticas!$A:$H,7,FALSE)=BC443,1,0)</f>
        <v>#N/A</v>
      </c>
      <c r="EP443" s="138" t="e">
        <f>IF(VLOOKUP(CONCATENATE(H443,F443,EP$2),Matemáticas!$A:$H,7,FALSE)=BD443,1,0)</f>
        <v>#N/A</v>
      </c>
      <c r="EQ443" s="138" t="e">
        <f>IF(VLOOKUP(CONCATENATE(H443,F443,EQ$2),Matemáticas!$A:$H,7,FALSE)=BE443,1,0)</f>
        <v>#N/A</v>
      </c>
      <c r="ER443" s="138" t="e">
        <f>IF(VLOOKUP(CONCATENATE(H443,F443,ER$2),Matemáticas!$A:$H,7,FALSE)=BF443,1,0)</f>
        <v>#N/A</v>
      </c>
      <c r="ES443" s="138" t="e">
        <f>IF(VLOOKUP(CONCATENATE(H443,F443,ES$2),Matemáticas!$A:$H,7,FALSE)=BG443,1,0)</f>
        <v>#N/A</v>
      </c>
      <c r="ET443" s="138" t="e">
        <f>IF(VLOOKUP(CONCATENATE(H443,F443,ET$2),Matemáticas!$A:$H,7,FALSE)=BH443,1,0)</f>
        <v>#N/A</v>
      </c>
      <c r="EU443" s="138" t="e">
        <f>IF(VLOOKUP(CONCATENATE(H443,F443,EU$2),Matemáticas!$A:$H,7,FALSE)=BI443,1,0)</f>
        <v>#N/A</v>
      </c>
      <c r="EV443" s="138" t="e">
        <f>IF(VLOOKUP(CONCATENATE(H443,F443,EV$2),Ciencias!$A:$H,7,FALSE)=BJ443,1,0)</f>
        <v>#N/A</v>
      </c>
      <c r="EW443" s="138" t="e">
        <f>IF(VLOOKUP(CONCATENATE(H443,F443,EW$2),Ciencias!$A:$H,7,FALSE)=BK443,1,0)</f>
        <v>#N/A</v>
      </c>
      <c r="EX443" s="138" t="e">
        <f>IF(VLOOKUP(CONCATENATE(H443,F443,EX$2),Ciencias!$A:$H,7,FALSE)=BL443,1,0)</f>
        <v>#N/A</v>
      </c>
      <c r="EY443" s="138" t="e">
        <f>IF(VLOOKUP(CONCATENATE(H443,F443,EY$2),Ciencias!$A:$H,7,FALSE)=BM443,1,0)</f>
        <v>#N/A</v>
      </c>
      <c r="EZ443" s="138" t="e">
        <f>IF(VLOOKUP(CONCATENATE(H443,F443,EZ$2),Ciencias!$A:$H,7,FALSE)=BN443,1,0)</f>
        <v>#N/A</v>
      </c>
      <c r="FA443" s="138" t="e">
        <f>IF(VLOOKUP(CONCATENATE(H443,F443,FA$2),Ciencias!$A:$H,7,FALSE)=BO443,1,0)</f>
        <v>#N/A</v>
      </c>
      <c r="FB443" s="138" t="e">
        <f>IF(VLOOKUP(CONCATENATE(H443,F443,FB$2),Ciencias!$A:$H,7,FALSE)=BP443,1,0)</f>
        <v>#N/A</v>
      </c>
      <c r="FC443" s="138" t="e">
        <f>IF(VLOOKUP(CONCATENATE(H443,F443,FC$2),Ciencias!$A:$H,7,FALSE)=BQ443,1,0)</f>
        <v>#N/A</v>
      </c>
      <c r="FD443" s="138" t="e">
        <f>IF(VLOOKUP(CONCATENATE(H443,F443,FD$2),Ciencias!$A:$H,7,FALSE)=BR443,1,0)</f>
        <v>#N/A</v>
      </c>
      <c r="FE443" s="138" t="e">
        <f>IF(VLOOKUP(CONCATENATE(H443,F443,FE$2),Ciencias!$A:$H,7,FALSE)=BS443,1,0)</f>
        <v>#N/A</v>
      </c>
      <c r="FF443" s="138" t="e">
        <f>IF(VLOOKUP(CONCATENATE(H443,F443,FF$2),Ciencias!$A:$H,7,FALSE)=BT443,1,0)</f>
        <v>#N/A</v>
      </c>
      <c r="FG443" s="138" t="e">
        <f>IF(VLOOKUP(CONCATENATE(H443,F443,FG$2),Ciencias!$A:$H,7,FALSE)=BU443,1,0)</f>
        <v>#N/A</v>
      </c>
      <c r="FH443" s="138" t="e">
        <f>IF(VLOOKUP(CONCATENATE(H443,F443,FH$2),Ciencias!$A:$H,7,FALSE)=BV443,1,0)</f>
        <v>#N/A</v>
      </c>
      <c r="FI443" s="138" t="e">
        <f>IF(VLOOKUP(CONCATENATE(H443,F443,FI$2),Ciencias!$A:$H,7,FALSE)=BW443,1,0)</f>
        <v>#N/A</v>
      </c>
      <c r="FJ443" s="138" t="e">
        <f>IF(VLOOKUP(CONCATENATE(H443,F443,FJ$2),Ciencias!$A:$H,7,FALSE)=BX443,1,0)</f>
        <v>#N/A</v>
      </c>
      <c r="FK443" s="138" t="e">
        <f>IF(VLOOKUP(CONCATENATE(H443,F443,FK$2),Ciencias!$A:$H,7,FALSE)=BY443,1,0)</f>
        <v>#N/A</v>
      </c>
      <c r="FL443" s="138" t="e">
        <f>IF(VLOOKUP(CONCATENATE(H443,F443,FL$2),Ciencias!$A:$H,7,FALSE)=BZ443,1,0)</f>
        <v>#N/A</v>
      </c>
      <c r="FM443" s="138" t="e">
        <f>IF(VLOOKUP(CONCATENATE(H443,F443,FM$2),Ciencias!$A:$H,7,FALSE)=CA443,1,0)</f>
        <v>#N/A</v>
      </c>
      <c r="FN443" s="138" t="e">
        <f>IF(VLOOKUP(CONCATENATE(H443,F443,FN$2),Ciencias!$A:$H,7,FALSE)=CB443,1,0)</f>
        <v>#N/A</v>
      </c>
      <c r="FO443" s="138" t="e">
        <f>IF(VLOOKUP(CONCATENATE(H443,F443,FO$2),Ciencias!$A:$H,7,FALSE)=CC443,1,0)</f>
        <v>#N/A</v>
      </c>
      <c r="FP443" s="138" t="e">
        <f>IF(VLOOKUP(CONCATENATE(H443,F443,FP$2),GeoHis!$A:$H,7,FALSE)=CD443,1,0)</f>
        <v>#N/A</v>
      </c>
      <c r="FQ443" s="138" t="e">
        <f>IF(VLOOKUP(CONCATENATE(H443,F443,FQ$2),GeoHis!$A:$H,7,FALSE)=CE443,1,0)</f>
        <v>#N/A</v>
      </c>
      <c r="FR443" s="138" t="e">
        <f>IF(VLOOKUP(CONCATENATE(H443,F443,FR$2),GeoHis!$A:$H,7,FALSE)=CF443,1,0)</f>
        <v>#N/A</v>
      </c>
      <c r="FS443" s="138" t="e">
        <f>IF(VLOOKUP(CONCATENATE(H443,F443,FS$2),GeoHis!$A:$H,7,FALSE)=CG443,1,0)</f>
        <v>#N/A</v>
      </c>
      <c r="FT443" s="138" t="e">
        <f>IF(VLOOKUP(CONCATENATE(H443,F443,FT$2),GeoHis!$A:$H,7,FALSE)=CH443,1,0)</f>
        <v>#N/A</v>
      </c>
      <c r="FU443" s="138" t="e">
        <f>IF(VLOOKUP(CONCATENATE(H443,F443,FU$2),GeoHis!$A:$H,7,FALSE)=CI443,1,0)</f>
        <v>#N/A</v>
      </c>
      <c r="FV443" s="138" t="e">
        <f>IF(VLOOKUP(CONCATENATE(H443,F443,FV$2),GeoHis!$A:$H,7,FALSE)=CJ443,1,0)</f>
        <v>#N/A</v>
      </c>
      <c r="FW443" s="138" t="e">
        <f>IF(VLOOKUP(CONCATENATE(H443,F443,FW$2),GeoHis!$A:$H,7,FALSE)=CK443,1,0)</f>
        <v>#N/A</v>
      </c>
      <c r="FX443" s="138" t="e">
        <f>IF(VLOOKUP(CONCATENATE(H443,F443,FX$2),GeoHis!$A:$H,7,FALSE)=CL443,1,0)</f>
        <v>#N/A</v>
      </c>
      <c r="FY443" s="138" t="e">
        <f>IF(VLOOKUP(CONCATENATE(H443,F443,FY$2),GeoHis!$A:$H,7,FALSE)=CM443,1,0)</f>
        <v>#N/A</v>
      </c>
      <c r="FZ443" s="138" t="e">
        <f>IF(VLOOKUP(CONCATENATE(H443,F443,FZ$2),GeoHis!$A:$H,7,FALSE)=CN443,1,0)</f>
        <v>#N/A</v>
      </c>
      <c r="GA443" s="138" t="e">
        <f>IF(VLOOKUP(CONCATENATE(H443,F443,GA$2),GeoHis!$A:$H,7,FALSE)=CO443,1,0)</f>
        <v>#N/A</v>
      </c>
      <c r="GB443" s="138" t="e">
        <f>IF(VLOOKUP(CONCATENATE(H443,F443,GB$2),GeoHis!$A:$H,7,FALSE)=CP443,1,0)</f>
        <v>#N/A</v>
      </c>
      <c r="GC443" s="138" t="e">
        <f>IF(VLOOKUP(CONCATENATE(H443,F443,GC$2),GeoHis!$A:$H,7,FALSE)=CQ443,1,0)</f>
        <v>#N/A</v>
      </c>
      <c r="GD443" s="138" t="e">
        <f>IF(VLOOKUP(CONCATENATE(H443,F443,GD$2),GeoHis!$A:$H,7,FALSE)=CR443,1,0)</f>
        <v>#N/A</v>
      </c>
      <c r="GE443" s="135" t="str">
        <f t="shared" si="55"/>
        <v/>
      </c>
    </row>
    <row r="444" spans="1:187" x14ac:dyDescent="0.25">
      <c r="A444" s="127" t="str">
        <f>IF(C444="","",'Datos Generales'!$A$25)</f>
        <v/>
      </c>
      <c r="D444" s="126" t="str">
        <f t="shared" si="48"/>
        <v/>
      </c>
      <c r="E444" s="126">
        <f t="shared" si="49"/>
        <v>0</v>
      </c>
      <c r="F444" s="126" t="str">
        <f t="shared" si="50"/>
        <v/>
      </c>
      <c r="G444" s="126" t="str">
        <f>IF(C444="","",'Datos Generales'!$D$19)</f>
        <v/>
      </c>
      <c r="H444" s="21" t="str">
        <f>IF(C444="","",'Datos Generales'!$A$19)</f>
        <v/>
      </c>
      <c r="I444" s="126" t="str">
        <f>IF(C444="","",'Datos Generales'!$A$7)</f>
        <v/>
      </c>
      <c r="J444" s="21" t="str">
        <f>IF(C444="","",'Datos Generales'!$A$13)</f>
        <v/>
      </c>
      <c r="K444" s="21" t="str">
        <f>IF(C444="","",'Datos Generales'!$A$10)</f>
        <v/>
      </c>
      <c r="CS444" s="142" t="str">
        <f t="shared" si="51"/>
        <v/>
      </c>
      <c r="CT444" s="142" t="str">
        <f t="shared" si="52"/>
        <v/>
      </c>
      <c r="CU444" s="142" t="str">
        <f t="shared" si="53"/>
        <v/>
      </c>
      <c r="CV444" s="142" t="str">
        <f t="shared" si="54"/>
        <v/>
      </c>
      <c r="CW444" s="142" t="str">
        <f>IF(C444="","",IF('Datos Generales'!$A$19=1,AVERAGE(FP444:GD444),AVERAGE(Captura!FP444:FY444)))</f>
        <v/>
      </c>
      <c r="CX444" s="138" t="e">
        <f>IF(VLOOKUP(CONCATENATE($H$4,$F$4,CX$2),Español!$A:$H,7,FALSE)=L444,1,0)</f>
        <v>#N/A</v>
      </c>
      <c r="CY444" s="138" t="e">
        <f>IF(VLOOKUP(CONCATENATE(H444,F444,CY$2),Español!$A:$H,7,FALSE)=M444,1,0)</f>
        <v>#N/A</v>
      </c>
      <c r="CZ444" s="138" t="e">
        <f>IF(VLOOKUP(CONCATENATE(H444,F444,CZ$2),Español!$A:$H,7,FALSE)=N444,1,0)</f>
        <v>#N/A</v>
      </c>
      <c r="DA444" s="138" t="e">
        <f>IF(VLOOKUP(CONCATENATE(H444,F444,DA$2),Español!$A:$H,7,FALSE)=O444,1,0)</f>
        <v>#N/A</v>
      </c>
      <c r="DB444" s="138" t="e">
        <f>IF(VLOOKUP(CONCATENATE(H444,F444,DB$2),Español!$A:$H,7,FALSE)=P444,1,0)</f>
        <v>#N/A</v>
      </c>
      <c r="DC444" s="138" t="e">
        <f>IF(VLOOKUP(CONCATENATE(H444,F444,DC$2),Español!$A:$H,7,FALSE)=Q444,1,0)</f>
        <v>#N/A</v>
      </c>
      <c r="DD444" s="138" t="e">
        <f>IF(VLOOKUP(CONCATENATE(H444,F444,DD$2),Español!$A:$H,7,FALSE)=R444,1,0)</f>
        <v>#N/A</v>
      </c>
      <c r="DE444" s="138" t="e">
        <f>IF(VLOOKUP(CONCATENATE(H444,F444,DE$2),Español!$A:$H,7,FALSE)=S444,1,0)</f>
        <v>#N/A</v>
      </c>
      <c r="DF444" s="138" t="e">
        <f>IF(VLOOKUP(CONCATENATE(H444,F444,DF$2),Español!$A:$H,7,FALSE)=T444,1,0)</f>
        <v>#N/A</v>
      </c>
      <c r="DG444" s="138" t="e">
        <f>IF(VLOOKUP(CONCATENATE(H444,F444,DG$2),Español!$A:$H,7,FALSE)=U444,1,0)</f>
        <v>#N/A</v>
      </c>
      <c r="DH444" s="138" t="e">
        <f>IF(VLOOKUP(CONCATENATE(H444,F444,DH$2),Español!$A:$H,7,FALSE)=V444,1,0)</f>
        <v>#N/A</v>
      </c>
      <c r="DI444" s="138" t="e">
        <f>IF(VLOOKUP(CONCATENATE(H444,F444,DI$2),Español!$A:$H,7,FALSE)=W444,1,0)</f>
        <v>#N/A</v>
      </c>
      <c r="DJ444" s="138" t="e">
        <f>IF(VLOOKUP(CONCATENATE(H444,F444,DJ$2),Español!$A:$H,7,FALSE)=X444,1,0)</f>
        <v>#N/A</v>
      </c>
      <c r="DK444" s="138" t="e">
        <f>IF(VLOOKUP(CONCATENATE(H444,F444,DK$2),Español!$A:$H,7,FALSE)=Y444,1,0)</f>
        <v>#N/A</v>
      </c>
      <c r="DL444" s="138" t="e">
        <f>IF(VLOOKUP(CONCATENATE(H444,F444,DL$2),Español!$A:$H,7,FALSE)=Z444,1,0)</f>
        <v>#N/A</v>
      </c>
      <c r="DM444" s="138" t="e">
        <f>IF(VLOOKUP(CONCATENATE(H444,F444,DM$2),Español!$A:$H,7,FALSE)=AA444,1,0)</f>
        <v>#N/A</v>
      </c>
      <c r="DN444" s="138" t="e">
        <f>IF(VLOOKUP(CONCATENATE(H444,F444,DN$2),Español!$A:$H,7,FALSE)=AB444,1,0)</f>
        <v>#N/A</v>
      </c>
      <c r="DO444" s="138" t="e">
        <f>IF(VLOOKUP(CONCATENATE(H444,F444,DO$2),Español!$A:$H,7,FALSE)=AC444,1,0)</f>
        <v>#N/A</v>
      </c>
      <c r="DP444" s="138" t="e">
        <f>IF(VLOOKUP(CONCATENATE(H444,F444,DP$2),Español!$A:$H,7,FALSE)=AD444,1,0)</f>
        <v>#N/A</v>
      </c>
      <c r="DQ444" s="138" t="e">
        <f>IF(VLOOKUP(CONCATENATE(H444,F444,DQ$2),Español!$A:$H,7,FALSE)=AE444,1,0)</f>
        <v>#N/A</v>
      </c>
      <c r="DR444" s="138" t="e">
        <f>IF(VLOOKUP(CONCATENATE(H444,F444,DR$2),Inglés!$A:$H,7,FALSE)=AF444,1,0)</f>
        <v>#N/A</v>
      </c>
      <c r="DS444" s="138" t="e">
        <f>IF(VLOOKUP(CONCATENATE(H444,F444,DS$2),Inglés!$A:$H,7,FALSE)=AG444,1,0)</f>
        <v>#N/A</v>
      </c>
      <c r="DT444" s="138" t="e">
        <f>IF(VLOOKUP(CONCATENATE(H444,F444,DT$2),Inglés!$A:$H,7,FALSE)=AH444,1,0)</f>
        <v>#N/A</v>
      </c>
      <c r="DU444" s="138" t="e">
        <f>IF(VLOOKUP(CONCATENATE(H444,F444,DU$2),Inglés!$A:$H,7,FALSE)=AI444,1,0)</f>
        <v>#N/A</v>
      </c>
      <c r="DV444" s="138" t="e">
        <f>IF(VLOOKUP(CONCATENATE(H444,F444,DV$2),Inglés!$A:$H,7,FALSE)=AJ444,1,0)</f>
        <v>#N/A</v>
      </c>
      <c r="DW444" s="138" t="e">
        <f>IF(VLOOKUP(CONCATENATE(H444,F444,DW$2),Inglés!$A:$H,7,FALSE)=AK444,1,0)</f>
        <v>#N/A</v>
      </c>
      <c r="DX444" s="138" t="e">
        <f>IF(VLOOKUP(CONCATENATE(H444,F444,DX$2),Inglés!$A:$H,7,FALSE)=AL444,1,0)</f>
        <v>#N/A</v>
      </c>
      <c r="DY444" s="138" t="e">
        <f>IF(VLOOKUP(CONCATENATE(H444,F444,DY$2),Inglés!$A:$H,7,FALSE)=AM444,1,0)</f>
        <v>#N/A</v>
      </c>
      <c r="DZ444" s="138" t="e">
        <f>IF(VLOOKUP(CONCATENATE(H444,F444,DZ$2),Inglés!$A:$H,7,FALSE)=AN444,1,0)</f>
        <v>#N/A</v>
      </c>
      <c r="EA444" s="138" t="e">
        <f>IF(VLOOKUP(CONCATENATE(H444,F444,EA$2),Inglés!$A:$H,7,FALSE)=AO444,1,0)</f>
        <v>#N/A</v>
      </c>
      <c r="EB444" s="138" t="e">
        <f>IF(VLOOKUP(CONCATENATE(H444,F444,EB$2),Matemáticas!$A:$H,7,FALSE)=AP444,1,0)</f>
        <v>#N/A</v>
      </c>
      <c r="EC444" s="138" t="e">
        <f>IF(VLOOKUP(CONCATENATE(H444,F444,EC$2),Matemáticas!$A:$H,7,FALSE)=AQ444,1,0)</f>
        <v>#N/A</v>
      </c>
      <c r="ED444" s="138" t="e">
        <f>IF(VLOOKUP(CONCATENATE(H444,F444,ED$2),Matemáticas!$A:$H,7,FALSE)=AR444,1,0)</f>
        <v>#N/A</v>
      </c>
      <c r="EE444" s="138" t="e">
        <f>IF(VLOOKUP(CONCATENATE(H444,F444,EE$2),Matemáticas!$A:$H,7,FALSE)=AS444,1,0)</f>
        <v>#N/A</v>
      </c>
      <c r="EF444" s="138" t="e">
        <f>IF(VLOOKUP(CONCATENATE(H444,F444,EF$2),Matemáticas!$A:$H,7,FALSE)=AT444,1,0)</f>
        <v>#N/A</v>
      </c>
      <c r="EG444" s="138" t="e">
        <f>IF(VLOOKUP(CONCATENATE(H444,F444,EG$2),Matemáticas!$A:$H,7,FALSE)=AU444,1,0)</f>
        <v>#N/A</v>
      </c>
      <c r="EH444" s="138" t="e">
        <f>IF(VLOOKUP(CONCATENATE(H444,F444,EH$2),Matemáticas!$A:$H,7,FALSE)=AV444,1,0)</f>
        <v>#N/A</v>
      </c>
      <c r="EI444" s="138" t="e">
        <f>IF(VLOOKUP(CONCATENATE(H444,F444,EI$2),Matemáticas!$A:$H,7,FALSE)=AW444,1,0)</f>
        <v>#N/A</v>
      </c>
      <c r="EJ444" s="138" t="e">
        <f>IF(VLOOKUP(CONCATENATE(H444,F444,EJ$2),Matemáticas!$A:$H,7,FALSE)=AX444,1,0)</f>
        <v>#N/A</v>
      </c>
      <c r="EK444" s="138" t="e">
        <f>IF(VLOOKUP(CONCATENATE(H444,F444,EK$2),Matemáticas!$A:$H,7,FALSE)=AY444,1,0)</f>
        <v>#N/A</v>
      </c>
      <c r="EL444" s="138" t="e">
        <f>IF(VLOOKUP(CONCATENATE(H444,F444,EL$2),Matemáticas!$A:$H,7,FALSE)=AZ444,1,0)</f>
        <v>#N/A</v>
      </c>
      <c r="EM444" s="138" t="e">
        <f>IF(VLOOKUP(CONCATENATE(H444,F444,EM$2),Matemáticas!$A:$H,7,FALSE)=BA444,1,0)</f>
        <v>#N/A</v>
      </c>
      <c r="EN444" s="138" t="e">
        <f>IF(VLOOKUP(CONCATENATE(H444,F444,EN$2),Matemáticas!$A:$H,7,FALSE)=BB444,1,0)</f>
        <v>#N/A</v>
      </c>
      <c r="EO444" s="138" t="e">
        <f>IF(VLOOKUP(CONCATENATE(H444,F444,EO$2),Matemáticas!$A:$H,7,FALSE)=BC444,1,0)</f>
        <v>#N/A</v>
      </c>
      <c r="EP444" s="138" t="e">
        <f>IF(VLOOKUP(CONCATENATE(H444,F444,EP$2),Matemáticas!$A:$H,7,FALSE)=BD444,1,0)</f>
        <v>#N/A</v>
      </c>
      <c r="EQ444" s="138" t="e">
        <f>IF(VLOOKUP(CONCATENATE(H444,F444,EQ$2),Matemáticas!$A:$H,7,FALSE)=BE444,1,0)</f>
        <v>#N/A</v>
      </c>
      <c r="ER444" s="138" t="e">
        <f>IF(VLOOKUP(CONCATENATE(H444,F444,ER$2),Matemáticas!$A:$H,7,FALSE)=BF444,1,0)</f>
        <v>#N/A</v>
      </c>
      <c r="ES444" s="138" t="e">
        <f>IF(VLOOKUP(CONCATENATE(H444,F444,ES$2),Matemáticas!$A:$H,7,FALSE)=BG444,1,0)</f>
        <v>#N/A</v>
      </c>
      <c r="ET444" s="138" t="e">
        <f>IF(VLOOKUP(CONCATENATE(H444,F444,ET$2),Matemáticas!$A:$H,7,FALSE)=BH444,1,0)</f>
        <v>#N/A</v>
      </c>
      <c r="EU444" s="138" t="e">
        <f>IF(VLOOKUP(CONCATENATE(H444,F444,EU$2),Matemáticas!$A:$H,7,FALSE)=BI444,1,0)</f>
        <v>#N/A</v>
      </c>
      <c r="EV444" s="138" t="e">
        <f>IF(VLOOKUP(CONCATENATE(H444,F444,EV$2),Ciencias!$A:$H,7,FALSE)=BJ444,1,0)</f>
        <v>#N/A</v>
      </c>
      <c r="EW444" s="138" t="e">
        <f>IF(VLOOKUP(CONCATENATE(H444,F444,EW$2),Ciencias!$A:$H,7,FALSE)=BK444,1,0)</f>
        <v>#N/A</v>
      </c>
      <c r="EX444" s="138" t="e">
        <f>IF(VLOOKUP(CONCATENATE(H444,F444,EX$2),Ciencias!$A:$H,7,FALSE)=BL444,1,0)</f>
        <v>#N/A</v>
      </c>
      <c r="EY444" s="138" t="e">
        <f>IF(VLOOKUP(CONCATENATE(H444,F444,EY$2),Ciencias!$A:$H,7,FALSE)=BM444,1,0)</f>
        <v>#N/A</v>
      </c>
      <c r="EZ444" s="138" t="e">
        <f>IF(VLOOKUP(CONCATENATE(H444,F444,EZ$2),Ciencias!$A:$H,7,FALSE)=BN444,1,0)</f>
        <v>#N/A</v>
      </c>
      <c r="FA444" s="138" t="e">
        <f>IF(VLOOKUP(CONCATENATE(H444,F444,FA$2),Ciencias!$A:$H,7,FALSE)=BO444,1,0)</f>
        <v>#N/A</v>
      </c>
      <c r="FB444" s="138" t="e">
        <f>IF(VLOOKUP(CONCATENATE(H444,F444,FB$2),Ciencias!$A:$H,7,FALSE)=BP444,1,0)</f>
        <v>#N/A</v>
      </c>
      <c r="FC444" s="138" t="e">
        <f>IF(VLOOKUP(CONCATENATE(H444,F444,FC$2),Ciencias!$A:$H,7,FALSE)=BQ444,1,0)</f>
        <v>#N/A</v>
      </c>
      <c r="FD444" s="138" t="e">
        <f>IF(VLOOKUP(CONCATENATE(H444,F444,FD$2),Ciencias!$A:$H,7,FALSE)=BR444,1,0)</f>
        <v>#N/A</v>
      </c>
      <c r="FE444" s="138" t="e">
        <f>IF(VLOOKUP(CONCATENATE(H444,F444,FE$2),Ciencias!$A:$H,7,FALSE)=BS444,1,0)</f>
        <v>#N/A</v>
      </c>
      <c r="FF444" s="138" t="e">
        <f>IF(VLOOKUP(CONCATENATE(H444,F444,FF$2),Ciencias!$A:$H,7,FALSE)=BT444,1,0)</f>
        <v>#N/A</v>
      </c>
      <c r="FG444" s="138" t="e">
        <f>IF(VLOOKUP(CONCATENATE(H444,F444,FG$2),Ciencias!$A:$H,7,FALSE)=BU444,1,0)</f>
        <v>#N/A</v>
      </c>
      <c r="FH444" s="138" t="e">
        <f>IF(VLOOKUP(CONCATENATE(H444,F444,FH$2),Ciencias!$A:$H,7,FALSE)=BV444,1,0)</f>
        <v>#N/A</v>
      </c>
      <c r="FI444" s="138" t="e">
        <f>IF(VLOOKUP(CONCATENATE(H444,F444,FI$2),Ciencias!$A:$H,7,FALSE)=BW444,1,0)</f>
        <v>#N/A</v>
      </c>
      <c r="FJ444" s="138" t="e">
        <f>IF(VLOOKUP(CONCATENATE(H444,F444,FJ$2),Ciencias!$A:$H,7,FALSE)=BX444,1,0)</f>
        <v>#N/A</v>
      </c>
      <c r="FK444" s="138" t="e">
        <f>IF(VLOOKUP(CONCATENATE(H444,F444,FK$2),Ciencias!$A:$H,7,FALSE)=BY444,1,0)</f>
        <v>#N/A</v>
      </c>
      <c r="FL444" s="138" t="e">
        <f>IF(VLOOKUP(CONCATENATE(H444,F444,FL$2),Ciencias!$A:$H,7,FALSE)=BZ444,1,0)</f>
        <v>#N/A</v>
      </c>
      <c r="FM444" s="138" t="e">
        <f>IF(VLOOKUP(CONCATENATE(H444,F444,FM$2),Ciencias!$A:$H,7,FALSE)=CA444,1,0)</f>
        <v>#N/A</v>
      </c>
      <c r="FN444" s="138" t="e">
        <f>IF(VLOOKUP(CONCATENATE(H444,F444,FN$2),Ciencias!$A:$H,7,FALSE)=CB444,1,0)</f>
        <v>#N/A</v>
      </c>
      <c r="FO444" s="138" t="e">
        <f>IF(VLOOKUP(CONCATENATE(H444,F444,FO$2),Ciencias!$A:$H,7,FALSE)=CC444,1,0)</f>
        <v>#N/A</v>
      </c>
      <c r="FP444" s="138" t="e">
        <f>IF(VLOOKUP(CONCATENATE(H444,F444,FP$2),GeoHis!$A:$H,7,FALSE)=CD444,1,0)</f>
        <v>#N/A</v>
      </c>
      <c r="FQ444" s="138" t="e">
        <f>IF(VLOOKUP(CONCATENATE(H444,F444,FQ$2),GeoHis!$A:$H,7,FALSE)=CE444,1,0)</f>
        <v>#N/A</v>
      </c>
      <c r="FR444" s="138" t="e">
        <f>IF(VLOOKUP(CONCATENATE(H444,F444,FR$2),GeoHis!$A:$H,7,FALSE)=CF444,1,0)</f>
        <v>#N/A</v>
      </c>
      <c r="FS444" s="138" t="e">
        <f>IF(VLOOKUP(CONCATENATE(H444,F444,FS$2),GeoHis!$A:$H,7,FALSE)=CG444,1,0)</f>
        <v>#N/A</v>
      </c>
      <c r="FT444" s="138" t="e">
        <f>IF(VLOOKUP(CONCATENATE(H444,F444,FT$2),GeoHis!$A:$H,7,FALSE)=CH444,1,0)</f>
        <v>#N/A</v>
      </c>
      <c r="FU444" s="138" t="e">
        <f>IF(VLOOKUP(CONCATENATE(H444,F444,FU$2),GeoHis!$A:$H,7,FALSE)=CI444,1,0)</f>
        <v>#N/A</v>
      </c>
      <c r="FV444" s="138" t="e">
        <f>IF(VLOOKUP(CONCATENATE(H444,F444,FV$2),GeoHis!$A:$H,7,FALSE)=CJ444,1,0)</f>
        <v>#N/A</v>
      </c>
      <c r="FW444" s="138" t="e">
        <f>IF(VLOOKUP(CONCATENATE(H444,F444,FW$2),GeoHis!$A:$H,7,FALSE)=CK444,1,0)</f>
        <v>#N/A</v>
      </c>
      <c r="FX444" s="138" t="e">
        <f>IF(VLOOKUP(CONCATENATE(H444,F444,FX$2),GeoHis!$A:$H,7,FALSE)=CL444,1,0)</f>
        <v>#N/A</v>
      </c>
      <c r="FY444" s="138" t="e">
        <f>IF(VLOOKUP(CONCATENATE(H444,F444,FY$2),GeoHis!$A:$H,7,FALSE)=CM444,1,0)</f>
        <v>#N/A</v>
      </c>
      <c r="FZ444" s="138" t="e">
        <f>IF(VLOOKUP(CONCATENATE(H444,F444,FZ$2),GeoHis!$A:$H,7,FALSE)=CN444,1,0)</f>
        <v>#N/A</v>
      </c>
      <c r="GA444" s="138" t="e">
        <f>IF(VLOOKUP(CONCATENATE(H444,F444,GA$2),GeoHis!$A:$H,7,FALSE)=CO444,1,0)</f>
        <v>#N/A</v>
      </c>
      <c r="GB444" s="138" t="e">
        <f>IF(VLOOKUP(CONCATENATE(H444,F444,GB$2),GeoHis!$A:$H,7,FALSE)=CP444,1,0)</f>
        <v>#N/A</v>
      </c>
      <c r="GC444" s="138" t="e">
        <f>IF(VLOOKUP(CONCATENATE(H444,F444,GC$2),GeoHis!$A:$H,7,FALSE)=CQ444,1,0)</f>
        <v>#N/A</v>
      </c>
      <c r="GD444" s="138" t="e">
        <f>IF(VLOOKUP(CONCATENATE(H444,F444,GD$2),GeoHis!$A:$H,7,FALSE)=CR444,1,0)</f>
        <v>#N/A</v>
      </c>
      <c r="GE444" s="135" t="str">
        <f t="shared" si="55"/>
        <v/>
      </c>
    </row>
    <row r="445" spans="1:187" x14ac:dyDescent="0.25">
      <c r="A445" s="127" t="str">
        <f>IF(C445="","",'Datos Generales'!$A$25)</f>
        <v/>
      </c>
      <c r="D445" s="126" t="str">
        <f t="shared" si="48"/>
        <v/>
      </c>
      <c r="E445" s="126">
        <f t="shared" si="49"/>
        <v>0</v>
      </c>
      <c r="F445" s="126" t="str">
        <f t="shared" si="50"/>
        <v/>
      </c>
      <c r="G445" s="126" t="str">
        <f>IF(C445="","",'Datos Generales'!$D$19)</f>
        <v/>
      </c>
      <c r="H445" s="21" t="str">
        <f>IF(C445="","",'Datos Generales'!$A$19)</f>
        <v/>
      </c>
      <c r="I445" s="126" t="str">
        <f>IF(C445="","",'Datos Generales'!$A$7)</f>
        <v/>
      </c>
      <c r="J445" s="21" t="str">
        <f>IF(C445="","",'Datos Generales'!$A$13)</f>
        <v/>
      </c>
      <c r="K445" s="21" t="str">
        <f>IF(C445="","",'Datos Generales'!$A$10)</f>
        <v/>
      </c>
      <c r="CS445" s="142" t="str">
        <f t="shared" si="51"/>
        <v/>
      </c>
      <c r="CT445" s="142" t="str">
        <f t="shared" si="52"/>
        <v/>
      </c>
      <c r="CU445" s="142" t="str">
        <f t="shared" si="53"/>
        <v/>
      </c>
      <c r="CV445" s="142" t="str">
        <f t="shared" si="54"/>
        <v/>
      </c>
      <c r="CW445" s="142" t="str">
        <f>IF(C445="","",IF('Datos Generales'!$A$19=1,AVERAGE(FP445:GD445),AVERAGE(Captura!FP445:FY445)))</f>
        <v/>
      </c>
      <c r="CX445" s="138" t="e">
        <f>IF(VLOOKUP(CONCATENATE($H$4,$F$4,CX$2),Español!$A:$H,7,FALSE)=L445,1,0)</f>
        <v>#N/A</v>
      </c>
      <c r="CY445" s="138" t="e">
        <f>IF(VLOOKUP(CONCATENATE(H445,F445,CY$2),Español!$A:$H,7,FALSE)=M445,1,0)</f>
        <v>#N/A</v>
      </c>
      <c r="CZ445" s="138" t="e">
        <f>IF(VLOOKUP(CONCATENATE(H445,F445,CZ$2),Español!$A:$H,7,FALSE)=N445,1,0)</f>
        <v>#N/A</v>
      </c>
      <c r="DA445" s="138" t="e">
        <f>IF(VLOOKUP(CONCATENATE(H445,F445,DA$2),Español!$A:$H,7,FALSE)=O445,1,0)</f>
        <v>#N/A</v>
      </c>
      <c r="DB445" s="138" t="e">
        <f>IF(VLOOKUP(CONCATENATE(H445,F445,DB$2),Español!$A:$H,7,FALSE)=P445,1,0)</f>
        <v>#N/A</v>
      </c>
      <c r="DC445" s="138" t="e">
        <f>IF(VLOOKUP(CONCATENATE(H445,F445,DC$2),Español!$A:$H,7,FALSE)=Q445,1,0)</f>
        <v>#N/A</v>
      </c>
      <c r="DD445" s="138" t="e">
        <f>IF(VLOOKUP(CONCATENATE(H445,F445,DD$2),Español!$A:$H,7,FALSE)=R445,1,0)</f>
        <v>#N/A</v>
      </c>
      <c r="DE445" s="138" t="e">
        <f>IF(VLOOKUP(CONCATENATE(H445,F445,DE$2),Español!$A:$H,7,FALSE)=S445,1,0)</f>
        <v>#N/A</v>
      </c>
      <c r="DF445" s="138" t="e">
        <f>IF(VLOOKUP(CONCATENATE(H445,F445,DF$2),Español!$A:$H,7,FALSE)=T445,1,0)</f>
        <v>#N/A</v>
      </c>
      <c r="DG445" s="138" t="e">
        <f>IF(VLOOKUP(CONCATENATE(H445,F445,DG$2),Español!$A:$H,7,FALSE)=U445,1,0)</f>
        <v>#N/A</v>
      </c>
      <c r="DH445" s="138" t="e">
        <f>IF(VLOOKUP(CONCATENATE(H445,F445,DH$2),Español!$A:$H,7,FALSE)=V445,1,0)</f>
        <v>#N/A</v>
      </c>
      <c r="DI445" s="138" t="e">
        <f>IF(VLOOKUP(CONCATENATE(H445,F445,DI$2),Español!$A:$H,7,FALSE)=W445,1,0)</f>
        <v>#N/A</v>
      </c>
      <c r="DJ445" s="138" t="e">
        <f>IF(VLOOKUP(CONCATENATE(H445,F445,DJ$2),Español!$A:$H,7,FALSE)=X445,1,0)</f>
        <v>#N/A</v>
      </c>
      <c r="DK445" s="138" t="e">
        <f>IF(VLOOKUP(CONCATENATE(H445,F445,DK$2),Español!$A:$H,7,FALSE)=Y445,1,0)</f>
        <v>#N/A</v>
      </c>
      <c r="DL445" s="138" t="e">
        <f>IF(VLOOKUP(CONCATENATE(H445,F445,DL$2),Español!$A:$H,7,FALSE)=Z445,1,0)</f>
        <v>#N/A</v>
      </c>
      <c r="DM445" s="138" t="e">
        <f>IF(VLOOKUP(CONCATENATE(H445,F445,DM$2),Español!$A:$H,7,FALSE)=AA445,1,0)</f>
        <v>#N/A</v>
      </c>
      <c r="DN445" s="138" t="e">
        <f>IF(VLOOKUP(CONCATENATE(H445,F445,DN$2),Español!$A:$H,7,FALSE)=AB445,1,0)</f>
        <v>#N/A</v>
      </c>
      <c r="DO445" s="138" t="e">
        <f>IF(VLOOKUP(CONCATENATE(H445,F445,DO$2),Español!$A:$H,7,FALSE)=AC445,1,0)</f>
        <v>#N/A</v>
      </c>
      <c r="DP445" s="138" t="e">
        <f>IF(VLOOKUP(CONCATENATE(H445,F445,DP$2),Español!$A:$H,7,FALSE)=AD445,1,0)</f>
        <v>#N/A</v>
      </c>
      <c r="DQ445" s="138" t="e">
        <f>IF(VLOOKUP(CONCATENATE(H445,F445,DQ$2),Español!$A:$H,7,FALSE)=AE445,1,0)</f>
        <v>#N/A</v>
      </c>
      <c r="DR445" s="138" t="e">
        <f>IF(VLOOKUP(CONCATENATE(H445,F445,DR$2),Inglés!$A:$H,7,FALSE)=AF445,1,0)</f>
        <v>#N/A</v>
      </c>
      <c r="DS445" s="138" t="e">
        <f>IF(VLOOKUP(CONCATENATE(H445,F445,DS$2),Inglés!$A:$H,7,FALSE)=AG445,1,0)</f>
        <v>#N/A</v>
      </c>
      <c r="DT445" s="138" t="e">
        <f>IF(VLOOKUP(CONCATENATE(H445,F445,DT$2),Inglés!$A:$H,7,FALSE)=AH445,1,0)</f>
        <v>#N/A</v>
      </c>
      <c r="DU445" s="138" t="e">
        <f>IF(VLOOKUP(CONCATENATE(H445,F445,DU$2),Inglés!$A:$H,7,FALSE)=AI445,1,0)</f>
        <v>#N/A</v>
      </c>
      <c r="DV445" s="138" t="e">
        <f>IF(VLOOKUP(CONCATENATE(H445,F445,DV$2),Inglés!$A:$H,7,FALSE)=AJ445,1,0)</f>
        <v>#N/A</v>
      </c>
      <c r="DW445" s="138" t="e">
        <f>IF(VLOOKUP(CONCATENATE(H445,F445,DW$2),Inglés!$A:$H,7,FALSE)=AK445,1,0)</f>
        <v>#N/A</v>
      </c>
      <c r="DX445" s="138" t="e">
        <f>IF(VLOOKUP(CONCATENATE(H445,F445,DX$2),Inglés!$A:$H,7,FALSE)=AL445,1,0)</f>
        <v>#N/A</v>
      </c>
      <c r="DY445" s="138" t="e">
        <f>IF(VLOOKUP(CONCATENATE(H445,F445,DY$2),Inglés!$A:$H,7,FALSE)=AM445,1,0)</f>
        <v>#N/A</v>
      </c>
      <c r="DZ445" s="138" t="e">
        <f>IF(VLOOKUP(CONCATENATE(H445,F445,DZ$2),Inglés!$A:$H,7,FALSE)=AN445,1,0)</f>
        <v>#N/A</v>
      </c>
      <c r="EA445" s="138" t="e">
        <f>IF(VLOOKUP(CONCATENATE(H445,F445,EA$2),Inglés!$A:$H,7,FALSE)=AO445,1,0)</f>
        <v>#N/A</v>
      </c>
      <c r="EB445" s="138" t="e">
        <f>IF(VLOOKUP(CONCATENATE(H445,F445,EB$2),Matemáticas!$A:$H,7,FALSE)=AP445,1,0)</f>
        <v>#N/A</v>
      </c>
      <c r="EC445" s="138" t="e">
        <f>IF(VLOOKUP(CONCATENATE(H445,F445,EC$2),Matemáticas!$A:$H,7,FALSE)=AQ445,1,0)</f>
        <v>#N/A</v>
      </c>
      <c r="ED445" s="138" t="e">
        <f>IF(VLOOKUP(CONCATENATE(H445,F445,ED$2),Matemáticas!$A:$H,7,FALSE)=AR445,1,0)</f>
        <v>#N/A</v>
      </c>
      <c r="EE445" s="138" t="e">
        <f>IF(VLOOKUP(CONCATENATE(H445,F445,EE$2),Matemáticas!$A:$H,7,FALSE)=AS445,1,0)</f>
        <v>#N/A</v>
      </c>
      <c r="EF445" s="138" t="e">
        <f>IF(VLOOKUP(CONCATENATE(H445,F445,EF$2),Matemáticas!$A:$H,7,FALSE)=AT445,1,0)</f>
        <v>#N/A</v>
      </c>
      <c r="EG445" s="138" t="e">
        <f>IF(VLOOKUP(CONCATENATE(H445,F445,EG$2),Matemáticas!$A:$H,7,FALSE)=AU445,1,0)</f>
        <v>#N/A</v>
      </c>
      <c r="EH445" s="138" t="e">
        <f>IF(VLOOKUP(CONCATENATE(H445,F445,EH$2),Matemáticas!$A:$H,7,FALSE)=AV445,1,0)</f>
        <v>#N/A</v>
      </c>
      <c r="EI445" s="138" t="e">
        <f>IF(VLOOKUP(CONCATENATE(H445,F445,EI$2),Matemáticas!$A:$H,7,FALSE)=AW445,1,0)</f>
        <v>#N/A</v>
      </c>
      <c r="EJ445" s="138" t="e">
        <f>IF(VLOOKUP(CONCATENATE(H445,F445,EJ$2),Matemáticas!$A:$H,7,FALSE)=AX445,1,0)</f>
        <v>#N/A</v>
      </c>
      <c r="EK445" s="138" t="e">
        <f>IF(VLOOKUP(CONCATENATE(H445,F445,EK$2),Matemáticas!$A:$H,7,FALSE)=AY445,1,0)</f>
        <v>#N/A</v>
      </c>
      <c r="EL445" s="138" t="e">
        <f>IF(VLOOKUP(CONCATENATE(H445,F445,EL$2),Matemáticas!$A:$H,7,FALSE)=AZ445,1,0)</f>
        <v>#N/A</v>
      </c>
      <c r="EM445" s="138" t="e">
        <f>IF(VLOOKUP(CONCATENATE(H445,F445,EM$2),Matemáticas!$A:$H,7,FALSE)=BA445,1,0)</f>
        <v>#N/A</v>
      </c>
      <c r="EN445" s="138" t="e">
        <f>IF(VLOOKUP(CONCATENATE(H445,F445,EN$2),Matemáticas!$A:$H,7,FALSE)=BB445,1,0)</f>
        <v>#N/A</v>
      </c>
      <c r="EO445" s="138" t="e">
        <f>IF(VLOOKUP(CONCATENATE(H445,F445,EO$2),Matemáticas!$A:$H,7,FALSE)=BC445,1,0)</f>
        <v>#N/A</v>
      </c>
      <c r="EP445" s="138" t="e">
        <f>IF(VLOOKUP(CONCATENATE(H445,F445,EP$2),Matemáticas!$A:$H,7,FALSE)=BD445,1,0)</f>
        <v>#N/A</v>
      </c>
      <c r="EQ445" s="138" t="e">
        <f>IF(VLOOKUP(CONCATENATE(H445,F445,EQ$2),Matemáticas!$A:$H,7,FALSE)=BE445,1,0)</f>
        <v>#N/A</v>
      </c>
      <c r="ER445" s="138" t="e">
        <f>IF(VLOOKUP(CONCATENATE(H445,F445,ER$2),Matemáticas!$A:$H,7,FALSE)=BF445,1,0)</f>
        <v>#N/A</v>
      </c>
      <c r="ES445" s="138" t="e">
        <f>IF(VLOOKUP(CONCATENATE(H445,F445,ES$2),Matemáticas!$A:$H,7,FALSE)=BG445,1,0)</f>
        <v>#N/A</v>
      </c>
      <c r="ET445" s="138" t="e">
        <f>IF(VLOOKUP(CONCATENATE(H445,F445,ET$2),Matemáticas!$A:$H,7,FALSE)=BH445,1,0)</f>
        <v>#N/A</v>
      </c>
      <c r="EU445" s="138" t="e">
        <f>IF(VLOOKUP(CONCATENATE(H445,F445,EU$2),Matemáticas!$A:$H,7,FALSE)=BI445,1,0)</f>
        <v>#N/A</v>
      </c>
      <c r="EV445" s="138" t="e">
        <f>IF(VLOOKUP(CONCATENATE(H445,F445,EV$2),Ciencias!$A:$H,7,FALSE)=BJ445,1,0)</f>
        <v>#N/A</v>
      </c>
      <c r="EW445" s="138" t="e">
        <f>IF(VLOOKUP(CONCATENATE(H445,F445,EW$2),Ciencias!$A:$H,7,FALSE)=BK445,1,0)</f>
        <v>#N/A</v>
      </c>
      <c r="EX445" s="138" t="e">
        <f>IF(VLOOKUP(CONCATENATE(H445,F445,EX$2),Ciencias!$A:$H,7,FALSE)=BL445,1,0)</f>
        <v>#N/A</v>
      </c>
      <c r="EY445" s="138" t="e">
        <f>IF(VLOOKUP(CONCATENATE(H445,F445,EY$2),Ciencias!$A:$H,7,FALSE)=BM445,1,0)</f>
        <v>#N/A</v>
      </c>
      <c r="EZ445" s="138" t="e">
        <f>IF(VLOOKUP(CONCATENATE(H445,F445,EZ$2),Ciencias!$A:$H,7,FALSE)=BN445,1,0)</f>
        <v>#N/A</v>
      </c>
      <c r="FA445" s="138" t="e">
        <f>IF(VLOOKUP(CONCATENATE(H445,F445,FA$2),Ciencias!$A:$H,7,FALSE)=BO445,1,0)</f>
        <v>#N/A</v>
      </c>
      <c r="FB445" s="138" t="e">
        <f>IF(VLOOKUP(CONCATENATE(H445,F445,FB$2),Ciencias!$A:$H,7,FALSE)=BP445,1,0)</f>
        <v>#N/A</v>
      </c>
      <c r="FC445" s="138" t="e">
        <f>IF(VLOOKUP(CONCATENATE(H445,F445,FC$2),Ciencias!$A:$H,7,FALSE)=BQ445,1,0)</f>
        <v>#N/A</v>
      </c>
      <c r="FD445" s="138" t="e">
        <f>IF(VLOOKUP(CONCATENATE(H445,F445,FD$2),Ciencias!$A:$H,7,FALSE)=BR445,1,0)</f>
        <v>#N/A</v>
      </c>
      <c r="FE445" s="138" t="e">
        <f>IF(VLOOKUP(CONCATENATE(H445,F445,FE$2),Ciencias!$A:$H,7,FALSE)=BS445,1,0)</f>
        <v>#N/A</v>
      </c>
      <c r="FF445" s="138" t="e">
        <f>IF(VLOOKUP(CONCATENATE(H445,F445,FF$2),Ciencias!$A:$H,7,FALSE)=BT445,1,0)</f>
        <v>#N/A</v>
      </c>
      <c r="FG445" s="138" t="e">
        <f>IF(VLOOKUP(CONCATENATE(H445,F445,FG$2),Ciencias!$A:$H,7,FALSE)=BU445,1,0)</f>
        <v>#N/A</v>
      </c>
      <c r="FH445" s="138" t="e">
        <f>IF(VLOOKUP(CONCATENATE(H445,F445,FH$2),Ciencias!$A:$H,7,FALSE)=BV445,1,0)</f>
        <v>#N/A</v>
      </c>
      <c r="FI445" s="138" t="e">
        <f>IF(VLOOKUP(CONCATENATE(H445,F445,FI$2),Ciencias!$A:$H,7,FALSE)=BW445,1,0)</f>
        <v>#N/A</v>
      </c>
      <c r="FJ445" s="138" t="e">
        <f>IF(VLOOKUP(CONCATENATE(H445,F445,FJ$2),Ciencias!$A:$H,7,FALSE)=BX445,1,0)</f>
        <v>#N/A</v>
      </c>
      <c r="FK445" s="138" t="e">
        <f>IF(VLOOKUP(CONCATENATE(H445,F445,FK$2),Ciencias!$A:$H,7,FALSE)=BY445,1,0)</f>
        <v>#N/A</v>
      </c>
      <c r="FL445" s="138" t="e">
        <f>IF(VLOOKUP(CONCATENATE(H445,F445,FL$2),Ciencias!$A:$H,7,FALSE)=BZ445,1,0)</f>
        <v>#N/A</v>
      </c>
      <c r="FM445" s="138" t="e">
        <f>IF(VLOOKUP(CONCATENATE(H445,F445,FM$2),Ciencias!$A:$H,7,FALSE)=CA445,1,0)</f>
        <v>#N/A</v>
      </c>
      <c r="FN445" s="138" t="e">
        <f>IF(VLOOKUP(CONCATENATE(H445,F445,FN$2),Ciencias!$A:$H,7,FALSE)=CB445,1,0)</f>
        <v>#N/A</v>
      </c>
      <c r="FO445" s="138" t="e">
        <f>IF(VLOOKUP(CONCATENATE(H445,F445,FO$2),Ciencias!$A:$H,7,FALSE)=CC445,1,0)</f>
        <v>#N/A</v>
      </c>
      <c r="FP445" s="138" t="e">
        <f>IF(VLOOKUP(CONCATENATE(H445,F445,FP$2),GeoHis!$A:$H,7,FALSE)=CD445,1,0)</f>
        <v>#N/A</v>
      </c>
      <c r="FQ445" s="138" t="e">
        <f>IF(VLOOKUP(CONCATENATE(H445,F445,FQ$2),GeoHis!$A:$H,7,FALSE)=CE445,1,0)</f>
        <v>#N/A</v>
      </c>
      <c r="FR445" s="138" t="e">
        <f>IF(VLOOKUP(CONCATENATE(H445,F445,FR$2),GeoHis!$A:$H,7,FALSE)=CF445,1,0)</f>
        <v>#N/A</v>
      </c>
      <c r="FS445" s="138" t="e">
        <f>IF(VLOOKUP(CONCATENATE(H445,F445,FS$2),GeoHis!$A:$H,7,FALSE)=CG445,1,0)</f>
        <v>#N/A</v>
      </c>
      <c r="FT445" s="138" t="e">
        <f>IF(VLOOKUP(CONCATENATE(H445,F445,FT$2),GeoHis!$A:$H,7,FALSE)=CH445,1,0)</f>
        <v>#N/A</v>
      </c>
      <c r="FU445" s="138" t="e">
        <f>IF(VLOOKUP(CONCATENATE(H445,F445,FU$2),GeoHis!$A:$H,7,FALSE)=CI445,1,0)</f>
        <v>#N/A</v>
      </c>
      <c r="FV445" s="138" t="e">
        <f>IF(VLOOKUP(CONCATENATE(H445,F445,FV$2),GeoHis!$A:$H,7,FALSE)=CJ445,1,0)</f>
        <v>#N/A</v>
      </c>
      <c r="FW445" s="138" t="e">
        <f>IF(VLOOKUP(CONCATENATE(H445,F445,FW$2),GeoHis!$A:$H,7,FALSE)=CK445,1,0)</f>
        <v>#N/A</v>
      </c>
      <c r="FX445" s="138" t="e">
        <f>IF(VLOOKUP(CONCATENATE(H445,F445,FX$2),GeoHis!$A:$H,7,FALSE)=CL445,1,0)</f>
        <v>#N/A</v>
      </c>
      <c r="FY445" s="138" t="e">
        <f>IF(VLOOKUP(CONCATENATE(H445,F445,FY$2),GeoHis!$A:$H,7,FALSE)=CM445,1,0)</f>
        <v>#N/A</v>
      </c>
      <c r="FZ445" s="138" t="e">
        <f>IF(VLOOKUP(CONCATENATE(H445,F445,FZ$2),GeoHis!$A:$H,7,FALSE)=CN445,1,0)</f>
        <v>#N/A</v>
      </c>
      <c r="GA445" s="138" t="e">
        <f>IF(VLOOKUP(CONCATENATE(H445,F445,GA$2),GeoHis!$A:$H,7,FALSE)=CO445,1,0)</f>
        <v>#N/A</v>
      </c>
      <c r="GB445" s="138" t="e">
        <f>IF(VLOOKUP(CONCATENATE(H445,F445,GB$2),GeoHis!$A:$H,7,FALSE)=CP445,1,0)</f>
        <v>#N/A</v>
      </c>
      <c r="GC445" s="138" t="e">
        <f>IF(VLOOKUP(CONCATENATE(H445,F445,GC$2),GeoHis!$A:$H,7,FALSE)=CQ445,1,0)</f>
        <v>#N/A</v>
      </c>
      <c r="GD445" s="138" t="e">
        <f>IF(VLOOKUP(CONCATENATE(H445,F445,GD$2),GeoHis!$A:$H,7,FALSE)=CR445,1,0)</f>
        <v>#N/A</v>
      </c>
      <c r="GE445" s="135" t="str">
        <f t="shared" si="55"/>
        <v/>
      </c>
    </row>
    <row r="446" spans="1:187" x14ac:dyDescent="0.25">
      <c r="A446" s="127" t="str">
        <f>IF(C446="","",'Datos Generales'!$A$25)</f>
        <v/>
      </c>
      <c r="D446" s="126" t="str">
        <f t="shared" si="48"/>
        <v/>
      </c>
      <c r="E446" s="126">
        <f t="shared" si="49"/>
        <v>0</v>
      </c>
      <c r="F446" s="126" t="str">
        <f t="shared" si="50"/>
        <v/>
      </c>
      <c r="G446" s="126" t="str">
        <f>IF(C446="","",'Datos Generales'!$D$19)</f>
        <v/>
      </c>
      <c r="H446" s="21" t="str">
        <f>IF(C446="","",'Datos Generales'!$A$19)</f>
        <v/>
      </c>
      <c r="I446" s="126" t="str">
        <f>IF(C446="","",'Datos Generales'!$A$7)</f>
        <v/>
      </c>
      <c r="J446" s="21" t="str">
        <f>IF(C446="","",'Datos Generales'!$A$13)</f>
        <v/>
      </c>
      <c r="K446" s="21" t="str">
        <f>IF(C446="","",'Datos Generales'!$A$10)</f>
        <v/>
      </c>
      <c r="CS446" s="142" t="str">
        <f t="shared" si="51"/>
        <v/>
      </c>
      <c r="CT446" s="142" t="str">
        <f t="shared" si="52"/>
        <v/>
      </c>
      <c r="CU446" s="142" t="str">
        <f t="shared" si="53"/>
        <v/>
      </c>
      <c r="CV446" s="142" t="str">
        <f t="shared" si="54"/>
        <v/>
      </c>
      <c r="CW446" s="142" t="str">
        <f>IF(C446="","",IF('Datos Generales'!$A$19=1,AVERAGE(FP446:GD446),AVERAGE(Captura!FP446:FY446)))</f>
        <v/>
      </c>
      <c r="CX446" s="138" t="e">
        <f>IF(VLOOKUP(CONCATENATE($H$4,$F$4,CX$2),Español!$A:$H,7,FALSE)=L446,1,0)</f>
        <v>#N/A</v>
      </c>
      <c r="CY446" s="138" t="e">
        <f>IF(VLOOKUP(CONCATENATE(H446,F446,CY$2),Español!$A:$H,7,FALSE)=M446,1,0)</f>
        <v>#N/A</v>
      </c>
      <c r="CZ446" s="138" t="e">
        <f>IF(VLOOKUP(CONCATENATE(H446,F446,CZ$2),Español!$A:$H,7,FALSE)=N446,1,0)</f>
        <v>#N/A</v>
      </c>
      <c r="DA446" s="138" t="e">
        <f>IF(VLOOKUP(CONCATENATE(H446,F446,DA$2),Español!$A:$H,7,FALSE)=O446,1,0)</f>
        <v>#N/A</v>
      </c>
      <c r="DB446" s="138" t="e">
        <f>IF(VLOOKUP(CONCATENATE(H446,F446,DB$2),Español!$A:$H,7,FALSE)=P446,1,0)</f>
        <v>#N/A</v>
      </c>
      <c r="DC446" s="138" t="e">
        <f>IF(VLOOKUP(CONCATENATE(H446,F446,DC$2),Español!$A:$H,7,FALSE)=Q446,1,0)</f>
        <v>#N/A</v>
      </c>
      <c r="DD446" s="138" t="e">
        <f>IF(VLOOKUP(CONCATENATE(H446,F446,DD$2),Español!$A:$H,7,FALSE)=R446,1,0)</f>
        <v>#N/A</v>
      </c>
      <c r="DE446" s="138" t="e">
        <f>IF(VLOOKUP(CONCATENATE(H446,F446,DE$2),Español!$A:$H,7,FALSE)=S446,1,0)</f>
        <v>#N/A</v>
      </c>
      <c r="DF446" s="138" t="e">
        <f>IF(VLOOKUP(CONCATENATE(H446,F446,DF$2),Español!$A:$H,7,FALSE)=T446,1,0)</f>
        <v>#N/A</v>
      </c>
      <c r="DG446" s="138" t="e">
        <f>IF(VLOOKUP(CONCATENATE(H446,F446,DG$2),Español!$A:$H,7,FALSE)=U446,1,0)</f>
        <v>#N/A</v>
      </c>
      <c r="DH446" s="138" t="e">
        <f>IF(VLOOKUP(CONCATENATE(H446,F446,DH$2),Español!$A:$H,7,FALSE)=V446,1,0)</f>
        <v>#N/A</v>
      </c>
      <c r="DI446" s="138" t="e">
        <f>IF(VLOOKUP(CONCATENATE(H446,F446,DI$2),Español!$A:$H,7,FALSE)=W446,1,0)</f>
        <v>#N/A</v>
      </c>
      <c r="DJ446" s="138" t="e">
        <f>IF(VLOOKUP(CONCATENATE(H446,F446,DJ$2),Español!$A:$H,7,FALSE)=X446,1,0)</f>
        <v>#N/A</v>
      </c>
      <c r="DK446" s="138" t="e">
        <f>IF(VLOOKUP(CONCATENATE(H446,F446,DK$2),Español!$A:$H,7,FALSE)=Y446,1,0)</f>
        <v>#N/A</v>
      </c>
      <c r="DL446" s="138" t="e">
        <f>IF(VLOOKUP(CONCATENATE(H446,F446,DL$2),Español!$A:$H,7,FALSE)=Z446,1,0)</f>
        <v>#N/A</v>
      </c>
      <c r="DM446" s="138" t="e">
        <f>IF(VLOOKUP(CONCATENATE(H446,F446,DM$2),Español!$A:$H,7,FALSE)=AA446,1,0)</f>
        <v>#N/A</v>
      </c>
      <c r="DN446" s="138" t="e">
        <f>IF(VLOOKUP(CONCATENATE(H446,F446,DN$2),Español!$A:$H,7,FALSE)=AB446,1,0)</f>
        <v>#N/A</v>
      </c>
      <c r="DO446" s="138" t="e">
        <f>IF(VLOOKUP(CONCATENATE(H446,F446,DO$2),Español!$A:$H,7,FALSE)=AC446,1,0)</f>
        <v>#N/A</v>
      </c>
      <c r="DP446" s="138" t="e">
        <f>IF(VLOOKUP(CONCATENATE(H446,F446,DP$2),Español!$A:$H,7,FALSE)=AD446,1,0)</f>
        <v>#N/A</v>
      </c>
      <c r="DQ446" s="138" t="e">
        <f>IF(VLOOKUP(CONCATENATE(H446,F446,DQ$2),Español!$A:$H,7,FALSE)=AE446,1,0)</f>
        <v>#N/A</v>
      </c>
      <c r="DR446" s="138" t="e">
        <f>IF(VLOOKUP(CONCATENATE(H446,F446,DR$2),Inglés!$A:$H,7,FALSE)=AF446,1,0)</f>
        <v>#N/A</v>
      </c>
      <c r="DS446" s="138" t="e">
        <f>IF(VLOOKUP(CONCATENATE(H446,F446,DS$2),Inglés!$A:$H,7,FALSE)=AG446,1,0)</f>
        <v>#N/A</v>
      </c>
      <c r="DT446" s="138" t="e">
        <f>IF(VLOOKUP(CONCATENATE(H446,F446,DT$2),Inglés!$A:$H,7,FALSE)=AH446,1,0)</f>
        <v>#N/A</v>
      </c>
      <c r="DU446" s="138" t="e">
        <f>IF(VLOOKUP(CONCATENATE(H446,F446,DU$2),Inglés!$A:$H,7,FALSE)=AI446,1,0)</f>
        <v>#N/A</v>
      </c>
      <c r="DV446" s="138" t="e">
        <f>IF(VLOOKUP(CONCATENATE(H446,F446,DV$2),Inglés!$A:$H,7,FALSE)=AJ446,1,0)</f>
        <v>#N/A</v>
      </c>
      <c r="DW446" s="138" t="e">
        <f>IF(VLOOKUP(CONCATENATE(H446,F446,DW$2),Inglés!$A:$H,7,FALSE)=AK446,1,0)</f>
        <v>#N/A</v>
      </c>
      <c r="DX446" s="138" t="e">
        <f>IF(VLOOKUP(CONCATENATE(H446,F446,DX$2),Inglés!$A:$H,7,FALSE)=AL446,1,0)</f>
        <v>#N/A</v>
      </c>
      <c r="DY446" s="138" t="e">
        <f>IF(VLOOKUP(CONCATENATE(H446,F446,DY$2),Inglés!$A:$H,7,FALSE)=AM446,1,0)</f>
        <v>#N/A</v>
      </c>
      <c r="DZ446" s="138" t="e">
        <f>IF(VLOOKUP(CONCATENATE(H446,F446,DZ$2),Inglés!$A:$H,7,FALSE)=AN446,1,0)</f>
        <v>#N/A</v>
      </c>
      <c r="EA446" s="138" t="e">
        <f>IF(VLOOKUP(CONCATENATE(H446,F446,EA$2),Inglés!$A:$H,7,FALSE)=AO446,1,0)</f>
        <v>#N/A</v>
      </c>
      <c r="EB446" s="138" t="e">
        <f>IF(VLOOKUP(CONCATENATE(H446,F446,EB$2),Matemáticas!$A:$H,7,FALSE)=AP446,1,0)</f>
        <v>#N/A</v>
      </c>
      <c r="EC446" s="138" t="e">
        <f>IF(VLOOKUP(CONCATENATE(H446,F446,EC$2),Matemáticas!$A:$H,7,FALSE)=AQ446,1,0)</f>
        <v>#N/A</v>
      </c>
      <c r="ED446" s="138" t="e">
        <f>IF(VLOOKUP(CONCATENATE(H446,F446,ED$2),Matemáticas!$A:$H,7,FALSE)=AR446,1,0)</f>
        <v>#N/A</v>
      </c>
      <c r="EE446" s="138" t="e">
        <f>IF(VLOOKUP(CONCATENATE(H446,F446,EE$2),Matemáticas!$A:$H,7,FALSE)=AS446,1,0)</f>
        <v>#N/A</v>
      </c>
      <c r="EF446" s="138" t="e">
        <f>IF(VLOOKUP(CONCATENATE(H446,F446,EF$2),Matemáticas!$A:$H,7,FALSE)=AT446,1,0)</f>
        <v>#N/A</v>
      </c>
      <c r="EG446" s="138" t="e">
        <f>IF(VLOOKUP(CONCATENATE(H446,F446,EG$2),Matemáticas!$A:$H,7,FALSE)=AU446,1,0)</f>
        <v>#N/A</v>
      </c>
      <c r="EH446" s="138" t="e">
        <f>IF(VLOOKUP(CONCATENATE(H446,F446,EH$2),Matemáticas!$A:$H,7,FALSE)=AV446,1,0)</f>
        <v>#N/A</v>
      </c>
      <c r="EI446" s="138" t="e">
        <f>IF(VLOOKUP(CONCATENATE(H446,F446,EI$2),Matemáticas!$A:$H,7,FALSE)=AW446,1,0)</f>
        <v>#N/A</v>
      </c>
      <c r="EJ446" s="138" t="e">
        <f>IF(VLOOKUP(CONCATENATE(H446,F446,EJ$2),Matemáticas!$A:$H,7,FALSE)=AX446,1,0)</f>
        <v>#N/A</v>
      </c>
      <c r="EK446" s="138" t="e">
        <f>IF(VLOOKUP(CONCATENATE(H446,F446,EK$2),Matemáticas!$A:$H,7,FALSE)=AY446,1,0)</f>
        <v>#N/A</v>
      </c>
      <c r="EL446" s="138" t="e">
        <f>IF(VLOOKUP(CONCATENATE(H446,F446,EL$2),Matemáticas!$A:$H,7,FALSE)=AZ446,1,0)</f>
        <v>#N/A</v>
      </c>
      <c r="EM446" s="138" t="e">
        <f>IF(VLOOKUP(CONCATENATE(H446,F446,EM$2),Matemáticas!$A:$H,7,FALSE)=BA446,1,0)</f>
        <v>#N/A</v>
      </c>
      <c r="EN446" s="138" t="e">
        <f>IF(VLOOKUP(CONCATENATE(H446,F446,EN$2),Matemáticas!$A:$H,7,FALSE)=BB446,1,0)</f>
        <v>#N/A</v>
      </c>
      <c r="EO446" s="138" t="e">
        <f>IF(VLOOKUP(CONCATENATE(H446,F446,EO$2),Matemáticas!$A:$H,7,FALSE)=BC446,1,0)</f>
        <v>#N/A</v>
      </c>
      <c r="EP446" s="138" t="e">
        <f>IF(VLOOKUP(CONCATENATE(H446,F446,EP$2),Matemáticas!$A:$H,7,FALSE)=BD446,1,0)</f>
        <v>#N/A</v>
      </c>
      <c r="EQ446" s="138" t="e">
        <f>IF(VLOOKUP(CONCATENATE(H446,F446,EQ$2),Matemáticas!$A:$H,7,FALSE)=BE446,1,0)</f>
        <v>#N/A</v>
      </c>
      <c r="ER446" s="138" t="e">
        <f>IF(VLOOKUP(CONCATENATE(H446,F446,ER$2),Matemáticas!$A:$H,7,FALSE)=BF446,1,0)</f>
        <v>#N/A</v>
      </c>
      <c r="ES446" s="138" t="e">
        <f>IF(VLOOKUP(CONCATENATE(H446,F446,ES$2),Matemáticas!$A:$H,7,FALSE)=BG446,1,0)</f>
        <v>#N/A</v>
      </c>
      <c r="ET446" s="138" t="e">
        <f>IF(VLOOKUP(CONCATENATE(H446,F446,ET$2),Matemáticas!$A:$H,7,FALSE)=BH446,1,0)</f>
        <v>#N/A</v>
      </c>
      <c r="EU446" s="138" t="e">
        <f>IF(VLOOKUP(CONCATENATE(H446,F446,EU$2),Matemáticas!$A:$H,7,FALSE)=BI446,1,0)</f>
        <v>#N/A</v>
      </c>
      <c r="EV446" s="138" t="e">
        <f>IF(VLOOKUP(CONCATENATE(H446,F446,EV$2),Ciencias!$A:$H,7,FALSE)=BJ446,1,0)</f>
        <v>#N/A</v>
      </c>
      <c r="EW446" s="138" t="e">
        <f>IF(VLOOKUP(CONCATENATE(H446,F446,EW$2),Ciencias!$A:$H,7,FALSE)=BK446,1,0)</f>
        <v>#N/A</v>
      </c>
      <c r="EX446" s="138" t="e">
        <f>IF(VLOOKUP(CONCATENATE(H446,F446,EX$2),Ciencias!$A:$H,7,FALSE)=BL446,1,0)</f>
        <v>#N/A</v>
      </c>
      <c r="EY446" s="138" t="e">
        <f>IF(VLOOKUP(CONCATENATE(H446,F446,EY$2),Ciencias!$A:$H,7,FALSE)=BM446,1,0)</f>
        <v>#N/A</v>
      </c>
      <c r="EZ446" s="138" t="e">
        <f>IF(VLOOKUP(CONCATENATE(H446,F446,EZ$2),Ciencias!$A:$H,7,FALSE)=BN446,1,0)</f>
        <v>#N/A</v>
      </c>
      <c r="FA446" s="138" t="e">
        <f>IF(VLOOKUP(CONCATENATE(H446,F446,FA$2),Ciencias!$A:$H,7,FALSE)=BO446,1,0)</f>
        <v>#N/A</v>
      </c>
      <c r="FB446" s="138" t="e">
        <f>IF(VLOOKUP(CONCATENATE(H446,F446,FB$2),Ciencias!$A:$H,7,FALSE)=BP446,1,0)</f>
        <v>#N/A</v>
      </c>
      <c r="FC446" s="138" t="e">
        <f>IF(VLOOKUP(CONCATENATE(H446,F446,FC$2),Ciencias!$A:$H,7,FALSE)=BQ446,1,0)</f>
        <v>#N/A</v>
      </c>
      <c r="FD446" s="138" t="e">
        <f>IF(VLOOKUP(CONCATENATE(H446,F446,FD$2),Ciencias!$A:$H,7,FALSE)=BR446,1,0)</f>
        <v>#N/A</v>
      </c>
      <c r="FE446" s="138" t="e">
        <f>IF(VLOOKUP(CONCATENATE(H446,F446,FE$2),Ciencias!$A:$H,7,FALSE)=BS446,1,0)</f>
        <v>#N/A</v>
      </c>
      <c r="FF446" s="138" t="e">
        <f>IF(VLOOKUP(CONCATENATE(H446,F446,FF$2),Ciencias!$A:$H,7,FALSE)=BT446,1,0)</f>
        <v>#N/A</v>
      </c>
      <c r="FG446" s="138" t="e">
        <f>IF(VLOOKUP(CONCATENATE(H446,F446,FG$2),Ciencias!$A:$H,7,FALSE)=BU446,1,0)</f>
        <v>#N/A</v>
      </c>
      <c r="FH446" s="138" t="e">
        <f>IF(VLOOKUP(CONCATENATE(H446,F446,FH$2),Ciencias!$A:$H,7,FALSE)=BV446,1,0)</f>
        <v>#N/A</v>
      </c>
      <c r="FI446" s="138" t="e">
        <f>IF(VLOOKUP(CONCATENATE(H446,F446,FI$2),Ciencias!$A:$H,7,FALSE)=BW446,1,0)</f>
        <v>#N/A</v>
      </c>
      <c r="FJ446" s="138" t="e">
        <f>IF(VLOOKUP(CONCATENATE(H446,F446,FJ$2),Ciencias!$A:$H,7,FALSE)=BX446,1,0)</f>
        <v>#N/A</v>
      </c>
      <c r="FK446" s="138" t="e">
        <f>IF(VLOOKUP(CONCATENATE(H446,F446,FK$2),Ciencias!$A:$H,7,FALSE)=BY446,1,0)</f>
        <v>#N/A</v>
      </c>
      <c r="FL446" s="138" t="e">
        <f>IF(VLOOKUP(CONCATENATE(H446,F446,FL$2),Ciencias!$A:$H,7,FALSE)=BZ446,1,0)</f>
        <v>#N/A</v>
      </c>
      <c r="FM446" s="138" t="e">
        <f>IF(VLOOKUP(CONCATENATE(H446,F446,FM$2),Ciencias!$A:$H,7,FALSE)=CA446,1,0)</f>
        <v>#N/A</v>
      </c>
      <c r="FN446" s="138" t="e">
        <f>IF(VLOOKUP(CONCATENATE(H446,F446,FN$2),Ciencias!$A:$H,7,FALSE)=CB446,1,0)</f>
        <v>#N/A</v>
      </c>
      <c r="FO446" s="138" t="e">
        <f>IF(VLOOKUP(CONCATENATE(H446,F446,FO$2),Ciencias!$A:$H,7,FALSE)=CC446,1,0)</f>
        <v>#N/A</v>
      </c>
      <c r="FP446" s="138" t="e">
        <f>IF(VLOOKUP(CONCATENATE(H446,F446,FP$2),GeoHis!$A:$H,7,FALSE)=CD446,1,0)</f>
        <v>#N/A</v>
      </c>
      <c r="FQ446" s="138" t="e">
        <f>IF(VLOOKUP(CONCATENATE(H446,F446,FQ$2),GeoHis!$A:$H,7,FALSE)=CE446,1,0)</f>
        <v>#N/A</v>
      </c>
      <c r="FR446" s="138" t="e">
        <f>IF(VLOOKUP(CONCATENATE(H446,F446,FR$2),GeoHis!$A:$H,7,FALSE)=CF446,1,0)</f>
        <v>#N/A</v>
      </c>
      <c r="FS446" s="138" t="e">
        <f>IF(VLOOKUP(CONCATENATE(H446,F446,FS$2),GeoHis!$A:$H,7,FALSE)=CG446,1,0)</f>
        <v>#N/A</v>
      </c>
      <c r="FT446" s="138" t="e">
        <f>IF(VLOOKUP(CONCATENATE(H446,F446,FT$2),GeoHis!$A:$H,7,FALSE)=CH446,1,0)</f>
        <v>#N/A</v>
      </c>
      <c r="FU446" s="138" t="e">
        <f>IF(VLOOKUP(CONCATENATE(H446,F446,FU$2),GeoHis!$A:$H,7,FALSE)=CI446,1,0)</f>
        <v>#N/A</v>
      </c>
      <c r="FV446" s="138" t="e">
        <f>IF(VLOOKUP(CONCATENATE(H446,F446,FV$2),GeoHis!$A:$H,7,FALSE)=CJ446,1,0)</f>
        <v>#N/A</v>
      </c>
      <c r="FW446" s="138" t="e">
        <f>IF(VLOOKUP(CONCATENATE(H446,F446,FW$2),GeoHis!$A:$H,7,FALSE)=CK446,1,0)</f>
        <v>#N/A</v>
      </c>
      <c r="FX446" s="138" t="e">
        <f>IF(VLOOKUP(CONCATENATE(H446,F446,FX$2),GeoHis!$A:$H,7,FALSE)=CL446,1,0)</f>
        <v>#N/A</v>
      </c>
      <c r="FY446" s="138" t="e">
        <f>IF(VLOOKUP(CONCATENATE(H446,F446,FY$2),GeoHis!$A:$H,7,FALSE)=CM446,1,0)</f>
        <v>#N/A</v>
      </c>
      <c r="FZ446" s="138" t="e">
        <f>IF(VLOOKUP(CONCATENATE(H446,F446,FZ$2),GeoHis!$A:$H,7,FALSE)=CN446,1,0)</f>
        <v>#N/A</v>
      </c>
      <c r="GA446" s="138" t="e">
        <f>IF(VLOOKUP(CONCATENATE(H446,F446,GA$2),GeoHis!$A:$H,7,FALSE)=CO446,1,0)</f>
        <v>#N/A</v>
      </c>
      <c r="GB446" s="138" t="e">
        <f>IF(VLOOKUP(CONCATENATE(H446,F446,GB$2),GeoHis!$A:$H,7,FALSE)=CP446,1,0)</f>
        <v>#N/A</v>
      </c>
      <c r="GC446" s="138" t="e">
        <f>IF(VLOOKUP(CONCATENATE(H446,F446,GC$2),GeoHis!$A:$H,7,FALSE)=CQ446,1,0)</f>
        <v>#N/A</v>
      </c>
      <c r="GD446" s="138" t="e">
        <f>IF(VLOOKUP(CONCATENATE(H446,F446,GD$2),GeoHis!$A:$H,7,FALSE)=CR446,1,0)</f>
        <v>#N/A</v>
      </c>
      <c r="GE446" s="135" t="str">
        <f t="shared" si="55"/>
        <v/>
      </c>
    </row>
    <row r="447" spans="1:187" x14ac:dyDescent="0.25">
      <c r="A447" s="127" t="str">
        <f>IF(C447="","",'Datos Generales'!$A$25)</f>
        <v/>
      </c>
      <c r="D447" s="126" t="str">
        <f t="shared" si="48"/>
        <v/>
      </c>
      <c r="E447" s="126">
        <f t="shared" si="49"/>
        <v>0</v>
      </c>
      <c r="F447" s="126" t="str">
        <f t="shared" si="50"/>
        <v/>
      </c>
      <c r="G447" s="126" t="str">
        <f>IF(C447="","",'Datos Generales'!$D$19)</f>
        <v/>
      </c>
      <c r="H447" s="21" t="str">
        <f>IF(C447="","",'Datos Generales'!$A$19)</f>
        <v/>
      </c>
      <c r="I447" s="126" t="str">
        <f>IF(C447="","",'Datos Generales'!$A$7)</f>
        <v/>
      </c>
      <c r="J447" s="21" t="str">
        <f>IF(C447="","",'Datos Generales'!$A$13)</f>
        <v/>
      </c>
      <c r="K447" s="21" t="str">
        <f>IF(C447="","",'Datos Generales'!$A$10)</f>
        <v/>
      </c>
      <c r="CS447" s="142" t="str">
        <f t="shared" si="51"/>
        <v/>
      </c>
      <c r="CT447" s="142" t="str">
        <f t="shared" si="52"/>
        <v/>
      </c>
      <c r="CU447" s="142" t="str">
        <f t="shared" si="53"/>
        <v/>
      </c>
      <c r="CV447" s="142" t="str">
        <f t="shared" si="54"/>
        <v/>
      </c>
      <c r="CW447" s="142" t="str">
        <f>IF(C447="","",IF('Datos Generales'!$A$19=1,AVERAGE(FP447:GD447),AVERAGE(Captura!FP447:FY447)))</f>
        <v/>
      </c>
      <c r="CX447" s="138" t="e">
        <f>IF(VLOOKUP(CONCATENATE($H$4,$F$4,CX$2),Español!$A:$H,7,FALSE)=L447,1,0)</f>
        <v>#N/A</v>
      </c>
      <c r="CY447" s="138" t="e">
        <f>IF(VLOOKUP(CONCATENATE(H447,F447,CY$2),Español!$A:$H,7,FALSE)=M447,1,0)</f>
        <v>#N/A</v>
      </c>
      <c r="CZ447" s="138" t="e">
        <f>IF(VLOOKUP(CONCATENATE(H447,F447,CZ$2),Español!$A:$H,7,FALSE)=N447,1,0)</f>
        <v>#N/A</v>
      </c>
      <c r="DA447" s="138" t="e">
        <f>IF(VLOOKUP(CONCATENATE(H447,F447,DA$2),Español!$A:$H,7,FALSE)=O447,1,0)</f>
        <v>#N/A</v>
      </c>
      <c r="DB447" s="138" t="e">
        <f>IF(VLOOKUP(CONCATENATE(H447,F447,DB$2),Español!$A:$H,7,FALSE)=P447,1,0)</f>
        <v>#N/A</v>
      </c>
      <c r="DC447" s="138" t="e">
        <f>IF(VLOOKUP(CONCATENATE(H447,F447,DC$2),Español!$A:$H,7,FALSE)=Q447,1,0)</f>
        <v>#N/A</v>
      </c>
      <c r="DD447" s="138" t="e">
        <f>IF(VLOOKUP(CONCATENATE(H447,F447,DD$2),Español!$A:$H,7,FALSE)=R447,1,0)</f>
        <v>#N/A</v>
      </c>
      <c r="DE447" s="138" t="e">
        <f>IF(VLOOKUP(CONCATENATE(H447,F447,DE$2),Español!$A:$H,7,FALSE)=S447,1,0)</f>
        <v>#N/A</v>
      </c>
      <c r="DF447" s="138" t="e">
        <f>IF(VLOOKUP(CONCATENATE(H447,F447,DF$2),Español!$A:$H,7,FALSE)=T447,1,0)</f>
        <v>#N/A</v>
      </c>
      <c r="DG447" s="138" t="e">
        <f>IF(VLOOKUP(CONCATENATE(H447,F447,DG$2),Español!$A:$H,7,FALSE)=U447,1,0)</f>
        <v>#N/A</v>
      </c>
      <c r="DH447" s="138" t="e">
        <f>IF(VLOOKUP(CONCATENATE(H447,F447,DH$2),Español!$A:$H,7,FALSE)=V447,1,0)</f>
        <v>#N/A</v>
      </c>
      <c r="DI447" s="138" t="e">
        <f>IF(VLOOKUP(CONCATENATE(H447,F447,DI$2),Español!$A:$H,7,FALSE)=W447,1,0)</f>
        <v>#N/A</v>
      </c>
      <c r="DJ447" s="138" t="e">
        <f>IF(VLOOKUP(CONCATENATE(H447,F447,DJ$2),Español!$A:$H,7,FALSE)=X447,1,0)</f>
        <v>#N/A</v>
      </c>
      <c r="DK447" s="138" t="e">
        <f>IF(VLOOKUP(CONCATENATE(H447,F447,DK$2),Español!$A:$H,7,FALSE)=Y447,1,0)</f>
        <v>#N/A</v>
      </c>
      <c r="DL447" s="138" t="e">
        <f>IF(VLOOKUP(CONCATENATE(H447,F447,DL$2),Español!$A:$H,7,FALSE)=Z447,1,0)</f>
        <v>#N/A</v>
      </c>
      <c r="DM447" s="138" t="e">
        <f>IF(VLOOKUP(CONCATENATE(H447,F447,DM$2),Español!$A:$H,7,FALSE)=AA447,1,0)</f>
        <v>#N/A</v>
      </c>
      <c r="DN447" s="138" t="e">
        <f>IF(VLOOKUP(CONCATENATE(H447,F447,DN$2),Español!$A:$H,7,FALSE)=AB447,1,0)</f>
        <v>#N/A</v>
      </c>
      <c r="DO447" s="138" t="e">
        <f>IF(VLOOKUP(CONCATENATE(H447,F447,DO$2),Español!$A:$H,7,FALSE)=AC447,1,0)</f>
        <v>#N/A</v>
      </c>
      <c r="DP447" s="138" t="e">
        <f>IF(VLOOKUP(CONCATENATE(H447,F447,DP$2),Español!$A:$H,7,FALSE)=AD447,1,0)</f>
        <v>#N/A</v>
      </c>
      <c r="DQ447" s="138" t="e">
        <f>IF(VLOOKUP(CONCATENATE(H447,F447,DQ$2),Español!$A:$H,7,FALSE)=AE447,1,0)</f>
        <v>#N/A</v>
      </c>
      <c r="DR447" s="138" t="e">
        <f>IF(VLOOKUP(CONCATENATE(H447,F447,DR$2),Inglés!$A:$H,7,FALSE)=AF447,1,0)</f>
        <v>#N/A</v>
      </c>
      <c r="DS447" s="138" t="e">
        <f>IF(VLOOKUP(CONCATENATE(H447,F447,DS$2),Inglés!$A:$H,7,FALSE)=AG447,1,0)</f>
        <v>#N/A</v>
      </c>
      <c r="DT447" s="138" t="e">
        <f>IF(VLOOKUP(CONCATENATE(H447,F447,DT$2),Inglés!$A:$H,7,FALSE)=AH447,1,0)</f>
        <v>#N/A</v>
      </c>
      <c r="DU447" s="138" t="e">
        <f>IF(VLOOKUP(CONCATENATE(H447,F447,DU$2),Inglés!$A:$H,7,FALSE)=AI447,1,0)</f>
        <v>#N/A</v>
      </c>
      <c r="DV447" s="138" t="e">
        <f>IF(VLOOKUP(CONCATENATE(H447,F447,DV$2),Inglés!$A:$H,7,FALSE)=AJ447,1,0)</f>
        <v>#N/A</v>
      </c>
      <c r="DW447" s="138" t="e">
        <f>IF(VLOOKUP(CONCATENATE(H447,F447,DW$2),Inglés!$A:$H,7,FALSE)=AK447,1,0)</f>
        <v>#N/A</v>
      </c>
      <c r="DX447" s="138" t="e">
        <f>IF(VLOOKUP(CONCATENATE(H447,F447,DX$2),Inglés!$A:$H,7,FALSE)=AL447,1,0)</f>
        <v>#N/A</v>
      </c>
      <c r="DY447" s="138" t="e">
        <f>IF(VLOOKUP(CONCATENATE(H447,F447,DY$2),Inglés!$A:$H,7,FALSE)=AM447,1,0)</f>
        <v>#N/A</v>
      </c>
      <c r="DZ447" s="138" t="e">
        <f>IF(VLOOKUP(CONCATENATE(H447,F447,DZ$2),Inglés!$A:$H,7,FALSE)=AN447,1,0)</f>
        <v>#N/A</v>
      </c>
      <c r="EA447" s="138" t="e">
        <f>IF(VLOOKUP(CONCATENATE(H447,F447,EA$2),Inglés!$A:$H,7,FALSE)=AO447,1,0)</f>
        <v>#N/A</v>
      </c>
      <c r="EB447" s="138" t="e">
        <f>IF(VLOOKUP(CONCATENATE(H447,F447,EB$2),Matemáticas!$A:$H,7,FALSE)=AP447,1,0)</f>
        <v>#N/A</v>
      </c>
      <c r="EC447" s="138" t="e">
        <f>IF(VLOOKUP(CONCATENATE(H447,F447,EC$2),Matemáticas!$A:$H,7,FALSE)=AQ447,1,0)</f>
        <v>#N/A</v>
      </c>
      <c r="ED447" s="138" t="e">
        <f>IF(VLOOKUP(CONCATENATE(H447,F447,ED$2),Matemáticas!$A:$H,7,FALSE)=AR447,1,0)</f>
        <v>#N/A</v>
      </c>
      <c r="EE447" s="138" t="e">
        <f>IF(VLOOKUP(CONCATENATE(H447,F447,EE$2),Matemáticas!$A:$H,7,FALSE)=AS447,1,0)</f>
        <v>#N/A</v>
      </c>
      <c r="EF447" s="138" t="e">
        <f>IF(VLOOKUP(CONCATENATE(H447,F447,EF$2),Matemáticas!$A:$H,7,FALSE)=AT447,1,0)</f>
        <v>#N/A</v>
      </c>
      <c r="EG447" s="138" t="e">
        <f>IF(VLOOKUP(CONCATENATE(H447,F447,EG$2),Matemáticas!$A:$H,7,FALSE)=AU447,1,0)</f>
        <v>#N/A</v>
      </c>
      <c r="EH447" s="138" t="e">
        <f>IF(VLOOKUP(CONCATENATE(H447,F447,EH$2),Matemáticas!$A:$H,7,FALSE)=AV447,1,0)</f>
        <v>#N/A</v>
      </c>
      <c r="EI447" s="138" t="e">
        <f>IF(VLOOKUP(CONCATENATE(H447,F447,EI$2),Matemáticas!$A:$H,7,FALSE)=AW447,1,0)</f>
        <v>#N/A</v>
      </c>
      <c r="EJ447" s="138" t="e">
        <f>IF(VLOOKUP(CONCATENATE(H447,F447,EJ$2),Matemáticas!$A:$H,7,FALSE)=AX447,1,0)</f>
        <v>#N/A</v>
      </c>
      <c r="EK447" s="138" t="e">
        <f>IF(VLOOKUP(CONCATENATE(H447,F447,EK$2),Matemáticas!$A:$H,7,FALSE)=AY447,1,0)</f>
        <v>#N/A</v>
      </c>
      <c r="EL447" s="138" t="e">
        <f>IF(VLOOKUP(CONCATENATE(H447,F447,EL$2),Matemáticas!$A:$H,7,FALSE)=AZ447,1,0)</f>
        <v>#N/A</v>
      </c>
      <c r="EM447" s="138" t="e">
        <f>IF(VLOOKUP(CONCATENATE(H447,F447,EM$2),Matemáticas!$A:$H,7,FALSE)=BA447,1,0)</f>
        <v>#N/A</v>
      </c>
      <c r="EN447" s="138" t="e">
        <f>IF(VLOOKUP(CONCATENATE(H447,F447,EN$2),Matemáticas!$A:$H,7,FALSE)=BB447,1,0)</f>
        <v>#N/A</v>
      </c>
      <c r="EO447" s="138" t="e">
        <f>IF(VLOOKUP(CONCATENATE(H447,F447,EO$2),Matemáticas!$A:$H,7,FALSE)=BC447,1,0)</f>
        <v>#N/A</v>
      </c>
      <c r="EP447" s="138" t="e">
        <f>IF(VLOOKUP(CONCATENATE(H447,F447,EP$2),Matemáticas!$A:$H,7,FALSE)=BD447,1,0)</f>
        <v>#N/A</v>
      </c>
      <c r="EQ447" s="138" t="e">
        <f>IF(VLOOKUP(CONCATENATE(H447,F447,EQ$2),Matemáticas!$A:$H,7,FALSE)=BE447,1,0)</f>
        <v>#N/A</v>
      </c>
      <c r="ER447" s="138" t="e">
        <f>IF(VLOOKUP(CONCATENATE(H447,F447,ER$2),Matemáticas!$A:$H,7,FALSE)=BF447,1,0)</f>
        <v>#N/A</v>
      </c>
      <c r="ES447" s="138" t="e">
        <f>IF(VLOOKUP(CONCATENATE(H447,F447,ES$2),Matemáticas!$A:$H,7,FALSE)=BG447,1,0)</f>
        <v>#N/A</v>
      </c>
      <c r="ET447" s="138" t="e">
        <f>IF(VLOOKUP(CONCATENATE(H447,F447,ET$2),Matemáticas!$A:$H,7,FALSE)=BH447,1,0)</f>
        <v>#N/A</v>
      </c>
      <c r="EU447" s="138" t="e">
        <f>IF(VLOOKUP(CONCATENATE(H447,F447,EU$2),Matemáticas!$A:$H,7,FALSE)=BI447,1,0)</f>
        <v>#N/A</v>
      </c>
      <c r="EV447" s="138" t="e">
        <f>IF(VLOOKUP(CONCATENATE(H447,F447,EV$2),Ciencias!$A:$H,7,FALSE)=BJ447,1,0)</f>
        <v>#N/A</v>
      </c>
      <c r="EW447" s="138" t="e">
        <f>IF(VLOOKUP(CONCATENATE(H447,F447,EW$2),Ciencias!$A:$H,7,FALSE)=BK447,1,0)</f>
        <v>#N/A</v>
      </c>
      <c r="EX447" s="138" t="e">
        <f>IF(VLOOKUP(CONCATENATE(H447,F447,EX$2),Ciencias!$A:$H,7,FALSE)=BL447,1,0)</f>
        <v>#N/A</v>
      </c>
      <c r="EY447" s="138" t="e">
        <f>IF(VLOOKUP(CONCATENATE(H447,F447,EY$2),Ciencias!$A:$H,7,FALSE)=BM447,1,0)</f>
        <v>#N/A</v>
      </c>
      <c r="EZ447" s="138" t="e">
        <f>IF(VLOOKUP(CONCATENATE(H447,F447,EZ$2),Ciencias!$A:$H,7,FALSE)=BN447,1,0)</f>
        <v>#N/A</v>
      </c>
      <c r="FA447" s="138" t="e">
        <f>IF(VLOOKUP(CONCATENATE(H447,F447,FA$2),Ciencias!$A:$H,7,FALSE)=BO447,1,0)</f>
        <v>#N/A</v>
      </c>
      <c r="FB447" s="138" t="e">
        <f>IF(VLOOKUP(CONCATENATE(H447,F447,FB$2),Ciencias!$A:$H,7,FALSE)=BP447,1,0)</f>
        <v>#N/A</v>
      </c>
      <c r="FC447" s="138" t="e">
        <f>IF(VLOOKUP(CONCATENATE(H447,F447,FC$2),Ciencias!$A:$H,7,FALSE)=BQ447,1,0)</f>
        <v>#N/A</v>
      </c>
      <c r="FD447" s="138" t="e">
        <f>IF(VLOOKUP(CONCATENATE(H447,F447,FD$2),Ciencias!$A:$H,7,FALSE)=BR447,1,0)</f>
        <v>#N/A</v>
      </c>
      <c r="FE447" s="138" t="e">
        <f>IF(VLOOKUP(CONCATENATE(H447,F447,FE$2),Ciencias!$A:$H,7,FALSE)=BS447,1,0)</f>
        <v>#N/A</v>
      </c>
      <c r="FF447" s="138" t="e">
        <f>IF(VLOOKUP(CONCATENATE(H447,F447,FF$2),Ciencias!$A:$H,7,FALSE)=BT447,1,0)</f>
        <v>#N/A</v>
      </c>
      <c r="FG447" s="138" t="e">
        <f>IF(VLOOKUP(CONCATENATE(H447,F447,FG$2),Ciencias!$A:$H,7,FALSE)=BU447,1,0)</f>
        <v>#N/A</v>
      </c>
      <c r="FH447" s="138" t="e">
        <f>IF(VLOOKUP(CONCATENATE(H447,F447,FH$2),Ciencias!$A:$H,7,FALSE)=BV447,1,0)</f>
        <v>#N/A</v>
      </c>
      <c r="FI447" s="138" t="e">
        <f>IF(VLOOKUP(CONCATENATE(H447,F447,FI$2),Ciencias!$A:$H,7,FALSE)=BW447,1,0)</f>
        <v>#N/A</v>
      </c>
      <c r="FJ447" s="138" t="e">
        <f>IF(VLOOKUP(CONCATENATE(H447,F447,FJ$2),Ciencias!$A:$H,7,FALSE)=BX447,1,0)</f>
        <v>#N/A</v>
      </c>
      <c r="FK447" s="138" t="e">
        <f>IF(VLOOKUP(CONCATENATE(H447,F447,FK$2),Ciencias!$A:$H,7,FALSE)=BY447,1,0)</f>
        <v>#N/A</v>
      </c>
      <c r="FL447" s="138" t="e">
        <f>IF(VLOOKUP(CONCATENATE(H447,F447,FL$2),Ciencias!$A:$H,7,FALSE)=BZ447,1,0)</f>
        <v>#N/A</v>
      </c>
      <c r="FM447" s="138" t="e">
        <f>IF(VLOOKUP(CONCATENATE(H447,F447,FM$2),Ciencias!$A:$H,7,FALSE)=CA447,1,0)</f>
        <v>#N/A</v>
      </c>
      <c r="FN447" s="138" t="e">
        <f>IF(VLOOKUP(CONCATENATE(H447,F447,FN$2),Ciencias!$A:$H,7,FALSE)=CB447,1,0)</f>
        <v>#N/A</v>
      </c>
      <c r="FO447" s="138" t="e">
        <f>IF(VLOOKUP(CONCATENATE(H447,F447,FO$2),Ciencias!$A:$H,7,FALSE)=CC447,1,0)</f>
        <v>#N/A</v>
      </c>
      <c r="FP447" s="138" t="e">
        <f>IF(VLOOKUP(CONCATENATE(H447,F447,FP$2),GeoHis!$A:$H,7,FALSE)=CD447,1,0)</f>
        <v>#N/A</v>
      </c>
      <c r="FQ447" s="138" t="e">
        <f>IF(VLOOKUP(CONCATENATE(H447,F447,FQ$2),GeoHis!$A:$H,7,FALSE)=CE447,1,0)</f>
        <v>#N/A</v>
      </c>
      <c r="FR447" s="138" t="e">
        <f>IF(VLOOKUP(CONCATENATE(H447,F447,FR$2),GeoHis!$A:$H,7,FALSE)=CF447,1,0)</f>
        <v>#N/A</v>
      </c>
      <c r="FS447" s="138" t="e">
        <f>IF(VLOOKUP(CONCATENATE(H447,F447,FS$2),GeoHis!$A:$H,7,FALSE)=CG447,1,0)</f>
        <v>#N/A</v>
      </c>
      <c r="FT447" s="138" t="e">
        <f>IF(VLOOKUP(CONCATENATE(H447,F447,FT$2),GeoHis!$A:$H,7,FALSE)=CH447,1,0)</f>
        <v>#N/A</v>
      </c>
      <c r="FU447" s="138" t="e">
        <f>IF(VLOOKUP(CONCATENATE(H447,F447,FU$2),GeoHis!$A:$H,7,FALSE)=CI447,1,0)</f>
        <v>#N/A</v>
      </c>
      <c r="FV447" s="138" t="e">
        <f>IF(VLOOKUP(CONCATENATE(H447,F447,FV$2),GeoHis!$A:$H,7,FALSE)=CJ447,1,0)</f>
        <v>#N/A</v>
      </c>
      <c r="FW447" s="138" t="e">
        <f>IF(VLOOKUP(CONCATENATE(H447,F447,FW$2),GeoHis!$A:$H,7,FALSE)=CK447,1,0)</f>
        <v>#N/A</v>
      </c>
      <c r="FX447" s="138" t="e">
        <f>IF(VLOOKUP(CONCATENATE(H447,F447,FX$2),GeoHis!$A:$H,7,FALSE)=CL447,1,0)</f>
        <v>#N/A</v>
      </c>
      <c r="FY447" s="138" t="e">
        <f>IF(VLOOKUP(CONCATENATE(H447,F447,FY$2),GeoHis!$A:$H,7,FALSE)=CM447,1,0)</f>
        <v>#N/A</v>
      </c>
      <c r="FZ447" s="138" t="e">
        <f>IF(VLOOKUP(CONCATENATE(H447,F447,FZ$2),GeoHis!$A:$H,7,FALSE)=CN447,1,0)</f>
        <v>#N/A</v>
      </c>
      <c r="GA447" s="138" t="e">
        <f>IF(VLOOKUP(CONCATENATE(H447,F447,GA$2),GeoHis!$A:$H,7,FALSE)=CO447,1,0)</f>
        <v>#N/A</v>
      </c>
      <c r="GB447" s="138" t="e">
        <f>IF(VLOOKUP(CONCATENATE(H447,F447,GB$2),GeoHis!$A:$H,7,FALSE)=CP447,1,0)</f>
        <v>#N/A</v>
      </c>
      <c r="GC447" s="138" t="e">
        <f>IF(VLOOKUP(CONCATENATE(H447,F447,GC$2),GeoHis!$A:$H,7,FALSE)=CQ447,1,0)</f>
        <v>#N/A</v>
      </c>
      <c r="GD447" s="138" t="e">
        <f>IF(VLOOKUP(CONCATENATE(H447,F447,GD$2),GeoHis!$A:$H,7,FALSE)=CR447,1,0)</f>
        <v>#N/A</v>
      </c>
      <c r="GE447" s="135" t="str">
        <f t="shared" si="55"/>
        <v/>
      </c>
    </row>
    <row r="448" spans="1:187" x14ac:dyDescent="0.25">
      <c r="A448" s="127" t="str">
        <f>IF(C448="","",'Datos Generales'!$A$25)</f>
        <v/>
      </c>
      <c r="D448" s="126" t="str">
        <f t="shared" si="48"/>
        <v/>
      </c>
      <c r="E448" s="126">
        <f t="shared" si="49"/>
        <v>0</v>
      </c>
      <c r="F448" s="126" t="str">
        <f t="shared" si="50"/>
        <v/>
      </c>
      <c r="G448" s="126" t="str">
        <f>IF(C448="","",'Datos Generales'!$D$19)</f>
        <v/>
      </c>
      <c r="H448" s="21" t="str">
        <f>IF(C448="","",'Datos Generales'!$A$19)</f>
        <v/>
      </c>
      <c r="I448" s="126" t="str">
        <f>IF(C448="","",'Datos Generales'!$A$7)</f>
        <v/>
      </c>
      <c r="J448" s="21" t="str">
        <f>IF(C448="","",'Datos Generales'!$A$13)</f>
        <v/>
      </c>
      <c r="K448" s="21" t="str">
        <f>IF(C448="","",'Datos Generales'!$A$10)</f>
        <v/>
      </c>
      <c r="CS448" s="142" t="str">
        <f t="shared" si="51"/>
        <v/>
      </c>
      <c r="CT448" s="142" t="str">
        <f t="shared" si="52"/>
        <v/>
      </c>
      <c r="CU448" s="142" t="str">
        <f t="shared" si="53"/>
        <v/>
      </c>
      <c r="CV448" s="142" t="str">
        <f t="shared" si="54"/>
        <v/>
      </c>
      <c r="CW448" s="142" t="str">
        <f>IF(C448="","",IF('Datos Generales'!$A$19=1,AVERAGE(FP448:GD448),AVERAGE(Captura!FP448:FY448)))</f>
        <v/>
      </c>
      <c r="CX448" s="138" t="e">
        <f>IF(VLOOKUP(CONCATENATE($H$4,$F$4,CX$2),Español!$A:$H,7,FALSE)=L448,1,0)</f>
        <v>#N/A</v>
      </c>
      <c r="CY448" s="138" t="e">
        <f>IF(VLOOKUP(CONCATENATE(H448,F448,CY$2),Español!$A:$H,7,FALSE)=M448,1,0)</f>
        <v>#N/A</v>
      </c>
      <c r="CZ448" s="138" t="e">
        <f>IF(VLOOKUP(CONCATENATE(H448,F448,CZ$2),Español!$A:$H,7,FALSE)=N448,1,0)</f>
        <v>#N/A</v>
      </c>
      <c r="DA448" s="138" t="e">
        <f>IF(VLOOKUP(CONCATENATE(H448,F448,DA$2),Español!$A:$H,7,FALSE)=O448,1,0)</f>
        <v>#N/A</v>
      </c>
      <c r="DB448" s="138" t="e">
        <f>IF(VLOOKUP(CONCATENATE(H448,F448,DB$2),Español!$A:$H,7,FALSE)=P448,1,0)</f>
        <v>#N/A</v>
      </c>
      <c r="DC448" s="138" t="e">
        <f>IF(VLOOKUP(CONCATENATE(H448,F448,DC$2),Español!$A:$H,7,FALSE)=Q448,1,0)</f>
        <v>#N/A</v>
      </c>
      <c r="DD448" s="138" t="e">
        <f>IF(VLOOKUP(CONCATENATE(H448,F448,DD$2),Español!$A:$H,7,FALSE)=R448,1,0)</f>
        <v>#N/A</v>
      </c>
      <c r="DE448" s="138" t="e">
        <f>IF(VLOOKUP(CONCATENATE(H448,F448,DE$2),Español!$A:$H,7,FALSE)=S448,1,0)</f>
        <v>#N/A</v>
      </c>
      <c r="DF448" s="138" t="e">
        <f>IF(VLOOKUP(CONCATENATE(H448,F448,DF$2),Español!$A:$H,7,FALSE)=T448,1,0)</f>
        <v>#N/A</v>
      </c>
      <c r="DG448" s="138" t="e">
        <f>IF(VLOOKUP(CONCATENATE(H448,F448,DG$2),Español!$A:$H,7,FALSE)=U448,1,0)</f>
        <v>#N/A</v>
      </c>
      <c r="DH448" s="138" t="e">
        <f>IF(VLOOKUP(CONCATENATE(H448,F448,DH$2),Español!$A:$H,7,FALSE)=V448,1,0)</f>
        <v>#N/A</v>
      </c>
      <c r="DI448" s="138" t="e">
        <f>IF(VLOOKUP(CONCATENATE(H448,F448,DI$2),Español!$A:$H,7,FALSE)=W448,1,0)</f>
        <v>#N/A</v>
      </c>
      <c r="DJ448" s="138" t="e">
        <f>IF(VLOOKUP(CONCATENATE(H448,F448,DJ$2),Español!$A:$H,7,FALSE)=X448,1,0)</f>
        <v>#N/A</v>
      </c>
      <c r="DK448" s="138" t="e">
        <f>IF(VLOOKUP(CONCATENATE(H448,F448,DK$2),Español!$A:$H,7,FALSE)=Y448,1,0)</f>
        <v>#N/A</v>
      </c>
      <c r="DL448" s="138" t="e">
        <f>IF(VLOOKUP(CONCATENATE(H448,F448,DL$2),Español!$A:$H,7,FALSE)=Z448,1,0)</f>
        <v>#N/A</v>
      </c>
      <c r="DM448" s="138" t="e">
        <f>IF(VLOOKUP(CONCATENATE(H448,F448,DM$2),Español!$A:$H,7,FALSE)=AA448,1,0)</f>
        <v>#N/A</v>
      </c>
      <c r="DN448" s="138" t="e">
        <f>IF(VLOOKUP(CONCATENATE(H448,F448,DN$2),Español!$A:$H,7,FALSE)=AB448,1,0)</f>
        <v>#N/A</v>
      </c>
      <c r="DO448" s="138" t="e">
        <f>IF(VLOOKUP(CONCATENATE(H448,F448,DO$2),Español!$A:$H,7,FALSE)=AC448,1,0)</f>
        <v>#N/A</v>
      </c>
      <c r="DP448" s="138" t="e">
        <f>IF(VLOOKUP(CONCATENATE(H448,F448,DP$2),Español!$A:$H,7,FALSE)=AD448,1,0)</f>
        <v>#N/A</v>
      </c>
      <c r="DQ448" s="138" t="e">
        <f>IF(VLOOKUP(CONCATENATE(H448,F448,DQ$2),Español!$A:$H,7,FALSE)=AE448,1,0)</f>
        <v>#N/A</v>
      </c>
      <c r="DR448" s="138" t="e">
        <f>IF(VLOOKUP(CONCATENATE(H448,F448,DR$2),Inglés!$A:$H,7,FALSE)=AF448,1,0)</f>
        <v>#N/A</v>
      </c>
      <c r="DS448" s="138" t="e">
        <f>IF(VLOOKUP(CONCATENATE(H448,F448,DS$2),Inglés!$A:$H,7,FALSE)=AG448,1,0)</f>
        <v>#N/A</v>
      </c>
      <c r="DT448" s="138" t="e">
        <f>IF(VLOOKUP(CONCATENATE(H448,F448,DT$2),Inglés!$A:$H,7,FALSE)=AH448,1,0)</f>
        <v>#N/A</v>
      </c>
      <c r="DU448" s="138" t="e">
        <f>IF(VLOOKUP(CONCATENATE(H448,F448,DU$2),Inglés!$A:$H,7,FALSE)=AI448,1,0)</f>
        <v>#N/A</v>
      </c>
      <c r="DV448" s="138" t="e">
        <f>IF(VLOOKUP(CONCATENATE(H448,F448,DV$2),Inglés!$A:$H,7,FALSE)=AJ448,1,0)</f>
        <v>#N/A</v>
      </c>
      <c r="DW448" s="138" t="e">
        <f>IF(VLOOKUP(CONCATENATE(H448,F448,DW$2),Inglés!$A:$H,7,FALSE)=AK448,1,0)</f>
        <v>#N/A</v>
      </c>
      <c r="DX448" s="138" t="e">
        <f>IF(VLOOKUP(CONCATENATE(H448,F448,DX$2),Inglés!$A:$H,7,FALSE)=AL448,1,0)</f>
        <v>#N/A</v>
      </c>
      <c r="DY448" s="138" t="e">
        <f>IF(VLOOKUP(CONCATENATE(H448,F448,DY$2),Inglés!$A:$H,7,FALSE)=AM448,1,0)</f>
        <v>#N/A</v>
      </c>
      <c r="DZ448" s="138" t="e">
        <f>IF(VLOOKUP(CONCATENATE(H448,F448,DZ$2),Inglés!$A:$H,7,FALSE)=AN448,1,0)</f>
        <v>#N/A</v>
      </c>
      <c r="EA448" s="138" t="e">
        <f>IF(VLOOKUP(CONCATENATE(H448,F448,EA$2),Inglés!$A:$H,7,FALSE)=AO448,1,0)</f>
        <v>#N/A</v>
      </c>
      <c r="EB448" s="138" t="e">
        <f>IF(VLOOKUP(CONCATENATE(H448,F448,EB$2),Matemáticas!$A:$H,7,FALSE)=AP448,1,0)</f>
        <v>#N/A</v>
      </c>
      <c r="EC448" s="138" t="e">
        <f>IF(VLOOKUP(CONCATENATE(H448,F448,EC$2),Matemáticas!$A:$H,7,FALSE)=AQ448,1,0)</f>
        <v>#N/A</v>
      </c>
      <c r="ED448" s="138" t="e">
        <f>IF(VLOOKUP(CONCATENATE(H448,F448,ED$2),Matemáticas!$A:$H,7,FALSE)=AR448,1,0)</f>
        <v>#N/A</v>
      </c>
      <c r="EE448" s="138" t="e">
        <f>IF(VLOOKUP(CONCATENATE(H448,F448,EE$2),Matemáticas!$A:$H,7,FALSE)=AS448,1,0)</f>
        <v>#N/A</v>
      </c>
      <c r="EF448" s="138" t="e">
        <f>IF(VLOOKUP(CONCATENATE(H448,F448,EF$2),Matemáticas!$A:$H,7,FALSE)=AT448,1,0)</f>
        <v>#N/A</v>
      </c>
      <c r="EG448" s="138" t="e">
        <f>IF(VLOOKUP(CONCATENATE(H448,F448,EG$2),Matemáticas!$A:$H,7,FALSE)=AU448,1,0)</f>
        <v>#N/A</v>
      </c>
      <c r="EH448" s="138" t="e">
        <f>IF(VLOOKUP(CONCATENATE(H448,F448,EH$2),Matemáticas!$A:$H,7,FALSE)=AV448,1,0)</f>
        <v>#N/A</v>
      </c>
      <c r="EI448" s="138" t="e">
        <f>IF(VLOOKUP(CONCATENATE(H448,F448,EI$2),Matemáticas!$A:$H,7,FALSE)=AW448,1,0)</f>
        <v>#N/A</v>
      </c>
      <c r="EJ448" s="138" t="e">
        <f>IF(VLOOKUP(CONCATENATE(H448,F448,EJ$2),Matemáticas!$A:$H,7,FALSE)=AX448,1,0)</f>
        <v>#N/A</v>
      </c>
      <c r="EK448" s="138" t="e">
        <f>IF(VLOOKUP(CONCATENATE(H448,F448,EK$2),Matemáticas!$A:$H,7,FALSE)=AY448,1,0)</f>
        <v>#N/A</v>
      </c>
      <c r="EL448" s="138" t="e">
        <f>IF(VLOOKUP(CONCATENATE(H448,F448,EL$2),Matemáticas!$A:$H,7,FALSE)=AZ448,1,0)</f>
        <v>#N/A</v>
      </c>
      <c r="EM448" s="138" t="e">
        <f>IF(VLOOKUP(CONCATENATE(H448,F448,EM$2),Matemáticas!$A:$H,7,FALSE)=BA448,1,0)</f>
        <v>#N/A</v>
      </c>
      <c r="EN448" s="138" t="e">
        <f>IF(VLOOKUP(CONCATENATE(H448,F448,EN$2),Matemáticas!$A:$H,7,FALSE)=BB448,1,0)</f>
        <v>#N/A</v>
      </c>
      <c r="EO448" s="138" t="e">
        <f>IF(VLOOKUP(CONCATENATE(H448,F448,EO$2),Matemáticas!$A:$H,7,FALSE)=BC448,1,0)</f>
        <v>#N/A</v>
      </c>
      <c r="EP448" s="138" t="e">
        <f>IF(VLOOKUP(CONCATENATE(H448,F448,EP$2),Matemáticas!$A:$H,7,FALSE)=BD448,1,0)</f>
        <v>#N/A</v>
      </c>
      <c r="EQ448" s="138" t="e">
        <f>IF(VLOOKUP(CONCATENATE(H448,F448,EQ$2),Matemáticas!$A:$H,7,FALSE)=BE448,1,0)</f>
        <v>#N/A</v>
      </c>
      <c r="ER448" s="138" t="e">
        <f>IF(VLOOKUP(CONCATENATE(H448,F448,ER$2),Matemáticas!$A:$H,7,FALSE)=BF448,1,0)</f>
        <v>#N/A</v>
      </c>
      <c r="ES448" s="138" t="e">
        <f>IF(VLOOKUP(CONCATENATE(H448,F448,ES$2),Matemáticas!$A:$H,7,FALSE)=BG448,1,0)</f>
        <v>#N/A</v>
      </c>
      <c r="ET448" s="138" t="e">
        <f>IF(VLOOKUP(CONCATENATE(H448,F448,ET$2),Matemáticas!$A:$H,7,FALSE)=BH448,1,0)</f>
        <v>#N/A</v>
      </c>
      <c r="EU448" s="138" t="e">
        <f>IF(VLOOKUP(CONCATENATE(H448,F448,EU$2),Matemáticas!$A:$H,7,FALSE)=BI448,1,0)</f>
        <v>#N/A</v>
      </c>
      <c r="EV448" s="138" t="e">
        <f>IF(VLOOKUP(CONCATENATE(H448,F448,EV$2),Ciencias!$A:$H,7,FALSE)=BJ448,1,0)</f>
        <v>#N/A</v>
      </c>
      <c r="EW448" s="138" t="e">
        <f>IF(VLOOKUP(CONCATENATE(H448,F448,EW$2),Ciencias!$A:$H,7,FALSE)=BK448,1,0)</f>
        <v>#N/A</v>
      </c>
      <c r="EX448" s="138" t="e">
        <f>IF(VLOOKUP(CONCATENATE(H448,F448,EX$2),Ciencias!$A:$H,7,FALSE)=BL448,1,0)</f>
        <v>#N/A</v>
      </c>
      <c r="EY448" s="138" t="e">
        <f>IF(VLOOKUP(CONCATENATE(H448,F448,EY$2),Ciencias!$A:$H,7,FALSE)=BM448,1,0)</f>
        <v>#N/A</v>
      </c>
      <c r="EZ448" s="138" t="e">
        <f>IF(VLOOKUP(CONCATENATE(H448,F448,EZ$2),Ciencias!$A:$H,7,FALSE)=BN448,1,0)</f>
        <v>#N/A</v>
      </c>
      <c r="FA448" s="138" t="e">
        <f>IF(VLOOKUP(CONCATENATE(H448,F448,FA$2),Ciencias!$A:$H,7,FALSE)=BO448,1,0)</f>
        <v>#N/A</v>
      </c>
      <c r="FB448" s="138" t="e">
        <f>IF(VLOOKUP(CONCATENATE(H448,F448,FB$2),Ciencias!$A:$H,7,FALSE)=BP448,1,0)</f>
        <v>#N/A</v>
      </c>
      <c r="FC448" s="138" t="e">
        <f>IF(VLOOKUP(CONCATENATE(H448,F448,FC$2),Ciencias!$A:$H,7,FALSE)=BQ448,1,0)</f>
        <v>#N/A</v>
      </c>
      <c r="FD448" s="138" t="e">
        <f>IF(VLOOKUP(CONCATENATE(H448,F448,FD$2),Ciencias!$A:$H,7,FALSE)=BR448,1,0)</f>
        <v>#N/A</v>
      </c>
      <c r="FE448" s="138" t="e">
        <f>IF(VLOOKUP(CONCATENATE(H448,F448,FE$2),Ciencias!$A:$H,7,FALSE)=BS448,1,0)</f>
        <v>#N/A</v>
      </c>
      <c r="FF448" s="138" t="e">
        <f>IF(VLOOKUP(CONCATENATE(H448,F448,FF$2),Ciencias!$A:$H,7,FALSE)=BT448,1,0)</f>
        <v>#N/A</v>
      </c>
      <c r="FG448" s="138" t="e">
        <f>IF(VLOOKUP(CONCATENATE(H448,F448,FG$2),Ciencias!$A:$H,7,FALSE)=BU448,1,0)</f>
        <v>#N/A</v>
      </c>
      <c r="FH448" s="138" t="e">
        <f>IF(VLOOKUP(CONCATENATE(H448,F448,FH$2),Ciencias!$A:$H,7,FALSE)=BV448,1,0)</f>
        <v>#N/A</v>
      </c>
      <c r="FI448" s="138" t="e">
        <f>IF(VLOOKUP(CONCATENATE(H448,F448,FI$2),Ciencias!$A:$H,7,FALSE)=BW448,1,0)</f>
        <v>#N/A</v>
      </c>
      <c r="FJ448" s="138" t="e">
        <f>IF(VLOOKUP(CONCATENATE(H448,F448,FJ$2),Ciencias!$A:$H,7,FALSE)=BX448,1,0)</f>
        <v>#N/A</v>
      </c>
      <c r="FK448" s="138" t="e">
        <f>IF(VLOOKUP(CONCATENATE(H448,F448,FK$2),Ciencias!$A:$H,7,FALSE)=BY448,1,0)</f>
        <v>#N/A</v>
      </c>
      <c r="FL448" s="138" t="e">
        <f>IF(VLOOKUP(CONCATENATE(H448,F448,FL$2),Ciencias!$A:$H,7,FALSE)=BZ448,1,0)</f>
        <v>#N/A</v>
      </c>
      <c r="FM448" s="138" t="e">
        <f>IF(VLOOKUP(CONCATENATE(H448,F448,FM$2),Ciencias!$A:$H,7,FALSE)=CA448,1,0)</f>
        <v>#N/A</v>
      </c>
      <c r="FN448" s="138" t="e">
        <f>IF(VLOOKUP(CONCATENATE(H448,F448,FN$2),Ciencias!$A:$H,7,FALSE)=CB448,1,0)</f>
        <v>#N/A</v>
      </c>
      <c r="FO448" s="138" t="e">
        <f>IF(VLOOKUP(CONCATENATE(H448,F448,FO$2),Ciencias!$A:$H,7,FALSE)=CC448,1,0)</f>
        <v>#N/A</v>
      </c>
      <c r="FP448" s="138" t="e">
        <f>IF(VLOOKUP(CONCATENATE(H448,F448,FP$2),GeoHis!$A:$H,7,FALSE)=CD448,1,0)</f>
        <v>#N/A</v>
      </c>
      <c r="FQ448" s="138" t="e">
        <f>IF(VLOOKUP(CONCATENATE(H448,F448,FQ$2),GeoHis!$A:$H,7,FALSE)=CE448,1,0)</f>
        <v>#N/A</v>
      </c>
      <c r="FR448" s="138" t="e">
        <f>IF(VLOOKUP(CONCATENATE(H448,F448,FR$2),GeoHis!$A:$H,7,FALSE)=CF448,1,0)</f>
        <v>#N/A</v>
      </c>
      <c r="FS448" s="138" t="e">
        <f>IF(VLOOKUP(CONCATENATE(H448,F448,FS$2),GeoHis!$A:$H,7,FALSE)=CG448,1,0)</f>
        <v>#N/A</v>
      </c>
      <c r="FT448" s="138" t="e">
        <f>IF(VLOOKUP(CONCATENATE(H448,F448,FT$2),GeoHis!$A:$H,7,FALSE)=CH448,1,0)</f>
        <v>#N/A</v>
      </c>
      <c r="FU448" s="138" t="e">
        <f>IF(VLOOKUP(CONCATENATE(H448,F448,FU$2),GeoHis!$A:$H,7,FALSE)=CI448,1,0)</f>
        <v>#N/A</v>
      </c>
      <c r="FV448" s="138" t="e">
        <f>IF(VLOOKUP(CONCATENATE(H448,F448,FV$2),GeoHis!$A:$H,7,FALSE)=CJ448,1,0)</f>
        <v>#N/A</v>
      </c>
      <c r="FW448" s="138" t="e">
        <f>IF(VLOOKUP(CONCATENATE(H448,F448,FW$2),GeoHis!$A:$H,7,FALSE)=CK448,1,0)</f>
        <v>#N/A</v>
      </c>
      <c r="FX448" s="138" t="e">
        <f>IF(VLOOKUP(CONCATENATE(H448,F448,FX$2),GeoHis!$A:$H,7,FALSE)=CL448,1,0)</f>
        <v>#N/A</v>
      </c>
      <c r="FY448" s="138" t="e">
        <f>IF(VLOOKUP(CONCATENATE(H448,F448,FY$2),GeoHis!$A:$H,7,FALSE)=CM448,1,0)</f>
        <v>#N/A</v>
      </c>
      <c r="FZ448" s="138" t="e">
        <f>IF(VLOOKUP(CONCATENATE(H448,F448,FZ$2),GeoHis!$A:$H,7,FALSE)=CN448,1,0)</f>
        <v>#N/A</v>
      </c>
      <c r="GA448" s="138" t="e">
        <f>IF(VLOOKUP(CONCATENATE(H448,F448,GA$2),GeoHis!$A:$H,7,FALSE)=CO448,1,0)</f>
        <v>#N/A</v>
      </c>
      <c r="GB448" s="138" t="e">
        <f>IF(VLOOKUP(CONCATENATE(H448,F448,GB$2),GeoHis!$A:$H,7,FALSE)=CP448,1,0)</f>
        <v>#N/A</v>
      </c>
      <c r="GC448" s="138" t="e">
        <f>IF(VLOOKUP(CONCATENATE(H448,F448,GC$2),GeoHis!$A:$H,7,FALSE)=CQ448,1,0)</f>
        <v>#N/A</v>
      </c>
      <c r="GD448" s="138" t="e">
        <f>IF(VLOOKUP(CONCATENATE(H448,F448,GD$2),GeoHis!$A:$H,7,FALSE)=CR448,1,0)</f>
        <v>#N/A</v>
      </c>
      <c r="GE448" s="135" t="str">
        <f t="shared" si="55"/>
        <v/>
      </c>
    </row>
    <row r="449" spans="1:187" x14ac:dyDescent="0.25">
      <c r="A449" s="127" t="str">
        <f>IF(C449="","",'Datos Generales'!$A$25)</f>
        <v/>
      </c>
      <c r="D449" s="126" t="str">
        <f t="shared" si="48"/>
        <v/>
      </c>
      <c r="E449" s="126">
        <f t="shared" si="49"/>
        <v>0</v>
      </c>
      <c r="F449" s="126" t="str">
        <f t="shared" si="50"/>
        <v/>
      </c>
      <c r="G449" s="126" t="str">
        <f>IF(C449="","",'Datos Generales'!$D$19)</f>
        <v/>
      </c>
      <c r="H449" s="21" t="str">
        <f>IF(C449="","",'Datos Generales'!$A$19)</f>
        <v/>
      </c>
      <c r="I449" s="126" t="str">
        <f>IF(C449="","",'Datos Generales'!$A$7)</f>
        <v/>
      </c>
      <c r="J449" s="21" t="str">
        <f>IF(C449="","",'Datos Generales'!$A$13)</f>
        <v/>
      </c>
      <c r="K449" s="21" t="str">
        <f>IF(C449="","",'Datos Generales'!$A$10)</f>
        <v/>
      </c>
      <c r="CS449" s="142" t="str">
        <f t="shared" si="51"/>
        <v/>
      </c>
      <c r="CT449" s="142" t="str">
        <f t="shared" si="52"/>
        <v/>
      </c>
      <c r="CU449" s="142" t="str">
        <f t="shared" si="53"/>
        <v/>
      </c>
      <c r="CV449" s="142" t="str">
        <f t="shared" si="54"/>
        <v/>
      </c>
      <c r="CW449" s="142" t="str">
        <f>IF(C449="","",IF('Datos Generales'!$A$19=1,AVERAGE(FP449:GD449),AVERAGE(Captura!FP449:FY449)))</f>
        <v/>
      </c>
      <c r="CX449" s="138" t="e">
        <f>IF(VLOOKUP(CONCATENATE($H$4,$F$4,CX$2),Español!$A:$H,7,FALSE)=L449,1,0)</f>
        <v>#N/A</v>
      </c>
      <c r="CY449" s="138" t="e">
        <f>IF(VLOOKUP(CONCATENATE(H449,F449,CY$2),Español!$A:$H,7,FALSE)=M449,1,0)</f>
        <v>#N/A</v>
      </c>
      <c r="CZ449" s="138" t="e">
        <f>IF(VLOOKUP(CONCATENATE(H449,F449,CZ$2),Español!$A:$H,7,FALSE)=N449,1,0)</f>
        <v>#N/A</v>
      </c>
      <c r="DA449" s="138" t="e">
        <f>IF(VLOOKUP(CONCATENATE(H449,F449,DA$2),Español!$A:$H,7,FALSE)=O449,1,0)</f>
        <v>#N/A</v>
      </c>
      <c r="DB449" s="138" t="e">
        <f>IF(VLOOKUP(CONCATENATE(H449,F449,DB$2),Español!$A:$H,7,FALSE)=P449,1,0)</f>
        <v>#N/A</v>
      </c>
      <c r="DC449" s="138" t="e">
        <f>IF(VLOOKUP(CONCATENATE(H449,F449,DC$2),Español!$A:$H,7,FALSE)=Q449,1,0)</f>
        <v>#N/A</v>
      </c>
      <c r="DD449" s="138" t="e">
        <f>IF(VLOOKUP(CONCATENATE(H449,F449,DD$2),Español!$A:$H,7,FALSE)=R449,1,0)</f>
        <v>#N/A</v>
      </c>
      <c r="DE449" s="138" t="e">
        <f>IF(VLOOKUP(CONCATENATE(H449,F449,DE$2),Español!$A:$H,7,FALSE)=S449,1,0)</f>
        <v>#N/A</v>
      </c>
      <c r="DF449" s="138" t="e">
        <f>IF(VLOOKUP(CONCATENATE(H449,F449,DF$2),Español!$A:$H,7,FALSE)=T449,1,0)</f>
        <v>#N/A</v>
      </c>
      <c r="DG449" s="138" t="e">
        <f>IF(VLOOKUP(CONCATENATE(H449,F449,DG$2),Español!$A:$H,7,FALSE)=U449,1,0)</f>
        <v>#N/A</v>
      </c>
      <c r="DH449" s="138" t="e">
        <f>IF(VLOOKUP(CONCATENATE(H449,F449,DH$2),Español!$A:$H,7,FALSE)=V449,1,0)</f>
        <v>#N/A</v>
      </c>
      <c r="DI449" s="138" t="e">
        <f>IF(VLOOKUP(CONCATENATE(H449,F449,DI$2),Español!$A:$H,7,FALSE)=W449,1,0)</f>
        <v>#N/A</v>
      </c>
      <c r="DJ449" s="138" t="e">
        <f>IF(VLOOKUP(CONCATENATE(H449,F449,DJ$2),Español!$A:$H,7,FALSE)=X449,1,0)</f>
        <v>#N/A</v>
      </c>
      <c r="DK449" s="138" t="e">
        <f>IF(VLOOKUP(CONCATENATE(H449,F449,DK$2),Español!$A:$H,7,FALSE)=Y449,1,0)</f>
        <v>#N/A</v>
      </c>
      <c r="DL449" s="138" t="e">
        <f>IF(VLOOKUP(CONCATENATE(H449,F449,DL$2),Español!$A:$H,7,FALSE)=Z449,1,0)</f>
        <v>#N/A</v>
      </c>
      <c r="DM449" s="138" t="e">
        <f>IF(VLOOKUP(CONCATENATE(H449,F449,DM$2),Español!$A:$H,7,FALSE)=AA449,1,0)</f>
        <v>#N/A</v>
      </c>
      <c r="DN449" s="138" t="e">
        <f>IF(VLOOKUP(CONCATENATE(H449,F449,DN$2),Español!$A:$H,7,FALSE)=AB449,1,0)</f>
        <v>#N/A</v>
      </c>
      <c r="DO449" s="138" t="e">
        <f>IF(VLOOKUP(CONCATENATE(H449,F449,DO$2),Español!$A:$H,7,FALSE)=AC449,1,0)</f>
        <v>#N/A</v>
      </c>
      <c r="DP449" s="138" t="e">
        <f>IF(VLOOKUP(CONCATENATE(H449,F449,DP$2),Español!$A:$H,7,FALSE)=AD449,1,0)</f>
        <v>#N/A</v>
      </c>
      <c r="DQ449" s="138" t="e">
        <f>IF(VLOOKUP(CONCATENATE(H449,F449,DQ$2),Español!$A:$H,7,FALSE)=AE449,1,0)</f>
        <v>#N/A</v>
      </c>
      <c r="DR449" s="138" t="e">
        <f>IF(VLOOKUP(CONCATENATE(H449,F449,DR$2),Inglés!$A:$H,7,FALSE)=AF449,1,0)</f>
        <v>#N/A</v>
      </c>
      <c r="DS449" s="138" t="e">
        <f>IF(VLOOKUP(CONCATENATE(H449,F449,DS$2),Inglés!$A:$H,7,FALSE)=AG449,1,0)</f>
        <v>#N/A</v>
      </c>
      <c r="DT449" s="138" t="e">
        <f>IF(VLOOKUP(CONCATENATE(H449,F449,DT$2),Inglés!$A:$H,7,FALSE)=AH449,1,0)</f>
        <v>#N/A</v>
      </c>
      <c r="DU449" s="138" t="e">
        <f>IF(VLOOKUP(CONCATENATE(H449,F449,DU$2),Inglés!$A:$H,7,FALSE)=AI449,1,0)</f>
        <v>#N/A</v>
      </c>
      <c r="DV449" s="138" t="e">
        <f>IF(VLOOKUP(CONCATENATE(H449,F449,DV$2),Inglés!$A:$H,7,FALSE)=AJ449,1,0)</f>
        <v>#N/A</v>
      </c>
      <c r="DW449" s="138" t="e">
        <f>IF(VLOOKUP(CONCATENATE(H449,F449,DW$2),Inglés!$A:$H,7,FALSE)=AK449,1,0)</f>
        <v>#N/A</v>
      </c>
      <c r="DX449" s="138" t="e">
        <f>IF(VLOOKUP(CONCATENATE(H449,F449,DX$2),Inglés!$A:$H,7,FALSE)=AL449,1,0)</f>
        <v>#N/A</v>
      </c>
      <c r="DY449" s="138" t="e">
        <f>IF(VLOOKUP(CONCATENATE(H449,F449,DY$2),Inglés!$A:$H,7,FALSE)=AM449,1,0)</f>
        <v>#N/A</v>
      </c>
      <c r="DZ449" s="138" t="e">
        <f>IF(VLOOKUP(CONCATENATE(H449,F449,DZ$2),Inglés!$A:$H,7,FALSE)=AN449,1,0)</f>
        <v>#N/A</v>
      </c>
      <c r="EA449" s="138" t="e">
        <f>IF(VLOOKUP(CONCATENATE(H449,F449,EA$2),Inglés!$A:$H,7,FALSE)=AO449,1,0)</f>
        <v>#N/A</v>
      </c>
      <c r="EB449" s="138" t="e">
        <f>IF(VLOOKUP(CONCATENATE(H449,F449,EB$2),Matemáticas!$A:$H,7,FALSE)=AP449,1,0)</f>
        <v>#N/A</v>
      </c>
      <c r="EC449" s="138" t="e">
        <f>IF(VLOOKUP(CONCATENATE(H449,F449,EC$2),Matemáticas!$A:$H,7,FALSE)=AQ449,1,0)</f>
        <v>#N/A</v>
      </c>
      <c r="ED449" s="138" t="e">
        <f>IF(VLOOKUP(CONCATENATE(H449,F449,ED$2),Matemáticas!$A:$H,7,FALSE)=AR449,1,0)</f>
        <v>#N/A</v>
      </c>
      <c r="EE449" s="138" t="e">
        <f>IF(VLOOKUP(CONCATENATE(H449,F449,EE$2),Matemáticas!$A:$H,7,FALSE)=AS449,1,0)</f>
        <v>#N/A</v>
      </c>
      <c r="EF449" s="138" t="e">
        <f>IF(VLOOKUP(CONCATENATE(H449,F449,EF$2),Matemáticas!$A:$H,7,FALSE)=AT449,1,0)</f>
        <v>#N/A</v>
      </c>
      <c r="EG449" s="138" t="e">
        <f>IF(VLOOKUP(CONCATENATE(H449,F449,EG$2),Matemáticas!$A:$H,7,FALSE)=AU449,1,0)</f>
        <v>#N/A</v>
      </c>
      <c r="EH449" s="138" t="e">
        <f>IF(VLOOKUP(CONCATENATE(H449,F449,EH$2),Matemáticas!$A:$H,7,FALSE)=AV449,1,0)</f>
        <v>#N/A</v>
      </c>
      <c r="EI449" s="138" t="e">
        <f>IF(VLOOKUP(CONCATENATE(H449,F449,EI$2),Matemáticas!$A:$H,7,FALSE)=AW449,1,0)</f>
        <v>#N/A</v>
      </c>
      <c r="EJ449" s="138" t="e">
        <f>IF(VLOOKUP(CONCATENATE(H449,F449,EJ$2),Matemáticas!$A:$H,7,FALSE)=AX449,1,0)</f>
        <v>#N/A</v>
      </c>
      <c r="EK449" s="138" t="e">
        <f>IF(VLOOKUP(CONCATENATE(H449,F449,EK$2),Matemáticas!$A:$H,7,FALSE)=AY449,1,0)</f>
        <v>#N/A</v>
      </c>
      <c r="EL449" s="138" t="e">
        <f>IF(VLOOKUP(CONCATENATE(H449,F449,EL$2),Matemáticas!$A:$H,7,FALSE)=AZ449,1,0)</f>
        <v>#N/A</v>
      </c>
      <c r="EM449" s="138" t="e">
        <f>IF(VLOOKUP(CONCATENATE(H449,F449,EM$2),Matemáticas!$A:$H,7,FALSE)=BA449,1,0)</f>
        <v>#N/A</v>
      </c>
      <c r="EN449" s="138" t="e">
        <f>IF(VLOOKUP(CONCATENATE(H449,F449,EN$2),Matemáticas!$A:$H,7,FALSE)=BB449,1,0)</f>
        <v>#N/A</v>
      </c>
      <c r="EO449" s="138" t="e">
        <f>IF(VLOOKUP(CONCATENATE(H449,F449,EO$2),Matemáticas!$A:$H,7,FALSE)=BC449,1,0)</f>
        <v>#N/A</v>
      </c>
      <c r="EP449" s="138" t="e">
        <f>IF(VLOOKUP(CONCATENATE(H449,F449,EP$2),Matemáticas!$A:$H,7,FALSE)=BD449,1,0)</f>
        <v>#N/A</v>
      </c>
      <c r="EQ449" s="138" t="e">
        <f>IF(VLOOKUP(CONCATENATE(H449,F449,EQ$2),Matemáticas!$A:$H,7,FALSE)=BE449,1,0)</f>
        <v>#N/A</v>
      </c>
      <c r="ER449" s="138" t="e">
        <f>IF(VLOOKUP(CONCATENATE(H449,F449,ER$2),Matemáticas!$A:$H,7,FALSE)=BF449,1,0)</f>
        <v>#N/A</v>
      </c>
      <c r="ES449" s="138" t="e">
        <f>IF(VLOOKUP(CONCATENATE(H449,F449,ES$2),Matemáticas!$A:$H,7,FALSE)=BG449,1,0)</f>
        <v>#N/A</v>
      </c>
      <c r="ET449" s="138" t="e">
        <f>IF(VLOOKUP(CONCATENATE(H449,F449,ET$2),Matemáticas!$A:$H,7,FALSE)=BH449,1,0)</f>
        <v>#N/A</v>
      </c>
      <c r="EU449" s="138" t="e">
        <f>IF(VLOOKUP(CONCATENATE(H449,F449,EU$2),Matemáticas!$A:$H,7,FALSE)=BI449,1,0)</f>
        <v>#N/A</v>
      </c>
      <c r="EV449" s="138" t="e">
        <f>IF(VLOOKUP(CONCATENATE(H449,F449,EV$2),Ciencias!$A:$H,7,FALSE)=BJ449,1,0)</f>
        <v>#N/A</v>
      </c>
      <c r="EW449" s="138" t="e">
        <f>IF(VLOOKUP(CONCATENATE(H449,F449,EW$2),Ciencias!$A:$H,7,FALSE)=BK449,1,0)</f>
        <v>#N/A</v>
      </c>
      <c r="EX449" s="138" t="e">
        <f>IF(VLOOKUP(CONCATENATE(H449,F449,EX$2),Ciencias!$A:$H,7,FALSE)=BL449,1,0)</f>
        <v>#N/A</v>
      </c>
      <c r="EY449" s="138" t="e">
        <f>IF(VLOOKUP(CONCATENATE(H449,F449,EY$2),Ciencias!$A:$H,7,FALSE)=BM449,1,0)</f>
        <v>#N/A</v>
      </c>
      <c r="EZ449" s="138" t="e">
        <f>IF(VLOOKUP(CONCATENATE(H449,F449,EZ$2),Ciencias!$A:$H,7,FALSE)=BN449,1,0)</f>
        <v>#N/A</v>
      </c>
      <c r="FA449" s="138" t="e">
        <f>IF(VLOOKUP(CONCATENATE(H449,F449,FA$2),Ciencias!$A:$H,7,FALSE)=BO449,1,0)</f>
        <v>#N/A</v>
      </c>
      <c r="FB449" s="138" t="e">
        <f>IF(VLOOKUP(CONCATENATE(H449,F449,FB$2),Ciencias!$A:$H,7,FALSE)=BP449,1,0)</f>
        <v>#N/A</v>
      </c>
      <c r="FC449" s="138" t="e">
        <f>IF(VLOOKUP(CONCATENATE(H449,F449,FC$2),Ciencias!$A:$H,7,FALSE)=BQ449,1,0)</f>
        <v>#N/A</v>
      </c>
      <c r="FD449" s="138" t="e">
        <f>IF(VLOOKUP(CONCATENATE(H449,F449,FD$2),Ciencias!$A:$H,7,FALSE)=BR449,1,0)</f>
        <v>#N/A</v>
      </c>
      <c r="FE449" s="138" t="e">
        <f>IF(VLOOKUP(CONCATENATE(H449,F449,FE$2),Ciencias!$A:$H,7,FALSE)=BS449,1,0)</f>
        <v>#N/A</v>
      </c>
      <c r="FF449" s="138" t="e">
        <f>IF(VLOOKUP(CONCATENATE(H449,F449,FF$2),Ciencias!$A:$H,7,FALSE)=BT449,1,0)</f>
        <v>#N/A</v>
      </c>
      <c r="FG449" s="138" t="e">
        <f>IF(VLOOKUP(CONCATENATE(H449,F449,FG$2),Ciencias!$A:$H,7,FALSE)=BU449,1,0)</f>
        <v>#N/A</v>
      </c>
      <c r="FH449" s="138" t="e">
        <f>IF(VLOOKUP(CONCATENATE(H449,F449,FH$2),Ciencias!$A:$H,7,FALSE)=BV449,1,0)</f>
        <v>#N/A</v>
      </c>
      <c r="FI449" s="138" t="e">
        <f>IF(VLOOKUP(CONCATENATE(H449,F449,FI$2),Ciencias!$A:$H,7,FALSE)=BW449,1,0)</f>
        <v>#N/A</v>
      </c>
      <c r="FJ449" s="138" t="e">
        <f>IF(VLOOKUP(CONCATENATE(H449,F449,FJ$2),Ciencias!$A:$H,7,FALSE)=BX449,1,0)</f>
        <v>#N/A</v>
      </c>
      <c r="FK449" s="138" t="e">
        <f>IF(VLOOKUP(CONCATENATE(H449,F449,FK$2),Ciencias!$A:$H,7,FALSE)=BY449,1,0)</f>
        <v>#N/A</v>
      </c>
      <c r="FL449" s="138" t="e">
        <f>IF(VLOOKUP(CONCATENATE(H449,F449,FL$2),Ciencias!$A:$H,7,FALSE)=BZ449,1,0)</f>
        <v>#N/A</v>
      </c>
      <c r="FM449" s="138" t="e">
        <f>IF(VLOOKUP(CONCATENATE(H449,F449,FM$2),Ciencias!$A:$H,7,FALSE)=CA449,1,0)</f>
        <v>#N/A</v>
      </c>
      <c r="FN449" s="138" t="e">
        <f>IF(VLOOKUP(CONCATENATE(H449,F449,FN$2),Ciencias!$A:$H,7,FALSE)=CB449,1,0)</f>
        <v>#N/A</v>
      </c>
      <c r="FO449" s="138" t="e">
        <f>IF(VLOOKUP(CONCATENATE(H449,F449,FO$2),Ciencias!$A:$H,7,FALSE)=CC449,1,0)</f>
        <v>#N/A</v>
      </c>
      <c r="FP449" s="138" t="e">
        <f>IF(VLOOKUP(CONCATENATE(H449,F449,FP$2),GeoHis!$A:$H,7,FALSE)=CD449,1,0)</f>
        <v>#N/A</v>
      </c>
      <c r="FQ449" s="138" t="e">
        <f>IF(VLOOKUP(CONCATENATE(H449,F449,FQ$2),GeoHis!$A:$H,7,FALSE)=CE449,1,0)</f>
        <v>#N/A</v>
      </c>
      <c r="FR449" s="138" t="e">
        <f>IF(VLOOKUP(CONCATENATE(H449,F449,FR$2),GeoHis!$A:$H,7,FALSE)=CF449,1,0)</f>
        <v>#N/A</v>
      </c>
      <c r="FS449" s="138" t="e">
        <f>IF(VLOOKUP(CONCATENATE(H449,F449,FS$2),GeoHis!$A:$H,7,FALSE)=CG449,1,0)</f>
        <v>#N/A</v>
      </c>
      <c r="FT449" s="138" t="e">
        <f>IF(VLOOKUP(CONCATENATE(H449,F449,FT$2),GeoHis!$A:$H,7,FALSE)=CH449,1,0)</f>
        <v>#N/A</v>
      </c>
      <c r="FU449" s="138" t="e">
        <f>IF(VLOOKUP(CONCATENATE(H449,F449,FU$2),GeoHis!$A:$H,7,FALSE)=CI449,1,0)</f>
        <v>#N/A</v>
      </c>
      <c r="FV449" s="138" t="e">
        <f>IF(VLOOKUP(CONCATENATE(H449,F449,FV$2),GeoHis!$A:$H,7,FALSE)=CJ449,1,0)</f>
        <v>#N/A</v>
      </c>
      <c r="FW449" s="138" t="e">
        <f>IF(VLOOKUP(CONCATENATE(H449,F449,FW$2),GeoHis!$A:$H,7,FALSE)=CK449,1,0)</f>
        <v>#N/A</v>
      </c>
      <c r="FX449" s="138" t="e">
        <f>IF(VLOOKUP(CONCATENATE(H449,F449,FX$2),GeoHis!$A:$H,7,FALSE)=CL449,1,0)</f>
        <v>#N/A</v>
      </c>
      <c r="FY449" s="138" t="e">
        <f>IF(VLOOKUP(CONCATENATE(H449,F449,FY$2),GeoHis!$A:$H,7,FALSE)=CM449,1,0)</f>
        <v>#N/A</v>
      </c>
      <c r="FZ449" s="138" t="e">
        <f>IF(VLOOKUP(CONCATENATE(H449,F449,FZ$2),GeoHis!$A:$H,7,FALSE)=CN449,1,0)</f>
        <v>#N/A</v>
      </c>
      <c r="GA449" s="138" t="e">
        <f>IF(VLOOKUP(CONCATENATE(H449,F449,GA$2),GeoHis!$A:$H,7,FALSE)=CO449,1,0)</f>
        <v>#N/A</v>
      </c>
      <c r="GB449" s="138" t="e">
        <f>IF(VLOOKUP(CONCATENATE(H449,F449,GB$2),GeoHis!$A:$H,7,FALSE)=CP449,1,0)</f>
        <v>#N/A</v>
      </c>
      <c r="GC449" s="138" t="e">
        <f>IF(VLOOKUP(CONCATENATE(H449,F449,GC$2),GeoHis!$A:$H,7,FALSE)=CQ449,1,0)</f>
        <v>#N/A</v>
      </c>
      <c r="GD449" s="138" t="e">
        <f>IF(VLOOKUP(CONCATENATE(H449,F449,GD$2),GeoHis!$A:$H,7,FALSE)=CR449,1,0)</f>
        <v>#N/A</v>
      </c>
      <c r="GE449" s="135" t="str">
        <f t="shared" si="55"/>
        <v/>
      </c>
    </row>
    <row r="450" spans="1:187" x14ac:dyDescent="0.25">
      <c r="A450" s="127" t="str">
        <f>IF(C450="","",'Datos Generales'!$A$25)</f>
        <v/>
      </c>
      <c r="D450" s="126" t="str">
        <f t="shared" si="48"/>
        <v/>
      </c>
      <c r="E450" s="126">
        <f t="shared" si="49"/>
        <v>0</v>
      </c>
      <c r="F450" s="126" t="str">
        <f t="shared" si="50"/>
        <v/>
      </c>
      <c r="G450" s="126" t="str">
        <f>IF(C450="","",'Datos Generales'!$D$19)</f>
        <v/>
      </c>
      <c r="H450" s="21" t="str">
        <f>IF(C450="","",'Datos Generales'!$A$19)</f>
        <v/>
      </c>
      <c r="I450" s="126" t="str">
        <f>IF(C450="","",'Datos Generales'!$A$7)</f>
        <v/>
      </c>
      <c r="J450" s="21" t="str">
        <f>IF(C450="","",'Datos Generales'!$A$13)</f>
        <v/>
      </c>
      <c r="K450" s="21" t="str">
        <f>IF(C450="","",'Datos Generales'!$A$10)</f>
        <v/>
      </c>
      <c r="CS450" s="142" t="str">
        <f t="shared" si="51"/>
        <v/>
      </c>
      <c r="CT450" s="142" t="str">
        <f t="shared" si="52"/>
        <v/>
      </c>
      <c r="CU450" s="142" t="str">
        <f t="shared" si="53"/>
        <v/>
      </c>
      <c r="CV450" s="142" t="str">
        <f t="shared" si="54"/>
        <v/>
      </c>
      <c r="CW450" s="142" t="str">
        <f>IF(C450="","",IF('Datos Generales'!$A$19=1,AVERAGE(FP450:GD450),AVERAGE(Captura!FP450:FY450)))</f>
        <v/>
      </c>
      <c r="CX450" s="138" t="e">
        <f>IF(VLOOKUP(CONCATENATE($H$4,$F$4,CX$2),Español!$A:$H,7,FALSE)=L450,1,0)</f>
        <v>#N/A</v>
      </c>
      <c r="CY450" s="138" t="e">
        <f>IF(VLOOKUP(CONCATENATE(H450,F450,CY$2),Español!$A:$H,7,FALSE)=M450,1,0)</f>
        <v>#N/A</v>
      </c>
      <c r="CZ450" s="138" t="e">
        <f>IF(VLOOKUP(CONCATENATE(H450,F450,CZ$2),Español!$A:$H,7,FALSE)=N450,1,0)</f>
        <v>#N/A</v>
      </c>
      <c r="DA450" s="138" t="e">
        <f>IF(VLOOKUP(CONCATENATE(H450,F450,DA$2),Español!$A:$H,7,FALSE)=O450,1,0)</f>
        <v>#N/A</v>
      </c>
      <c r="DB450" s="138" t="e">
        <f>IF(VLOOKUP(CONCATENATE(H450,F450,DB$2),Español!$A:$H,7,FALSE)=P450,1,0)</f>
        <v>#N/A</v>
      </c>
      <c r="DC450" s="138" t="e">
        <f>IF(VLOOKUP(CONCATENATE(H450,F450,DC$2),Español!$A:$H,7,FALSE)=Q450,1,0)</f>
        <v>#N/A</v>
      </c>
      <c r="DD450" s="138" t="e">
        <f>IF(VLOOKUP(CONCATENATE(H450,F450,DD$2),Español!$A:$H,7,FALSE)=R450,1,0)</f>
        <v>#N/A</v>
      </c>
      <c r="DE450" s="138" t="e">
        <f>IF(VLOOKUP(CONCATENATE(H450,F450,DE$2),Español!$A:$H,7,FALSE)=S450,1,0)</f>
        <v>#N/A</v>
      </c>
      <c r="DF450" s="138" t="e">
        <f>IF(VLOOKUP(CONCATENATE(H450,F450,DF$2),Español!$A:$H,7,FALSE)=T450,1,0)</f>
        <v>#N/A</v>
      </c>
      <c r="DG450" s="138" t="e">
        <f>IF(VLOOKUP(CONCATENATE(H450,F450,DG$2),Español!$A:$H,7,FALSE)=U450,1,0)</f>
        <v>#N/A</v>
      </c>
      <c r="DH450" s="138" t="e">
        <f>IF(VLOOKUP(CONCATENATE(H450,F450,DH$2),Español!$A:$H,7,FALSE)=V450,1,0)</f>
        <v>#N/A</v>
      </c>
      <c r="DI450" s="138" t="e">
        <f>IF(VLOOKUP(CONCATENATE(H450,F450,DI$2),Español!$A:$H,7,FALSE)=W450,1,0)</f>
        <v>#N/A</v>
      </c>
      <c r="DJ450" s="138" t="e">
        <f>IF(VLOOKUP(CONCATENATE(H450,F450,DJ$2),Español!$A:$H,7,FALSE)=X450,1,0)</f>
        <v>#N/A</v>
      </c>
      <c r="DK450" s="138" t="e">
        <f>IF(VLOOKUP(CONCATENATE(H450,F450,DK$2),Español!$A:$H,7,FALSE)=Y450,1,0)</f>
        <v>#N/A</v>
      </c>
      <c r="DL450" s="138" t="e">
        <f>IF(VLOOKUP(CONCATENATE(H450,F450,DL$2),Español!$A:$H,7,FALSE)=Z450,1,0)</f>
        <v>#N/A</v>
      </c>
      <c r="DM450" s="138" t="e">
        <f>IF(VLOOKUP(CONCATENATE(H450,F450,DM$2),Español!$A:$H,7,FALSE)=AA450,1,0)</f>
        <v>#N/A</v>
      </c>
      <c r="DN450" s="138" t="e">
        <f>IF(VLOOKUP(CONCATENATE(H450,F450,DN$2),Español!$A:$H,7,FALSE)=AB450,1,0)</f>
        <v>#N/A</v>
      </c>
      <c r="DO450" s="138" t="e">
        <f>IF(VLOOKUP(CONCATENATE(H450,F450,DO$2),Español!$A:$H,7,FALSE)=AC450,1,0)</f>
        <v>#N/A</v>
      </c>
      <c r="DP450" s="138" t="e">
        <f>IF(VLOOKUP(CONCATENATE(H450,F450,DP$2),Español!$A:$H,7,FALSE)=AD450,1,0)</f>
        <v>#N/A</v>
      </c>
      <c r="DQ450" s="138" t="e">
        <f>IF(VLOOKUP(CONCATENATE(H450,F450,DQ$2),Español!$A:$H,7,FALSE)=AE450,1,0)</f>
        <v>#N/A</v>
      </c>
      <c r="DR450" s="138" t="e">
        <f>IF(VLOOKUP(CONCATENATE(H450,F450,DR$2),Inglés!$A:$H,7,FALSE)=AF450,1,0)</f>
        <v>#N/A</v>
      </c>
      <c r="DS450" s="138" t="e">
        <f>IF(VLOOKUP(CONCATENATE(H450,F450,DS$2),Inglés!$A:$H,7,FALSE)=AG450,1,0)</f>
        <v>#N/A</v>
      </c>
      <c r="DT450" s="138" t="e">
        <f>IF(VLOOKUP(CONCATENATE(H450,F450,DT$2),Inglés!$A:$H,7,FALSE)=AH450,1,0)</f>
        <v>#N/A</v>
      </c>
      <c r="DU450" s="138" t="e">
        <f>IF(VLOOKUP(CONCATENATE(H450,F450,DU$2),Inglés!$A:$H,7,FALSE)=AI450,1,0)</f>
        <v>#N/A</v>
      </c>
      <c r="DV450" s="138" t="e">
        <f>IF(VLOOKUP(CONCATENATE(H450,F450,DV$2),Inglés!$A:$H,7,FALSE)=AJ450,1,0)</f>
        <v>#N/A</v>
      </c>
      <c r="DW450" s="138" t="e">
        <f>IF(VLOOKUP(CONCATENATE(H450,F450,DW$2),Inglés!$A:$H,7,FALSE)=AK450,1,0)</f>
        <v>#N/A</v>
      </c>
      <c r="DX450" s="138" t="e">
        <f>IF(VLOOKUP(CONCATENATE(H450,F450,DX$2),Inglés!$A:$H,7,FALSE)=AL450,1,0)</f>
        <v>#N/A</v>
      </c>
      <c r="DY450" s="138" t="e">
        <f>IF(VLOOKUP(CONCATENATE(H450,F450,DY$2),Inglés!$A:$H,7,FALSE)=AM450,1,0)</f>
        <v>#N/A</v>
      </c>
      <c r="DZ450" s="138" t="e">
        <f>IF(VLOOKUP(CONCATENATE(H450,F450,DZ$2),Inglés!$A:$H,7,FALSE)=AN450,1,0)</f>
        <v>#N/A</v>
      </c>
      <c r="EA450" s="138" t="e">
        <f>IF(VLOOKUP(CONCATENATE(H450,F450,EA$2),Inglés!$A:$H,7,FALSE)=AO450,1,0)</f>
        <v>#N/A</v>
      </c>
      <c r="EB450" s="138" t="e">
        <f>IF(VLOOKUP(CONCATENATE(H450,F450,EB$2),Matemáticas!$A:$H,7,FALSE)=AP450,1,0)</f>
        <v>#N/A</v>
      </c>
      <c r="EC450" s="138" t="e">
        <f>IF(VLOOKUP(CONCATENATE(H450,F450,EC$2),Matemáticas!$A:$H,7,FALSE)=AQ450,1,0)</f>
        <v>#N/A</v>
      </c>
      <c r="ED450" s="138" t="e">
        <f>IF(VLOOKUP(CONCATENATE(H450,F450,ED$2),Matemáticas!$A:$H,7,FALSE)=AR450,1,0)</f>
        <v>#N/A</v>
      </c>
      <c r="EE450" s="138" t="e">
        <f>IF(VLOOKUP(CONCATENATE(H450,F450,EE$2),Matemáticas!$A:$H,7,FALSE)=AS450,1,0)</f>
        <v>#N/A</v>
      </c>
      <c r="EF450" s="138" t="e">
        <f>IF(VLOOKUP(CONCATENATE(H450,F450,EF$2),Matemáticas!$A:$H,7,FALSE)=AT450,1,0)</f>
        <v>#N/A</v>
      </c>
      <c r="EG450" s="138" t="e">
        <f>IF(VLOOKUP(CONCATENATE(H450,F450,EG$2),Matemáticas!$A:$H,7,FALSE)=AU450,1,0)</f>
        <v>#N/A</v>
      </c>
      <c r="EH450" s="138" t="e">
        <f>IF(VLOOKUP(CONCATENATE(H450,F450,EH$2),Matemáticas!$A:$H,7,FALSE)=AV450,1,0)</f>
        <v>#N/A</v>
      </c>
      <c r="EI450" s="138" t="e">
        <f>IF(VLOOKUP(CONCATENATE(H450,F450,EI$2),Matemáticas!$A:$H,7,FALSE)=AW450,1,0)</f>
        <v>#N/A</v>
      </c>
      <c r="EJ450" s="138" t="e">
        <f>IF(VLOOKUP(CONCATENATE(H450,F450,EJ$2),Matemáticas!$A:$H,7,FALSE)=AX450,1,0)</f>
        <v>#N/A</v>
      </c>
      <c r="EK450" s="138" t="e">
        <f>IF(VLOOKUP(CONCATENATE(H450,F450,EK$2),Matemáticas!$A:$H,7,FALSE)=AY450,1,0)</f>
        <v>#N/A</v>
      </c>
      <c r="EL450" s="138" t="e">
        <f>IF(VLOOKUP(CONCATENATE(H450,F450,EL$2),Matemáticas!$A:$H,7,FALSE)=AZ450,1,0)</f>
        <v>#N/A</v>
      </c>
      <c r="EM450" s="138" t="e">
        <f>IF(VLOOKUP(CONCATENATE(H450,F450,EM$2),Matemáticas!$A:$H,7,FALSE)=BA450,1,0)</f>
        <v>#N/A</v>
      </c>
      <c r="EN450" s="138" t="e">
        <f>IF(VLOOKUP(CONCATENATE(H450,F450,EN$2),Matemáticas!$A:$H,7,FALSE)=BB450,1,0)</f>
        <v>#N/A</v>
      </c>
      <c r="EO450" s="138" t="e">
        <f>IF(VLOOKUP(CONCATENATE(H450,F450,EO$2),Matemáticas!$A:$H,7,FALSE)=BC450,1,0)</f>
        <v>#N/A</v>
      </c>
      <c r="EP450" s="138" t="e">
        <f>IF(VLOOKUP(CONCATENATE(H450,F450,EP$2),Matemáticas!$A:$H,7,FALSE)=BD450,1,0)</f>
        <v>#N/A</v>
      </c>
      <c r="EQ450" s="138" t="e">
        <f>IF(VLOOKUP(CONCATENATE(H450,F450,EQ$2),Matemáticas!$A:$H,7,FALSE)=BE450,1,0)</f>
        <v>#N/A</v>
      </c>
      <c r="ER450" s="138" t="e">
        <f>IF(VLOOKUP(CONCATENATE(H450,F450,ER$2),Matemáticas!$A:$H,7,FALSE)=BF450,1,0)</f>
        <v>#N/A</v>
      </c>
      <c r="ES450" s="138" t="e">
        <f>IF(VLOOKUP(CONCATENATE(H450,F450,ES$2),Matemáticas!$A:$H,7,FALSE)=BG450,1,0)</f>
        <v>#N/A</v>
      </c>
      <c r="ET450" s="138" t="e">
        <f>IF(VLOOKUP(CONCATENATE(H450,F450,ET$2),Matemáticas!$A:$H,7,FALSE)=BH450,1,0)</f>
        <v>#N/A</v>
      </c>
      <c r="EU450" s="138" t="e">
        <f>IF(VLOOKUP(CONCATENATE(H450,F450,EU$2),Matemáticas!$A:$H,7,FALSE)=BI450,1,0)</f>
        <v>#N/A</v>
      </c>
      <c r="EV450" s="138" t="e">
        <f>IF(VLOOKUP(CONCATENATE(H450,F450,EV$2),Ciencias!$A:$H,7,FALSE)=BJ450,1,0)</f>
        <v>#N/A</v>
      </c>
      <c r="EW450" s="138" t="e">
        <f>IF(VLOOKUP(CONCATENATE(H450,F450,EW$2),Ciencias!$A:$H,7,FALSE)=BK450,1,0)</f>
        <v>#N/A</v>
      </c>
      <c r="EX450" s="138" t="e">
        <f>IF(VLOOKUP(CONCATENATE(H450,F450,EX$2),Ciencias!$A:$H,7,FALSE)=BL450,1,0)</f>
        <v>#N/A</v>
      </c>
      <c r="EY450" s="138" t="e">
        <f>IF(VLOOKUP(CONCATENATE(H450,F450,EY$2),Ciencias!$A:$H,7,FALSE)=BM450,1,0)</f>
        <v>#N/A</v>
      </c>
      <c r="EZ450" s="138" t="e">
        <f>IF(VLOOKUP(CONCATENATE(H450,F450,EZ$2),Ciencias!$A:$H,7,FALSE)=BN450,1,0)</f>
        <v>#N/A</v>
      </c>
      <c r="FA450" s="138" t="e">
        <f>IF(VLOOKUP(CONCATENATE(H450,F450,FA$2),Ciencias!$A:$H,7,FALSE)=BO450,1,0)</f>
        <v>#N/A</v>
      </c>
      <c r="FB450" s="138" t="e">
        <f>IF(VLOOKUP(CONCATENATE(H450,F450,FB$2),Ciencias!$A:$H,7,FALSE)=BP450,1,0)</f>
        <v>#N/A</v>
      </c>
      <c r="FC450" s="138" t="e">
        <f>IF(VLOOKUP(CONCATENATE(H450,F450,FC$2),Ciencias!$A:$H,7,FALSE)=BQ450,1,0)</f>
        <v>#N/A</v>
      </c>
      <c r="FD450" s="138" t="e">
        <f>IF(VLOOKUP(CONCATENATE(H450,F450,FD$2),Ciencias!$A:$H,7,FALSE)=BR450,1,0)</f>
        <v>#N/A</v>
      </c>
      <c r="FE450" s="138" t="e">
        <f>IF(VLOOKUP(CONCATENATE(H450,F450,FE$2),Ciencias!$A:$H,7,FALSE)=BS450,1,0)</f>
        <v>#N/A</v>
      </c>
      <c r="FF450" s="138" t="e">
        <f>IF(VLOOKUP(CONCATENATE(H450,F450,FF$2),Ciencias!$A:$H,7,FALSE)=BT450,1,0)</f>
        <v>#N/A</v>
      </c>
      <c r="FG450" s="138" t="e">
        <f>IF(VLOOKUP(CONCATENATE(H450,F450,FG$2),Ciencias!$A:$H,7,FALSE)=BU450,1,0)</f>
        <v>#N/A</v>
      </c>
      <c r="FH450" s="138" t="e">
        <f>IF(VLOOKUP(CONCATENATE(H450,F450,FH$2),Ciencias!$A:$H,7,FALSE)=BV450,1,0)</f>
        <v>#N/A</v>
      </c>
      <c r="FI450" s="138" t="e">
        <f>IF(VLOOKUP(CONCATENATE(H450,F450,FI$2),Ciencias!$A:$H,7,FALSE)=BW450,1,0)</f>
        <v>#N/A</v>
      </c>
      <c r="FJ450" s="138" t="e">
        <f>IF(VLOOKUP(CONCATENATE(H450,F450,FJ$2),Ciencias!$A:$H,7,FALSE)=BX450,1,0)</f>
        <v>#N/A</v>
      </c>
      <c r="FK450" s="138" t="e">
        <f>IF(VLOOKUP(CONCATENATE(H450,F450,FK$2),Ciencias!$A:$H,7,FALSE)=BY450,1,0)</f>
        <v>#N/A</v>
      </c>
      <c r="FL450" s="138" t="e">
        <f>IF(VLOOKUP(CONCATENATE(H450,F450,FL$2),Ciencias!$A:$H,7,FALSE)=BZ450,1,0)</f>
        <v>#N/A</v>
      </c>
      <c r="FM450" s="138" t="e">
        <f>IF(VLOOKUP(CONCATENATE(H450,F450,FM$2),Ciencias!$A:$H,7,FALSE)=CA450,1,0)</f>
        <v>#N/A</v>
      </c>
      <c r="FN450" s="138" t="e">
        <f>IF(VLOOKUP(CONCATENATE(H450,F450,FN$2),Ciencias!$A:$H,7,FALSE)=CB450,1,0)</f>
        <v>#N/A</v>
      </c>
      <c r="FO450" s="138" t="e">
        <f>IF(VLOOKUP(CONCATENATE(H450,F450,FO$2),Ciencias!$A:$H,7,FALSE)=CC450,1,0)</f>
        <v>#N/A</v>
      </c>
      <c r="FP450" s="138" t="e">
        <f>IF(VLOOKUP(CONCATENATE(H450,F450,FP$2),GeoHis!$A:$H,7,FALSE)=CD450,1,0)</f>
        <v>#N/A</v>
      </c>
      <c r="FQ450" s="138" t="e">
        <f>IF(VLOOKUP(CONCATENATE(H450,F450,FQ$2),GeoHis!$A:$H,7,FALSE)=CE450,1,0)</f>
        <v>#N/A</v>
      </c>
      <c r="FR450" s="138" t="e">
        <f>IF(VLOOKUP(CONCATENATE(H450,F450,FR$2),GeoHis!$A:$H,7,FALSE)=CF450,1,0)</f>
        <v>#N/A</v>
      </c>
      <c r="FS450" s="138" t="e">
        <f>IF(VLOOKUP(CONCATENATE(H450,F450,FS$2),GeoHis!$A:$H,7,FALSE)=CG450,1,0)</f>
        <v>#N/A</v>
      </c>
      <c r="FT450" s="138" t="e">
        <f>IF(VLOOKUP(CONCATENATE(H450,F450,FT$2),GeoHis!$A:$H,7,FALSE)=CH450,1,0)</f>
        <v>#N/A</v>
      </c>
      <c r="FU450" s="138" t="e">
        <f>IF(VLOOKUP(CONCATENATE(H450,F450,FU$2),GeoHis!$A:$H,7,FALSE)=CI450,1,0)</f>
        <v>#N/A</v>
      </c>
      <c r="FV450" s="138" t="e">
        <f>IF(VLOOKUP(CONCATENATE(H450,F450,FV$2),GeoHis!$A:$H,7,FALSE)=CJ450,1,0)</f>
        <v>#N/A</v>
      </c>
      <c r="FW450" s="138" t="e">
        <f>IF(VLOOKUP(CONCATENATE(H450,F450,FW$2),GeoHis!$A:$H,7,FALSE)=CK450,1,0)</f>
        <v>#N/A</v>
      </c>
      <c r="FX450" s="138" t="e">
        <f>IF(VLOOKUP(CONCATENATE(H450,F450,FX$2),GeoHis!$A:$H,7,FALSE)=CL450,1,0)</f>
        <v>#N/A</v>
      </c>
      <c r="FY450" s="138" t="e">
        <f>IF(VLOOKUP(CONCATENATE(H450,F450,FY$2),GeoHis!$A:$H,7,FALSE)=CM450,1,0)</f>
        <v>#N/A</v>
      </c>
      <c r="FZ450" s="138" t="e">
        <f>IF(VLOOKUP(CONCATENATE(H450,F450,FZ$2),GeoHis!$A:$H,7,FALSE)=CN450,1,0)</f>
        <v>#N/A</v>
      </c>
      <c r="GA450" s="138" t="e">
        <f>IF(VLOOKUP(CONCATENATE(H450,F450,GA$2),GeoHis!$A:$H,7,FALSE)=CO450,1,0)</f>
        <v>#N/A</v>
      </c>
      <c r="GB450" s="138" t="e">
        <f>IF(VLOOKUP(CONCATENATE(H450,F450,GB$2),GeoHis!$A:$H,7,FALSE)=CP450,1,0)</f>
        <v>#N/A</v>
      </c>
      <c r="GC450" s="138" t="e">
        <f>IF(VLOOKUP(CONCATENATE(H450,F450,GC$2),GeoHis!$A:$H,7,FALSE)=CQ450,1,0)</f>
        <v>#N/A</v>
      </c>
      <c r="GD450" s="138" t="e">
        <f>IF(VLOOKUP(CONCATENATE(H450,F450,GD$2),GeoHis!$A:$H,7,FALSE)=CR450,1,0)</f>
        <v>#N/A</v>
      </c>
      <c r="GE450" s="135" t="str">
        <f t="shared" si="55"/>
        <v/>
      </c>
    </row>
    <row r="451" spans="1:187" x14ac:dyDescent="0.25">
      <c r="A451" s="127" t="str">
        <f>IF(C451="","",'Datos Generales'!$A$25)</f>
        <v/>
      </c>
      <c r="D451" s="126" t="str">
        <f t="shared" si="48"/>
        <v/>
      </c>
      <c r="E451" s="126">
        <f t="shared" si="49"/>
        <v>0</v>
      </c>
      <c r="F451" s="126" t="str">
        <f t="shared" si="50"/>
        <v/>
      </c>
      <c r="G451" s="126" t="str">
        <f>IF(C451="","",'Datos Generales'!$D$19)</f>
        <v/>
      </c>
      <c r="H451" s="21" t="str">
        <f>IF(C451="","",'Datos Generales'!$A$19)</f>
        <v/>
      </c>
      <c r="I451" s="126" t="str">
        <f>IF(C451="","",'Datos Generales'!$A$7)</f>
        <v/>
      </c>
      <c r="J451" s="21" t="str">
        <f>IF(C451="","",'Datos Generales'!$A$13)</f>
        <v/>
      </c>
      <c r="K451" s="21" t="str">
        <f>IF(C451="","",'Datos Generales'!$A$10)</f>
        <v/>
      </c>
      <c r="CS451" s="142" t="str">
        <f t="shared" si="51"/>
        <v/>
      </c>
      <c r="CT451" s="142" t="str">
        <f t="shared" si="52"/>
        <v/>
      </c>
      <c r="CU451" s="142" t="str">
        <f t="shared" si="53"/>
        <v/>
      </c>
      <c r="CV451" s="142" t="str">
        <f t="shared" si="54"/>
        <v/>
      </c>
      <c r="CW451" s="142" t="str">
        <f>IF(C451="","",IF('Datos Generales'!$A$19=1,AVERAGE(FP451:GD451),AVERAGE(Captura!FP451:FY451)))</f>
        <v/>
      </c>
      <c r="CX451" s="138" t="e">
        <f>IF(VLOOKUP(CONCATENATE($H$4,$F$4,CX$2),Español!$A:$H,7,FALSE)=L451,1,0)</f>
        <v>#N/A</v>
      </c>
      <c r="CY451" s="138" t="e">
        <f>IF(VLOOKUP(CONCATENATE(H451,F451,CY$2),Español!$A:$H,7,FALSE)=M451,1,0)</f>
        <v>#N/A</v>
      </c>
      <c r="CZ451" s="138" t="e">
        <f>IF(VLOOKUP(CONCATENATE(H451,F451,CZ$2),Español!$A:$H,7,FALSE)=N451,1,0)</f>
        <v>#N/A</v>
      </c>
      <c r="DA451" s="138" t="e">
        <f>IF(VLOOKUP(CONCATENATE(H451,F451,DA$2),Español!$A:$H,7,FALSE)=O451,1,0)</f>
        <v>#N/A</v>
      </c>
      <c r="DB451" s="138" t="e">
        <f>IF(VLOOKUP(CONCATENATE(H451,F451,DB$2),Español!$A:$H,7,FALSE)=P451,1,0)</f>
        <v>#N/A</v>
      </c>
      <c r="DC451" s="138" t="e">
        <f>IF(VLOOKUP(CONCATENATE(H451,F451,DC$2),Español!$A:$H,7,FALSE)=Q451,1,0)</f>
        <v>#N/A</v>
      </c>
      <c r="DD451" s="138" t="e">
        <f>IF(VLOOKUP(CONCATENATE(H451,F451,DD$2),Español!$A:$H,7,FALSE)=R451,1,0)</f>
        <v>#N/A</v>
      </c>
      <c r="DE451" s="138" t="e">
        <f>IF(VLOOKUP(CONCATENATE(H451,F451,DE$2),Español!$A:$H,7,FALSE)=S451,1,0)</f>
        <v>#N/A</v>
      </c>
      <c r="DF451" s="138" t="e">
        <f>IF(VLOOKUP(CONCATENATE(H451,F451,DF$2),Español!$A:$H,7,FALSE)=T451,1,0)</f>
        <v>#N/A</v>
      </c>
      <c r="DG451" s="138" t="e">
        <f>IF(VLOOKUP(CONCATENATE(H451,F451,DG$2),Español!$A:$H,7,FALSE)=U451,1,0)</f>
        <v>#N/A</v>
      </c>
      <c r="DH451" s="138" t="e">
        <f>IF(VLOOKUP(CONCATENATE(H451,F451,DH$2),Español!$A:$H,7,FALSE)=V451,1,0)</f>
        <v>#N/A</v>
      </c>
      <c r="DI451" s="138" t="e">
        <f>IF(VLOOKUP(CONCATENATE(H451,F451,DI$2),Español!$A:$H,7,FALSE)=W451,1,0)</f>
        <v>#N/A</v>
      </c>
      <c r="DJ451" s="138" t="e">
        <f>IF(VLOOKUP(CONCATENATE(H451,F451,DJ$2),Español!$A:$H,7,FALSE)=X451,1,0)</f>
        <v>#N/A</v>
      </c>
      <c r="DK451" s="138" t="e">
        <f>IF(VLOOKUP(CONCATENATE(H451,F451,DK$2),Español!$A:$H,7,FALSE)=Y451,1,0)</f>
        <v>#N/A</v>
      </c>
      <c r="DL451" s="138" t="e">
        <f>IF(VLOOKUP(CONCATENATE(H451,F451,DL$2),Español!$A:$H,7,FALSE)=Z451,1,0)</f>
        <v>#N/A</v>
      </c>
      <c r="DM451" s="138" t="e">
        <f>IF(VLOOKUP(CONCATENATE(H451,F451,DM$2),Español!$A:$H,7,FALSE)=AA451,1,0)</f>
        <v>#N/A</v>
      </c>
      <c r="DN451" s="138" t="e">
        <f>IF(VLOOKUP(CONCATENATE(H451,F451,DN$2),Español!$A:$H,7,FALSE)=AB451,1,0)</f>
        <v>#N/A</v>
      </c>
      <c r="DO451" s="138" t="e">
        <f>IF(VLOOKUP(CONCATENATE(H451,F451,DO$2),Español!$A:$H,7,FALSE)=AC451,1,0)</f>
        <v>#N/A</v>
      </c>
      <c r="DP451" s="138" t="e">
        <f>IF(VLOOKUP(CONCATENATE(H451,F451,DP$2),Español!$A:$H,7,FALSE)=AD451,1,0)</f>
        <v>#N/A</v>
      </c>
      <c r="DQ451" s="138" t="e">
        <f>IF(VLOOKUP(CONCATENATE(H451,F451,DQ$2),Español!$A:$H,7,FALSE)=AE451,1,0)</f>
        <v>#N/A</v>
      </c>
      <c r="DR451" s="138" t="e">
        <f>IF(VLOOKUP(CONCATENATE(H451,F451,DR$2),Inglés!$A:$H,7,FALSE)=AF451,1,0)</f>
        <v>#N/A</v>
      </c>
      <c r="DS451" s="138" t="e">
        <f>IF(VLOOKUP(CONCATENATE(H451,F451,DS$2),Inglés!$A:$H,7,FALSE)=AG451,1,0)</f>
        <v>#N/A</v>
      </c>
      <c r="DT451" s="138" t="e">
        <f>IF(VLOOKUP(CONCATENATE(H451,F451,DT$2),Inglés!$A:$H,7,FALSE)=AH451,1,0)</f>
        <v>#N/A</v>
      </c>
      <c r="DU451" s="138" t="e">
        <f>IF(VLOOKUP(CONCATENATE(H451,F451,DU$2),Inglés!$A:$H,7,FALSE)=AI451,1,0)</f>
        <v>#N/A</v>
      </c>
      <c r="DV451" s="138" t="e">
        <f>IF(VLOOKUP(CONCATENATE(H451,F451,DV$2),Inglés!$A:$H,7,FALSE)=AJ451,1,0)</f>
        <v>#N/A</v>
      </c>
      <c r="DW451" s="138" t="e">
        <f>IF(VLOOKUP(CONCATENATE(H451,F451,DW$2),Inglés!$A:$H,7,FALSE)=AK451,1,0)</f>
        <v>#N/A</v>
      </c>
      <c r="DX451" s="138" t="e">
        <f>IF(VLOOKUP(CONCATENATE(H451,F451,DX$2),Inglés!$A:$H,7,FALSE)=AL451,1,0)</f>
        <v>#N/A</v>
      </c>
      <c r="DY451" s="138" t="e">
        <f>IF(VLOOKUP(CONCATENATE(H451,F451,DY$2),Inglés!$A:$H,7,FALSE)=AM451,1,0)</f>
        <v>#N/A</v>
      </c>
      <c r="DZ451" s="138" t="e">
        <f>IF(VLOOKUP(CONCATENATE(H451,F451,DZ$2),Inglés!$A:$H,7,FALSE)=AN451,1,0)</f>
        <v>#N/A</v>
      </c>
      <c r="EA451" s="138" t="e">
        <f>IF(VLOOKUP(CONCATENATE(H451,F451,EA$2),Inglés!$A:$H,7,FALSE)=AO451,1,0)</f>
        <v>#N/A</v>
      </c>
      <c r="EB451" s="138" t="e">
        <f>IF(VLOOKUP(CONCATENATE(H451,F451,EB$2),Matemáticas!$A:$H,7,FALSE)=AP451,1,0)</f>
        <v>#N/A</v>
      </c>
      <c r="EC451" s="138" t="e">
        <f>IF(VLOOKUP(CONCATENATE(H451,F451,EC$2),Matemáticas!$A:$H,7,FALSE)=AQ451,1,0)</f>
        <v>#N/A</v>
      </c>
      <c r="ED451" s="138" t="e">
        <f>IF(VLOOKUP(CONCATENATE(H451,F451,ED$2),Matemáticas!$A:$H,7,FALSE)=AR451,1,0)</f>
        <v>#N/A</v>
      </c>
      <c r="EE451" s="138" t="e">
        <f>IF(VLOOKUP(CONCATENATE(H451,F451,EE$2),Matemáticas!$A:$H,7,FALSE)=AS451,1,0)</f>
        <v>#N/A</v>
      </c>
      <c r="EF451" s="138" t="e">
        <f>IF(VLOOKUP(CONCATENATE(H451,F451,EF$2),Matemáticas!$A:$H,7,FALSE)=AT451,1,0)</f>
        <v>#N/A</v>
      </c>
      <c r="EG451" s="138" t="e">
        <f>IF(VLOOKUP(CONCATENATE(H451,F451,EG$2),Matemáticas!$A:$H,7,FALSE)=AU451,1,0)</f>
        <v>#N/A</v>
      </c>
      <c r="EH451" s="138" t="e">
        <f>IF(VLOOKUP(CONCATENATE(H451,F451,EH$2),Matemáticas!$A:$H,7,FALSE)=AV451,1,0)</f>
        <v>#N/A</v>
      </c>
      <c r="EI451" s="138" t="e">
        <f>IF(VLOOKUP(CONCATENATE(H451,F451,EI$2),Matemáticas!$A:$H,7,FALSE)=AW451,1,0)</f>
        <v>#N/A</v>
      </c>
      <c r="EJ451" s="138" t="e">
        <f>IF(VLOOKUP(CONCATENATE(H451,F451,EJ$2),Matemáticas!$A:$H,7,FALSE)=AX451,1,0)</f>
        <v>#N/A</v>
      </c>
      <c r="EK451" s="138" t="e">
        <f>IF(VLOOKUP(CONCATENATE(H451,F451,EK$2),Matemáticas!$A:$H,7,FALSE)=AY451,1,0)</f>
        <v>#N/A</v>
      </c>
      <c r="EL451" s="138" t="e">
        <f>IF(VLOOKUP(CONCATENATE(H451,F451,EL$2),Matemáticas!$A:$H,7,FALSE)=AZ451,1,0)</f>
        <v>#N/A</v>
      </c>
      <c r="EM451" s="138" t="e">
        <f>IF(VLOOKUP(CONCATENATE(H451,F451,EM$2),Matemáticas!$A:$H,7,FALSE)=BA451,1,0)</f>
        <v>#N/A</v>
      </c>
      <c r="EN451" s="138" t="e">
        <f>IF(VLOOKUP(CONCATENATE(H451,F451,EN$2),Matemáticas!$A:$H,7,FALSE)=BB451,1,0)</f>
        <v>#N/A</v>
      </c>
      <c r="EO451" s="138" t="e">
        <f>IF(VLOOKUP(CONCATENATE(H451,F451,EO$2),Matemáticas!$A:$H,7,FALSE)=BC451,1,0)</f>
        <v>#N/A</v>
      </c>
      <c r="EP451" s="138" t="e">
        <f>IF(VLOOKUP(CONCATENATE(H451,F451,EP$2),Matemáticas!$A:$H,7,FALSE)=BD451,1,0)</f>
        <v>#N/A</v>
      </c>
      <c r="EQ451" s="138" t="e">
        <f>IF(VLOOKUP(CONCATENATE(H451,F451,EQ$2),Matemáticas!$A:$H,7,FALSE)=BE451,1,0)</f>
        <v>#N/A</v>
      </c>
      <c r="ER451" s="138" t="e">
        <f>IF(VLOOKUP(CONCATENATE(H451,F451,ER$2),Matemáticas!$A:$H,7,FALSE)=BF451,1,0)</f>
        <v>#N/A</v>
      </c>
      <c r="ES451" s="138" t="e">
        <f>IF(VLOOKUP(CONCATENATE(H451,F451,ES$2),Matemáticas!$A:$H,7,FALSE)=BG451,1,0)</f>
        <v>#N/A</v>
      </c>
      <c r="ET451" s="138" t="e">
        <f>IF(VLOOKUP(CONCATENATE(H451,F451,ET$2),Matemáticas!$A:$H,7,FALSE)=BH451,1,0)</f>
        <v>#N/A</v>
      </c>
      <c r="EU451" s="138" t="e">
        <f>IF(VLOOKUP(CONCATENATE(H451,F451,EU$2),Matemáticas!$A:$H,7,FALSE)=BI451,1,0)</f>
        <v>#N/A</v>
      </c>
      <c r="EV451" s="138" t="e">
        <f>IF(VLOOKUP(CONCATENATE(H451,F451,EV$2),Ciencias!$A:$H,7,FALSE)=BJ451,1,0)</f>
        <v>#N/A</v>
      </c>
      <c r="EW451" s="138" t="e">
        <f>IF(VLOOKUP(CONCATENATE(H451,F451,EW$2),Ciencias!$A:$H,7,FALSE)=BK451,1,0)</f>
        <v>#N/A</v>
      </c>
      <c r="EX451" s="138" t="e">
        <f>IF(VLOOKUP(CONCATENATE(H451,F451,EX$2),Ciencias!$A:$H,7,FALSE)=BL451,1,0)</f>
        <v>#N/A</v>
      </c>
      <c r="EY451" s="138" t="e">
        <f>IF(VLOOKUP(CONCATENATE(H451,F451,EY$2),Ciencias!$A:$H,7,FALSE)=BM451,1,0)</f>
        <v>#N/A</v>
      </c>
      <c r="EZ451" s="138" t="e">
        <f>IF(VLOOKUP(CONCATENATE(H451,F451,EZ$2),Ciencias!$A:$H,7,FALSE)=BN451,1,0)</f>
        <v>#N/A</v>
      </c>
      <c r="FA451" s="138" t="e">
        <f>IF(VLOOKUP(CONCATENATE(H451,F451,FA$2),Ciencias!$A:$H,7,FALSE)=BO451,1,0)</f>
        <v>#N/A</v>
      </c>
      <c r="FB451" s="138" t="e">
        <f>IF(VLOOKUP(CONCATENATE(H451,F451,FB$2),Ciencias!$A:$H,7,FALSE)=BP451,1,0)</f>
        <v>#N/A</v>
      </c>
      <c r="FC451" s="138" t="e">
        <f>IF(VLOOKUP(CONCATENATE(H451,F451,FC$2),Ciencias!$A:$H,7,FALSE)=BQ451,1,0)</f>
        <v>#N/A</v>
      </c>
      <c r="FD451" s="138" t="e">
        <f>IF(VLOOKUP(CONCATENATE(H451,F451,FD$2),Ciencias!$A:$H,7,FALSE)=BR451,1,0)</f>
        <v>#N/A</v>
      </c>
      <c r="FE451" s="138" t="e">
        <f>IF(VLOOKUP(CONCATENATE(H451,F451,FE$2),Ciencias!$A:$H,7,FALSE)=BS451,1,0)</f>
        <v>#N/A</v>
      </c>
      <c r="FF451" s="138" t="e">
        <f>IF(VLOOKUP(CONCATENATE(H451,F451,FF$2),Ciencias!$A:$H,7,FALSE)=BT451,1,0)</f>
        <v>#N/A</v>
      </c>
      <c r="FG451" s="138" t="e">
        <f>IF(VLOOKUP(CONCATENATE(H451,F451,FG$2),Ciencias!$A:$H,7,FALSE)=BU451,1,0)</f>
        <v>#N/A</v>
      </c>
      <c r="FH451" s="138" t="e">
        <f>IF(VLOOKUP(CONCATENATE(H451,F451,FH$2),Ciencias!$A:$H,7,FALSE)=BV451,1,0)</f>
        <v>#N/A</v>
      </c>
      <c r="FI451" s="138" t="e">
        <f>IF(VLOOKUP(CONCATENATE(H451,F451,FI$2),Ciencias!$A:$H,7,FALSE)=BW451,1,0)</f>
        <v>#N/A</v>
      </c>
      <c r="FJ451" s="138" t="e">
        <f>IF(VLOOKUP(CONCATENATE(H451,F451,FJ$2),Ciencias!$A:$H,7,FALSE)=BX451,1,0)</f>
        <v>#N/A</v>
      </c>
      <c r="FK451" s="138" t="e">
        <f>IF(VLOOKUP(CONCATENATE(H451,F451,FK$2),Ciencias!$A:$H,7,FALSE)=BY451,1,0)</f>
        <v>#N/A</v>
      </c>
      <c r="FL451" s="138" t="e">
        <f>IF(VLOOKUP(CONCATENATE(H451,F451,FL$2),Ciencias!$A:$H,7,FALSE)=BZ451,1,0)</f>
        <v>#N/A</v>
      </c>
      <c r="FM451" s="138" t="e">
        <f>IF(VLOOKUP(CONCATENATE(H451,F451,FM$2),Ciencias!$A:$H,7,FALSE)=CA451,1,0)</f>
        <v>#N/A</v>
      </c>
      <c r="FN451" s="138" t="e">
        <f>IF(VLOOKUP(CONCATENATE(H451,F451,FN$2),Ciencias!$A:$H,7,FALSE)=CB451,1,0)</f>
        <v>#N/A</v>
      </c>
      <c r="FO451" s="138" t="e">
        <f>IF(VLOOKUP(CONCATENATE(H451,F451,FO$2),Ciencias!$A:$H,7,FALSE)=CC451,1,0)</f>
        <v>#N/A</v>
      </c>
      <c r="FP451" s="138" t="e">
        <f>IF(VLOOKUP(CONCATENATE(H451,F451,FP$2),GeoHis!$A:$H,7,FALSE)=CD451,1,0)</f>
        <v>#N/A</v>
      </c>
      <c r="FQ451" s="138" t="e">
        <f>IF(VLOOKUP(CONCATENATE(H451,F451,FQ$2),GeoHis!$A:$H,7,FALSE)=CE451,1,0)</f>
        <v>#N/A</v>
      </c>
      <c r="FR451" s="138" t="e">
        <f>IF(VLOOKUP(CONCATENATE(H451,F451,FR$2),GeoHis!$A:$H,7,FALSE)=CF451,1,0)</f>
        <v>#N/A</v>
      </c>
      <c r="FS451" s="138" t="e">
        <f>IF(VLOOKUP(CONCATENATE(H451,F451,FS$2),GeoHis!$A:$H,7,FALSE)=CG451,1,0)</f>
        <v>#N/A</v>
      </c>
      <c r="FT451" s="138" t="e">
        <f>IF(VLOOKUP(CONCATENATE(H451,F451,FT$2),GeoHis!$A:$H,7,FALSE)=CH451,1,0)</f>
        <v>#N/A</v>
      </c>
      <c r="FU451" s="138" t="e">
        <f>IF(VLOOKUP(CONCATENATE(H451,F451,FU$2),GeoHis!$A:$H,7,FALSE)=CI451,1,0)</f>
        <v>#N/A</v>
      </c>
      <c r="FV451" s="138" t="e">
        <f>IF(VLOOKUP(CONCATENATE(H451,F451,FV$2),GeoHis!$A:$H,7,FALSE)=CJ451,1,0)</f>
        <v>#N/A</v>
      </c>
      <c r="FW451" s="138" t="e">
        <f>IF(VLOOKUP(CONCATENATE(H451,F451,FW$2),GeoHis!$A:$H,7,FALSE)=CK451,1,0)</f>
        <v>#N/A</v>
      </c>
      <c r="FX451" s="138" t="e">
        <f>IF(VLOOKUP(CONCATENATE(H451,F451,FX$2),GeoHis!$A:$H,7,FALSE)=CL451,1,0)</f>
        <v>#N/A</v>
      </c>
      <c r="FY451" s="138" t="e">
        <f>IF(VLOOKUP(CONCATENATE(H451,F451,FY$2),GeoHis!$A:$H,7,FALSE)=CM451,1,0)</f>
        <v>#N/A</v>
      </c>
      <c r="FZ451" s="138" t="e">
        <f>IF(VLOOKUP(CONCATENATE(H451,F451,FZ$2),GeoHis!$A:$H,7,FALSE)=CN451,1,0)</f>
        <v>#N/A</v>
      </c>
      <c r="GA451" s="138" t="e">
        <f>IF(VLOOKUP(CONCATENATE(H451,F451,GA$2),GeoHis!$A:$H,7,FALSE)=CO451,1,0)</f>
        <v>#N/A</v>
      </c>
      <c r="GB451" s="138" t="e">
        <f>IF(VLOOKUP(CONCATENATE(H451,F451,GB$2),GeoHis!$A:$H,7,FALSE)=CP451,1,0)</f>
        <v>#N/A</v>
      </c>
      <c r="GC451" s="138" t="e">
        <f>IF(VLOOKUP(CONCATENATE(H451,F451,GC$2),GeoHis!$A:$H,7,FALSE)=CQ451,1,0)</f>
        <v>#N/A</v>
      </c>
      <c r="GD451" s="138" t="e">
        <f>IF(VLOOKUP(CONCATENATE(H451,F451,GD$2),GeoHis!$A:$H,7,FALSE)=CR451,1,0)</f>
        <v>#N/A</v>
      </c>
      <c r="GE451" s="135" t="str">
        <f t="shared" si="55"/>
        <v/>
      </c>
    </row>
    <row r="452" spans="1:187" x14ac:dyDescent="0.25">
      <c r="A452" s="127" t="str">
        <f>IF(C452="","",'Datos Generales'!$A$25)</f>
        <v/>
      </c>
      <c r="D452" s="126" t="str">
        <f t="shared" ref="D452:D500" si="56">CONCATENATE(C452,F452,G452,H452,I452,J452,K452)</f>
        <v/>
      </c>
      <c r="E452" s="126">
        <f t="shared" ref="E452:E500" si="57">B452</f>
        <v>0</v>
      </c>
      <c r="F452" s="126" t="str">
        <f t="shared" ref="F452:F500" si="58">IF(C452="","",IF(F451="","",F451))</f>
        <v/>
      </c>
      <c r="G452" s="126" t="str">
        <f>IF(C452="","",'Datos Generales'!$D$19)</f>
        <v/>
      </c>
      <c r="H452" s="21" t="str">
        <f>IF(C452="","",'Datos Generales'!$A$19)</f>
        <v/>
      </c>
      <c r="I452" s="126" t="str">
        <f>IF(C452="","",'Datos Generales'!$A$7)</f>
        <v/>
      </c>
      <c r="J452" s="21" t="str">
        <f>IF(C452="","",'Datos Generales'!$A$13)</f>
        <v/>
      </c>
      <c r="K452" s="21" t="str">
        <f>IF(C452="","",'Datos Generales'!$A$10)</f>
        <v/>
      </c>
      <c r="CS452" s="142" t="str">
        <f t="shared" ref="CS452:CS500" si="59">IF(C452="","",AVERAGE(CX452:DQ452))</f>
        <v/>
      </c>
      <c r="CT452" s="142" t="str">
        <f t="shared" ref="CT452:CT500" si="60">IF(C452="","",AVERAGE(DR452:EA452))</f>
        <v/>
      </c>
      <c r="CU452" s="142" t="str">
        <f t="shared" ref="CU452:CU500" si="61">IF(C452="","",AVERAGE(EB452:EU452))</f>
        <v/>
      </c>
      <c r="CV452" s="142" t="str">
        <f t="shared" ref="CV452:CV500" si="62">IF(C452="","",AVERAGE(EV452:FO452))</f>
        <v/>
      </c>
      <c r="CW452" s="142" t="str">
        <f>IF(C452="","",IF('Datos Generales'!$A$19=1,AVERAGE(FP452:GD452),AVERAGE(Captura!FP452:FY452)))</f>
        <v/>
      </c>
      <c r="CX452" s="138" t="e">
        <f>IF(VLOOKUP(CONCATENATE($H$4,$F$4,CX$2),Español!$A:$H,7,FALSE)=L452,1,0)</f>
        <v>#N/A</v>
      </c>
      <c r="CY452" s="138" t="e">
        <f>IF(VLOOKUP(CONCATENATE(H452,F452,CY$2),Español!$A:$H,7,FALSE)=M452,1,0)</f>
        <v>#N/A</v>
      </c>
      <c r="CZ452" s="138" t="e">
        <f>IF(VLOOKUP(CONCATENATE(H452,F452,CZ$2),Español!$A:$H,7,FALSE)=N452,1,0)</f>
        <v>#N/A</v>
      </c>
      <c r="DA452" s="138" t="e">
        <f>IF(VLOOKUP(CONCATENATE(H452,F452,DA$2),Español!$A:$H,7,FALSE)=O452,1,0)</f>
        <v>#N/A</v>
      </c>
      <c r="DB452" s="138" t="e">
        <f>IF(VLOOKUP(CONCATENATE(H452,F452,DB$2),Español!$A:$H,7,FALSE)=P452,1,0)</f>
        <v>#N/A</v>
      </c>
      <c r="DC452" s="138" t="e">
        <f>IF(VLOOKUP(CONCATENATE(H452,F452,DC$2),Español!$A:$H,7,FALSE)=Q452,1,0)</f>
        <v>#N/A</v>
      </c>
      <c r="DD452" s="138" t="e">
        <f>IF(VLOOKUP(CONCATENATE(H452,F452,DD$2),Español!$A:$H,7,FALSE)=R452,1,0)</f>
        <v>#N/A</v>
      </c>
      <c r="DE452" s="138" t="e">
        <f>IF(VLOOKUP(CONCATENATE(H452,F452,DE$2),Español!$A:$H,7,FALSE)=S452,1,0)</f>
        <v>#N/A</v>
      </c>
      <c r="DF452" s="138" t="e">
        <f>IF(VLOOKUP(CONCATENATE(H452,F452,DF$2),Español!$A:$H,7,FALSE)=T452,1,0)</f>
        <v>#N/A</v>
      </c>
      <c r="DG452" s="138" t="e">
        <f>IF(VLOOKUP(CONCATENATE(H452,F452,DG$2),Español!$A:$H,7,FALSE)=U452,1,0)</f>
        <v>#N/A</v>
      </c>
      <c r="DH452" s="138" t="e">
        <f>IF(VLOOKUP(CONCATENATE(H452,F452,DH$2),Español!$A:$H,7,FALSE)=V452,1,0)</f>
        <v>#N/A</v>
      </c>
      <c r="DI452" s="138" t="e">
        <f>IF(VLOOKUP(CONCATENATE(H452,F452,DI$2),Español!$A:$H,7,FALSE)=W452,1,0)</f>
        <v>#N/A</v>
      </c>
      <c r="DJ452" s="138" t="e">
        <f>IF(VLOOKUP(CONCATENATE(H452,F452,DJ$2),Español!$A:$H,7,FALSE)=X452,1,0)</f>
        <v>#N/A</v>
      </c>
      <c r="DK452" s="138" t="e">
        <f>IF(VLOOKUP(CONCATENATE(H452,F452,DK$2),Español!$A:$H,7,FALSE)=Y452,1,0)</f>
        <v>#N/A</v>
      </c>
      <c r="DL452" s="138" t="e">
        <f>IF(VLOOKUP(CONCATENATE(H452,F452,DL$2),Español!$A:$H,7,FALSE)=Z452,1,0)</f>
        <v>#N/A</v>
      </c>
      <c r="DM452" s="138" t="e">
        <f>IF(VLOOKUP(CONCATENATE(H452,F452,DM$2),Español!$A:$H,7,FALSE)=AA452,1,0)</f>
        <v>#N/A</v>
      </c>
      <c r="DN452" s="138" t="e">
        <f>IF(VLOOKUP(CONCATENATE(H452,F452,DN$2),Español!$A:$H,7,FALSE)=AB452,1,0)</f>
        <v>#N/A</v>
      </c>
      <c r="DO452" s="138" t="e">
        <f>IF(VLOOKUP(CONCATENATE(H452,F452,DO$2),Español!$A:$H,7,FALSE)=AC452,1,0)</f>
        <v>#N/A</v>
      </c>
      <c r="DP452" s="138" t="e">
        <f>IF(VLOOKUP(CONCATENATE(H452,F452,DP$2),Español!$A:$H,7,FALSE)=AD452,1,0)</f>
        <v>#N/A</v>
      </c>
      <c r="DQ452" s="138" t="e">
        <f>IF(VLOOKUP(CONCATENATE(H452,F452,DQ$2),Español!$A:$H,7,FALSE)=AE452,1,0)</f>
        <v>#N/A</v>
      </c>
      <c r="DR452" s="138" t="e">
        <f>IF(VLOOKUP(CONCATENATE(H452,F452,DR$2),Inglés!$A:$H,7,FALSE)=AF452,1,0)</f>
        <v>#N/A</v>
      </c>
      <c r="DS452" s="138" t="e">
        <f>IF(VLOOKUP(CONCATENATE(H452,F452,DS$2),Inglés!$A:$H,7,FALSE)=AG452,1,0)</f>
        <v>#N/A</v>
      </c>
      <c r="DT452" s="138" t="e">
        <f>IF(VLOOKUP(CONCATENATE(H452,F452,DT$2),Inglés!$A:$H,7,FALSE)=AH452,1,0)</f>
        <v>#N/A</v>
      </c>
      <c r="DU452" s="138" t="e">
        <f>IF(VLOOKUP(CONCATENATE(H452,F452,DU$2),Inglés!$A:$H,7,FALSE)=AI452,1,0)</f>
        <v>#N/A</v>
      </c>
      <c r="DV452" s="138" t="e">
        <f>IF(VLOOKUP(CONCATENATE(H452,F452,DV$2),Inglés!$A:$H,7,FALSE)=AJ452,1,0)</f>
        <v>#N/A</v>
      </c>
      <c r="DW452" s="138" t="e">
        <f>IF(VLOOKUP(CONCATENATE(H452,F452,DW$2),Inglés!$A:$H,7,FALSE)=AK452,1,0)</f>
        <v>#N/A</v>
      </c>
      <c r="DX452" s="138" t="e">
        <f>IF(VLOOKUP(CONCATENATE(H452,F452,DX$2),Inglés!$A:$H,7,FALSE)=AL452,1,0)</f>
        <v>#N/A</v>
      </c>
      <c r="DY452" s="138" t="e">
        <f>IF(VLOOKUP(CONCATENATE(H452,F452,DY$2),Inglés!$A:$H,7,FALSE)=AM452,1,0)</f>
        <v>#N/A</v>
      </c>
      <c r="DZ452" s="138" t="e">
        <f>IF(VLOOKUP(CONCATENATE(H452,F452,DZ$2),Inglés!$A:$H,7,FALSE)=AN452,1,0)</f>
        <v>#N/A</v>
      </c>
      <c r="EA452" s="138" t="e">
        <f>IF(VLOOKUP(CONCATENATE(H452,F452,EA$2),Inglés!$A:$H,7,FALSE)=AO452,1,0)</f>
        <v>#N/A</v>
      </c>
      <c r="EB452" s="138" t="e">
        <f>IF(VLOOKUP(CONCATENATE(H452,F452,EB$2),Matemáticas!$A:$H,7,FALSE)=AP452,1,0)</f>
        <v>#N/A</v>
      </c>
      <c r="EC452" s="138" t="e">
        <f>IF(VLOOKUP(CONCATENATE(H452,F452,EC$2),Matemáticas!$A:$H,7,FALSE)=AQ452,1,0)</f>
        <v>#N/A</v>
      </c>
      <c r="ED452" s="138" t="e">
        <f>IF(VLOOKUP(CONCATENATE(H452,F452,ED$2),Matemáticas!$A:$H,7,FALSE)=AR452,1,0)</f>
        <v>#N/A</v>
      </c>
      <c r="EE452" s="138" t="e">
        <f>IF(VLOOKUP(CONCATENATE(H452,F452,EE$2),Matemáticas!$A:$H,7,FALSE)=AS452,1,0)</f>
        <v>#N/A</v>
      </c>
      <c r="EF452" s="138" t="e">
        <f>IF(VLOOKUP(CONCATENATE(H452,F452,EF$2),Matemáticas!$A:$H,7,FALSE)=AT452,1,0)</f>
        <v>#N/A</v>
      </c>
      <c r="EG452" s="138" t="e">
        <f>IF(VLOOKUP(CONCATENATE(H452,F452,EG$2),Matemáticas!$A:$H,7,FALSE)=AU452,1,0)</f>
        <v>#N/A</v>
      </c>
      <c r="EH452" s="138" t="e">
        <f>IF(VLOOKUP(CONCATENATE(H452,F452,EH$2),Matemáticas!$A:$H,7,FALSE)=AV452,1,0)</f>
        <v>#N/A</v>
      </c>
      <c r="EI452" s="138" t="e">
        <f>IF(VLOOKUP(CONCATENATE(H452,F452,EI$2),Matemáticas!$A:$H,7,FALSE)=AW452,1,0)</f>
        <v>#N/A</v>
      </c>
      <c r="EJ452" s="138" t="e">
        <f>IF(VLOOKUP(CONCATENATE(H452,F452,EJ$2),Matemáticas!$A:$H,7,FALSE)=AX452,1,0)</f>
        <v>#N/A</v>
      </c>
      <c r="EK452" s="138" t="e">
        <f>IF(VLOOKUP(CONCATENATE(H452,F452,EK$2),Matemáticas!$A:$H,7,FALSE)=AY452,1,0)</f>
        <v>#N/A</v>
      </c>
      <c r="EL452" s="138" t="e">
        <f>IF(VLOOKUP(CONCATENATE(H452,F452,EL$2),Matemáticas!$A:$H,7,FALSE)=AZ452,1,0)</f>
        <v>#N/A</v>
      </c>
      <c r="EM452" s="138" t="e">
        <f>IF(VLOOKUP(CONCATENATE(H452,F452,EM$2),Matemáticas!$A:$H,7,FALSE)=BA452,1,0)</f>
        <v>#N/A</v>
      </c>
      <c r="EN452" s="138" t="e">
        <f>IF(VLOOKUP(CONCATENATE(H452,F452,EN$2),Matemáticas!$A:$H,7,FALSE)=BB452,1,0)</f>
        <v>#N/A</v>
      </c>
      <c r="EO452" s="138" t="e">
        <f>IF(VLOOKUP(CONCATENATE(H452,F452,EO$2),Matemáticas!$A:$H,7,FALSE)=BC452,1,0)</f>
        <v>#N/A</v>
      </c>
      <c r="EP452" s="138" t="e">
        <f>IF(VLOOKUP(CONCATENATE(H452,F452,EP$2),Matemáticas!$A:$H,7,FALSE)=BD452,1,0)</f>
        <v>#N/A</v>
      </c>
      <c r="EQ452" s="138" t="e">
        <f>IF(VLOOKUP(CONCATENATE(H452,F452,EQ$2),Matemáticas!$A:$H,7,FALSE)=BE452,1,0)</f>
        <v>#N/A</v>
      </c>
      <c r="ER452" s="138" t="e">
        <f>IF(VLOOKUP(CONCATENATE(H452,F452,ER$2),Matemáticas!$A:$H,7,FALSE)=BF452,1,0)</f>
        <v>#N/A</v>
      </c>
      <c r="ES452" s="138" t="e">
        <f>IF(VLOOKUP(CONCATENATE(H452,F452,ES$2),Matemáticas!$A:$H,7,FALSE)=BG452,1,0)</f>
        <v>#N/A</v>
      </c>
      <c r="ET452" s="138" t="e">
        <f>IF(VLOOKUP(CONCATENATE(H452,F452,ET$2),Matemáticas!$A:$H,7,FALSE)=BH452,1,0)</f>
        <v>#N/A</v>
      </c>
      <c r="EU452" s="138" t="e">
        <f>IF(VLOOKUP(CONCATENATE(H452,F452,EU$2),Matemáticas!$A:$H,7,FALSE)=BI452,1,0)</f>
        <v>#N/A</v>
      </c>
      <c r="EV452" s="138" t="e">
        <f>IF(VLOOKUP(CONCATENATE(H452,F452,EV$2),Ciencias!$A:$H,7,FALSE)=BJ452,1,0)</f>
        <v>#N/A</v>
      </c>
      <c r="EW452" s="138" t="e">
        <f>IF(VLOOKUP(CONCATENATE(H452,F452,EW$2),Ciencias!$A:$H,7,FALSE)=BK452,1,0)</f>
        <v>#N/A</v>
      </c>
      <c r="EX452" s="138" t="e">
        <f>IF(VLOOKUP(CONCATENATE(H452,F452,EX$2),Ciencias!$A:$H,7,FALSE)=BL452,1,0)</f>
        <v>#N/A</v>
      </c>
      <c r="EY452" s="138" t="e">
        <f>IF(VLOOKUP(CONCATENATE(H452,F452,EY$2),Ciencias!$A:$H,7,FALSE)=BM452,1,0)</f>
        <v>#N/A</v>
      </c>
      <c r="EZ452" s="138" t="e">
        <f>IF(VLOOKUP(CONCATENATE(H452,F452,EZ$2),Ciencias!$A:$H,7,FALSE)=BN452,1,0)</f>
        <v>#N/A</v>
      </c>
      <c r="FA452" s="138" t="e">
        <f>IF(VLOOKUP(CONCATENATE(H452,F452,FA$2),Ciencias!$A:$H,7,FALSE)=BO452,1,0)</f>
        <v>#N/A</v>
      </c>
      <c r="FB452" s="138" t="e">
        <f>IF(VLOOKUP(CONCATENATE(H452,F452,FB$2),Ciencias!$A:$H,7,FALSE)=BP452,1,0)</f>
        <v>#N/A</v>
      </c>
      <c r="FC452" s="138" t="e">
        <f>IF(VLOOKUP(CONCATENATE(H452,F452,FC$2),Ciencias!$A:$H,7,FALSE)=BQ452,1,0)</f>
        <v>#N/A</v>
      </c>
      <c r="FD452" s="138" t="e">
        <f>IF(VLOOKUP(CONCATENATE(H452,F452,FD$2),Ciencias!$A:$H,7,FALSE)=BR452,1,0)</f>
        <v>#N/A</v>
      </c>
      <c r="FE452" s="138" t="e">
        <f>IF(VLOOKUP(CONCATENATE(H452,F452,FE$2),Ciencias!$A:$H,7,FALSE)=BS452,1,0)</f>
        <v>#N/A</v>
      </c>
      <c r="FF452" s="138" t="e">
        <f>IF(VLOOKUP(CONCATENATE(H452,F452,FF$2),Ciencias!$A:$H,7,FALSE)=BT452,1,0)</f>
        <v>#N/A</v>
      </c>
      <c r="FG452" s="138" t="e">
        <f>IF(VLOOKUP(CONCATENATE(H452,F452,FG$2),Ciencias!$A:$H,7,FALSE)=BU452,1,0)</f>
        <v>#N/A</v>
      </c>
      <c r="FH452" s="138" t="e">
        <f>IF(VLOOKUP(CONCATENATE(H452,F452,FH$2),Ciencias!$A:$H,7,FALSE)=BV452,1,0)</f>
        <v>#N/A</v>
      </c>
      <c r="FI452" s="138" t="e">
        <f>IF(VLOOKUP(CONCATENATE(H452,F452,FI$2),Ciencias!$A:$H,7,FALSE)=BW452,1,0)</f>
        <v>#N/A</v>
      </c>
      <c r="FJ452" s="138" t="e">
        <f>IF(VLOOKUP(CONCATENATE(H452,F452,FJ$2),Ciencias!$A:$H,7,FALSE)=BX452,1,0)</f>
        <v>#N/A</v>
      </c>
      <c r="FK452" s="138" t="e">
        <f>IF(VLOOKUP(CONCATENATE(H452,F452,FK$2),Ciencias!$A:$H,7,FALSE)=BY452,1,0)</f>
        <v>#N/A</v>
      </c>
      <c r="FL452" s="138" t="e">
        <f>IF(VLOOKUP(CONCATENATE(H452,F452,FL$2),Ciencias!$A:$H,7,FALSE)=BZ452,1,0)</f>
        <v>#N/A</v>
      </c>
      <c r="FM452" s="138" t="e">
        <f>IF(VLOOKUP(CONCATENATE(H452,F452,FM$2),Ciencias!$A:$H,7,FALSE)=CA452,1,0)</f>
        <v>#N/A</v>
      </c>
      <c r="FN452" s="138" t="e">
        <f>IF(VLOOKUP(CONCATENATE(H452,F452,FN$2),Ciencias!$A:$H,7,FALSE)=CB452,1,0)</f>
        <v>#N/A</v>
      </c>
      <c r="FO452" s="138" t="e">
        <f>IF(VLOOKUP(CONCATENATE(H452,F452,FO$2),Ciencias!$A:$H,7,FALSE)=CC452,1,0)</f>
        <v>#N/A</v>
      </c>
      <c r="FP452" s="138" t="e">
        <f>IF(VLOOKUP(CONCATENATE(H452,F452,FP$2),GeoHis!$A:$H,7,FALSE)=CD452,1,0)</f>
        <v>#N/A</v>
      </c>
      <c r="FQ452" s="138" t="e">
        <f>IF(VLOOKUP(CONCATENATE(H452,F452,FQ$2),GeoHis!$A:$H,7,FALSE)=CE452,1,0)</f>
        <v>#N/A</v>
      </c>
      <c r="FR452" s="138" t="e">
        <f>IF(VLOOKUP(CONCATENATE(H452,F452,FR$2),GeoHis!$A:$H,7,FALSE)=CF452,1,0)</f>
        <v>#N/A</v>
      </c>
      <c r="FS452" s="138" t="e">
        <f>IF(VLOOKUP(CONCATENATE(H452,F452,FS$2),GeoHis!$A:$H,7,FALSE)=CG452,1,0)</f>
        <v>#N/A</v>
      </c>
      <c r="FT452" s="138" t="e">
        <f>IF(VLOOKUP(CONCATENATE(H452,F452,FT$2),GeoHis!$A:$H,7,FALSE)=CH452,1,0)</f>
        <v>#N/A</v>
      </c>
      <c r="FU452" s="138" t="e">
        <f>IF(VLOOKUP(CONCATENATE(H452,F452,FU$2),GeoHis!$A:$H,7,FALSE)=CI452,1,0)</f>
        <v>#N/A</v>
      </c>
      <c r="FV452" s="138" t="e">
        <f>IF(VLOOKUP(CONCATENATE(H452,F452,FV$2),GeoHis!$A:$H,7,FALSE)=CJ452,1,0)</f>
        <v>#N/A</v>
      </c>
      <c r="FW452" s="138" t="e">
        <f>IF(VLOOKUP(CONCATENATE(H452,F452,FW$2),GeoHis!$A:$H,7,FALSE)=CK452,1,0)</f>
        <v>#N/A</v>
      </c>
      <c r="FX452" s="138" t="e">
        <f>IF(VLOOKUP(CONCATENATE(H452,F452,FX$2),GeoHis!$A:$H,7,FALSE)=CL452,1,0)</f>
        <v>#N/A</v>
      </c>
      <c r="FY452" s="138" t="e">
        <f>IF(VLOOKUP(CONCATENATE(H452,F452,FY$2),GeoHis!$A:$H,7,FALSE)=CM452,1,0)</f>
        <v>#N/A</v>
      </c>
      <c r="FZ452" s="138" t="e">
        <f>IF(VLOOKUP(CONCATENATE(H452,F452,FZ$2),GeoHis!$A:$H,7,FALSE)=CN452,1,0)</f>
        <v>#N/A</v>
      </c>
      <c r="GA452" s="138" t="e">
        <f>IF(VLOOKUP(CONCATENATE(H452,F452,GA$2),GeoHis!$A:$H,7,FALSE)=CO452,1,0)</f>
        <v>#N/A</v>
      </c>
      <c r="GB452" s="138" t="e">
        <f>IF(VLOOKUP(CONCATENATE(H452,F452,GB$2),GeoHis!$A:$H,7,FALSE)=CP452,1,0)</f>
        <v>#N/A</v>
      </c>
      <c r="GC452" s="138" t="e">
        <f>IF(VLOOKUP(CONCATENATE(H452,F452,GC$2),GeoHis!$A:$H,7,FALSE)=CQ452,1,0)</f>
        <v>#N/A</v>
      </c>
      <c r="GD452" s="138" t="e">
        <f>IF(VLOOKUP(CONCATENATE(H452,F452,GD$2),GeoHis!$A:$H,7,FALSE)=CR452,1,0)</f>
        <v>#N/A</v>
      </c>
      <c r="GE452" s="135" t="str">
        <f t="shared" ref="GE452:GE500" si="63">A452</f>
        <v/>
      </c>
    </row>
    <row r="453" spans="1:187" x14ac:dyDescent="0.25">
      <c r="A453" s="127" t="str">
        <f>IF(C453="","",'Datos Generales'!$A$25)</f>
        <v/>
      </c>
      <c r="D453" s="126" t="str">
        <f t="shared" si="56"/>
        <v/>
      </c>
      <c r="E453" s="126">
        <f t="shared" si="57"/>
        <v>0</v>
      </c>
      <c r="F453" s="126" t="str">
        <f t="shared" si="58"/>
        <v/>
      </c>
      <c r="G453" s="126" t="str">
        <f>IF(C453="","",'Datos Generales'!$D$19)</f>
        <v/>
      </c>
      <c r="H453" s="21" t="str">
        <f>IF(C453="","",'Datos Generales'!$A$19)</f>
        <v/>
      </c>
      <c r="I453" s="126" t="str">
        <f>IF(C453="","",'Datos Generales'!$A$7)</f>
        <v/>
      </c>
      <c r="J453" s="21" t="str">
        <f>IF(C453="","",'Datos Generales'!$A$13)</f>
        <v/>
      </c>
      <c r="K453" s="21" t="str">
        <f>IF(C453="","",'Datos Generales'!$A$10)</f>
        <v/>
      </c>
      <c r="CS453" s="142" t="str">
        <f t="shared" si="59"/>
        <v/>
      </c>
      <c r="CT453" s="142" t="str">
        <f t="shared" si="60"/>
        <v/>
      </c>
      <c r="CU453" s="142" t="str">
        <f t="shared" si="61"/>
        <v/>
      </c>
      <c r="CV453" s="142" t="str">
        <f t="shared" si="62"/>
        <v/>
      </c>
      <c r="CW453" s="142" t="str">
        <f>IF(C453="","",IF('Datos Generales'!$A$19=1,AVERAGE(FP453:GD453),AVERAGE(Captura!FP453:FY453)))</f>
        <v/>
      </c>
      <c r="CX453" s="138" t="e">
        <f>IF(VLOOKUP(CONCATENATE($H$4,$F$4,CX$2),Español!$A:$H,7,FALSE)=L453,1,0)</f>
        <v>#N/A</v>
      </c>
      <c r="CY453" s="138" t="e">
        <f>IF(VLOOKUP(CONCATENATE(H453,F453,CY$2),Español!$A:$H,7,FALSE)=M453,1,0)</f>
        <v>#N/A</v>
      </c>
      <c r="CZ453" s="138" t="e">
        <f>IF(VLOOKUP(CONCATENATE(H453,F453,CZ$2),Español!$A:$H,7,FALSE)=N453,1,0)</f>
        <v>#N/A</v>
      </c>
      <c r="DA453" s="138" t="e">
        <f>IF(VLOOKUP(CONCATENATE(H453,F453,DA$2),Español!$A:$H,7,FALSE)=O453,1,0)</f>
        <v>#N/A</v>
      </c>
      <c r="DB453" s="138" t="e">
        <f>IF(VLOOKUP(CONCATENATE(H453,F453,DB$2),Español!$A:$H,7,FALSE)=P453,1,0)</f>
        <v>#N/A</v>
      </c>
      <c r="DC453" s="138" t="e">
        <f>IF(VLOOKUP(CONCATENATE(H453,F453,DC$2),Español!$A:$H,7,FALSE)=Q453,1,0)</f>
        <v>#N/A</v>
      </c>
      <c r="DD453" s="138" t="e">
        <f>IF(VLOOKUP(CONCATENATE(H453,F453,DD$2),Español!$A:$H,7,FALSE)=R453,1,0)</f>
        <v>#N/A</v>
      </c>
      <c r="DE453" s="138" t="e">
        <f>IF(VLOOKUP(CONCATENATE(H453,F453,DE$2),Español!$A:$H,7,FALSE)=S453,1,0)</f>
        <v>#N/A</v>
      </c>
      <c r="DF453" s="138" t="e">
        <f>IF(VLOOKUP(CONCATENATE(H453,F453,DF$2),Español!$A:$H,7,FALSE)=T453,1,0)</f>
        <v>#N/A</v>
      </c>
      <c r="DG453" s="138" t="e">
        <f>IF(VLOOKUP(CONCATENATE(H453,F453,DG$2),Español!$A:$H,7,FALSE)=U453,1,0)</f>
        <v>#N/A</v>
      </c>
      <c r="DH453" s="138" t="e">
        <f>IF(VLOOKUP(CONCATENATE(H453,F453,DH$2),Español!$A:$H,7,FALSE)=V453,1,0)</f>
        <v>#N/A</v>
      </c>
      <c r="DI453" s="138" t="e">
        <f>IF(VLOOKUP(CONCATENATE(H453,F453,DI$2),Español!$A:$H,7,FALSE)=W453,1,0)</f>
        <v>#N/A</v>
      </c>
      <c r="DJ453" s="138" t="e">
        <f>IF(VLOOKUP(CONCATENATE(H453,F453,DJ$2),Español!$A:$H,7,FALSE)=X453,1,0)</f>
        <v>#N/A</v>
      </c>
      <c r="DK453" s="138" t="e">
        <f>IF(VLOOKUP(CONCATENATE(H453,F453,DK$2),Español!$A:$H,7,FALSE)=Y453,1,0)</f>
        <v>#N/A</v>
      </c>
      <c r="DL453" s="138" t="e">
        <f>IF(VLOOKUP(CONCATENATE(H453,F453,DL$2),Español!$A:$H,7,FALSE)=Z453,1,0)</f>
        <v>#N/A</v>
      </c>
      <c r="DM453" s="138" t="e">
        <f>IF(VLOOKUP(CONCATENATE(H453,F453,DM$2),Español!$A:$H,7,FALSE)=AA453,1,0)</f>
        <v>#N/A</v>
      </c>
      <c r="DN453" s="138" t="e">
        <f>IF(VLOOKUP(CONCATENATE(H453,F453,DN$2),Español!$A:$H,7,FALSE)=AB453,1,0)</f>
        <v>#N/A</v>
      </c>
      <c r="DO453" s="138" t="e">
        <f>IF(VLOOKUP(CONCATENATE(H453,F453,DO$2),Español!$A:$H,7,FALSE)=AC453,1,0)</f>
        <v>#N/A</v>
      </c>
      <c r="DP453" s="138" t="e">
        <f>IF(VLOOKUP(CONCATENATE(H453,F453,DP$2),Español!$A:$H,7,FALSE)=AD453,1,0)</f>
        <v>#N/A</v>
      </c>
      <c r="DQ453" s="138" t="e">
        <f>IF(VLOOKUP(CONCATENATE(H453,F453,DQ$2),Español!$A:$H,7,FALSE)=AE453,1,0)</f>
        <v>#N/A</v>
      </c>
      <c r="DR453" s="138" t="e">
        <f>IF(VLOOKUP(CONCATENATE(H453,F453,DR$2),Inglés!$A:$H,7,FALSE)=AF453,1,0)</f>
        <v>#N/A</v>
      </c>
      <c r="DS453" s="138" t="e">
        <f>IF(VLOOKUP(CONCATENATE(H453,F453,DS$2),Inglés!$A:$H,7,FALSE)=AG453,1,0)</f>
        <v>#N/A</v>
      </c>
      <c r="DT453" s="138" t="e">
        <f>IF(VLOOKUP(CONCATENATE(H453,F453,DT$2),Inglés!$A:$H,7,FALSE)=AH453,1,0)</f>
        <v>#N/A</v>
      </c>
      <c r="DU453" s="138" t="e">
        <f>IF(VLOOKUP(CONCATENATE(H453,F453,DU$2),Inglés!$A:$H,7,FALSE)=AI453,1,0)</f>
        <v>#N/A</v>
      </c>
      <c r="DV453" s="138" t="e">
        <f>IF(VLOOKUP(CONCATENATE(H453,F453,DV$2),Inglés!$A:$H,7,FALSE)=AJ453,1,0)</f>
        <v>#N/A</v>
      </c>
      <c r="DW453" s="138" t="e">
        <f>IF(VLOOKUP(CONCATENATE(H453,F453,DW$2),Inglés!$A:$H,7,FALSE)=AK453,1,0)</f>
        <v>#N/A</v>
      </c>
      <c r="DX453" s="138" t="e">
        <f>IF(VLOOKUP(CONCATENATE(H453,F453,DX$2),Inglés!$A:$H,7,FALSE)=AL453,1,0)</f>
        <v>#N/A</v>
      </c>
      <c r="DY453" s="138" t="e">
        <f>IF(VLOOKUP(CONCATENATE(H453,F453,DY$2),Inglés!$A:$H,7,FALSE)=AM453,1,0)</f>
        <v>#N/A</v>
      </c>
      <c r="DZ453" s="138" t="e">
        <f>IF(VLOOKUP(CONCATENATE(H453,F453,DZ$2),Inglés!$A:$H,7,FALSE)=AN453,1,0)</f>
        <v>#N/A</v>
      </c>
      <c r="EA453" s="138" t="e">
        <f>IF(VLOOKUP(CONCATENATE(H453,F453,EA$2),Inglés!$A:$H,7,FALSE)=AO453,1,0)</f>
        <v>#N/A</v>
      </c>
      <c r="EB453" s="138" t="e">
        <f>IF(VLOOKUP(CONCATENATE(H453,F453,EB$2),Matemáticas!$A:$H,7,FALSE)=AP453,1,0)</f>
        <v>#N/A</v>
      </c>
      <c r="EC453" s="138" t="e">
        <f>IF(VLOOKUP(CONCATENATE(H453,F453,EC$2),Matemáticas!$A:$H,7,FALSE)=AQ453,1,0)</f>
        <v>#N/A</v>
      </c>
      <c r="ED453" s="138" t="e">
        <f>IF(VLOOKUP(CONCATENATE(H453,F453,ED$2),Matemáticas!$A:$H,7,FALSE)=AR453,1,0)</f>
        <v>#N/A</v>
      </c>
      <c r="EE453" s="138" t="e">
        <f>IF(VLOOKUP(CONCATENATE(H453,F453,EE$2),Matemáticas!$A:$H,7,FALSE)=AS453,1,0)</f>
        <v>#N/A</v>
      </c>
      <c r="EF453" s="138" t="e">
        <f>IF(VLOOKUP(CONCATENATE(H453,F453,EF$2),Matemáticas!$A:$H,7,FALSE)=AT453,1,0)</f>
        <v>#N/A</v>
      </c>
      <c r="EG453" s="138" t="e">
        <f>IF(VLOOKUP(CONCATENATE(H453,F453,EG$2),Matemáticas!$A:$H,7,FALSE)=AU453,1,0)</f>
        <v>#N/A</v>
      </c>
      <c r="EH453" s="138" t="e">
        <f>IF(VLOOKUP(CONCATENATE(H453,F453,EH$2),Matemáticas!$A:$H,7,FALSE)=AV453,1,0)</f>
        <v>#N/A</v>
      </c>
      <c r="EI453" s="138" t="e">
        <f>IF(VLOOKUP(CONCATENATE(H453,F453,EI$2),Matemáticas!$A:$H,7,FALSE)=AW453,1,0)</f>
        <v>#N/A</v>
      </c>
      <c r="EJ453" s="138" t="e">
        <f>IF(VLOOKUP(CONCATENATE(H453,F453,EJ$2),Matemáticas!$A:$H,7,FALSE)=AX453,1,0)</f>
        <v>#N/A</v>
      </c>
      <c r="EK453" s="138" t="e">
        <f>IF(VLOOKUP(CONCATENATE(H453,F453,EK$2),Matemáticas!$A:$H,7,FALSE)=AY453,1,0)</f>
        <v>#N/A</v>
      </c>
      <c r="EL453" s="138" t="e">
        <f>IF(VLOOKUP(CONCATENATE(H453,F453,EL$2),Matemáticas!$A:$H,7,FALSE)=AZ453,1,0)</f>
        <v>#N/A</v>
      </c>
      <c r="EM453" s="138" t="e">
        <f>IF(VLOOKUP(CONCATENATE(H453,F453,EM$2),Matemáticas!$A:$H,7,FALSE)=BA453,1,0)</f>
        <v>#N/A</v>
      </c>
      <c r="EN453" s="138" t="e">
        <f>IF(VLOOKUP(CONCATENATE(H453,F453,EN$2),Matemáticas!$A:$H,7,FALSE)=BB453,1,0)</f>
        <v>#N/A</v>
      </c>
      <c r="EO453" s="138" t="e">
        <f>IF(VLOOKUP(CONCATENATE(H453,F453,EO$2),Matemáticas!$A:$H,7,FALSE)=BC453,1,0)</f>
        <v>#N/A</v>
      </c>
      <c r="EP453" s="138" t="e">
        <f>IF(VLOOKUP(CONCATENATE(H453,F453,EP$2),Matemáticas!$A:$H,7,FALSE)=BD453,1,0)</f>
        <v>#N/A</v>
      </c>
      <c r="EQ453" s="138" t="e">
        <f>IF(VLOOKUP(CONCATENATE(H453,F453,EQ$2),Matemáticas!$A:$H,7,FALSE)=BE453,1,0)</f>
        <v>#N/A</v>
      </c>
      <c r="ER453" s="138" t="e">
        <f>IF(VLOOKUP(CONCATENATE(H453,F453,ER$2),Matemáticas!$A:$H,7,FALSE)=BF453,1,0)</f>
        <v>#N/A</v>
      </c>
      <c r="ES453" s="138" t="e">
        <f>IF(VLOOKUP(CONCATENATE(H453,F453,ES$2),Matemáticas!$A:$H,7,FALSE)=BG453,1,0)</f>
        <v>#N/A</v>
      </c>
      <c r="ET453" s="138" t="e">
        <f>IF(VLOOKUP(CONCATENATE(H453,F453,ET$2),Matemáticas!$A:$H,7,FALSE)=BH453,1,0)</f>
        <v>#N/A</v>
      </c>
      <c r="EU453" s="138" t="e">
        <f>IF(VLOOKUP(CONCATENATE(H453,F453,EU$2),Matemáticas!$A:$H,7,FALSE)=BI453,1,0)</f>
        <v>#N/A</v>
      </c>
      <c r="EV453" s="138" t="e">
        <f>IF(VLOOKUP(CONCATENATE(H453,F453,EV$2),Ciencias!$A:$H,7,FALSE)=BJ453,1,0)</f>
        <v>#N/A</v>
      </c>
      <c r="EW453" s="138" t="e">
        <f>IF(VLOOKUP(CONCATENATE(H453,F453,EW$2),Ciencias!$A:$H,7,FALSE)=BK453,1,0)</f>
        <v>#N/A</v>
      </c>
      <c r="EX453" s="138" t="e">
        <f>IF(VLOOKUP(CONCATENATE(H453,F453,EX$2),Ciencias!$A:$H,7,FALSE)=BL453,1,0)</f>
        <v>#N/A</v>
      </c>
      <c r="EY453" s="138" t="e">
        <f>IF(VLOOKUP(CONCATENATE(H453,F453,EY$2),Ciencias!$A:$H,7,FALSE)=BM453,1,0)</f>
        <v>#N/A</v>
      </c>
      <c r="EZ453" s="138" t="e">
        <f>IF(VLOOKUP(CONCATENATE(H453,F453,EZ$2),Ciencias!$A:$H,7,FALSE)=BN453,1,0)</f>
        <v>#N/A</v>
      </c>
      <c r="FA453" s="138" t="e">
        <f>IF(VLOOKUP(CONCATENATE(H453,F453,FA$2),Ciencias!$A:$H,7,FALSE)=BO453,1,0)</f>
        <v>#N/A</v>
      </c>
      <c r="FB453" s="138" t="e">
        <f>IF(VLOOKUP(CONCATENATE(H453,F453,FB$2),Ciencias!$A:$H,7,FALSE)=BP453,1,0)</f>
        <v>#N/A</v>
      </c>
      <c r="FC453" s="138" t="e">
        <f>IF(VLOOKUP(CONCATENATE(H453,F453,FC$2),Ciencias!$A:$H,7,FALSE)=BQ453,1,0)</f>
        <v>#N/A</v>
      </c>
      <c r="FD453" s="138" t="e">
        <f>IF(VLOOKUP(CONCATENATE(H453,F453,FD$2),Ciencias!$A:$H,7,FALSE)=BR453,1,0)</f>
        <v>#N/A</v>
      </c>
      <c r="FE453" s="138" t="e">
        <f>IF(VLOOKUP(CONCATENATE(H453,F453,FE$2),Ciencias!$A:$H,7,FALSE)=BS453,1,0)</f>
        <v>#N/A</v>
      </c>
      <c r="FF453" s="138" t="e">
        <f>IF(VLOOKUP(CONCATENATE(H453,F453,FF$2),Ciencias!$A:$H,7,FALSE)=BT453,1,0)</f>
        <v>#N/A</v>
      </c>
      <c r="FG453" s="138" t="e">
        <f>IF(VLOOKUP(CONCATENATE(H453,F453,FG$2),Ciencias!$A:$H,7,FALSE)=BU453,1,0)</f>
        <v>#N/A</v>
      </c>
      <c r="FH453" s="138" t="e">
        <f>IF(VLOOKUP(CONCATENATE(H453,F453,FH$2),Ciencias!$A:$H,7,FALSE)=BV453,1,0)</f>
        <v>#N/A</v>
      </c>
      <c r="FI453" s="138" t="e">
        <f>IF(VLOOKUP(CONCATENATE(H453,F453,FI$2),Ciencias!$A:$H,7,FALSE)=BW453,1,0)</f>
        <v>#N/A</v>
      </c>
      <c r="FJ453" s="138" t="e">
        <f>IF(VLOOKUP(CONCATENATE(H453,F453,FJ$2),Ciencias!$A:$H,7,FALSE)=BX453,1,0)</f>
        <v>#N/A</v>
      </c>
      <c r="FK453" s="138" t="e">
        <f>IF(VLOOKUP(CONCATENATE(H453,F453,FK$2),Ciencias!$A:$H,7,FALSE)=BY453,1,0)</f>
        <v>#N/A</v>
      </c>
      <c r="FL453" s="138" t="e">
        <f>IF(VLOOKUP(CONCATENATE(H453,F453,FL$2),Ciencias!$A:$H,7,FALSE)=BZ453,1,0)</f>
        <v>#N/A</v>
      </c>
      <c r="FM453" s="138" t="e">
        <f>IF(VLOOKUP(CONCATENATE(H453,F453,FM$2),Ciencias!$A:$H,7,FALSE)=CA453,1,0)</f>
        <v>#N/A</v>
      </c>
      <c r="FN453" s="138" t="e">
        <f>IF(VLOOKUP(CONCATENATE(H453,F453,FN$2),Ciencias!$A:$H,7,FALSE)=CB453,1,0)</f>
        <v>#N/A</v>
      </c>
      <c r="FO453" s="138" t="e">
        <f>IF(VLOOKUP(CONCATENATE(H453,F453,FO$2),Ciencias!$A:$H,7,FALSE)=CC453,1,0)</f>
        <v>#N/A</v>
      </c>
      <c r="FP453" s="138" t="e">
        <f>IF(VLOOKUP(CONCATENATE(H453,F453,FP$2),GeoHis!$A:$H,7,FALSE)=CD453,1,0)</f>
        <v>#N/A</v>
      </c>
      <c r="FQ453" s="138" t="e">
        <f>IF(VLOOKUP(CONCATENATE(H453,F453,FQ$2),GeoHis!$A:$H,7,FALSE)=CE453,1,0)</f>
        <v>#N/A</v>
      </c>
      <c r="FR453" s="138" t="e">
        <f>IF(VLOOKUP(CONCATENATE(H453,F453,FR$2),GeoHis!$A:$H,7,FALSE)=CF453,1,0)</f>
        <v>#N/A</v>
      </c>
      <c r="FS453" s="138" t="e">
        <f>IF(VLOOKUP(CONCATENATE(H453,F453,FS$2),GeoHis!$A:$H,7,FALSE)=CG453,1,0)</f>
        <v>#N/A</v>
      </c>
      <c r="FT453" s="138" t="e">
        <f>IF(VLOOKUP(CONCATENATE(H453,F453,FT$2),GeoHis!$A:$H,7,FALSE)=CH453,1,0)</f>
        <v>#N/A</v>
      </c>
      <c r="FU453" s="138" t="e">
        <f>IF(VLOOKUP(CONCATENATE(H453,F453,FU$2),GeoHis!$A:$H,7,FALSE)=CI453,1,0)</f>
        <v>#N/A</v>
      </c>
      <c r="FV453" s="138" t="e">
        <f>IF(VLOOKUP(CONCATENATE(H453,F453,FV$2),GeoHis!$A:$H,7,FALSE)=CJ453,1,0)</f>
        <v>#N/A</v>
      </c>
      <c r="FW453" s="138" t="e">
        <f>IF(VLOOKUP(CONCATENATE(H453,F453,FW$2),GeoHis!$A:$H,7,FALSE)=CK453,1,0)</f>
        <v>#N/A</v>
      </c>
      <c r="FX453" s="138" t="e">
        <f>IF(VLOOKUP(CONCATENATE(H453,F453,FX$2),GeoHis!$A:$H,7,FALSE)=CL453,1,0)</f>
        <v>#N/A</v>
      </c>
      <c r="FY453" s="138" t="e">
        <f>IF(VLOOKUP(CONCATENATE(H453,F453,FY$2),GeoHis!$A:$H,7,FALSE)=CM453,1,0)</f>
        <v>#N/A</v>
      </c>
      <c r="FZ453" s="138" t="e">
        <f>IF(VLOOKUP(CONCATENATE(H453,F453,FZ$2),GeoHis!$A:$H,7,FALSE)=CN453,1,0)</f>
        <v>#N/A</v>
      </c>
      <c r="GA453" s="138" t="e">
        <f>IF(VLOOKUP(CONCATENATE(H453,F453,GA$2),GeoHis!$A:$H,7,FALSE)=CO453,1,0)</f>
        <v>#N/A</v>
      </c>
      <c r="GB453" s="138" t="e">
        <f>IF(VLOOKUP(CONCATENATE(H453,F453,GB$2),GeoHis!$A:$H,7,FALSE)=CP453,1,0)</f>
        <v>#N/A</v>
      </c>
      <c r="GC453" s="138" t="e">
        <f>IF(VLOOKUP(CONCATENATE(H453,F453,GC$2),GeoHis!$A:$H,7,FALSE)=CQ453,1,0)</f>
        <v>#N/A</v>
      </c>
      <c r="GD453" s="138" t="e">
        <f>IF(VLOOKUP(CONCATENATE(H453,F453,GD$2),GeoHis!$A:$H,7,FALSE)=CR453,1,0)</f>
        <v>#N/A</v>
      </c>
      <c r="GE453" s="135" t="str">
        <f t="shared" si="63"/>
        <v/>
      </c>
    </row>
    <row r="454" spans="1:187" x14ac:dyDescent="0.25">
      <c r="A454" s="127" t="str">
        <f>IF(C454="","",'Datos Generales'!$A$25)</f>
        <v/>
      </c>
      <c r="D454" s="126" t="str">
        <f t="shared" si="56"/>
        <v/>
      </c>
      <c r="E454" s="126">
        <f t="shared" si="57"/>
        <v>0</v>
      </c>
      <c r="F454" s="126" t="str">
        <f t="shared" si="58"/>
        <v/>
      </c>
      <c r="G454" s="126" t="str">
        <f>IF(C454="","",'Datos Generales'!$D$19)</f>
        <v/>
      </c>
      <c r="H454" s="21" t="str">
        <f>IF(C454="","",'Datos Generales'!$A$19)</f>
        <v/>
      </c>
      <c r="I454" s="126" t="str">
        <f>IF(C454="","",'Datos Generales'!$A$7)</f>
        <v/>
      </c>
      <c r="J454" s="21" t="str">
        <f>IF(C454="","",'Datos Generales'!$A$13)</f>
        <v/>
      </c>
      <c r="K454" s="21" t="str">
        <f>IF(C454="","",'Datos Generales'!$A$10)</f>
        <v/>
      </c>
      <c r="CS454" s="142" t="str">
        <f t="shared" si="59"/>
        <v/>
      </c>
      <c r="CT454" s="142" t="str">
        <f t="shared" si="60"/>
        <v/>
      </c>
      <c r="CU454" s="142" t="str">
        <f t="shared" si="61"/>
        <v/>
      </c>
      <c r="CV454" s="142" t="str">
        <f t="shared" si="62"/>
        <v/>
      </c>
      <c r="CW454" s="142" t="str">
        <f>IF(C454="","",IF('Datos Generales'!$A$19=1,AVERAGE(FP454:GD454),AVERAGE(Captura!FP454:FY454)))</f>
        <v/>
      </c>
      <c r="CX454" s="138" t="e">
        <f>IF(VLOOKUP(CONCATENATE($H$4,$F$4,CX$2),Español!$A:$H,7,FALSE)=L454,1,0)</f>
        <v>#N/A</v>
      </c>
      <c r="CY454" s="138" t="e">
        <f>IF(VLOOKUP(CONCATENATE(H454,F454,CY$2),Español!$A:$H,7,FALSE)=M454,1,0)</f>
        <v>#N/A</v>
      </c>
      <c r="CZ454" s="138" t="e">
        <f>IF(VLOOKUP(CONCATENATE(H454,F454,CZ$2),Español!$A:$H,7,FALSE)=N454,1,0)</f>
        <v>#N/A</v>
      </c>
      <c r="DA454" s="138" t="e">
        <f>IF(VLOOKUP(CONCATENATE(H454,F454,DA$2),Español!$A:$H,7,FALSE)=O454,1,0)</f>
        <v>#N/A</v>
      </c>
      <c r="DB454" s="138" t="e">
        <f>IF(VLOOKUP(CONCATENATE(H454,F454,DB$2),Español!$A:$H,7,FALSE)=P454,1,0)</f>
        <v>#N/A</v>
      </c>
      <c r="DC454" s="138" t="e">
        <f>IF(VLOOKUP(CONCATENATE(H454,F454,DC$2),Español!$A:$H,7,FALSE)=Q454,1,0)</f>
        <v>#N/A</v>
      </c>
      <c r="DD454" s="138" t="e">
        <f>IF(VLOOKUP(CONCATENATE(H454,F454,DD$2),Español!$A:$H,7,FALSE)=R454,1,0)</f>
        <v>#N/A</v>
      </c>
      <c r="DE454" s="138" t="e">
        <f>IF(VLOOKUP(CONCATENATE(H454,F454,DE$2),Español!$A:$H,7,FALSE)=S454,1,0)</f>
        <v>#N/A</v>
      </c>
      <c r="DF454" s="138" t="e">
        <f>IF(VLOOKUP(CONCATENATE(H454,F454,DF$2),Español!$A:$H,7,FALSE)=T454,1,0)</f>
        <v>#N/A</v>
      </c>
      <c r="DG454" s="138" t="e">
        <f>IF(VLOOKUP(CONCATENATE(H454,F454,DG$2),Español!$A:$H,7,FALSE)=U454,1,0)</f>
        <v>#N/A</v>
      </c>
      <c r="DH454" s="138" t="e">
        <f>IF(VLOOKUP(CONCATENATE(H454,F454,DH$2),Español!$A:$H,7,FALSE)=V454,1,0)</f>
        <v>#N/A</v>
      </c>
      <c r="DI454" s="138" t="e">
        <f>IF(VLOOKUP(CONCATENATE(H454,F454,DI$2),Español!$A:$H,7,FALSE)=W454,1,0)</f>
        <v>#N/A</v>
      </c>
      <c r="DJ454" s="138" t="e">
        <f>IF(VLOOKUP(CONCATENATE(H454,F454,DJ$2),Español!$A:$H,7,FALSE)=X454,1,0)</f>
        <v>#N/A</v>
      </c>
      <c r="DK454" s="138" t="e">
        <f>IF(VLOOKUP(CONCATENATE(H454,F454,DK$2),Español!$A:$H,7,FALSE)=Y454,1,0)</f>
        <v>#N/A</v>
      </c>
      <c r="DL454" s="138" t="e">
        <f>IF(VLOOKUP(CONCATENATE(H454,F454,DL$2),Español!$A:$H,7,FALSE)=Z454,1,0)</f>
        <v>#N/A</v>
      </c>
      <c r="DM454" s="138" t="e">
        <f>IF(VLOOKUP(CONCATENATE(H454,F454,DM$2),Español!$A:$H,7,FALSE)=AA454,1,0)</f>
        <v>#N/A</v>
      </c>
      <c r="DN454" s="138" t="e">
        <f>IF(VLOOKUP(CONCATENATE(H454,F454,DN$2),Español!$A:$H,7,FALSE)=AB454,1,0)</f>
        <v>#N/A</v>
      </c>
      <c r="DO454" s="138" t="e">
        <f>IF(VLOOKUP(CONCATENATE(H454,F454,DO$2),Español!$A:$H,7,FALSE)=AC454,1,0)</f>
        <v>#N/A</v>
      </c>
      <c r="DP454" s="138" t="e">
        <f>IF(VLOOKUP(CONCATENATE(H454,F454,DP$2),Español!$A:$H,7,FALSE)=AD454,1,0)</f>
        <v>#N/A</v>
      </c>
      <c r="DQ454" s="138" t="e">
        <f>IF(VLOOKUP(CONCATENATE(H454,F454,DQ$2),Español!$A:$H,7,FALSE)=AE454,1,0)</f>
        <v>#N/A</v>
      </c>
      <c r="DR454" s="138" t="e">
        <f>IF(VLOOKUP(CONCATENATE(H454,F454,DR$2),Inglés!$A:$H,7,FALSE)=AF454,1,0)</f>
        <v>#N/A</v>
      </c>
      <c r="DS454" s="138" t="e">
        <f>IF(VLOOKUP(CONCATENATE(H454,F454,DS$2),Inglés!$A:$H,7,FALSE)=AG454,1,0)</f>
        <v>#N/A</v>
      </c>
      <c r="DT454" s="138" t="e">
        <f>IF(VLOOKUP(CONCATENATE(H454,F454,DT$2),Inglés!$A:$H,7,FALSE)=AH454,1,0)</f>
        <v>#N/A</v>
      </c>
      <c r="DU454" s="138" t="e">
        <f>IF(VLOOKUP(CONCATENATE(H454,F454,DU$2),Inglés!$A:$H,7,FALSE)=AI454,1,0)</f>
        <v>#N/A</v>
      </c>
      <c r="DV454" s="138" t="e">
        <f>IF(VLOOKUP(CONCATENATE(H454,F454,DV$2),Inglés!$A:$H,7,FALSE)=AJ454,1,0)</f>
        <v>#N/A</v>
      </c>
      <c r="DW454" s="138" t="e">
        <f>IF(VLOOKUP(CONCATENATE(H454,F454,DW$2),Inglés!$A:$H,7,FALSE)=AK454,1,0)</f>
        <v>#N/A</v>
      </c>
      <c r="DX454" s="138" t="e">
        <f>IF(VLOOKUP(CONCATENATE(H454,F454,DX$2),Inglés!$A:$H,7,FALSE)=AL454,1,0)</f>
        <v>#N/A</v>
      </c>
      <c r="DY454" s="138" t="e">
        <f>IF(VLOOKUP(CONCATENATE(H454,F454,DY$2),Inglés!$A:$H,7,FALSE)=AM454,1,0)</f>
        <v>#N/A</v>
      </c>
      <c r="DZ454" s="138" t="e">
        <f>IF(VLOOKUP(CONCATENATE(H454,F454,DZ$2),Inglés!$A:$H,7,FALSE)=AN454,1,0)</f>
        <v>#N/A</v>
      </c>
      <c r="EA454" s="138" t="e">
        <f>IF(VLOOKUP(CONCATENATE(H454,F454,EA$2),Inglés!$A:$H,7,FALSE)=AO454,1,0)</f>
        <v>#N/A</v>
      </c>
      <c r="EB454" s="138" t="e">
        <f>IF(VLOOKUP(CONCATENATE(H454,F454,EB$2),Matemáticas!$A:$H,7,FALSE)=AP454,1,0)</f>
        <v>#N/A</v>
      </c>
      <c r="EC454" s="138" t="e">
        <f>IF(VLOOKUP(CONCATENATE(H454,F454,EC$2),Matemáticas!$A:$H,7,FALSE)=AQ454,1,0)</f>
        <v>#N/A</v>
      </c>
      <c r="ED454" s="138" t="e">
        <f>IF(VLOOKUP(CONCATENATE(H454,F454,ED$2),Matemáticas!$A:$H,7,FALSE)=AR454,1,0)</f>
        <v>#N/A</v>
      </c>
      <c r="EE454" s="138" t="e">
        <f>IF(VLOOKUP(CONCATENATE(H454,F454,EE$2),Matemáticas!$A:$H,7,FALSE)=AS454,1,0)</f>
        <v>#N/A</v>
      </c>
      <c r="EF454" s="138" t="e">
        <f>IF(VLOOKUP(CONCATENATE(H454,F454,EF$2),Matemáticas!$A:$H,7,FALSE)=AT454,1,0)</f>
        <v>#N/A</v>
      </c>
      <c r="EG454" s="138" t="e">
        <f>IF(VLOOKUP(CONCATENATE(H454,F454,EG$2),Matemáticas!$A:$H,7,FALSE)=AU454,1,0)</f>
        <v>#N/A</v>
      </c>
      <c r="EH454" s="138" t="e">
        <f>IF(VLOOKUP(CONCATENATE(H454,F454,EH$2),Matemáticas!$A:$H,7,FALSE)=AV454,1,0)</f>
        <v>#N/A</v>
      </c>
      <c r="EI454" s="138" t="e">
        <f>IF(VLOOKUP(CONCATENATE(H454,F454,EI$2),Matemáticas!$A:$H,7,FALSE)=AW454,1,0)</f>
        <v>#N/A</v>
      </c>
      <c r="EJ454" s="138" t="e">
        <f>IF(VLOOKUP(CONCATENATE(H454,F454,EJ$2),Matemáticas!$A:$H,7,FALSE)=AX454,1,0)</f>
        <v>#N/A</v>
      </c>
      <c r="EK454" s="138" t="e">
        <f>IF(VLOOKUP(CONCATENATE(H454,F454,EK$2),Matemáticas!$A:$H,7,FALSE)=AY454,1,0)</f>
        <v>#N/A</v>
      </c>
      <c r="EL454" s="138" t="e">
        <f>IF(VLOOKUP(CONCATENATE(H454,F454,EL$2),Matemáticas!$A:$H,7,FALSE)=AZ454,1,0)</f>
        <v>#N/A</v>
      </c>
      <c r="EM454" s="138" t="e">
        <f>IF(VLOOKUP(CONCATENATE(H454,F454,EM$2),Matemáticas!$A:$H,7,FALSE)=BA454,1,0)</f>
        <v>#N/A</v>
      </c>
      <c r="EN454" s="138" t="e">
        <f>IF(VLOOKUP(CONCATENATE(H454,F454,EN$2),Matemáticas!$A:$H,7,FALSE)=BB454,1,0)</f>
        <v>#N/A</v>
      </c>
      <c r="EO454" s="138" t="e">
        <f>IF(VLOOKUP(CONCATENATE(H454,F454,EO$2),Matemáticas!$A:$H,7,FALSE)=BC454,1,0)</f>
        <v>#N/A</v>
      </c>
      <c r="EP454" s="138" t="e">
        <f>IF(VLOOKUP(CONCATENATE(H454,F454,EP$2),Matemáticas!$A:$H,7,FALSE)=BD454,1,0)</f>
        <v>#N/A</v>
      </c>
      <c r="EQ454" s="138" t="e">
        <f>IF(VLOOKUP(CONCATENATE(H454,F454,EQ$2),Matemáticas!$A:$H,7,FALSE)=BE454,1,0)</f>
        <v>#N/A</v>
      </c>
      <c r="ER454" s="138" t="e">
        <f>IF(VLOOKUP(CONCATENATE(H454,F454,ER$2),Matemáticas!$A:$H,7,FALSE)=BF454,1,0)</f>
        <v>#N/A</v>
      </c>
      <c r="ES454" s="138" t="e">
        <f>IF(VLOOKUP(CONCATENATE(H454,F454,ES$2),Matemáticas!$A:$H,7,FALSE)=BG454,1,0)</f>
        <v>#N/A</v>
      </c>
      <c r="ET454" s="138" t="e">
        <f>IF(VLOOKUP(CONCATENATE(H454,F454,ET$2),Matemáticas!$A:$H,7,FALSE)=BH454,1,0)</f>
        <v>#N/A</v>
      </c>
      <c r="EU454" s="138" t="e">
        <f>IF(VLOOKUP(CONCATENATE(H454,F454,EU$2),Matemáticas!$A:$H,7,FALSE)=BI454,1,0)</f>
        <v>#N/A</v>
      </c>
      <c r="EV454" s="138" t="e">
        <f>IF(VLOOKUP(CONCATENATE(H454,F454,EV$2),Ciencias!$A:$H,7,FALSE)=BJ454,1,0)</f>
        <v>#N/A</v>
      </c>
      <c r="EW454" s="138" t="e">
        <f>IF(VLOOKUP(CONCATENATE(H454,F454,EW$2),Ciencias!$A:$H,7,FALSE)=BK454,1,0)</f>
        <v>#N/A</v>
      </c>
      <c r="EX454" s="138" t="e">
        <f>IF(VLOOKUP(CONCATENATE(H454,F454,EX$2),Ciencias!$A:$H,7,FALSE)=BL454,1,0)</f>
        <v>#N/A</v>
      </c>
      <c r="EY454" s="138" t="e">
        <f>IF(VLOOKUP(CONCATENATE(H454,F454,EY$2),Ciencias!$A:$H,7,FALSE)=BM454,1,0)</f>
        <v>#N/A</v>
      </c>
      <c r="EZ454" s="138" t="e">
        <f>IF(VLOOKUP(CONCATENATE(H454,F454,EZ$2),Ciencias!$A:$H,7,FALSE)=BN454,1,0)</f>
        <v>#N/A</v>
      </c>
      <c r="FA454" s="138" t="e">
        <f>IF(VLOOKUP(CONCATENATE(H454,F454,FA$2),Ciencias!$A:$H,7,FALSE)=BO454,1,0)</f>
        <v>#N/A</v>
      </c>
      <c r="FB454" s="138" t="e">
        <f>IF(VLOOKUP(CONCATENATE(H454,F454,FB$2),Ciencias!$A:$H,7,FALSE)=BP454,1,0)</f>
        <v>#N/A</v>
      </c>
      <c r="FC454" s="138" t="e">
        <f>IF(VLOOKUP(CONCATENATE(H454,F454,FC$2),Ciencias!$A:$H,7,FALSE)=BQ454,1,0)</f>
        <v>#N/A</v>
      </c>
      <c r="FD454" s="138" t="e">
        <f>IF(VLOOKUP(CONCATENATE(H454,F454,FD$2),Ciencias!$A:$H,7,FALSE)=BR454,1,0)</f>
        <v>#N/A</v>
      </c>
      <c r="FE454" s="138" t="e">
        <f>IF(VLOOKUP(CONCATENATE(H454,F454,FE$2),Ciencias!$A:$H,7,FALSE)=BS454,1,0)</f>
        <v>#N/A</v>
      </c>
      <c r="FF454" s="138" t="e">
        <f>IF(VLOOKUP(CONCATENATE(H454,F454,FF$2),Ciencias!$A:$H,7,FALSE)=BT454,1,0)</f>
        <v>#N/A</v>
      </c>
      <c r="FG454" s="138" t="e">
        <f>IF(VLOOKUP(CONCATENATE(H454,F454,FG$2),Ciencias!$A:$H,7,FALSE)=BU454,1,0)</f>
        <v>#N/A</v>
      </c>
      <c r="FH454" s="138" t="e">
        <f>IF(VLOOKUP(CONCATENATE(H454,F454,FH$2),Ciencias!$A:$H,7,FALSE)=BV454,1,0)</f>
        <v>#N/A</v>
      </c>
      <c r="FI454" s="138" t="e">
        <f>IF(VLOOKUP(CONCATENATE(H454,F454,FI$2),Ciencias!$A:$H,7,FALSE)=BW454,1,0)</f>
        <v>#N/A</v>
      </c>
      <c r="FJ454" s="138" t="e">
        <f>IF(VLOOKUP(CONCATENATE(H454,F454,FJ$2),Ciencias!$A:$H,7,FALSE)=BX454,1,0)</f>
        <v>#N/A</v>
      </c>
      <c r="FK454" s="138" t="e">
        <f>IF(VLOOKUP(CONCATENATE(H454,F454,FK$2),Ciencias!$A:$H,7,FALSE)=BY454,1,0)</f>
        <v>#N/A</v>
      </c>
      <c r="FL454" s="138" t="e">
        <f>IF(VLOOKUP(CONCATENATE(H454,F454,FL$2),Ciencias!$A:$H,7,FALSE)=BZ454,1,0)</f>
        <v>#N/A</v>
      </c>
      <c r="FM454" s="138" t="e">
        <f>IF(VLOOKUP(CONCATENATE(H454,F454,FM$2),Ciencias!$A:$H,7,FALSE)=CA454,1,0)</f>
        <v>#N/A</v>
      </c>
      <c r="FN454" s="138" t="e">
        <f>IF(VLOOKUP(CONCATENATE(H454,F454,FN$2),Ciencias!$A:$H,7,FALSE)=CB454,1,0)</f>
        <v>#N/A</v>
      </c>
      <c r="FO454" s="138" t="e">
        <f>IF(VLOOKUP(CONCATENATE(H454,F454,FO$2),Ciencias!$A:$H,7,FALSE)=CC454,1,0)</f>
        <v>#N/A</v>
      </c>
      <c r="FP454" s="138" t="e">
        <f>IF(VLOOKUP(CONCATENATE(H454,F454,FP$2),GeoHis!$A:$H,7,FALSE)=CD454,1,0)</f>
        <v>#N/A</v>
      </c>
      <c r="FQ454" s="138" t="e">
        <f>IF(VLOOKUP(CONCATENATE(H454,F454,FQ$2),GeoHis!$A:$H,7,FALSE)=CE454,1,0)</f>
        <v>#N/A</v>
      </c>
      <c r="FR454" s="138" t="e">
        <f>IF(VLOOKUP(CONCATENATE(H454,F454,FR$2),GeoHis!$A:$H,7,FALSE)=CF454,1,0)</f>
        <v>#N/A</v>
      </c>
      <c r="FS454" s="138" t="e">
        <f>IF(VLOOKUP(CONCATENATE(H454,F454,FS$2),GeoHis!$A:$H,7,FALSE)=CG454,1,0)</f>
        <v>#N/A</v>
      </c>
      <c r="FT454" s="138" t="e">
        <f>IF(VLOOKUP(CONCATENATE(H454,F454,FT$2),GeoHis!$A:$H,7,FALSE)=CH454,1,0)</f>
        <v>#N/A</v>
      </c>
      <c r="FU454" s="138" t="e">
        <f>IF(VLOOKUP(CONCATENATE(H454,F454,FU$2),GeoHis!$A:$H,7,FALSE)=CI454,1,0)</f>
        <v>#N/A</v>
      </c>
      <c r="FV454" s="138" t="e">
        <f>IF(VLOOKUP(CONCATENATE(H454,F454,FV$2),GeoHis!$A:$H,7,FALSE)=CJ454,1,0)</f>
        <v>#N/A</v>
      </c>
      <c r="FW454" s="138" t="e">
        <f>IF(VLOOKUP(CONCATENATE(H454,F454,FW$2),GeoHis!$A:$H,7,FALSE)=CK454,1,0)</f>
        <v>#N/A</v>
      </c>
      <c r="FX454" s="138" t="e">
        <f>IF(VLOOKUP(CONCATENATE(H454,F454,FX$2),GeoHis!$A:$H,7,FALSE)=CL454,1,0)</f>
        <v>#N/A</v>
      </c>
      <c r="FY454" s="138" t="e">
        <f>IF(VLOOKUP(CONCATENATE(H454,F454,FY$2),GeoHis!$A:$H,7,FALSE)=CM454,1,0)</f>
        <v>#N/A</v>
      </c>
      <c r="FZ454" s="138" t="e">
        <f>IF(VLOOKUP(CONCATENATE(H454,F454,FZ$2),GeoHis!$A:$H,7,FALSE)=CN454,1,0)</f>
        <v>#N/A</v>
      </c>
      <c r="GA454" s="138" t="e">
        <f>IF(VLOOKUP(CONCATENATE(H454,F454,GA$2),GeoHis!$A:$H,7,FALSE)=CO454,1,0)</f>
        <v>#N/A</v>
      </c>
      <c r="GB454" s="138" t="e">
        <f>IF(VLOOKUP(CONCATENATE(H454,F454,GB$2),GeoHis!$A:$H,7,FALSE)=CP454,1,0)</f>
        <v>#N/A</v>
      </c>
      <c r="GC454" s="138" t="e">
        <f>IF(VLOOKUP(CONCATENATE(H454,F454,GC$2),GeoHis!$A:$H,7,FALSE)=CQ454,1,0)</f>
        <v>#N/A</v>
      </c>
      <c r="GD454" s="138" t="e">
        <f>IF(VLOOKUP(CONCATENATE(H454,F454,GD$2),GeoHis!$A:$H,7,FALSE)=CR454,1,0)</f>
        <v>#N/A</v>
      </c>
      <c r="GE454" s="135" t="str">
        <f t="shared" si="63"/>
        <v/>
      </c>
    </row>
    <row r="455" spans="1:187" x14ac:dyDescent="0.25">
      <c r="A455" s="127" t="str">
        <f>IF(C455="","",'Datos Generales'!$A$25)</f>
        <v/>
      </c>
      <c r="D455" s="126" t="str">
        <f t="shared" si="56"/>
        <v/>
      </c>
      <c r="E455" s="126">
        <f t="shared" si="57"/>
        <v>0</v>
      </c>
      <c r="F455" s="126" t="str">
        <f t="shared" si="58"/>
        <v/>
      </c>
      <c r="G455" s="126" t="str">
        <f>IF(C455="","",'Datos Generales'!$D$19)</f>
        <v/>
      </c>
      <c r="H455" s="21" t="str">
        <f>IF(C455="","",'Datos Generales'!$A$19)</f>
        <v/>
      </c>
      <c r="I455" s="126" t="str">
        <f>IF(C455="","",'Datos Generales'!$A$7)</f>
        <v/>
      </c>
      <c r="J455" s="21" t="str">
        <f>IF(C455="","",'Datos Generales'!$A$13)</f>
        <v/>
      </c>
      <c r="K455" s="21" t="str">
        <f>IF(C455="","",'Datos Generales'!$A$10)</f>
        <v/>
      </c>
      <c r="CS455" s="142" t="str">
        <f t="shared" si="59"/>
        <v/>
      </c>
      <c r="CT455" s="142" t="str">
        <f t="shared" si="60"/>
        <v/>
      </c>
      <c r="CU455" s="142" t="str">
        <f t="shared" si="61"/>
        <v/>
      </c>
      <c r="CV455" s="142" t="str">
        <f t="shared" si="62"/>
        <v/>
      </c>
      <c r="CW455" s="142" t="str">
        <f>IF(C455="","",IF('Datos Generales'!$A$19=1,AVERAGE(FP455:GD455),AVERAGE(Captura!FP455:FY455)))</f>
        <v/>
      </c>
      <c r="CX455" s="138" t="e">
        <f>IF(VLOOKUP(CONCATENATE($H$4,$F$4,CX$2),Español!$A:$H,7,FALSE)=L455,1,0)</f>
        <v>#N/A</v>
      </c>
      <c r="CY455" s="138" t="e">
        <f>IF(VLOOKUP(CONCATENATE(H455,F455,CY$2),Español!$A:$H,7,FALSE)=M455,1,0)</f>
        <v>#N/A</v>
      </c>
      <c r="CZ455" s="138" t="e">
        <f>IF(VLOOKUP(CONCATENATE(H455,F455,CZ$2),Español!$A:$H,7,FALSE)=N455,1,0)</f>
        <v>#N/A</v>
      </c>
      <c r="DA455" s="138" t="e">
        <f>IF(VLOOKUP(CONCATENATE(H455,F455,DA$2),Español!$A:$H,7,FALSE)=O455,1,0)</f>
        <v>#N/A</v>
      </c>
      <c r="DB455" s="138" t="e">
        <f>IF(VLOOKUP(CONCATENATE(H455,F455,DB$2),Español!$A:$H,7,FALSE)=P455,1,0)</f>
        <v>#N/A</v>
      </c>
      <c r="DC455" s="138" t="e">
        <f>IF(VLOOKUP(CONCATENATE(H455,F455,DC$2),Español!$A:$H,7,FALSE)=Q455,1,0)</f>
        <v>#N/A</v>
      </c>
      <c r="DD455" s="138" t="e">
        <f>IF(VLOOKUP(CONCATENATE(H455,F455,DD$2),Español!$A:$H,7,FALSE)=R455,1,0)</f>
        <v>#N/A</v>
      </c>
      <c r="DE455" s="138" t="e">
        <f>IF(VLOOKUP(CONCATENATE(H455,F455,DE$2),Español!$A:$H,7,FALSE)=S455,1,0)</f>
        <v>#N/A</v>
      </c>
      <c r="DF455" s="138" t="e">
        <f>IF(VLOOKUP(CONCATENATE(H455,F455,DF$2),Español!$A:$H,7,FALSE)=T455,1,0)</f>
        <v>#N/A</v>
      </c>
      <c r="DG455" s="138" t="e">
        <f>IF(VLOOKUP(CONCATENATE(H455,F455,DG$2),Español!$A:$H,7,FALSE)=U455,1,0)</f>
        <v>#N/A</v>
      </c>
      <c r="DH455" s="138" t="e">
        <f>IF(VLOOKUP(CONCATENATE(H455,F455,DH$2),Español!$A:$H,7,FALSE)=V455,1,0)</f>
        <v>#N/A</v>
      </c>
      <c r="DI455" s="138" t="e">
        <f>IF(VLOOKUP(CONCATENATE(H455,F455,DI$2),Español!$A:$H,7,FALSE)=W455,1,0)</f>
        <v>#N/A</v>
      </c>
      <c r="DJ455" s="138" t="e">
        <f>IF(VLOOKUP(CONCATENATE(H455,F455,DJ$2),Español!$A:$H,7,FALSE)=X455,1,0)</f>
        <v>#N/A</v>
      </c>
      <c r="DK455" s="138" t="e">
        <f>IF(VLOOKUP(CONCATENATE(H455,F455,DK$2),Español!$A:$H,7,FALSE)=Y455,1,0)</f>
        <v>#N/A</v>
      </c>
      <c r="DL455" s="138" t="e">
        <f>IF(VLOOKUP(CONCATENATE(H455,F455,DL$2),Español!$A:$H,7,FALSE)=Z455,1,0)</f>
        <v>#N/A</v>
      </c>
      <c r="DM455" s="138" t="e">
        <f>IF(VLOOKUP(CONCATENATE(H455,F455,DM$2),Español!$A:$H,7,FALSE)=AA455,1,0)</f>
        <v>#N/A</v>
      </c>
      <c r="DN455" s="138" t="e">
        <f>IF(VLOOKUP(CONCATENATE(H455,F455,DN$2),Español!$A:$H,7,FALSE)=AB455,1,0)</f>
        <v>#N/A</v>
      </c>
      <c r="DO455" s="138" t="e">
        <f>IF(VLOOKUP(CONCATENATE(H455,F455,DO$2),Español!$A:$H,7,FALSE)=AC455,1,0)</f>
        <v>#N/A</v>
      </c>
      <c r="DP455" s="138" t="e">
        <f>IF(VLOOKUP(CONCATENATE(H455,F455,DP$2),Español!$A:$H,7,FALSE)=AD455,1,0)</f>
        <v>#N/A</v>
      </c>
      <c r="DQ455" s="138" t="e">
        <f>IF(VLOOKUP(CONCATENATE(H455,F455,DQ$2),Español!$A:$H,7,FALSE)=AE455,1,0)</f>
        <v>#N/A</v>
      </c>
      <c r="DR455" s="138" t="e">
        <f>IF(VLOOKUP(CONCATENATE(H455,F455,DR$2),Inglés!$A:$H,7,FALSE)=AF455,1,0)</f>
        <v>#N/A</v>
      </c>
      <c r="DS455" s="138" t="e">
        <f>IF(VLOOKUP(CONCATENATE(H455,F455,DS$2),Inglés!$A:$H,7,FALSE)=AG455,1,0)</f>
        <v>#N/A</v>
      </c>
      <c r="DT455" s="138" t="e">
        <f>IF(VLOOKUP(CONCATENATE(H455,F455,DT$2),Inglés!$A:$H,7,FALSE)=AH455,1,0)</f>
        <v>#N/A</v>
      </c>
      <c r="DU455" s="138" t="e">
        <f>IF(VLOOKUP(CONCATENATE(H455,F455,DU$2),Inglés!$A:$H,7,FALSE)=AI455,1,0)</f>
        <v>#N/A</v>
      </c>
      <c r="DV455" s="138" t="e">
        <f>IF(VLOOKUP(CONCATENATE(H455,F455,DV$2),Inglés!$A:$H,7,FALSE)=AJ455,1,0)</f>
        <v>#N/A</v>
      </c>
      <c r="DW455" s="138" t="e">
        <f>IF(VLOOKUP(CONCATENATE(H455,F455,DW$2),Inglés!$A:$H,7,FALSE)=AK455,1,0)</f>
        <v>#N/A</v>
      </c>
      <c r="DX455" s="138" t="e">
        <f>IF(VLOOKUP(CONCATENATE(H455,F455,DX$2),Inglés!$A:$H,7,FALSE)=AL455,1,0)</f>
        <v>#N/A</v>
      </c>
      <c r="DY455" s="138" t="e">
        <f>IF(VLOOKUP(CONCATENATE(H455,F455,DY$2),Inglés!$A:$H,7,FALSE)=AM455,1,0)</f>
        <v>#N/A</v>
      </c>
      <c r="DZ455" s="138" t="e">
        <f>IF(VLOOKUP(CONCATENATE(H455,F455,DZ$2),Inglés!$A:$H,7,FALSE)=AN455,1,0)</f>
        <v>#N/A</v>
      </c>
      <c r="EA455" s="138" t="e">
        <f>IF(VLOOKUP(CONCATENATE(H455,F455,EA$2),Inglés!$A:$H,7,FALSE)=AO455,1,0)</f>
        <v>#N/A</v>
      </c>
      <c r="EB455" s="138" t="e">
        <f>IF(VLOOKUP(CONCATENATE(H455,F455,EB$2),Matemáticas!$A:$H,7,FALSE)=AP455,1,0)</f>
        <v>#N/A</v>
      </c>
      <c r="EC455" s="138" t="e">
        <f>IF(VLOOKUP(CONCATENATE(H455,F455,EC$2),Matemáticas!$A:$H,7,FALSE)=AQ455,1,0)</f>
        <v>#N/A</v>
      </c>
      <c r="ED455" s="138" t="e">
        <f>IF(VLOOKUP(CONCATENATE(H455,F455,ED$2),Matemáticas!$A:$H,7,FALSE)=AR455,1,0)</f>
        <v>#N/A</v>
      </c>
      <c r="EE455" s="138" t="e">
        <f>IF(VLOOKUP(CONCATENATE(H455,F455,EE$2),Matemáticas!$A:$H,7,FALSE)=AS455,1,0)</f>
        <v>#N/A</v>
      </c>
      <c r="EF455" s="138" t="e">
        <f>IF(VLOOKUP(CONCATENATE(H455,F455,EF$2),Matemáticas!$A:$H,7,FALSE)=AT455,1,0)</f>
        <v>#N/A</v>
      </c>
      <c r="EG455" s="138" t="e">
        <f>IF(VLOOKUP(CONCATENATE(H455,F455,EG$2),Matemáticas!$A:$H,7,FALSE)=AU455,1,0)</f>
        <v>#N/A</v>
      </c>
      <c r="EH455" s="138" t="e">
        <f>IF(VLOOKUP(CONCATENATE(H455,F455,EH$2),Matemáticas!$A:$H,7,FALSE)=AV455,1,0)</f>
        <v>#N/A</v>
      </c>
      <c r="EI455" s="138" t="e">
        <f>IF(VLOOKUP(CONCATENATE(H455,F455,EI$2),Matemáticas!$A:$H,7,FALSE)=AW455,1,0)</f>
        <v>#N/A</v>
      </c>
      <c r="EJ455" s="138" t="e">
        <f>IF(VLOOKUP(CONCATENATE(H455,F455,EJ$2),Matemáticas!$A:$H,7,FALSE)=AX455,1,0)</f>
        <v>#N/A</v>
      </c>
      <c r="EK455" s="138" t="e">
        <f>IF(VLOOKUP(CONCATENATE(H455,F455,EK$2),Matemáticas!$A:$H,7,FALSE)=AY455,1,0)</f>
        <v>#N/A</v>
      </c>
      <c r="EL455" s="138" t="e">
        <f>IF(VLOOKUP(CONCATENATE(H455,F455,EL$2),Matemáticas!$A:$H,7,FALSE)=AZ455,1,0)</f>
        <v>#N/A</v>
      </c>
      <c r="EM455" s="138" t="e">
        <f>IF(VLOOKUP(CONCATENATE(H455,F455,EM$2),Matemáticas!$A:$H,7,FALSE)=BA455,1,0)</f>
        <v>#N/A</v>
      </c>
      <c r="EN455" s="138" t="e">
        <f>IF(VLOOKUP(CONCATENATE(H455,F455,EN$2),Matemáticas!$A:$H,7,FALSE)=BB455,1,0)</f>
        <v>#N/A</v>
      </c>
      <c r="EO455" s="138" t="e">
        <f>IF(VLOOKUP(CONCATENATE(H455,F455,EO$2),Matemáticas!$A:$H,7,FALSE)=BC455,1,0)</f>
        <v>#N/A</v>
      </c>
      <c r="EP455" s="138" t="e">
        <f>IF(VLOOKUP(CONCATENATE(H455,F455,EP$2),Matemáticas!$A:$H,7,FALSE)=BD455,1,0)</f>
        <v>#N/A</v>
      </c>
      <c r="EQ455" s="138" t="e">
        <f>IF(VLOOKUP(CONCATENATE(H455,F455,EQ$2),Matemáticas!$A:$H,7,FALSE)=BE455,1,0)</f>
        <v>#N/A</v>
      </c>
      <c r="ER455" s="138" t="e">
        <f>IF(VLOOKUP(CONCATENATE(H455,F455,ER$2),Matemáticas!$A:$H,7,FALSE)=BF455,1,0)</f>
        <v>#N/A</v>
      </c>
      <c r="ES455" s="138" t="e">
        <f>IF(VLOOKUP(CONCATENATE(H455,F455,ES$2),Matemáticas!$A:$H,7,FALSE)=BG455,1,0)</f>
        <v>#N/A</v>
      </c>
      <c r="ET455" s="138" t="e">
        <f>IF(VLOOKUP(CONCATENATE(H455,F455,ET$2),Matemáticas!$A:$H,7,FALSE)=BH455,1,0)</f>
        <v>#N/A</v>
      </c>
      <c r="EU455" s="138" t="e">
        <f>IF(VLOOKUP(CONCATENATE(H455,F455,EU$2),Matemáticas!$A:$H,7,FALSE)=BI455,1,0)</f>
        <v>#N/A</v>
      </c>
      <c r="EV455" s="138" t="e">
        <f>IF(VLOOKUP(CONCATENATE(H455,F455,EV$2),Ciencias!$A:$H,7,FALSE)=BJ455,1,0)</f>
        <v>#N/A</v>
      </c>
      <c r="EW455" s="138" t="e">
        <f>IF(VLOOKUP(CONCATENATE(H455,F455,EW$2),Ciencias!$A:$H,7,FALSE)=BK455,1,0)</f>
        <v>#N/A</v>
      </c>
      <c r="EX455" s="138" t="e">
        <f>IF(VLOOKUP(CONCATENATE(H455,F455,EX$2),Ciencias!$A:$H,7,FALSE)=BL455,1,0)</f>
        <v>#N/A</v>
      </c>
      <c r="EY455" s="138" t="e">
        <f>IF(VLOOKUP(CONCATENATE(H455,F455,EY$2),Ciencias!$A:$H,7,FALSE)=BM455,1,0)</f>
        <v>#N/A</v>
      </c>
      <c r="EZ455" s="138" t="e">
        <f>IF(VLOOKUP(CONCATENATE(H455,F455,EZ$2),Ciencias!$A:$H,7,FALSE)=BN455,1,0)</f>
        <v>#N/A</v>
      </c>
      <c r="FA455" s="138" t="e">
        <f>IF(VLOOKUP(CONCATENATE(H455,F455,FA$2),Ciencias!$A:$H,7,FALSE)=BO455,1,0)</f>
        <v>#N/A</v>
      </c>
      <c r="FB455" s="138" t="e">
        <f>IF(VLOOKUP(CONCATENATE(H455,F455,FB$2),Ciencias!$A:$H,7,FALSE)=BP455,1,0)</f>
        <v>#N/A</v>
      </c>
      <c r="FC455" s="138" t="e">
        <f>IF(VLOOKUP(CONCATENATE(H455,F455,FC$2),Ciencias!$A:$H,7,FALSE)=BQ455,1,0)</f>
        <v>#N/A</v>
      </c>
      <c r="FD455" s="138" t="e">
        <f>IF(VLOOKUP(CONCATENATE(H455,F455,FD$2),Ciencias!$A:$H,7,FALSE)=BR455,1,0)</f>
        <v>#N/A</v>
      </c>
      <c r="FE455" s="138" t="e">
        <f>IF(VLOOKUP(CONCATENATE(H455,F455,FE$2),Ciencias!$A:$H,7,FALSE)=BS455,1,0)</f>
        <v>#N/A</v>
      </c>
      <c r="FF455" s="138" t="e">
        <f>IF(VLOOKUP(CONCATENATE(H455,F455,FF$2),Ciencias!$A:$H,7,FALSE)=BT455,1,0)</f>
        <v>#N/A</v>
      </c>
      <c r="FG455" s="138" t="e">
        <f>IF(VLOOKUP(CONCATENATE(H455,F455,FG$2),Ciencias!$A:$H,7,FALSE)=BU455,1,0)</f>
        <v>#N/A</v>
      </c>
      <c r="FH455" s="138" t="e">
        <f>IF(VLOOKUP(CONCATENATE(H455,F455,FH$2),Ciencias!$A:$H,7,FALSE)=BV455,1,0)</f>
        <v>#N/A</v>
      </c>
      <c r="FI455" s="138" t="e">
        <f>IF(VLOOKUP(CONCATENATE(H455,F455,FI$2),Ciencias!$A:$H,7,FALSE)=BW455,1,0)</f>
        <v>#N/A</v>
      </c>
      <c r="FJ455" s="138" t="e">
        <f>IF(VLOOKUP(CONCATENATE(H455,F455,FJ$2),Ciencias!$A:$H,7,FALSE)=BX455,1,0)</f>
        <v>#N/A</v>
      </c>
      <c r="FK455" s="138" t="e">
        <f>IF(VLOOKUP(CONCATENATE(H455,F455,FK$2),Ciencias!$A:$H,7,FALSE)=BY455,1,0)</f>
        <v>#N/A</v>
      </c>
      <c r="FL455" s="138" t="e">
        <f>IF(VLOOKUP(CONCATENATE(H455,F455,FL$2),Ciencias!$A:$H,7,FALSE)=BZ455,1,0)</f>
        <v>#N/A</v>
      </c>
      <c r="FM455" s="138" t="e">
        <f>IF(VLOOKUP(CONCATENATE(H455,F455,FM$2),Ciencias!$A:$H,7,FALSE)=CA455,1,0)</f>
        <v>#N/A</v>
      </c>
      <c r="FN455" s="138" t="e">
        <f>IF(VLOOKUP(CONCATENATE(H455,F455,FN$2),Ciencias!$A:$H,7,FALSE)=CB455,1,0)</f>
        <v>#N/A</v>
      </c>
      <c r="FO455" s="138" t="e">
        <f>IF(VLOOKUP(CONCATENATE(H455,F455,FO$2),Ciencias!$A:$H,7,FALSE)=CC455,1,0)</f>
        <v>#N/A</v>
      </c>
      <c r="FP455" s="138" t="e">
        <f>IF(VLOOKUP(CONCATENATE(H455,F455,FP$2),GeoHis!$A:$H,7,FALSE)=CD455,1,0)</f>
        <v>#N/A</v>
      </c>
      <c r="FQ455" s="138" t="e">
        <f>IF(VLOOKUP(CONCATENATE(H455,F455,FQ$2),GeoHis!$A:$H,7,FALSE)=CE455,1,0)</f>
        <v>#N/A</v>
      </c>
      <c r="FR455" s="138" t="e">
        <f>IF(VLOOKUP(CONCATENATE(H455,F455,FR$2),GeoHis!$A:$H,7,FALSE)=CF455,1,0)</f>
        <v>#N/A</v>
      </c>
      <c r="FS455" s="138" t="e">
        <f>IF(VLOOKUP(CONCATENATE(H455,F455,FS$2),GeoHis!$A:$H,7,FALSE)=CG455,1,0)</f>
        <v>#N/A</v>
      </c>
      <c r="FT455" s="138" t="e">
        <f>IF(VLOOKUP(CONCATENATE(H455,F455,FT$2),GeoHis!$A:$H,7,FALSE)=CH455,1,0)</f>
        <v>#N/A</v>
      </c>
      <c r="FU455" s="138" t="e">
        <f>IF(VLOOKUP(CONCATENATE(H455,F455,FU$2),GeoHis!$A:$H,7,FALSE)=CI455,1,0)</f>
        <v>#N/A</v>
      </c>
      <c r="FV455" s="138" t="e">
        <f>IF(VLOOKUP(CONCATENATE(H455,F455,FV$2),GeoHis!$A:$H,7,FALSE)=CJ455,1,0)</f>
        <v>#N/A</v>
      </c>
      <c r="FW455" s="138" t="e">
        <f>IF(VLOOKUP(CONCATENATE(H455,F455,FW$2),GeoHis!$A:$H,7,FALSE)=CK455,1,0)</f>
        <v>#N/A</v>
      </c>
      <c r="FX455" s="138" t="e">
        <f>IF(VLOOKUP(CONCATENATE(H455,F455,FX$2),GeoHis!$A:$H,7,FALSE)=CL455,1,0)</f>
        <v>#N/A</v>
      </c>
      <c r="FY455" s="138" t="e">
        <f>IF(VLOOKUP(CONCATENATE(H455,F455,FY$2),GeoHis!$A:$H,7,FALSE)=CM455,1,0)</f>
        <v>#N/A</v>
      </c>
      <c r="FZ455" s="138" t="e">
        <f>IF(VLOOKUP(CONCATENATE(H455,F455,FZ$2),GeoHis!$A:$H,7,FALSE)=CN455,1,0)</f>
        <v>#N/A</v>
      </c>
      <c r="GA455" s="138" t="e">
        <f>IF(VLOOKUP(CONCATENATE(H455,F455,GA$2),GeoHis!$A:$H,7,FALSE)=CO455,1,0)</f>
        <v>#N/A</v>
      </c>
      <c r="GB455" s="138" t="e">
        <f>IF(VLOOKUP(CONCATENATE(H455,F455,GB$2),GeoHis!$A:$H,7,FALSE)=CP455,1,0)</f>
        <v>#N/A</v>
      </c>
      <c r="GC455" s="138" t="e">
        <f>IF(VLOOKUP(CONCATENATE(H455,F455,GC$2),GeoHis!$A:$H,7,FALSE)=CQ455,1,0)</f>
        <v>#N/A</v>
      </c>
      <c r="GD455" s="138" t="e">
        <f>IF(VLOOKUP(CONCATENATE(H455,F455,GD$2),GeoHis!$A:$H,7,FALSE)=CR455,1,0)</f>
        <v>#N/A</v>
      </c>
      <c r="GE455" s="135" t="str">
        <f t="shared" si="63"/>
        <v/>
      </c>
    </row>
    <row r="456" spans="1:187" x14ac:dyDescent="0.25">
      <c r="A456" s="127" t="str">
        <f>IF(C456="","",'Datos Generales'!$A$25)</f>
        <v/>
      </c>
      <c r="D456" s="126" t="str">
        <f t="shared" si="56"/>
        <v/>
      </c>
      <c r="E456" s="126">
        <f t="shared" si="57"/>
        <v>0</v>
      </c>
      <c r="F456" s="126" t="str">
        <f t="shared" si="58"/>
        <v/>
      </c>
      <c r="G456" s="126" t="str">
        <f>IF(C456="","",'Datos Generales'!$D$19)</f>
        <v/>
      </c>
      <c r="H456" s="21" t="str">
        <f>IF(C456="","",'Datos Generales'!$A$19)</f>
        <v/>
      </c>
      <c r="I456" s="126" t="str">
        <f>IF(C456="","",'Datos Generales'!$A$7)</f>
        <v/>
      </c>
      <c r="J456" s="21" t="str">
        <f>IF(C456="","",'Datos Generales'!$A$13)</f>
        <v/>
      </c>
      <c r="K456" s="21" t="str">
        <f>IF(C456="","",'Datos Generales'!$A$10)</f>
        <v/>
      </c>
      <c r="CS456" s="142" t="str">
        <f t="shared" si="59"/>
        <v/>
      </c>
      <c r="CT456" s="142" t="str">
        <f t="shared" si="60"/>
        <v/>
      </c>
      <c r="CU456" s="142" t="str">
        <f t="shared" si="61"/>
        <v/>
      </c>
      <c r="CV456" s="142" t="str">
        <f t="shared" si="62"/>
        <v/>
      </c>
      <c r="CW456" s="142" t="str">
        <f>IF(C456="","",IF('Datos Generales'!$A$19=1,AVERAGE(FP456:GD456),AVERAGE(Captura!FP456:FY456)))</f>
        <v/>
      </c>
      <c r="CX456" s="138" t="e">
        <f>IF(VLOOKUP(CONCATENATE($H$4,$F$4,CX$2),Español!$A:$H,7,FALSE)=L456,1,0)</f>
        <v>#N/A</v>
      </c>
      <c r="CY456" s="138" t="e">
        <f>IF(VLOOKUP(CONCATENATE(H456,F456,CY$2),Español!$A:$H,7,FALSE)=M456,1,0)</f>
        <v>#N/A</v>
      </c>
      <c r="CZ456" s="138" t="e">
        <f>IF(VLOOKUP(CONCATENATE(H456,F456,CZ$2),Español!$A:$H,7,FALSE)=N456,1,0)</f>
        <v>#N/A</v>
      </c>
      <c r="DA456" s="138" t="e">
        <f>IF(VLOOKUP(CONCATENATE(H456,F456,DA$2),Español!$A:$H,7,FALSE)=O456,1,0)</f>
        <v>#N/A</v>
      </c>
      <c r="DB456" s="138" t="e">
        <f>IF(VLOOKUP(CONCATENATE(H456,F456,DB$2),Español!$A:$H,7,FALSE)=P456,1,0)</f>
        <v>#N/A</v>
      </c>
      <c r="DC456" s="138" t="e">
        <f>IF(VLOOKUP(CONCATENATE(H456,F456,DC$2),Español!$A:$H,7,FALSE)=Q456,1,0)</f>
        <v>#N/A</v>
      </c>
      <c r="DD456" s="138" t="e">
        <f>IF(VLOOKUP(CONCATENATE(H456,F456,DD$2),Español!$A:$H,7,FALSE)=R456,1,0)</f>
        <v>#N/A</v>
      </c>
      <c r="DE456" s="138" t="e">
        <f>IF(VLOOKUP(CONCATENATE(H456,F456,DE$2),Español!$A:$H,7,FALSE)=S456,1,0)</f>
        <v>#N/A</v>
      </c>
      <c r="DF456" s="138" t="e">
        <f>IF(VLOOKUP(CONCATENATE(H456,F456,DF$2),Español!$A:$H,7,FALSE)=T456,1,0)</f>
        <v>#N/A</v>
      </c>
      <c r="DG456" s="138" t="e">
        <f>IF(VLOOKUP(CONCATENATE(H456,F456,DG$2),Español!$A:$H,7,FALSE)=U456,1,0)</f>
        <v>#N/A</v>
      </c>
      <c r="DH456" s="138" t="e">
        <f>IF(VLOOKUP(CONCATENATE(H456,F456,DH$2),Español!$A:$H,7,FALSE)=V456,1,0)</f>
        <v>#N/A</v>
      </c>
      <c r="DI456" s="138" t="e">
        <f>IF(VLOOKUP(CONCATENATE(H456,F456,DI$2),Español!$A:$H,7,FALSE)=W456,1,0)</f>
        <v>#N/A</v>
      </c>
      <c r="DJ456" s="138" t="e">
        <f>IF(VLOOKUP(CONCATENATE(H456,F456,DJ$2),Español!$A:$H,7,FALSE)=X456,1,0)</f>
        <v>#N/A</v>
      </c>
      <c r="DK456" s="138" t="e">
        <f>IF(VLOOKUP(CONCATENATE(H456,F456,DK$2),Español!$A:$H,7,FALSE)=Y456,1,0)</f>
        <v>#N/A</v>
      </c>
      <c r="DL456" s="138" t="e">
        <f>IF(VLOOKUP(CONCATENATE(H456,F456,DL$2),Español!$A:$H,7,FALSE)=Z456,1,0)</f>
        <v>#N/A</v>
      </c>
      <c r="DM456" s="138" t="e">
        <f>IF(VLOOKUP(CONCATENATE(H456,F456,DM$2),Español!$A:$H,7,FALSE)=AA456,1,0)</f>
        <v>#N/A</v>
      </c>
      <c r="DN456" s="138" t="e">
        <f>IF(VLOOKUP(CONCATENATE(H456,F456,DN$2),Español!$A:$H,7,FALSE)=AB456,1,0)</f>
        <v>#N/A</v>
      </c>
      <c r="DO456" s="138" t="e">
        <f>IF(VLOOKUP(CONCATENATE(H456,F456,DO$2),Español!$A:$H,7,FALSE)=AC456,1,0)</f>
        <v>#N/A</v>
      </c>
      <c r="DP456" s="138" t="e">
        <f>IF(VLOOKUP(CONCATENATE(H456,F456,DP$2),Español!$A:$H,7,FALSE)=AD456,1,0)</f>
        <v>#N/A</v>
      </c>
      <c r="DQ456" s="138" t="e">
        <f>IF(VLOOKUP(CONCATENATE(H456,F456,DQ$2),Español!$A:$H,7,FALSE)=AE456,1,0)</f>
        <v>#N/A</v>
      </c>
      <c r="DR456" s="138" t="e">
        <f>IF(VLOOKUP(CONCATENATE(H456,F456,DR$2),Inglés!$A:$H,7,FALSE)=AF456,1,0)</f>
        <v>#N/A</v>
      </c>
      <c r="DS456" s="138" t="e">
        <f>IF(VLOOKUP(CONCATENATE(H456,F456,DS$2),Inglés!$A:$H,7,FALSE)=AG456,1,0)</f>
        <v>#N/A</v>
      </c>
      <c r="DT456" s="138" t="e">
        <f>IF(VLOOKUP(CONCATENATE(H456,F456,DT$2),Inglés!$A:$H,7,FALSE)=AH456,1,0)</f>
        <v>#N/A</v>
      </c>
      <c r="DU456" s="138" t="e">
        <f>IF(VLOOKUP(CONCATENATE(H456,F456,DU$2),Inglés!$A:$H,7,FALSE)=AI456,1,0)</f>
        <v>#N/A</v>
      </c>
      <c r="DV456" s="138" t="e">
        <f>IF(VLOOKUP(CONCATENATE(H456,F456,DV$2),Inglés!$A:$H,7,FALSE)=AJ456,1,0)</f>
        <v>#N/A</v>
      </c>
      <c r="DW456" s="138" t="e">
        <f>IF(VLOOKUP(CONCATENATE(H456,F456,DW$2),Inglés!$A:$H,7,FALSE)=AK456,1,0)</f>
        <v>#N/A</v>
      </c>
      <c r="DX456" s="138" t="e">
        <f>IF(VLOOKUP(CONCATENATE(H456,F456,DX$2),Inglés!$A:$H,7,FALSE)=AL456,1,0)</f>
        <v>#N/A</v>
      </c>
      <c r="DY456" s="138" t="e">
        <f>IF(VLOOKUP(CONCATENATE(H456,F456,DY$2),Inglés!$A:$H,7,FALSE)=AM456,1,0)</f>
        <v>#N/A</v>
      </c>
      <c r="DZ456" s="138" t="e">
        <f>IF(VLOOKUP(CONCATENATE(H456,F456,DZ$2),Inglés!$A:$H,7,FALSE)=AN456,1,0)</f>
        <v>#N/A</v>
      </c>
      <c r="EA456" s="138" t="e">
        <f>IF(VLOOKUP(CONCATENATE(H456,F456,EA$2),Inglés!$A:$H,7,FALSE)=AO456,1,0)</f>
        <v>#N/A</v>
      </c>
      <c r="EB456" s="138" t="e">
        <f>IF(VLOOKUP(CONCATENATE(H456,F456,EB$2),Matemáticas!$A:$H,7,FALSE)=AP456,1,0)</f>
        <v>#N/A</v>
      </c>
      <c r="EC456" s="138" t="e">
        <f>IF(VLOOKUP(CONCATENATE(H456,F456,EC$2),Matemáticas!$A:$H,7,FALSE)=AQ456,1,0)</f>
        <v>#N/A</v>
      </c>
      <c r="ED456" s="138" t="e">
        <f>IF(VLOOKUP(CONCATENATE(H456,F456,ED$2),Matemáticas!$A:$H,7,FALSE)=AR456,1,0)</f>
        <v>#N/A</v>
      </c>
      <c r="EE456" s="138" t="e">
        <f>IF(VLOOKUP(CONCATENATE(H456,F456,EE$2),Matemáticas!$A:$H,7,FALSE)=AS456,1,0)</f>
        <v>#N/A</v>
      </c>
      <c r="EF456" s="138" t="e">
        <f>IF(VLOOKUP(CONCATENATE(H456,F456,EF$2),Matemáticas!$A:$H,7,FALSE)=AT456,1,0)</f>
        <v>#N/A</v>
      </c>
      <c r="EG456" s="138" t="e">
        <f>IF(VLOOKUP(CONCATENATE(H456,F456,EG$2),Matemáticas!$A:$H,7,FALSE)=AU456,1,0)</f>
        <v>#N/A</v>
      </c>
      <c r="EH456" s="138" t="e">
        <f>IF(VLOOKUP(CONCATENATE(H456,F456,EH$2),Matemáticas!$A:$H,7,FALSE)=AV456,1,0)</f>
        <v>#N/A</v>
      </c>
      <c r="EI456" s="138" t="e">
        <f>IF(VLOOKUP(CONCATENATE(H456,F456,EI$2),Matemáticas!$A:$H,7,FALSE)=AW456,1,0)</f>
        <v>#N/A</v>
      </c>
      <c r="EJ456" s="138" t="e">
        <f>IF(VLOOKUP(CONCATENATE(H456,F456,EJ$2),Matemáticas!$A:$H,7,FALSE)=AX456,1,0)</f>
        <v>#N/A</v>
      </c>
      <c r="EK456" s="138" t="e">
        <f>IF(VLOOKUP(CONCATENATE(H456,F456,EK$2),Matemáticas!$A:$H,7,FALSE)=AY456,1,0)</f>
        <v>#N/A</v>
      </c>
      <c r="EL456" s="138" t="e">
        <f>IF(VLOOKUP(CONCATENATE(H456,F456,EL$2),Matemáticas!$A:$H,7,FALSE)=AZ456,1,0)</f>
        <v>#N/A</v>
      </c>
      <c r="EM456" s="138" t="e">
        <f>IF(VLOOKUP(CONCATENATE(H456,F456,EM$2),Matemáticas!$A:$H,7,FALSE)=BA456,1,0)</f>
        <v>#N/A</v>
      </c>
      <c r="EN456" s="138" t="e">
        <f>IF(VLOOKUP(CONCATENATE(H456,F456,EN$2),Matemáticas!$A:$H,7,FALSE)=BB456,1,0)</f>
        <v>#N/A</v>
      </c>
      <c r="EO456" s="138" t="e">
        <f>IF(VLOOKUP(CONCATENATE(H456,F456,EO$2),Matemáticas!$A:$H,7,FALSE)=BC456,1,0)</f>
        <v>#N/A</v>
      </c>
      <c r="EP456" s="138" t="e">
        <f>IF(VLOOKUP(CONCATENATE(H456,F456,EP$2),Matemáticas!$A:$H,7,FALSE)=BD456,1,0)</f>
        <v>#N/A</v>
      </c>
      <c r="EQ456" s="138" t="e">
        <f>IF(VLOOKUP(CONCATENATE(H456,F456,EQ$2),Matemáticas!$A:$H,7,FALSE)=BE456,1,0)</f>
        <v>#N/A</v>
      </c>
      <c r="ER456" s="138" t="e">
        <f>IF(VLOOKUP(CONCATENATE(H456,F456,ER$2),Matemáticas!$A:$H,7,FALSE)=BF456,1,0)</f>
        <v>#N/A</v>
      </c>
      <c r="ES456" s="138" t="e">
        <f>IF(VLOOKUP(CONCATENATE(H456,F456,ES$2),Matemáticas!$A:$H,7,FALSE)=BG456,1,0)</f>
        <v>#N/A</v>
      </c>
      <c r="ET456" s="138" t="e">
        <f>IF(VLOOKUP(CONCATENATE(H456,F456,ET$2),Matemáticas!$A:$H,7,FALSE)=BH456,1,0)</f>
        <v>#N/A</v>
      </c>
      <c r="EU456" s="138" t="e">
        <f>IF(VLOOKUP(CONCATENATE(H456,F456,EU$2),Matemáticas!$A:$H,7,FALSE)=BI456,1,0)</f>
        <v>#N/A</v>
      </c>
      <c r="EV456" s="138" t="e">
        <f>IF(VLOOKUP(CONCATENATE(H456,F456,EV$2),Ciencias!$A:$H,7,FALSE)=BJ456,1,0)</f>
        <v>#N/A</v>
      </c>
      <c r="EW456" s="138" t="e">
        <f>IF(VLOOKUP(CONCATENATE(H456,F456,EW$2),Ciencias!$A:$H,7,FALSE)=BK456,1,0)</f>
        <v>#N/A</v>
      </c>
      <c r="EX456" s="138" t="e">
        <f>IF(VLOOKUP(CONCATENATE(H456,F456,EX$2),Ciencias!$A:$H,7,FALSE)=BL456,1,0)</f>
        <v>#N/A</v>
      </c>
      <c r="EY456" s="138" t="e">
        <f>IF(VLOOKUP(CONCATENATE(H456,F456,EY$2),Ciencias!$A:$H,7,FALSE)=BM456,1,0)</f>
        <v>#N/A</v>
      </c>
      <c r="EZ456" s="138" t="e">
        <f>IF(VLOOKUP(CONCATENATE(H456,F456,EZ$2),Ciencias!$A:$H,7,FALSE)=BN456,1,0)</f>
        <v>#N/A</v>
      </c>
      <c r="FA456" s="138" t="e">
        <f>IF(VLOOKUP(CONCATENATE(H456,F456,FA$2),Ciencias!$A:$H,7,FALSE)=BO456,1,0)</f>
        <v>#N/A</v>
      </c>
      <c r="FB456" s="138" t="e">
        <f>IF(VLOOKUP(CONCATENATE(H456,F456,FB$2),Ciencias!$A:$H,7,FALSE)=BP456,1,0)</f>
        <v>#N/A</v>
      </c>
      <c r="FC456" s="138" t="e">
        <f>IF(VLOOKUP(CONCATENATE(H456,F456,FC$2),Ciencias!$A:$H,7,FALSE)=BQ456,1,0)</f>
        <v>#N/A</v>
      </c>
      <c r="FD456" s="138" t="e">
        <f>IF(VLOOKUP(CONCATENATE(H456,F456,FD$2),Ciencias!$A:$H,7,FALSE)=BR456,1,0)</f>
        <v>#N/A</v>
      </c>
      <c r="FE456" s="138" t="e">
        <f>IF(VLOOKUP(CONCATENATE(H456,F456,FE$2),Ciencias!$A:$H,7,FALSE)=BS456,1,0)</f>
        <v>#N/A</v>
      </c>
      <c r="FF456" s="138" t="e">
        <f>IF(VLOOKUP(CONCATENATE(H456,F456,FF$2),Ciencias!$A:$H,7,FALSE)=BT456,1,0)</f>
        <v>#N/A</v>
      </c>
      <c r="FG456" s="138" t="e">
        <f>IF(VLOOKUP(CONCATENATE(H456,F456,FG$2),Ciencias!$A:$H,7,FALSE)=BU456,1,0)</f>
        <v>#N/A</v>
      </c>
      <c r="FH456" s="138" t="e">
        <f>IF(VLOOKUP(CONCATENATE(H456,F456,FH$2),Ciencias!$A:$H,7,FALSE)=BV456,1,0)</f>
        <v>#N/A</v>
      </c>
      <c r="FI456" s="138" t="e">
        <f>IF(VLOOKUP(CONCATENATE(H456,F456,FI$2),Ciencias!$A:$H,7,FALSE)=BW456,1,0)</f>
        <v>#N/A</v>
      </c>
      <c r="FJ456" s="138" t="e">
        <f>IF(VLOOKUP(CONCATENATE(H456,F456,FJ$2),Ciencias!$A:$H,7,FALSE)=BX456,1,0)</f>
        <v>#N/A</v>
      </c>
      <c r="FK456" s="138" t="e">
        <f>IF(VLOOKUP(CONCATENATE(H456,F456,FK$2),Ciencias!$A:$H,7,FALSE)=BY456,1,0)</f>
        <v>#N/A</v>
      </c>
      <c r="FL456" s="138" t="e">
        <f>IF(VLOOKUP(CONCATENATE(H456,F456,FL$2),Ciencias!$A:$H,7,FALSE)=BZ456,1,0)</f>
        <v>#N/A</v>
      </c>
      <c r="FM456" s="138" t="e">
        <f>IF(VLOOKUP(CONCATENATE(H456,F456,FM$2),Ciencias!$A:$H,7,FALSE)=CA456,1,0)</f>
        <v>#N/A</v>
      </c>
      <c r="FN456" s="138" t="e">
        <f>IF(VLOOKUP(CONCATENATE(H456,F456,FN$2),Ciencias!$A:$H,7,FALSE)=CB456,1,0)</f>
        <v>#N/A</v>
      </c>
      <c r="FO456" s="138" t="e">
        <f>IF(VLOOKUP(CONCATENATE(H456,F456,FO$2),Ciencias!$A:$H,7,FALSE)=CC456,1,0)</f>
        <v>#N/A</v>
      </c>
      <c r="FP456" s="138" t="e">
        <f>IF(VLOOKUP(CONCATENATE(H456,F456,FP$2),GeoHis!$A:$H,7,FALSE)=CD456,1,0)</f>
        <v>#N/A</v>
      </c>
      <c r="FQ456" s="138" t="e">
        <f>IF(VLOOKUP(CONCATENATE(H456,F456,FQ$2),GeoHis!$A:$H,7,FALSE)=CE456,1,0)</f>
        <v>#N/A</v>
      </c>
      <c r="FR456" s="138" t="e">
        <f>IF(VLOOKUP(CONCATENATE(H456,F456,FR$2),GeoHis!$A:$H,7,FALSE)=CF456,1,0)</f>
        <v>#N/A</v>
      </c>
      <c r="FS456" s="138" t="e">
        <f>IF(VLOOKUP(CONCATENATE(H456,F456,FS$2),GeoHis!$A:$H,7,FALSE)=CG456,1,0)</f>
        <v>#N/A</v>
      </c>
      <c r="FT456" s="138" t="e">
        <f>IF(VLOOKUP(CONCATENATE(H456,F456,FT$2),GeoHis!$A:$H,7,FALSE)=CH456,1,0)</f>
        <v>#N/A</v>
      </c>
      <c r="FU456" s="138" t="e">
        <f>IF(VLOOKUP(CONCATENATE(H456,F456,FU$2),GeoHis!$A:$H,7,FALSE)=CI456,1,0)</f>
        <v>#N/A</v>
      </c>
      <c r="FV456" s="138" t="e">
        <f>IF(VLOOKUP(CONCATENATE(H456,F456,FV$2),GeoHis!$A:$H,7,FALSE)=CJ456,1,0)</f>
        <v>#N/A</v>
      </c>
      <c r="FW456" s="138" t="e">
        <f>IF(VLOOKUP(CONCATENATE(H456,F456,FW$2),GeoHis!$A:$H,7,FALSE)=CK456,1,0)</f>
        <v>#N/A</v>
      </c>
      <c r="FX456" s="138" t="e">
        <f>IF(VLOOKUP(CONCATENATE(H456,F456,FX$2),GeoHis!$A:$H,7,FALSE)=CL456,1,0)</f>
        <v>#N/A</v>
      </c>
      <c r="FY456" s="138" t="e">
        <f>IF(VLOOKUP(CONCATENATE(H456,F456,FY$2),GeoHis!$A:$H,7,FALSE)=CM456,1,0)</f>
        <v>#N/A</v>
      </c>
      <c r="FZ456" s="138" t="e">
        <f>IF(VLOOKUP(CONCATENATE(H456,F456,FZ$2),GeoHis!$A:$H,7,FALSE)=CN456,1,0)</f>
        <v>#N/A</v>
      </c>
      <c r="GA456" s="138" t="e">
        <f>IF(VLOOKUP(CONCATENATE(H456,F456,GA$2),GeoHis!$A:$H,7,FALSE)=CO456,1,0)</f>
        <v>#N/A</v>
      </c>
      <c r="GB456" s="138" t="e">
        <f>IF(VLOOKUP(CONCATENATE(H456,F456,GB$2),GeoHis!$A:$H,7,FALSE)=CP456,1,0)</f>
        <v>#N/A</v>
      </c>
      <c r="GC456" s="138" t="e">
        <f>IF(VLOOKUP(CONCATENATE(H456,F456,GC$2),GeoHis!$A:$H,7,FALSE)=CQ456,1,0)</f>
        <v>#N/A</v>
      </c>
      <c r="GD456" s="138" t="e">
        <f>IF(VLOOKUP(CONCATENATE(H456,F456,GD$2),GeoHis!$A:$H,7,FALSE)=CR456,1,0)</f>
        <v>#N/A</v>
      </c>
      <c r="GE456" s="135" t="str">
        <f t="shared" si="63"/>
        <v/>
      </c>
    </row>
    <row r="457" spans="1:187" x14ac:dyDescent="0.25">
      <c r="A457" s="127" t="str">
        <f>IF(C457="","",'Datos Generales'!$A$25)</f>
        <v/>
      </c>
      <c r="D457" s="126" t="str">
        <f t="shared" si="56"/>
        <v/>
      </c>
      <c r="E457" s="126">
        <f t="shared" si="57"/>
        <v>0</v>
      </c>
      <c r="F457" s="126" t="str">
        <f t="shared" si="58"/>
        <v/>
      </c>
      <c r="G457" s="126" t="str">
        <f>IF(C457="","",'Datos Generales'!$D$19)</f>
        <v/>
      </c>
      <c r="H457" s="21" t="str">
        <f>IF(C457="","",'Datos Generales'!$A$19)</f>
        <v/>
      </c>
      <c r="I457" s="126" t="str">
        <f>IF(C457="","",'Datos Generales'!$A$7)</f>
        <v/>
      </c>
      <c r="J457" s="21" t="str">
        <f>IF(C457="","",'Datos Generales'!$A$13)</f>
        <v/>
      </c>
      <c r="K457" s="21" t="str">
        <f>IF(C457="","",'Datos Generales'!$A$10)</f>
        <v/>
      </c>
      <c r="CS457" s="142" t="str">
        <f t="shared" si="59"/>
        <v/>
      </c>
      <c r="CT457" s="142" t="str">
        <f t="shared" si="60"/>
        <v/>
      </c>
      <c r="CU457" s="142" t="str">
        <f t="shared" si="61"/>
        <v/>
      </c>
      <c r="CV457" s="142" t="str">
        <f t="shared" si="62"/>
        <v/>
      </c>
      <c r="CW457" s="142" t="str">
        <f>IF(C457="","",IF('Datos Generales'!$A$19=1,AVERAGE(FP457:GD457),AVERAGE(Captura!FP457:FY457)))</f>
        <v/>
      </c>
      <c r="CX457" s="138" t="e">
        <f>IF(VLOOKUP(CONCATENATE($H$4,$F$4,CX$2),Español!$A:$H,7,FALSE)=L457,1,0)</f>
        <v>#N/A</v>
      </c>
      <c r="CY457" s="138" t="e">
        <f>IF(VLOOKUP(CONCATENATE(H457,F457,CY$2),Español!$A:$H,7,FALSE)=M457,1,0)</f>
        <v>#N/A</v>
      </c>
      <c r="CZ457" s="138" t="e">
        <f>IF(VLOOKUP(CONCATENATE(H457,F457,CZ$2),Español!$A:$H,7,FALSE)=N457,1,0)</f>
        <v>#N/A</v>
      </c>
      <c r="DA457" s="138" t="e">
        <f>IF(VLOOKUP(CONCATENATE(H457,F457,DA$2),Español!$A:$H,7,FALSE)=O457,1,0)</f>
        <v>#N/A</v>
      </c>
      <c r="DB457" s="138" t="e">
        <f>IF(VLOOKUP(CONCATENATE(H457,F457,DB$2),Español!$A:$H,7,FALSE)=P457,1,0)</f>
        <v>#N/A</v>
      </c>
      <c r="DC457" s="138" t="e">
        <f>IF(VLOOKUP(CONCATENATE(H457,F457,DC$2),Español!$A:$H,7,FALSE)=Q457,1,0)</f>
        <v>#N/A</v>
      </c>
      <c r="DD457" s="138" t="e">
        <f>IF(VLOOKUP(CONCATENATE(H457,F457,DD$2),Español!$A:$H,7,FALSE)=R457,1,0)</f>
        <v>#N/A</v>
      </c>
      <c r="DE457" s="138" t="e">
        <f>IF(VLOOKUP(CONCATENATE(H457,F457,DE$2),Español!$A:$H,7,FALSE)=S457,1,0)</f>
        <v>#N/A</v>
      </c>
      <c r="DF457" s="138" t="e">
        <f>IF(VLOOKUP(CONCATENATE(H457,F457,DF$2),Español!$A:$H,7,FALSE)=T457,1,0)</f>
        <v>#N/A</v>
      </c>
      <c r="DG457" s="138" t="e">
        <f>IF(VLOOKUP(CONCATENATE(H457,F457,DG$2),Español!$A:$H,7,FALSE)=U457,1,0)</f>
        <v>#N/A</v>
      </c>
      <c r="DH457" s="138" t="e">
        <f>IF(VLOOKUP(CONCATENATE(H457,F457,DH$2),Español!$A:$H,7,FALSE)=V457,1,0)</f>
        <v>#N/A</v>
      </c>
      <c r="DI457" s="138" t="e">
        <f>IF(VLOOKUP(CONCATENATE(H457,F457,DI$2),Español!$A:$H,7,FALSE)=W457,1,0)</f>
        <v>#N/A</v>
      </c>
      <c r="DJ457" s="138" t="e">
        <f>IF(VLOOKUP(CONCATENATE(H457,F457,DJ$2),Español!$A:$H,7,FALSE)=X457,1,0)</f>
        <v>#N/A</v>
      </c>
      <c r="DK457" s="138" t="e">
        <f>IF(VLOOKUP(CONCATENATE(H457,F457,DK$2),Español!$A:$H,7,FALSE)=Y457,1,0)</f>
        <v>#N/A</v>
      </c>
      <c r="DL457" s="138" t="e">
        <f>IF(VLOOKUP(CONCATENATE(H457,F457,DL$2),Español!$A:$H,7,FALSE)=Z457,1,0)</f>
        <v>#N/A</v>
      </c>
      <c r="DM457" s="138" t="e">
        <f>IF(VLOOKUP(CONCATENATE(H457,F457,DM$2),Español!$A:$H,7,FALSE)=AA457,1,0)</f>
        <v>#N/A</v>
      </c>
      <c r="DN457" s="138" t="e">
        <f>IF(VLOOKUP(CONCATENATE(H457,F457,DN$2),Español!$A:$H,7,FALSE)=AB457,1,0)</f>
        <v>#N/A</v>
      </c>
      <c r="DO457" s="138" t="e">
        <f>IF(VLOOKUP(CONCATENATE(H457,F457,DO$2),Español!$A:$H,7,FALSE)=AC457,1,0)</f>
        <v>#N/A</v>
      </c>
      <c r="DP457" s="138" t="e">
        <f>IF(VLOOKUP(CONCATENATE(H457,F457,DP$2),Español!$A:$H,7,FALSE)=AD457,1,0)</f>
        <v>#N/A</v>
      </c>
      <c r="DQ457" s="138" t="e">
        <f>IF(VLOOKUP(CONCATENATE(H457,F457,DQ$2),Español!$A:$H,7,FALSE)=AE457,1,0)</f>
        <v>#N/A</v>
      </c>
      <c r="DR457" s="138" t="e">
        <f>IF(VLOOKUP(CONCATENATE(H457,F457,DR$2),Inglés!$A:$H,7,FALSE)=AF457,1,0)</f>
        <v>#N/A</v>
      </c>
      <c r="DS457" s="138" t="e">
        <f>IF(VLOOKUP(CONCATENATE(H457,F457,DS$2),Inglés!$A:$H,7,FALSE)=AG457,1,0)</f>
        <v>#N/A</v>
      </c>
      <c r="DT457" s="138" t="e">
        <f>IF(VLOOKUP(CONCATENATE(H457,F457,DT$2),Inglés!$A:$H,7,FALSE)=AH457,1,0)</f>
        <v>#N/A</v>
      </c>
      <c r="DU457" s="138" t="e">
        <f>IF(VLOOKUP(CONCATENATE(H457,F457,DU$2),Inglés!$A:$H,7,FALSE)=AI457,1,0)</f>
        <v>#N/A</v>
      </c>
      <c r="DV457" s="138" t="e">
        <f>IF(VLOOKUP(CONCATENATE(H457,F457,DV$2),Inglés!$A:$H,7,FALSE)=AJ457,1,0)</f>
        <v>#N/A</v>
      </c>
      <c r="DW457" s="138" t="e">
        <f>IF(VLOOKUP(CONCATENATE(H457,F457,DW$2),Inglés!$A:$H,7,FALSE)=AK457,1,0)</f>
        <v>#N/A</v>
      </c>
      <c r="DX457" s="138" t="e">
        <f>IF(VLOOKUP(CONCATENATE(H457,F457,DX$2),Inglés!$A:$H,7,FALSE)=AL457,1,0)</f>
        <v>#N/A</v>
      </c>
      <c r="DY457" s="138" t="e">
        <f>IF(VLOOKUP(CONCATENATE(H457,F457,DY$2),Inglés!$A:$H,7,FALSE)=AM457,1,0)</f>
        <v>#N/A</v>
      </c>
      <c r="DZ457" s="138" t="e">
        <f>IF(VLOOKUP(CONCATENATE(H457,F457,DZ$2),Inglés!$A:$H,7,FALSE)=AN457,1,0)</f>
        <v>#N/A</v>
      </c>
      <c r="EA457" s="138" t="e">
        <f>IF(VLOOKUP(CONCATENATE(H457,F457,EA$2),Inglés!$A:$H,7,FALSE)=AO457,1,0)</f>
        <v>#N/A</v>
      </c>
      <c r="EB457" s="138" t="e">
        <f>IF(VLOOKUP(CONCATENATE(H457,F457,EB$2),Matemáticas!$A:$H,7,FALSE)=AP457,1,0)</f>
        <v>#N/A</v>
      </c>
      <c r="EC457" s="138" t="e">
        <f>IF(VLOOKUP(CONCATENATE(H457,F457,EC$2),Matemáticas!$A:$H,7,FALSE)=AQ457,1,0)</f>
        <v>#N/A</v>
      </c>
      <c r="ED457" s="138" t="e">
        <f>IF(VLOOKUP(CONCATENATE(H457,F457,ED$2),Matemáticas!$A:$H,7,FALSE)=AR457,1,0)</f>
        <v>#N/A</v>
      </c>
      <c r="EE457" s="138" t="e">
        <f>IF(VLOOKUP(CONCATENATE(H457,F457,EE$2),Matemáticas!$A:$H,7,FALSE)=AS457,1,0)</f>
        <v>#N/A</v>
      </c>
      <c r="EF457" s="138" t="e">
        <f>IF(VLOOKUP(CONCATENATE(H457,F457,EF$2),Matemáticas!$A:$H,7,FALSE)=AT457,1,0)</f>
        <v>#N/A</v>
      </c>
      <c r="EG457" s="138" t="e">
        <f>IF(VLOOKUP(CONCATENATE(H457,F457,EG$2),Matemáticas!$A:$H,7,FALSE)=AU457,1,0)</f>
        <v>#N/A</v>
      </c>
      <c r="EH457" s="138" t="e">
        <f>IF(VLOOKUP(CONCATENATE(H457,F457,EH$2),Matemáticas!$A:$H,7,FALSE)=AV457,1,0)</f>
        <v>#N/A</v>
      </c>
      <c r="EI457" s="138" t="e">
        <f>IF(VLOOKUP(CONCATENATE(H457,F457,EI$2),Matemáticas!$A:$H,7,FALSE)=AW457,1,0)</f>
        <v>#N/A</v>
      </c>
      <c r="EJ457" s="138" t="e">
        <f>IF(VLOOKUP(CONCATENATE(H457,F457,EJ$2),Matemáticas!$A:$H,7,FALSE)=AX457,1,0)</f>
        <v>#N/A</v>
      </c>
      <c r="EK457" s="138" t="e">
        <f>IF(VLOOKUP(CONCATENATE(H457,F457,EK$2),Matemáticas!$A:$H,7,FALSE)=AY457,1,0)</f>
        <v>#N/A</v>
      </c>
      <c r="EL457" s="138" t="e">
        <f>IF(VLOOKUP(CONCATENATE(H457,F457,EL$2),Matemáticas!$A:$H,7,FALSE)=AZ457,1,0)</f>
        <v>#N/A</v>
      </c>
      <c r="EM457" s="138" t="e">
        <f>IF(VLOOKUP(CONCATENATE(H457,F457,EM$2),Matemáticas!$A:$H,7,FALSE)=BA457,1,0)</f>
        <v>#N/A</v>
      </c>
      <c r="EN457" s="138" t="e">
        <f>IF(VLOOKUP(CONCATENATE(H457,F457,EN$2),Matemáticas!$A:$H,7,FALSE)=BB457,1,0)</f>
        <v>#N/A</v>
      </c>
      <c r="EO457" s="138" t="e">
        <f>IF(VLOOKUP(CONCATENATE(H457,F457,EO$2),Matemáticas!$A:$H,7,FALSE)=BC457,1,0)</f>
        <v>#N/A</v>
      </c>
      <c r="EP457" s="138" t="e">
        <f>IF(VLOOKUP(CONCATENATE(H457,F457,EP$2),Matemáticas!$A:$H,7,FALSE)=BD457,1,0)</f>
        <v>#N/A</v>
      </c>
      <c r="EQ457" s="138" t="e">
        <f>IF(VLOOKUP(CONCATENATE(H457,F457,EQ$2),Matemáticas!$A:$H,7,FALSE)=BE457,1,0)</f>
        <v>#N/A</v>
      </c>
      <c r="ER457" s="138" t="e">
        <f>IF(VLOOKUP(CONCATENATE(H457,F457,ER$2),Matemáticas!$A:$H,7,FALSE)=BF457,1,0)</f>
        <v>#N/A</v>
      </c>
      <c r="ES457" s="138" t="e">
        <f>IF(VLOOKUP(CONCATENATE(H457,F457,ES$2),Matemáticas!$A:$H,7,FALSE)=BG457,1,0)</f>
        <v>#N/A</v>
      </c>
      <c r="ET457" s="138" t="e">
        <f>IF(VLOOKUP(CONCATENATE(H457,F457,ET$2),Matemáticas!$A:$H,7,FALSE)=BH457,1,0)</f>
        <v>#N/A</v>
      </c>
      <c r="EU457" s="138" t="e">
        <f>IF(VLOOKUP(CONCATENATE(H457,F457,EU$2),Matemáticas!$A:$H,7,FALSE)=BI457,1,0)</f>
        <v>#N/A</v>
      </c>
      <c r="EV457" s="138" t="e">
        <f>IF(VLOOKUP(CONCATENATE(H457,F457,EV$2),Ciencias!$A:$H,7,FALSE)=BJ457,1,0)</f>
        <v>#N/A</v>
      </c>
      <c r="EW457" s="138" t="e">
        <f>IF(VLOOKUP(CONCATENATE(H457,F457,EW$2),Ciencias!$A:$H,7,FALSE)=BK457,1,0)</f>
        <v>#N/A</v>
      </c>
      <c r="EX457" s="138" t="e">
        <f>IF(VLOOKUP(CONCATENATE(H457,F457,EX$2),Ciencias!$A:$H,7,FALSE)=BL457,1,0)</f>
        <v>#N/A</v>
      </c>
      <c r="EY457" s="138" t="e">
        <f>IF(VLOOKUP(CONCATENATE(H457,F457,EY$2),Ciencias!$A:$H,7,FALSE)=BM457,1,0)</f>
        <v>#N/A</v>
      </c>
      <c r="EZ457" s="138" t="e">
        <f>IF(VLOOKUP(CONCATENATE(H457,F457,EZ$2),Ciencias!$A:$H,7,FALSE)=BN457,1,0)</f>
        <v>#N/A</v>
      </c>
      <c r="FA457" s="138" t="e">
        <f>IF(VLOOKUP(CONCATENATE(H457,F457,FA$2),Ciencias!$A:$H,7,FALSE)=BO457,1,0)</f>
        <v>#N/A</v>
      </c>
      <c r="FB457" s="138" t="e">
        <f>IF(VLOOKUP(CONCATENATE(H457,F457,FB$2),Ciencias!$A:$H,7,FALSE)=BP457,1,0)</f>
        <v>#N/A</v>
      </c>
      <c r="FC457" s="138" t="e">
        <f>IF(VLOOKUP(CONCATENATE(H457,F457,FC$2),Ciencias!$A:$H,7,FALSE)=BQ457,1,0)</f>
        <v>#N/A</v>
      </c>
      <c r="FD457" s="138" t="e">
        <f>IF(VLOOKUP(CONCATENATE(H457,F457,FD$2),Ciencias!$A:$H,7,FALSE)=BR457,1,0)</f>
        <v>#N/A</v>
      </c>
      <c r="FE457" s="138" t="e">
        <f>IF(VLOOKUP(CONCATENATE(H457,F457,FE$2),Ciencias!$A:$H,7,FALSE)=BS457,1,0)</f>
        <v>#N/A</v>
      </c>
      <c r="FF457" s="138" t="e">
        <f>IF(VLOOKUP(CONCATENATE(H457,F457,FF$2),Ciencias!$A:$H,7,FALSE)=BT457,1,0)</f>
        <v>#N/A</v>
      </c>
      <c r="FG457" s="138" t="e">
        <f>IF(VLOOKUP(CONCATENATE(H457,F457,FG$2),Ciencias!$A:$H,7,FALSE)=BU457,1,0)</f>
        <v>#N/A</v>
      </c>
      <c r="FH457" s="138" t="e">
        <f>IF(VLOOKUP(CONCATENATE(H457,F457,FH$2),Ciencias!$A:$H,7,FALSE)=BV457,1,0)</f>
        <v>#N/A</v>
      </c>
      <c r="FI457" s="138" t="e">
        <f>IF(VLOOKUP(CONCATENATE(H457,F457,FI$2),Ciencias!$A:$H,7,FALSE)=BW457,1,0)</f>
        <v>#N/A</v>
      </c>
      <c r="FJ457" s="138" t="e">
        <f>IF(VLOOKUP(CONCATENATE(H457,F457,FJ$2),Ciencias!$A:$H,7,FALSE)=BX457,1,0)</f>
        <v>#N/A</v>
      </c>
      <c r="FK457" s="138" t="e">
        <f>IF(VLOOKUP(CONCATENATE(H457,F457,FK$2),Ciencias!$A:$H,7,FALSE)=BY457,1,0)</f>
        <v>#N/A</v>
      </c>
      <c r="FL457" s="138" t="e">
        <f>IF(VLOOKUP(CONCATENATE(H457,F457,FL$2),Ciencias!$A:$H,7,FALSE)=BZ457,1,0)</f>
        <v>#N/A</v>
      </c>
      <c r="FM457" s="138" t="e">
        <f>IF(VLOOKUP(CONCATENATE(H457,F457,FM$2),Ciencias!$A:$H,7,FALSE)=CA457,1,0)</f>
        <v>#N/A</v>
      </c>
      <c r="FN457" s="138" t="e">
        <f>IF(VLOOKUP(CONCATENATE(H457,F457,FN$2),Ciencias!$A:$H,7,FALSE)=CB457,1,0)</f>
        <v>#N/A</v>
      </c>
      <c r="FO457" s="138" t="e">
        <f>IF(VLOOKUP(CONCATENATE(H457,F457,FO$2),Ciencias!$A:$H,7,FALSE)=CC457,1,0)</f>
        <v>#N/A</v>
      </c>
      <c r="FP457" s="138" t="e">
        <f>IF(VLOOKUP(CONCATENATE(H457,F457,FP$2),GeoHis!$A:$H,7,FALSE)=CD457,1,0)</f>
        <v>#N/A</v>
      </c>
      <c r="FQ457" s="138" t="e">
        <f>IF(VLOOKUP(CONCATENATE(H457,F457,FQ$2),GeoHis!$A:$H,7,FALSE)=CE457,1,0)</f>
        <v>#N/A</v>
      </c>
      <c r="FR457" s="138" t="e">
        <f>IF(VLOOKUP(CONCATENATE(H457,F457,FR$2),GeoHis!$A:$H,7,FALSE)=CF457,1,0)</f>
        <v>#N/A</v>
      </c>
      <c r="FS457" s="138" t="e">
        <f>IF(VLOOKUP(CONCATENATE(H457,F457,FS$2),GeoHis!$A:$H,7,FALSE)=CG457,1,0)</f>
        <v>#N/A</v>
      </c>
      <c r="FT457" s="138" t="e">
        <f>IF(VLOOKUP(CONCATENATE(H457,F457,FT$2),GeoHis!$A:$H,7,FALSE)=CH457,1,0)</f>
        <v>#N/A</v>
      </c>
      <c r="FU457" s="138" t="e">
        <f>IF(VLOOKUP(CONCATENATE(H457,F457,FU$2),GeoHis!$A:$H,7,FALSE)=CI457,1,0)</f>
        <v>#N/A</v>
      </c>
      <c r="FV457" s="138" t="e">
        <f>IF(VLOOKUP(CONCATENATE(H457,F457,FV$2),GeoHis!$A:$H,7,FALSE)=CJ457,1,0)</f>
        <v>#N/A</v>
      </c>
      <c r="FW457" s="138" t="e">
        <f>IF(VLOOKUP(CONCATENATE(H457,F457,FW$2),GeoHis!$A:$H,7,FALSE)=CK457,1,0)</f>
        <v>#N/A</v>
      </c>
      <c r="FX457" s="138" t="e">
        <f>IF(VLOOKUP(CONCATENATE(H457,F457,FX$2),GeoHis!$A:$H,7,FALSE)=CL457,1,0)</f>
        <v>#N/A</v>
      </c>
      <c r="FY457" s="138" t="e">
        <f>IF(VLOOKUP(CONCATENATE(H457,F457,FY$2),GeoHis!$A:$H,7,FALSE)=CM457,1,0)</f>
        <v>#N/A</v>
      </c>
      <c r="FZ457" s="138" t="e">
        <f>IF(VLOOKUP(CONCATENATE(H457,F457,FZ$2),GeoHis!$A:$H,7,FALSE)=CN457,1,0)</f>
        <v>#N/A</v>
      </c>
      <c r="GA457" s="138" t="e">
        <f>IF(VLOOKUP(CONCATENATE(H457,F457,GA$2),GeoHis!$A:$H,7,FALSE)=CO457,1,0)</f>
        <v>#N/A</v>
      </c>
      <c r="GB457" s="138" t="e">
        <f>IF(VLOOKUP(CONCATENATE(H457,F457,GB$2),GeoHis!$A:$H,7,FALSE)=CP457,1,0)</f>
        <v>#N/A</v>
      </c>
      <c r="GC457" s="138" t="e">
        <f>IF(VLOOKUP(CONCATENATE(H457,F457,GC$2),GeoHis!$A:$H,7,FALSE)=CQ457,1,0)</f>
        <v>#N/A</v>
      </c>
      <c r="GD457" s="138" t="e">
        <f>IF(VLOOKUP(CONCATENATE(H457,F457,GD$2),GeoHis!$A:$H,7,FALSE)=CR457,1,0)</f>
        <v>#N/A</v>
      </c>
      <c r="GE457" s="135" t="str">
        <f t="shared" si="63"/>
        <v/>
      </c>
    </row>
    <row r="458" spans="1:187" x14ac:dyDescent="0.25">
      <c r="A458" s="127" t="str">
        <f>IF(C458="","",'Datos Generales'!$A$25)</f>
        <v/>
      </c>
      <c r="D458" s="126" t="str">
        <f t="shared" si="56"/>
        <v/>
      </c>
      <c r="E458" s="126">
        <f t="shared" si="57"/>
        <v>0</v>
      </c>
      <c r="F458" s="126" t="str">
        <f t="shared" si="58"/>
        <v/>
      </c>
      <c r="G458" s="126" t="str">
        <f>IF(C458="","",'Datos Generales'!$D$19)</f>
        <v/>
      </c>
      <c r="H458" s="21" t="str">
        <f>IF(C458="","",'Datos Generales'!$A$19)</f>
        <v/>
      </c>
      <c r="I458" s="126" t="str">
        <f>IF(C458="","",'Datos Generales'!$A$7)</f>
        <v/>
      </c>
      <c r="J458" s="21" t="str">
        <f>IF(C458="","",'Datos Generales'!$A$13)</f>
        <v/>
      </c>
      <c r="K458" s="21" t="str">
        <f>IF(C458="","",'Datos Generales'!$A$10)</f>
        <v/>
      </c>
      <c r="CS458" s="142" t="str">
        <f t="shared" si="59"/>
        <v/>
      </c>
      <c r="CT458" s="142" t="str">
        <f t="shared" si="60"/>
        <v/>
      </c>
      <c r="CU458" s="142" t="str">
        <f t="shared" si="61"/>
        <v/>
      </c>
      <c r="CV458" s="142" t="str">
        <f t="shared" si="62"/>
        <v/>
      </c>
      <c r="CW458" s="142" t="str">
        <f>IF(C458="","",IF('Datos Generales'!$A$19=1,AVERAGE(FP458:GD458),AVERAGE(Captura!FP458:FY458)))</f>
        <v/>
      </c>
      <c r="CX458" s="138" t="e">
        <f>IF(VLOOKUP(CONCATENATE($H$4,$F$4,CX$2),Español!$A:$H,7,FALSE)=L458,1,0)</f>
        <v>#N/A</v>
      </c>
      <c r="CY458" s="138" t="e">
        <f>IF(VLOOKUP(CONCATENATE(H458,F458,CY$2),Español!$A:$H,7,FALSE)=M458,1,0)</f>
        <v>#N/A</v>
      </c>
      <c r="CZ458" s="138" t="e">
        <f>IF(VLOOKUP(CONCATENATE(H458,F458,CZ$2),Español!$A:$H,7,FALSE)=N458,1,0)</f>
        <v>#N/A</v>
      </c>
      <c r="DA458" s="138" t="e">
        <f>IF(VLOOKUP(CONCATENATE(H458,F458,DA$2),Español!$A:$H,7,FALSE)=O458,1,0)</f>
        <v>#N/A</v>
      </c>
      <c r="DB458" s="138" t="e">
        <f>IF(VLOOKUP(CONCATENATE(H458,F458,DB$2),Español!$A:$H,7,FALSE)=P458,1,0)</f>
        <v>#N/A</v>
      </c>
      <c r="DC458" s="138" t="e">
        <f>IF(VLOOKUP(CONCATENATE(H458,F458,DC$2),Español!$A:$H,7,FALSE)=Q458,1,0)</f>
        <v>#N/A</v>
      </c>
      <c r="DD458" s="138" t="e">
        <f>IF(VLOOKUP(CONCATENATE(H458,F458,DD$2),Español!$A:$H,7,FALSE)=R458,1,0)</f>
        <v>#N/A</v>
      </c>
      <c r="DE458" s="138" t="e">
        <f>IF(VLOOKUP(CONCATENATE(H458,F458,DE$2),Español!$A:$H,7,FALSE)=S458,1,0)</f>
        <v>#N/A</v>
      </c>
      <c r="DF458" s="138" t="e">
        <f>IF(VLOOKUP(CONCATENATE(H458,F458,DF$2),Español!$A:$H,7,FALSE)=T458,1,0)</f>
        <v>#N/A</v>
      </c>
      <c r="DG458" s="138" t="e">
        <f>IF(VLOOKUP(CONCATENATE(H458,F458,DG$2),Español!$A:$H,7,FALSE)=U458,1,0)</f>
        <v>#N/A</v>
      </c>
      <c r="DH458" s="138" t="e">
        <f>IF(VLOOKUP(CONCATENATE(H458,F458,DH$2),Español!$A:$H,7,FALSE)=V458,1,0)</f>
        <v>#N/A</v>
      </c>
      <c r="DI458" s="138" t="e">
        <f>IF(VLOOKUP(CONCATENATE(H458,F458,DI$2),Español!$A:$H,7,FALSE)=W458,1,0)</f>
        <v>#N/A</v>
      </c>
      <c r="DJ458" s="138" t="e">
        <f>IF(VLOOKUP(CONCATENATE(H458,F458,DJ$2),Español!$A:$H,7,FALSE)=X458,1,0)</f>
        <v>#N/A</v>
      </c>
      <c r="DK458" s="138" t="e">
        <f>IF(VLOOKUP(CONCATENATE(H458,F458,DK$2),Español!$A:$H,7,FALSE)=Y458,1,0)</f>
        <v>#N/A</v>
      </c>
      <c r="DL458" s="138" t="e">
        <f>IF(VLOOKUP(CONCATENATE(H458,F458,DL$2),Español!$A:$H,7,FALSE)=Z458,1,0)</f>
        <v>#N/A</v>
      </c>
      <c r="DM458" s="138" t="e">
        <f>IF(VLOOKUP(CONCATENATE(H458,F458,DM$2),Español!$A:$H,7,FALSE)=AA458,1,0)</f>
        <v>#N/A</v>
      </c>
      <c r="DN458" s="138" t="e">
        <f>IF(VLOOKUP(CONCATENATE(H458,F458,DN$2),Español!$A:$H,7,FALSE)=AB458,1,0)</f>
        <v>#N/A</v>
      </c>
      <c r="DO458" s="138" t="e">
        <f>IF(VLOOKUP(CONCATENATE(H458,F458,DO$2),Español!$A:$H,7,FALSE)=AC458,1,0)</f>
        <v>#N/A</v>
      </c>
      <c r="DP458" s="138" t="e">
        <f>IF(VLOOKUP(CONCATENATE(H458,F458,DP$2),Español!$A:$H,7,FALSE)=AD458,1,0)</f>
        <v>#N/A</v>
      </c>
      <c r="DQ458" s="138" t="e">
        <f>IF(VLOOKUP(CONCATENATE(H458,F458,DQ$2),Español!$A:$H,7,FALSE)=AE458,1,0)</f>
        <v>#N/A</v>
      </c>
      <c r="DR458" s="138" t="e">
        <f>IF(VLOOKUP(CONCATENATE(H458,F458,DR$2),Inglés!$A:$H,7,FALSE)=AF458,1,0)</f>
        <v>#N/A</v>
      </c>
      <c r="DS458" s="138" t="e">
        <f>IF(VLOOKUP(CONCATENATE(H458,F458,DS$2),Inglés!$A:$H,7,FALSE)=AG458,1,0)</f>
        <v>#N/A</v>
      </c>
      <c r="DT458" s="138" t="e">
        <f>IF(VLOOKUP(CONCATENATE(H458,F458,DT$2),Inglés!$A:$H,7,FALSE)=AH458,1,0)</f>
        <v>#N/A</v>
      </c>
      <c r="DU458" s="138" t="e">
        <f>IF(VLOOKUP(CONCATENATE(H458,F458,DU$2),Inglés!$A:$H,7,FALSE)=AI458,1,0)</f>
        <v>#N/A</v>
      </c>
      <c r="DV458" s="138" t="e">
        <f>IF(VLOOKUP(CONCATENATE(H458,F458,DV$2),Inglés!$A:$H,7,FALSE)=AJ458,1,0)</f>
        <v>#N/A</v>
      </c>
      <c r="DW458" s="138" t="e">
        <f>IF(VLOOKUP(CONCATENATE(H458,F458,DW$2),Inglés!$A:$H,7,FALSE)=AK458,1,0)</f>
        <v>#N/A</v>
      </c>
      <c r="DX458" s="138" t="e">
        <f>IF(VLOOKUP(CONCATENATE(H458,F458,DX$2),Inglés!$A:$H,7,FALSE)=AL458,1,0)</f>
        <v>#N/A</v>
      </c>
      <c r="DY458" s="138" t="e">
        <f>IF(VLOOKUP(CONCATENATE(H458,F458,DY$2),Inglés!$A:$H,7,FALSE)=AM458,1,0)</f>
        <v>#N/A</v>
      </c>
      <c r="DZ458" s="138" t="e">
        <f>IF(VLOOKUP(CONCATENATE(H458,F458,DZ$2),Inglés!$A:$H,7,FALSE)=AN458,1,0)</f>
        <v>#N/A</v>
      </c>
      <c r="EA458" s="138" t="e">
        <f>IF(VLOOKUP(CONCATENATE(H458,F458,EA$2),Inglés!$A:$H,7,FALSE)=AO458,1,0)</f>
        <v>#N/A</v>
      </c>
      <c r="EB458" s="138" t="e">
        <f>IF(VLOOKUP(CONCATENATE(H458,F458,EB$2),Matemáticas!$A:$H,7,FALSE)=AP458,1,0)</f>
        <v>#N/A</v>
      </c>
      <c r="EC458" s="138" t="e">
        <f>IF(VLOOKUP(CONCATENATE(H458,F458,EC$2),Matemáticas!$A:$H,7,FALSE)=AQ458,1,0)</f>
        <v>#N/A</v>
      </c>
      <c r="ED458" s="138" t="e">
        <f>IF(VLOOKUP(CONCATENATE(H458,F458,ED$2),Matemáticas!$A:$H,7,FALSE)=AR458,1,0)</f>
        <v>#N/A</v>
      </c>
      <c r="EE458" s="138" t="e">
        <f>IF(VLOOKUP(CONCATENATE(H458,F458,EE$2),Matemáticas!$A:$H,7,FALSE)=AS458,1,0)</f>
        <v>#N/A</v>
      </c>
      <c r="EF458" s="138" t="e">
        <f>IF(VLOOKUP(CONCATENATE(H458,F458,EF$2),Matemáticas!$A:$H,7,FALSE)=AT458,1,0)</f>
        <v>#N/A</v>
      </c>
      <c r="EG458" s="138" t="e">
        <f>IF(VLOOKUP(CONCATENATE(H458,F458,EG$2),Matemáticas!$A:$H,7,FALSE)=AU458,1,0)</f>
        <v>#N/A</v>
      </c>
      <c r="EH458" s="138" t="e">
        <f>IF(VLOOKUP(CONCATENATE(H458,F458,EH$2),Matemáticas!$A:$H,7,FALSE)=AV458,1,0)</f>
        <v>#N/A</v>
      </c>
      <c r="EI458" s="138" t="e">
        <f>IF(VLOOKUP(CONCATENATE(H458,F458,EI$2),Matemáticas!$A:$H,7,FALSE)=AW458,1,0)</f>
        <v>#N/A</v>
      </c>
      <c r="EJ458" s="138" t="e">
        <f>IF(VLOOKUP(CONCATENATE(H458,F458,EJ$2),Matemáticas!$A:$H,7,FALSE)=AX458,1,0)</f>
        <v>#N/A</v>
      </c>
      <c r="EK458" s="138" t="e">
        <f>IF(VLOOKUP(CONCATENATE(H458,F458,EK$2),Matemáticas!$A:$H,7,FALSE)=AY458,1,0)</f>
        <v>#N/A</v>
      </c>
      <c r="EL458" s="138" t="e">
        <f>IF(VLOOKUP(CONCATENATE(H458,F458,EL$2),Matemáticas!$A:$H,7,FALSE)=AZ458,1,0)</f>
        <v>#N/A</v>
      </c>
      <c r="EM458" s="138" t="e">
        <f>IF(VLOOKUP(CONCATENATE(H458,F458,EM$2),Matemáticas!$A:$H,7,FALSE)=BA458,1,0)</f>
        <v>#N/A</v>
      </c>
      <c r="EN458" s="138" t="e">
        <f>IF(VLOOKUP(CONCATENATE(H458,F458,EN$2),Matemáticas!$A:$H,7,FALSE)=BB458,1,0)</f>
        <v>#N/A</v>
      </c>
      <c r="EO458" s="138" t="e">
        <f>IF(VLOOKUP(CONCATENATE(H458,F458,EO$2),Matemáticas!$A:$H,7,FALSE)=BC458,1,0)</f>
        <v>#N/A</v>
      </c>
      <c r="EP458" s="138" t="e">
        <f>IF(VLOOKUP(CONCATENATE(H458,F458,EP$2),Matemáticas!$A:$H,7,FALSE)=BD458,1,0)</f>
        <v>#N/A</v>
      </c>
      <c r="EQ458" s="138" t="e">
        <f>IF(VLOOKUP(CONCATENATE(H458,F458,EQ$2),Matemáticas!$A:$H,7,FALSE)=BE458,1,0)</f>
        <v>#N/A</v>
      </c>
      <c r="ER458" s="138" t="e">
        <f>IF(VLOOKUP(CONCATENATE(H458,F458,ER$2),Matemáticas!$A:$H,7,FALSE)=BF458,1,0)</f>
        <v>#N/A</v>
      </c>
      <c r="ES458" s="138" t="e">
        <f>IF(VLOOKUP(CONCATENATE(H458,F458,ES$2),Matemáticas!$A:$H,7,FALSE)=BG458,1,0)</f>
        <v>#N/A</v>
      </c>
      <c r="ET458" s="138" t="e">
        <f>IF(VLOOKUP(CONCATENATE(H458,F458,ET$2),Matemáticas!$A:$H,7,FALSE)=BH458,1,0)</f>
        <v>#N/A</v>
      </c>
      <c r="EU458" s="138" t="e">
        <f>IF(VLOOKUP(CONCATENATE(H458,F458,EU$2),Matemáticas!$A:$H,7,FALSE)=BI458,1,0)</f>
        <v>#N/A</v>
      </c>
      <c r="EV458" s="138" t="e">
        <f>IF(VLOOKUP(CONCATENATE(H458,F458,EV$2),Ciencias!$A:$H,7,FALSE)=BJ458,1,0)</f>
        <v>#N/A</v>
      </c>
      <c r="EW458" s="138" t="e">
        <f>IF(VLOOKUP(CONCATENATE(H458,F458,EW$2),Ciencias!$A:$H,7,FALSE)=BK458,1,0)</f>
        <v>#N/A</v>
      </c>
      <c r="EX458" s="138" t="e">
        <f>IF(VLOOKUP(CONCATENATE(H458,F458,EX$2),Ciencias!$A:$H,7,FALSE)=BL458,1,0)</f>
        <v>#N/A</v>
      </c>
      <c r="EY458" s="138" t="e">
        <f>IF(VLOOKUP(CONCATENATE(H458,F458,EY$2),Ciencias!$A:$H,7,FALSE)=BM458,1,0)</f>
        <v>#N/A</v>
      </c>
      <c r="EZ458" s="138" t="e">
        <f>IF(VLOOKUP(CONCATENATE(H458,F458,EZ$2),Ciencias!$A:$H,7,FALSE)=BN458,1,0)</f>
        <v>#N/A</v>
      </c>
      <c r="FA458" s="138" t="e">
        <f>IF(VLOOKUP(CONCATENATE(H458,F458,FA$2),Ciencias!$A:$H,7,FALSE)=BO458,1,0)</f>
        <v>#N/A</v>
      </c>
      <c r="FB458" s="138" t="e">
        <f>IF(VLOOKUP(CONCATENATE(H458,F458,FB$2),Ciencias!$A:$H,7,FALSE)=BP458,1,0)</f>
        <v>#N/A</v>
      </c>
      <c r="FC458" s="138" t="e">
        <f>IF(VLOOKUP(CONCATENATE(H458,F458,FC$2),Ciencias!$A:$H,7,FALSE)=BQ458,1,0)</f>
        <v>#N/A</v>
      </c>
      <c r="FD458" s="138" t="e">
        <f>IF(VLOOKUP(CONCATENATE(H458,F458,FD$2),Ciencias!$A:$H,7,FALSE)=BR458,1,0)</f>
        <v>#N/A</v>
      </c>
      <c r="FE458" s="138" t="e">
        <f>IF(VLOOKUP(CONCATENATE(H458,F458,FE$2),Ciencias!$A:$H,7,FALSE)=BS458,1,0)</f>
        <v>#N/A</v>
      </c>
      <c r="FF458" s="138" t="e">
        <f>IF(VLOOKUP(CONCATENATE(H458,F458,FF$2),Ciencias!$A:$H,7,FALSE)=BT458,1,0)</f>
        <v>#N/A</v>
      </c>
      <c r="FG458" s="138" t="e">
        <f>IF(VLOOKUP(CONCATENATE(H458,F458,FG$2),Ciencias!$A:$H,7,FALSE)=BU458,1,0)</f>
        <v>#N/A</v>
      </c>
      <c r="FH458" s="138" t="e">
        <f>IF(VLOOKUP(CONCATENATE(H458,F458,FH$2),Ciencias!$A:$H,7,FALSE)=BV458,1,0)</f>
        <v>#N/A</v>
      </c>
      <c r="FI458" s="138" t="e">
        <f>IF(VLOOKUP(CONCATENATE(H458,F458,FI$2),Ciencias!$A:$H,7,FALSE)=BW458,1,0)</f>
        <v>#N/A</v>
      </c>
      <c r="FJ458" s="138" t="e">
        <f>IF(VLOOKUP(CONCATENATE(H458,F458,FJ$2),Ciencias!$A:$H,7,FALSE)=BX458,1,0)</f>
        <v>#N/A</v>
      </c>
      <c r="FK458" s="138" t="e">
        <f>IF(VLOOKUP(CONCATENATE(H458,F458,FK$2),Ciencias!$A:$H,7,FALSE)=BY458,1,0)</f>
        <v>#N/A</v>
      </c>
      <c r="FL458" s="138" t="e">
        <f>IF(VLOOKUP(CONCATENATE(H458,F458,FL$2),Ciencias!$A:$H,7,FALSE)=BZ458,1,0)</f>
        <v>#N/A</v>
      </c>
      <c r="FM458" s="138" t="e">
        <f>IF(VLOOKUP(CONCATENATE(H458,F458,FM$2),Ciencias!$A:$H,7,FALSE)=CA458,1,0)</f>
        <v>#N/A</v>
      </c>
      <c r="FN458" s="138" t="e">
        <f>IF(VLOOKUP(CONCATENATE(H458,F458,FN$2),Ciencias!$A:$H,7,FALSE)=CB458,1,0)</f>
        <v>#N/A</v>
      </c>
      <c r="FO458" s="138" t="e">
        <f>IF(VLOOKUP(CONCATENATE(H458,F458,FO$2),Ciencias!$A:$H,7,FALSE)=CC458,1,0)</f>
        <v>#N/A</v>
      </c>
      <c r="FP458" s="138" t="e">
        <f>IF(VLOOKUP(CONCATENATE(H458,F458,FP$2),GeoHis!$A:$H,7,FALSE)=CD458,1,0)</f>
        <v>#N/A</v>
      </c>
      <c r="FQ458" s="138" t="e">
        <f>IF(VLOOKUP(CONCATENATE(H458,F458,FQ$2),GeoHis!$A:$H,7,FALSE)=CE458,1,0)</f>
        <v>#N/A</v>
      </c>
      <c r="FR458" s="138" t="e">
        <f>IF(VLOOKUP(CONCATENATE(H458,F458,FR$2),GeoHis!$A:$H,7,FALSE)=CF458,1,0)</f>
        <v>#N/A</v>
      </c>
      <c r="FS458" s="138" t="e">
        <f>IF(VLOOKUP(CONCATENATE(H458,F458,FS$2),GeoHis!$A:$H,7,FALSE)=CG458,1,0)</f>
        <v>#N/A</v>
      </c>
      <c r="FT458" s="138" t="e">
        <f>IF(VLOOKUP(CONCATENATE(H458,F458,FT$2),GeoHis!$A:$H,7,FALSE)=CH458,1,0)</f>
        <v>#N/A</v>
      </c>
      <c r="FU458" s="138" t="e">
        <f>IF(VLOOKUP(CONCATENATE(H458,F458,FU$2),GeoHis!$A:$H,7,FALSE)=CI458,1,0)</f>
        <v>#N/A</v>
      </c>
      <c r="FV458" s="138" t="e">
        <f>IF(VLOOKUP(CONCATENATE(H458,F458,FV$2),GeoHis!$A:$H,7,FALSE)=CJ458,1,0)</f>
        <v>#N/A</v>
      </c>
      <c r="FW458" s="138" t="e">
        <f>IF(VLOOKUP(CONCATENATE(H458,F458,FW$2),GeoHis!$A:$H,7,FALSE)=CK458,1,0)</f>
        <v>#N/A</v>
      </c>
      <c r="FX458" s="138" t="e">
        <f>IF(VLOOKUP(CONCATENATE(H458,F458,FX$2),GeoHis!$A:$H,7,FALSE)=CL458,1,0)</f>
        <v>#N/A</v>
      </c>
      <c r="FY458" s="138" t="e">
        <f>IF(VLOOKUP(CONCATENATE(H458,F458,FY$2),GeoHis!$A:$H,7,FALSE)=CM458,1,0)</f>
        <v>#N/A</v>
      </c>
      <c r="FZ458" s="138" t="e">
        <f>IF(VLOOKUP(CONCATENATE(H458,F458,FZ$2),GeoHis!$A:$H,7,FALSE)=CN458,1,0)</f>
        <v>#N/A</v>
      </c>
      <c r="GA458" s="138" t="e">
        <f>IF(VLOOKUP(CONCATENATE(H458,F458,GA$2),GeoHis!$A:$H,7,FALSE)=CO458,1,0)</f>
        <v>#N/A</v>
      </c>
      <c r="GB458" s="138" t="e">
        <f>IF(VLOOKUP(CONCATENATE(H458,F458,GB$2),GeoHis!$A:$H,7,FALSE)=CP458,1,0)</f>
        <v>#N/A</v>
      </c>
      <c r="GC458" s="138" t="e">
        <f>IF(VLOOKUP(CONCATENATE(H458,F458,GC$2),GeoHis!$A:$H,7,FALSE)=CQ458,1,0)</f>
        <v>#N/A</v>
      </c>
      <c r="GD458" s="138" t="e">
        <f>IF(VLOOKUP(CONCATENATE(H458,F458,GD$2),GeoHis!$A:$H,7,FALSE)=CR458,1,0)</f>
        <v>#N/A</v>
      </c>
      <c r="GE458" s="135" t="str">
        <f t="shared" si="63"/>
        <v/>
      </c>
    </row>
    <row r="459" spans="1:187" x14ac:dyDescent="0.25">
      <c r="A459" s="127" t="str">
        <f>IF(C459="","",'Datos Generales'!$A$25)</f>
        <v/>
      </c>
      <c r="D459" s="126" t="str">
        <f t="shared" si="56"/>
        <v/>
      </c>
      <c r="E459" s="126">
        <f t="shared" si="57"/>
        <v>0</v>
      </c>
      <c r="F459" s="126" t="str">
        <f t="shared" si="58"/>
        <v/>
      </c>
      <c r="G459" s="126" t="str">
        <f>IF(C459="","",'Datos Generales'!$D$19)</f>
        <v/>
      </c>
      <c r="H459" s="21" t="str">
        <f>IF(C459="","",'Datos Generales'!$A$19)</f>
        <v/>
      </c>
      <c r="I459" s="126" t="str">
        <f>IF(C459="","",'Datos Generales'!$A$7)</f>
        <v/>
      </c>
      <c r="J459" s="21" t="str">
        <f>IF(C459="","",'Datos Generales'!$A$13)</f>
        <v/>
      </c>
      <c r="K459" s="21" t="str">
        <f>IF(C459="","",'Datos Generales'!$A$10)</f>
        <v/>
      </c>
      <c r="CS459" s="142" t="str">
        <f t="shared" si="59"/>
        <v/>
      </c>
      <c r="CT459" s="142" t="str">
        <f t="shared" si="60"/>
        <v/>
      </c>
      <c r="CU459" s="142" t="str">
        <f t="shared" si="61"/>
        <v/>
      </c>
      <c r="CV459" s="142" t="str">
        <f t="shared" si="62"/>
        <v/>
      </c>
      <c r="CW459" s="142" t="str">
        <f>IF(C459="","",IF('Datos Generales'!$A$19=1,AVERAGE(FP459:GD459),AVERAGE(Captura!FP459:FY459)))</f>
        <v/>
      </c>
      <c r="CX459" s="138" t="e">
        <f>IF(VLOOKUP(CONCATENATE($H$4,$F$4,CX$2),Español!$A:$H,7,FALSE)=L459,1,0)</f>
        <v>#N/A</v>
      </c>
      <c r="CY459" s="138" t="e">
        <f>IF(VLOOKUP(CONCATENATE(H459,F459,CY$2),Español!$A:$H,7,FALSE)=M459,1,0)</f>
        <v>#N/A</v>
      </c>
      <c r="CZ459" s="138" t="e">
        <f>IF(VLOOKUP(CONCATENATE(H459,F459,CZ$2),Español!$A:$H,7,FALSE)=N459,1,0)</f>
        <v>#N/A</v>
      </c>
      <c r="DA459" s="138" t="e">
        <f>IF(VLOOKUP(CONCATENATE(H459,F459,DA$2),Español!$A:$H,7,FALSE)=O459,1,0)</f>
        <v>#N/A</v>
      </c>
      <c r="DB459" s="138" t="e">
        <f>IF(VLOOKUP(CONCATENATE(H459,F459,DB$2),Español!$A:$H,7,FALSE)=P459,1,0)</f>
        <v>#N/A</v>
      </c>
      <c r="DC459" s="138" t="e">
        <f>IF(VLOOKUP(CONCATENATE(H459,F459,DC$2),Español!$A:$H,7,FALSE)=Q459,1,0)</f>
        <v>#N/A</v>
      </c>
      <c r="DD459" s="138" t="e">
        <f>IF(VLOOKUP(CONCATENATE(H459,F459,DD$2),Español!$A:$H,7,FALSE)=R459,1,0)</f>
        <v>#N/A</v>
      </c>
      <c r="DE459" s="138" t="e">
        <f>IF(VLOOKUP(CONCATENATE(H459,F459,DE$2),Español!$A:$H,7,FALSE)=S459,1,0)</f>
        <v>#N/A</v>
      </c>
      <c r="DF459" s="138" t="e">
        <f>IF(VLOOKUP(CONCATENATE(H459,F459,DF$2),Español!$A:$H,7,FALSE)=T459,1,0)</f>
        <v>#N/A</v>
      </c>
      <c r="DG459" s="138" t="e">
        <f>IF(VLOOKUP(CONCATENATE(H459,F459,DG$2),Español!$A:$H,7,FALSE)=U459,1,0)</f>
        <v>#N/A</v>
      </c>
      <c r="DH459" s="138" t="e">
        <f>IF(VLOOKUP(CONCATENATE(H459,F459,DH$2),Español!$A:$H,7,FALSE)=V459,1,0)</f>
        <v>#N/A</v>
      </c>
      <c r="DI459" s="138" t="e">
        <f>IF(VLOOKUP(CONCATENATE(H459,F459,DI$2),Español!$A:$H,7,FALSE)=W459,1,0)</f>
        <v>#N/A</v>
      </c>
      <c r="DJ459" s="138" t="e">
        <f>IF(VLOOKUP(CONCATENATE(H459,F459,DJ$2),Español!$A:$H,7,FALSE)=X459,1,0)</f>
        <v>#N/A</v>
      </c>
      <c r="DK459" s="138" t="e">
        <f>IF(VLOOKUP(CONCATENATE(H459,F459,DK$2),Español!$A:$H,7,FALSE)=Y459,1,0)</f>
        <v>#N/A</v>
      </c>
      <c r="DL459" s="138" t="e">
        <f>IF(VLOOKUP(CONCATENATE(H459,F459,DL$2),Español!$A:$H,7,FALSE)=Z459,1,0)</f>
        <v>#N/A</v>
      </c>
      <c r="DM459" s="138" t="e">
        <f>IF(VLOOKUP(CONCATENATE(H459,F459,DM$2),Español!$A:$H,7,FALSE)=AA459,1,0)</f>
        <v>#N/A</v>
      </c>
      <c r="DN459" s="138" t="e">
        <f>IF(VLOOKUP(CONCATENATE(H459,F459,DN$2),Español!$A:$H,7,FALSE)=AB459,1,0)</f>
        <v>#N/A</v>
      </c>
      <c r="DO459" s="138" t="e">
        <f>IF(VLOOKUP(CONCATENATE(H459,F459,DO$2),Español!$A:$H,7,FALSE)=AC459,1,0)</f>
        <v>#N/A</v>
      </c>
      <c r="DP459" s="138" t="e">
        <f>IF(VLOOKUP(CONCATENATE(H459,F459,DP$2),Español!$A:$H,7,FALSE)=AD459,1,0)</f>
        <v>#N/A</v>
      </c>
      <c r="DQ459" s="138" t="e">
        <f>IF(VLOOKUP(CONCATENATE(H459,F459,DQ$2),Español!$A:$H,7,FALSE)=AE459,1,0)</f>
        <v>#N/A</v>
      </c>
      <c r="DR459" s="138" t="e">
        <f>IF(VLOOKUP(CONCATENATE(H459,F459,DR$2),Inglés!$A:$H,7,FALSE)=AF459,1,0)</f>
        <v>#N/A</v>
      </c>
      <c r="DS459" s="138" t="e">
        <f>IF(VLOOKUP(CONCATENATE(H459,F459,DS$2),Inglés!$A:$H,7,FALSE)=AG459,1,0)</f>
        <v>#N/A</v>
      </c>
      <c r="DT459" s="138" t="e">
        <f>IF(VLOOKUP(CONCATENATE(H459,F459,DT$2),Inglés!$A:$H,7,FALSE)=AH459,1,0)</f>
        <v>#N/A</v>
      </c>
      <c r="DU459" s="138" t="e">
        <f>IF(VLOOKUP(CONCATENATE(H459,F459,DU$2),Inglés!$A:$H,7,FALSE)=AI459,1,0)</f>
        <v>#N/A</v>
      </c>
      <c r="DV459" s="138" t="e">
        <f>IF(VLOOKUP(CONCATENATE(H459,F459,DV$2),Inglés!$A:$H,7,FALSE)=AJ459,1,0)</f>
        <v>#N/A</v>
      </c>
      <c r="DW459" s="138" t="e">
        <f>IF(VLOOKUP(CONCATENATE(H459,F459,DW$2),Inglés!$A:$H,7,FALSE)=AK459,1,0)</f>
        <v>#N/A</v>
      </c>
      <c r="DX459" s="138" t="e">
        <f>IF(VLOOKUP(CONCATENATE(H459,F459,DX$2),Inglés!$A:$H,7,FALSE)=AL459,1,0)</f>
        <v>#N/A</v>
      </c>
      <c r="DY459" s="138" t="e">
        <f>IF(VLOOKUP(CONCATENATE(H459,F459,DY$2),Inglés!$A:$H,7,FALSE)=AM459,1,0)</f>
        <v>#N/A</v>
      </c>
      <c r="DZ459" s="138" t="e">
        <f>IF(VLOOKUP(CONCATENATE(H459,F459,DZ$2),Inglés!$A:$H,7,FALSE)=AN459,1,0)</f>
        <v>#N/A</v>
      </c>
      <c r="EA459" s="138" t="e">
        <f>IF(VLOOKUP(CONCATENATE(H459,F459,EA$2),Inglés!$A:$H,7,FALSE)=AO459,1,0)</f>
        <v>#N/A</v>
      </c>
      <c r="EB459" s="138" t="e">
        <f>IF(VLOOKUP(CONCATENATE(H459,F459,EB$2),Matemáticas!$A:$H,7,FALSE)=AP459,1,0)</f>
        <v>#N/A</v>
      </c>
      <c r="EC459" s="138" t="e">
        <f>IF(VLOOKUP(CONCATENATE(H459,F459,EC$2),Matemáticas!$A:$H,7,FALSE)=AQ459,1,0)</f>
        <v>#N/A</v>
      </c>
      <c r="ED459" s="138" t="e">
        <f>IF(VLOOKUP(CONCATENATE(H459,F459,ED$2),Matemáticas!$A:$H,7,FALSE)=AR459,1,0)</f>
        <v>#N/A</v>
      </c>
      <c r="EE459" s="138" t="e">
        <f>IF(VLOOKUP(CONCATENATE(H459,F459,EE$2),Matemáticas!$A:$H,7,FALSE)=AS459,1,0)</f>
        <v>#N/A</v>
      </c>
      <c r="EF459" s="138" t="e">
        <f>IF(VLOOKUP(CONCATENATE(H459,F459,EF$2),Matemáticas!$A:$H,7,FALSE)=AT459,1,0)</f>
        <v>#N/A</v>
      </c>
      <c r="EG459" s="138" t="e">
        <f>IF(VLOOKUP(CONCATENATE(H459,F459,EG$2),Matemáticas!$A:$H,7,FALSE)=AU459,1,0)</f>
        <v>#N/A</v>
      </c>
      <c r="EH459" s="138" t="e">
        <f>IF(VLOOKUP(CONCATENATE(H459,F459,EH$2),Matemáticas!$A:$H,7,FALSE)=AV459,1,0)</f>
        <v>#N/A</v>
      </c>
      <c r="EI459" s="138" t="e">
        <f>IF(VLOOKUP(CONCATENATE(H459,F459,EI$2),Matemáticas!$A:$H,7,FALSE)=AW459,1,0)</f>
        <v>#N/A</v>
      </c>
      <c r="EJ459" s="138" t="e">
        <f>IF(VLOOKUP(CONCATENATE(H459,F459,EJ$2),Matemáticas!$A:$H,7,FALSE)=AX459,1,0)</f>
        <v>#N/A</v>
      </c>
      <c r="EK459" s="138" t="e">
        <f>IF(VLOOKUP(CONCATENATE(H459,F459,EK$2),Matemáticas!$A:$H,7,FALSE)=AY459,1,0)</f>
        <v>#N/A</v>
      </c>
      <c r="EL459" s="138" t="e">
        <f>IF(VLOOKUP(CONCATENATE(H459,F459,EL$2),Matemáticas!$A:$H,7,FALSE)=AZ459,1,0)</f>
        <v>#N/A</v>
      </c>
      <c r="EM459" s="138" t="e">
        <f>IF(VLOOKUP(CONCATENATE(H459,F459,EM$2),Matemáticas!$A:$H,7,FALSE)=BA459,1,0)</f>
        <v>#N/A</v>
      </c>
      <c r="EN459" s="138" t="e">
        <f>IF(VLOOKUP(CONCATENATE(H459,F459,EN$2),Matemáticas!$A:$H,7,FALSE)=BB459,1,0)</f>
        <v>#N/A</v>
      </c>
      <c r="EO459" s="138" t="e">
        <f>IF(VLOOKUP(CONCATENATE(H459,F459,EO$2),Matemáticas!$A:$H,7,FALSE)=BC459,1,0)</f>
        <v>#N/A</v>
      </c>
      <c r="EP459" s="138" t="e">
        <f>IF(VLOOKUP(CONCATENATE(H459,F459,EP$2),Matemáticas!$A:$H,7,FALSE)=BD459,1,0)</f>
        <v>#N/A</v>
      </c>
      <c r="EQ459" s="138" t="e">
        <f>IF(VLOOKUP(CONCATENATE(H459,F459,EQ$2),Matemáticas!$A:$H,7,FALSE)=BE459,1,0)</f>
        <v>#N/A</v>
      </c>
      <c r="ER459" s="138" t="e">
        <f>IF(VLOOKUP(CONCATENATE(H459,F459,ER$2),Matemáticas!$A:$H,7,FALSE)=BF459,1,0)</f>
        <v>#N/A</v>
      </c>
      <c r="ES459" s="138" t="e">
        <f>IF(VLOOKUP(CONCATENATE(H459,F459,ES$2),Matemáticas!$A:$H,7,FALSE)=BG459,1,0)</f>
        <v>#N/A</v>
      </c>
      <c r="ET459" s="138" t="e">
        <f>IF(VLOOKUP(CONCATENATE(H459,F459,ET$2),Matemáticas!$A:$H,7,FALSE)=BH459,1,0)</f>
        <v>#N/A</v>
      </c>
      <c r="EU459" s="138" t="e">
        <f>IF(VLOOKUP(CONCATENATE(H459,F459,EU$2),Matemáticas!$A:$H,7,FALSE)=BI459,1,0)</f>
        <v>#N/A</v>
      </c>
      <c r="EV459" s="138" t="e">
        <f>IF(VLOOKUP(CONCATENATE(H459,F459,EV$2),Ciencias!$A:$H,7,FALSE)=BJ459,1,0)</f>
        <v>#N/A</v>
      </c>
      <c r="EW459" s="138" t="e">
        <f>IF(VLOOKUP(CONCATENATE(H459,F459,EW$2),Ciencias!$A:$H,7,FALSE)=BK459,1,0)</f>
        <v>#N/A</v>
      </c>
      <c r="EX459" s="138" t="e">
        <f>IF(VLOOKUP(CONCATENATE(H459,F459,EX$2),Ciencias!$A:$H,7,FALSE)=BL459,1,0)</f>
        <v>#N/A</v>
      </c>
      <c r="EY459" s="138" t="e">
        <f>IF(VLOOKUP(CONCATENATE(H459,F459,EY$2),Ciencias!$A:$H,7,FALSE)=BM459,1,0)</f>
        <v>#N/A</v>
      </c>
      <c r="EZ459" s="138" t="e">
        <f>IF(VLOOKUP(CONCATENATE(H459,F459,EZ$2),Ciencias!$A:$H,7,FALSE)=BN459,1,0)</f>
        <v>#N/A</v>
      </c>
      <c r="FA459" s="138" t="e">
        <f>IF(VLOOKUP(CONCATENATE(H459,F459,FA$2),Ciencias!$A:$H,7,FALSE)=BO459,1,0)</f>
        <v>#N/A</v>
      </c>
      <c r="FB459" s="138" t="e">
        <f>IF(VLOOKUP(CONCATENATE(H459,F459,FB$2),Ciencias!$A:$H,7,FALSE)=BP459,1,0)</f>
        <v>#N/A</v>
      </c>
      <c r="FC459" s="138" t="e">
        <f>IF(VLOOKUP(CONCATENATE(H459,F459,FC$2),Ciencias!$A:$H,7,FALSE)=BQ459,1,0)</f>
        <v>#N/A</v>
      </c>
      <c r="FD459" s="138" t="e">
        <f>IF(VLOOKUP(CONCATENATE(H459,F459,FD$2),Ciencias!$A:$H,7,FALSE)=BR459,1,0)</f>
        <v>#N/A</v>
      </c>
      <c r="FE459" s="138" t="e">
        <f>IF(VLOOKUP(CONCATENATE(H459,F459,FE$2),Ciencias!$A:$H,7,FALSE)=BS459,1,0)</f>
        <v>#N/A</v>
      </c>
      <c r="FF459" s="138" t="e">
        <f>IF(VLOOKUP(CONCATENATE(H459,F459,FF$2),Ciencias!$A:$H,7,FALSE)=BT459,1,0)</f>
        <v>#N/A</v>
      </c>
      <c r="FG459" s="138" t="e">
        <f>IF(VLOOKUP(CONCATENATE(H459,F459,FG$2),Ciencias!$A:$H,7,FALSE)=BU459,1,0)</f>
        <v>#N/A</v>
      </c>
      <c r="FH459" s="138" t="e">
        <f>IF(VLOOKUP(CONCATENATE(H459,F459,FH$2),Ciencias!$A:$H,7,FALSE)=BV459,1,0)</f>
        <v>#N/A</v>
      </c>
      <c r="FI459" s="138" t="e">
        <f>IF(VLOOKUP(CONCATENATE(H459,F459,FI$2),Ciencias!$A:$H,7,FALSE)=BW459,1,0)</f>
        <v>#N/A</v>
      </c>
      <c r="FJ459" s="138" t="e">
        <f>IF(VLOOKUP(CONCATENATE(H459,F459,FJ$2),Ciencias!$A:$H,7,FALSE)=BX459,1,0)</f>
        <v>#N/A</v>
      </c>
      <c r="FK459" s="138" t="e">
        <f>IF(VLOOKUP(CONCATENATE(H459,F459,FK$2),Ciencias!$A:$H,7,FALSE)=BY459,1,0)</f>
        <v>#N/A</v>
      </c>
      <c r="FL459" s="138" t="e">
        <f>IF(VLOOKUP(CONCATENATE(H459,F459,FL$2),Ciencias!$A:$H,7,FALSE)=BZ459,1,0)</f>
        <v>#N/A</v>
      </c>
      <c r="FM459" s="138" t="e">
        <f>IF(VLOOKUP(CONCATENATE(H459,F459,FM$2),Ciencias!$A:$H,7,FALSE)=CA459,1,0)</f>
        <v>#N/A</v>
      </c>
      <c r="FN459" s="138" t="e">
        <f>IF(VLOOKUP(CONCATENATE(H459,F459,FN$2),Ciencias!$A:$H,7,FALSE)=CB459,1,0)</f>
        <v>#N/A</v>
      </c>
      <c r="FO459" s="138" t="e">
        <f>IF(VLOOKUP(CONCATENATE(H459,F459,FO$2),Ciencias!$A:$H,7,FALSE)=CC459,1,0)</f>
        <v>#N/A</v>
      </c>
      <c r="FP459" s="138" t="e">
        <f>IF(VLOOKUP(CONCATENATE(H459,F459,FP$2),GeoHis!$A:$H,7,FALSE)=CD459,1,0)</f>
        <v>#N/A</v>
      </c>
      <c r="FQ459" s="138" t="e">
        <f>IF(VLOOKUP(CONCATENATE(H459,F459,FQ$2),GeoHis!$A:$H,7,FALSE)=CE459,1,0)</f>
        <v>#N/A</v>
      </c>
      <c r="FR459" s="138" t="e">
        <f>IF(VLOOKUP(CONCATENATE(H459,F459,FR$2),GeoHis!$A:$H,7,FALSE)=CF459,1,0)</f>
        <v>#N/A</v>
      </c>
      <c r="FS459" s="138" t="e">
        <f>IF(VLOOKUP(CONCATENATE(H459,F459,FS$2),GeoHis!$A:$H,7,FALSE)=CG459,1,0)</f>
        <v>#N/A</v>
      </c>
      <c r="FT459" s="138" t="e">
        <f>IF(VLOOKUP(CONCATENATE(H459,F459,FT$2),GeoHis!$A:$H,7,FALSE)=CH459,1,0)</f>
        <v>#N/A</v>
      </c>
      <c r="FU459" s="138" t="e">
        <f>IF(VLOOKUP(CONCATENATE(H459,F459,FU$2),GeoHis!$A:$H,7,FALSE)=CI459,1,0)</f>
        <v>#N/A</v>
      </c>
      <c r="FV459" s="138" t="e">
        <f>IF(VLOOKUP(CONCATENATE(H459,F459,FV$2),GeoHis!$A:$H,7,FALSE)=CJ459,1,0)</f>
        <v>#N/A</v>
      </c>
      <c r="FW459" s="138" t="e">
        <f>IF(VLOOKUP(CONCATENATE(H459,F459,FW$2),GeoHis!$A:$H,7,FALSE)=CK459,1,0)</f>
        <v>#N/A</v>
      </c>
      <c r="FX459" s="138" t="e">
        <f>IF(VLOOKUP(CONCATENATE(H459,F459,FX$2),GeoHis!$A:$H,7,FALSE)=CL459,1,0)</f>
        <v>#N/A</v>
      </c>
      <c r="FY459" s="138" t="e">
        <f>IF(VLOOKUP(CONCATENATE(H459,F459,FY$2),GeoHis!$A:$H,7,FALSE)=CM459,1,0)</f>
        <v>#N/A</v>
      </c>
      <c r="FZ459" s="138" t="e">
        <f>IF(VLOOKUP(CONCATENATE(H459,F459,FZ$2),GeoHis!$A:$H,7,FALSE)=CN459,1,0)</f>
        <v>#N/A</v>
      </c>
      <c r="GA459" s="138" t="e">
        <f>IF(VLOOKUP(CONCATENATE(H459,F459,GA$2),GeoHis!$A:$H,7,FALSE)=CO459,1,0)</f>
        <v>#N/A</v>
      </c>
      <c r="GB459" s="138" t="e">
        <f>IF(VLOOKUP(CONCATENATE(H459,F459,GB$2),GeoHis!$A:$H,7,FALSE)=CP459,1,0)</f>
        <v>#N/A</v>
      </c>
      <c r="GC459" s="138" t="e">
        <f>IF(VLOOKUP(CONCATENATE(H459,F459,GC$2),GeoHis!$A:$H,7,FALSE)=CQ459,1,0)</f>
        <v>#N/A</v>
      </c>
      <c r="GD459" s="138" t="e">
        <f>IF(VLOOKUP(CONCATENATE(H459,F459,GD$2),GeoHis!$A:$H,7,FALSE)=CR459,1,0)</f>
        <v>#N/A</v>
      </c>
      <c r="GE459" s="135" t="str">
        <f t="shared" si="63"/>
        <v/>
      </c>
    </row>
    <row r="460" spans="1:187" x14ac:dyDescent="0.25">
      <c r="A460" s="127" t="str">
        <f>IF(C460="","",'Datos Generales'!$A$25)</f>
        <v/>
      </c>
      <c r="D460" s="126" t="str">
        <f t="shared" si="56"/>
        <v/>
      </c>
      <c r="E460" s="126">
        <f t="shared" si="57"/>
        <v>0</v>
      </c>
      <c r="F460" s="126" t="str">
        <f t="shared" si="58"/>
        <v/>
      </c>
      <c r="G460" s="126" t="str">
        <f>IF(C460="","",'Datos Generales'!$D$19)</f>
        <v/>
      </c>
      <c r="H460" s="21" t="str">
        <f>IF(C460="","",'Datos Generales'!$A$19)</f>
        <v/>
      </c>
      <c r="I460" s="126" t="str">
        <f>IF(C460="","",'Datos Generales'!$A$7)</f>
        <v/>
      </c>
      <c r="J460" s="21" t="str">
        <f>IF(C460="","",'Datos Generales'!$A$13)</f>
        <v/>
      </c>
      <c r="K460" s="21" t="str">
        <f>IF(C460="","",'Datos Generales'!$A$10)</f>
        <v/>
      </c>
      <c r="CS460" s="142" t="str">
        <f t="shared" si="59"/>
        <v/>
      </c>
      <c r="CT460" s="142" t="str">
        <f t="shared" si="60"/>
        <v/>
      </c>
      <c r="CU460" s="142" t="str">
        <f t="shared" si="61"/>
        <v/>
      </c>
      <c r="CV460" s="142" t="str">
        <f t="shared" si="62"/>
        <v/>
      </c>
      <c r="CW460" s="142" t="str">
        <f>IF(C460="","",IF('Datos Generales'!$A$19=1,AVERAGE(FP460:GD460),AVERAGE(Captura!FP460:FY460)))</f>
        <v/>
      </c>
      <c r="CX460" s="138" t="e">
        <f>IF(VLOOKUP(CONCATENATE($H$4,$F$4,CX$2),Español!$A:$H,7,FALSE)=L460,1,0)</f>
        <v>#N/A</v>
      </c>
      <c r="CY460" s="138" t="e">
        <f>IF(VLOOKUP(CONCATENATE(H460,F460,CY$2),Español!$A:$H,7,FALSE)=M460,1,0)</f>
        <v>#N/A</v>
      </c>
      <c r="CZ460" s="138" t="e">
        <f>IF(VLOOKUP(CONCATENATE(H460,F460,CZ$2),Español!$A:$H,7,FALSE)=N460,1,0)</f>
        <v>#N/A</v>
      </c>
      <c r="DA460" s="138" t="e">
        <f>IF(VLOOKUP(CONCATENATE(H460,F460,DA$2),Español!$A:$H,7,FALSE)=O460,1,0)</f>
        <v>#N/A</v>
      </c>
      <c r="DB460" s="138" t="e">
        <f>IF(VLOOKUP(CONCATENATE(H460,F460,DB$2),Español!$A:$H,7,FALSE)=P460,1,0)</f>
        <v>#N/A</v>
      </c>
      <c r="DC460" s="138" t="e">
        <f>IF(VLOOKUP(CONCATENATE(H460,F460,DC$2),Español!$A:$H,7,FALSE)=Q460,1,0)</f>
        <v>#N/A</v>
      </c>
      <c r="DD460" s="138" t="e">
        <f>IF(VLOOKUP(CONCATENATE(H460,F460,DD$2),Español!$A:$H,7,FALSE)=R460,1,0)</f>
        <v>#N/A</v>
      </c>
      <c r="DE460" s="138" t="e">
        <f>IF(VLOOKUP(CONCATENATE(H460,F460,DE$2),Español!$A:$H,7,FALSE)=S460,1,0)</f>
        <v>#N/A</v>
      </c>
      <c r="DF460" s="138" t="e">
        <f>IF(VLOOKUP(CONCATENATE(H460,F460,DF$2),Español!$A:$H,7,FALSE)=T460,1,0)</f>
        <v>#N/A</v>
      </c>
      <c r="DG460" s="138" t="e">
        <f>IF(VLOOKUP(CONCATENATE(H460,F460,DG$2),Español!$A:$H,7,FALSE)=U460,1,0)</f>
        <v>#N/A</v>
      </c>
      <c r="DH460" s="138" t="e">
        <f>IF(VLOOKUP(CONCATENATE(H460,F460,DH$2),Español!$A:$H,7,FALSE)=V460,1,0)</f>
        <v>#N/A</v>
      </c>
      <c r="DI460" s="138" t="e">
        <f>IF(VLOOKUP(CONCATENATE(H460,F460,DI$2),Español!$A:$H,7,FALSE)=W460,1,0)</f>
        <v>#N/A</v>
      </c>
      <c r="DJ460" s="138" t="e">
        <f>IF(VLOOKUP(CONCATENATE(H460,F460,DJ$2),Español!$A:$H,7,FALSE)=X460,1,0)</f>
        <v>#N/A</v>
      </c>
      <c r="DK460" s="138" t="e">
        <f>IF(VLOOKUP(CONCATENATE(H460,F460,DK$2),Español!$A:$H,7,FALSE)=Y460,1,0)</f>
        <v>#N/A</v>
      </c>
      <c r="DL460" s="138" t="e">
        <f>IF(VLOOKUP(CONCATENATE(H460,F460,DL$2),Español!$A:$H,7,FALSE)=Z460,1,0)</f>
        <v>#N/A</v>
      </c>
      <c r="DM460" s="138" t="e">
        <f>IF(VLOOKUP(CONCATENATE(H460,F460,DM$2),Español!$A:$H,7,FALSE)=AA460,1,0)</f>
        <v>#N/A</v>
      </c>
      <c r="DN460" s="138" t="e">
        <f>IF(VLOOKUP(CONCATENATE(H460,F460,DN$2),Español!$A:$H,7,FALSE)=AB460,1,0)</f>
        <v>#N/A</v>
      </c>
      <c r="DO460" s="138" t="e">
        <f>IF(VLOOKUP(CONCATENATE(H460,F460,DO$2),Español!$A:$H,7,FALSE)=AC460,1,0)</f>
        <v>#N/A</v>
      </c>
      <c r="DP460" s="138" t="e">
        <f>IF(VLOOKUP(CONCATENATE(H460,F460,DP$2),Español!$A:$H,7,FALSE)=AD460,1,0)</f>
        <v>#N/A</v>
      </c>
      <c r="DQ460" s="138" t="e">
        <f>IF(VLOOKUP(CONCATENATE(H460,F460,DQ$2),Español!$A:$H,7,FALSE)=AE460,1,0)</f>
        <v>#N/A</v>
      </c>
      <c r="DR460" s="138" t="e">
        <f>IF(VLOOKUP(CONCATENATE(H460,F460,DR$2),Inglés!$A:$H,7,FALSE)=AF460,1,0)</f>
        <v>#N/A</v>
      </c>
      <c r="DS460" s="138" t="e">
        <f>IF(VLOOKUP(CONCATENATE(H460,F460,DS$2),Inglés!$A:$H,7,FALSE)=AG460,1,0)</f>
        <v>#N/A</v>
      </c>
      <c r="DT460" s="138" t="e">
        <f>IF(VLOOKUP(CONCATENATE(H460,F460,DT$2),Inglés!$A:$H,7,FALSE)=AH460,1,0)</f>
        <v>#N/A</v>
      </c>
      <c r="DU460" s="138" t="e">
        <f>IF(VLOOKUP(CONCATENATE(H460,F460,DU$2),Inglés!$A:$H,7,FALSE)=AI460,1,0)</f>
        <v>#N/A</v>
      </c>
      <c r="DV460" s="138" t="e">
        <f>IF(VLOOKUP(CONCATENATE(H460,F460,DV$2),Inglés!$A:$H,7,FALSE)=AJ460,1,0)</f>
        <v>#N/A</v>
      </c>
      <c r="DW460" s="138" t="e">
        <f>IF(VLOOKUP(CONCATENATE(H460,F460,DW$2),Inglés!$A:$H,7,FALSE)=AK460,1,0)</f>
        <v>#N/A</v>
      </c>
      <c r="DX460" s="138" t="e">
        <f>IF(VLOOKUP(CONCATENATE(H460,F460,DX$2),Inglés!$A:$H,7,FALSE)=AL460,1,0)</f>
        <v>#N/A</v>
      </c>
      <c r="DY460" s="138" t="e">
        <f>IF(VLOOKUP(CONCATENATE(H460,F460,DY$2),Inglés!$A:$H,7,FALSE)=AM460,1,0)</f>
        <v>#N/A</v>
      </c>
      <c r="DZ460" s="138" t="e">
        <f>IF(VLOOKUP(CONCATENATE(H460,F460,DZ$2),Inglés!$A:$H,7,FALSE)=AN460,1,0)</f>
        <v>#N/A</v>
      </c>
      <c r="EA460" s="138" t="e">
        <f>IF(VLOOKUP(CONCATENATE(H460,F460,EA$2),Inglés!$A:$H,7,FALSE)=AO460,1,0)</f>
        <v>#N/A</v>
      </c>
      <c r="EB460" s="138" t="e">
        <f>IF(VLOOKUP(CONCATENATE(H460,F460,EB$2),Matemáticas!$A:$H,7,FALSE)=AP460,1,0)</f>
        <v>#N/A</v>
      </c>
      <c r="EC460" s="138" t="e">
        <f>IF(VLOOKUP(CONCATENATE(H460,F460,EC$2),Matemáticas!$A:$H,7,FALSE)=AQ460,1,0)</f>
        <v>#N/A</v>
      </c>
      <c r="ED460" s="138" t="e">
        <f>IF(VLOOKUP(CONCATENATE(H460,F460,ED$2),Matemáticas!$A:$H,7,FALSE)=AR460,1,0)</f>
        <v>#N/A</v>
      </c>
      <c r="EE460" s="138" t="e">
        <f>IF(VLOOKUP(CONCATENATE(H460,F460,EE$2),Matemáticas!$A:$H,7,FALSE)=AS460,1,0)</f>
        <v>#N/A</v>
      </c>
      <c r="EF460" s="138" t="e">
        <f>IF(VLOOKUP(CONCATENATE(H460,F460,EF$2),Matemáticas!$A:$H,7,FALSE)=AT460,1,0)</f>
        <v>#N/A</v>
      </c>
      <c r="EG460" s="138" t="e">
        <f>IF(VLOOKUP(CONCATENATE(H460,F460,EG$2),Matemáticas!$A:$H,7,FALSE)=AU460,1,0)</f>
        <v>#N/A</v>
      </c>
      <c r="EH460" s="138" t="e">
        <f>IF(VLOOKUP(CONCATENATE(H460,F460,EH$2),Matemáticas!$A:$H,7,FALSE)=AV460,1,0)</f>
        <v>#N/A</v>
      </c>
      <c r="EI460" s="138" t="e">
        <f>IF(VLOOKUP(CONCATENATE(H460,F460,EI$2),Matemáticas!$A:$H,7,FALSE)=AW460,1,0)</f>
        <v>#N/A</v>
      </c>
      <c r="EJ460" s="138" t="e">
        <f>IF(VLOOKUP(CONCATENATE(H460,F460,EJ$2),Matemáticas!$A:$H,7,FALSE)=AX460,1,0)</f>
        <v>#N/A</v>
      </c>
      <c r="EK460" s="138" t="e">
        <f>IF(VLOOKUP(CONCATENATE(H460,F460,EK$2),Matemáticas!$A:$H,7,FALSE)=AY460,1,0)</f>
        <v>#N/A</v>
      </c>
      <c r="EL460" s="138" t="e">
        <f>IF(VLOOKUP(CONCATENATE(H460,F460,EL$2),Matemáticas!$A:$H,7,FALSE)=AZ460,1,0)</f>
        <v>#N/A</v>
      </c>
      <c r="EM460" s="138" t="e">
        <f>IF(VLOOKUP(CONCATENATE(H460,F460,EM$2),Matemáticas!$A:$H,7,FALSE)=BA460,1,0)</f>
        <v>#N/A</v>
      </c>
      <c r="EN460" s="138" t="e">
        <f>IF(VLOOKUP(CONCATENATE(H460,F460,EN$2),Matemáticas!$A:$H,7,FALSE)=BB460,1,0)</f>
        <v>#N/A</v>
      </c>
      <c r="EO460" s="138" t="e">
        <f>IF(VLOOKUP(CONCATENATE(H460,F460,EO$2),Matemáticas!$A:$H,7,FALSE)=BC460,1,0)</f>
        <v>#N/A</v>
      </c>
      <c r="EP460" s="138" t="e">
        <f>IF(VLOOKUP(CONCATENATE(H460,F460,EP$2),Matemáticas!$A:$H,7,FALSE)=BD460,1,0)</f>
        <v>#N/A</v>
      </c>
      <c r="EQ460" s="138" t="e">
        <f>IF(VLOOKUP(CONCATENATE(H460,F460,EQ$2),Matemáticas!$A:$H,7,FALSE)=BE460,1,0)</f>
        <v>#N/A</v>
      </c>
      <c r="ER460" s="138" t="e">
        <f>IF(VLOOKUP(CONCATENATE(H460,F460,ER$2),Matemáticas!$A:$H,7,FALSE)=BF460,1,0)</f>
        <v>#N/A</v>
      </c>
      <c r="ES460" s="138" t="e">
        <f>IF(VLOOKUP(CONCATENATE(H460,F460,ES$2),Matemáticas!$A:$H,7,FALSE)=BG460,1,0)</f>
        <v>#N/A</v>
      </c>
      <c r="ET460" s="138" t="e">
        <f>IF(VLOOKUP(CONCATENATE(H460,F460,ET$2),Matemáticas!$A:$H,7,FALSE)=BH460,1,0)</f>
        <v>#N/A</v>
      </c>
      <c r="EU460" s="138" t="e">
        <f>IF(VLOOKUP(CONCATENATE(H460,F460,EU$2),Matemáticas!$A:$H,7,FALSE)=BI460,1,0)</f>
        <v>#N/A</v>
      </c>
      <c r="EV460" s="138" t="e">
        <f>IF(VLOOKUP(CONCATENATE(H460,F460,EV$2),Ciencias!$A:$H,7,FALSE)=BJ460,1,0)</f>
        <v>#N/A</v>
      </c>
      <c r="EW460" s="138" t="e">
        <f>IF(VLOOKUP(CONCATENATE(H460,F460,EW$2),Ciencias!$A:$H,7,FALSE)=BK460,1,0)</f>
        <v>#N/A</v>
      </c>
      <c r="EX460" s="138" t="e">
        <f>IF(VLOOKUP(CONCATENATE(H460,F460,EX$2),Ciencias!$A:$H,7,FALSE)=BL460,1,0)</f>
        <v>#N/A</v>
      </c>
      <c r="EY460" s="138" t="e">
        <f>IF(VLOOKUP(CONCATENATE(H460,F460,EY$2),Ciencias!$A:$H,7,FALSE)=BM460,1,0)</f>
        <v>#N/A</v>
      </c>
      <c r="EZ460" s="138" t="e">
        <f>IF(VLOOKUP(CONCATENATE(H460,F460,EZ$2),Ciencias!$A:$H,7,FALSE)=BN460,1,0)</f>
        <v>#N/A</v>
      </c>
      <c r="FA460" s="138" t="e">
        <f>IF(VLOOKUP(CONCATENATE(H460,F460,FA$2),Ciencias!$A:$H,7,FALSE)=BO460,1,0)</f>
        <v>#N/A</v>
      </c>
      <c r="FB460" s="138" t="e">
        <f>IF(VLOOKUP(CONCATENATE(H460,F460,FB$2),Ciencias!$A:$H,7,FALSE)=BP460,1,0)</f>
        <v>#N/A</v>
      </c>
      <c r="FC460" s="138" t="e">
        <f>IF(VLOOKUP(CONCATENATE(H460,F460,FC$2),Ciencias!$A:$H,7,FALSE)=BQ460,1,0)</f>
        <v>#N/A</v>
      </c>
      <c r="FD460" s="138" t="e">
        <f>IF(VLOOKUP(CONCATENATE(H460,F460,FD$2),Ciencias!$A:$H,7,FALSE)=BR460,1,0)</f>
        <v>#N/A</v>
      </c>
      <c r="FE460" s="138" t="e">
        <f>IF(VLOOKUP(CONCATENATE(H460,F460,FE$2),Ciencias!$A:$H,7,FALSE)=BS460,1,0)</f>
        <v>#N/A</v>
      </c>
      <c r="FF460" s="138" t="e">
        <f>IF(VLOOKUP(CONCATENATE(H460,F460,FF$2),Ciencias!$A:$H,7,FALSE)=BT460,1,0)</f>
        <v>#N/A</v>
      </c>
      <c r="FG460" s="138" t="e">
        <f>IF(VLOOKUP(CONCATENATE(H460,F460,FG$2),Ciencias!$A:$H,7,FALSE)=BU460,1,0)</f>
        <v>#N/A</v>
      </c>
      <c r="FH460" s="138" t="e">
        <f>IF(VLOOKUP(CONCATENATE(H460,F460,FH$2),Ciencias!$A:$H,7,FALSE)=BV460,1,0)</f>
        <v>#N/A</v>
      </c>
      <c r="FI460" s="138" t="e">
        <f>IF(VLOOKUP(CONCATENATE(H460,F460,FI$2),Ciencias!$A:$H,7,FALSE)=BW460,1,0)</f>
        <v>#N/A</v>
      </c>
      <c r="FJ460" s="138" t="e">
        <f>IF(VLOOKUP(CONCATENATE(H460,F460,FJ$2),Ciencias!$A:$H,7,FALSE)=BX460,1,0)</f>
        <v>#N/A</v>
      </c>
      <c r="FK460" s="138" t="e">
        <f>IF(VLOOKUP(CONCATENATE(H460,F460,FK$2),Ciencias!$A:$H,7,FALSE)=BY460,1,0)</f>
        <v>#N/A</v>
      </c>
      <c r="FL460" s="138" t="e">
        <f>IF(VLOOKUP(CONCATENATE(H460,F460,FL$2),Ciencias!$A:$H,7,FALSE)=BZ460,1,0)</f>
        <v>#N/A</v>
      </c>
      <c r="FM460" s="138" t="e">
        <f>IF(VLOOKUP(CONCATENATE(H460,F460,FM$2),Ciencias!$A:$H,7,FALSE)=CA460,1,0)</f>
        <v>#N/A</v>
      </c>
      <c r="FN460" s="138" t="e">
        <f>IF(VLOOKUP(CONCATENATE(H460,F460,FN$2),Ciencias!$A:$H,7,FALSE)=CB460,1,0)</f>
        <v>#N/A</v>
      </c>
      <c r="FO460" s="138" t="e">
        <f>IF(VLOOKUP(CONCATENATE(H460,F460,FO$2),Ciencias!$A:$H,7,FALSE)=CC460,1,0)</f>
        <v>#N/A</v>
      </c>
      <c r="FP460" s="138" t="e">
        <f>IF(VLOOKUP(CONCATENATE(H460,F460,FP$2),GeoHis!$A:$H,7,FALSE)=CD460,1,0)</f>
        <v>#N/A</v>
      </c>
      <c r="FQ460" s="138" t="e">
        <f>IF(VLOOKUP(CONCATENATE(H460,F460,FQ$2),GeoHis!$A:$H,7,FALSE)=CE460,1,0)</f>
        <v>#N/A</v>
      </c>
      <c r="FR460" s="138" t="e">
        <f>IF(VLOOKUP(CONCATENATE(H460,F460,FR$2),GeoHis!$A:$H,7,FALSE)=CF460,1,0)</f>
        <v>#N/A</v>
      </c>
      <c r="FS460" s="138" t="e">
        <f>IF(VLOOKUP(CONCATENATE(H460,F460,FS$2),GeoHis!$A:$H,7,FALSE)=CG460,1,0)</f>
        <v>#N/A</v>
      </c>
      <c r="FT460" s="138" t="e">
        <f>IF(VLOOKUP(CONCATENATE(H460,F460,FT$2),GeoHis!$A:$H,7,FALSE)=CH460,1,0)</f>
        <v>#N/A</v>
      </c>
      <c r="FU460" s="138" t="e">
        <f>IF(VLOOKUP(CONCATENATE(H460,F460,FU$2),GeoHis!$A:$H,7,FALSE)=CI460,1,0)</f>
        <v>#N/A</v>
      </c>
      <c r="FV460" s="138" t="e">
        <f>IF(VLOOKUP(CONCATENATE(H460,F460,FV$2),GeoHis!$A:$H,7,FALSE)=CJ460,1,0)</f>
        <v>#N/A</v>
      </c>
      <c r="FW460" s="138" t="e">
        <f>IF(VLOOKUP(CONCATENATE(H460,F460,FW$2),GeoHis!$A:$H,7,FALSE)=CK460,1,0)</f>
        <v>#N/A</v>
      </c>
      <c r="FX460" s="138" t="e">
        <f>IF(VLOOKUP(CONCATENATE(H460,F460,FX$2),GeoHis!$A:$H,7,FALSE)=CL460,1,0)</f>
        <v>#N/A</v>
      </c>
      <c r="FY460" s="138" t="e">
        <f>IF(VLOOKUP(CONCATENATE(H460,F460,FY$2),GeoHis!$A:$H,7,FALSE)=CM460,1,0)</f>
        <v>#N/A</v>
      </c>
      <c r="FZ460" s="138" t="e">
        <f>IF(VLOOKUP(CONCATENATE(H460,F460,FZ$2),GeoHis!$A:$H,7,FALSE)=CN460,1,0)</f>
        <v>#N/A</v>
      </c>
      <c r="GA460" s="138" t="e">
        <f>IF(VLOOKUP(CONCATENATE(H460,F460,GA$2),GeoHis!$A:$H,7,FALSE)=CO460,1,0)</f>
        <v>#N/A</v>
      </c>
      <c r="GB460" s="138" t="e">
        <f>IF(VLOOKUP(CONCATENATE(H460,F460,GB$2),GeoHis!$A:$H,7,FALSE)=CP460,1,0)</f>
        <v>#N/A</v>
      </c>
      <c r="GC460" s="138" t="e">
        <f>IF(VLOOKUP(CONCATENATE(H460,F460,GC$2),GeoHis!$A:$H,7,FALSE)=CQ460,1,0)</f>
        <v>#N/A</v>
      </c>
      <c r="GD460" s="138" t="e">
        <f>IF(VLOOKUP(CONCATENATE(H460,F460,GD$2),GeoHis!$A:$H,7,FALSE)=CR460,1,0)</f>
        <v>#N/A</v>
      </c>
      <c r="GE460" s="135" t="str">
        <f t="shared" si="63"/>
        <v/>
      </c>
    </row>
    <row r="461" spans="1:187" x14ac:dyDescent="0.25">
      <c r="A461" s="127" t="str">
        <f>IF(C461="","",'Datos Generales'!$A$25)</f>
        <v/>
      </c>
      <c r="D461" s="126" t="str">
        <f t="shared" si="56"/>
        <v/>
      </c>
      <c r="E461" s="126">
        <f t="shared" si="57"/>
        <v>0</v>
      </c>
      <c r="F461" s="126" t="str">
        <f t="shared" si="58"/>
        <v/>
      </c>
      <c r="G461" s="126" t="str">
        <f>IF(C461="","",'Datos Generales'!$D$19)</f>
        <v/>
      </c>
      <c r="H461" s="21" t="str">
        <f>IF(C461="","",'Datos Generales'!$A$19)</f>
        <v/>
      </c>
      <c r="I461" s="126" t="str">
        <f>IF(C461="","",'Datos Generales'!$A$7)</f>
        <v/>
      </c>
      <c r="J461" s="21" t="str">
        <f>IF(C461="","",'Datos Generales'!$A$13)</f>
        <v/>
      </c>
      <c r="K461" s="21" t="str">
        <f>IF(C461="","",'Datos Generales'!$A$10)</f>
        <v/>
      </c>
      <c r="CS461" s="142" t="str">
        <f t="shared" si="59"/>
        <v/>
      </c>
      <c r="CT461" s="142" t="str">
        <f t="shared" si="60"/>
        <v/>
      </c>
      <c r="CU461" s="142" t="str">
        <f t="shared" si="61"/>
        <v/>
      </c>
      <c r="CV461" s="142" t="str">
        <f t="shared" si="62"/>
        <v/>
      </c>
      <c r="CW461" s="142" t="str">
        <f>IF(C461="","",IF('Datos Generales'!$A$19=1,AVERAGE(FP461:GD461),AVERAGE(Captura!FP461:FY461)))</f>
        <v/>
      </c>
      <c r="CX461" s="138" t="e">
        <f>IF(VLOOKUP(CONCATENATE($H$4,$F$4,CX$2),Español!$A:$H,7,FALSE)=L461,1,0)</f>
        <v>#N/A</v>
      </c>
      <c r="CY461" s="138" t="e">
        <f>IF(VLOOKUP(CONCATENATE(H461,F461,CY$2),Español!$A:$H,7,FALSE)=M461,1,0)</f>
        <v>#N/A</v>
      </c>
      <c r="CZ461" s="138" t="e">
        <f>IF(VLOOKUP(CONCATENATE(H461,F461,CZ$2),Español!$A:$H,7,FALSE)=N461,1,0)</f>
        <v>#N/A</v>
      </c>
      <c r="DA461" s="138" t="e">
        <f>IF(VLOOKUP(CONCATENATE(H461,F461,DA$2),Español!$A:$H,7,FALSE)=O461,1,0)</f>
        <v>#N/A</v>
      </c>
      <c r="DB461" s="138" t="e">
        <f>IF(VLOOKUP(CONCATENATE(H461,F461,DB$2),Español!$A:$H,7,FALSE)=P461,1,0)</f>
        <v>#N/A</v>
      </c>
      <c r="DC461" s="138" t="e">
        <f>IF(VLOOKUP(CONCATENATE(H461,F461,DC$2),Español!$A:$H,7,FALSE)=Q461,1,0)</f>
        <v>#N/A</v>
      </c>
      <c r="DD461" s="138" t="e">
        <f>IF(VLOOKUP(CONCATENATE(H461,F461,DD$2),Español!$A:$H,7,FALSE)=R461,1,0)</f>
        <v>#N/A</v>
      </c>
      <c r="DE461" s="138" t="e">
        <f>IF(VLOOKUP(CONCATENATE(H461,F461,DE$2),Español!$A:$H,7,FALSE)=S461,1,0)</f>
        <v>#N/A</v>
      </c>
      <c r="DF461" s="138" t="e">
        <f>IF(VLOOKUP(CONCATENATE(H461,F461,DF$2),Español!$A:$H,7,FALSE)=T461,1,0)</f>
        <v>#N/A</v>
      </c>
      <c r="DG461" s="138" t="e">
        <f>IF(VLOOKUP(CONCATENATE(H461,F461,DG$2),Español!$A:$H,7,FALSE)=U461,1,0)</f>
        <v>#N/A</v>
      </c>
      <c r="DH461" s="138" t="e">
        <f>IF(VLOOKUP(CONCATENATE(H461,F461,DH$2),Español!$A:$H,7,FALSE)=V461,1,0)</f>
        <v>#N/A</v>
      </c>
      <c r="DI461" s="138" t="e">
        <f>IF(VLOOKUP(CONCATENATE(H461,F461,DI$2),Español!$A:$H,7,FALSE)=W461,1,0)</f>
        <v>#N/A</v>
      </c>
      <c r="DJ461" s="138" t="e">
        <f>IF(VLOOKUP(CONCATENATE(H461,F461,DJ$2),Español!$A:$H,7,FALSE)=X461,1,0)</f>
        <v>#N/A</v>
      </c>
      <c r="DK461" s="138" t="e">
        <f>IF(VLOOKUP(CONCATENATE(H461,F461,DK$2),Español!$A:$H,7,FALSE)=Y461,1,0)</f>
        <v>#N/A</v>
      </c>
      <c r="DL461" s="138" t="e">
        <f>IF(VLOOKUP(CONCATENATE(H461,F461,DL$2),Español!$A:$H,7,FALSE)=Z461,1,0)</f>
        <v>#N/A</v>
      </c>
      <c r="DM461" s="138" t="e">
        <f>IF(VLOOKUP(CONCATENATE(H461,F461,DM$2),Español!$A:$H,7,FALSE)=AA461,1,0)</f>
        <v>#N/A</v>
      </c>
      <c r="DN461" s="138" t="e">
        <f>IF(VLOOKUP(CONCATENATE(H461,F461,DN$2),Español!$A:$H,7,FALSE)=AB461,1,0)</f>
        <v>#N/A</v>
      </c>
      <c r="DO461" s="138" t="e">
        <f>IF(VLOOKUP(CONCATENATE(H461,F461,DO$2),Español!$A:$H,7,FALSE)=AC461,1,0)</f>
        <v>#N/A</v>
      </c>
      <c r="DP461" s="138" t="e">
        <f>IF(VLOOKUP(CONCATENATE(H461,F461,DP$2),Español!$A:$H,7,FALSE)=AD461,1,0)</f>
        <v>#N/A</v>
      </c>
      <c r="DQ461" s="138" t="e">
        <f>IF(VLOOKUP(CONCATENATE(H461,F461,DQ$2),Español!$A:$H,7,FALSE)=AE461,1,0)</f>
        <v>#N/A</v>
      </c>
      <c r="DR461" s="138" t="e">
        <f>IF(VLOOKUP(CONCATENATE(H461,F461,DR$2),Inglés!$A:$H,7,FALSE)=AF461,1,0)</f>
        <v>#N/A</v>
      </c>
      <c r="DS461" s="138" t="e">
        <f>IF(VLOOKUP(CONCATENATE(H461,F461,DS$2),Inglés!$A:$H,7,FALSE)=AG461,1,0)</f>
        <v>#N/A</v>
      </c>
      <c r="DT461" s="138" t="e">
        <f>IF(VLOOKUP(CONCATENATE(H461,F461,DT$2),Inglés!$A:$H,7,FALSE)=AH461,1,0)</f>
        <v>#N/A</v>
      </c>
      <c r="DU461" s="138" t="e">
        <f>IF(VLOOKUP(CONCATENATE(H461,F461,DU$2),Inglés!$A:$H,7,FALSE)=AI461,1,0)</f>
        <v>#N/A</v>
      </c>
      <c r="DV461" s="138" t="e">
        <f>IF(VLOOKUP(CONCATENATE(H461,F461,DV$2),Inglés!$A:$H,7,FALSE)=AJ461,1,0)</f>
        <v>#N/A</v>
      </c>
      <c r="DW461" s="138" t="e">
        <f>IF(VLOOKUP(CONCATENATE(H461,F461,DW$2),Inglés!$A:$H,7,FALSE)=AK461,1,0)</f>
        <v>#N/A</v>
      </c>
      <c r="DX461" s="138" t="e">
        <f>IF(VLOOKUP(CONCATENATE(H461,F461,DX$2),Inglés!$A:$H,7,FALSE)=AL461,1,0)</f>
        <v>#N/A</v>
      </c>
      <c r="DY461" s="138" t="e">
        <f>IF(VLOOKUP(CONCATENATE(H461,F461,DY$2),Inglés!$A:$H,7,FALSE)=AM461,1,0)</f>
        <v>#N/A</v>
      </c>
      <c r="DZ461" s="138" t="e">
        <f>IF(VLOOKUP(CONCATENATE(H461,F461,DZ$2),Inglés!$A:$H,7,FALSE)=AN461,1,0)</f>
        <v>#N/A</v>
      </c>
      <c r="EA461" s="138" t="e">
        <f>IF(VLOOKUP(CONCATENATE(H461,F461,EA$2),Inglés!$A:$H,7,FALSE)=AO461,1,0)</f>
        <v>#N/A</v>
      </c>
      <c r="EB461" s="138" t="e">
        <f>IF(VLOOKUP(CONCATENATE(H461,F461,EB$2),Matemáticas!$A:$H,7,FALSE)=AP461,1,0)</f>
        <v>#N/A</v>
      </c>
      <c r="EC461" s="138" t="e">
        <f>IF(VLOOKUP(CONCATENATE(H461,F461,EC$2),Matemáticas!$A:$H,7,FALSE)=AQ461,1,0)</f>
        <v>#N/A</v>
      </c>
      <c r="ED461" s="138" t="e">
        <f>IF(VLOOKUP(CONCATENATE(H461,F461,ED$2),Matemáticas!$A:$H,7,FALSE)=AR461,1,0)</f>
        <v>#N/A</v>
      </c>
      <c r="EE461" s="138" t="e">
        <f>IF(VLOOKUP(CONCATENATE(H461,F461,EE$2),Matemáticas!$A:$H,7,FALSE)=AS461,1,0)</f>
        <v>#N/A</v>
      </c>
      <c r="EF461" s="138" t="e">
        <f>IF(VLOOKUP(CONCATENATE(H461,F461,EF$2),Matemáticas!$A:$H,7,FALSE)=AT461,1,0)</f>
        <v>#N/A</v>
      </c>
      <c r="EG461" s="138" t="e">
        <f>IF(VLOOKUP(CONCATENATE(H461,F461,EG$2),Matemáticas!$A:$H,7,FALSE)=AU461,1,0)</f>
        <v>#N/A</v>
      </c>
      <c r="EH461" s="138" t="e">
        <f>IF(VLOOKUP(CONCATENATE(H461,F461,EH$2),Matemáticas!$A:$H,7,FALSE)=AV461,1,0)</f>
        <v>#N/A</v>
      </c>
      <c r="EI461" s="138" t="e">
        <f>IF(VLOOKUP(CONCATENATE(H461,F461,EI$2),Matemáticas!$A:$H,7,FALSE)=AW461,1,0)</f>
        <v>#N/A</v>
      </c>
      <c r="EJ461" s="138" t="e">
        <f>IF(VLOOKUP(CONCATENATE(H461,F461,EJ$2),Matemáticas!$A:$H,7,FALSE)=AX461,1,0)</f>
        <v>#N/A</v>
      </c>
      <c r="EK461" s="138" t="e">
        <f>IF(VLOOKUP(CONCATENATE(H461,F461,EK$2),Matemáticas!$A:$H,7,FALSE)=AY461,1,0)</f>
        <v>#N/A</v>
      </c>
      <c r="EL461" s="138" t="e">
        <f>IF(VLOOKUP(CONCATENATE(H461,F461,EL$2),Matemáticas!$A:$H,7,FALSE)=AZ461,1,0)</f>
        <v>#N/A</v>
      </c>
      <c r="EM461" s="138" t="e">
        <f>IF(VLOOKUP(CONCATENATE(H461,F461,EM$2),Matemáticas!$A:$H,7,FALSE)=BA461,1,0)</f>
        <v>#N/A</v>
      </c>
      <c r="EN461" s="138" t="e">
        <f>IF(VLOOKUP(CONCATENATE(H461,F461,EN$2),Matemáticas!$A:$H,7,FALSE)=BB461,1,0)</f>
        <v>#N/A</v>
      </c>
      <c r="EO461" s="138" t="e">
        <f>IF(VLOOKUP(CONCATENATE(H461,F461,EO$2),Matemáticas!$A:$H,7,FALSE)=BC461,1,0)</f>
        <v>#N/A</v>
      </c>
      <c r="EP461" s="138" t="e">
        <f>IF(VLOOKUP(CONCATENATE(H461,F461,EP$2),Matemáticas!$A:$H,7,FALSE)=BD461,1,0)</f>
        <v>#N/A</v>
      </c>
      <c r="EQ461" s="138" t="e">
        <f>IF(VLOOKUP(CONCATENATE(H461,F461,EQ$2),Matemáticas!$A:$H,7,FALSE)=BE461,1,0)</f>
        <v>#N/A</v>
      </c>
      <c r="ER461" s="138" t="e">
        <f>IF(VLOOKUP(CONCATENATE(H461,F461,ER$2),Matemáticas!$A:$H,7,FALSE)=BF461,1,0)</f>
        <v>#N/A</v>
      </c>
      <c r="ES461" s="138" t="e">
        <f>IF(VLOOKUP(CONCATENATE(H461,F461,ES$2),Matemáticas!$A:$H,7,FALSE)=BG461,1,0)</f>
        <v>#N/A</v>
      </c>
      <c r="ET461" s="138" t="e">
        <f>IF(VLOOKUP(CONCATENATE(H461,F461,ET$2),Matemáticas!$A:$H,7,FALSE)=BH461,1,0)</f>
        <v>#N/A</v>
      </c>
      <c r="EU461" s="138" t="e">
        <f>IF(VLOOKUP(CONCATENATE(H461,F461,EU$2),Matemáticas!$A:$H,7,FALSE)=BI461,1,0)</f>
        <v>#N/A</v>
      </c>
      <c r="EV461" s="138" t="e">
        <f>IF(VLOOKUP(CONCATENATE(H461,F461,EV$2),Ciencias!$A:$H,7,FALSE)=BJ461,1,0)</f>
        <v>#N/A</v>
      </c>
      <c r="EW461" s="138" t="e">
        <f>IF(VLOOKUP(CONCATENATE(H461,F461,EW$2),Ciencias!$A:$H,7,FALSE)=BK461,1,0)</f>
        <v>#N/A</v>
      </c>
      <c r="EX461" s="138" t="e">
        <f>IF(VLOOKUP(CONCATENATE(H461,F461,EX$2),Ciencias!$A:$H,7,FALSE)=BL461,1,0)</f>
        <v>#N/A</v>
      </c>
      <c r="EY461" s="138" t="e">
        <f>IF(VLOOKUP(CONCATENATE(H461,F461,EY$2),Ciencias!$A:$H,7,FALSE)=BM461,1,0)</f>
        <v>#N/A</v>
      </c>
      <c r="EZ461" s="138" t="e">
        <f>IF(VLOOKUP(CONCATENATE(H461,F461,EZ$2),Ciencias!$A:$H,7,FALSE)=BN461,1,0)</f>
        <v>#N/A</v>
      </c>
      <c r="FA461" s="138" t="e">
        <f>IF(VLOOKUP(CONCATENATE(H461,F461,FA$2),Ciencias!$A:$H,7,FALSE)=BO461,1,0)</f>
        <v>#N/A</v>
      </c>
      <c r="FB461" s="138" t="e">
        <f>IF(VLOOKUP(CONCATENATE(H461,F461,FB$2),Ciencias!$A:$H,7,FALSE)=BP461,1,0)</f>
        <v>#N/A</v>
      </c>
      <c r="FC461" s="138" t="e">
        <f>IF(VLOOKUP(CONCATENATE(H461,F461,FC$2),Ciencias!$A:$H,7,FALSE)=BQ461,1,0)</f>
        <v>#N/A</v>
      </c>
      <c r="FD461" s="138" t="e">
        <f>IF(VLOOKUP(CONCATENATE(H461,F461,FD$2),Ciencias!$A:$H,7,FALSE)=BR461,1,0)</f>
        <v>#N/A</v>
      </c>
      <c r="FE461" s="138" t="e">
        <f>IF(VLOOKUP(CONCATENATE(H461,F461,FE$2),Ciencias!$A:$H,7,FALSE)=BS461,1,0)</f>
        <v>#N/A</v>
      </c>
      <c r="FF461" s="138" t="e">
        <f>IF(VLOOKUP(CONCATENATE(H461,F461,FF$2),Ciencias!$A:$H,7,FALSE)=BT461,1,0)</f>
        <v>#N/A</v>
      </c>
      <c r="FG461" s="138" t="e">
        <f>IF(VLOOKUP(CONCATENATE(H461,F461,FG$2),Ciencias!$A:$H,7,FALSE)=BU461,1,0)</f>
        <v>#N/A</v>
      </c>
      <c r="FH461" s="138" t="e">
        <f>IF(VLOOKUP(CONCATENATE(H461,F461,FH$2),Ciencias!$A:$H,7,FALSE)=BV461,1,0)</f>
        <v>#N/A</v>
      </c>
      <c r="FI461" s="138" t="e">
        <f>IF(VLOOKUP(CONCATENATE(H461,F461,FI$2),Ciencias!$A:$H,7,FALSE)=BW461,1,0)</f>
        <v>#N/A</v>
      </c>
      <c r="FJ461" s="138" t="e">
        <f>IF(VLOOKUP(CONCATENATE(H461,F461,FJ$2),Ciencias!$A:$H,7,FALSE)=BX461,1,0)</f>
        <v>#N/A</v>
      </c>
      <c r="FK461" s="138" t="e">
        <f>IF(VLOOKUP(CONCATENATE(H461,F461,FK$2),Ciencias!$A:$H,7,FALSE)=BY461,1,0)</f>
        <v>#N/A</v>
      </c>
      <c r="FL461" s="138" t="e">
        <f>IF(VLOOKUP(CONCATENATE(H461,F461,FL$2),Ciencias!$A:$H,7,FALSE)=BZ461,1,0)</f>
        <v>#N/A</v>
      </c>
      <c r="FM461" s="138" t="e">
        <f>IF(VLOOKUP(CONCATENATE(H461,F461,FM$2),Ciencias!$A:$H,7,FALSE)=CA461,1,0)</f>
        <v>#N/A</v>
      </c>
      <c r="FN461" s="138" t="e">
        <f>IF(VLOOKUP(CONCATENATE(H461,F461,FN$2),Ciencias!$A:$H,7,FALSE)=CB461,1,0)</f>
        <v>#N/A</v>
      </c>
      <c r="FO461" s="138" t="e">
        <f>IF(VLOOKUP(CONCATENATE(H461,F461,FO$2),Ciencias!$A:$H,7,FALSE)=CC461,1,0)</f>
        <v>#N/A</v>
      </c>
      <c r="FP461" s="138" t="e">
        <f>IF(VLOOKUP(CONCATENATE(H461,F461,FP$2),GeoHis!$A:$H,7,FALSE)=CD461,1,0)</f>
        <v>#N/A</v>
      </c>
      <c r="FQ461" s="138" t="e">
        <f>IF(VLOOKUP(CONCATENATE(H461,F461,FQ$2),GeoHis!$A:$H,7,FALSE)=CE461,1,0)</f>
        <v>#N/A</v>
      </c>
      <c r="FR461" s="138" t="e">
        <f>IF(VLOOKUP(CONCATENATE(H461,F461,FR$2),GeoHis!$A:$H,7,FALSE)=CF461,1,0)</f>
        <v>#N/A</v>
      </c>
      <c r="FS461" s="138" t="e">
        <f>IF(VLOOKUP(CONCATENATE(H461,F461,FS$2),GeoHis!$A:$H,7,FALSE)=CG461,1,0)</f>
        <v>#N/A</v>
      </c>
      <c r="FT461" s="138" t="e">
        <f>IF(VLOOKUP(CONCATENATE(H461,F461,FT$2),GeoHis!$A:$H,7,FALSE)=CH461,1,0)</f>
        <v>#N/A</v>
      </c>
      <c r="FU461" s="138" t="e">
        <f>IF(VLOOKUP(CONCATENATE(H461,F461,FU$2),GeoHis!$A:$H,7,FALSE)=CI461,1,0)</f>
        <v>#N/A</v>
      </c>
      <c r="FV461" s="138" t="e">
        <f>IF(VLOOKUP(CONCATENATE(H461,F461,FV$2),GeoHis!$A:$H,7,FALSE)=CJ461,1,0)</f>
        <v>#N/A</v>
      </c>
      <c r="FW461" s="138" t="e">
        <f>IF(VLOOKUP(CONCATENATE(H461,F461,FW$2),GeoHis!$A:$H,7,FALSE)=CK461,1,0)</f>
        <v>#N/A</v>
      </c>
      <c r="FX461" s="138" t="e">
        <f>IF(VLOOKUP(CONCATENATE(H461,F461,FX$2),GeoHis!$A:$H,7,FALSE)=CL461,1,0)</f>
        <v>#N/A</v>
      </c>
      <c r="FY461" s="138" t="e">
        <f>IF(VLOOKUP(CONCATENATE(H461,F461,FY$2),GeoHis!$A:$H,7,FALSE)=CM461,1,0)</f>
        <v>#N/A</v>
      </c>
      <c r="FZ461" s="138" t="e">
        <f>IF(VLOOKUP(CONCATENATE(H461,F461,FZ$2),GeoHis!$A:$H,7,FALSE)=CN461,1,0)</f>
        <v>#N/A</v>
      </c>
      <c r="GA461" s="138" t="e">
        <f>IF(VLOOKUP(CONCATENATE(H461,F461,GA$2),GeoHis!$A:$H,7,FALSE)=CO461,1,0)</f>
        <v>#N/A</v>
      </c>
      <c r="GB461" s="138" t="e">
        <f>IF(VLOOKUP(CONCATENATE(H461,F461,GB$2),GeoHis!$A:$H,7,FALSE)=CP461,1,0)</f>
        <v>#N/A</v>
      </c>
      <c r="GC461" s="138" t="e">
        <f>IF(VLOOKUP(CONCATENATE(H461,F461,GC$2),GeoHis!$A:$H,7,FALSE)=CQ461,1,0)</f>
        <v>#N/A</v>
      </c>
      <c r="GD461" s="138" t="e">
        <f>IF(VLOOKUP(CONCATENATE(H461,F461,GD$2),GeoHis!$A:$H,7,FALSE)=CR461,1,0)</f>
        <v>#N/A</v>
      </c>
      <c r="GE461" s="135" t="str">
        <f t="shared" si="63"/>
        <v/>
      </c>
    </row>
    <row r="462" spans="1:187" x14ac:dyDescent="0.25">
      <c r="A462" s="127" t="str">
        <f>IF(C462="","",'Datos Generales'!$A$25)</f>
        <v/>
      </c>
      <c r="D462" s="126" t="str">
        <f t="shared" si="56"/>
        <v/>
      </c>
      <c r="E462" s="126">
        <f t="shared" si="57"/>
        <v>0</v>
      </c>
      <c r="F462" s="126" t="str">
        <f t="shared" si="58"/>
        <v/>
      </c>
      <c r="G462" s="126" t="str">
        <f>IF(C462="","",'Datos Generales'!$D$19)</f>
        <v/>
      </c>
      <c r="H462" s="21" t="str">
        <f>IF(C462="","",'Datos Generales'!$A$19)</f>
        <v/>
      </c>
      <c r="I462" s="126" t="str">
        <f>IF(C462="","",'Datos Generales'!$A$7)</f>
        <v/>
      </c>
      <c r="J462" s="21" t="str">
        <f>IF(C462="","",'Datos Generales'!$A$13)</f>
        <v/>
      </c>
      <c r="K462" s="21" t="str">
        <f>IF(C462="","",'Datos Generales'!$A$10)</f>
        <v/>
      </c>
      <c r="CS462" s="142" t="str">
        <f t="shared" si="59"/>
        <v/>
      </c>
      <c r="CT462" s="142" t="str">
        <f t="shared" si="60"/>
        <v/>
      </c>
      <c r="CU462" s="142" t="str">
        <f t="shared" si="61"/>
        <v/>
      </c>
      <c r="CV462" s="142" t="str">
        <f t="shared" si="62"/>
        <v/>
      </c>
      <c r="CW462" s="142" t="str">
        <f>IF(C462="","",IF('Datos Generales'!$A$19=1,AVERAGE(FP462:GD462),AVERAGE(Captura!FP462:FY462)))</f>
        <v/>
      </c>
      <c r="CX462" s="138" t="e">
        <f>IF(VLOOKUP(CONCATENATE($H$4,$F$4,CX$2),Español!$A:$H,7,FALSE)=L462,1,0)</f>
        <v>#N/A</v>
      </c>
      <c r="CY462" s="138" t="e">
        <f>IF(VLOOKUP(CONCATENATE(H462,F462,CY$2),Español!$A:$H,7,FALSE)=M462,1,0)</f>
        <v>#N/A</v>
      </c>
      <c r="CZ462" s="138" t="e">
        <f>IF(VLOOKUP(CONCATENATE(H462,F462,CZ$2),Español!$A:$H,7,FALSE)=N462,1,0)</f>
        <v>#N/A</v>
      </c>
      <c r="DA462" s="138" t="e">
        <f>IF(VLOOKUP(CONCATENATE(H462,F462,DA$2),Español!$A:$H,7,FALSE)=O462,1,0)</f>
        <v>#N/A</v>
      </c>
      <c r="DB462" s="138" t="e">
        <f>IF(VLOOKUP(CONCATENATE(H462,F462,DB$2),Español!$A:$H,7,FALSE)=P462,1,0)</f>
        <v>#N/A</v>
      </c>
      <c r="DC462" s="138" t="e">
        <f>IF(VLOOKUP(CONCATENATE(H462,F462,DC$2),Español!$A:$H,7,FALSE)=Q462,1,0)</f>
        <v>#N/A</v>
      </c>
      <c r="DD462" s="138" t="e">
        <f>IF(VLOOKUP(CONCATENATE(H462,F462,DD$2),Español!$A:$H,7,FALSE)=R462,1,0)</f>
        <v>#N/A</v>
      </c>
      <c r="DE462" s="138" t="e">
        <f>IF(VLOOKUP(CONCATENATE(H462,F462,DE$2),Español!$A:$H,7,FALSE)=S462,1,0)</f>
        <v>#N/A</v>
      </c>
      <c r="DF462" s="138" t="e">
        <f>IF(VLOOKUP(CONCATENATE(H462,F462,DF$2),Español!$A:$H,7,FALSE)=T462,1,0)</f>
        <v>#N/A</v>
      </c>
      <c r="DG462" s="138" t="e">
        <f>IF(VLOOKUP(CONCATENATE(H462,F462,DG$2),Español!$A:$H,7,FALSE)=U462,1,0)</f>
        <v>#N/A</v>
      </c>
      <c r="DH462" s="138" t="e">
        <f>IF(VLOOKUP(CONCATENATE(H462,F462,DH$2),Español!$A:$H,7,FALSE)=V462,1,0)</f>
        <v>#N/A</v>
      </c>
      <c r="DI462" s="138" t="e">
        <f>IF(VLOOKUP(CONCATENATE(H462,F462,DI$2),Español!$A:$H,7,FALSE)=W462,1,0)</f>
        <v>#N/A</v>
      </c>
      <c r="DJ462" s="138" t="e">
        <f>IF(VLOOKUP(CONCATENATE(H462,F462,DJ$2),Español!$A:$H,7,FALSE)=X462,1,0)</f>
        <v>#N/A</v>
      </c>
      <c r="DK462" s="138" t="e">
        <f>IF(VLOOKUP(CONCATENATE(H462,F462,DK$2),Español!$A:$H,7,FALSE)=Y462,1,0)</f>
        <v>#N/A</v>
      </c>
      <c r="DL462" s="138" t="e">
        <f>IF(VLOOKUP(CONCATENATE(H462,F462,DL$2),Español!$A:$H,7,FALSE)=Z462,1,0)</f>
        <v>#N/A</v>
      </c>
      <c r="DM462" s="138" t="e">
        <f>IF(VLOOKUP(CONCATENATE(H462,F462,DM$2),Español!$A:$H,7,FALSE)=AA462,1,0)</f>
        <v>#N/A</v>
      </c>
      <c r="DN462" s="138" t="e">
        <f>IF(VLOOKUP(CONCATENATE(H462,F462,DN$2),Español!$A:$H,7,FALSE)=AB462,1,0)</f>
        <v>#N/A</v>
      </c>
      <c r="DO462" s="138" t="e">
        <f>IF(VLOOKUP(CONCATENATE(H462,F462,DO$2),Español!$A:$H,7,FALSE)=AC462,1,0)</f>
        <v>#N/A</v>
      </c>
      <c r="DP462" s="138" t="e">
        <f>IF(VLOOKUP(CONCATENATE(H462,F462,DP$2),Español!$A:$H,7,FALSE)=AD462,1,0)</f>
        <v>#N/A</v>
      </c>
      <c r="DQ462" s="138" t="e">
        <f>IF(VLOOKUP(CONCATENATE(H462,F462,DQ$2),Español!$A:$H,7,FALSE)=AE462,1,0)</f>
        <v>#N/A</v>
      </c>
      <c r="DR462" s="138" t="e">
        <f>IF(VLOOKUP(CONCATENATE(H462,F462,DR$2),Inglés!$A:$H,7,FALSE)=AF462,1,0)</f>
        <v>#N/A</v>
      </c>
      <c r="DS462" s="138" t="e">
        <f>IF(VLOOKUP(CONCATENATE(H462,F462,DS$2),Inglés!$A:$H,7,FALSE)=AG462,1,0)</f>
        <v>#N/A</v>
      </c>
      <c r="DT462" s="138" t="e">
        <f>IF(VLOOKUP(CONCATENATE(H462,F462,DT$2),Inglés!$A:$H,7,FALSE)=AH462,1,0)</f>
        <v>#N/A</v>
      </c>
      <c r="DU462" s="138" t="e">
        <f>IF(VLOOKUP(CONCATENATE(H462,F462,DU$2),Inglés!$A:$H,7,FALSE)=AI462,1,0)</f>
        <v>#N/A</v>
      </c>
      <c r="DV462" s="138" t="e">
        <f>IF(VLOOKUP(CONCATENATE(H462,F462,DV$2),Inglés!$A:$H,7,FALSE)=AJ462,1,0)</f>
        <v>#N/A</v>
      </c>
      <c r="DW462" s="138" t="e">
        <f>IF(VLOOKUP(CONCATENATE(H462,F462,DW$2),Inglés!$A:$H,7,FALSE)=AK462,1,0)</f>
        <v>#N/A</v>
      </c>
      <c r="DX462" s="138" t="e">
        <f>IF(VLOOKUP(CONCATENATE(H462,F462,DX$2),Inglés!$A:$H,7,FALSE)=AL462,1,0)</f>
        <v>#N/A</v>
      </c>
      <c r="DY462" s="138" t="e">
        <f>IF(VLOOKUP(CONCATENATE(H462,F462,DY$2),Inglés!$A:$H,7,FALSE)=AM462,1,0)</f>
        <v>#N/A</v>
      </c>
      <c r="DZ462" s="138" t="e">
        <f>IF(VLOOKUP(CONCATENATE(H462,F462,DZ$2),Inglés!$A:$H,7,FALSE)=AN462,1,0)</f>
        <v>#N/A</v>
      </c>
      <c r="EA462" s="138" t="e">
        <f>IF(VLOOKUP(CONCATENATE(H462,F462,EA$2),Inglés!$A:$H,7,FALSE)=AO462,1,0)</f>
        <v>#N/A</v>
      </c>
      <c r="EB462" s="138" t="e">
        <f>IF(VLOOKUP(CONCATENATE(H462,F462,EB$2),Matemáticas!$A:$H,7,FALSE)=AP462,1,0)</f>
        <v>#N/A</v>
      </c>
      <c r="EC462" s="138" t="e">
        <f>IF(VLOOKUP(CONCATENATE(H462,F462,EC$2),Matemáticas!$A:$H,7,FALSE)=AQ462,1,0)</f>
        <v>#N/A</v>
      </c>
      <c r="ED462" s="138" t="e">
        <f>IF(VLOOKUP(CONCATENATE(H462,F462,ED$2),Matemáticas!$A:$H,7,FALSE)=AR462,1,0)</f>
        <v>#N/A</v>
      </c>
      <c r="EE462" s="138" t="e">
        <f>IF(VLOOKUP(CONCATENATE(H462,F462,EE$2),Matemáticas!$A:$H,7,FALSE)=AS462,1,0)</f>
        <v>#N/A</v>
      </c>
      <c r="EF462" s="138" t="e">
        <f>IF(VLOOKUP(CONCATENATE(H462,F462,EF$2),Matemáticas!$A:$H,7,FALSE)=AT462,1,0)</f>
        <v>#N/A</v>
      </c>
      <c r="EG462" s="138" t="e">
        <f>IF(VLOOKUP(CONCATENATE(H462,F462,EG$2),Matemáticas!$A:$H,7,FALSE)=AU462,1,0)</f>
        <v>#N/A</v>
      </c>
      <c r="EH462" s="138" t="e">
        <f>IF(VLOOKUP(CONCATENATE(H462,F462,EH$2),Matemáticas!$A:$H,7,FALSE)=AV462,1,0)</f>
        <v>#N/A</v>
      </c>
      <c r="EI462" s="138" t="e">
        <f>IF(VLOOKUP(CONCATENATE(H462,F462,EI$2),Matemáticas!$A:$H,7,FALSE)=AW462,1,0)</f>
        <v>#N/A</v>
      </c>
      <c r="EJ462" s="138" t="e">
        <f>IF(VLOOKUP(CONCATENATE(H462,F462,EJ$2),Matemáticas!$A:$H,7,FALSE)=AX462,1,0)</f>
        <v>#N/A</v>
      </c>
      <c r="EK462" s="138" t="e">
        <f>IF(VLOOKUP(CONCATENATE(H462,F462,EK$2),Matemáticas!$A:$H,7,FALSE)=AY462,1,0)</f>
        <v>#N/A</v>
      </c>
      <c r="EL462" s="138" t="e">
        <f>IF(VLOOKUP(CONCATENATE(H462,F462,EL$2),Matemáticas!$A:$H,7,FALSE)=AZ462,1,0)</f>
        <v>#N/A</v>
      </c>
      <c r="EM462" s="138" t="e">
        <f>IF(VLOOKUP(CONCATENATE(H462,F462,EM$2),Matemáticas!$A:$H,7,FALSE)=BA462,1,0)</f>
        <v>#N/A</v>
      </c>
      <c r="EN462" s="138" t="e">
        <f>IF(VLOOKUP(CONCATENATE(H462,F462,EN$2),Matemáticas!$A:$H,7,FALSE)=BB462,1,0)</f>
        <v>#N/A</v>
      </c>
      <c r="EO462" s="138" t="e">
        <f>IF(VLOOKUP(CONCATENATE(H462,F462,EO$2),Matemáticas!$A:$H,7,FALSE)=BC462,1,0)</f>
        <v>#N/A</v>
      </c>
      <c r="EP462" s="138" t="e">
        <f>IF(VLOOKUP(CONCATENATE(H462,F462,EP$2),Matemáticas!$A:$H,7,FALSE)=BD462,1,0)</f>
        <v>#N/A</v>
      </c>
      <c r="EQ462" s="138" t="e">
        <f>IF(VLOOKUP(CONCATENATE(H462,F462,EQ$2),Matemáticas!$A:$H,7,FALSE)=BE462,1,0)</f>
        <v>#N/A</v>
      </c>
      <c r="ER462" s="138" t="e">
        <f>IF(VLOOKUP(CONCATENATE(H462,F462,ER$2),Matemáticas!$A:$H,7,FALSE)=BF462,1,0)</f>
        <v>#N/A</v>
      </c>
      <c r="ES462" s="138" t="e">
        <f>IF(VLOOKUP(CONCATENATE(H462,F462,ES$2),Matemáticas!$A:$H,7,FALSE)=BG462,1,0)</f>
        <v>#N/A</v>
      </c>
      <c r="ET462" s="138" t="e">
        <f>IF(VLOOKUP(CONCATENATE(H462,F462,ET$2),Matemáticas!$A:$H,7,FALSE)=BH462,1,0)</f>
        <v>#N/A</v>
      </c>
      <c r="EU462" s="138" t="e">
        <f>IF(VLOOKUP(CONCATENATE(H462,F462,EU$2),Matemáticas!$A:$H,7,FALSE)=BI462,1,0)</f>
        <v>#N/A</v>
      </c>
      <c r="EV462" s="138" t="e">
        <f>IF(VLOOKUP(CONCATENATE(H462,F462,EV$2),Ciencias!$A:$H,7,FALSE)=BJ462,1,0)</f>
        <v>#N/A</v>
      </c>
      <c r="EW462" s="138" t="e">
        <f>IF(VLOOKUP(CONCATENATE(H462,F462,EW$2),Ciencias!$A:$H,7,FALSE)=BK462,1,0)</f>
        <v>#N/A</v>
      </c>
      <c r="EX462" s="138" t="e">
        <f>IF(VLOOKUP(CONCATENATE(H462,F462,EX$2),Ciencias!$A:$H,7,FALSE)=BL462,1,0)</f>
        <v>#N/A</v>
      </c>
      <c r="EY462" s="138" t="e">
        <f>IF(VLOOKUP(CONCATENATE(H462,F462,EY$2),Ciencias!$A:$H,7,FALSE)=BM462,1,0)</f>
        <v>#N/A</v>
      </c>
      <c r="EZ462" s="138" t="e">
        <f>IF(VLOOKUP(CONCATENATE(H462,F462,EZ$2),Ciencias!$A:$H,7,FALSE)=BN462,1,0)</f>
        <v>#N/A</v>
      </c>
      <c r="FA462" s="138" t="e">
        <f>IF(VLOOKUP(CONCATENATE(H462,F462,FA$2),Ciencias!$A:$H,7,FALSE)=BO462,1,0)</f>
        <v>#N/A</v>
      </c>
      <c r="FB462" s="138" t="e">
        <f>IF(VLOOKUP(CONCATENATE(H462,F462,FB$2),Ciencias!$A:$H,7,FALSE)=BP462,1,0)</f>
        <v>#N/A</v>
      </c>
      <c r="FC462" s="138" t="e">
        <f>IF(VLOOKUP(CONCATENATE(H462,F462,FC$2),Ciencias!$A:$H,7,FALSE)=BQ462,1,0)</f>
        <v>#N/A</v>
      </c>
      <c r="FD462" s="138" t="e">
        <f>IF(VLOOKUP(CONCATENATE(H462,F462,FD$2),Ciencias!$A:$H,7,FALSE)=BR462,1,0)</f>
        <v>#N/A</v>
      </c>
      <c r="FE462" s="138" t="e">
        <f>IF(VLOOKUP(CONCATENATE(H462,F462,FE$2),Ciencias!$A:$H,7,FALSE)=BS462,1,0)</f>
        <v>#N/A</v>
      </c>
      <c r="FF462" s="138" t="e">
        <f>IF(VLOOKUP(CONCATENATE(H462,F462,FF$2),Ciencias!$A:$H,7,FALSE)=BT462,1,0)</f>
        <v>#N/A</v>
      </c>
      <c r="FG462" s="138" t="e">
        <f>IF(VLOOKUP(CONCATENATE(H462,F462,FG$2),Ciencias!$A:$H,7,FALSE)=BU462,1,0)</f>
        <v>#N/A</v>
      </c>
      <c r="FH462" s="138" t="e">
        <f>IF(VLOOKUP(CONCATENATE(H462,F462,FH$2),Ciencias!$A:$H,7,FALSE)=BV462,1,0)</f>
        <v>#N/A</v>
      </c>
      <c r="FI462" s="138" t="e">
        <f>IF(VLOOKUP(CONCATENATE(H462,F462,FI$2),Ciencias!$A:$H,7,FALSE)=BW462,1,0)</f>
        <v>#N/A</v>
      </c>
      <c r="FJ462" s="138" t="e">
        <f>IF(VLOOKUP(CONCATENATE(H462,F462,FJ$2),Ciencias!$A:$H,7,FALSE)=BX462,1,0)</f>
        <v>#N/A</v>
      </c>
      <c r="FK462" s="138" t="e">
        <f>IF(VLOOKUP(CONCATENATE(H462,F462,FK$2),Ciencias!$A:$H,7,FALSE)=BY462,1,0)</f>
        <v>#N/A</v>
      </c>
      <c r="FL462" s="138" t="e">
        <f>IF(VLOOKUP(CONCATENATE(H462,F462,FL$2),Ciencias!$A:$H,7,FALSE)=BZ462,1,0)</f>
        <v>#N/A</v>
      </c>
      <c r="FM462" s="138" t="e">
        <f>IF(VLOOKUP(CONCATENATE(H462,F462,FM$2),Ciencias!$A:$H,7,FALSE)=CA462,1,0)</f>
        <v>#N/A</v>
      </c>
      <c r="FN462" s="138" t="e">
        <f>IF(VLOOKUP(CONCATENATE(H462,F462,FN$2),Ciencias!$A:$H,7,FALSE)=CB462,1,0)</f>
        <v>#N/A</v>
      </c>
      <c r="FO462" s="138" t="e">
        <f>IF(VLOOKUP(CONCATENATE(H462,F462,FO$2),Ciencias!$A:$H,7,FALSE)=CC462,1,0)</f>
        <v>#N/A</v>
      </c>
      <c r="FP462" s="138" t="e">
        <f>IF(VLOOKUP(CONCATENATE(H462,F462,FP$2),GeoHis!$A:$H,7,FALSE)=CD462,1,0)</f>
        <v>#N/A</v>
      </c>
      <c r="FQ462" s="138" t="e">
        <f>IF(VLOOKUP(CONCATENATE(H462,F462,FQ$2),GeoHis!$A:$H,7,FALSE)=CE462,1,0)</f>
        <v>#N/A</v>
      </c>
      <c r="FR462" s="138" t="e">
        <f>IF(VLOOKUP(CONCATENATE(H462,F462,FR$2),GeoHis!$A:$H,7,FALSE)=CF462,1,0)</f>
        <v>#N/A</v>
      </c>
      <c r="FS462" s="138" t="e">
        <f>IF(VLOOKUP(CONCATENATE(H462,F462,FS$2),GeoHis!$A:$H,7,FALSE)=CG462,1,0)</f>
        <v>#N/A</v>
      </c>
      <c r="FT462" s="138" t="e">
        <f>IF(VLOOKUP(CONCATENATE(H462,F462,FT$2),GeoHis!$A:$H,7,FALSE)=CH462,1,0)</f>
        <v>#N/A</v>
      </c>
      <c r="FU462" s="138" t="e">
        <f>IF(VLOOKUP(CONCATENATE(H462,F462,FU$2),GeoHis!$A:$H,7,FALSE)=CI462,1,0)</f>
        <v>#N/A</v>
      </c>
      <c r="FV462" s="138" t="e">
        <f>IF(VLOOKUP(CONCATENATE(H462,F462,FV$2),GeoHis!$A:$H,7,FALSE)=CJ462,1,0)</f>
        <v>#N/A</v>
      </c>
      <c r="FW462" s="138" t="e">
        <f>IF(VLOOKUP(CONCATENATE(H462,F462,FW$2),GeoHis!$A:$H,7,FALSE)=CK462,1,0)</f>
        <v>#N/A</v>
      </c>
      <c r="FX462" s="138" t="e">
        <f>IF(VLOOKUP(CONCATENATE(H462,F462,FX$2),GeoHis!$A:$H,7,FALSE)=CL462,1,0)</f>
        <v>#N/A</v>
      </c>
      <c r="FY462" s="138" t="e">
        <f>IF(VLOOKUP(CONCATENATE(H462,F462,FY$2),GeoHis!$A:$H,7,FALSE)=CM462,1,0)</f>
        <v>#N/A</v>
      </c>
      <c r="FZ462" s="138" t="e">
        <f>IF(VLOOKUP(CONCATENATE(H462,F462,FZ$2),GeoHis!$A:$H,7,FALSE)=CN462,1,0)</f>
        <v>#N/A</v>
      </c>
      <c r="GA462" s="138" t="e">
        <f>IF(VLOOKUP(CONCATENATE(H462,F462,GA$2),GeoHis!$A:$H,7,FALSE)=CO462,1,0)</f>
        <v>#N/A</v>
      </c>
      <c r="GB462" s="138" t="e">
        <f>IF(VLOOKUP(CONCATENATE(H462,F462,GB$2),GeoHis!$A:$H,7,FALSE)=CP462,1,0)</f>
        <v>#N/A</v>
      </c>
      <c r="GC462" s="138" t="e">
        <f>IF(VLOOKUP(CONCATENATE(H462,F462,GC$2),GeoHis!$A:$H,7,FALSE)=CQ462,1,0)</f>
        <v>#N/A</v>
      </c>
      <c r="GD462" s="138" t="e">
        <f>IF(VLOOKUP(CONCATENATE(H462,F462,GD$2),GeoHis!$A:$H,7,FALSE)=CR462,1,0)</f>
        <v>#N/A</v>
      </c>
      <c r="GE462" s="135" t="str">
        <f t="shared" si="63"/>
        <v/>
      </c>
    </row>
    <row r="463" spans="1:187" x14ac:dyDescent="0.25">
      <c r="A463" s="127" t="str">
        <f>IF(C463="","",'Datos Generales'!$A$25)</f>
        <v/>
      </c>
      <c r="D463" s="126" t="str">
        <f t="shared" si="56"/>
        <v/>
      </c>
      <c r="E463" s="126">
        <f t="shared" si="57"/>
        <v>0</v>
      </c>
      <c r="F463" s="126" t="str">
        <f t="shared" si="58"/>
        <v/>
      </c>
      <c r="G463" s="126" t="str">
        <f>IF(C463="","",'Datos Generales'!$D$19)</f>
        <v/>
      </c>
      <c r="H463" s="21" t="str">
        <f>IF(C463="","",'Datos Generales'!$A$19)</f>
        <v/>
      </c>
      <c r="I463" s="126" t="str">
        <f>IF(C463="","",'Datos Generales'!$A$7)</f>
        <v/>
      </c>
      <c r="J463" s="21" t="str">
        <f>IF(C463="","",'Datos Generales'!$A$13)</f>
        <v/>
      </c>
      <c r="K463" s="21" t="str">
        <f>IF(C463="","",'Datos Generales'!$A$10)</f>
        <v/>
      </c>
      <c r="CS463" s="142" t="str">
        <f t="shared" si="59"/>
        <v/>
      </c>
      <c r="CT463" s="142" t="str">
        <f t="shared" si="60"/>
        <v/>
      </c>
      <c r="CU463" s="142" t="str">
        <f t="shared" si="61"/>
        <v/>
      </c>
      <c r="CV463" s="142" t="str">
        <f t="shared" si="62"/>
        <v/>
      </c>
      <c r="CW463" s="142" t="str">
        <f>IF(C463="","",IF('Datos Generales'!$A$19=1,AVERAGE(FP463:GD463),AVERAGE(Captura!FP463:FY463)))</f>
        <v/>
      </c>
      <c r="CX463" s="138" t="e">
        <f>IF(VLOOKUP(CONCATENATE($H$4,$F$4,CX$2),Español!$A:$H,7,FALSE)=L463,1,0)</f>
        <v>#N/A</v>
      </c>
      <c r="CY463" s="138" t="e">
        <f>IF(VLOOKUP(CONCATENATE(H463,F463,CY$2),Español!$A:$H,7,FALSE)=M463,1,0)</f>
        <v>#N/A</v>
      </c>
      <c r="CZ463" s="138" t="e">
        <f>IF(VLOOKUP(CONCATENATE(H463,F463,CZ$2),Español!$A:$H,7,FALSE)=N463,1,0)</f>
        <v>#N/A</v>
      </c>
      <c r="DA463" s="138" t="e">
        <f>IF(VLOOKUP(CONCATENATE(H463,F463,DA$2),Español!$A:$H,7,FALSE)=O463,1,0)</f>
        <v>#N/A</v>
      </c>
      <c r="DB463" s="138" t="e">
        <f>IF(VLOOKUP(CONCATENATE(H463,F463,DB$2),Español!$A:$H,7,FALSE)=P463,1,0)</f>
        <v>#N/A</v>
      </c>
      <c r="DC463" s="138" t="e">
        <f>IF(VLOOKUP(CONCATENATE(H463,F463,DC$2),Español!$A:$H,7,FALSE)=Q463,1,0)</f>
        <v>#N/A</v>
      </c>
      <c r="DD463" s="138" t="e">
        <f>IF(VLOOKUP(CONCATENATE(H463,F463,DD$2),Español!$A:$H,7,FALSE)=R463,1,0)</f>
        <v>#N/A</v>
      </c>
      <c r="DE463" s="138" t="e">
        <f>IF(VLOOKUP(CONCATENATE(H463,F463,DE$2),Español!$A:$H,7,FALSE)=S463,1,0)</f>
        <v>#N/A</v>
      </c>
      <c r="DF463" s="138" t="e">
        <f>IF(VLOOKUP(CONCATENATE(H463,F463,DF$2),Español!$A:$H,7,FALSE)=T463,1,0)</f>
        <v>#N/A</v>
      </c>
      <c r="DG463" s="138" t="e">
        <f>IF(VLOOKUP(CONCATENATE(H463,F463,DG$2),Español!$A:$H,7,FALSE)=U463,1,0)</f>
        <v>#N/A</v>
      </c>
      <c r="DH463" s="138" t="e">
        <f>IF(VLOOKUP(CONCATENATE(H463,F463,DH$2),Español!$A:$H,7,FALSE)=V463,1,0)</f>
        <v>#N/A</v>
      </c>
      <c r="DI463" s="138" t="e">
        <f>IF(VLOOKUP(CONCATENATE(H463,F463,DI$2),Español!$A:$H,7,FALSE)=W463,1,0)</f>
        <v>#N/A</v>
      </c>
      <c r="DJ463" s="138" t="e">
        <f>IF(VLOOKUP(CONCATENATE(H463,F463,DJ$2),Español!$A:$H,7,FALSE)=X463,1,0)</f>
        <v>#N/A</v>
      </c>
      <c r="DK463" s="138" t="e">
        <f>IF(VLOOKUP(CONCATENATE(H463,F463,DK$2),Español!$A:$H,7,FALSE)=Y463,1,0)</f>
        <v>#N/A</v>
      </c>
      <c r="DL463" s="138" t="e">
        <f>IF(VLOOKUP(CONCATENATE(H463,F463,DL$2),Español!$A:$H,7,FALSE)=Z463,1,0)</f>
        <v>#N/A</v>
      </c>
      <c r="DM463" s="138" t="e">
        <f>IF(VLOOKUP(CONCATENATE(H463,F463,DM$2),Español!$A:$H,7,FALSE)=AA463,1,0)</f>
        <v>#N/A</v>
      </c>
      <c r="DN463" s="138" t="e">
        <f>IF(VLOOKUP(CONCATENATE(H463,F463,DN$2),Español!$A:$H,7,FALSE)=AB463,1,0)</f>
        <v>#N/A</v>
      </c>
      <c r="DO463" s="138" t="e">
        <f>IF(VLOOKUP(CONCATENATE(H463,F463,DO$2),Español!$A:$H,7,FALSE)=AC463,1,0)</f>
        <v>#N/A</v>
      </c>
      <c r="DP463" s="138" t="e">
        <f>IF(VLOOKUP(CONCATENATE(H463,F463,DP$2),Español!$A:$H,7,FALSE)=AD463,1,0)</f>
        <v>#N/A</v>
      </c>
      <c r="DQ463" s="138" t="e">
        <f>IF(VLOOKUP(CONCATENATE(H463,F463,DQ$2),Español!$A:$H,7,FALSE)=AE463,1,0)</f>
        <v>#N/A</v>
      </c>
      <c r="DR463" s="138" t="e">
        <f>IF(VLOOKUP(CONCATENATE(H463,F463,DR$2),Inglés!$A:$H,7,FALSE)=AF463,1,0)</f>
        <v>#N/A</v>
      </c>
      <c r="DS463" s="138" t="e">
        <f>IF(VLOOKUP(CONCATENATE(H463,F463,DS$2),Inglés!$A:$H,7,FALSE)=AG463,1,0)</f>
        <v>#N/A</v>
      </c>
      <c r="DT463" s="138" t="e">
        <f>IF(VLOOKUP(CONCATENATE(H463,F463,DT$2),Inglés!$A:$H,7,FALSE)=AH463,1,0)</f>
        <v>#N/A</v>
      </c>
      <c r="DU463" s="138" t="e">
        <f>IF(VLOOKUP(CONCATENATE(H463,F463,DU$2),Inglés!$A:$H,7,FALSE)=AI463,1,0)</f>
        <v>#N/A</v>
      </c>
      <c r="DV463" s="138" t="e">
        <f>IF(VLOOKUP(CONCATENATE(H463,F463,DV$2),Inglés!$A:$H,7,FALSE)=AJ463,1,0)</f>
        <v>#N/A</v>
      </c>
      <c r="DW463" s="138" t="e">
        <f>IF(VLOOKUP(CONCATENATE(H463,F463,DW$2),Inglés!$A:$H,7,FALSE)=AK463,1,0)</f>
        <v>#N/A</v>
      </c>
      <c r="DX463" s="138" t="e">
        <f>IF(VLOOKUP(CONCATENATE(H463,F463,DX$2),Inglés!$A:$H,7,FALSE)=AL463,1,0)</f>
        <v>#N/A</v>
      </c>
      <c r="DY463" s="138" t="e">
        <f>IF(VLOOKUP(CONCATENATE(H463,F463,DY$2),Inglés!$A:$H,7,FALSE)=AM463,1,0)</f>
        <v>#N/A</v>
      </c>
      <c r="DZ463" s="138" t="e">
        <f>IF(VLOOKUP(CONCATENATE(H463,F463,DZ$2),Inglés!$A:$H,7,FALSE)=AN463,1,0)</f>
        <v>#N/A</v>
      </c>
      <c r="EA463" s="138" t="e">
        <f>IF(VLOOKUP(CONCATENATE(H463,F463,EA$2),Inglés!$A:$H,7,FALSE)=AO463,1,0)</f>
        <v>#N/A</v>
      </c>
      <c r="EB463" s="138" t="e">
        <f>IF(VLOOKUP(CONCATENATE(H463,F463,EB$2),Matemáticas!$A:$H,7,FALSE)=AP463,1,0)</f>
        <v>#N/A</v>
      </c>
      <c r="EC463" s="138" t="e">
        <f>IF(VLOOKUP(CONCATENATE(H463,F463,EC$2),Matemáticas!$A:$H,7,FALSE)=AQ463,1,0)</f>
        <v>#N/A</v>
      </c>
      <c r="ED463" s="138" t="e">
        <f>IF(VLOOKUP(CONCATENATE(H463,F463,ED$2),Matemáticas!$A:$H,7,FALSE)=AR463,1,0)</f>
        <v>#N/A</v>
      </c>
      <c r="EE463" s="138" t="e">
        <f>IF(VLOOKUP(CONCATENATE(H463,F463,EE$2),Matemáticas!$A:$H,7,FALSE)=AS463,1,0)</f>
        <v>#N/A</v>
      </c>
      <c r="EF463" s="138" t="e">
        <f>IF(VLOOKUP(CONCATENATE(H463,F463,EF$2),Matemáticas!$A:$H,7,FALSE)=AT463,1,0)</f>
        <v>#N/A</v>
      </c>
      <c r="EG463" s="138" t="e">
        <f>IF(VLOOKUP(CONCATENATE(H463,F463,EG$2),Matemáticas!$A:$H,7,FALSE)=AU463,1,0)</f>
        <v>#N/A</v>
      </c>
      <c r="EH463" s="138" t="e">
        <f>IF(VLOOKUP(CONCATENATE(H463,F463,EH$2),Matemáticas!$A:$H,7,FALSE)=AV463,1,0)</f>
        <v>#N/A</v>
      </c>
      <c r="EI463" s="138" t="e">
        <f>IF(VLOOKUP(CONCATENATE(H463,F463,EI$2),Matemáticas!$A:$H,7,FALSE)=AW463,1,0)</f>
        <v>#N/A</v>
      </c>
      <c r="EJ463" s="138" t="e">
        <f>IF(VLOOKUP(CONCATENATE(H463,F463,EJ$2),Matemáticas!$A:$H,7,FALSE)=AX463,1,0)</f>
        <v>#N/A</v>
      </c>
      <c r="EK463" s="138" t="e">
        <f>IF(VLOOKUP(CONCATENATE(H463,F463,EK$2),Matemáticas!$A:$H,7,FALSE)=AY463,1,0)</f>
        <v>#N/A</v>
      </c>
      <c r="EL463" s="138" t="e">
        <f>IF(VLOOKUP(CONCATENATE(H463,F463,EL$2),Matemáticas!$A:$H,7,FALSE)=AZ463,1,0)</f>
        <v>#N/A</v>
      </c>
      <c r="EM463" s="138" t="e">
        <f>IF(VLOOKUP(CONCATENATE(H463,F463,EM$2),Matemáticas!$A:$H,7,FALSE)=BA463,1,0)</f>
        <v>#N/A</v>
      </c>
      <c r="EN463" s="138" t="e">
        <f>IF(VLOOKUP(CONCATENATE(H463,F463,EN$2),Matemáticas!$A:$H,7,FALSE)=BB463,1,0)</f>
        <v>#N/A</v>
      </c>
      <c r="EO463" s="138" t="e">
        <f>IF(VLOOKUP(CONCATENATE(H463,F463,EO$2),Matemáticas!$A:$H,7,FALSE)=BC463,1,0)</f>
        <v>#N/A</v>
      </c>
      <c r="EP463" s="138" t="e">
        <f>IF(VLOOKUP(CONCATENATE(H463,F463,EP$2),Matemáticas!$A:$H,7,FALSE)=BD463,1,0)</f>
        <v>#N/A</v>
      </c>
      <c r="EQ463" s="138" t="e">
        <f>IF(VLOOKUP(CONCATENATE(H463,F463,EQ$2),Matemáticas!$A:$H,7,FALSE)=BE463,1,0)</f>
        <v>#N/A</v>
      </c>
      <c r="ER463" s="138" t="e">
        <f>IF(VLOOKUP(CONCATENATE(H463,F463,ER$2),Matemáticas!$A:$H,7,FALSE)=BF463,1,0)</f>
        <v>#N/A</v>
      </c>
      <c r="ES463" s="138" t="e">
        <f>IF(VLOOKUP(CONCATENATE(H463,F463,ES$2),Matemáticas!$A:$H,7,FALSE)=BG463,1,0)</f>
        <v>#N/A</v>
      </c>
      <c r="ET463" s="138" t="e">
        <f>IF(VLOOKUP(CONCATENATE(H463,F463,ET$2),Matemáticas!$A:$H,7,FALSE)=BH463,1,0)</f>
        <v>#N/A</v>
      </c>
      <c r="EU463" s="138" t="e">
        <f>IF(VLOOKUP(CONCATENATE(H463,F463,EU$2),Matemáticas!$A:$H,7,FALSE)=BI463,1,0)</f>
        <v>#N/A</v>
      </c>
      <c r="EV463" s="138" t="e">
        <f>IF(VLOOKUP(CONCATENATE(H463,F463,EV$2),Ciencias!$A:$H,7,FALSE)=BJ463,1,0)</f>
        <v>#N/A</v>
      </c>
      <c r="EW463" s="138" t="e">
        <f>IF(VLOOKUP(CONCATENATE(H463,F463,EW$2),Ciencias!$A:$H,7,FALSE)=BK463,1,0)</f>
        <v>#N/A</v>
      </c>
      <c r="EX463" s="138" t="e">
        <f>IF(VLOOKUP(CONCATENATE(H463,F463,EX$2),Ciencias!$A:$H,7,FALSE)=BL463,1,0)</f>
        <v>#N/A</v>
      </c>
      <c r="EY463" s="138" t="e">
        <f>IF(VLOOKUP(CONCATENATE(H463,F463,EY$2),Ciencias!$A:$H,7,FALSE)=BM463,1,0)</f>
        <v>#N/A</v>
      </c>
      <c r="EZ463" s="138" t="e">
        <f>IF(VLOOKUP(CONCATENATE(H463,F463,EZ$2),Ciencias!$A:$H,7,FALSE)=BN463,1,0)</f>
        <v>#N/A</v>
      </c>
      <c r="FA463" s="138" t="e">
        <f>IF(VLOOKUP(CONCATENATE(H463,F463,FA$2),Ciencias!$A:$H,7,FALSE)=BO463,1,0)</f>
        <v>#N/A</v>
      </c>
      <c r="FB463" s="138" t="e">
        <f>IF(VLOOKUP(CONCATENATE(H463,F463,FB$2),Ciencias!$A:$H,7,FALSE)=BP463,1,0)</f>
        <v>#N/A</v>
      </c>
      <c r="FC463" s="138" t="e">
        <f>IF(VLOOKUP(CONCATENATE(H463,F463,FC$2),Ciencias!$A:$H,7,FALSE)=BQ463,1,0)</f>
        <v>#N/A</v>
      </c>
      <c r="FD463" s="138" t="e">
        <f>IF(VLOOKUP(CONCATENATE(H463,F463,FD$2),Ciencias!$A:$H,7,FALSE)=BR463,1,0)</f>
        <v>#N/A</v>
      </c>
      <c r="FE463" s="138" t="e">
        <f>IF(VLOOKUP(CONCATENATE(H463,F463,FE$2),Ciencias!$A:$H,7,FALSE)=BS463,1,0)</f>
        <v>#N/A</v>
      </c>
      <c r="FF463" s="138" t="e">
        <f>IF(VLOOKUP(CONCATENATE(H463,F463,FF$2),Ciencias!$A:$H,7,FALSE)=BT463,1,0)</f>
        <v>#N/A</v>
      </c>
      <c r="FG463" s="138" t="e">
        <f>IF(VLOOKUP(CONCATENATE(H463,F463,FG$2),Ciencias!$A:$H,7,FALSE)=BU463,1,0)</f>
        <v>#N/A</v>
      </c>
      <c r="FH463" s="138" t="e">
        <f>IF(VLOOKUP(CONCATENATE(H463,F463,FH$2),Ciencias!$A:$H,7,FALSE)=BV463,1,0)</f>
        <v>#N/A</v>
      </c>
      <c r="FI463" s="138" t="e">
        <f>IF(VLOOKUP(CONCATENATE(H463,F463,FI$2),Ciencias!$A:$H,7,FALSE)=BW463,1,0)</f>
        <v>#N/A</v>
      </c>
      <c r="FJ463" s="138" t="e">
        <f>IF(VLOOKUP(CONCATENATE(H463,F463,FJ$2),Ciencias!$A:$H,7,FALSE)=BX463,1,0)</f>
        <v>#N/A</v>
      </c>
      <c r="FK463" s="138" t="e">
        <f>IF(VLOOKUP(CONCATENATE(H463,F463,FK$2),Ciencias!$A:$H,7,FALSE)=BY463,1,0)</f>
        <v>#N/A</v>
      </c>
      <c r="FL463" s="138" t="e">
        <f>IF(VLOOKUP(CONCATENATE(H463,F463,FL$2),Ciencias!$A:$H,7,FALSE)=BZ463,1,0)</f>
        <v>#N/A</v>
      </c>
      <c r="FM463" s="138" t="e">
        <f>IF(VLOOKUP(CONCATENATE(H463,F463,FM$2),Ciencias!$A:$H,7,FALSE)=CA463,1,0)</f>
        <v>#N/A</v>
      </c>
      <c r="FN463" s="138" t="e">
        <f>IF(VLOOKUP(CONCATENATE(H463,F463,FN$2),Ciencias!$A:$H,7,FALSE)=CB463,1,0)</f>
        <v>#N/A</v>
      </c>
      <c r="FO463" s="138" t="e">
        <f>IF(VLOOKUP(CONCATENATE(H463,F463,FO$2),Ciencias!$A:$H,7,FALSE)=CC463,1,0)</f>
        <v>#N/A</v>
      </c>
      <c r="FP463" s="138" t="e">
        <f>IF(VLOOKUP(CONCATENATE(H463,F463,FP$2),GeoHis!$A:$H,7,FALSE)=CD463,1,0)</f>
        <v>#N/A</v>
      </c>
      <c r="FQ463" s="138" t="e">
        <f>IF(VLOOKUP(CONCATENATE(H463,F463,FQ$2),GeoHis!$A:$H,7,FALSE)=CE463,1,0)</f>
        <v>#N/A</v>
      </c>
      <c r="FR463" s="138" t="e">
        <f>IF(VLOOKUP(CONCATENATE(H463,F463,FR$2),GeoHis!$A:$H,7,FALSE)=CF463,1,0)</f>
        <v>#N/A</v>
      </c>
      <c r="FS463" s="138" t="e">
        <f>IF(VLOOKUP(CONCATENATE(H463,F463,FS$2),GeoHis!$A:$H,7,FALSE)=CG463,1,0)</f>
        <v>#N/A</v>
      </c>
      <c r="FT463" s="138" t="e">
        <f>IF(VLOOKUP(CONCATENATE(H463,F463,FT$2),GeoHis!$A:$H,7,FALSE)=CH463,1,0)</f>
        <v>#N/A</v>
      </c>
      <c r="FU463" s="138" t="e">
        <f>IF(VLOOKUP(CONCATENATE(H463,F463,FU$2),GeoHis!$A:$H,7,FALSE)=CI463,1,0)</f>
        <v>#N/A</v>
      </c>
      <c r="FV463" s="138" t="e">
        <f>IF(VLOOKUP(CONCATENATE(H463,F463,FV$2),GeoHis!$A:$H,7,FALSE)=CJ463,1,0)</f>
        <v>#N/A</v>
      </c>
      <c r="FW463" s="138" t="e">
        <f>IF(VLOOKUP(CONCATENATE(H463,F463,FW$2),GeoHis!$A:$H,7,FALSE)=CK463,1,0)</f>
        <v>#N/A</v>
      </c>
      <c r="FX463" s="138" t="e">
        <f>IF(VLOOKUP(CONCATENATE(H463,F463,FX$2),GeoHis!$A:$H,7,FALSE)=CL463,1,0)</f>
        <v>#N/A</v>
      </c>
      <c r="FY463" s="138" t="e">
        <f>IF(VLOOKUP(CONCATENATE(H463,F463,FY$2),GeoHis!$A:$H,7,FALSE)=CM463,1,0)</f>
        <v>#N/A</v>
      </c>
      <c r="FZ463" s="138" t="e">
        <f>IF(VLOOKUP(CONCATENATE(H463,F463,FZ$2),GeoHis!$A:$H,7,FALSE)=CN463,1,0)</f>
        <v>#N/A</v>
      </c>
      <c r="GA463" s="138" t="e">
        <f>IF(VLOOKUP(CONCATENATE(H463,F463,GA$2),GeoHis!$A:$H,7,FALSE)=CO463,1,0)</f>
        <v>#N/A</v>
      </c>
      <c r="GB463" s="138" t="e">
        <f>IF(VLOOKUP(CONCATENATE(H463,F463,GB$2),GeoHis!$A:$H,7,FALSE)=CP463,1,0)</f>
        <v>#N/A</v>
      </c>
      <c r="GC463" s="138" t="e">
        <f>IF(VLOOKUP(CONCATENATE(H463,F463,GC$2),GeoHis!$A:$H,7,FALSE)=CQ463,1,0)</f>
        <v>#N/A</v>
      </c>
      <c r="GD463" s="138" t="e">
        <f>IF(VLOOKUP(CONCATENATE(H463,F463,GD$2),GeoHis!$A:$H,7,FALSE)=CR463,1,0)</f>
        <v>#N/A</v>
      </c>
      <c r="GE463" s="135" t="str">
        <f t="shared" si="63"/>
        <v/>
      </c>
    </row>
    <row r="464" spans="1:187" x14ac:dyDescent="0.25">
      <c r="A464" s="127" t="str">
        <f>IF(C464="","",'Datos Generales'!$A$25)</f>
        <v/>
      </c>
      <c r="D464" s="126" t="str">
        <f t="shared" si="56"/>
        <v/>
      </c>
      <c r="E464" s="126">
        <f t="shared" si="57"/>
        <v>0</v>
      </c>
      <c r="F464" s="126" t="str">
        <f t="shared" si="58"/>
        <v/>
      </c>
      <c r="G464" s="126" t="str">
        <f>IF(C464="","",'Datos Generales'!$D$19)</f>
        <v/>
      </c>
      <c r="H464" s="21" t="str">
        <f>IF(C464="","",'Datos Generales'!$A$19)</f>
        <v/>
      </c>
      <c r="I464" s="126" t="str">
        <f>IF(C464="","",'Datos Generales'!$A$7)</f>
        <v/>
      </c>
      <c r="J464" s="21" t="str">
        <f>IF(C464="","",'Datos Generales'!$A$13)</f>
        <v/>
      </c>
      <c r="K464" s="21" t="str">
        <f>IF(C464="","",'Datos Generales'!$A$10)</f>
        <v/>
      </c>
      <c r="CS464" s="142" t="str">
        <f t="shared" si="59"/>
        <v/>
      </c>
      <c r="CT464" s="142" t="str">
        <f t="shared" si="60"/>
        <v/>
      </c>
      <c r="CU464" s="142" t="str">
        <f t="shared" si="61"/>
        <v/>
      </c>
      <c r="CV464" s="142" t="str">
        <f t="shared" si="62"/>
        <v/>
      </c>
      <c r="CW464" s="142" t="str">
        <f>IF(C464="","",IF('Datos Generales'!$A$19=1,AVERAGE(FP464:GD464),AVERAGE(Captura!FP464:FY464)))</f>
        <v/>
      </c>
      <c r="CX464" s="138" t="e">
        <f>IF(VLOOKUP(CONCATENATE($H$4,$F$4,CX$2),Español!$A:$H,7,FALSE)=L464,1,0)</f>
        <v>#N/A</v>
      </c>
      <c r="CY464" s="138" t="e">
        <f>IF(VLOOKUP(CONCATENATE(H464,F464,CY$2),Español!$A:$H,7,FALSE)=M464,1,0)</f>
        <v>#N/A</v>
      </c>
      <c r="CZ464" s="138" t="e">
        <f>IF(VLOOKUP(CONCATENATE(H464,F464,CZ$2),Español!$A:$H,7,FALSE)=N464,1,0)</f>
        <v>#N/A</v>
      </c>
      <c r="DA464" s="138" t="e">
        <f>IF(VLOOKUP(CONCATENATE(H464,F464,DA$2),Español!$A:$H,7,FALSE)=O464,1,0)</f>
        <v>#N/A</v>
      </c>
      <c r="DB464" s="138" t="e">
        <f>IF(VLOOKUP(CONCATENATE(H464,F464,DB$2),Español!$A:$H,7,FALSE)=P464,1,0)</f>
        <v>#N/A</v>
      </c>
      <c r="DC464" s="138" t="e">
        <f>IF(VLOOKUP(CONCATENATE(H464,F464,DC$2),Español!$A:$H,7,FALSE)=Q464,1,0)</f>
        <v>#N/A</v>
      </c>
      <c r="DD464" s="138" t="e">
        <f>IF(VLOOKUP(CONCATENATE(H464,F464,DD$2),Español!$A:$H,7,FALSE)=R464,1,0)</f>
        <v>#N/A</v>
      </c>
      <c r="DE464" s="138" t="e">
        <f>IF(VLOOKUP(CONCATENATE(H464,F464,DE$2),Español!$A:$H,7,FALSE)=S464,1,0)</f>
        <v>#N/A</v>
      </c>
      <c r="DF464" s="138" t="e">
        <f>IF(VLOOKUP(CONCATENATE(H464,F464,DF$2),Español!$A:$H,7,FALSE)=T464,1,0)</f>
        <v>#N/A</v>
      </c>
      <c r="DG464" s="138" t="e">
        <f>IF(VLOOKUP(CONCATENATE(H464,F464,DG$2),Español!$A:$H,7,FALSE)=U464,1,0)</f>
        <v>#N/A</v>
      </c>
      <c r="DH464" s="138" t="e">
        <f>IF(VLOOKUP(CONCATENATE(H464,F464,DH$2),Español!$A:$H,7,FALSE)=V464,1,0)</f>
        <v>#N/A</v>
      </c>
      <c r="DI464" s="138" t="e">
        <f>IF(VLOOKUP(CONCATENATE(H464,F464,DI$2),Español!$A:$H,7,FALSE)=W464,1,0)</f>
        <v>#N/A</v>
      </c>
      <c r="DJ464" s="138" t="e">
        <f>IF(VLOOKUP(CONCATENATE(H464,F464,DJ$2),Español!$A:$H,7,FALSE)=X464,1,0)</f>
        <v>#N/A</v>
      </c>
      <c r="DK464" s="138" t="e">
        <f>IF(VLOOKUP(CONCATENATE(H464,F464,DK$2),Español!$A:$H,7,FALSE)=Y464,1,0)</f>
        <v>#N/A</v>
      </c>
      <c r="DL464" s="138" t="e">
        <f>IF(VLOOKUP(CONCATENATE(H464,F464,DL$2),Español!$A:$H,7,FALSE)=Z464,1,0)</f>
        <v>#N/A</v>
      </c>
      <c r="DM464" s="138" t="e">
        <f>IF(VLOOKUP(CONCATENATE(H464,F464,DM$2),Español!$A:$H,7,FALSE)=AA464,1,0)</f>
        <v>#N/A</v>
      </c>
      <c r="DN464" s="138" t="e">
        <f>IF(VLOOKUP(CONCATENATE(H464,F464,DN$2),Español!$A:$H,7,FALSE)=AB464,1,0)</f>
        <v>#N/A</v>
      </c>
      <c r="DO464" s="138" t="e">
        <f>IF(VLOOKUP(CONCATENATE(H464,F464,DO$2),Español!$A:$H,7,FALSE)=AC464,1,0)</f>
        <v>#N/A</v>
      </c>
      <c r="DP464" s="138" t="e">
        <f>IF(VLOOKUP(CONCATENATE(H464,F464,DP$2),Español!$A:$H,7,FALSE)=AD464,1,0)</f>
        <v>#N/A</v>
      </c>
      <c r="DQ464" s="138" t="e">
        <f>IF(VLOOKUP(CONCATENATE(H464,F464,DQ$2),Español!$A:$H,7,FALSE)=AE464,1,0)</f>
        <v>#N/A</v>
      </c>
      <c r="DR464" s="138" t="e">
        <f>IF(VLOOKUP(CONCATENATE(H464,F464,DR$2),Inglés!$A:$H,7,FALSE)=AF464,1,0)</f>
        <v>#N/A</v>
      </c>
      <c r="DS464" s="138" t="e">
        <f>IF(VLOOKUP(CONCATENATE(H464,F464,DS$2),Inglés!$A:$H,7,FALSE)=AG464,1,0)</f>
        <v>#N/A</v>
      </c>
      <c r="DT464" s="138" t="e">
        <f>IF(VLOOKUP(CONCATENATE(H464,F464,DT$2),Inglés!$A:$H,7,FALSE)=AH464,1,0)</f>
        <v>#N/A</v>
      </c>
      <c r="DU464" s="138" t="e">
        <f>IF(VLOOKUP(CONCATENATE(H464,F464,DU$2),Inglés!$A:$H,7,FALSE)=AI464,1,0)</f>
        <v>#N/A</v>
      </c>
      <c r="DV464" s="138" t="e">
        <f>IF(VLOOKUP(CONCATENATE(H464,F464,DV$2),Inglés!$A:$H,7,FALSE)=AJ464,1,0)</f>
        <v>#N/A</v>
      </c>
      <c r="DW464" s="138" t="e">
        <f>IF(VLOOKUP(CONCATENATE(H464,F464,DW$2),Inglés!$A:$H,7,FALSE)=AK464,1,0)</f>
        <v>#N/A</v>
      </c>
      <c r="DX464" s="138" t="e">
        <f>IF(VLOOKUP(CONCATENATE(H464,F464,DX$2),Inglés!$A:$H,7,FALSE)=AL464,1,0)</f>
        <v>#N/A</v>
      </c>
      <c r="DY464" s="138" t="e">
        <f>IF(VLOOKUP(CONCATENATE(H464,F464,DY$2),Inglés!$A:$H,7,FALSE)=AM464,1,0)</f>
        <v>#N/A</v>
      </c>
      <c r="DZ464" s="138" t="e">
        <f>IF(VLOOKUP(CONCATENATE(H464,F464,DZ$2),Inglés!$A:$H,7,FALSE)=AN464,1,0)</f>
        <v>#N/A</v>
      </c>
      <c r="EA464" s="138" t="e">
        <f>IF(VLOOKUP(CONCATENATE(H464,F464,EA$2),Inglés!$A:$H,7,FALSE)=AO464,1,0)</f>
        <v>#N/A</v>
      </c>
      <c r="EB464" s="138" t="e">
        <f>IF(VLOOKUP(CONCATENATE(H464,F464,EB$2),Matemáticas!$A:$H,7,FALSE)=AP464,1,0)</f>
        <v>#N/A</v>
      </c>
      <c r="EC464" s="138" t="e">
        <f>IF(VLOOKUP(CONCATENATE(H464,F464,EC$2),Matemáticas!$A:$H,7,FALSE)=AQ464,1,0)</f>
        <v>#N/A</v>
      </c>
      <c r="ED464" s="138" t="e">
        <f>IF(VLOOKUP(CONCATENATE(H464,F464,ED$2),Matemáticas!$A:$H,7,FALSE)=AR464,1,0)</f>
        <v>#N/A</v>
      </c>
      <c r="EE464" s="138" t="e">
        <f>IF(VLOOKUP(CONCATENATE(H464,F464,EE$2),Matemáticas!$A:$H,7,FALSE)=AS464,1,0)</f>
        <v>#N/A</v>
      </c>
      <c r="EF464" s="138" t="e">
        <f>IF(VLOOKUP(CONCATENATE(H464,F464,EF$2),Matemáticas!$A:$H,7,FALSE)=AT464,1,0)</f>
        <v>#N/A</v>
      </c>
      <c r="EG464" s="138" t="e">
        <f>IF(VLOOKUP(CONCATENATE(H464,F464,EG$2),Matemáticas!$A:$H,7,FALSE)=AU464,1,0)</f>
        <v>#N/A</v>
      </c>
      <c r="EH464" s="138" t="e">
        <f>IF(VLOOKUP(CONCATENATE(H464,F464,EH$2),Matemáticas!$A:$H,7,FALSE)=AV464,1,0)</f>
        <v>#N/A</v>
      </c>
      <c r="EI464" s="138" t="e">
        <f>IF(VLOOKUP(CONCATENATE(H464,F464,EI$2),Matemáticas!$A:$H,7,FALSE)=AW464,1,0)</f>
        <v>#N/A</v>
      </c>
      <c r="EJ464" s="138" t="e">
        <f>IF(VLOOKUP(CONCATENATE(H464,F464,EJ$2),Matemáticas!$A:$H,7,FALSE)=AX464,1,0)</f>
        <v>#N/A</v>
      </c>
      <c r="EK464" s="138" t="e">
        <f>IF(VLOOKUP(CONCATENATE(H464,F464,EK$2),Matemáticas!$A:$H,7,FALSE)=AY464,1,0)</f>
        <v>#N/A</v>
      </c>
      <c r="EL464" s="138" t="e">
        <f>IF(VLOOKUP(CONCATENATE(H464,F464,EL$2),Matemáticas!$A:$H,7,FALSE)=AZ464,1,0)</f>
        <v>#N/A</v>
      </c>
      <c r="EM464" s="138" t="e">
        <f>IF(VLOOKUP(CONCATENATE(H464,F464,EM$2),Matemáticas!$A:$H,7,FALSE)=BA464,1,0)</f>
        <v>#N/A</v>
      </c>
      <c r="EN464" s="138" t="e">
        <f>IF(VLOOKUP(CONCATENATE(H464,F464,EN$2),Matemáticas!$A:$H,7,FALSE)=BB464,1,0)</f>
        <v>#N/A</v>
      </c>
      <c r="EO464" s="138" t="e">
        <f>IF(VLOOKUP(CONCATENATE(H464,F464,EO$2),Matemáticas!$A:$H,7,FALSE)=BC464,1,0)</f>
        <v>#N/A</v>
      </c>
      <c r="EP464" s="138" t="e">
        <f>IF(VLOOKUP(CONCATENATE(H464,F464,EP$2),Matemáticas!$A:$H,7,FALSE)=BD464,1,0)</f>
        <v>#N/A</v>
      </c>
      <c r="EQ464" s="138" t="e">
        <f>IF(VLOOKUP(CONCATENATE(H464,F464,EQ$2),Matemáticas!$A:$H,7,FALSE)=BE464,1,0)</f>
        <v>#N/A</v>
      </c>
      <c r="ER464" s="138" t="e">
        <f>IF(VLOOKUP(CONCATENATE(H464,F464,ER$2),Matemáticas!$A:$H,7,FALSE)=BF464,1,0)</f>
        <v>#N/A</v>
      </c>
      <c r="ES464" s="138" t="e">
        <f>IF(VLOOKUP(CONCATENATE(H464,F464,ES$2),Matemáticas!$A:$H,7,FALSE)=BG464,1,0)</f>
        <v>#N/A</v>
      </c>
      <c r="ET464" s="138" t="e">
        <f>IF(VLOOKUP(CONCATENATE(H464,F464,ET$2),Matemáticas!$A:$H,7,FALSE)=BH464,1,0)</f>
        <v>#N/A</v>
      </c>
      <c r="EU464" s="138" t="e">
        <f>IF(VLOOKUP(CONCATENATE(H464,F464,EU$2),Matemáticas!$A:$H,7,FALSE)=BI464,1,0)</f>
        <v>#N/A</v>
      </c>
      <c r="EV464" s="138" t="e">
        <f>IF(VLOOKUP(CONCATENATE(H464,F464,EV$2),Ciencias!$A:$H,7,FALSE)=BJ464,1,0)</f>
        <v>#N/A</v>
      </c>
      <c r="EW464" s="138" t="e">
        <f>IF(VLOOKUP(CONCATENATE(H464,F464,EW$2),Ciencias!$A:$H,7,FALSE)=BK464,1,0)</f>
        <v>#N/A</v>
      </c>
      <c r="EX464" s="138" t="e">
        <f>IF(VLOOKUP(CONCATENATE(H464,F464,EX$2),Ciencias!$A:$H,7,FALSE)=BL464,1,0)</f>
        <v>#N/A</v>
      </c>
      <c r="EY464" s="138" t="e">
        <f>IF(VLOOKUP(CONCATENATE(H464,F464,EY$2),Ciencias!$A:$H,7,FALSE)=BM464,1,0)</f>
        <v>#N/A</v>
      </c>
      <c r="EZ464" s="138" t="e">
        <f>IF(VLOOKUP(CONCATENATE(H464,F464,EZ$2),Ciencias!$A:$H,7,FALSE)=BN464,1,0)</f>
        <v>#N/A</v>
      </c>
      <c r="FA464" s="138" t="e">
        <f>IF(VLOOKUP(CONCATENATE(H464,F464,FA$2),Ciencias!$A:$H,7,FALSE)=BO464,1,0)</f>
        <v>#N/A</v>
      </c>
      <c r="FB464" s="138" t="e">
        <f>IF(VLOOKUP(CONCATENATE(H464,F464,FB$2),Ciencias!$A:$H,7,FALSE)=BP464,1,0)</f>
        <v>#N/A</v>
      </c>
      <c r="FC464" s="138" t="e">
        <f>IF(VLOOKUP(CONCATENATE(H464,F464,FC$2),Ciencias!$A:$H,7,FALSE)=BQ464,1,0)</f>
        <v>#N/A</v>
      </c>
      <c r="FD464" s="138" t="e">
        <f>IF(VLOOKUP(CONCATENATE(H464,F464,FD$2),Ciencias!$A:$H,7,FALSE)=BR464,1,0)</f>
        <v>#N/A</v>
      </c>
      <c r="FE464" s="138" t="e">
        <f>IF(VLOOKUP(CONCATENATE(H464,F464,FE$2),Ciencias!$A:$H,7,FALSE)=BS464,1,0)</f>
        <v>#N/A</v>
      </c>
      <c r="FF464" s="138" t="e">
        <f>IF(VLOOKUP(CONCATENATE(H464,F464,FF$2),Ciencias!$A:$H,7,FALSE)=BT464,1,0)</f>
        <v>#N/A</v>
      </c>
      <c r="FG464" s="138" t="e">
        <f>IF(VLOOKUP(CONCATENATE(H464,F464,FG$2),Ciencias!$A:$H,7,FALSE)=BU464,1,0)</f>
        <v>#N/A</v>
      </c>
      <c r="FH464" s="138" t="e">
        <f>IF(VLOOKUP(CONCATENATE(H464,F464,FH$2),Ciencias!$A:$H,7,FALSE)=BV464,1,0)</f>
        <v>#N/A</v>
      </c>
      <c r="FI464" s="138" t="e">
        <f>IF(VLOOKUP(CONCATENATE(H464,F464,FI$2),Ciencias!$A:$H,7,FALSE)=BW464,1,0)</f>
        <v>#N/A</v>
      </c>
      <c r="FJ464" s="138" t="e">
        <f>IF(VLOOKUP(CONCATENATE(H464,F464,FJ$2),Ciencias!$A:$H,7,FALSE)=BX464,1,0)</f>
        <v>#N/A</v>
      </c>
      <c r="FK464" s="138" t="e">
        <f>IF(VLOOKUP(CONCATENATE(H464,F464,FK$2),Ciencias!$A:$H,7,FALSE)=BY464,1,0)</f>
        <v>#N/A</v>
      </c>
      <c r="FL464" s="138" t="e">
        <f>IF(VLOOKUP(CONCATENATE(H464,F464,FL$2),Ciencias!$A:$H,7,FALSE)=BZ464,1,0)</f>
        <v>#N/A</v>
      </c>
      <c r="FM464" s="138" t="e">
        <f>IF(VLOOKUP(CONCATENATE(H464,F464,FM$2),Ciencias!$A:$H,7,FALSE)=CA464,1,0)</f>
        <v>#N/A</v>
      </c>
      <c r="FN464" s="138" t="e">
        <f>IF(VLOOKUP(CONCATENATE(H464,F464,FN$2),Ciencias!$A:$H,7,FALSE)=CB464,1,0)</f>
        <v>#N/A</v>
      </c>
      <c r="FO464" s="138" t="e">
        <f>IF(VLOOKUP(CONCATENATE(H464,F464,FO$2),Ciencias!$A:$H,7,FALSE)=CC464,1,0)</f>
        <v>#N/A</v>
      </c>
      <c r="FP464" s="138" t="e">
        <f>IF(VLOOKUP(CONCATENATE(H464,F464,FP$2),GeoHis!$A:$H,7,FALSE)=CD464,1,0)</f>
        <v>#N/A</v>
      </c>
      <c r="FQ464" s="138" t="e">
        <f>IF(VLOOKUP(CONCATENATE(H464,F464,FQ$2),GeoHis!$A:$H,7,FALSE)=CE464,1,0)</f>
        <v>#N/A</v>
      </c>
      <c r="FR464" s="138" t="e">
        <f>IF(VLOOKUP(CONCATENATE(H464,F464,FR$2),GeoHis!$A:$H,7,FALSE)=CF464,1,0)</f>
        <v>#N/A</v>
      </c>
      <c r="FS464" s="138" t="e">
        <f>IF(VLOOKUP(CONCATENATE(H464,F464,FS$2),GeoHis!$A:$H,7,FALSE)=CG464,1,0)</f>
        <v>#N/A</v>
      </c>
      <c r="FT464" s="138" t="e">
        <f>IF(VLOOKUP(CONCATENATE(H464,F464,FT$2),GeoHis!$A:$H,7,FALSE)=CH464,1,0)</f>
        <v>#N/A</v>
      </c>
      <c r="FU464" s="138" t="e">
        <f>IF(VLOOKUP(CONCATENATE(H464,F464,FU$2),GeoHis!$A:$H,7,FALSE)=CI464,1,0)</f>
        <v>#N/A</v>
      </c>
      <c r="FV464" s="138" t="e">
        <f>IF(VLOOKUP(CONCATENATE(H464,F464,FV$2),GeoHis!$A:$H,7,FALSE)=CJ464,1,0)</f>
        <v>#N/A</v>
      </c>
      <c r="FW464" s="138" t="e">
        <f>IF(VLOOKUP(CONCATENATE(H464,F464,FW$2),GeoHis!$A:$H,7,FALSE)=CK464,1,0)</f>
        <v>#N/A</v>
      </c>
      <c r="FX464" s="138" t="e">
        <f>IF(VLOOKUP(CONCATENATE(H464,F464,FX$2),GeoHis!$A:$H,7,FALSE)=CL464,1,0)</f>
        <v>#N/A</v>
      </c>
      <c r="FY464" s="138" t="e">
        <f>IF(VLOOKUP(CONCATENATE(H464,F464,FY$2),GeoHis!$A:$H,7,FALSE)=CM464,1,0)</f>
        <v>#N/A</v>
      </c>
      <c r="FZ464" s="138" t="e">
        <f>IF(VLOOKUP(CONCATENATE(H464,F464,FZ$2),GeoHis!$A:$H,7,FALSE)=CN464,1,0)</f>
        <v>#N/A</v>
      </c>
      <c r="GA464" s="138" t="e">
        <f>IF(VLOOKUP(CONCATENATE(H464,F464,GA$2),GeoHis!$A:$H,7,FALSE)=CO464,1,0)</f>
        <v>#N/A</v>
      </c>
      <c r="GB464" s="138" t="e">
        <f>IF(VLOOKUP(CONCATENATE(H464,F464,GB$2),GeoHis!$A:$H,7,FALSE)=CP464,1,0)</f>
        <v>#N/A</v>
      </c>
      <c r="GC464" s="138" t="e">
        <f>IF(VLOOKUP(CONCATENATE(H464,F464,GC$2),GeoHis!$A:$H,7,FALSE)=CQ464,1,0)</f>
        <v>#N/A</v>
      </c>
      <c r="GD464" s="138" t="e">
        <f>IF(VLOOKUP(CONCATENATE(H464,F464,GD$2),GeoHis!$A:$H,7,FALSE)=CR464,1,0)</f>
        <v>#N/A</v>
      </c>
      <c r="GE464" s="135" t="str">
        <f t="shared" si="63"/>
        <v/>
      </c>
    </row>
    <row r="465" spans="1:187" x14ac:dyDescent="0.25">
      <c r="A465" s="127" t="str">
        <f>IF(C465="","",'Datos Generales'!$A$25)</f>
        <v/>
      </c>
      <c r="D465" s="126" t="str">
        <f t="shared" si="56"/>
        <v/>
      </c>
      <c r="E465" s="126">
        <f t="shared" si="57"/>
        <v>0</v>
      </c>
      <c r="F465" s="126" t="str">
        <f t="shared" si="58"/>
        <v/>
      </c>
      <c r="G465" s="126" t="str">
        <f>IF(C465="","",'Datos Generales'!$D$19)</f>
        <v/>
      </c>
      <c r="H465" s="21" t="str">
        <f>IF(C465="","",'Datos Generales'!$A$19)</f>
        <v/>
      </c>
      <c r="I465" s="126" t="str">
        <f>IF(C465="","",'Datos Generales'!$A$7)</f>
        <v/>
      </c>
      <c r="J465" s="21" t="str">
        <f>IF(C465="","",'Datos Generales'!$A$13)</f>
        <v/>
      </c>
      <c r="K465" s="21" t="str">
        <f>IF(C465="","",'Datos Generales'!$A$10)</f>
        <v/>
      </c>
      <c r="CS465" s="142" t="str">
        <f t="shared" si="59"/>
        <v/>
      </c>
      <c r="CT465" s="142" t="str">
        <f t="shared" si="60"/>
        <v/>
      </c>
      <c r="CU465" s="142" t="str">
        <f t="shared" si="61"/>
        <v/>
      </c>
      <c r="CV465" s="142" t="str">
        <f t="shared" si="62"/>
        <v/>
      </c>
      <c r="CW465" s="142" t="str">
        <f>IF(C465="","",IF('Datos Generales'!$A$19=1,AVERAGE(FP465:GD465),AVERAGE(Captura!FP465:FY465)))</f>
        <v/>
      </c>
      <c r="CX465" s="138" t="e">
        <f>IF(VLOOKUP(CONCATENATE($H$4,$F$4,CX$2),Español!$A:$H,7,FALSE)=L465,1,0)</f>
        <v>#N/A</v>
      </c>
      <c r="CY465" s="138" t="e">
        <f>IF(VLOOKUP(CONCATENATE(H465,F465,CY$2),Español!$A:$H,7,FALSE)=M465,1,0)</f>
        <v>#N/A</v>
      </c>
      <c r="CZ465" s="138" t="e">
        <f>IF(VLOOKUP(CONCATENATE(H465,F465,CZ$2),Español!$A:$H,7,FALSE)=N465,1,0)</f>
        <v>#N/A</v>
      </c>
      <c r="DA465" s="138" t="e">
        <f>IF(VLOOKUP(CONCATENATE(H465,F465,DA$2),Español!$A:$H,7,FALSE)=O465,1,0)</f>
        <v>#N/A</v>
      </c>
      <c r="DB465" s="138" t="e">
        <f>IF(VLOOKUP(CONCATENATE(H465,F465,DB$2),Español!$A:$H,7,FALSE)=P465,1,0)</f>
        <v>#N/A</v>
      </c>
      <c r="DC465" s="138" t="e">
        <f>IF(VLOOKUP(CONCATENATE(H465,F465,DC$2),Español!$A:$H,7,FALSE)=Q465,1,0)</f>
        <v>#N/A</v>
      </c>
      <c r="DD465" s="138" t="e">
        <f>IF(VLOOKUP(CONCATENATE(H465,F465,DD$2),Español!$A:$H,7,FALSE)=R465,1,0)</f>
        <v>#N/A</v>
      </c>
      <c r="DE465" s="138" t="e">
        <f>IF(VLOOKUP(CONCATENATE(H465,F465,DE$2),Español!$A:$H,7,FALSE)=S465,1,0)</f>
        <v>#N/A</v>
      </c>
      <c r="DF465" s="138" t="e">
        <f>IF(VLOOKUP(CONCATENATE(H465,F465,DF$2),Español!$A:$H,7,FALSE)=T465,1,0)</f>
        <v>#N/A</v>
      </c>
      <c r="DG465" s="138" t="e">
        <f>IF(VLOOKUP(CONCATENATE(H465,F465,DG$2),Español!$A:$H,7,FALSE)=U465,1,0)</f>
        <v>#N/A</v>
      </c>
      <c r="DH465" s="138" t="e">
        <f>IF(VLOOKUP(CONCATENATE(H465,F465,DH$2),Español!$A:$H,7,FALSE)=V465,1,0)</f>
        <v>#N/A</v>
      </c>
      <c r="DI465" s="138" t="e">
        <f>IF(VLOOKUP(CONCATENATE(H465,F465,DI$2),Español!$A:$H,7,FALSE)=W465,1,0)</f>
        <v>#N/A</v>
      </c>
      <c r="DJ465" s="138" t="e">
        <f>IF(VLOOKUP(CONCATENATE(H465,F465,DJ$2),Español!$A:$H,7,FALSE)=X465,1,0)</f>
        <v>#N/A</v>
      </c>
      <c r="DK465" s="138" t="e">
        <f>IF(VLOOKUP(CONCATENATE(H465,F465,DK$2),Español!$A:$H,7,FALSE)=Y465,1,0)</f>
        <v>#N/A</v>
      </c>
      <c r="DL465" s="138" t="e">
        <f>IF(VLOOKUP(CONCATENATE(H465,F465,DL$2),Español!$A:$H,7,FALSE)=Z465,1,0)</f>
        <v>#N/A</v>
      </c>
      <c r="DM465" s="138" t="e">
        <f>IF(VLOOKUP(CONCATENATE(H465,F465,DM$2),Español!$A:$H,7,FALSE)=AA465,1,0)</f>
        <v>#N/A</v>
      </c>
      <c r="DN465" s="138" t="e">
        <f>IF(VLOOKUP(CONCATENATE(H465,F465,DN$2),Español!$A:$H,7,FALSE)=AB465,1,0)</f>
        <v>#N/A</v>
      </c>
      <c r="DO465" s="138" t="e">
        <f>IF(VLOOKUP(CONCATENATE(H465,F465,DO$2),Español!$A:$H,7,FALSE)=AC465,1,0)</f>
        <v>#N/A</v>
      </c>
      <c r="DP465" s="138" t="e">
        <f>IF(VLOOKUP(CONCATENATE(H465,F465,DP$2),Español!$A:$H,7,FALSE)=AD465,1,0)</f>
        <v>#N/A</v>
      </c>
      <c r="DQ465" s="138" t="e">
        <f>IF(VLOOKUP(CONCATENATE(H465,F465,DQ$2),Español!$A:$H,7,FALSE)=AE465,1,0)</f>
        <v>#N/A</v>
      </c>
      <c r="DR465" s="138" t="e">
        <f>IF(VLOOKUP(CONCATENATE(H465,F465,DR$2),Inglés!$A:$H,7,FALSE)=AF465,1,0)</f>
        <v>#N/A</v>
      </c>
      <c r="DS465" s="138" t="e">
        <f>IF(VLOOKUP(CONCATENATE(H465,F465,DS$2),Inglés!$A:$H,7,FALSE)=AG465,1,0)</f>
        <v>#N/A</v>
      </c>
      <c r="DT465" s="138" t="e">
        <f>IF(VLOOKUP(CONCATENATE(H465,F465,DT$2),Inglés!$A:$H,7,FALSE)=AH465,1,0)</f>
        <v>#N/A</v>
      </c>
      <c r="DU465" s="138" t="e">
        <f>IF(VLOOKUP(CONCATENATE(H465,F465,DU$2),Inglés!$A:$H,7,FALSE)=AI465,1,0)</f>
        <v>#N/A</v>
      </c>
      <c r="DV465" s="138" t="e">
        <f>IF(VLOOKUP(CONCATENATE(H465,F465,DV$2),Inglés!$A:$H,7,FALSE)=AJ465,1,0)</f>
        <v>#N/A</v>
      </c>
      <c r="DW465" s="138" t="e">
        <f>IF(VLOOKUP(CONCATENATE(H465,F465,DW$2),Inglés!$A:$H,7,FALSE)=AK465,1,0)</f>
        <v>#N/A</v>
      </c>
      <c r="DX465" s="138" t="e">
        <f>IF(VLOOKUP(CONCATENATE(H465,F465,DX$2),Inglés!$A:$H,7,FALSE)=AL465,1,0)</f>
        <v>#N/A</v>
      </c>
      <c r="DY465" s="138" t="e">
        <f>IF(VLOOKUP(CONCATENATE(H465,F465,DY$2),Inglés!$A:$H,7,FALSE)=AM465,1,0)</f>
        <v>#N/A</v>
      </c>
      <c r="DZ465" s="138" t="e">
        <f>IF(VLOOKUP(CONCATENATE(H465,F465,DZ$2),Inglés!$A:$H,7,FALSE)=AN465,1,0)</f>
        <v>#N/A</v>
      </c>
      <c r="EA465" s="138" t="e">
        <f>IF(VLOOKUP(CONCATENATE(H465,F465,EA$2),Inglés!$A:$H,7,FALSE)=AO465,1,0)</f>
        <v>#N/A</v>
      </c>
      <c r="EB465" s="138" t="e">
        <f>IF(VLOOKUP(CONCATENATE(H465,F465,EB$2),Matemáticas!$A:$H,7,FALSE)=AP465,1,0)</f>
        <v>#N/A</v>
      </c>
      <c r="EC465" s="138" t="e">
        <f>IF(VLOOKUP(CONCATENATE(H465,F465,EC$2),Matemáticas!$A:$H,7,FALSE)=AQ465,1,0)</f>
        <v>#N/A</v>
      </c>
      <c r="ED465" s="138" t="e">
        <f>IF(VLOOKUP(CONCATENATE(H465,F465,ED$2),Matemáticas!$A:$H,7,FALSE)=AR465,1,0)</f>
        <v>#N/A</v>
      </c>
      <c r="EE465" s="138" t="e">
        <f>IF(VLOOKUP(CONCATENATE(H465,F465,EE$2),Matemáticas!$A:$H,7,FALSE)=AS465,1,0)</f>
        <v>#N/A</v>
      </c>
      <c r="EF465" s="138" t="e">
        <f>IF(VLOOKUP(CONCATENATE(H465,F465,EF$2),Matemáticas!$A:$H,7,FALSE)=AT465,1,0)</f>
        <v>#N/A</v>
      </c>
      <c r="EG465" s="138" t="e">
        <f>IF(VLOOKUP(CONCATENATE(H465,F465,EG$2),Matemáticas!$A:$H,7,FALSE)=AU465,1,0)</f>
        <v>#N/A</v>
      </c>
      <c r="EH465" s="138" t="e">
        <f>IF(VLOOKUP(CONCATENATE(H465,F465,EH$2),Matemáticas!$A:$H,7,FALSE)=AV465,1,0)</f>
        <v>#N/A</v>
      </c>
      <c r="EI465" s="138" t="e">
        <f>IF(VLOOKUP(CONCATENATE(H465,F465,EI$2),Matemáticas!$A:$H,7,FALSE)=AW465,1,0)</f>
        <v>#N/A</v>
      </c>
      <c r="EJ465" s="138" t="e">
        <f>IF(VLOOKUP(CONCATENATE(H465,F465,EJ$2),Matemáticas!$A:$H,7,FALSE)=AX465,1,0)</f>
        <v>#N/A</v>
      </c>
      <c r="EK465" s="138" t="e">
        <f>IF(VLOOKUP(CONCATENATE(H465,F465,EK$2),Matemáticas!$A:$H,7,FALSE)=AY465,1,0)</f>
        <v>#N/A</v>
      </c>
      <c r="EL465" s="138" t="e">
        <f>IF(VLOOKUP(CONCATENATE(H465,F465,EL$2),Matemáticas!$A:$H,7,FALSE)=AZ465,1,0)</f>
        <v>#N/A</v>
      </c>
      <c r="EM465" s="138" t="e">
        <f>IF(VLOOKUP(CONCATENATE(H465,F465,EM$2),Matemáticas!$A:$H,7,FALSE)=BA465,1,0)</f>
        <v>#N/A</v>
      </c>
      <c r="EN465" s="138" t="e">
        <f>IF(VLOOKUP(CONCATENATE(H465,F465,EN$2),Matemáticas!$A:$H,7,FALSE)=BB465,1,0)</f>
        <v>#N/A</v>
      </c>
      <c r="EO465" s="138" t="e">
        <f>IF(VLOOKUP(CONCATENATE(H465,F465,EO$2),Matemáticas!$A:$H,7,FALSE)=BC465,1,0)</f>
        <v>#N/A</v>
      </c>
      <c r="EP465" s="138" t="e">
        <f>IF(VLOOKUP(CONCATENATE(H465,F465,EP$2),Matemáticas!$A:$H,7,FALSE)=BD465,1,0)</f>
        <v>#N/A</v>
      </c>
      <c r="EQ465" s="138" t="e">
        <f>IF(VLOOKUP(CONCATENATE(H465,F465,EQ$2),Matemáticas!$A:$H,7,FALSE)=BE465,1,0)</f>
        <v>#N/A</v>
      </c>
      <c r="ER465" s="138" t="e">
        <f>IF(VLOOKUP(CONCATENATE(H465,F465,ER$2),Matemáticas!$A:$H,7,FALSE)=BF465,1,0)</f>
        <v>#N/A</v>
      </c>
      <c r="ES465" s="138" t="e">
        <f>IF(VLOOKUP(CONCATENATE(H465,F465,ES$2),Matemáticas!$A:$H,7,FALSE)=BG465,1,0)</f>
        <v>#N/A</v>
      </c>
      <c r="ET465" s="138" t="e">
        <f>IF(VLOOKUP(CONCATENATE(H465,F465,ET$2),Matemáticas!$A:$H,7,FALSE)=BH465,1,0)</f>
        <v>#N/A</v>
      </c>
      <c r="EU465" s="138" t="e">
        <f>IF(VLOOKUP(CONCATENATE(H465,F465,EU$2),Matemáticas!$A:$H,7,FALSE)=BI465,1,0)</f>
        <v>#N/A</v>
      </c>
      <c r="EV465" s="138" t="e">
        <f>IF(VLOOKUP(CONCATENATE(H465,F465,EV$2),Ciencias!$A:$H,7,FALSE)=BJ465,1,0)</f>
        <v>#N/A</v>
      </c>
      <c r="EW465" s="138" t="e">
        <f>IF(VLOOKUP(CONCATENATE(H465,F465,EW$2),Ciencias!$A:$H,7,FALSE)=BK465,1,0)</f>
        <v>#N/A</v>
      </c>
      <c r="EX465" s="138" t="e">
        <f>IF(VLOOKUP(CONCATENATE(H465,F465,EX$2),Ciencias!$A:$H,7,FALSE)=BL465,1,0)</f>
        <v>#N/A</v>
      </c>
      <c r="EY465" s="138" t="e">
        <f>IF(VLOOKUP(CONCATENATE(H465,F465,EY$2),Ciencias!$A:$H,7,FALSE)=BM465,1,0)</f>
        <v>#N/A</v>
      </c>
      <c r="EZ465" s="138" t="e">
        <f>IF(VLOOKUP(CONCATENATE(H465,F465,EZ$2),Ciencias!$A:$H,7,FALSE)=BN465,1,0)</f>
        <v>#N/A</v>
      </c>
      <c r="FA465" s="138" t="e">
        <f>IF(VLOOKUP(CONCATENATE(H465,F465,FA$2),Ciencias!$A:$H,7,FALSE)=BO465,1,0)</f>
        <v>#N/A</v>
      </c>
      <c r="FB465" s="138" t="e">
        <f>IF(VLOOKUP(CONCATENATE(H465,F465,FB$2),Ciencias!$A:$H,7,FALSE)=BP465,1,0)</f>
        <v>#N/A</v>
      </c>
      <c r="FC465" s="138" t="e">
        <f>IF(VLOOKUP(CONCATENATE(H465,F465,FC$2),Ciencias!$A:$H,7,FALSE)=BQ465,1,0)</f>
        <v>#N/A</v>
      </c>
      <c r="FD465" s="138" t="e">
        <f>IF(VLOOKUP(CONCATENATE(H465,F465,FD$2),Ciencias!$A:$H,7,FALSE)=BR465,1,0)</f>
        <v>#N/A</v>
      </c>
      <c r="FE465" s="138" t="e">
        <f>IF(VLOOKUP(CONCATENATE(H465,F465,FE$2),Ciencias!$A:$H,7,FALSE)=BS465,1,0)</f>
        <v>#N/A</v>
      </c>
      <c r="FF465" s="138" t="e">
        <f>IF(VLOOKUP(CONCATENATE(H465,F465,FF$2),Ciencias!$A:$H,7,FALSE)=BT465,1,0)</f>
        <v>#N/A</v>
      </c>
      <c r="FG465" s="138" t="e">
        <f>IF(VLOOKUP(CONCATENATE(H465,F465,FG$2),Ciencias!$A:$H,7,FALSE)=BU465,1,0)</f>
        <v>#N/A</v>
      </c>
      <c r="FH465" s="138" t="e">
        <f>IF(VLOOKUP(CONCATENATE(H465,F465,FH$2),Ciencias!$A:$H,7,FALSE)=BV465,1,0)</f>
        <v>#N/A</v>
      </c>
      <c r="FI465" s="138" t="e">
        <f>IF(VLOOKUP(CONCATENATE(H465,F465,FI$2),Ciencias!$A:$H,7,FALSE)=BW465,1,0)</f>
        <v>#N/A</v>
      </c>
      <c r="FJ465" s="138" t="e">
        <f>IF(VLOOKUP(CONCATENATE(H465,F465,FJ$2),Ciencias!$A:$H,7,FALSE)=BX465,1,0)</f>
        <v>#N/A</v>
      </c>
      <c r="FK465" s="138" t="e">
        <f>IF(VLOOKUP(CONCATENATE(H465,F465,FK$2),Ciencias!$A:$H,7,FALSE)=BY465,1,0)</f>
        <v>#N/A</v>
      </c>
      <c r="FL465" s="138" t="e">
        <f>IF(VLOOKUP(CONCATENATE(H465,F465,FL$2),Ciencias!$A:$H,7,FALSE)=BZ465,1,0)</f>
        <v>#N/A</v>
      </c>
      <c r="FM465" s="138" t="e">
        <f>IF(VLOOKUP(CONCATENATE(H465,F465,FM$2),Ciencias!$A:$H,7,FALSE)=CA465,1,0)</f>
        <v>#N/A</v>
      </c>
      <c r="FN465" s="138" t="e">
        <f>IF(VLOOKUP(CONCATENATE(H465,F465,FN$2),Ciencias!$A:$H,7,FALSE)=CB465,1,0)</f>
        <v>#N/A</v>
      </c>
      <c r="FO465" s="138" t="e">
        <f>IF(VLOOKUP(CONCATENATE(H465,F465,FO$2),Ciencias!$A:$H,7,FALSE)=CC465,1,0)</f>
        <v>#N/A</v>
      </c>
      <c r="FP465" s="138" t="e">
        <f>IF(VLOOKUP(CONCATENATE(H465,F465,FP$2),GeoHis!$A:$H,7,FALSE)=CD465,1,0)</f>
        <v>#N/A</v>
      </c>
      <c r="FQ465" s="138" t="e">
        <f>IF(VLOOKUP(CONCATENATE(H465,F465,FQ$2),GeoHis!$A:$H,7,FALSE)=CE465,1,0)</f>
        <v>#N/A</v>
      </c>
      <c r="FR465" s="138" t="e">
        <f>IF(VLOOKUP(CONCATENATE(H465,F465,FR$2),GeoHis!$A:$H,7,FALSE)=CF465,1,0)</f>
        <v>#N/A</v>
      </c>
      <c r="FS465" s="138" t="e">
        <f>IF(VLOOKUP(CONCATENATE(H465,F465,FS$2),GeoHis!$A:$H,7,FALSE)=CG465,1,0)</f>
        <v>#N/A</v>
      </c>
      <c r="FT465" s="138" t="e">
        <f>IF(VLOOKUP(CONCATENATE(H465,F465,FT$2),GeoHis!$A:$H,7,FALSE)=CH465,1,0)</f>
        <v>#N/A</v>
      </c>
      <c r="FU465" s="138" t="e">
        <f>IF(VLOOKUP(CONCATENATE(H465,F465,FU$2),GeoHis!$A:$H,7,FALSE)=CI465,1,0)</f>
        <v>#N/A</v>
      </c>
      <c r="FV465" s="138" t="e">
        <f>IF(VLOOKUP(CONCATENATE(H465,F465,FV$2),GeoHis!$A:$H,7,FALSE)=CJ465,1,0)</f>
        <v>#N/A</v>
      </c>
      <c r="FW465" s="138" t="e">
        <f>IF(VLOOKUP(CONCATENATE(H465,F465,FW$2),GeoHis!$A:$H,7,FALSE)=CK465,1,0)</f>
        <v>#N/A</v>
      </c>
      <c r="FX465" s="138" t="e">
        <f>IF(VLOOKUP(CONCATENATE(H465,F465,FX$2),GeoHis!$A:$H,7,FALSE)=CL465,1,0)</f>
        <v>#N/A</v>
      </c>
      <c r="FY465" s="138" t="e">
        <f>IF(VLOOKUP(CONCATENATE(H465,F465,FY$2),GeoHis!$A:$H,7,FALSE)=CM465,1,0)</f>
        <v>#N/A</v>
      </c>
      <c r="FZ465" s="138" t="e">
        <f>IF(VLOOKUP(CONCATENATE(H465,F465,FZ$2),GeoHis!$A:$H,7,FALSE)=CN465,1,0)</f>
        <v>#N/A</v>
      </c>
      <c r="GA465" s="138" t="e">
        <f>IF(VLOOKUP(CONCATENATE(H465,F465,GA$2),GeoHis!$A:$H,7,FALSE)=CO465,1,0)</f>
        <v>#N/A</v>
      </c>
      <c r="GB465" s="138" t="e">
        <f>IF(VLOOKUP(CONCATENATE(H465,F465,GB$2),GeoHis!$A:$H,7,FALSE)=CP465,1,0)</f>
        <v>#N/A</v>
      </c>
      <c r="GC465" s="138" t="e">
        <f>IF(VLOOKUP(CONCATENATE(H465,F465,GC$2),GeoHis!$A:$H,7,FALSE)=CQ465,1,0)</f>
        <v>#N/A</v>
      </c>
      <c r="GD465" s="138" t="e">
        <f>IF(VLOOKUP(CONCATENATE(H465,F465,GD$2),GeoHis!$A:$H,7,FALSE)=CR465,1,0)</f>
        <v>#N/A</v>
      </c>
      <c r="GE465" s="135" t="str">
        <f t="shared" si="63"/>
        <v/>
      </c>
    </row>
    <row r="466" spans="1:187" x14ac:dyDescent="0.25">
      <c r="A466" s="127" t="str">
        <f>IF(C466="","",'Datos Generales'!$A$25)</f>
        <v/>
      </c>
      <c r="D466" s="126" t="str">
        <f t="shared" si="56"/>
        <v/>
      </c>
      <c r="E466" s="126">
        <f t="shared" si="57"/>
        <v>0</v>
      </c>
      <c r="F466" s="126" t="str">
        <f t="shared" si="58"/>
        <v/>
      </c>
      <c r="G466" s="126" t="str">
        <f>IF(C466="","",'Datos Generales'!$D$19)</f>
        <v/>
      </c>
      <c r="H466" s="21" t="str">
        <f>IF(C466="","",'Datos Generales'!$A$19)</f>
        <v/>
      </c>
      <c r="I466" s="126" t="str">
        <f>IF(C466="","",'Datos Generales'!$A$7)</f>
        <v/>
      </c>
      <c r="J466" s="21" t="str">
        <f>IF(C466="","",'Datos Generales'!$A$13)</f>
        <v/>
      </c>
      <c r="K466" s="21" t="str">
        <f>IF(C466="","",'Datos Generales'!$A$10)</f>
        <v/>
      </c>
      <c r="CS466" s="142" t="str">
        <f t="shared" si="59"/>
        <v/>
      </c>
      <c r="CT466" s="142" t="str">
        <f t="shared" si="60"/>
        <v/>
      </c>
      <c r="CU466" s="142" t="str">
        <f t="shared" si="61"/>
        <v/>
      </c>
      <c r="CV466" s="142" t="str">
        <f t="shared" si="62"/>
        <v/>
      </c>
      <c r="CW466" s="142" t="str">
        <f>IF(C466="","",IF('Datos Generales'!$A$19=1,AVERAGE(FP466:GD466),AVERAGE(Captura!FP466:FY466)))</f>
        <v/>
      </c>
      <c r="CX466" s="138" t="e">
        <f>IF(VLOOKUP(CONCATENATE($H$4,$F$4,CX$2),Español!$A:$H,7,FALSE)=L466,1,0)</f>
        <v>#N/A</v>
      </c>
      <c r="CY466" s="138" t="e">
        <f>IF(VLOOKUP(CONCATENATE(H466,F466,CY$2),Español!$A:$H,7,FALSE)=M466,1,0)</f>
        <v>#N/A</v>
      </c>
      <c r="CZ466" s="138" t="e">
        <f>IF(VLOOKUP(CONCATENATE(H466,F466,CZ$2),Español!$A:$H,7,FALSE)=N466,1,0)</f>
        <v>#N/A</v>
      </c>
      <c r="DA466" s="138" t="e">
        <f>IF(VLOOKUP(CONCATENATE(H466,F466,DA$2),Español!$A:$H,7,FALSE)=O466,1,0)</f>
        <v>#N/A</v>
      </c>
      <c r="DB466" s="138" t="e">
        <f>IF(VLOOKUP(CONCATENATE(H466,F466,DB$2),Español!$A:$H,7,FALSE)=P466,1,0)</f>
        <v>#N/A</v>
      </c>
      <c r="DC466" s="138" t="e">
        <f>IF(VLOOKUP(CONCATENATE(H466,F466,DC$2),Español!$A:$H,7,FALSE)=Q466,1,0)</f>
        <v>#N/A</v>
      </c>
      <c r="DD466" s="138" t="e">
        <f>IF(VLOOKUP(CONCATENATE(H466,F466,DD$2),Español!$A:$H,7,FALSE)=R466,1,0)</f>
        <v>#N/A</v>
      </c>
      <c r="DE466" s="138" t="e">
        <f>IF(VLOOKUP(CONCATENATE(H466,F466,DE$2),Español!$A:$H,7,FALSE)=S466,1,0)</f>
        <v>#N/A</v>
      </c>
      <c r="DF466" s="138" t="e">
        <f>IF(VLOOKUP(CONCATENATE(H466,F466,DF$2),Español!$A:$H,7,FALSE)=T466,1,0)</f>
        <v>#N/A</v>
      </c>
      <c r="DG466" s="138" t="e">
        <f>IF(VLOOKUP(CONCATENATE(H466,F466,DG$2),Español!$A:$H,7,FALSE)=U466,1,0)</f>
        <v>#N/A</v>
      </c>
      <c r="DH466" s="138" t="e">
        <f>IF(VLOOKUP(CONCATENATE(H466,F466,DH$2),Español!$A:$H,7,FALSE)=V466,1,0)</f>
        <v>#N/A</v>
      </c>
      <c r="DI466" s="138" t="e">
        <f>IF(VLOOKUP(CONCATENATE(H466,F466,DI$2),Español!$A:$H,7,FALSE)=W466,1,0)</f>
        <v>#N/A</v>
      </c>
      <c r="DJ466" s="138" t="e">
        <f>IF(VLOOKUP(CONCATENATE(H466,F466,DJ$2),Español!$A:$H,7,FALSE)=X466,1,0)</f>
        <v>#N/A</v>
      </c>
      <c r="DK466" s="138" t="e">
        <f>IF(VLOOKUP(CONCATENATE(H466,F466,DK$2),Español!$A:$H,7,FALSE)=Y466,1,0)</f>
        <v>#N/A</v>
      </c>
      <c r="DL466" s="138" t="e">
        <f>IF(VLOOKUP(CONCATENATE(H466,F466,DL$2),Español!$A:$H,7,FALSE)=Z466,1,0)</f>
        <v>#N/A</v>
      </c>
      <c r="DM466" s="138" t="e">
        <f>IF(VLOOKUP(CONCATENATE(H466,F466,DM$2),Español!$A:$H,7,FALSE)=AA466,1,0)</f>
        <v>#N/A</v>
      </c>
      <c r="DN466" s="138" t="e">
        <f>IF(VLOOKUP(CONCATENATE(H466,F466,DN$2),Español!$A:$H,7,FALSE)=AB466,1,0)</f>
        <v>#N/A</v>
      </c>
      <c r="DO466" s="138" t="e">
        <f>IF(VLOOKUP(CONCATENATE(H466,F466,DO$2),Español!$A:$H,7,FALSE)=AC466,1,0)</f>
        <v>#N/A</v>
      </c>
      <c r="DP466" s="138" t="e">
        <f>IF(VLOOKUP(CONCATENATE(H466,F466,DP$2),Español!$A:$H,7,FALSE)=AD466,1,0)</f>
        <v>#N/A</v>
      </c>
      <c r="DQ466" s="138" t="e">
        <f>IF(VLOOKUP(CONCATENATE(H466,F466,DQ$2),Español!$A:$H,7,FALSE)=AE466,1,0)</f>
        <v>#N/A</v>
      </c>
      <c r="DR466" s="138" t="e">
        <f>IF(VLOOKUP(CONCATENATE(H466,F466,DR$2),Inglés!$A:$H,7,FALSE)=AF466,1,0)</f>
        <v>#N/A</v>
      </c>
      <c r="DS466" s="138" t="e">
        <f>IF(VLOOKUP(CONCATENATE(H466,F466,DS$2),Inglés!$A:$H,7,FALSE)=AG466,1,0)</f>
        <v>#N/A</v>
      </c>
      <c r="DT466" s="138" t="e">
        <f>IF(VLOOKUP(CONCATENATE(H466,F466,DT$2),Inglés!$A:$H,7,FALSE)=AH466,1,0)</f>
        <v>#N/A</v>
      </c>
      <c r="DU466" s="138" t="e">
        <f>IF(VLOOKUP(CONCATENATE(H466,F466,DU$2),Inglés!$A:$H,7,FALSE)=AI466,1,0)</f>
        <v>#N/A</v>
      </c>
      <c r="DV466" s="138" t="e">
        <f>IF(VLOOKUP(CONCATENATE(H466,F466,DV$2),Inglés!$A:$H,7,FALSE)=AJ466,1,0)</f>
        <v>#N/A</v>
      </c>
      <c r="DW466" s="138" t="e">
        <f>IF(VLOOKUP(CONCATENATE(H466,F466,DW$2),Inglés!$A:$H,7,FALSE)=AK466,1,0)</f>
        <v>#N/A</v>
      </c>
      <c r="DX466" s="138" t="e">
        <f>IF(VLOOKUP(CONCATENATE(H466,F466,DX$2),Inglés!$A:$H,7,FALSE)=AL466,1,0)</f>
        <v>#N/A</v>
      </c>
      <c r="DY466" s="138" t="e">
        <f>IF(VLOOKUP(CONCATENATE(H466,F466,DY$2),Inglés!$A:$H,7,FALSE)=AM466,1,0)</f>
        <v>#N/A</v>
      </c>
      <c r="DZ466" s="138" t="e">
        <f>IF(VLOOKUP(CONCATENATE(H466,F466,DZ$2),Inglés!$A:$H,7,FALSE)=AN466,1,0)</f>
        <v>#N/A</v>
      </c>
      <c r="EA466" s="138" t="e">
        <f>IF(VLOOKUP(CONCATENATE(H466,F466,EA$2),Inglés!$A:$H,7,FALSE)=AO466,1,0)</f>
        <v>#N/A</v>
      </c>
      <c r="EB466" s="138" t="e">
        <f>IF(VLOOKUP(CONCATENATE(H466,F466,EB$2),Matemáticas!$A:$H,7,FALSE)=AP466,1,0)</f>
        <v>#N/A</v>
      </c>
      <c r="EC466" s="138" t="e">
        <f>IF(VLOOKUP(CONCATENATE(H466,F466,EC$2),Matemáticas!$A:$H,7,FALSE)=AQ466,1,0)</f>
        <v>#N/A</v>
      </c>
      <c r="ED466" s="138" t="e">
        <f>IF(VLOOKUP(CONCATENATE(H466,F466,ED$2),Matemáticas!$A:$H,7,FALSE)=AR466,1,0)</f>
        <v>#N/A</v>
      </c>
      <c r="EE466" s="138" t="e">
        <f>IF(VLOOKUP(CONCATENATE(H466,F466,EE$2),Matemáticas!$A:$H,7,FALSE)=AS466,1,0)</f>
        <v>#N/A</v>
      </c>
      <c r="EF466" s="138" t="e">
        <f>IF(VLOOKUP(CONCATENATE(H466,F466,EF$2),Matemáticas!$A:$H,7,FALSE)=AT466,1,0)</f>
        <v>#N/A</v>
      </c>
      <c r="EG466" s="138" t="e">
        <f>IF(VLOOKUP(CONCATENATE(H466,F466,EG$2),Matemáticas!$A:$H,7,FALSE)=AU466,1,0)</f>
        <v>#N/A</v>
      </c>
      <c r="EH466" s="138" t="e">
        <f>IF(VLOOKUP(CONCATENATE(H466,F466,EH$2),Matemáticas!$A:$H,7,FALSE)=AV466,1,0)</f>
        <v>#N/A</v>
      </c>
      <c r="EI466" s="138" t="e">
        <f>IF(VLOOKUP(CONCATENATE(H466,F466,EI$2),Matemáticas!$A:$H,7,FALSE)=AW466,1,0)</f>
        <v>#N/A</v>
      </c>
      <c r="EJ466" s="138" t="e">
        <f>IF(VLOOKUP(CONCATENATE(H466,F466,EJ$2),Matemáticas!$A:$H,7,FALSE)=AX466,1,0)</f>
        <v>#N/A</v>
      </c>
      <c r="EK466" s="138" t="e">
        <f>IF(VLOOKUP(CONCATENATE(H466,F466,EK$2),Matemáticas!$A:$H,7,FALSE)=AY466,1,0)</f>
        <v>#N/A</v>
      </c>
      <c r="EL466" s="138" t="e">
        <f>IF(VLOOKUP(CONCATENATE(H466,F466,EL$2),Matemáticas!$A:$H,7,FALSE)=AZ466,1,0)</f>
        <v>#N/A</v>
      </c>
      <c r="EM466" s="138" t="e">
        <f>IF(VLOOKUP(CONCATENATE(H466,F466,EM$2),Matemáticas!$A:$H,7,FALSE)=BA466,1,0)</f>
        <v>#N/A</v>
      </c>
      <c r="EN466" s="138" t="e">
        <f>IF(VLOOKUP(CONCATENATE(H466,F466,EN$2),Matemáticas!$A:$H,7,FALSE)=BB466,1,0)</f>
        <v>#N/A</v>
      </c>
      <c r="EO466" s="138" t="e">
        <f>IF(VLOOKUP(CONCATENATE(H466,F466,EO$2),Matemáticas!$A:$H,7,FALSE)=BC466,1,0)</f>
        <v>#N/A</v>
      </c>
      <c r="EP466" s="138" t="e">
        <f>IF(VLOOKUP(CONCATENATE(H466,F466,EP$2),Matemáticas!$A:$H,7,FALSE)=BD466,1,0)</f>
        <v>#N/A</v>
      </c>
      <c r="EQ466" s="138" t="e">
        <f>IF(VLOOKUP(CONCATENATE(H466,F466,EQ$2),Matemáticas!$A:$H,7,FALSE)=BE466,1,0)</f>
        <v>#N/A</v>
      </c>
      <c r="ER466" s="138" t="e">
        <f>IF(VLOOKUP(CONCATENATE(H466,F466,ER$2),Matemáticas!$A:$H,7,FALSE)=BF466,1,0)</f>
        <v>#N/A</v>
      </c>
      <c r="ES466" s="138" t="e">
        <f>IF(VLOOKUP(CONCATENATE(H466,F466,ES$2),Matemáticas!$A:$H,7,FALSE)=BG466,1,0)</f>
        <v>#N/A</v>
      </c>
      <c r="ET466" s="138" t="e">
        <f>IF(VLOOKUP(CONCATENATE(H466,F466,ET$2),Matemáticas!$A:$H,7,FALSE)=BH466,1,0)</f>
        <v>#N/A</v>
      </c>
      <c r="EU466" s="138" t="e">
        <f>IF(VLOOKUP(CONCATENATE(H466,F466,EU$2),Matemáticas!$A:$H,7,FALSE)=BI466,1,0)</f>
        <v>#N/A</v>
      </c>
      <c r="EV466" s="138" t="e">
        <f>IF(VLOOKUP(CONCATENATE(H466,F466,EV$2),Ciencias!$A:$H,7,FALSE)=BJ466,1,0)</f>
        <v>#N/A</v>
      </c>
      <c r="EW466" s="138" t="e">
        <f>IF(VLOOKUP(CONCATENATE(H466,F466,EW$2),Ciencias!$A:$H,7,FALSE)=BK466,1,0)</f>
        <v>#N/A</v>
      </c>
      <c r="EX466" s="138" t="e">
        <f>IF(VLOOKUP(CONCATENATE(H466,F466,EX$2),Ciencias!$A:$H,7,FALSE)=BL466,1,0)</f>
        <v>#N/A</v>
      </c>
      <c r="EY466" s="138" t="e">
        <f>IF(VLOOKUP(CONCATENATE(H466,F466,EY$2),Ciencias!$A:$H,7,FALSE)=BM466,1,0)</f>
        <v>#N/A</v>
      </c>
      <c r="EZ466" s="138" t="e">
        <f>IF(VLOOKUP(CONCATENATE(H466,F466,EZ$2),Ciencias!$A:$H,7,FALSE)=BN466,1,0)</f>
        <v>#N/A</v>
      </c>
      <c r="FA466" s="138" t="e">
        <f>IF(VLOOKUP(CONCATENATE(H466,F466,FA$2),Ciencias!$A:$H,7,FALSE)=BO466,1,0)</f>
        <v>#N/A</v>
      </c>
      <c r="FB466" s="138" t="e">
        <f>IF(VLOOKUP(CONCATENATE(H466,F466,FB$2),Ciencias!$A:$H,7,FALSE)=BP466,1,0)</f>
        <v>#N/A</v>
      </c>
      <c r="FC466" s="138" t="e">
        <f>IF(VLOOKUP(CONCATENATE(H466,F466,FC$2),Ciencias!$A:$H,7,FALSE)=BQ466,1,0)</f>
        <v>#N/A</v>
      </c>
      <c r="FD466" s="138" t="e">
        <f>IF(VLOOKUP(CONCATENATE(H466,F466,FD$2),Ciencias!$A:$H,7,FALSE)=BR466,1,0)</f>
        <v>#N/A</v>
      </c>
      <c r="FE466" s="138" t="e">
        <f>IF(VLOOKUP(CONCATENATE(H466,F466,FE$2),Ciencias!$A:$H,7,FALSE)=BS466,1,0)</f>
        <v>#N/A</v>
      </c>
      <c r="FF466" s="138" t="e">
        <f>IF(VLOOKUP(CONCATENATE(H466,F466,FF$2),Ciencias!$A:$H,7,FALSE)=BT466,1,0)</f>
        <v>#N/A</v>
      </c>
      <c r="FG466" s="138" t="e">
        <f>IF(VLOOKUP(CONCATENATE(H466,F466,FG$2),Ciencias!$A:$H,7,FALSE)=BU466,1,0)</f>
        <v>#N/A</v>
      </c>
      <c r="FH466" s="138" t="e">
        <f>IF(VLOOKUP(CONCATENATE(H466,F466,FH$2),Ciencias!$A:$H,7,FALSE)=BV466,1,0)</f>
        <v>#N/A</v>
      </c>
      <c r="FI466" s="138" t="e">
        <f>IF(VLOOKUP(CONCATENATE(H466,F466,FI$2),Ciencias!$A:$H,7,FALSE)=BW466,1,0)</f>
        <v>#N/A</v>
      </c>
      <c r="FJ466" s="138" t="e">
        <f>IF(VLOOKUP(CONCATENATE(H466,F466,FJ$2),Ciencias!$A:$H,7,FALSE)=BX466,1,0)</f>
        <v>#N/A</v>
      </c>
      <c r="FK466" s="138" t="e">
        <f>IF(VLOOKUP(CONCATENATE(H466,F466,FK$2),Ciencias!$A:$H,7,FALSE)=BY466,1,0)</f>
        <v>#N/A</v>
      </c>
      <c r="FL466" s="138" t="e">
        <f>IF(VLOOKUP(CONCATENATE(H466,F466,FL$2),Ciencias!$A:$H,7,FALSE)=BZ466,1,0)</f>
        <v>#N/A</v>
      </c>
      <c r="FM466" s="138" t="e">
        <f>IF(VLOOKUP(CONCATENATE(H466,F466,FM$2),Ciencias!$A:$H,7,FALSE)=CA466,1,0)</f>
        <v>#N/A</v>
      </c>
      <c r="FN466" s="138" t="e">
        <f>IF(VLOOKUP(CONCATENATE(H466,F466,FN$2),Ciencias!$A:$H,7,FALSE)=CB466,1,0)</f>
        <v>#N/A</v>
      </c>
      <c r="FO466" s="138" t="e">
        <f>IF(VLOOKUP(CONCATENATE(H466,F466,FO$2),Ciencias!$A:$H,7,FALSE)=CC466,1,0)</f>
        <v>#N/A</v>
      </c>
      <c r="FP466" s="138" t="e">
        <f>IF(VLOOKUP(CONCATENATE(H466,F466,FP$2),GeoHis!$A:$H,7,FALSE)=CD466,1,0)</f>
        <v>#N/A</v>
      </c>
      <c r="FQ466" s="138" t="e">
        <f>IF(VLOOKUP(CONCATENATE(H466,F466,FQ$2),GeoHis!$A:$H,7,FALSE)=CE466,1,0)</f>
        <v>#N/A</v>
      </c>
      <c r="FR466" s="138" t="e">
        <f>IF(VLOOKUP(CONCATENATE(H466,F466,FR$2),GeoHis!$A:$H,7,FALSE)=CF466,1,0)</f>
        <v>#N/A</v>
      </c>
      <c r="FS466" s="138" t="e">
        <f>IF(VLOOKUP(CONCATENATE(H466,F466,FS$2),GeoHis!$A:$H,7,FALSE)=CG466,1,0)</f>
        <v>#N/A</v>
      </c>
      <c r="FT466" s="138" t="e">
        <f>IF(VLOOKUP(CONCATENATE(H466,F466,FT$2),GeoHis!$A:$H,7,FALSE)=CH466,1,0)</f>
        <v>#N/A</v>
      </c>
      <c r="FU466" s="138" t="e">
        <f>IF(VLOOKUP(CONCATENATE(H466,F466,FU$2),GeoHis!$A:$H,7,FALSE)=CI466,1,0)</f>
        <v>#N/A</v>
      </c>
      <c r="FV466" s="138" t="e">
        <f>IF(VLOOKUP(CONCATENATE(H466,F466,FV$2),GeoHis!$A:$H,7,FALSE)=CJ466,1,0)</f>
        <v>#N/A</v>
      </c>
      <c r="FW466" s="138" t="e">
        <f>IF(VLOOKUP(CONCATENATE(H466,F466,FW$2),GeoHis!$A:$H,7,FALSE)=CK466,1,0)</f>
        <v>#N/A</v>
      </c>
      <c r="FX466" s="138" t="e">
        <f>IF(VLOOKUP(CONCATENATE(H466,F466,FX$2),GeoHis!$A:$H,7,FALSE)=CL466,1,0)</f>
        <v>#N/A</v>
      </c>
      <c r="FY466" s="138" t="e">
        <f>IF(VLOOKUP(CONCATENATE(H466,F466,FY$2),GeoHis!$A:$H,7,FALSE)=CM466,1,0)</f>
        <v>#N/A</v>
      </c>
      <c r="FZ466" s="138" t="e">
        <f>IF(VLOOKUP(CONCATENATE(H466,F466,FZ$2),GeoHis!$A:$H,7,FALSE)=CN466,1,0)</f>
        <v>#N/A</v>
      </c>
      <c r="GA466" s="138" t="e">
        <f>IF(VLOOKUP(CONCATENATE(H466,F466,GA$2),GeoHis!$A:$H,7,FALSE)=CO466,1,0)</f>
        <v>#N/A</v>
      </c>
      <c r="GB466" s="138" t="e">
        <f>IF(VLOOKUP(CONCATENATE(H466,F466,GB$2),GeoHis!$A:$H,7,FALSE)=CP466,1,0)</f>
        <v>#N/A</v>
      </c>
      <c r="GC466" s="138" t="e">
        <f>IF(VLOOKUP(CONCATENATE(H466,F466,GC$2),GeoHis!$A:$H,7,FALSE)=CQ466,1,0)</f>
        <v>#N/A</v>
      </c>
      <c r="GD466" s="138" t="e">
        <f>IF(VLOOKUP(CONCATENATE(H466,F466,GD$2),GeoHis!$A:$H,7,FALSE)=CR466,1,0)</f>
        <v>#N/A</v>
      </c>
      <c r="GE466" s="135" t="str">
        <f t="shared" si="63"/>
        <v/>
      </c>
    </row>
    <row r="467" spans="1:187" x14ac:dyDescent="0.25">
      <c r="A467" s="127" t="str">
        <f>IF(C467="","",'Datos Generales'!$A$25)</f>
        <v/>
      </c>
      <c r="D467" s="126" t="str">
        <f t="shared" si="56"/>
        <v/>
      </c>
      <c r="E467" s="126">
        <f t="shared" si="57"/>
        <v>0</v>
      </c>
      <c r="F467" s="126" t="str">
        <f t="shared" si="58"/>
        <v/>
      </c>
      <c r="G467" s="126" t="str">
        <f>IF(C467="","",'Datos Generales'!$D$19)</f>
        <v/>
      </c>
      <c r="H467" s="21" t="str">
        <f>IF(C467="","",'Datos Generales'!$A$19)</f>
        <v/>
      </c>
      <c r="I467" s="126" t="str">
        <f>IF(C467="","",'Datos Generales'!$A$7)</f>
        <v/>
      </c>
      <c r="J467" s="21" t="str">
        <f>IF(C467="","",'Datos Generales'!$A$13)</f>
        <v/>
      </c>
      <c r="K467" s="21" t="str">
        <f>IF(C467="","",'Datos Generales'!$A$10)</f>
        <v/>
      </c>
      <c r="CS467" s="142" t="str">
        <f t="shared" si="59"/>
        <v/>
      </c>
      <c r="CT467" s="142" t="str">
        <f t="shared" si="60"/>
        <v/>
      </c>
      <c r="CU467" s="142" t="str">
        <f t="shared" si="61"/>
        <v/>
      </c>
      <c r="CV467" s="142" t="str">
        <f t="shared" si="62"/>
        <v/>
      </c>
      <c r="CW467" s="142" t="str">
        <f>IF(C467="","",IF('Datos Generales'!$A$19=1,AVERAGE(FP467:GD467),AVERAGE(Captura!FP467:FY467)))</f>
        <v/>
      </c>
      <c r="CX467" s="138" t="e">
        <f>IF(VLOOKUP(CONCATENATE($H$4,$F$4,CX$2),Español!$A:$H,7,FALSE)=L467,1,0)</f>
        <v>#N/A</v>
      </c>
      <c r="CY467" s="138" t="e">
        <f>IF(VLOOKUP(CONCATENATE(H467,F467,CY$2),Español!$A:$H,7,FALSE)=M467,1,0)</f>
        <v>#N/A</v>
      </c>
      <c r="CZ467" s="138" t="e">
        <f>IF(VLOOKUP(CONCATENATE(H467,F467,CZ$2),Español!$A:$H,7,FALSE)=N467,1,0)</f>
        <v>#N/A</v>
      </c>
      <c r="DA467" s="138" t="e">
        <f>IF(VLOOKUP(CONCATENATE(H467,F467,DA$2),Español!$A:$H,7,FALSE)=O467,1,0)</f>
        <v>#N/A</v>
      </c>
      <c r="DB467" s="138" t="e">
        <f>IF(VLOOKUP(CONCATENATE(H467,F467,DB$2),Español!$A:$H,7,FALSE)=P467,1,0)</f>
        <v>#N/A</v>
      </c>
      <c r="DC467" s="138" t="e">
        <f>IF(VLOOKUP(CONCATENATE(H467,F467,DC$2),Español!$A:$H,7,FALSE)=Q467,1,0)</f>
        <v>#N/A</v>
      </c>
      <c r="DD467" s="138" t="e">
        <f>IF(VLOOKUP(CONCATENATE(H467,F467,DD$2),Español!$A:$H,7,FALSE)=R467,1,0)</f>
        <v>#N/A</v>
      </c>
      <c r="DE467" s="138" t="e">
        <f>IF(VLOOKUP(CONCATENATE(H467,F467,DE$2),Español!$A:$H,7,FALSE)=S467,1,0)</f>
        <v>#N/A</v>
      </c>
      <c r="DF467" s="138" t="e">
        <f>IF(VLOOKUP(CONCATENATE(H467,F467,DF$2),Español!$A:$H,7,FALSE)=T467,1,0)</f>
        <v>#N/A</v>
      </c>
      <c r="DG467" s="138" t="e">
        <f>IF(VLOOKUP(CONCATENATE(H467,F467,DG$2),Español!$A:$H,7,FALSE)=U467,1,0)</f>
        <v>#N/A</v>
      </c>
      <c r="DH467" s="138" t="e">
        <f>IF(VLOOKUP(CONCATENATE(H467,F467,DH$2),Español!$A:$H,7,FALSE)=V467,1,0)</f>
        <v>#N/A</v>
      </c>
      <c r="DI467" s="138" t="e">
        <f>IF(VLOOKUP(CONCATENATE(H467,F467,DI$2),Español!$A:$H,7,FALSE)=W467,1,0)</f>
        <v>#N/A</v>
      </c>
      <c r="DJ467" s="138" t="e">
        <f>IF(VLOOKUP(CONCATENATE(H467,F467,DJ$2),Español!$A:$H,7,FALSE)=X467,1,0)</f>
        <v>#N/A</v>
      </c>
      <c r="DK467" s="138" t="e">
        <f>IF(VLOOKUP(CONCATENATE(H467,F467,DK$2),Español!$A:$H,7,FALSE)=Y467,1,0)</f>
        <v>#N/A</v>
      </c>
      <c r="DL467" s="138" t="e">
        <f>IF(VLOOKUP(CONCATENATE(H467,F467,DL$2),Español!$A:$H,7,FALSE)=Z467,1,0)</f>
        <v>#N/A</v>
      </c>
      <c r="DM467" s="138" t="e">
        <f>IF(VLOOKUP(CONCATENATE(H467,F467,DM$2),Español!$A:$H,7,FALSE)=AA467,1,0)</f>
        <v>#N/A</v>
      </c>
      <c r="DN467" s="138" t="e">
        <f>IF(VLOOKUP(CONCATENATE(H467,F467,DN$2),Español!$A:$H,7,FALSE)=AB467,1,0)</f>
        <v>#N/A</v>
      </c>
      <c r="DO467" s="138" t="e">
        <f>IF(VLOOKUP(CONCATENATE(H467,F467,DO$2),Español!$A:$H,7,FALSE)=AC467,1,0)</f>
        <v>#N/A</v>
      </c>
      <c r="DP467" s="138" t="e">
        <f>IF(VLOOKUP(CONCATENATE(H467,F467,DP$2),Español!$A:$H,7,FALSE)=AD467,1,0)</f>
        <v>#N/A</v>
      </c>
      <c r="DQ467" s="138" t="e">
        <f>IF(VLOOKUP(CONCATENATE(H467,F467,DQ$2),Español!$A:$H,7,FALSE)=AE467,1,0)</f>
        <v>#N/A</v>
      </c>
      <c r="DR467" s="138" t="e">
        <f>IF(VLOOKUP(CONCATENATE(H467,F467,DR$2),Inglés!$A:$H,7,FALSE)=AF467,1,0)</f>
        <v>#N/A</v>
      </c>
      <c r="DS467" s="138" t="e">
        <f>IF(VLOOKUP(CONCATENATE(H467,F467,DS$2),Inglés!$A:$H,7,FALSE)=AG467,1,0)</f>
        <v>#N/A</v>
      </c>
      <c r="DT467" s="138" t="e">
        <f>IF(VLOOKUP(CONCATENATE(H467,F467,DT$2),Inglés!$A:$H,7,FALSE)=AH467,1,0)</f>
        <v>#N/A</v>
      </c>
      <c r="DU467" s="138" t="e">
        <f>IF(VLOOKUP(CONCATENATE(H467,F467,DU$2),Inglés!$A:$H,7,FALSE)=AI467,1,0)</f>
        <v>#N/A</v>
      </c>
      <c r="DV467" s="138" t="e">
        <f>IF(VLOOKUP(CONCATENATE(H467,F467,DV$2),Inglés!$A:$H,7,FALSE)=AJ467,1,0)</f>
        <v>#N/A</v>
      </c>
      <c r="DW467" s="138" t="e">
        <f>IF(VLOOKUP(CONCATENATE(H467,F467,DW$2),Inglés!$A:$H,7,FALSE)=AK467,1,0)</f>
        <v>#N/A</v>
      </c>
      <c r="DX467" s="138" t="e">
        <f>IF(VLOOKUP(CONCATENATE(H467,F467,DX$2),Inglés!$A:$H,7,FALSE)=AL467,1,0)</f>
        <v>#N/A</v>
      </c>
      <c r="DY467" s="138" t="e">
        <f>IF(VLOOKUP(CONCATENATE(H467,F467,DY$2),Inglés!$A:$H,7,FALSE)=AM467,1,0)</f>
        <v>#N/A</v>
      </c>
      <c r="DZ467" s="138" t="e">
        <f>IF(VLOOKUP(CONCATENATE(H467,F467,DZ$2),Inglés!$A:$H,7,FALSE)=AN467,1,0)</f>
        <v>#N/A</v>
      </c>
      <c r="EA467" s="138" t="e">
        <f>IF(VLOOKUP(CONCATENATE(H467,F467,EA$2),Inglés!$A:$H,7,FALSE)=AO467,1,0)</f>
        <v>#N/A</v>
      </c>
      <c r="EB467" s="138" t="e">
        <f>IF(VLOOKUP(CONCATENATE(H467,F467,EB$2),Matemáticas!$A:$H,7,FALSE)=AP467,1,0)</f>
        <v>#N/A</v>
      </c>
      <c r="EC467" s="138" t="e">
        <f>IF(VLOOKUP(CONCATENATE(H467,F467,EC$2),Matemáticas!$A:$H,7,FALSE)=AQ467,1,0)</f>
        <v>#N/A</v>
      </c>
      <c r="ED467" s="138" t="e">
        <f>IF(VLOOKUP(CONCATENATE(H467,F467,ED$2),Matemáticas!$A:$H,7,FALSE)=AR467,1,0)</f>
        <v>#N/A</v>
      </c>
      <c r="EE467" s="138" t="e">
        <f>IF(VLOOKUP(CONCATENATE(H467,F467,EE$2),Matemáticas!$A:$H,7,FALSE)=AS467,1,0)</f>
        <v>#N/A</v>
      </c>
      <c r="EF467" s="138" t="e">
        <f>IF(VLOOKUP(CONCATENATE(H467,F467,EF$2),Matemáticas!$A:$H,7,FALSE)=AT467,1,0)</f>
        <v>#N/A</v>
      </c>
      <c r="EG467" s="138" t="e">
        <f>IF(VLOOKUP(CONCATENATE(H467,F467,EG$2),Matemáticas!$A:$H,7,FALSE)=AU467,1,0)</f>
        <v>#N/A</v>
      </c>
      <c r="EH467" s="138" t="e">
        <f>IF(VLOOKUP(CONCATENATE(H467,F467,EH$2),Matemáticas!$A:$H,7,FALSE)=AV467,1,0)</f>
        <v>#N/A</v>
      </c>
      <c r="EI467" s="138" t="e">
        <f>IF(VLOOKUP(CONCATENATE(H467,F467,EI$2),Matemáticas!$A:$H,7,FALSE)=AW467,1,0)</f>
        <v>#N/A</v>
      </c>
      <c r="EJ467" s="138" t="e">
        <f>IF(VLOOKUP(CONCATENATE(H467,F467,EJ$2),Matemáticas!$A:$H,7,FALSE)=AX467,1,0)</f>
        <v>#N/A</v>
      </c>
      <c r="EK467" s="138" t="e">
        <f>IF(VLOOKUP(CONCATENATE(H467,F467,EK$2),Matemáticas!$A:$H,7,FALSE)=AY467,1,0)</f>
        <v>#N/A</v>
      </c>
      <c r="EL467" s="138" t="e">
        <f>IF(VLOOKUP(CONCATENATE(H467,F467,EL$2),Matemáticas!$A:$H,7,FALSE)=AZ467,1,0)</f>
        <v>#N/A</v>
      </c>
      <c r="EM467" s="138" t="e">
        <f>IF(VLOOKUP(CONCATENATE(H467,F467,EM$2),Matemáticas!$A:$H,7,FALSE)=BA467,1,0)</f>
        <v>#N/A</v>
      </c>
      <c r="EN467" s="138" t="e">
        <f>IF(VLOOKUP(CONCATENATE(H467,F467,EN$2),Matemáticas!$A:$H,7,FALSE)=BB467,1,0)</f>
        <v>#N/A</v>
      </c>
      <c r="EO467" s="138" t="e">
        <f>IF(VLOOKUP(CONCATENATE(H467,F467,EO$2),Matemáticas!$A:$H,7,FALSE)=BC467,1,0)</f>
        <v>#N/A</v>
      </c>
      <c r="EP467" s="138" t="e">
        <f>IF(VLOOKUP(CONCATENATE(H467,F467,EP$2),Matemáticas!$A:$H,7,FALSE)=BD467,1,0)</f>
        <v>#N/A</v>
      </c>
      <c r="EQ467" s="138" t="e">
        <f>IF(VLOOKUP(CONCATENATE(H467,F467,EQ$2),Matemáticas!$A:$H,7,FALSE)=BE467,1,0)</f>
        <v>#N/A</v>
      </c>
      <c r="ER467" s="138" t="e">
        <f>IF(VLOOKUP(CONCATENATE(H467,F467,ER$2),Matemáticas!$A:$H,7,FALSE)=BF467,1,0)</f>
        <v>#N/A</v>
      </c>
      <c r="ES467" s="138" t="e">
        <f>IF(VLOOKUP(CONCATENATE(H467,F467,ES$2),Matemáticas!$A:$H,7,FALSE)=BG467,1,0)</f>
        <v>#N/A</v>
      </c>
      <c r="ET467" s="138" t="e">
        <f>IF(VLOOKUP(CONCATENATE(H467,F467,ET$2),Matemáticas!$A:$H,7,FALSE)=BH467,1,0)</f>
        <v>#N/A</v>
      </c>
      <c r="EU467" s="138" t="e">
        <f>IF(VLOOKUP(CONCATENATE(H467,F467,EU$2),Matemáticas!$A:$H,7,FALSE)=BI467,1,0)</f>
        <v>#N/A</v>
      </c>
      <c r="EV467" s="138" t="e">
        <f>IF(VLOOKUP(CONCATENATE(H467,F467,EV$2),Ciencias!$A:$H,7,FALSE)=BJ467,1,0)</f>
        <v>#N/A</v>
      </c>
      <c r="EW467" s="138" t="e">
        <f>IF(VLOOKUP(CONCATENATE(H467,F467,EW$2),Ciencias!$A:$H,7,FALSE)=BK467,1,0)</f>
        <v>#N/A</v>
      </c>
      <c r="EX467" s="138" t="e">
        <f>IF(VLOOKUP(CONCATENATE(H467,F467,EX$2),Ciencias!$A:$H,7,FALSE)=BL467,1,0)</f>
        <v>#N/A</v>
      </c>
      <c r="EY467" s="138" t="e">
        <f>IF(VLOOKUP(CONCATENATE(H467,F467,EY$2),Ciencias!$A:$H,7,FALSE)=BM467,1,0)</f>
        <v>#N/A</v>
      </c>
      <c r="EZ467" s="138" t="e">
        <f>IF(VLOOKUP(CONCATENATE(H467,F467,EZ$2),Ciencias!$A:$H,7,FALSE)=BN467,1,0)</f>
        <v>#N/A</v>
      </c>
      <c r="FA467" s="138" t="e">
        <f>IF(VLOOKUP(CONCATENATE(H467,F467,FA$2),Ciencias!$A:$H,7,FALSE)=BO467,1,0)</f>
        <v>#N/A</v>
      </c>
      <c r="FB467" s="138" t="e">
        <f>IF(VLOOKUP(CONCATENATE(H467,F467,FB$2),Ciencias!$A:$H,7,FALSE)=BP467,1,0)</f>
        <v>#N/A</v>
      </c>
      <c r="FC467" s="138" t="e">
        <f>IF(VLOOKUP(CONCATENATE(H467,F467,FC$2),Ciencias!$A:$H,7,FALSE)=BQ467,1,0)</f>
        <v>#N/A</v>
      </c>
      <c r="FD467" s="138" t="e">
        <f>IF(VLOOKUP(CONCATENATE(H467,F467,FD$2),Ciencias!$A:$H,7,FALSE)=BR467,1,0)</f>
        <v>#N/A</v>
      </c>
      <c r="FE467" s="138" t="e">
        <f>IF(VLOOKUP(CONCATENATE(H467,F467,FE$2),Ciencias!$A:$H,7,FALSE)=BS467,1,0)</f>
        <v>#N/A</v>
      </c>
      <c r="FF467" s="138" t="e">
        <f>IF(VLOOKUP(CONCATENATE(H467,F467,FF$2),Ciencias!$A:$H,7,FALSE)=BT467,1,0)</f>
        <v>#N/A</v>
      </c>
      <c r="FG467" s="138" t="e">
        <f>IF(VLOOKUP(CONCATENATE(H467,F467,FG$2),Ciencias!$A:$H,7,FALSE)=BU467,1,0)</f>
        <v>#N/A</v>
      </c>
      <c r="FH467" s="138" t="e">
        <f>IF(VLOOKUP(CONCATENATE(H467,F467,FH$2),Ciencias!$A:$H,7,FALSE)=BV467,1,0)</f>
        <v>#N/A</v>
      </c>
      <c r="FI467" s="138" t="e">
        <f>IF(VLOOKUP(CONCATENATE(H467,F467,FI$2),Ciencias!$A:$H,7,FALSE)=BW467,1,0)</f>
        <v>#N/A</v>
      </c>
      <c r="FJ467" s="138" t="e">
        <f>IF(VLOOKUP(CONCATENATE(H467,F467,FJ$2),Ciencias!$A:$H,7,FALSE)=BX467,1,0)</f>
        <v>#N/A</v>
      </c>
      <c r="FK467" s="138" t="e">
        <f>IF(VLOOKUP(CONCATENATE(H467,F467,FK$2),Ciencias!$A:$H,7,FALSE)=BY467,1,0)</f>
        <v>#N/A</v>
      </c>
      <c r="FL467" s="138" t="e">
        <f>IF(VLOOKUP(CONCATENATE(H467,F467,FL$2),Ciencias!$A:$H,7,FALSE)=BZ467,1,0)</f>
        <v>#N/A</v>
      </c>
      <c r="FM467" s="138" t="e">
        <f>IF(VLOOKUP(CONCATENATE(H467,F467,FM$2),Ciencias!$A:$H,7,FALSE)=CA467,1,0)</f>
        <v>#N/A</v>
      </c>
      <c r="FN467" s="138" t="e">
        <f>IF(VLOOKUP(CONCATENATE(H467,F467,FN$2),Ciencias!$A:$H,7,FALSE)=CB467,1,0)</f>
        <v>#N/A</v>
      </c>
      <c r="FO467" s="138" t="e">
        <f>IF(VLOOKUP(CONCATENATE(H467,F467,FO$2),Ciencias!$A:$H,7,FALSE)=CC467,1,0)</f>
        <v>#N/A</v>
      </c>
      <c r="FP467" s="138" t="e">
        <f>IF(VLOOKUP(CONCATENATE(H467,F467,FP$2),GeoHis!$A:$H,7,FALSE)=CD467,1,0)</f>
        <v>#N/A</v>
      </c>
      <c r="FQ467" s="138" t="e">
        <f>IF(VLOOKUP(CONCATENATE(H467,F467,FQ$2),GeoHis!$A:$H,7,FALSE)=CE467,1,0)</f>
        <v>#N/A</v>
      </c>
      <c r="FR467" s="138" t="e">
        <f>IF(VLOOKUP(CONCATENATE(H467,F467,FR$2),GeoHis!$A:$H,7,FALSE)=CF467,1,0)</f>
        <v>#N/A</v>
      </c>
      <c r="FS467" s="138" t="e">
        <f>IF(VLOOKUP(CONCATENATE(H467,F467,FS$2),GeoHis!$A:$H,7,FALSE)=CG467,1,0)</f>
        <v>#N/A</v>
      </c>
      <c r="FT467" s="138" t="e">
        <f>IF(VLOOKUP(CONCATENATE(H467,F467,FT$2),GeoHis!$A:$H,7,FALSE)=CH467,1,0)</f>
        <v>#N/A</v>
      </c>
      <c r="FU467" s="138" t="e">
        <f>IF(VLOOKUP(CONCATENATE(H467,F467,FU$2),GeoHis!$A:$H,7,FALSE)=CI467,1,0)</f>
        <v>#N/A</v>
      </c>
      <c r="FV467" s="138" t="e">
        <f>IF(VLOOKUP(CONCATENATE(H467,F467,FV$2),GeoHis!$A:$H,7,FALSE)=CJ467,1,0)</f>
        <v>#N/A</v>
      </c>
      <c r="FW467" s="138" t="e">
        <f>IF(VLOOKUP(CONCATENATE(H467,F467,FW$2),GeoHis!$A:$H,7,FALSE)=CK467,1,0)</f>
        <v>#N/A</v>
      </c>
      <c r="FX467" s="138" t="e">
        <f>IF(VLOOKUP(CONCATENATE(H467,F467,FX$2),GeoHis!$A:$H,7,FALSE)=CL467,1,0)</f>
        <v>#N/A</v>
      </c>
      <c r="FY467" s="138" t="e">
        <f>IF(VLOOKUP(CONCATENATE(H467,F467,FY$2),GeoHis!$A:$H,7,FALSE)=CM467,1,0)</f>
        <v>#N/A</v>
      </c>
      <c r="FZ467" s="138" t="e">
        <f>IF(VLOOKUP(CONCATENATE(H467,F467,FZ$2),GeoHis!$A:$H,7,FALSE)=CN467,1,0)</f>
        <v>#N/A</v>
      </c>
      <c r="GA467" s="138" t="e">
        <f>IF(VLOOKUP(CONCATENATE(H467,F467,GA$2),GeoHis!$A:$H,7,FALSE)=CO467,1,0)</f>
        <v>#N/A</v>
      </c>
      <c r="GB467" s="138" t="e">
        <f>IF(VLOOKUP(CONCATENATE(H467,F467,GB$2),GeoHis!$A:$H,7,FALSE)=CP467,1,0)</f>
        <v>#N/A</v>
      </c>
      <c r="GC467" s="138" t="e">
        <f>IF(VLOOKUP(CONCATENATE(H467,F467,GC$2),GeoHis!$A:$H,7,FALSE)=CQ467,1,0)</f>
        <v>#N/A</v>
      </c>
      <c r="GD467" s="138" t="e">
        <f>IF(VLOOKUP(CONCATENATE(H467,F467,GD$2),GeoHis!$A:$H,7,FALSE)=CR467,1,0)</f>
        <v>#N/A</v>
      </c>
      <c r="GE467" s="135" t="str">
        <f t="shared" si="63"/>
        <v/>
      </c>
    </row>
    <row r="468" spans="1:187" x14ac:dyDescent="0.25">
      <c r="A468" s="127" t="str">
        <f>IF(C468="","",'Datos Generales'!$A$25)</f>
        <v/>
      </c>
      <c r="D468" s="126" t="str">
        <f t="shared" si="56"/>
        <v/>
      </c>
      <c r="E468" s="126">
        <f t="shared" si="57"/>
        <v>0</v>
      </c>
      <c r="F468" s="126" t="str">
        <f t="shared" si="58"/>
        <v/>
      </c>
      <c r="G468" s="126" t="str">
        <f>IF(C468="","",'Datos Generales'!$D$19)</f>
        <v/>
      </c>
      <c r="H468" s="21" t="str">
        <f>IF(C468="","",'Datos Generales'!$A$19)</f>
        <v/>
      </c>
      <c r="I468" s="126" t="str">
        <f>IF(C468="","",'Datos Generales'!$A$7)</f>
        <v/>
      </c>
      <c r="J468" s="21" t="str">
        <f>IF(C468="","",'Datos Generales'!$A$13)</f>
        <v/>
      </c>
      <c r="K468" s="21" t="str">
        <f>IF(C468="","",'Datos Generales'!$A$10)</f>
        <v/>
      </c>
      <c r="CS468" s="142" t="str">
        <f t="shared" si="59"/>
        <v/>
      </c>
      <c r="CT468" s="142" t="str">
        <f t="shared" si="60"/>
        <v/>
      </c>
      <c r="CU468" s="142" t="str">
        <f t="shared" si="61"/>
        <v/>
      </c>
      <c r="CV468" s="142" t="str">
        <f t="shared" si="62"/>
        <v/>
      </c>
      <c r="CW468" s="142" t="str">
        <f>IF(C468="","",IF('Datos Generales'!$A$19=1,AVERAGE(FP468:GD468),AVERAGE(Captura!FP468:FY468)))</f>
        <v/>
      </c>
      <c r="CX468" s="138" t="e">
        <f>IF(VLOOKUP(CONCATENATE($H$4,$F$4,CX$2),Español!$A:$H,7,FALSE)=L468,1,0)</f>
        <v>#N/A</v>
      </c>
      <c r="CY468" s="138" t="e">
        <f>IF(VLOOKUP(CONCATENATE(H468,F468,CY$2),Español!$A:$H,7,FALSE)=M468,1,0)</f>
        <v>#N/A</v>
      </c>
      <c r="CZ468" s="138" t="e">
        <f>IF(VLOOKUP(CONCATENATE(H468,F468,CZ$2),Español!$A:$H,7,FALSE)=N468,1,0)</f>
        <v>#N/A</v>
      </c>
      <c r="DA468" s="138" t="e">
        <f>IF(VLOOKUP(CONCATENATE(H468,F468,DA$2),Español!$A:$H,7,FALSE)=O468,1,0)</f>
        <v>#N/A</v>
      </c>
      <c r="DB468" s="138" t="e">
        <f>IF(VLOOKUP(CONCATENATE(H468,F468,DB$2),Español!$A:$H,7,FALSE)=P468,1,0)</f>
        <v>#N/A</v>
      </c>
      <c r="DC468" s="138" t="e">
        <f>IF(VLOOKUP(CONCATENATE(H468,F468,DC$2),Español!$A:$H,7,FALSE)=Q468,1,0)</f>
        <v>#N/A</v>
      </c>
      <c r="DD468" s="138" t="e">
        <f>IF(VLOOKUP(CONCATENATE(H468,F468,DD$2),Español!$A:$H,7,FALSE)=R468,1,0)</f>
        <v>#N/A</v>
      </c>
      <c r="DE468" s="138" t="e">
        <f>IF(VLOOKUP(CONCATENATE(H468,F468,DE$2),Español!$A:$H,7,FALSE)=S468,1,0)</f>
        <v>#N/A</v>
      </c>
      <c r="DF468" s="138" t="e">
        <f>IF(VLOOKUP(CONCATENATE(H468,F468,DF$2),Español!$A:$H,7,FALSE)=T468,1,0)</f>
        <v>#N/A</v>
      </c>
      <c r="DG468" s="138" t="e">
        <f>IF(VLOOKUP(CONCATENATE(H468,F468,DG$2),Español!$A:$H,7,FALSE)=U468,1,0)</f>
        <v>#N/A</v>
      </c>
      <c r="DH468" s="138" t="e">
        <f>IF(VLOOKUP(CONCATENATE(H468,F468,DH$2),Español!$A:$H,7,FALSE)=V468,1,0)</f>
        <v>#N/A</v>
      </c>
      <c r="DI468" s="138" t="e">
        <f>IF(VLOOKUP(CONCATENATE(H468,F468,DI$2),Español!$A:$H,7,FALSE)=W468,1,0)</f>
        <v>#N/A</v>
      </c>
      <c r="DJ468" s="138" t="e">
        <f>IF(VLOOKUP(CONCATENATE(H468,F468,DJ$2),Español!$A:$H,7,FALSE)=X468,1,0)</f>
        <v>#N/A</v>
      </c>
      <c r="DK468" s="138" t="e">
        <f>IF(VLOOKUP(CONCATENATE(H468,F468,DK$2),Español!$A:$H,7,FALSE)=Y468,1,0)</f>
        <v>#N/A</v>
      </c>
      <c r="DL468" s="138" t="e">
        <f>IF(VLOOKUP(CONCATENATE(H468,F468,DL$2),Español!$A:$H,7,FALSE)=Z468,1,0)</f>
        <v>#N/A</v>
      </c>
      <c r="DM468" s="138" t="e">
        <f>IF(VLOOKUP(CONCATENATE(H468,F468,DM$2),Español!$A:$H,7,FALSE)=AA468,1,0)</f>
        <v>#N/A</v>
      </c>
      <c r="DN468" s="138" t="e">
        <f>IF(VLOOKUP(CONCATENATE(H468,F468,DN$2),Español!$A:$H,7,FALSE)=AB468,1,0)</f>
        <v>#N/A</v>
      </c>
      <c r="DO468" s="138" t="e">
        <f>IF(VLOOKUP(CONCATENATE(H468,F468,DO$2),Español!$A:$H,7,FALSE)=AC468,1,0)</f>
        <v>#N/A</v>
      </c>
      <c r="DP468" s="138" t="e">
        <f>IF(VLOOKUP(CONCATENATE(H468,F468,DP$2),Español!$A:$H,7,FALSE)=AD468,1,0)</f>
        <v>#N/A</v>
      </c>
      <c r="DQ468" s="138" t="e">
        <f>IF(VLOOKUP(CONCATENATE(H468,F468,DQ$2),Español!$A:$H,7,FALSE)=AE468,1,0)</f>
        <v>#N/A</v>
      </c>
      <c r="DR468" s="138" t="e">
        <f>IF(VLOOKUP(CONCATENATE(H468,F468,DR$2),Inglés!$A:$H,7,FALSE)=AF468,1,0)</f>
        <v>#N/A</v>
      </c>
      <c r="DS468" s="138" t="e">
        <f>IF(VLOOKUP(CONCATENATE(H468,F468,DS$2),Inglés!$A:$H,7,FALSE)=AG468,1,0)</f>
        <v>#N/A</v>
      </c>
      <c r="DT468" s="138" t="e">
        <f>IF(VLOOKUP(CONCATENATE(H468,F468,DT$2),Inglés!$A:$H,7,FALSE)=AH468,1,0)</f>
        <v>#N/A</v>
      </c>
      <c r="DU468" s="138" t="e">
        <f>IF(VLOOKUP(CONCATENATE(H468,F468,DU$2),Inglés!$A:$H,7,FALSE)=AI468,1,0)</f>
        <v>#N/A</v>
      </c>
      <c r="DV468" s="138" t="e">
        <f>IF(VLOOKUP(CONCATENATE(H468,F468,DV$2),Inglés!$A:$H,7,FALSE)=AJ468,1,0)</f>
        <v>#N/A</v>
      </c>
      <c r="DW468" s="138" t="e">
        <f>IF(VLOOKUP(CONCATENATE(H468,F468,DW$2),Inglés!$A:$H,7,FALSE)=AK468,1,0)</f>
        <v>#N/A</v>
      </c>
      <c r="DX468" s="138" t="e">
        <f>IF(VLOOKUP(CONCATENATE(H468,F468,DX$2),Inglés!$A:$H,7,FALSE)=AL468,1,0)</f>
        <v>#N/A</v>
      </c>
      <c r="DY468" s="138" t="e">
        <f>IF(VLOOKUP(CONCATENATE(H468,F468,DY$2),Inglés!$A:$H,7,FALSE)=AM468,1,0)</f>
        <v>#N/A</v>
      </c>
      <c r="DZ468" s="138" t="e">
        <f>IF(VLOOKUP(CONCATENATE(H468,F468,DZ$2),Inglés!$A:$H,7,FALSE)=AN468,1,0)</f>
        <v>#N/A</v>
      </c>
      <c r="EA468" s="138" t="e">
        <f>IF(VLOOKUP(CONCATENATE(H468,F468,EA$2),Inglés!$A:$H,7,FALSE)=AO468,1,0)</f>
        <v>#N/A</v>
      </c>
      <c r="EB468" s="138" t="e">
        <f>IF(VLOOKUP(CONCATENATE(H468,F468,EB$2),Matemáticas!$A:$H,7,FALSE)=AP468,1,0)</f>
        <v>#N/A</v>
      </c>
      <c r="EC468" s="138" t="e">
        <f>IF(VLOOKUP(CONCATENATE(H468,F468,EC$2),Matemáticas!$A:$H,7,FALSE)=AQ468,1,0)</f>
        <v>#N/A</v>
      </c>
      <c r="ED468" s="138" t="e">
        <f>IF(VLOOKUP(CONCATENATE(H468,F468,ED$2),Matemáticas!$A:$H,7,FALSE)=AR468,1,0)</f>
        <v>#N/A</v>
      </c>
      <c r="EE468" s="138" t="e">
        <f>IF(VLOOKUP(CONCATENATE(H468,F468,EE$2),Matemáticas!$A:$H,7,FALSE)=AS468,1,0)</f>
        <v>#N/A</v>
      </c>
      <c r="EF468" s="138" t="e">
        <f>IF(VLOOKUP(CONCATENATE(H468,F468,EF$2),Matemáticas!$A:$H,7,FALSE)=AT468,1,0)</f>
        <v>#N/A</v>
      </c>
      <c r="EG468" s="138" t="e">
        <f>IF(VLOOKUP(CONCATENATE(H468,F468,EG$2),Matemáticas!$A:$H,7,FALSE)=AU468,1,0)</f>
        <v>#N/A</v>
      </c>
      <c r="EH468" s="138" t="e">
        <f>IF(VLOOKUP(CONCATENATE(H468,F468,EH$2),Matemáticas!$A:$H,7,FALSE)=AV468,1,0)</f>
        <v>#N/A</v>
      </c>
      <c r="EI468" s="138" t="e">
        <f>IF(VLOOKUP(CONCATENATE(H468,F468,EI$2),Matemáticas!$A:$H,7,FALSE)=AW468,1,0)</f>
        <v>#N/A</v>
      </c>
      <c r="EJ468" s="138" t="e">
        <f>IF(VLOOKUP(CONCATENATE(H468,F468,EJ$2),Matemáticas!$A:$H,7,FALSE)=AX468,1,0)</f>
        <v>#N/A</v>
      </c>
      <c r="EK468" s="138" t="e">
        <f>IF(VLOOKUP(CONCATENATE(H468,F468,EK$2),Matemáticas!$A:$H,7,FALSE)=AY468,1,0)</f>
        <v>#N/A</v>
      </c>
      <c r="EL468" s="138" t="e">
        <f>IF(VLOOKUP(CONCATENATE(H468,F468,EL$2),Matemáticas!$A:$H,7,FALSE)=AZ468,1,0)</f>
        <v>#N/A</v>
      </c>
      <c r="EM468" s="138" t="e">
        <f>IF(VLOOKUP(CONCATENATE(H468,F468,EM$2),Matemáticas!$A:$H,7,FALSE)=BA468,1,0)</f>
        <v>#N/A</v>
      </c>
      <c r="EN468" s="138" t="e">
        <f>IF(VLOOKUP(CONCATENATE(H468,F468,EN$2),Matemáticas!$A:$H,7,FALSE)=BB468,1,0)</f>
        <v>#N/A</v>
      </c>
      <c r="EO468" s="138" t="e">
        <f>IF(VLOOKUP(CONCATENATE(H468,F468,EO$2),Matemáticas!$A:$H,7,FALSE)=BC468,1,0)</f>
        <v>#N/A</v>
      </c>
      <c r="EP468" s="138" t="e">
        <f>IF(VLOOKUP(CONCATENATE(H468,F468,EP$2),Matemáticas!$A:$H,7,FALSE)=BD468,1,0)</f>
        <v>#N/A</v>
      </c>
      <c r="EQ468" s="138" t="e">
        <f>IF(VLOOKUP(CONCATENATE(H468,F468,EQ$2),Matemáticas!$A:$H,7,FALSE)=BE468,1,0)</f>
        <v>#N/A</v>
      </c>
      <c r="ER468" s="138" t="e">
        <f>IF(VLOOKUP(CONCATENATE(H468,F468,ER$2),Matemáticas!$A:$H,7,FALSE)=BF468,1,0)</f>
        <v>#N/A</v>
      </c>
      <c r="ES468" s="138" t="e">
        <f>IF(VLOOKUP(CONCATENATE(H468,F468,ES$2),Matemáticas!$A:$H,7,FALSE)=BG468,1,0)</f>
        <v>#N/A</v>
      </c>
      <c r="ET468" s="138" t="e">
        <f>IF(VLOOKUP(CONCATENATE(H468,F468,ET$2),Matemáticas!$A:$H,7,FALSE)=BH468,1,0)</f>
        <v>#N/A</v>
      </c>
      <c r="EU468" s="138" t="e">
        <f>IF(VLOOKUP(CONCATENATE(H468,F468,EU$2),Matemáticas!$A:$H,7,FALSE)=BI468,1,0)</f>
        <v>#N/A</v>
      </c>
      <c r="EV468" s="138" t="e">
        <f>IF(VLOOKUP(CONCATENATE(H468,F468,EV$2),Ciencias!$A:$H,7,FALSE)=BJ468,1,0)</f>
        <v>#N/A</v>
      </c>
      <c r="EW468" s="138" t="e">
        <f>IF(VLOOKUP(CONCATENATE(H468,F468,EW$2),Ciencias!$A:$H,7,FALSE)=BK468,1,0)</f>
        <v>#N/A</v>
      </c>
      <c r="EX468" s="138" t="e">
        <f>IF(VLOOKUP(CONCATENATE(H468,F468,EX$2),Ciencias!$A:$H,7,FALSE)=BL468,1,0)</f>
        <v>#N/A</v>
      </c>
      <c r="EY468" s="138" t="e">
        <f>IF(VLOOKUP(CONCATENATE(H468,F468,EY$2),Ciencias!$A:$H,7,FALSE)=BM468,1,0)</f>
        <v>#N/A</v>
      </c>
      <c r="EZ468" s="138" t="e">
        <f>IF(VLOOKUP(CONCATENATE(H468,F468,EZ$2),Ciencias!$A:$H,7,FALSE)=BN468,1,0)</f>
        <v>#N/A</v>
      </c>
      <c r="FA468" s="138" t="e">
        <f>IF(VLOOKUP(CONCATENATE(H468,F468,FA$2),Ciencias!$A:$H,7,FALSE)=BO468,1,0)</f>
        <v>#N/A</v>
      </c>
      <c r="FB468" s="138" t="e">
        <f>IF(VLOOKUP(CONCATENATE(H468,F468,FB$2),Ciencias!$A:$H,7,FALSE)=BP468,1,0)</f>
        <v>#N/A</v>
      </c>
      <c r="FC468" s="138" t="e">
        <f>IF(VLOOKUP(CONCATENATE(H468,F468,FC$2),Ciencias!$A:$H,7,FALSE)=BQ468,1,0)</f>
        <v>#N/A</v>
      </c>
      <c r="FD468" s="138" t="e">
        <f>IF(VLOOKUP(CONCATENATE(H468,F468,FD$2),Ciencias!$A:$H,7,FALSE)=BR468,1,0)</f>
        <v>#N/A</v>
      </c>
      <c r="FE468" s="138" t="e">
        <f>IF(VLOOKUP(CONCATENATE(H468,F468,FE$2),Ciencias!$A:$H,7,FALSE)=BS468,1,0)</f>
        <v>#N/A</v>
      </c>
      <c r="FF468" s="138" t="e">
        <f>IF(VLOOKUP(CONCATENATE(H468,F468,FF$2),Ciencias!$A:$H,7,FALSE)=BT468,1,0)</f>
        <v>#N/A</v>
      </c>
      <c r="FG468" s="138" t="e">
        <f>IF(VLOOKUP(CONCATENATE(H468,F468,FG$2),Ciencias!$A:$H,7,FALSE)=BU468,1,0)</f>
        <v>#N/A</v>
      </c>
      <c r="FH468" s="138" t="e">
        <f>IF(VLOOKUP(CONCATENATE(H468,F468,FH$2),Ciencias!$A:$H,7,FALSE)=BV468,1,0)</f>
        <v>#N/A</v>
      </c>
      <c r="FI468" s="138" t="e">
        <f>IF(VLOOKUP(CONCATENATE(H468,F468,FI$2),Ciencias!$A:$H,7,FALSE)=BW468,1,0)</f>
        <v>#N/A</v>
      </c>
      <c r="FJ468" s="138" t="e">
        <f>IF(VLOOKUP(CONCATENATE(H468,F468,FJ$2),Ciencias!$A:$H,7,FALSE)=BX468,1,0)</f>
        <v>#N/A</v>
      </c>
      <c r="FK468" s="138" t="e">
        <f>IF(VLOOKUP(CONCATENATE(H468,F468,FK$2),Ciencias!$A:$H,7,FALSE)=BY468,1,0)</f>
        <v>#N/A</v>
      </c>
      <c r="FL468" s="138" t="e">
        <f>IF(VLOOKUP(CONCATENATE(H468,F468,FL$2),Ciencias!$A:$H,7,FALSE)=BZ468,1,0)</f>
        <v>#N/A</v>
      </c>
      <c r="FM468" s="138" t="e">
        <f>IF(VLOOKUP(CONCATENATE(H468,F468,FM$2),Ciencias!$A:$H,7,FALSE)=CA468,1,0)</f>
        <v>#N/A</v>
      </c>
      <c r="FN468" s="138" t="e">
        <f>IF(VLOOKUP(CONCATENATE(H468,F468,FN$2),Ciencias!$A:$H,7,FALSE)=CB468,1,0)</f>
        <v>#N/A</v>
      </c>
      <c r="FO468" s="138" t="e">
        <f>IF(VLOOKUP(CONCATENATE(H468,F468,FO$2),Ciencias!$A:$H,7,FALSE)=CC468,1,0)</f>
        <v>#N/A</v>
      </c>
      <c r="FP468" s="138" t="e">
        <f>IF(VLOOKUP(CONCATENATE(H468,F468,FP$2),GeoHis!$A:$H,7,FALSE)=CD468,1,0)</f>
        <v>#N/A</v>
      </c>
      <c r="FQ468" s="138" t="e">
        <f>IF(VLOOKUP(CONCATENATE(H468,F468,FQ$2),GeoHis!$A:$H,7,FALSE)=CE468,1,0)</f>
        <v>#N/A</v>
      </c>
      <c r="FR468" s="138" t="e">
        <f>IF(VLOOKUP(CONCATENATE(H468,F468,FR$2),GeoHis!$A:$H,7,FALSE)=CF468,1,0)</f>
        <v>#N/A</v>
      </c>
      <c r="FS468" s="138" t="e">
        <f>IF(VLOOKUP(CONCATENATE(H468,F468,FS$2),GeoHis!$A:$H,7,FALSE)=CG468,1,0)</f>
        <v>#N/A</v>
      </c>
      <c r="FT468" s="138" t="e">
        <f>IF(VLOOKUP(CONCATENATE(H468,F468,FT$2),GeoHis!$A:$H,7,FALSE)=CH468,1,0)</f>
        <v>#N/A</v>
      </c>
      <c r="FU468" s="138" t="e">
        <f>IF(VLOOKUP(CONCATENATE(H468,F468,FU$2),GeoHis!$A:$H,7,FALSE)=CI468,1,0)</f>
        <v>#N/A</v>
      </c>
      <c r="FV468" s="138" t="e">
        <f>IF(VLOOKUP(CONCATENATE(H468,F468,FV$2),GeoHis!$A:$H,7,FALSE)=CJ468,1,0)</f>
        <v>#N/A</v>
      </c>
      <c r="FW468" s="138" t="e">
        <f>IF(VLOOKUP(CONCATENATE(H468,F468,FW$2),GeoHis!$A:$H,7,FALSE)=CK468,1,0)</f>
        <v>#N/A</v>
      </c>
      <c r="FX468" s="138" t="e">
        <f>IF(VLOOKUP(CONCATENATE(H468,F468,FX$2),GeoHis!$A:$H,7,FALSE)=CL468,1,0)</f>
        <v>#N/A</v>
      </c>
      <c r="FY468" s="138" t="e">
        <f>IF(VLOOKUP(CONCATENATE(H468,F468,FY$2),GeoHis!$A:$H,7,FALSE)=CM468,1,0)</f>
        <v>#N/A</v>
      </c>
      <c r="FZ468" s="138" t="e">
        <f>IF(VLOOKUP(CONCATENATE(H468,F468,FZ$2),GeoHis!$A:$H,7,FALSE)=CN468,1,0)</f>
        <v>#N/A</v>
      </c>
      <c r="GA468" s="138" t="e">
        <f>IF(VLOOKUP(CONCATENATE(H468,F468,GA$2),GeoHis!$A:$H,7,FALSE)=CO468,1,0)</f>
        <v>#N/A</v>
      </c>
      <c r="GB468" s="138" t="e">
        <f>IF(VLOOKUP(CONCATENATE(H468,F468,GB$2),GeoHis!$A:$H,7,FALSE)=CP468,1,0)</f>
        <v>#N/A</v>
      </c>
      <c r="GC468" s="138" t="e">
        <f>IF(VLOOKUP(CONCATENATE(H468,F468,GC$2),GeoHis!$A:$H,7,FALSE)=CQ468,1,0)</f>
        <v>#N/A</v>
      </c>
      <c r="GD468" s="138" t="e">
        <f>IF(VLOOKUP(CONCATENATE(H468,F468,GD$2),GeoHis!$A:$H,7,FALSE)=CR468,1,0)</f>
        <v>#N/A</v>
      </c>
      <c r="GE468" s="135" t="str">
        <f t="shared" si="63"/>
        <v/>
      </c>
    </row>
    <row r="469" spans="1:187" x14ac:dyDescent="0.25">
      <c r="A469" s="127" t="str">
        <f>IF(C469="","",'Datos Generales'!$A$25)</f>
        <v/>
      </c>
      <c r="D469" s="126" t="str">
        <f t="shared" si="56"/>
        <v/>
      </c>
      <c r="E469" s="126">
        <f t="shared" si="57"/>
        <v>0</v>
      </c>
      <c r="F469" s="126" t="str">
        <f t="shared" si="58"/>
        <v/>
      </c>
      <c r="G469" s="126" t="str">
        <f>IF(C469="","",'Datos Generales'!$D$19)</f>
        <v/>
      </c>
      <c r="H469" s="21" t="str">
        <f>IF(C469="","",'Datos Generales'!$A$19)</f>
        <v/>
      </c>
      <c r="I469" s="126" t="str">
        <f>IF(C469="","",'Datos Generales'!$A$7)</f>
        <v/>
      </c>
      <c r="J469" s="21" t="str">
        <f>IF(C469="","",'Datos Generales'!$A$13)</f>
        <v/>
      </c>
      <c r="K469" s="21" t="str">
        <f>IF(C469="","",'Datos Generales'!$A$10)</f>
        <v/>
      </c>
      <c r="CS469" s="142" t="str">
        <f t="shared" si="59"/>
        <v/>
      </c>
      <c r="CT469" s="142" t="str">
        <f t="shared" si="60"/>
        <v/>
      </c>
      <c r="CU469" s="142" t="str">
        <f t="shared" si="61"/>
        <v/>
      </c>
      <c r="CV469" s="142" t="str">
        <f t="shared" si="62"/>
        <v/>
      </c>
      <c r="CW469" s="142" t="str">
        <f>IF(C469="","",IF('Datos Generales'!$A$19=1,AVERAGE(FP469:GD469),AVERAGE(Captura!FP469:FY469)))</f>
        <v/>
      </c>
      <c r="CX469" s="138" t="e">
        <f>IF(VLOOKUP(CONCATENATE($H$4,$F$4,CX$2),Español!$A:$H,7,FALSE)=L469,1,0)</f>
        <v>#N/A</v>
      </c>
      <c r="CY469" s="138" t="e">
        <f>IF(VLOOKUP(CONCATENATE(H469,F469,CY$2),Español!$A:$H,7,FALSE)=M469,1,0)</f>
        <v>#N/A</v>
      </c>
      <c r="CZ469" s="138" t="e">
        <f>IF(VLOOKUP(CONCATENATE(H469,F469,CZ$2),Español!$A:$H,7,FALSE)=N469,1,0)</f>
        <v>#N/A</v>
      </c>
      <c r="DA469" s="138" t="e">
        <f>IF(VLOOKUP(CONCATENATE(H469,F469,DA$2),Español!$A:$H,7,FALSE)=O469,1,0)</f>
        <v>#N/A</v>
      </c>
      <c r="DB469" s="138" t="e">
        <f>IF(VLOOKUP(CONCATENATE(H469,F469,DB$2),Español!$A:$H,7,FALSE)=P469,1,0)</f>
        <v>#N/A</v>
      </c>
      <c r="DC469" s="138" t="e">
        <f>IF(VLOOKUP(CONCATENATE(H469,F469,DC$2),Español!$A:$H,7,FALSE)=Q469,1,0)</f>
        <v>#N/A</v>
      </c>
      <c r="DD469" s="138" t="e">
        <f>IF(VLOOKUP(CONCATENATE(H469,F469,DD$2),Español!$A:$H,7,FALSE)=R469,1,0)</f>
        <v>#N/A</v>
      </c>
      <c r="DE469" s="138" t="e">
        <f>IF(VLOOKUP(CONCATENATE(H469,F469,DE$2),Español!$A:$H,7,FALSE)=S469,1,0)</f>
        <v>#N/A</v>
      </c>
      <c r="DF469" s="138" t="e">
        <f>IF(VLOOKUP(CONCATENATE(H469,F469,DF$2),Español!$A:$H,7,FALSE)=T469,1,0)</f>
        <v>#N/A</v>
      </c>
      <c r="DG469" s="138" t="e">
        <f>IF(VLOOKUP(CONCATENATE(H469,F469,DG$2),Español!$A:$H,7,FALSE)=U469,1,0)</f>
        <v>#N/A</v>
      </c>
      <c r="DH469" s="138" t="e">
        <f>IF(VLOOKUP(CONCATENATE(H469,F469,DH$2),Español!$A:$H,7,FALSE)=V469,1,0)</f>
        <v>#N/A</v>
      </c>
      <c r="DI469" s="138" t="e">
        <f>IF(VLOOKUP(CONCATENATE(H469,F469,DI$2),Español!$A:$H,7,FALSE)=W469,1,0)</f>
        <v>#N/A</v>
      </c>
      <c r="DJ469" s="138" t="e">
        <f>IF(VLOOKUP(CONCATENATE(H469,F469,DJ$2),Español!$A:$H,7,FALSE)=X469,1,0)</f>
        <v>#N/A</v>
      </c>
      <c r="DK469" s="138" t="e">
        <f>IF(VLOOKUP(CONCATENATE(H469,F469,DK$2),Español!$A:$H,7,FALSE)=Y469,1,0)</f>
        <v>#N/A</v>
      </c>
      <c r="DL469" s="138" t="e">
        <f>IF(VLOOKUP(CONCATENATE(H469,F469,DL$2),Español!$A:$H,7,FALSE)=Z469,1,0)</f>
        <v>#N/A</v>
      </c>
      <c r="DM469" s="138" t="e">
        <f>IF(VLOOKUP(CONCATENATE(H469,F469,DM$2),Español!$A:$H,7,FALSE)=AA469,1,0)</f>
        <v>#N/A</v>
      </c>
      <c r="DN469" s="138" t="e">
        <f>IF(VLOOKUP(CONCATENATE(H469,F469,DN$2),Español!$A:$H,7,FALSE)=AB469,1,0)</f>
        <v>#N/A</v>
      </c>
      <c r="DO469" s="138" t="e">
        <f>IF(VLOOKUP(CONCATENATE(H469,F469,DO$2),Español!$A:$H,7,FALSE)=AC469,1,0)</f>
        <v>#N/A</v>
      </c>
      <c r="DP469" s="138" t="e">
        <f>IF(VLOOKUP(CONCATENATE(H469,F469,DP$2),Español!$A:$H,7,FALSE)=AD469,1,0)</f>
        <v>#N/A</v>
      </c>
      <c r="DQ469" s="138" t="e">
        <f>IF(VLOOKUP(CONCATENATE(H469,F469,DQ$2),Español!$A:$H,7,FALSE)=AE469,1,0)</f>
        <v>#N/A</v>
      </c>
      <c r="DR469" s="138" t="e">
        <f>IF(VLOOKUP(CONCATENATE(H469,F469,DR$2),Inglés!$A:$H,7,FALSE)=AF469,1,0)</f>
        <v>#N/A</v>
      </c>
      <c r="DS469" s="138" t="e">
        <f>IF(VLOOKUP(CONCATENATE(H469,F469,DS$2),Inglés!$A:$H,7,FALSE)=AG469,1,0)</f>
        <v>#N/A</v>
      </c>
      <c r="DT469" s="138" t="e">
        <f>IF(VLOOKUP(CONCATENATE(H469,F469,DT$2),Inglés!$A:$H,7,FALSE)=AH469,1,0)</f>
        <v>#N/A</v>
      </c>
      <c r="DU469" s="138" t="e">
        <f>IF(VLOOKUP(CONCATENATE(H469,F469,DU$2),Inglés!$A:$H,7,FALSE)=AI469,1,0)</f>
        <v>#N/A</v>
      </c>
      <c r="DV469" s="138" t="e">
        <f>IF(VLOOKUP(CONCATENATE(H469,F469,DV$2),Inglés!$A:$H,7,FALSE)=AJ469,1,0)</f>
        <v>#N/A</v>
      </c>
      <c r="DW469" s="138" t="e">
        <f>IF(VLOOKUP(CONCATENATE(H469,F469,DW$2),Inglés!$A:$H,7,FALSE)=AK469,1,0)</f>
        <v>#N/A</v>
      </c>
      <c r="DX469" s="138" t="e">
        <f>IF(VLOOKUP(CONCATENATE(H469,F469,DX$2),Inglés!$A:$H,7,FALSE)=AL469,1,0)</f>
        <v>#N/A</v>
      </c>
      <c r="DY469" s="138" t="e">
        <f>IF(VLOOKUP(CONCATENATE(H469,F469,DY$2),Inglés!$A:$H,7,FALSE)=AM469,1,0)</f>
        <v>#N/A</v>
      </c>
      <c r="DZ469" s="138" t="e">
        <f>IF(VLOOKUP(CONCATENATE(H469,F469,DZ$2),Inglés!$A:$H,7,FALSE)=AN469,1,0)</f>
        <v>#N/A</v>
      </c>
      <c r="EA469" s="138" t="e">
        <f>IF(VLOOKUP(CONCATENATE(H469,F469,EA$2),Inglés!$A:$H,7,FALSE)=AO469,1,0)</f>
        <v>#N/A</v>
      </c>
      <c r="EB469" s="138" t="e">
        <f>IF(VLOOKUP(CONCATENATE(H469,F469,EB$2),Matemáticas!$A:$H,7,FALSE)=AP469,1,0)</f>
        <v>#N/A</v>
      </c>
      <c r="EC469" s="138" t="e">
        <f>IF(VLOOKUP(CONCATENATE(H469,F469,EC$2),Matemáticas!$A:$H,7,FALSE)=AQ469,1,0)</f>
        <v>#N/A</v>
      </c>
      <c r="ED469" s="138" t="e">
        <f>IF(VLOOKUP(CONCATENATE(H469,F469,ED$2),Matemáticas!$A:$H,7,FALSE)=AR469,1,0)</f>
        <v>#N/A</v>
      </c>
      <c r="EE469" s="138" t="e">
        <f>IF(VLOOKUP(CONCATENATE(H469,F469,EE$2),Matemáticas!$A:$H,7,FALSE)=AS469,1,0)</f>
        <v>#N/A</v>
      </c>
      <c r="EF469" s="138" t="e">
        <f>IF(VLOOKUP(CONCATENATE(H469,F469,EF$2),Matemáticas!$A:$H,7,FALSE)=AT469,1,0)</f>
        <v>#N/A</v>
      </c>
      <c r="EG469" s="138" t="e">
        <f>IF(VLOOKUP(CONCATENATE(H469,F469,EG$2),Matemáticas!$A:$H,7,FALSE)=AU469,1,0)</f>
        <v>#N/A</v>
      </c>
      <c r="EH469" s="138" t="e">
        <f>IF(VLOOKUP(CONCATENATE(H469,F469,EH$2),Matemáticas!$A:$H,7,FALSE)=AV469,1,0)</f>
        <v>#N/A</v>
      </c>
      <c r="EI469" s="138" t="e">
        <f>IF(VLOOKUP(CONCATENATE(H469,F469,EI$2),Matemáticas!$A:$H,7,FALSE)=AW469,1,0)</f>
        <v>#N/A</v>
      </c>
      <c r="EJ469" s="138" t="e">
        <f>IF(VLOOKUP(CONCATENATE(H469,F469,EJ$2),Matemáticas!$A:$H,7,FALSE)=AX469,1,0)</f>
        <v>#N/A</v>
      </c>
      <c r="EK469" s="138" t="e">
        <f>IF(VLOOKUP(CONCATENATE(H469,F469,EK$2),Matemáticas!$A:$H,7,FALSE)=AY469,1,0)</f>
        <v>#N/A</v>
      </c>
      <c r="EL469" s="138" t="e">
        <f>IF(VLOOKUP(CONCATENATE(H469,F469,EL$2),Matemáticas!$A:$H,7,FALSE)=AZ469,1,0)</f>
        <v>#N/A</v>
      </c>
      <c r="EM469" s="138" t="e">
        <f>IF(VLOOKUP(CONCATENATE(H469,F469,EM$2),Matemáticas!$A:$H,7,FALSE)=BA469,1,0)</f>
        <v>#N/A</v>
      </c>
      <c r="EN469" s="138" t="e">
        <f>IF(VLOOKUP(CONCATENATE(H469,F469,EN$2),Matemáticas!$A:$H,7,FALSE)=BB469,1,0)</f>
        <v>#N/A</v>
      </c>
      <c r="EO469" s="138" t="e">
        <f>IF(VLOOKUP(CONCATENATE(H469,F469,EO$2),Matemáticas!$A:$H,7,FALSE)=BC469,1,0)</f>
        <v>#N/A</v>
      </c>
      <c r="EP469" s="138" t="e">
        <f>IF(VLOOKUP(CONCATENATE(H469,F469,EP$2),Matemáticas!$A:$H,7,FALSE)=BD469,1,0)</f>
        <v>#N/A</v>
      </c>
      <c r="EQ469" s="138" t="e">
        <f>IF(VLOOKUP(CONCATENATE(H469,F469,EQ$2),Matemáticas!$A:$H,7,FALSE)=BE469,1,0)</f>
        <v>#N/A</v>
      </c>
      <c r="ER469" s="138" t="e">
        <f>IF(VLOOKUP(CONCATENATE(H469,F469,ER$2),Matemáticas!$A:$H,7,FALSE)=BF469,1,0)</f>
        <v>#N/A</v>
      </c>
      <c r="ES469" s="138" t="e">
        <f>IF(VLOOKUP(CONCATENATE(H469,F469,ES$2),Matemáticas!$A:$H,7,FALSE)=BG469,1,0)</f>
        <v>#N/A</v>
      </c>
      <c r="ET469" s="138" t="e">
        <f>IF(VLOOKUP(CONCATENATE(H469,F469,ET$2),Matemáticas!$A:$H,7,FALSE)=BH469,1,0)</f>
        <v>#N/A</v>
      </c>
      <c r="EU469" s="138" t="e">
        <f>IF(VLOOKUP(CONCATENATE(H469,F469,EU$2),Matemáticas!$A:$H,7,FALSE)=BI469,1,0)</f>
        <v>#N/A</v>
      </c>
      <c r="EV469" s="138" t="e">
        <f>IF(VLOOKUP(CONCATENATE(H469,F469,EV$2),Ciencias!$A:$H,7,FALSE)=BJ469,1,0)</f>
        <v>#N/A</v>
      </c>
      <c r="EW469" s="138" t="e">
        <f>IF(VLOOKUP(CONCATENATE(H469,F469,EW$2),Ciencias!$A:$H,7,FALSE)=BK469,1,0)</f>
        <v>#N/A</v>
      </c>
      <c r="EX469" s="138" t="e">
        <f>IF(VLOOKUP(CONCATENATE(H469,F469,EX$2),Ciencias!$A:$H,7,FALSE)=BL469,1,0)</f>
        <v>#N/A</v>
      </c>
      <c r="EY469" s="138" t="e">
        <f>IF(VLOOKUP(CONCATENATE(H469,F469,EY$2),Ciencias!$A:$H,7,FALSE)=BM469,1,0)</f>
        <v>#N/A</v>
      </c>
      <c r="EZ469" s="138" t="e">
        <f>IF(VLOOKUP(CONCATENATE(H469,F469,EZ$2),Ciencias!$A:$H,7,FALSE)=BN469,1,0)</f>
        <v>#N/A</v>
      </c>
      <c r="FA469" s="138" t="e">
        <f>IF(VLOOKUP(CONCATENATE(H469,F469,FA$2),Ciencias!$A:$H,7,FALSE)=BO469,1,0)</f>
        <v>#N/A</v>
      </c>
      <c r="FB469" s="138" t="e">
        <f>IF(VLOOKUP(CONCATENATE(H469,F469,FB$2),Ciencias!$A:$H,7,FALSE)=BP469,1,0)</f>
        <v>#N/A</v>
      </c>
      <c r="FC469" s="138" t="e">
        <f>IF(VLOOKUP(CONCATENATE(H469,F469,FC$2),Ciencias!$A:$H,7,FALSE)=BQ469,1,0)</f>
        <v>#N/A</v>
      </c>
      <c r="FD469" s="138" t="e">
        <f>IF(VLOOKUP(CONCATENATE(H469,F469,FD$2),Ciencias!$A:$H,7,FALSE)=BR469,1,0)</f>
        <v>#N/A</v>
      </c>
      <c r="FE469" s="138" t="e">
        <f>IF(VLOOKUP(CONCATENATE(H469,F469,FE$2),Ciencias!$A:$H,7,FALSE)=BS469,1,0)</f>
        <v>#N/A</v>
      </c>
      <c r="FF469" s="138" t="e">
        <f>IF(VLOOKUP(CONCATENATE(H469,F469,FF$2),Ciencias!$A:$H,7,FALSE)=BT469,1,0)</f>
        <v>#N/A</v>
      </c>
      <c r="FG469" s="138" t="e">
        <f>IF(VLOOKUP(CONCATENATE(H469,F469,FG$2),Ciencias!$A:$H,7,FALSE)=BU469,1,0)</f>
        <v>#N/A</v>
      </c>
      <c r="FH469" s="138" t="e">
        <f>IF(VLOOKUP(CONCATENATE(H469,F469,FH$2),Ciencias!$A:$H,7,FALSE)=BV469,1,0)</f>
        <v>#N/A</v>
      </c>
      <c r="FI469" s="138" t="e">
        <f>IF(VLOOKUP(CONCATENATE(H469,F469,FI$2),Ciencias!$A:$H,7,FALSE)=BW469,1,0)</f>
        <v>#N/A</v>
      </c>
      <c r="FJ469" s="138" t="e">
        <f>IF(VLOOKUP(CONCATENATE(H469,F469,FJ$2),Ciencias!$A:$H,7,FALSE)=BX469,1,0)</f>
        <v>#N/A</v>
      </c>
      <c r="FK469" s="138" t="e">
        <f>IF(VLOOKUP(CONCATENATE(H469,F469,FK$2),Ciencias!$A:$H,7,FALSE)=BY469,1,0)</f>
        <v>#N/A</v>
      </c>
      <c r="FL469" s="138" t="e">
        <f>IF(VLOOKUP(CONCATENATE(H469,F469,FL$2),Ciencias!$A:$H,7,FALSE)=BZ469,1,0)</f>
        <v>#N/A</v>
      </c>
      <c r="FM469" s="138" t="e">
        <f>IF(VLOOKUP(CONCATENATE(H469,F469,FM$2),Ciencias!$A:$H,7,FALSE)=CA469,1,0)</f>
        <v>#N/A</v>
      </c>
      <c r="FN469" s="138" t="e">
        <f>IF(VLOOKUP(CONCATENATE(H469,F469,FN$2),Ciencias!$A:$H,7,FALSE)=CB469,1,0)</f>
        <v>#N/A</v>
      </c>
      <c r="FO469" s="138" t="e">
        <f>IF(VLOOKUP(CONCATENATE(H469,F469,FO$2),Ciencias!$A:$H,7,FALSE)=CC469,1,0)</f>
        <v>#N/A</v>
      </c>
      <c r="FP469" s="138" t="e">
        <f>IF(VLOOKUP(CONCATENATE(H469,F469,FP$2),GeoHis!$A:$H,7,FALSE)=CD469,1,0)</f>
        <v>#N/A</v>
      </c>
      <c r="FQ469" s="138" t="e">
        <f>IF(VLOOKUP(CONCATENATE(H469,F469,FQ$2),GeoHis!$A:$H,7,FALSE)=CE469,1,0)</f>
        <v>#N/A</v>
      </c>
      <c r="FR469" s="138" t="e">
        <f>IF(VLOOKUP(CONCATENATE(H469,F469,FR$2),GeoHis!$A:$H,7,FALSE)=CF469,1,0)</f>
        <v>#N/A</v>
      </c>
      <c r="FS469" s="138" t="e">
        <f>IF(VLOOKUP(CONCATENATE(H469,F469,FS$2),GeoHis!$A:$H,7,FALSE)=CG469,1,0)</f>
        <v>#N/A</v>
      </c>
      <c r="FT469" s="138" t="e">
        <f>IF(VLOOKUP(CONCATENATE(H469,F469,FT$2),GeoHis!$A:$H,7,FALSE)=CH469,1,0)</f>
        <v>#N/A</v>
      </c>
      <c r="FU469" s="138" t="e">
        <f>IF(VLOOKUP(CONCATENATE(H469,F469,FU$2),GeoHis!$A:$H,7,FALSE)=CI469,1,0)</f>
        <v>#N/A</v>
      </c>
      <c r="FV469" s="138" t="e">
        <f>IF(VLOOKUP(CONCATENATE(H469,F469,FV$2),GeoHis!$A:$H,7,FALSE)=CJ469,1,0)</f>
        <v>#N/A</v>
      </c>
      <c r="FW469" s="138" t="e">
        <f>IF(VLOOKUP(CONCATENATE(H469,F469,FW$2),GeoHis!$A:$H,7,FALSE)=CK469,1,0)</f>
        <v>#N/A</v>
      </c>
      <c r="FX469" s="138" t="e">
        <f>IF(VLOOKUP(CONCATENATE(H469,F469,FX$2),GeoHis!$A:$H,7,FALSE)=CL469,1,0)</f>
        <v>#N/A</v>
      </c>
      <c r="FY469" s="138" t="e">
        <f>IF(VLOOKUP(CONCATENATE(H469,F469,FY$2),GeoHis!$A:$H,7,FALSE)=CM469,1,0)</f>
        <v>#N/A</v>
      </c>
      <c r="FZ469" s="138" t="e">
        <f>IF(VLOOKUP(CONCATENATE(H469,F469,FZ$2),GeoHis!$A:$H,7,FALSE)=CN469,1,0)</f>
        <v>#N/A</v>
      </c>
      <c r="GA469" s="138" t="e">
        <f>IF(VLOOKUP(CONCATENATE(H469,F469,GA$2),GeoHis!$A:$H,7,FALSE)=CO469,1,0)</f>
        <v>#N/A</v>
      </c>
      <c r="GB469" s="138" t="e">
        <f>IF(VLOOKUP(CONCATENATE(H469,F469,GB$2),GeoHis!$A:$H,7,FALSE)=CP469,1,0)</f>
        <v>#N/A</v>
      </c>
      <c r="GC469" s="138" t="e">
        <f>IF(VLOOKUP(CONCATENATE(H469,F469,GC$2),GeoHis!$A:$H,7,FALSE)=CQ469,1,0)</f>
        <v>#N/A</v>
      </c>
      <c r="GD469" s="138" t="e">
        <f>IF(VLOOKUP(CONCATENATE(H469,F469,GD$2),GeoHis!$A:$H,7,FALSE)=CR469,1,0)</f>
        <v>#N/A</v>
      </c>
      <c r="GE469" s="135" t="str">
        <f t="shared" si="63"/>
        <v/>
      </c>
    </row>
    <row r="470" spans="1:187" x14ac:dyDescent="0.25">
      <c r="A470" s="127" t="str">
        <f>IF(C470="","",'Datos Generales'!$A$25)</f>
        <v/>
      </c>
      <c r="D470" s="126" t="str">
        <f t="shared" si="56"/>
        <v/>
      </c>
      <c r="E470" s="126">
        <f t="shared" si="57"/>
        <v>0</v>
      </c>
      <c r="F470" s="126" t="str">
        <f t="shared" si="58"/>
        <v/>
      </c>
      <c r="G470" s="126" t="str">
        <f>IF(C470="","",'Datos Generales'!$D$19)</f>
        <v/>
      </c>
      <c r="H470" s="21" t="str">
        <f>IF(C470="","",'Datos Generales'!$A$19)</f>
        <v/>
      </c>
      <c r="I470" s="126" t="str">
        <f>IF(C470="","",'Datos Generales'!$A$7)</f>
        <v/>
      </c>
      <c r="J470" s="21" t="str">
        <f>IF(C470="","",'Datos Generales'!$A$13)</f>
        <v/>
      </c>
      <c r="K470" s="21" t="str">
        <f>IF(C470="","",'Datos Generales'!$A$10)</f>
        <v/>
      </c>
      <c r="CS470" s="142" t="str">
        <f t="shared" si="59"/>
        <v/>
      </c>
      <c r="CT470" s="142" t="str">
        <f t="shared" si="60"/>
        <v/>
      </c>
      <c r="CU470" s="142" t="str">
        <f t="shared" si="61"/>
        <v/>
      </c>
      <c r="CV470" s="142" t="str">
        <f t="shared" si="62"/>
        <v/>
      </c>
      <c r="CW470" s="142" t="str">
        <f>IF(C470="","",IF('Datos Generales'!$A$19=1,AVERAGE(FP470:GD470),AVERAGE(Captura!FP470:FY470)))</f>
        <v/>
      </c>
      <c r="CX470" s="138" t="e">
        <f>IF(VLOOKUP(CONCATENATE($H$4,$F$4,CX$2),Español!$A:$H,7,FALSE)=L470,1,0)</f>
        <v>#N/A</v>
      </c>
      <c r="CY470" s="138" t="e">
        <f>IF(VLOOKUP(CONCATENATE(H470,F470,CY$2),Español!$A:$H,7,FALSE)=M470,1,0)</f>
        <v>#N/A</v>
      </c>
      <c r="CZ470" s="138" t="e">
        <f>IF(VLOOKUP(CONCATENATE(H470,F470,CZ$2),Español!$A:$H,7,FALSE)=N470,1,0)</f>
        <v>#N/A</v>
      </c>
      <c r="DA470" s="138" t="e">
        <f>IF(VLOOKUP(CONCATENATE(H470,F470,DA$2),Español!$A:$H,7,FALSE)=O470,1,0)</f>
        <v>#N/A</v>
      </c>
      <c r="DB470" s="138" t="e">
        <f>IF(VLOOKUP(CONCATENATE(H470,F470,DB$2),Español!$A:$H,7,FALSE)=P470,1,0)</f>
        <v>#N/A</v>
      </c>
      <c r="DC470" s="138" t="e">
        <f>IF(VLOOKUP(CONCATENATE(H470,F470,DC$2),Español!$A:$H,7,FALSE)=Q470,1,0)</f>
        <v>#N/A</v>
      </c>
      <c r="DD470" s="138" t="e">
        <f>IF(VLOOKUP(CONCATENATE(H470,F470,DD$2),Español!$A:$H,7,FALSE)=R470,1,0)</f>
        <v>#N/A</v>
      </c>
      <c r="DE470" s="138" t="e">
        <f>IF(VLOOKUP(CONCATENATE(H470,F470,DE$2),Español!$A:$H,7,FALSE)=S470,1,0)</f>
        <v>#N/A</v>
      </c>
      <c r="DF470" s="138" t="e">
        <f>IF(VLOOKUP(CONCATENATE(H470,F470,DF$2),Español!$A:$H,7,FALSE)=T470,1,0)</f>
        <v>#N/A</v>
      </c>
      <c r="DG470" s="138" t="e">
        <f>IF(VLOOKUP(CONCATENATE(H470,F470,DG$2),Español!$A:$H,7,FALSE)=U470,1,0)</f>
        <v>#N/A</v>
      </c>
      <c r="DH470" s="138" t="e">
        <f>IF(VLOOKUP(CONCATENATE(H470,F470,DH$2),Español!$A:$H,7,FALSE)=V470,1,0)</f>
        <v>#N/A</v>
      </c>
      <c r="DI470" s="138" t="e">
        <f>IF(VLOOKUP(CONCATENATE(H470,F470,DI$2),Español!$A:$H,7,FALSE)=W470,1,0)</f>
        <v>#N/A</v>
      </c>
      <c r="DJ470" s="138" t="e">
        <f>IF(VLOOKUP(CONCATENATE(H470,F470,DJ$2),Español!$A:$H,7,FALSE)=X470,1,0)</f>
        <v>#N/A</v>
      </c>
      <c r="DK470" s="138" t="e">
        <f>IF(VLOOKUP(CONCATENATE(H470,F470,DK$2),Español!$A:$H,7,FALSE)=Y470,1,0)</f>
        <v>#N/A</v>
      </c>
      <c r="DL470" s="138" t="e">
        <f>IF(VLOOKUP(CONCATENATE(H470,F470,DL$2),Español!$A:$H,7,FALSE)=Z470,1,0)</f>
        <v>#N/A</v>
      </c>
      <c r="DM470" s="138" t="e">
        <f>IF(VLOOKUP(CONCATENATE(H470,F470,DM$2),Español!$A:$H,7,FALSE)=AA470,1,0)</f>
        <v>#N/A</v>
      </c>
      <c r="DN470" s="138" t="e">
        <f>IF(VLOOKUP(CONCATENATE(H470,F470,DN$2),Español!$A:$H,7,FALSE)=AB470,1,0)</f>
        <v>#N/A</v>
      </c>
      <c r="DO470" s="138" t="e">
        <f>IF(VLOOKUP(CONCATENATE(H470,F470,DO$2),Español!$A:$H,7,FALSE)=AC470,1,0)</f>
        <v>#N/A</v>
      </c>
      <c r="DP470" s="138" t="e">
        <f>IF(VLOOKUP(CONCATENATE(H470,F470,DP$2),Español!$A:$H,7,FALSE)=AD470,1,0)</f>
        <v>#N/A</v>
      </c>
      <c r="DQ470" s="138" t="e">
        <f>IF(VLOOKUP(CONCATENATE(H470,F470,DQ$2),Español!$A:$H,7,FALSE)=AE470,1,0)</f>
        <v>#N/A</v>
      </c>
      <c r="DR470" s="138" t="e">
        <f>IF(VLOOKUP(CONCATENATE(H470,F470,DR$2),Inglés!$A:$H,7,FALSE)=AF470,1,0)</f>
        <v>#N/A</v>
      </c>
      <c r="DS470" s="138" t="e">
        <f>IF(VLOOKUP(CONCATENATE(H470,F470,DS$2),Inglés!$A:$H,7,FALSE)=AG470,1,0)</f>
        <v>#N/A</v>
      </c>
      <c r="DT470" s="138" t="e">
        <f>IF(VLOOKUP(CONCATENATE(H470,F470,DT$2),Inglés!$A:$H,7,FALSE)=AH470,1,0)</f>
        <v>#N/A</v>
      </c>
      <c r="DU470" s="138" t="e">
        <f>IF(VLOOKUP(CONCATENATE(H470,F470,DU$2),Inglés!$A:$H,7,FALSE)=AI470,1,0)</f>
        <v>#N/A</v>
      </c>
      <c r="DV470" s="138" t="e">
        <f>IF(VLOOKUP(CONCATENATE(H470,F470,DV$2),Inglés!$A:$H,7,FALSE)=AJ470,1,0)</f>
        <v>#N/A</v>
      </c>
      <c r="DW470" s="138" t="e">
        <f>IF(VLOOKUP(CONCATENATE(H470,F470,DW$2),Inglés!$A:$H,7,FALSE)=AK470,1,0)</f>
        <v>#N/A</v>
      </c>
      <c r="DX470" s="138" t="e">
        <f>IF(VLOOKUP(CONCATENATE(H470,F470,DX$2),Inglés!$A:$H,7,FALSE)=AL470,1,0)</f>
        <v>#N/A</v>
      </c>
      <c r="DY470" s="138" t="e">
        <f>IF(VLOOKUP(CONCATENATE(H470,F470,DY$2),Inglés!$A:$H,7,FALSE)=AM470,1,0)</f>
        <v>#N/A</v>
      </c>
      <c r="DZ470" s="138" t="e">
        <f>IF(VLOOKUP(CONCATENATE(H470,F470,DZ$2),Inglés!$A:$H,7,FALSE)=AN470,1,0)</f>
        <v>#N/A</v>
      </c>
      <c r="EA470" s="138" t="e">
        <f>IF(VLOOKUP(CONCATENATE(H470,F470,EA$2),Inglés!$A:$H,7,FALSE)=AO470,1,0)</f>
        <v>#N/A</v>
      </c>
      <c r="EB470" s="138" t="e">
        <f>IF(VLOOKUP(CONCATENATE(H470,F470,EB$2),Matemáticas!$A:$H,7,FALSE)=AP470,1,0)</f>
        <v>#N/A</v>
      </c>
      <c r="EC470" s="138" t="e">
        <f>IF(VLOOKUP(CONCATENATE(H470,F470,EC$2),Matemáticas!$A:$H,7,FALSE)=AQ470,1,0)</f>
        <v>#N/A</v>
      </c>
      <c r="ED470" s="138" t="e">
        <f>IF(VLOOKUP(CONCATENATE(H470,F470,ED$2),Matemáticas!$A:$H,7,FALSE)=AR470,1,0)</f>
        <v>#N/A</v>
      </c>
      <c r="EE470" s="138" t="e">
        <f>IF(VLOOKUP(CONCATENATE(H470,F470,EE$2),Matemáticas!$A:$H,7,FALSE)=AS470,1,0)</f>
        <v>#N/A</v>
      </c>
      <c r="EF470" s="138" t="e">
        <f>IF(VLOOKUP(CONCATENATE(H470,F470,EF$2),Matemáticas!$A:$H,7,FALSE)=AT470,1,0)</f>
        <v>#N/A</v>
      </c>
      <c r="EG470" s="138" t="e">
        <f>IF(VLOOKUP(CONCATENATE(H470,F470,EG$2),Matemáticas!$A:$H,7,FALSE)=AU470,1,0)</f>
        <v>#N/A</v>
      </c>
      <c r="EH470" s="138" t="e">
        <f>IF(VLOOKUP(CONCATENATE(H470,F470,EH$2),Matemáticas!$A:$H,7,FALSE)=AV470,1,0)</f>
        <v>#N/A</v>
      </c>
      <c r="EI470" s="138" t="e">
        <f>IF(VLOOKUP(CONCATENATE(H470,F470,EI$2),Matemáticas!$A:$H,7,FALSE)=AW470,1,0)</f>
        <v>#N/A</v>
      </c>
      <c r="EJ470" s="138" t="e">
        <f>IF(VLOOKUP(CONCATENATE(H470,F470,EJ$2),Matemáticas!$A:$H,7,FALSE)=AX470,1,0)</f>
        <v>#N/A</v>
      </c>
      <c r="EK470" s="138" t="e">
        <f>IF(VLOOKUP(CONCATENATE(H470,F470,EK$2),Matemáticas!$A:$H,7,FALSE)=AY470,1,0)</f>
        <v>#N/A</v>
      </c>
      <c r="EL470" s="138" t="e">
        <f>IF(VLOOKUP(CONCATENATE(H470,F470,EL$2),Matemáticas!$A:$H,7,FALSE)=AZ470,1,0)</f>
        <v>#N/A</v>
      </c>
      <c r="EM470" s="138" t="e">
        <f>IF(VLOOKUP(CONCATENATE(H470,F470,EM$2),Matemáticas!$A:$H,7,FALSE)=BA470,1,0)</f>
        <v>#N/A</v>
      </c>
      <c r="EN470" s="138" t="e">
        <f>IF(VLOOKUP(CONCATENATE(H470,F470,EN$2),Matemáticas!$A:$H,7,FALSE)=BB470,1,0)</f>
        <v>#N/A</v>
      </c>
      <c r="EO470" s="138" t="e">
        <f>IF(VLOOKUP(CONCATENATE(H470,F470,EO$2),Matemáticas!$A:$H,7,FALSE)=BC470,1,0)</f>
        <v>#N/A</v>
      </c>
      <c r="EP470" s="138" t="e">
        <f>IF(VLOOKUP(CONCATENATE(H470,F470,EP$2),Matemáticas!$A:$H,7,FALSE)=BD470,1,0)</f>
        <v>#N/A</v>
      </c>
      <c r="EQ470" s="138" t="e">
        <f>IF(VLOOKUP(CONCATENATE(H470,F470,EQ$2),Matemáticas!$A:$H,7,FALSE)=BE470,1,0)</f>
        <v>#N/A</v>
      </c>
      <c r="ER470" s="138" t="e">
        <f>IF(VLOOKUP(CONCATENATE(H470,F470,ER$2),Matemáticas!$A:$H,7,FALSE)=BF470,1,0)</f>
        <v>#N/A</v>
      </c>
      <c r="ES470" s="138" t="e">
        <f>IF(VLOOKUP(CONCATENATE(H470,F470,ES$2),Matemáticas!$A:$H,7,FALSE)=BG470,1,0)</f>
        <v>#N/A</v>
      </c>
      <c r="ET470" s="138" t="e">
        <f>IF(VLOOKUP(CONCATENATE(H470,F470,ET$2),Matemáticas!$A:$H,7,FALSE)=BH470,1,0)</f>
        <v>#N/A</v>
      </c>
      <c r="EU470" s="138" t="e">
        <f>IF(VLOOKUP(CONCATENATE(H470,F470,EU$2),Matemáticas!$A:$H,7,FALSE)=BI470,1,0)</f>
        <v>#N/A</v>
      </c>
      <c r="EV470" s="138" t="e">
        <f>IF(VLOOKUP(CONCATENATE(H470,F470,EV$2),Ciencias!$A:$H,7,FALSE)=BJ470,1,0)</f>
        <v>#N/A</v>
      </c>
      <c r="EW470" s="138" t="e">
        <f>IF(VLOOKUP(CONCATENATE(H470,F470,EW$2),Ciencias!$A:$H,7,FALSE)=BK470,1,0)</f>
        <v>#N/A</v>
      </c>
      <c r="EX470" s="138" t="e">
        <f>IF(VLOOKUP(CONCATENATE(H470,F470,EX$2),Ciencias!$A:$H,7,FALSE)=BL470,1,0)</f>
        <v>#N/A</v>
      </c>
      <c r="EY470" s="138" t="e">
        <f>IF(VLOOKUP(CONCATENATE(H470,F470,EY$2),Ciencias!$A:$H,7,FALSE)=BM470,1,0)</f>
        <v>#N/A</v>
      </c>
      <c r="EZ470" s="138" t="e">
        <f>IF(VLOOKUP(CONCATENATE(H470,F470,EZ$2),Ciencias!$A:$H,7,FALSE)=BN470,1,0)</f>
        <v>#N/A</v>
      </c>
      <c r="FA470" s="138" t="e">
        <f>IF(VLOOKUP(CONCATENATE(H470,F470,FA$2),Ciencias!$A:$H,7,FALSE)=BO470,1,0)</f>
        <v>#N/A</v>
      </c>
      <c r="FB470" s="138" t="e">
        <f>IF(VLOOKUP(CONCATENATE(H470,F470,FB$2),Ciencias!$A:$H,7,FALSE)=BP470,1,0)</f>
        <v>#N/A</v>
      </c>
      <c r="FC470" s="138" t="e">
        <f>IF(VLOOKUP(CONCATENATE(H470,F470,FC$2),Ciencias!$A:$H,7,FALSE)=BQ470,1,0)</f>
        <v>#N/A</v>
      </c>
      <c r="FD470" s="138" t="e">
        <f>IF(VLOOKUP(CONCATENATE(H470,F470,FD$2),Ciencias!$A:$H,7,FALSE)=BR470,1,0)</f>
        <v>#N/A</v>
      </c>
      <c r="FE470" s="138" t="e">
        <f>IF(VLOOKUP(CONCATENATE(H470,F470,FE$2),Ciencias!$A:$H,7,FALSE)=BS470,1,0)</f>
        <v>#N/A</v>
      </c>
      <c r="FF470" s="138" t="e">
        <f>IF(VLOOKUP(CONCATENATE(H470,F470,FF$2),Ciencias!$A:$H,7,FALSE)=BT470,1,0)</f>
        <v>#N/A</v>
      </c>
      <c r="FG470" s="138" t="e">
        <f>IF(VLOOKUP(CONCATENATE(H470,F470,FG$2),Ciencias!$A:$H,7,FALSE)=BU470,1,0)</f>
        <v>#N/A</v>
      </c>
      <c r="FH470" s="138" t="e">
        <f>IF(VLOOKUP(CONCATENATE(H470,F470,FH$2),Ciencias!$A:$H,7,FALSE)=BV470,1,0)</f>
        <v>#N/A</v>
      </c>
      <c r="FI470" s="138" t="e">
        <f>IF(VLOOKUP(CONCATENATE(H470,F470,FI$2),Ciencias!$A:$H,7,FALSE)=BW470,1,0)</f>
        <v>#N/A</v>
      </c>
      <c r="FJ470" s="138" t="e">
        <f>IF(VLOOKUP(CONCATENATE(H470,F470,FJ$2),Ciencias!$A:$H,7,FALSE)=BX470,1,0)</f>
        <v>#N/A</v>
      </c>
      <c r="FK470" s="138" t="e">
        <f>IF(VLOOKUP(CONCATENATE(H470,F470,FK$2),Ciencias!$A:$H,7,FALSE)=BY470,1,0)</f>
        <v>#N/A</v>
      </c>
      <c r="FL470" s="138" t="e">
        <f>IF(VLOOKUP(CONCATENATE(H470,F470,FL$2),Ciencias!$A:$H,7,FALSE)=BZ470,1,0)</f>
        <v>#N/A</v>
      </c>
      <c r="FM470" s="138" t="e">
        <f>IF(VLOOKUP(CONCATENATE(H470,F470,FM$2),Ciencias!$A:$H,7,FALSE)=CA470,1,0)</f>
        <v>#N/A</v>
      </c>
      <c r="FN470" s="138" t="e">
        <f>IF(VLOOKUP(CONCATENATE(H470,F470,FN$2),Ciencias!$A:$H,7,FALSE)=CB470,1,0)</f>
        <v>#N/A</v>
      </c>
      <c r="FO470" s="138" t="e">
        <f>IF(VLOOKUP(CONCATENATE(H470,F470,FO$2),Ciencias!$A:$H,7,FALSE)=CC470,1,0)</f>
        <v>#N/A</v>
      </c>
      <c r="FP470" s="138" t="e">
        <f>IF(VLOOKUP(CONCATENATE(H470,F470,FP$2),GeoHis!$A:$H,7,FALSE)=CD470,1,0)</f>
        <v>#N/A</v>
      </c>
      <c r="FQ470" s="138" t="e">
        <f>IF(VLOOKUP(CONCATENATE(H470,F470,FQ$2),GeoHis!$A:$H,7,FALSE)=CE470,1,0)</f>
        <v>#N/A</v>
      </c>
      <c r="FR470" s="138" t="e">
        <f>IF(VLOOKUP(CONCATENATE(H470,F470,FR$2),GeoHis!$A:$H,7,FALSE)=CF470,1,0)</f>
        <v>#N/A</v>
      </c>
      <c r="FS470" s="138" t="e">
        <f>IF(VLOOKUP(CONCATENATE(H470,F470,FS$2),GeoHis!$A:$H,7,FALSE)=CG470,1,0)</f>
        <v>#N/A</v>
      </c>
      <c r="FT470" s="138" t="e">
        <f>IF(VLOOKUP(CONCATENATE(H470,F470,FT$2),GeoHis!$A:$H,7,FALSE)=CH470,1,0)</f>
        <v>#N/A</v>
      </c>
      <c r="FU470" s="138" t="e">
        <f>IF(VLOOKUP(CONCATENATE(H470,F470,FU$2),GeoHis!$A:$H,7,FALSE)=CI470,1,0)</f>
        <v>#N/A</v>
      </c>
      <c r="FV470" s="138" t="e">
        <f>IF(VLOOKUP(CONCATENATE(H470,F470,FV$2),GeoHis!$A:$H,7,FALSE)=CJ470,1,0)</f>
        <v>#N/A</v>
      </c>
      <c r="FW470" s="138" t="e">
        <f>IF(VLOOKUP(CONCATENATE(H470,F470,FW$2),GeoHis!$A:$H,7,FALSE)=CK470,1,0)</f>
        <v>#N/A</v>
      </c>
      <c r="FX470" s="138" t="e">
        <f>IF(VLOOKUP(CONCATENATE(H470,F470,FX$2),GeoHis!$A:$H,7,FALSE)=CL470,1,0)</f>
        <v>#N/A</v>
      </c>
      <c r="FY470" s="138" t="e">
        <f>IF(VLOOKUP(CONCATENATE(H470,F470,FY$2),GeoHis!$A:$H,7,FALSE)=CM470,1,0)</f>
        <v>#N/A</v>
      </c>
      <c r="FZ470" s="138" t="e">
        <f>IF(VLOOKUP(CONCATENATE(H470,F470,FZ$2),GeoHis!$A:$H,7,FALSE)=CN470,1,0)</f>
        <v>#N/A</v>
      </c>
      <c r="GA470" s="138" t="e">
        <f>IF(VLOOKUP(CONCATENATE(H470,F470,GA$2),GeoHis!$A:$H,7,FALSE)=CO470,1,0)</f>
        <v>#N/A</v>
      </c>
      <c r="GB470" s="138" t="e">
        <f>IF(VLOOKUP(CONCATENATE(H470,F470,GB$2),GeoHis!$A:$H,7,FALSE)=CP470,1,0)</f>
        <v>#N/A</v>
      </c>
      <c r="GC470" s="138" t="e">
        <f>IF(VLOOKUP(CONCATENATE(H470,F470,GC$2),GeoHis!$A:$H,7,FALSE)=CQ470,1,0)</f>
        <v>#N/A</v>
      </c>
      <c r="GD470" s="138" t="e">
        <f>IF(VLOOKUP(CONCATENATE(H470,F470,GD$2),GeoHis!$A:$H,7,FALSE)=CR470,1,0)</f>
        <v>#N/A</v>
      </c>
      <c r="GE470" s="135" t="str">
        <f t="shared" si="63"/>
        <v/>
      </c>
    </row>
    <row r="471" spans="1:187" x14ac:dyDescent="0.25">
      <c r="A471" s="127" t="str">
        <f>IF(C471="","",'Datos Generales'!$A$25)</f>
        <v/>
      </c>
      <c r="D471" s="126" t="str">
        <f t="shared" si="56"/>
        <v/>
      </c>
      <c r="E471" s="126">
        <f t="shared" si="57"/>
        <v>0</v>
      </c>
      <c r="F471" s="126" t="str">
        <f t="shared" si="58"/>
        <v/>
      </c>
      <c r="G471" s="126" t="str">
        <f>IF(C471="","",'Datos Generales'!$D$19)</f>
        <v/>
      </c>
      <c r="H471" s="21" t="str">
        <f>IF(C471="","",'Datos Generales'!$A$19)</f>
        <v/>
      </c>
      <c r="I471" s="126" t="str">
        <f>IF(C471="","",'Datos Generales'!$A$7)</f>
        <v/>
      </c>
      <c r="J471" s="21" t="str">
        <f>IF(C471="","",'Datos Generales'!$A$13)</f>
        <v/>
      </c>
      <c r="K471" s="21" t="str">
        <f>IF(C471="","",'Datos Generales'!$A$10)</f>
        <v/>
      </c>
      <c r="CS471" s="142" t="str">
        <f t="shared" si="59"/>
        <v/>
      </c>
      <c r="CT471" s="142" t="str">
        <f t="shared" si="60"/>
        <v/>
      </c>
      <c r="CU471" s="142" t="str">
        <f t="shared" si="61"/>
        <v/>
      </c>
      <c r="CV471" s="142" t="str">
        <f t="shared" si="62"/>
        <v/>
      </c>
      <c r="CW471" s="142" t="str">
        <f>IF(C471="","",IF('Datos Generales'!$A$19=1,AVERAGE(FP471:GD471),AVERAGE(Captura!FP471:FY471)))</f>
        <v/>
      </c>
      <c r="CX471" s="138" t="e">
        <f>IF(VLOOKUP(CONCATENATE($H$4,$F$4,CX$2),Español!$A:$H,7,FALSE)=L471,1,0)</f>
        <v>#N/A</v>
      </c>
      <c r="CY471" s="138" t="e">
        <f>IF(VLOOKUP(CONCATENATE(H471,F471,CY$2),Español!$A:$H,7,FALSE)=M471,1,0)</f>
        <v>#N/A</v>
      </c>
      <c r="CZ471" s="138" t="e">
        <f>IF(VLOOKUP(CONCATENATE(H471,F471,CZ$2),Español!$A:$H,7,FALSE)=N471,1,0)</f>
        <v>#N/A</v>
      </c>
      <c r="DA471" s="138" t="e">
        <f>IF(VLOOKUP(CONCATENATE(H471,F471,DA$2),Español!$A:$H,7,FALSE)=O471,1,0)</f>
        <v>#N/A</v>
      </c>
      <c r="DB471" s="138" t="e">
        <f>IF(VLOOKUP(CONCATENATE(H471,F471,DB$2),Español!$A:$H,7,FALSE)=P471,1,0)</f>
        <v>#N/A</v>
      </c>
      <c r="DC471" s="138" t="e">
        <f>IF(VLOOKUP(CONCATENATE(H471,F471,DC$2),Español!$A:$H,7,FALSE)=Q471,1,0)</f>
        <v>#N/A</v>
      </c>
      <c r="DD471" s="138" t="e">
        <f>IF(VLOOKUP(CONCATENATE(H471,F471,DD$2),Español!$A:$H,7,FALSE)=R471,1,0)</f>
        <v>#N/A</v>
      </c>
      <c r="DE471" s="138" t="e">
        <f>IF(VLOOKUP(CONCATENATE(H471,F471,DE$2),Español!$A:$H,7,FALSE)=S471,1,0)</f>
        <v>#N/A</v>
      </c>
      <c r="DF471" s="138" t="e">
        <f>IF(VLOOKUP(CONCATENATE(H471,F471,DF$2),Español!$A:$H,7,FALSE)=T471,1,0)</f>
        <v>#N/A</v>
      </c>
      <c r="DG471" s="138" t="e">
        <f>IF(VLOOKUP(CONCATENATE(H471,F471,DG$2),Español!$A:$H,7,FALSE)=U471,1,0)</f>
        <v>#N/A</v>
      </c>
      <c r="DH471" s="138" t="e">
        <f>IF(VLOOKUP(CONCATENATE(H471,F471,DH$2),Español!$A:$H,7,FALSE)=V471,1,0)</f>
        <v>#N/A</v>
      </c>
      <c r="DI471" s="138" t="e">
        <f>IF(VLOOKUP(CONCATENATE(H471,F471,DI$2),Español!$A:$H,7,FALSE)=W471,1,0)</f>
        <v>#N/A</v>
      </c>
      <c r="DJ471" s="138" t="e">
        <f>IF(VLOOKUP(CONCATENATE(H471,F471,DJ$2),Español!$A:$H,7,FALSE)=X471,1,0)</f>
        <v>#N/A</v>
      </c>
      <c r="DK471" s="138" t="e">
        <f>IF(VLOOKUP(CONCATENATE(H471,F471,DK$2),Español!$A:$H,7,FALSE)=Y471,1,0)</f>
        <v>#N/A</v>
      </c>
      <c r="DL471" s="138" t="e">
        <f>IF(VLOOKUP(CONCATENATE(H471,F471,DL$2),Español!$A:$H,7,FALSE)=Z471,1,0)</f>
        <v>#N/A</v>
      </c>
      <c r="DM471" s="138" t="e">
        <f>IF(VLOOKUP(CONCATENATE(H471,F471,DM$2),Español!$A:$H,7,FALSE)=AA471,1,0)</f>
        <v>#N/A</v>
      </c>
      <c r="DN471" s="138" t="e">
        <f>IF(VLOOKUP(CONCATENATE(H471,F471,DN$2),Español!$A:$H,7,FALSE)=AB471,1,0)</f>
        <v>#N/A</v>
      </c>
      <c r="DO471" s="138" t="e">
        <f>IF(VLOOKUP(CONCATENATE(H471,F471,DO$2),Español!$A:$H,7,FALSE)=AC471,1,0)</f>
        <v>#N/A</v>
      </c>
      <c r="DP471" s="138" t="e">
        <f>IF(VLOOKUP(CONCATENATE(H471,F471,DP$2),Español!$A:$H,7,FALSE)=AD471,1,0)</f>
        <v>#N/A</v>
      </c>
      <c r="DQ471" s="138" t="e">
        <f>IF(VLOOKUP(CONCATENATE(H471,F471,DQ$2),Español!$A:$H,7,FALSE)=AE471,1,0)</f>
        <v>#N/A</v>
      </c>
      <c r="DR471" s="138" t="e">
        <f>IF(VLOOKUP(CONCATENATE(H471,F471,DR$2),Inglés!$A:$H,7,FALSE)=AF471,1,0)</f>
        <v>#N/A</v>
      </c>
      <c r="DS471" s="138" t="e">
        <f>IF(VLOOKUP(CONCATENATE(H471,F471,DS$2),Inglés!$A:$H,7,FALSE)=AG471,1,0)</f>
        <v>#N/A</v>
      </c>
      <c r="DT471" s="138" t="e">
        <f>IF(VLOOKUP(CONCATENATE(H471,F471,DT$2),Inglés!$A:$H,7,FALSE)=AH471,1,0)</f>
        <v>#N/A</v>
      </c>
      <c r="DU471" s="138" t="e">
        <f>IF(VLOOKUP(CONCATENATE(H471,F471,DU$2),Inglés!$A:$H,7,FALSE)=AI471,1,0)</f>
        <v>#N/A</v>
      </c>
      <c r="DV471" s="138" t="e">
        <f>IF(VLOOKUP(CONCATENATE(H471,F471,DV$2),Inglés!$A:$H,7,FALSE)=AJ471,1,0)</f>
        <v>#N/A</v>
      </c>
      <c r="DW471" s="138" t="e">
        <f>IF(VLOOKUP(CONCATENATE(H471,F471,DW$2),Inglés!$A:$H,7,FALSE)=AK471,1,0)</f>
        <v>#N/A</v>
      </c>
      <c r="DX471" s="138" t="e">
        <f>IF(VLOOKUP(CONCATENATE(H471,F471,DX$2),Inglés!$A:$H,7,FALSE)=AL471,1,0)</f>
        <v>#N/A</v>
      </c>
      <c r="DY471" s="138" t="e">
        <f>IF(VLOOKUP(CONCATENATE(H471,F471,DY$2),Inglés!$A:$H,7,FALSE)=AM471,1,0)</f>
        <v>#N/A</v>
      </c>
      <c r="DZ471" s="138" t="e">
        <f>IF(VLOOKUP(CONCATENATE(H471,F471,DZ$2),Inglés!$A:$H,7,FALSE)=AN471,1,0)</f>
        <v>#N/A</v>
      </c>
      <c r="EA471" s="138" t="e">
        <f>IF(VLOOKUP(CONCATENATE(H471,F471,EA$2),Inglés!$A:$H,7,FALSE)=AO471,1,0)</f>
        <v>#N/A</v>
      </c>
      <c r="EB471" s="138" t="e">
        <f>IF(VLOOKUP(CONCATENATE(H471,F471,EB$2),Matemáticas!$A:$H,7,FALSE)=AP471,1,0)</f>
        <v>#N/A</v>
      </c>
      <c r="EC471" s="138" t="e">
        <f>IF(VLOOKUP(CONCATENATE(H471,F471,EC$2),Matemáticas!$A:$H,7,FALSE)=AQ471,1,0)</f>
        <v>#N/A</v>
      </c>
      <c r="ED471" s="138" t="e">
        <f>IF(VLOOKUP(CONCATENATE(H471,F471,ED$2),Matemáticas!$A:$H,7,FALSE)=AR471,1,0)</f>
        <v>#N/A</v>
      </c>
      <c r="EE471" s="138" t="e">
        <f>IF(VLOOKUP(CONCATENATE(H471,F471,EE$2),Matemáticas!$A:$H,7,FALSE)=AS471,1,0)</f>
        <v>#N/A</v>
      </c>
      <c r="EF471" s="138" t="e">
        <f>IF(VLOOKUP(CONCATENATE(H471,F471,EF$2),Matemáticas!$A:$H,7,FALSE)=AT471,1,0)</f>
        <v>#N/A</v>
      </c>
      <c r="EG471" s="138" t="e">
        <f>IF(VLOOKUP(CONCATENATE(H471,F471,EG$2),Matemáticas!$A:$H,7,FALSE)=AU471,1,0)</f>
        <v>#N/A</v>
      </c>
      <c r="EH471" s="138" t="e">
        <f>IF(VLOOKUP(CONCATENATE(H471,F471,EH$2),Matemáticas!$A:$H,7,FALSE)=AV471,1,0)</f>
        <v>#N/A</v>
      </c>
      <c r="EI471" s="138" t="e">
        <f>IF(VLOOKUP(CONCATENATE(H471,F471,EI$2),Matemáticas!$A:$H,7,FALSE)=AW471,1,0)</f>
        <v>#N/A</v>
      </c>
      <c r="EJ471" s="138" t="e">
        <f>IF(VLOOKUP(CONCATENATE(H471,F471,EJ$2),Matemáticas!$A:$H,7,FALSE)=AX471,1,0)</f>
        <v>#N/A</v>
      </c>
      <c r="EK471" s="138" t="e">
        <f>IF(VLOOKUP(CONCATENATE(H471,F471,EK$2),Matemáticas!$A:$H,7,FALSE)=AY471,1,0)</f>
        <v>#N/A</v>
      </c>
      <c r="EL471" s="138" t="e">
        <f>IF(VLOOKUP(CONCATENATE(H471,F471,EL$2),Matemáticas!$A:$H,7,FALSE)=AZ471,1,0)</f>
        <v>#N/A</v>
      </c>
      <c r="EM471" s="138" t="e">
        <f>IF(VLOOKUP(CONCATENATE(H471,F471,EM$2),Matemáticas!$A:$H,7,FALSE)=BA471,1,0)</f>
        <v>#N/A</v>
      </c>
      <c r="EN471" s="138" t="e">
        <f>IF(VLOOKUP(CONCATENATE(H471,F471,EN$2),Matemáticas!$A:$H,7,FALSE)=BB471,1,0)</f>
        <v>#N/A</v>
      </c>
      <c r="EO471" s="138" t="e">
        <f>IF(VLOOKUP(CONCATENATE(H471,F471,EO$2),Matemáticas!$A:$H,7,FALSE)=BC471,1,0)</f>
        <v>#N/A</v>
      </c>
      <c r="EP471" s="138" t="e">
        <f>IF(VLOOKUP(CONCATENATE(H471,F471,EP$2),Matemáticas!$A:$H,7,FALSE)=BD471,1,0)</f>
        <v>#N/A</v>
      </c>
      <c r="EQ471" s="138" t="e">
        <f>IF(VLOOKUP(CONCATENATE(H471,F471,EQ$2),Matemáticas!$A:$H,7,FALSE)=BE471,1,0)</f>
        <v>#N/A</v>
      </c>
      <c r="ER471" s="138" t="e">
        <f>IF(VLOOKUP(CONCATENATE(H471,F471,ER$2),Matemáticas!$A:$H,7,FALSE)=BF471,1,0)</f>
        <v>#N/A</v>
      </c>
      <c r="ES471" s="138" t="e">
        <f>IF(VLOOKUP(CONCATENATE(H471,F471,ES$2),Matemáticas!$A:$H,7,FALSE)=BG471,1,0)</f>
        <v>#N/A</v>
      </c>
      <c r="ET471" s="138" t="e">
        <f>IF(VLOOKUP(CONCATENATE(H471,F471,ET$2),Matemáticas!$A:$H,7,FALSE)=BH471,1,0)</f>
        <v>#N/A</v>
      </c>
      <c r="EU471" s="138" t="e">
        <f>IF(VLOOKUP(CONCATENATE(H471,F471,EU$2),Matemáticas!$A:$H,7,FALSE)=BI471,1,0)</f>
        <v>#N/A</v>
      </c>
      <c r="EV471" s="138" t="e">
        <f>IF(VLOOKUP(CONCATENATE(H471,F471,EV$2),Ciencias!$A:$H,7,FALSE)=BJ471,1,0)</f>
        <v>#N/A</v>
      </c>
      <c r="EW471" s="138" t="e">
        <f>IF(VLOOKUP(CONCATENATE(H471,F471,EW$2),Ciencias!$A:$H,7,FALSE)=BK471,1,0)</f>
        <v>#N/A</v>
      </c>
      <c r="EX471" s="138" t="e">
        <f>IF(VLOOKUP(CONCATENATE(H471,F471,EX$2),Ciencias!$A:$H,7,FALSE)=BL471,1,0)</f>
        <v>#N/A</v>
      </c>
      <c r="EY471" s="138" t="e">
        <f>IF(VLOOKUP(CONCATENATE(H471,F471,EY$2),Ciencias!$A:$H,7,FALSE)=BM471,1,0)</f>
        <v>#N/A</v>
      </c>
      <c r="EZ471" s="138" t="e">
        <f>IF(VLOOKUP(CONCATENATE(H471,F471,EZ$2),Ciencias!$A:$H,7,FALSE)=BN471,1,0)</f>
        <v>#N/A</v>
      </c>
      <c r="FA471" s="138" t="e">
        <f>IF(VLOOKUP(CONCATENATE(H471,F471,FA$2),Ciencias!$A:$H,7,FALSE)=BO471,1,0)</f>
        <v>#N/A</v>
      </c>
      <c r="FB471" s="138" t="e">
        <f>IF(VLOOKUP(CONCATENATE(H471,F471,FB$2),Ciencias!$A:$H,7,FALSE)=BP471,1,0)</f>
        <v>#N/A</v>
      </c>
      <c r="FC471" s="138" t="e">
        <f>IF(VLOOKUP(CONCATENATE(H471,F471,FC$2),Ciencias!$A:$H,7,FALSE)=BQ471,1,0)</f>
        <v>#N/A</v>
      </c>
      <c r="FD471" s="138" t="e">
        <f>IF(VLOOKUP(CONCATENATE(H471,F471,FD$2),Ciencias!$A:$H,7,FALSE)=BR471,1,0)</f>
        <v>#N/A</v>
      </c>
      <c r="FE471" s="138" t="e">
        <f>IF(VLOOKUP(CONCATENATE(H471,F471,FE$2),Ciencias!$A:$H,7,FALSE)=BS471,1,0)</f>
        <v>#N/A</v>
      </c>
      <c r="FF471" s="138" t="e">
        <f>IF(VLOOKUP(CONCATENATE(H471,F471,FF$2),Ciencias!$A:$H,7,FALSE)=BT471,1,0)</f>
        <v>#N/A</v>
      </c>
      <c r="FG471" s="138" t="e">
        <f>IF(VLOOKUP(CONCATENATE(H471,F471,FG$2),Ciencias!$A:$H,7,FALSE)=BU471,1,0)</f>
        <v>#N/A</v>
      </c>
      <c r="FH471" s="138" t="e">
        <f>IF(VLOOKUP(CONCATENATE(H471,F471,FH$2),Ciencias!$A:$H,7,FALSE)=BV471,1,0)</f>
        <v>#N/A</v>
      </c>
      <c r="FI471" s="138" t="e">
        <f>IF(VLOOKUP(CONCATENATE(H471,F471,FI$2),Ciencias!$A:$H,7,FALSE)=BW471,1,0)</f>
        <v>#N/A</v>
      </c>
      <c r="FJ471" s="138" t="e">
        <f>IF(VLOOKUP(CONCATENATE(H471,F471,FJ$2),Ciencias!$A:$H,7,FALSE)=BX471,1,0)</f>
        <v>#N/A</v>
      </c>
      <c r="FK471" s="138" t="e">
        <f>IF(VLOOKUP(CONCATENATE(H471,F471,FK$2),Ciencias!$A:$H,7,FALSE)=BY471,1,0)</f>
        <v>#N/A</v>
      </c>
      <c r="FL471" s="138" t="e">
        <f>IF(VLOOKUP(CONCATENATE(H471,F471,FL$2),Ciencias!$A:$H,7,FALSE)=BZ471,1,0)</f>
        <v>#N/A</v>
      </c>
      <c r="FM471" s="138" t="e">
        <f>IF(VLOOKUP(CONCATENATE(H471,F471,FM$2),Ciencias!$A:$H,7,FALSE)=CA471,1,0)</f>
        <v>#N/A</v>
      </c>
      <c r="FN471" s="138" t="e">
        <f>IF(VLOOKUP(CONCATENATE(H471,F471,FN$2),Ciencias!$A:$H,7,FALSE)=CB471,1,0)</f>
        <v>#N/A</v>
      </c>
      <c r="FO471" s="138" t="e">
        <f>IF(VLOOKUP(CONCATENATE(H471,F471,FO$2),Ciencias!$A:$H,7,FALSE)=CC471,1,0)</f>
        <v>#N/A</v>
      </c>
      <c r="FP471" s="138" t="e">
        <f>IF(VLOOKUP(CONCATENATE(H471,F471,FP$2),GeoHis!$A:$H,7,FALSE)=CD471,1,0)</f>
        <v>#N/A</v>
      </c>
      <c r="FQ471" s="138" t="e">
        <f>IF(VLOOKUP(CONCATENATE(H471,F471,FQ$2),GeoHis!$A:$H,7,FALSE)=CE471,1,0)</f>
        <v>#N/A</v>
      </c>
      <c r="FR471" s="138" t="e">
        <f>IF(VLOOKUP(CONCATENATE(H471,F471,FR$2),GeoHis!$A:$H,7,FALSE)=CF471,1,0)</f>
        <v>#N/A</v>
      </c>
      <c r="FS471" s="138" t="e">
        <f>IF(VLOOKUP(CONCATENATE(H471,F471,FS$2),GeoHis!$A:$H,7,FALSE)=CG471,1,0)</f>
        <v>#N/A</v>
      </c>
      <c r="FT471" s="138" t="e">
        <f>IF(VLOOKUP(CONCATENATE(H471,F471,FT$2),GeoHis!$A:$H,7,FALSE)=CH471,1,0)</f>
        <v>#N/A</v>
      </c>
      <c r="FU471" s="138" t="e">
        <f>IF(VLOOKUP(CONCATENATE(H471,F471,FU$2),GeoHis!$A:$H,7,FALSE)=CI471,1,0)</f>
        <v>#N/A</v>
      </c>
      <c r="FV471" s="138" t="e">
        <f>IF(VLOOKUP(CONCATENATE(H471,F471,FV$2),GeoHis!$A:$H,7,FALSE)=CJ471,1,0)</f>
        <v>#N/A</v>
      </c>
      <c r="FW471" s="138" t="e">
        <f>IF(VLOOKUP(CONCATENATE(H471,F471,FW$2),GeoHis!$A:$H,7,FALSE)=CK471,1,0)</f>
        <v>#N/A</v>
      </c>
      <c r="FX471" s="138" t="e">
        <f>IF(VLOOKUP(CONCATENATE(H471,F471,FX$2),GeoHis!$A:$H,7,FALSE)=CL471,1,0)</f>
        <v>#N/A</v>
      </c>
      <c r="FY471" s="138" t="e">
        <f>IF(VLOOKUP(CONCATENATE(H471,F471,FY$2),GeoHis!$A:$H,7,FALSE)=CM471,1,0)</f>
        <v>#N/A</v>
      </c>
      <c r="FZ471" s="138" t="e">
        <f>IF(VLOOKUP(CONCATENATE(H471,F471,FZ$2),GeoHis!$A:$H,7,FALSE)=CN471,1,0)</f>
        <v>#N/A</v>
      </c>
      <c r="GA471" s="138" t="e">
        <f>IF(VLOOKUP(CONCATENATE(H471,F471,GA$2),GeoHis!$A:$H,7,FALSE)=CO471,1,0)</f>
        <v>#N/A</v>
      </c>
      <c r="GB471" s="138" t="e">
        <f>IF(VLOOKUP(CONCATENATE(H471,F471,GB$2),GeoHis!$A:$H,7,FALSE)=CP471,1,0)</f>
        <v>#N/A</v>
      </c>
      <c r="GC471" s="138" t="e">
        <f>IF(VLOOKUP(CONCATENATE(H471,F471,GC$2),GeoHis!$A:$H,7,FALSE)=CQ471,1,0)</f>
        <v>#N/A</v>
      </c>
      <c r="GD471" s="138" t="e">
        <f>IF(VLOOKUP(CONCATENATE(H471,F471,GD$2),GeoHis!$A:$H,7,FALSE)=CR471,1,0)</f>
        <v>#N/A</v>
      </c>
      <c r="GE471" s="135" t="str">
        <f t="shared" si="63"/>
        <v/>
      </c>
    </row>
    <row r="472" spans="1:187" x14ac:dyDescent="0.25">
      <c r="A472" s="127" t="str">
        <f>IF(C472="","",'Datos Generales'!$A$25)</f>
        <v/>
      </c>
      <c r="D472" s="126" t="str">
        <f t="shared" si="56"/>
        <v/>
      </c>
      <c r="E472" s="126">
        <f t="shared" si="57"/>
        <v>0</v>
      </c>
      <c r="F472" s="126" t="str">
        <f t="shared" si="58"/>
        <v/>
      </c>
      <c r="G472" s="126" t="str">
        <f>IF(C472="","",'Datos Generales'!$D$19)</f>
        <v/>
      </c>
      <c r="H472" s="21" t="str">
        <f>IF(C472="","",'Datos Generales'!$A$19)</f>
        <v/>
      </c>
      <c r="I472" s="126" t="str">
        <f>IF(C472="","",'Datos Generales'!$A$7)</f>
        <v/>
      </c>
      <c r="J472" s="21" t="str">
        <f>IF(C472="","",'Datos Generales'!$A$13)</f>
        <v/>
      </c>
      <c r="K472" s="21" t="str">
        <f>IF(C472="","",'Datos Generales'!$A$10)</f>
        <v/>
      </c>
      <c r="CS472" s="142" t="str">
        <f t="shared" si="59"/>
        <v/>
      </c>
      <c r="CT472" s="142" t="str">
        <f t="shared" si="60"/>
        <v/>
      </c>
      <c r="CU472" s="142" t="str">
        <f t="shared" si="61"/>
        <v/>
      </c>
      <c r="CV472" s="142" t="str">
        <f t="shared" si="62"/>
        <v/>
      </c>
      <c r="CW472" s="142" t="str">
        <f>IF(C472="","",IF('Datos Generales'!$A$19=1,AVERAGE(FP472:GD472),AVERAGE(Captura!FP472:FY472)))</f>
        <v/>
      </c>
      <c r="CX472" s="138" t="e">
        <f>IF(VLOOKUP(CONCATENATE($H$4,$F$4,CX$2),Español!$A:$H,7,FALSE)=L472,1,0)</f>
        <v>#N/A</v>
      </c>
      <c r="CY472" s="138" t="e">
        <f>IF(VLOOKUP(CONCATENATE(H472,F472,CY$2),Español!$A:$H,7,FALSE)=M472,1,0)</f>
        <v>#N/A</v>
      </c>
      <c r="CZ472" s="138" t="e">
        <f>IF(VLOOKUP(CONCATENATE(H472,F472,CZ$2),Español!$A:$H,7,FALSE)=N472,1,0)</f>
        <v>#N/A</v>
      </c>
      <c r="DA472" s="138" t="e">
        <f>IF(VLOOKUP(CONCATENATE(H472,F472,DA$2),Español!$A:$H,7,FALSE)=O472,1,0)</f>
        <v>#N/A</v>
      </c>
      <c r="DB472" s="138" t="e">
        <f>IF(VLOOKUP(CONCATENATE(H472,F472,DB$2),Español!$A:$H,7,FALSE)=P472,1,0)</f>
        <v>#N/A</v>
      </c>
      <c r="DC472" s="138" t="e">
        <f>IF(VLOOKUP(CONCATENATE(H472,F472,DC$2),Español!$A:$H,7,FALSE)=Q472,1,0)</f>
        <v>#N/A</v>
      </c>
      <c r="DD472" s="138" t="e">
        <f>IF(VLOOKUP(CONCATENATE(H472,F472,DD$2),Español!$A:$H,7,FALSE)=R472,1,0)</f>
        <v>#N/A</v>
      </c>
      <c r="DE472" s="138" t="e">
        <f>IF(VLOOKUP(CONCATENATE(H472,F472,DE$2),Español!$A:$H,7,FALSE)=S472,1,0)</f>
        <v>#N/A</v>
      </c>
      <c r="DF472" s="138" t="e">
        <f>IF(VLOOKUP(CONCATENATE(H472,F472,DF$2),Español!$A:$H,7,FALSE)=T472,1,0)</f>
        <v>#N/A</v>
      </c>
      <c r="DG472" s="138" t="e">
        <f>IF(VLOOKUP(CONCATENATE(H472,F472,DG$2),Español!$A:$H,7,FALSE)=U472,1,0)</f>
        <v>#N/A</v>
      </c>
      <c r="DH472" s="138" t="e">
        <f>IF(VLOOKUP(CONCATENATE(H472,F472,DH$2),Español!$A:$H,7,FALSE)=V472,1,0)</f>
        <v>#N/A</v>
      </c>
      <c r="DI472" s="138" t="e">
        <f>IF(VLOOKUP(CONCATENATE(H472,F472,DI$2),Español!$A:$H,7,FALSE)=W472,1,0)</f>
        <v>#N/A</v>
      </c>
      <c r="DJ472" s="138" t="e">
        <f>IF(VLOOKUP(CONCATENATE(H472,F472,DJ$2),Español!$A:$H,7,FALSE)=X472,1,0)</f>
        <v>#N/A</v>
      </c>
      <c r="DK472" s="138" t="e">
        <f>IF(VLOOKUP(CONCATENATE(H472,F472,DK$2),Español!$A:$H,7,FALSE)=Y472,1,0)</f>
        <v>#N/A</v>
      </c>
      <c r="DL472" s="138" t="e">
        <f>IF(VLOOKUP(CONCATENATE(H472,F472,DL$2),Español!$A:$H,7,FALSE)=Z472,1,0)</f>
        <v>#N/A</v>
      </c>
      <c r="DM472" s="138" t="e">
        <f>IF(VLOOKUP(CONCATENATE(H472,F472,DM$2),Español!$A:$H,7,FALSE)=AA472,1,0)</f>
        <v>#N/A</v>
      </c>
      <c r="DN472" s="138" t="e">
        <f>IF(VLOOKUP(CONCATENATE(H472,F472,DN$2),Español!$A:$H,7,FALSE)=AB472,1,0)</f>
        <v>#N/A</v>
      </c>
      <c r="DO472" s="138" t="e">
        <f>IF(VLOOKUP(CONCATENATE(H472,F472,DO$2),Español!$A:$H,7,FALSE)=AC472,1,0)</f>
        <v>#N/A</v>
      </c>
      <c r="DP472" s="138" t="e">
        <f>IF(VLOOKUP(CONCATENATE(H472,F472,DP$2),Español!$A:$H,7,FALSE)=AD472,1,0)</f>
        <v>#N/A</v>
      </c>
      <c r="DQ472" s="138" t="e">
        <f>IF(VLOOKUP(CONCATENATE(H472,F472,DQ$2),Español!$A:$H,7,FALSE)=AE472,1,0)</f>
        <v>#N/A</v>
      </c>
      <c r="DR472" s="138" t="e">
        <f>IF(VLOOKUP(CONCATENATE(H472,F472,DR$2),Inglés!$A:$H,7,FALSE)=AF472,1,0)</f>
        <v>#N/A</v>
      </c>
      <c r="DS472" s="138" t="e">
        <f>IF(VLOOKUP(CONCATENATE(H472,F472,DS$2),Inglés!$A:$H,7,FALSE)=AG472,1,0)</f>
        <v>#N/A</v>
      </c>
      <c r="DT472" s="138" t="e">
        <f>IF(VLOOKUP(CONCATENATE(H472,F472,DT$2),Inglés!$A:$H,7,FALSE)=AH472,1,0)</f>
        <v>#N/A</v>
      </c>
      <c r="DU472" s="138" t="e">
        <f>IF(VLOOKUP(CONCATENATE(H472,F472,DU$2),Inglés!$A:$H,7,FALSE)=AI472,1,0)</f>
        <v>#N/A</v>
      </c>
      <c r="DV472" s="138" t="e">
        <f>IF(VLOOKUP(CONCATENATE(H472,F472,DV$2),Inglés!$A:$H,7,FALSE)=AJ472,1,0)</f>
        <v>#N/A</v>
      </c>
      <c r="DW472" s="138" t="e">
        <f>IF(VLOOKUP(CONCATENATE(H472,F472,DW$2),Inglés!$A:$H,7,FALSE)=AK472,1,0)</f>
        <v>#N/A</v>
      </c>
      <c r="DX472" s="138" t="e">
        <f>IF(VLOOKUP(CONCATENATE(H472,F472,DX$2),Inglés!$A:$H,7,FALSE)=AL472,1,0)</f>
        <v>#N/A</v>
      </c>
      <c r="DY472" s="138" t="e">
        <f>IF(VLOOKUP(CONCATENATE(H472,F472,DY$2),Inglés!$A:$H,7,FALSE)=AM472,1,0)</f>
        <v>#N/A</v>
      </c>
      <c r="DZ472" s="138" t="e">
        <f>IF(VLOOKUP(CONCATENATE(H472,F472,DZ$2),Inglés!$A:$H,7,FALSE)=AN472,1,0)</f>
        <v>#N/A</v>
      </c>
      <c r="EA472" s="138" t="e">
        <f>IF(VLOOKUP(CONCATENATE(H472,F472,EA$2),Inglés!$A:$H,7,FALSE)=AO472,1,0)</f>
        <v>#N/A</v>
      </c>
      <c r="EB472" s="138" t="e">
        <f>IF(VLOOKUP(CONCATENATE(H472,F472,EB$2),Matemáticas!$A:$H,7,FALSE)=AP472,1,0)</f>
        <v>#N/A</v>
      </c>
      <c r="EC472" s="138" t="e">
        <f>IF(VLOOKUP(CONCATENATE(H472,F472,EC$2),Matemáticas!$A:$H,7,FALSE)=AQ472,1,0)</f>
        <v>#N/A</v>
      </c>
      <c r="ED472" s="138" t="e">
        <f>IF(VLOOKUP(CONCATENATE(H472,F472,ED$2),Matemáticas!$A:$H,7,FALSE)=AR472,1,0)</f>
        <v>#N/A</v>
      </c>
      <c r="EE472" s="138" t="e">
        <f>IF(VLOOKUP(CONCATENATE(H472,F472,EE$2),Matemáticas!$A:$H,7,FALSE)=AS472,1,0)</f>
        <v>#N/A</v>
      </c>
      <c r="EF472" s="138" t="e">
        <f>IF(VLOOKUP(CONCATENATE(H472,F472,EF$2),Matemáticas!$A:$H,7,FALSE)=AT472,1,0)</f>
        <v>#N/A</v>
      </c>
      <c r="EG472" s="138" t="e">
        <f>IF(VLOOKUP(CONCATENATE(H472,F472,EG$2),Matemáticas!$A:$H,7,FALSE)=AU472,1,0)</f>
        <v>#N/A</v>
      </c>
      <c r="EH472" s="138" t="e">
        <f>IF(VLOOKUP(CONCATENATE(H472,F472,EH$2),Matemáticas!$A:$H,7,FALSE)=AV472,1,0)</f>
        <v>#N/A</v>
      </c>
      <c r="EI472" s="138" t="e">
        <f>IF(VLOOKUP(CONCATENATE(H472,F472,EI$2),Matemáticas!$A:$H,7,FALSE)=AW472,1,0)</f>
        <v>#N/A</v>
      </c>
      <c r="EJ472" s="138" t="e">
        <f>IF(VLOOKUP(CONCATENATE(H472,F472,EJ$2),Matemáticas!$A:$H,7,FALSE)=AX472,1,0)</f>
        <v>#N/A</v>
      </c>
      <c r="EK472" s="138" t="e">
        <f>IF(VLOOKUP(CONCATENATE(H472,F472,EK$2),Matemáticas!$A:$H,7,FALSE)=AY472,1,0)</f>
        <v>#N/A</v>
      </c>
      <c r="EL472" s="138" t="e">
        <f>IF(VLOOKUP(CONCATENATE(H472,F472,EL$2),Matemáticas!$A:$H,7,FALSE)=AZ472,1,0)</f>
        <v>#N/A</v>
      </c>
      <c r="EM472" s="138" t="e">
        <f>IF(VLOOKUP(CONCATENATE(H472,F472,EM$2),Matemáticas!$A:$H,7,FALSE)=BA472,1,0)</f>
        <v>#N/A</v>
      </c>
      <c r="EN472" s="138" t="e">
        <f>IF(VLOOKUP(CONCATENATE(H472,F472,EN$2),Matemáticas!$A:$H,7,FALSE)=BB472,1,0)</f>
        <v>#N/A</v>
      </c>
      <c r="EO472" s="138" t="e">
        <f>IF(VLOOKUP(CONCATENATE(H472,F472,EO$2),Matemáticas!$A:$H,7,FALSE)=BC472,1,0)</f>
        <v>#N/A</v>
      </c>
      <c r="EP472" s="138" t="e">
        <f>IF(VLOOKUP(CONCATENATE(H472,F472,EP$2),Matemáticas!$A:$H,7,FALSE)=BD472,1,0)</f>
        <v>#N/A</v>
      </c>
      <c r="EQ472" s="138" t="e">
        <f>IF(VLOOKUP(CONCATENATE(H472,F472,EQ$2),Matemáticas!$A:$H,7,FALSE)=BE472,1,0)</f>
        <v>#N/A</v>
      </c>
      <c r="ER472" s="138" t="e">
        <f>IF(VLOOKUP(CONCATENATE(H472,F472,ER$2),Matemáticas!$A:$H,7,FALSE)=BF472,1,0)</f>
        <v>#N/A</v>
      </c>
      <c r="ES472" s="138" t="e">
        <f>IF(VLOOKUP(CONCATENATE(H472,F472,ES$2),Matemáticas!$A:$H,7,FALSE)=BG472,1,0)</f>
        <v>#N/A</v>
      </c>
      <c r="ET472" s="138" t="e">
        <f>IF(VLOOKUP(CONCATENATE(H472,F472,ET$2),Matemáticas!$A:$H,7,FALSE)=BH472,1,0)</f>
        <v>#N/A</v>
      </c>
      <c r="EU472" s="138" t="e">
        <f>IF(VLOOKUP(CONCATENATE(H472,F472,EU$2),Matemáticas!$A:$H,7,FALSE)=BI472,1,0)</f>
        <v>#N/A</v>
      </c>
      <c r="EV472" s="138" t="e">
        <f>IF(VLOOKUP(CONCATENATE(H472,F472,EV$2),Ciencias!$A:$H,7,FALSE)=BJ472,1,0)</f>
        <v>#N/A</v>
      </c>
      <c r="EW472" s="138" t="e">
        <f>IF(VLOOKUP(CONCATENATE(H472,F472,EW$2),Ciencias!$A:$H,7,FALSE)=BK472,1,0)</f>
        <v>#N/A</v>
      </c>
      <c r="EX472" s="138" t="e">
        <f>IF(VLOOKUP(CONCATENATE(H472,F472,EX$2),Ciencias!$A:$H,7,FALSE)=BL472,1,0)</f>
        <v>#N/A</v>
      </c>
      <c r="EY472" s="138" t="e">
        <f>IF(VLOOKUP(CONCATENATE(H472,F472,EY$2),Ciencias!$A:$H,7,FALSE)=BM472,1,0)</f>
        <v>#N/A</v>
      </c>
      <c r="EZ472" s="138" t="e">
        <f>IF(VLOOKUP(CONCATENATE(H472,F472,EZ$2),Ciencias!$A:$H,7,FALSE)=BN472,1,0)</f>
        <v>#N/A</v>
      </c>
      <c r="FA472" s="138" t="e">
        <f>IF(VLOOKUP(CONCATENATE(H472,F472,FA$2),Ciencias!$A:$H,7,FALSE)=BO472,1,0)</f>
        <v>#N/A</v>
      </c>
      <c r="FB472" s="138" t="e">
        <f>IF(VLOOKUP(CONCATENATE(H472,F472,FB$2),Ciencias!$A:$H,7,FALSE)=BP472,1,0)</f>
        <v>#N/A</v>
      </c>
      <c r="FC472" s="138" t="e">
        <f>IF(VLOOKUP(CONCATENATE(H472,F472,FC$2),Ciencias!$A:$H,7,FALSE)=BQ472,1,0)</f>
        <v>#N/A</v>
      </c>
      <c r="FD472" s="138" t="e">
        <f>IF(VLOOKUP(CONCATENATE(H472,F472,FD$2),Ciencias!$A:$H,7,FALSE)=BR472,1,0)</f>
        <v>#N/A</v>
      </c>
      <c r="FE472" s="138" t="e">
        <f>IF(VLOOKUP(CONCATENATE(H472,F472,FE$2),Ciencias!$A:$H,7,FALSE)=BS472,1,0)</f>
        <v>#N/A</v>
      </c>
      <c r="FF472" s="138" t="e">
        <f>IF(VLOOKUP(CONCATENATE(H472,F472,FF$2),Ciencias!$A:$H,7,FALSE)=BT472,1,0)</f>
        <v>#N/A</v>
      </c>
      <c r="FG472" s="138" t="e">
        <f>IF(VLOOKUP(CONCATENATE(H472,F472,FG$2),Ciencias!$A:$H,7,FALSE)=BU472,1,0)</f>
        <v>#N/A</v>
      </c>
      <c r="FH472" s="138" t="e">
        <f>IF(VLOOKUP(CONCATENATE(H472,F472,FH$2),Ciencias!$A:$H,7,FALSE)=BV472,1,0)</f>
        <v>#N/A</v>
      </c>
      <c r="FI472" s="138" t="e">
        <f>IF(VLOOKUP(CONCATENATE(H472,F472,FI$2),Ciencias!$A:$H,7,FALSE)=BW472,1,0)</f>
        <v>#N/A</v>
      </c>
      <c r="FJ472" s="138" t="e">
        <f>IF(VLOOKUP(CONCATENATE(H472,F472,FJ$2),Ciencias!$A:$H,7,FALSE)=BX472,1,0)</f>
        <v>#N/A</v>
      </c>
      <c r="FK472" s="138" t="e">
        <f>IF(VLOOKUP(CONCATENATE(H472,F472,FK$2),Ciencias!$A:$H,7,FALSE)=BY472,1,0)</f>
        <v>#N/A</v>
      </c>
      <c r="FL472" s="138" t="e">
        <f>IF(VLOOKUP(CONCATENATE(H472,F472,FL$2),Ciencias!$A:$H,7,FALSE)=BZ472,1,0)</f>
        <v>#N/A</v>
      </c>
      <c r="FM472" s="138" t="e">
        <f>IF(VLOOKUP(CONCATENATE(H472,F472,FM$2),Ciencias!$A:$H,7,FALSE)=CA472,1,0)</f>
        <v>#N/A</v>
      </c>
      <c r="FN472" s="138" t="e">
        <f>IF(VLOOKUP(CONCATENATE(H472,F472,FN$2),Ciencias!$A:$H,7,FALSE)=CB472,1,0)</f>
        <v>#N/A</v>
      </c>
      <c r="FO472" s="138" t="e">
        <f>IF(VLOOKUP(CONCATENATE(H472,F472,FO$2),Ciencias!$A:$H,7,FALSE)=CC472,1,0)</f>
        <v>#N/A</v>
      </c>
      <c r="FP472" s="138" t="e">
        <f>IF(VLOOKUP(CONCATENATE(H472,F472,FP$2),GeoHis!$A:$H,7,FALSE)=CD472,1,0)</f>
        <v>#N/A</v>
      </c>
      <c r="FQ472" s="138" t="e">
        <f>IF(VLOOKUP(CONCATENATE(H472,F472,FQ$2),GeoHis!$A:$H,7,FALSE)=CE472,1,0)</f>
        <v>#N/A</v>
      </c>
      <c r="FR472" s="138" t="e">
        <f>IF(VLOOKUP(CONCATENATE(H472,F472,FR$2),GeoHis!$A:$H,7,FALSE)=CF472,1,0)</f>
        <v>#N/A</v>
      </c>
      <c r="FS472" s="138" t="e">
        <f>IF(VLOOKUP(CONCATENATE(H472,F472,FS$2),GeoHis!$A:$H,7,FALSE)=CG472,1,0)</f>
        <v>#N/A</v>
      </c>
      <c r="FT472" s="138" t="e">
        <f>IF(VLOOKUP(CONCATENATE(H472,F472,FT$2),GeoHis!$A:$H,7,FALSE)=CH472,1,0)</f>
        <v>#N/A</v>
      </c>
      <c r="FU472" s="138" t="e">
        <f>IF(VLOOKUP(CONCATENATE(H472,F472,FU$2),GeoHis!$A:$H,7,FALSE)=CI472,1,0)</f>
        <v>#N/A</v>
      </c>
      <c r="FV472" s="138" t="e">
        <f>IF(VLOOKUP(CONCATENATE(H472,F472,FV$2),GeoHis!$A:$H,7,FALSE)=CJ472,1,0)</f>
        <v>#N/A</v>
      </c>
      <c r="FW472" s="138" t="e">
        <f>IF(VLOOKUP(CONCATENATE(H472,F472,FW$2),GeoHis!$A:$H,7,FALSE)=CK472,1,0)</f>
        <v>#N/A</v>
      </c>
      <c r="FX472" s="138" t="e">
        <f>IF(VLOOKUP(CONCATENATE(H472,F472,FX$2),GeoHis!$A:$H,7,FALSE)=CL472,1,0)</f>
        <v>#N/A</v>
      </c>
      <c r="FY472" s="138" t="e">
        <f>IF(VLOOKUP(CONCATENATE(H472,F472,FY$2),GeoHis!$A:$H,7,FALSE)=CM472,1,0)</f>
        <v>#N/A</v>
      </c>
      <c r="FZ472" s="138" t="e">
        <f>IF(VLOOKUP(CONCATENATE(H472,F472,FZ$2),GeoHis!$A:$H,7,FALSE)=CN472,1,0)</f>
        <v>#N/A</v>
      </c>
      <c r="GA472" s="138" t="e">
        <f>IF(VLOOKUP(CONCATENATE(H472,F472,GA$2),GeoHis!$A:$H,7,FALSE)=CO472,1,0)</f>
        <v>#N/A</v>
      </c>
      <c r="GB472" s="138" t="e">
        <f>IF(VLOOKUP(CONCATENATE(H472,F472,GB$2),GeoHis!$A:$H,7,FALSE)=CP472,1,0)</f>
        <v>#N/A</v>
      </c>
      <c r="GC472" s="138" t="e">
        <f>IF(VLOOKUP(CONCATENATE(H472,F472,GC$2),GeoHis!$A:$H,7,FALSE)=CQ472,1,0)</f>
        <v>#N/A</v>
      </c>
      <c r="GD472" s="138" t="e">
        <f>IF(VLOOKUP(CONCATENATE(H472,F472,GD$2),GeoHis!$A:$H,7,FALSE)=CR472,1,0)</f>
        <v>#N/A</v>
      </c>
      <c r="GE472" s="135" t="str">
        <f t="shared" si="63"/>
        <v/>
      </c>
    </row>
    <row r="473" spans="1:187" x14ac:dyDescent="0.25">
      <c r="A473" s="127" t="str">
        <f>IF(C473="","",'Datos Generales'!$A$25)</f>
        <v/>
      </c>
      <c r="D473" s="126" t="str">
        <f t="shared" si="56"/>
        <v/>
      </c>
      <c r="E473" s="126">
        <f t="shared" si="57"/>
        <v>0</v>
      </c>
      <c r="F473" s="126" t="str">
        <f t="shared" si="58"/>
        <v/>
      </c>
      <c r="G473" s="126" t="str">
        <f>IF(C473="","",'Datos Generales'!$D$19)</f>
        <v/>
      </c>
      <c r="H473" s="21" t="str">
        <f>IF(C473="","",'Datos Generales'!$A$19)</f>
        <v/>
      </c>
      <c r="I473" s="126" t="str">
        <f>IF(C473="","",'Datos Generales'!$A$7)</f>
        <v/>
      </c>
      <c r="J473" s="21" t="str">
        <f>IF(C473="","",'Datos Generales'!$A$13)</f>
        <v/>
      </c>
      <c r="K473" s="21" t="str">
        <f>IF(C473="","",'Datos Generales'!$A$10)</f>
        <v/>
      </c>
      <c r="CS473" s="142" t="str">
        <f t="shared" si="59"/>
        <v/>
      </c>
      <c r="CT473" s="142" t="str">
        <f t="shared" si="60"/>
        <v/>
      </c>
      <c r="CU473" s="142" t="str">
        <f t="shared" si="61"/>
        <v/>
      </c>
      <c r="CV473" s="142" t="str">
        <f t="shared" si="62"/>
        <v/>
      </c>
      <c r="CW473" s="142" t="str">
        <f>IF(C473="","",IF('Datos Generales'!$A$19=1,AVERAGE(FP473:GD473),AVERAGE(Captura!FP473:FY473)))</f>
        <v/>
      </c>
      <c r="CX473" s="138" t="e">
        <f>IF(VLOOKUP(CONCATENATE($H$4,$F$4,CX$2),Español!$A:$H,7,FALSE)=L473,1,0)</f>
        <v>#N/A</v>
      </c>
      <c r="CY473" s="138" t="e">
        <f>IF(VLOOKUP(CONCATENATE(H473,F473,CY$2),Español!$A:$H,7,FALSE)=M473,1,0)</f>
        <v>#N/A</v>
      </c>
      <c r="CZ473" s="138" t="e">
        <f>IF(VLOOKUP(CONCATENATE(H473,F473,CZ$2),Español!$A:$H,7,FALSE)=N473,1,0)</f>
        <v>#N/A</v>
      </c>
      <c r="DA473" s="138" t="e">
        <f>IF(VLOOKUP(CONCATENATE(H473,F473,DA$2),Español!$A:$H,7,FALSE)=O473,1,0)</f>
        <v>#N/A</v>
      </c>
      <c r="DB473" s="138" t="e">
        <f>IF(VLOOKUP(CONCATENATE(H473,F473,DB$2),Español!$A:$H,7,FALSE)=P473,1,0)</f>
        <v>#N/A</v>
      </c>
      <c r="DC473" s="138" t="e">
        <f>IF(VLOOKUP(CONCATENATE(H473,F473,DC$2),Español!$A:$H,7,FALSE)=Q473,1,0)</f>
        <v>#N/A</v>
      </c>
      <c r="DD473" s="138" t="e">
        <f>IF(VLOOKUP(CONCATENATE(H473,F473,DD$2),Español!$A:$H,7,FALSE)=R473,1,0)</f>
        <v>#N/A</v>
      </c>
      <c r="DE473" s="138" t="e">
        <f>IF(VLOOKUP(CONCATENATE(H473,F473,DE$2),Español!$A:$H,7,FALSE)=S473,1,0)</f>
        <v>#N/A</v>
      </c>
      <c r="DF473" s="138" t="e">
        <f>IF(VLOOKUP(CONCATENATE(H473,F473,DF$2),Español!$A:$H,7,FALSE)=T473,1,0)</f>
        <v>#N/A</v>
      </c>
      <c r="DG473" s="138" t="e">
        <f>IF(VLOOKUP(CONCATENATE(H473,F473,DG$2),Español!$A:$H,7,FALSE)=U473,1,0)</f>
        <v>#N/A</v>
      </c>
      <c r="DH473" s="138" t="e">
        <f>IF(VLOOKUP(CONCATENATE(H473,F473,DH$2),Español!$A:$H,7,FALSE)=V473,1,0)</f>
        <v>#N/A</v>
      </c>
      <c r="DI473" s="138" t="e">
        <f>IF(VLOOKUP(CONCATENATE(H473,F473,DI$2),Español!$A:$H,7,FALSE)=W473,1,0)</f>
        <v>#N/A</v>
      </c>
      <c r="DJ473" s="138" t="e">
        <f>IF(VLOOKUP(CONCATENATE(H473,F473,DJ$2),Español!$A:$H,7,FALSE)=X473,1,0)</f>
        <v>#N/A</v>
      </c>
      <c r="DK473" s="138" t="e">
        <f>IF(VLOOKUP(CONCATENATE(H473,F473,DK$2),Español!$A:$H,7,FALSE)=Y473,1,0)</f>
        <v>#N/A</v>
      </c>
      <c r="DL473" s="138" t="e">
        <f>IF(VLOOKUP(CONCATENATE(H473,F473,DL$2),Español!$A:$H,7,FALSE)=Z473,1,0)</f>
        <v>#N/A</v>
      </c>
      <c r="DM473" s="138" t="e">
        <f>IF(VLOOKUP(CONCATENATE(H473,F473,DM$2),Español!$A:$H,7,FALSE)=AA473,1,0)</f>
        <v>#N/A</v>
      </c>
      <c r="DN473" s="138" t="e">
        <f>IF(VLOOKUP(CONCATENATE(H473,F473,DN$2),Español!$A:$H,7,FALSE)=AB473,1,0)</f>
        <v>#N/A</v>
      </c>
      <c r="DO473" s="138" t="e">
        <f>IF(VLOOKUP(CONCATENATE(H473,F473,DO$2),Español!$A:$H,7,FALSE)=AC473,1,0)</f>
        <v>#N/A</v>
      </c>
      <c r="DP473" s="138" t="e">
        <f>IF(VLOOKUP(CONCATENATE(H473,F473,DP$2),Español!$A:$H,7,FALSE)=AD473,1,0)</f>
        <v>#N/A</v>
      </c>
      <c r="DQ473" s="138" t="e">
        <f>IF(VLOOKUP(CONCATENATE(H473,F473,DQ$2),Español!$A:$H,7,FALSE)=AE473,1,0)</f>
        <v>#N/A</v>
      </c>
      <c r="DR473" s="138" t="e">
        <f>IF(VLOOKUP(CONCATENATE(H473,F473,DR$2),Inglés!$A:$H,7,FALSE)=AF473,1,0)</f>
        <v>#N/A</v>
      </c>
      <c r="DS473" s="138" t="e">
        <f>IF(VLOOKUP(CONCATENATE(H473,F473,DS$2),Inglés!$A:$H,7,FALSE)=AG473,1,0)</f>
        <v>#N/A</v>
      </c>
      <c r="DT473" s="138" t="e">
        <f>IF(VLOOKUP(CONCATENATE(H473,F473,DT$2),Inglés!$A:$H,7,FALSE)=AH473,1,0)</f>
        <v>#N/A</v>
      </c>
      <c r="DU473" s="138" t="e">
        <f>IF(VLOOKUP(CONCATENATE(H473,F473,DU$2),Inglés!$A:$H,7,FALSE)=AI473,1,0)</f>
        <v>#N/A</v>
      </c>
      <c r="DV473" s="138" t="e">
        <f>IF(VLOOKUP(CONCATENATE(H473,F473,DV$2),Inglés!$A:$H,7,FALSE)=AJ473,1,0)</f>
        <v>#N/A</v>
      </c>
      <c r="DW473" s="138" t="e">
        <f>IF(VLOOKUP(CONCATENATE(H473,F473,DW$2),Inglés!$A:$H,7,FALSE)=AK473,1,0)</f>
        <v>#N/A</v>
      </c>
      <c r="DX473" s="138" t="e">
        <f>IF(VLOOKUP(CONCATENATE(H473,F473,DX$2),Inglés!$A:$H,7,FALSE)=AL473,1,0)</f>
        <v>#N/A</v>
      </c>
      <c r="DY473" s="138" t="e">
        <f>IF(VLOOKUP(CONCATENATE(H473,F473,DY$2),Inglés!$A:$H,7,FALSE)=AM473,1,0)</f>
        <v>#N/A</v>
      </c>
      <c r="DZ473" s="138" t="e">
        <f>IF(VLOOKUP(CONCATENATE(H473,F473,DZ$2),Inglés!$A:$H,7,FALSE)=AN473,1,0)</f>
        <v>#N/A</v>
      </c>
      <c r="EA473" s="138" t="e">
        <f>IF(VLOOKUP(CONCATENATE(H473,F473,EA$2),Inglés!$A:$H,7,FALSE)=AO473,1,0)</f>
        <v>#N/A</v>
      </c>
      <c r="EB473" s="138" t="e">
        <f>IF(VLOOKUP(CONCATENATE(H473,F473,EB$2),Matemáticas!$A:$H,7,FALSE)=AP473,1,0)</f>
        <v>#N/A</v>
      </c>
      <c r="EC473" s="138" t="e">
        <f>IF(VLOOKUP(CONCATENATE(H473,F473,EC$2),Matemáticas!$A:$H,7,FALSE)=AQ473,1,0)</f>
        <v>#N/A</v>
      </c>
      <c r="ED473" s="138" t="e">
        <f>IF(VLOOKUP(CONCATENATE(H473,F473,ED$2),Matemáticas!$A:$H,7,FALSE)=AR473,1,0)</f>
        <v>#N/A</v>
      </c>
      <c r="EE473" s="138" t="e">
        <f>IF(VLOOKUP(CONCATENATE(H473,F473,EE$2),Matemáticas!$A:$H,7,FALSE)=AS473,1,0)</f>
        <v>#N/A</v>
      </c>
      <c r="EF473" s="138" t="e">
        <f>IF(VLOOKUP(CONCATENATE(H473,F473,EF$2),Matemáticas!$A:$H,7,FALSE)=AT473,1,0)</f>
        <v>#N/A</v>
      </c>
      <c r="EG473" s="138" t="e">
        <f>IF(VLOOKUP(CONCATENATE(H473,F473,EG$2),Matemáticas!$A:$H,7,FALSE)=AU473,1,0)</f>
        <v>#N/A</v>
      </c>
      <c r="EH473" s="138" t="e">
        <f>IF(VLOOKUP(CONCATENATE(H473,F473,EH$2),Matemáticas!$A:$H,7,FALSE)=AV473,1,0)</f>
        <v>#N/A</v>
      </c>
      <c r="EI473" s="138" t="e">
        <f>IF(VLOOKUP(CONCATENATE(H473,F473,EI$2),Matemáticas!$A:$H,7,FALSE)=AW473,1,0)</f>
        <v>#N/A</v>
      </c>
      <c r="EJ473" s="138" t="e">
        <f>IF(VLOOKUP(CONCATENATE(H473,F473,EJ$2),Matemáticas!$A:$H,7,FALSE)=AX473,1,0)</f>
        <v>#N/A</v>
      </c>
      <c r="EK473" s="138" t="e">
        <f>IF(VLOOKUP(CONCATENATE(H473,F473,EK$2),Matemáticas!$A:$H,7,FALSE)=AY473,1,0)</f>
        <v>#N/A</v>
      </c>
      <c r="EL473" s="138" t="e">
        <f>IF(VLOOKUP(CONCATENATE(H473,F473,EL$2),Matemáticas!$A:$H,7,FALSE)=AZ473,1,0)</f>
        <v>#N/A</v>
      </c>
      <c r="EM473" s="138" t="e">
        <f>IF(VLOOKUP(CONCATENATE(H473,F473,EM$2),Matemáticas!$A:$H,7,FALSE)=BA473,1,0)</f>
        <v>#N/A</v>
      </c>
      <c r="EN473" s="138" t="e">
        <f>IF(VLOOKUP(CONCATENATE(H473,F473,EN$2),Matemáticas!$A:$H,7,FALSE)=BB473,1,0)</f>
        <v>#N/A</v>
      </c>
      <c r="EO473" s="138" t="e">
        <f>IF(VLOOKUP(CONCATENATE(H473,F473,EO$2),Matemáticas!$A:$H,7,FALSE)=BC473,1,0)</f>
        <v>#N/A</v>
      </c>
      <c r="EP473" s="138" t="e">
        <f>IF(VLOOKUP(CONCATENATE(H473,F473,EP$2),Matemáticas!$A:$H,7,FALSE)=BD473,1,0)</f>
        <v>#N/A</v>
      </c>
      <c r="EQ473" s="138" t="e">
        <f>IF(VLOOKUP(CONCATENATE(H473,F473,EQ$2),Matemáticas!$A:$H,7,FALSE)=BE473,1,0)</f>
        <v>#N/A</v>
      </c>
      <c r="ER473" s="138" t="e">
        <f>IF(VLOOKUP(CONCATENATE(H473,F473,ER$2),Matemáticas!$A:$H,7,FALSE)=BF473,1,0)</f>
        <v>#N/A</v>
      </c>
      <c r="ES473" s="138" t="e">
        <f>IF(VLOOKUP(CONCATENATE(H473,F473,ES$2),Matemáticas!$A:$H,7,FALSE)=BG473,1,0)</f>
        <v>#N/A</v>
      </c>
      <c r="ET473" s="138" t="e">
        <f>IF(VLOOKUP(CONCATENATE(H473,F473,ET$2),Matemáticas!$A:$H,7,FALSE)=BH473,1,0)</f>
        <v>#N/A</v>
      </c>
      <c r="EU473" s="138" t="e">
        <f>IF(VLOOKUP(CONCATENATE(H473,F473,EU$2),Matemáticas!$A:$H,7,FALSE)=BI473,1,0)</f>
        <v>#N/A</v>
      </c>
      <c r="EV473" s="138" t="e">
        <f>IF(VLOOKUP(CONCATENATE(H473,F473,EV$2),Ciencias!$A:$H,7,FALSE)=BJ473,1,0)</f>
        <v>#N/A</v>
      </c>
      <c r="EW473" s="138" t="e">
        <f>IF(VLOOKUP(CONCATENATE(H473,F473,EW$2),Ciencias!$A:$H,7,FALSE)=BK473,1,0)</f>
        <v>#N/A</v>
      </c>
      <c r="EX473" s="138" t="e">
        <f>IF(VLOOKUP(CONCATENATE(H473,F473,EX$2),Ciencias!$A:$H,7,FALSE)=BL473,1,0)</f>
        <v>#N/A</v>
      </c>
      <c r="EY473" s="138" t="e">
        <f>IF(VLOOKUP(CONCATENATE(H473,F473,EY$2),Ciencias!$A:$H,7,FALSE)=BM473,1,0)</f>
        <v>#N/A</v>
      </c>
      <c r="EZ473" s="138" t="e">
        <f>IF(VLOOKUP(CONCATENATE(H473,F473,EZ$2),Ciencias!$A:$H,7,FALSE)=BN473,1,0)</f>
        <v>#N/A</v>
      </c>
      <c r="FA473" s="138" t="e">
        <f>IF(VLOOKUP(CONCATENATE(H473,F473,FA$2),Ciencias!$A:$H,7,FALSE)=BO473,1,0)</f>
        <v>#N/A</v>
      </c>
      <c r="FB473" s="138" t="e">
        <f>IF(VLOOKUP(CONCATENATE(H473,F473,FB$2),Ciencias!$A:$H,7,FALSE)=BP473,1,0)</f>
        <v>#N/A</v>
      </c>
      <c r="FC473" s="138" t="e">
        <f>IF(VLOOKUP(CONCATENATE(H473,F473,FC$2),Ciencias!$A:$H,7,FALSE)=BQ473,1,0)</f>
        <v>#N/A</v>
      </c>
      <c r="FD473" s="138" t="e">
        <f>IF(VLOOKUP(CONCATENATE(H473,F473,FD$2),Ciencias!$A:$H,7,FALSE)=BR473,1,0)</f>
        <v>#N/A</v>
      </c>
      <c r="FE473" s="138" t="e">
        <f>IF(VLOOKUP(CONCATENATE(H473,F473,FE$2),Ciencias!$A:$H,7,FALSE)=BS473,1,0)</f>
        <v>#N/A</v>
      </c>
      <c r="FF473" s="138" t="e">
        <f>IF(VLOOKUP(CONCATENATE(H473,F473,FF$2),Ciencias!$A:$H,7,FALSE)=BT473,1,0)</f>
        <v>#N/A</v>
      </c>
      <c r="FG473" s="138" t="e">
        <f>IF(VLOOKUP(CONCATENATE(H473,F473,FG$2),Ciencias!$A:$H,7,FALSE)=BU473,1,0)</f>
        <v>#N/A</v>
      </c>
      <c r="FH473" s="138" t="e">
        <f>IF(VLOOKUP(CONCATENATE(H473,F473,FH$2),Ciencias!$A:$H,7,FALSE)=BV473,1,0)</f>
        <v>#N/A</v>
      </c>
      <c r="FI473" s="138" t="e">
        <f>IF(VLOOKUP(CONCATENATE(H473,F473,FI$2),Ciencias!$A:$H,7,FALSE)=BW473,1,0)</f>
        <v>#N/A</v>
      </c>
      <c r="FJ473" s="138" t="e">
        <f>IF(VLOOKUP(CONCATENATE(H473,F473,FJ$2),Ciencias!$A:$H,7,FALSE)=BX473,1,0)</f>
        <v>#N/A</v>
      </c>
      <c r="FK473" s="138" t="e">
        <f>IF(VLOOKUP(CONCATENATE(H473,F473,FK$2),Ciencias!$A:$H,7,FALSE)=BY473,1,0)</f>
        <v>#N/A</v>
      </c>
      <c r="FL473" s="138" t="e">
        <f>IF(VLOOKUP(CONCATENATE(H473,F473,FL$2),Ciencias!$A:$H,7,FALSE)=BZ473,1,0)</f>
        <v>#N/A</v>
      </c>
      <c r="FM473" s="138" t="e">
        <f>IF(VLOOKUP(CONCATENATE(H473,F473,FM$2),Ciencias!$A:$H,7,FALSE)=CA473,1,0)</f>
        <v>#N/A</v>
      </c>
      <c r="FN473" s="138" t="e">
        <f>IF(VLOOKUP(CONCATENATE(H473,F473,FN$2),Ciencias!$A:$H,7,FALSE)=CB473,1,0)</f>
        <v>#N/A</v>
      </c>
      <c r="FO473" s="138" t="e">
        <f>IF(VLOOKUP(CONCATENATE(H473,F473,FO$2),Ciencias!$A:$H,7,FALSE)=CC473,1,0)</f>
        <v>#N/A</v>
      </c>
      <c r="FP473" s="138" t="e">
        <f>IF(VLOOKUP(CONCATENATE(H473,F473,FP$2),GeoHis!$A:$H,7,FALSE)=CD473,1,0)</f>
        <v>#N/A</v>
      </c>
      <c r="FQ473" s="138" t="e">
        <f>IF(VLOOKUP(CONCATENATE(H473,F473,FQ$2),GeoHis!$A:$H,7,FALSE)=CE473,1,0)</f>
        <v>#N/A</v>
      </c>
      <c r="FR473" s="138" t="e">
        <f>IF(VLOOKUP(CONCATENATE(H473,F473,FR$2),GeoHis!$A:$H,7,FALSE)=CF473,1,0)</f>
        <v>#N/A</v>
      </c>
      <c r="FS473" s="138" t="e">
        <f>IF(VLOOKUP(CONCATENATE(H473,F473,FS$2),GeoHis!$A:$H,7,FALSE)=CG473,1,0)</f>
        <v>#N/A</v>
      </c>
      <c r="FT473" s="138" t="e">
        <f>IF(VLOOKUP(CONCATENATE(H473,F473,FT$2),GeoHis!$A:$H,7,FALSE)=CH473,1,0)</f>
        <v>#N/A</v>
      </c>
      <c r="FU473" s="138" t="e">
        <f>IF(VLOOKUP(CONCATENATE(H473,F473,FU$2),GeoHis!$A:$H,7,FALSE)=CI473,1,0)</f>
        <v>#N/A</v>
      </c>
      <c r="FV473" s="138" t="e">
        <f>IF(VLOOKUP(CONCATENATE(H473,F473,FV$2),GeoHis!$A:$H,7,FALSE)=CJ473,1,0)</f>
        <v>#N/A</v>
      </c>
      <c r="FW473" s="138" t="e">
        <f>IF(VLOOKUP(CONCATENATE(H473,F473,FW$2),GeoHis!$A:$H,7,FALSE)=CK473,1,0)</f>
        <v>#N/A</v>
      </c>
      <c r="FX473" s="138" t="e">
        <f>IF(VLOOKUP(CONCATENATE(H473,F473,FX$2),GeoHis!$A:$H,7,FALSE)=CL473,1,0)</f>
        <v>#N/A</v>
      </c>
      <c r="FY473" s="138" t="e">
        <f>IF(VLOOKUP(CONCATENATE(H473,F473,FY$2),GeoHis!$A:$H,7,FALSE)=CM473,1,0)</f>
        <v>#N/A</v>
      </c>
      <c r="FZ473" s="138" t="e">
        <f>IF(VLOOKUP(CONCATENATE(H473,F473,FZ$2),GeoHis!$A:$H,7,FALSE)=CN473,1,0)</f>
        <v>#N/A</v>
      </c>
      <c r="GA473" s="138" t="e">
        <f>IF(VLOOKUP(CONCATENATE(H473,F473,GA$2),GeoHis!$A:$H,7,FALSE)=CO473,1,0)</f>
        <v>#N/A</v>
      </c>
      <c r="GB473" s="138" t="e">
        <f>IF(VLOOKUP(CONCATENATE(H473,F473,GB$2),GeoHis!$A:$H,7,FALSE)=CP473,1,0)</f>
        <v>#N/A</v>
      </c>
      <c r="GC473" s="138" t="e">
        <f>IF(VLOOKUP(CONCATENATE(H473,F473,GC$2),GeoHis!$A:$H,7,FALSE)=CQ473,1,0)</f>
        <v>#N/A</v>
      </c>
      <c r="GD473" s="138" t="e">
        <f>IF(VLOOKUP(CONCATENATE(H473,F473,GD$2),GeoHis!$A:$H,7,FALSE)=CR473,1,0)</f>
        <v>#N/A</v>
      </c>
      <c r="GE473" s="135" t="str">
        <f t="shared" si="63"/>
        <v/>
      </c>
    </row>
    <row r="474" spans="1:187" x14ac:dyDescent="0.25">
      <c r="A474" s="127" t="str">
        <f>IF(C474="","",'Datos Generales'!$A$25)</f>
        <v/>
      </c>
      <c r="D474" s="126" t="str">
        <f t="shared" si="56"/>
        <v/>
      </c>
      <c r="E474" s="126">
        <f t="shared" si="57"/>
        <v>0</v>
      </c>
      <c r="F474" s="126" t="str">
        <f t="shared" si="58"/>
        <v/>
      </c>
      <c r="G474" s="126" t="str">
        <f>IF(C474="","",'Datos Generales'!$D$19)</f>
        <v/>
      </c>
      <c r="H474" s="21" t="str">
        <f>IF(C474="","",'Datos Generales'!$A$19)</f>
        <v/>
      </c>
      <c r="I474" s="126" t="str">
        <f>IF(C474="","",'Datos Generales'!$A$7)</f>
        <v/>
      </c>
      <c r="J474" s="21" t="str">
        <f>IF(C474="","",'Datos Generales'!$A$13)</f>
        <v/>
      </c>
      <c r="K474" s="21" t="str">
        <f>IF(C474="","",'Datos Generales'!$A$10)</f>
        <v/>
      </c>
      <c r="CS474" s="142" t="str">
        <f t="shared" si="59"/>
        <v/>
      </c>
      <c r="CT474" s="142" t="str">
        <f t="shared" si="60"/>
        <v/>
      </c>
      <c r="CU474" s="142" t="str">
        <f t="shared" si="61"/>
        <v/>
      </c>
      <c r="CV474" s="142" t="str">
        <f t="shared" si="62"/>
        <v/>
      </c>
      <c r="CW474" s="142" t="str">
        <f>IF(C474="","",IF('Datos Generales'!$A$19=1,AVERAGE(FP474:GD474),AVERAGE(Captura!FP474:FY474)))</f>
        <v/>
      </c>
      <c r="CX474" s="138" t="e">
        <f>IF(VLOOKUP(CONCATENATE($H$4,$F$4,CX$2),Español!$A:$H,7,FALSE)=L474,1,0)</f>
        <v>#N/A</v>
      </c>
      <c r="CY474" s="138" t="e">
        <f>IF(VLOOKUP(CONCATENATE(H474,F474,CY$2),Español!$A:$H,7,FALSE)=M474,1,0)</f>
        <v>#N/A</v>
      </c>
      <c r="CZ474" s="138" t="e">
        <f>IF(VLOOKUP(CONCATENATE(H474,F474,CZ$2),Español!$A:$H,7,FALSE)=N474,1,0)</f>
        <v>#N/A</v>
      </c>
      <c r="DA474" s="138" t="e">
        <f>IF(VLOOKUP(CONCATENATE(H474,F474,DA$2),Español!$A:$H,7,FALSE)=O474,1,0)</f>
        <v>#N/A</v>
      </c>
      <c r="DB474" s="138" t="e">
        <f>IF(VLOOKUP(CONCATENATE(H474,F474,DB$2),Español!$A:$H,7,FALSE)=P474,1,0)</f>
        <v>#N/A</v>
      </c>
      <c r="DC474" s="138" t="e">
        <f>IF(VLOOKUP(CONCATENATE(H474,F474,DC$2),Español!$A:$H,7,FALSE)=Q474,1,0)</f>
        <v>#N/A</v>
      </c>
      <c r="DD474" s="138" t="e">
        <f>IF(VLOOKUP(CONCATENATE(H474,F474,DD$2),Español!$A:$H,7,FALSE)=R474,1,0)</f>
        <v>#N/A</v>
      </c>
      <c r="DE474" s="138" t="e">
        <f>IF(VLOOKUP(CONCATENATE(H474,F474,DE$2),Español!$A:$H,7,FALSE)=S474,1,0)</f>
        <v>#N/A</v>
      </c>
      <c r="DF474" s="138" t="e">
        <f>IF(VLOOKUP(CONCATENATE(H474,F474,DF$2),Español!$A:$H,7,FALSE)=T474,1,0)</f>
        <v>#N/A</v>
      </c>
      <c r="DG474" s="138" t="e">
        <f>IF(VLOOKUP(CONCATENATE(H474,F474,DG$2),Español!$A:$H,7,FALSE)=U474,1,0)</f>
        <v>#N/A</v>
      </c>
      <c r="DH474" s="138" t="e">
        <f>IF(VLOOKUP(CONCATENATE(H474,F474,DH$2),Español!$A:$H,7,FALSE)=V474,1,0)</f>
        <v>#N/A</v>
      </c>
      <c r="DI474" s="138" t="e">
        <f>IF(VLOOKUP(CONCATENATE(H474,F474,DI$2),Español!$A:$H,7,FALSE)=W474,1,0)</f>
        <v>#N/A</v>
      </c>
      <c r="DJ474" s="138" t="e">
        <f>IF(VLOOKUP(CONCATENATE(H474,F474,DJ$2),Español!$A:$H,7,FALSE)=X474,1,0)</f>
        <v>#N/A</v>
      </c>
      <c r="DK474" s="138" t="e">
        <f>IF(VLOOKUP(CONCATENATE(H474,F474,DK$2),Español!$A:$H,7,FALSE)=Y474,1,0)</f>
        <v>#N/A</v>
      </c>
      <c r="DL474" s="138" t="e">
        <f>IF(VLOOKUP(CONCATENATE(H474,F474,DL$2),Español!$A:$H,7,FALSE)=Z474,1,0)</f>
        <v>#N/A</v>
      </c>
      <c r="DM474" s="138" t="e">
        <f>IF(VLOOKUP(CONCATENATE(H474,F474,DM$2),Español!$A:$H,7,FALSE)=AA474,1,0)</f>
        <v>#N/A</v>
      </c>
      <c r="DN474" s="138" t="e">
        <f>IF(VLOOKUP(CONCATENATE(H474,F474,DN$2),Español!$A:$H,7,FALSE)=AB474,1,0)</f>
        <v>#N/A</v>
      </c>
      <c r="DO474" s="138" t="e">
        <f>IF(VLOOKUP(CONCATENATE(H474,F474,DO$2),Español!$A:$H,7,FALSE)=AC474,1,0)</f>
        <v>#N/A</v>
      </c>
      <c r="DP474" s="138" t="e">
        <f>IF(VLOOKUP(CONCATENATE(H474,F474,DP$2),Español!$A:$H,7,FALSE)=AD474,1,0)</f>
        <v>#N/A</v>
      </c>
      <c r="DQ474" s="138" t="e">
        <f>IF(VLOOKUP(CONCATENATE(H474,F474,DQ$2),Español!$A:$H,7,FALSE)=AE474,1,0)</f>
        <v>#N/A</v>
      </c>
      <c r="DR474" s="138" t="e">
        <f>IF(VLOOKUP(CONCATENATE(H474,F474,DR$2),Inglés!$A:$H,7,FALSE)=AF474,1,0)</f>
        <v>#N/A</v>
      </c>
      <c r="DS474" s="138" t="e">
        <f>IF(VLOOKUP(CONCATENATE(H474,F474,DS$2),Inglés!$A:$H,7,FALSE)=AG474,1,0)</f>
        <v>#N/A</v>
      </c>
      <c r="DT474" s="138" t="e">
        <f>IF(VLOOKUP(CONCATENATE(H474,F474,DT$2),Inglés!$A:$H,7,FALSE)=AH474,1,0)</f>
        <v>#N/A</v>
      </c>
      <c r="DU474" s="138" t="e">
        <f>IF(VLOOKUP(CONCATENATE(H474,F474,DU$2),Inglés!$A:$H,7,FALSE)=AI474,1,0)</f>
        <v>#N/A</v>
      </c>
      <c r="DV474" s="138" t="e">
        <f>IF(VLOOKUP(CONCATENATE(H474,F474,DV$2),Inglés!$A:$H,7,FALSE)=AJ474,1,0)</f>
        <v>#N/A</v>
      </c>
      <c r="DW474" s="138" t="e">
        <f>IF(VLOOKUP(CONCATENATE(H474,F474,DW$2),Inglés!$A:$H,7,FALSE)=AK474,1,0)</f>
        <v>#N/A</v>
      </c>
      <c r="DX474" s="138" t="e">
        <f>IF(VLOOKUP(CONCATENATE(H474,F474,DX$2),Inglés!$A:$H,7,FALSE)=AL474,1,0)</f>
        <v>#N/A</v>
      </c>
      <c r="DY474" s="138" t="e">
        <f>IF(VLOOKUP(CONCATENATE(H474,F474,DY$2),Inglés!$A:$H,7,FALSE)=AM474,1,0)</f>
        <v>#N/A</v>
      </c>
      <c r="DZ474" s="138" t="e">
        <f>IF(VLOOKUP(CONCATENATE(H474,F474,DZ$2),Inglés!$A:$H,7,FALSE)=AN474,1,0)</f>
        <v>#N/A</v>
      </c>
      <c r="EA474" s="138" t="e">
        <f>IF(VLOOKUP(CONCATENATE(H474,F474,EA$2),Inglés!$A:$H,7,FALSE)=AO474,1,0)</f>
        <v>#N/A</v>
      </c>
      <c r="EB474" s="138" t="e">
        <f>IF(VLOOKUP(CONCATENATE(H474,F474,EB$2),Matemáticas!$A:$H,7,FALSE)=AP474,1,0)</f>
        <v>#N/A</v>
      </c>
      <c r="EC474" s="138" t="e">
        <f>IF(VLOOKUP(CONCATENATE(H474,F474,EC$2),Matemáticas!$A:$H,7,FALSE)=AQ474,1,0)</f>
        <v>#N/A</v>
      </c>
      <c r="ED474" s="138" t="e">
        <f>IF(VLOOKUP(CONCATENATE(H474,F474,ED$2),Matemáticas!$A:$H,7,FALSE)=AR474,1,0)</f>
        <v>#N/A</v>
      </c>
      <c r="EE474" s="138" t="e">
        <f>IF(VLOOKUP(CONCATENATE(H474,F474,EE$2),Matemáticas!$A:$H,7,FALSE)=AS474,1,0)</f>
        <v>#N/A</v>
      </c>
      <c r="EF474" s="138" t="e">
        <f>IF(VLOOKUP(CONCATENATE(H474,F474,EF$2),Matemáticas!$A:$H,7,FALSE)=AT474,1,0)</f>
        <v>#N/A</v>
      </c>
      <c r="EG474" s="138" t="e">
        <f>IF(VLOOKUP(CONCATENATE(H474,F474,EG$2),Matemáticas!$A:$H,7,FALSE)=AU474,1,0)</f>
        <v>#N/A</v>
      </c>
      <c r="EH474" s="138" t="e">
        <f>IF(VLOOKUP(CONCATENATE(H474,F474,EH$2),Matemáticas!$A:$H,7,FALSE)=AV474,1,0)</f>
        <v>#N/A</v>
      </c>
      <c r="EI474" s="138" t="e">
        <f>IF(VLOOKUP(CONCATENATE(H474,F474,EI$2),Matemáticas!$A:$H,7,FALSE)=AW474,1,0)</f>
        <v>#N/A</v>
      </c>
      <c r="EJ474" s="138" t="e">
        <f>IF(VLOOKUP(CONCATENATE(H474,F474,EJ$2),Matemáticas!$A:$H,7,FALSE)=AX474,1,0)</f>
        <v>#N/A</v>
      </c>
      <c r="EK474" s="138" t="e">
        <f>IF(VLOOKUP(CONCATENATE(H474,F474,EK$2),Matemáticas!$A:$H,7,FALSE)=AY474,1,0)</f>
        <v>#N/A</v>
      </c>
      <c r="EL474" s="138" t="e">
        <f>IF(VLOOKUP(CONCATENATE(H474,F474,EL$2),Matemáticas!$A:$H,7,FALSE)=AZ474,1,0)</f>
        <v>#N/A</v>
      </c>
      <c r="EM474" s="138" t="e">
        <f>IF(VLOOKUP(CONCATENATE(H474,F474,EM$2),Matemáticas!$A:$H,7,FALSE)=BA474,1,0)</f>
        <v>#N/A</v>
      </c>
      <c r="EN474" s="138" t="e">
        <f>IF(VLOOKUP(CONCATENATE(H474,F474,EN$2),Matemáticas!$A:$H,7,FALSE)=BB474,1,0)</f>
        <v>#N/A</v>
      </c>
      <c r="EO474" s="138" t="e">
        <f>IF(VLOOKUP(CONCATENATE(H474,F474,EO$2),Matemáticas!$A:$H,7,FALSE)=BC474,1,0)</f>
        <v>#N/A</v>
      </c>
      <c r="EP474" s="138" t="e">
        <f>IF(VLOOKUP(CONCATENATE(H474,F474,EP$2),Matemáticas!$A:$H,7,FALSE)=BD474,1,0)</f>
        <v>#N/A</v>
      </c>
      <c r="EQ474" s="138" t="e">
        <f>IF(VLOOKUP(CONCATENATE(H474,F474,EQ$2),Matemáticas!$A:$H,7,FALSE)=BE474,1,0)</f>
        <v>#N/A</v>
      </c>
      <c r="ER474" s="138" t="e">
        <f>IF(VLOOKUP(CONCATENATE(H474,F474,ER$2),Matemáticas!$A:$H,7,FALSE)=BF474,1,0)</f>
        <v>#N/A</v>
      </c>
      <c r="ES474" s="138" t="e">
        <f>IF(VLOOKUP(CONCATENATE(H474,F474,ES$2),Matemáticas!$A:$H,7,FALSE)=BG474,1,0)</f>
        <v>#N/A</v>
      </c>
      <c r="ET474" s="138" t="e">
        <f>IF(VLOOKUP(CONCATENATE(H474,F474,ET$2),Matemáticas!$A:$H,7,FALSE)=BH474,1,0)</f>
        <v>#N/A</v>
      </c>
      <c r="EU474" s="138" t="e">
        <f>IF(VLOOKUP(CONCATENATE(H474,F474,EU$2),Matemáticas!$A:$H,7,FALSE)=BI474,1,0)</f>
        <v>#N/A</v>
      </c>
      <c r="EV474" s="138" t="e">
        <f>IF(VLOOKUP(CONCATENATE(H474,F474,EV$2),Ciencias!$A:$H,7,FALSE)=BJ474,1,0)</f>
        <v>#N/A</v>
      </c>
      <c r="EW474" s="138" t="e">
        <f>IF(VLOOKUP(CONCATENATE(H474,F474,EW$2),Ciencias!$A:$H,7,FALSE)=BK474,1,0)</f>
        <v>#N/A</v>
      </c>
      <c r="EX474" s="138" t="e">
        <f>IF(VLOOKUP(CONCATENATE(H474,F474,EX$2),Ciencias!$A:$H,7,FALSE)=BL474,1,0)</f>
        <v>#N/A</v>
      </c>
      <c r="EY474" s="138" t="e">
        <f>IF(VLOOKUP(CONCATENATE(H474,F474,EY$2),Ciencias!$A:$H,7,FALSE)=BM474,1,0)</f>
        <v>#N/A</v>
      </c>
      <c r="EZ474" s="138" t="e">
        <f>IF(VLOOKUP(CONCATENATE(H474,F474,EZ$2),Ciencias!$A:$H,7,FALSE)=BN474,1,0)</f>
        <v>#N/A</v>
      </c>
      <c r="FA474" s="138" t="e">
        <f>IF(VLOOKUP(CONCATENATE(H474,F474,FA$2),Ciencias!$A:$H,7,FALSE)=BO474,1,0)</f>
        <v>#N/A</v>
      </c>
      <c r="FB474" s="138" t="e">
        <f>IF(VLOOKUP(CONCATENATE(H474,F474,FB$2),Ciencias!$A:$H,7,FALSE)=BP474,1,0)</f>
        <v>#N/A</v>
      </c>
      <c r="FC474" s="138" t="e">
        <f>IF(VLOOKUP(CONCATENATE(H474,F474,FC$2),Ciencias!$A:$H,7,FALSE)=BQ474,1,0)</f>
        <v>#N/A</v>
      </c>
      <c r="FD474" s="138" t="e">
        <f>IF(VLOOKUP(CONCATENATE(H474,F474,FD$2),Ciencias!$A:$H,7,FALSE)=BR474,1,0)</f>
        <v>#N/A</v>
      </c>
      <c r="FE474" s="138" t="e">
        <f>IF(VLOOKUP(CONCATENATE(H474,F474,FE$2),Ciencias!$A:$H,7,FALSE)=BS474,1,0)</f>
        <v>#N/A</v>
      </c>
      <c r="FF474" s="138" t="e">
        <f>IF(VLOOKUP(CONCATENATE(H474,F474,FF$2),Ciencias!$A:$H,7,FALSE)=BT474,1,0)</f>
        <v>#N/A</v>
      </c>
      <c r="FG474" s="138" t="e">
        <f>IF(VLOOKUP(CONCATENATE(H474,F474,FG$2),Ciencias!$A:$H,7,FALSE)=BU474,1,0)</f>
        <v>#N/A</v>
      </c>
      <c r="FH474" s="138" t="e">
        <f>IF(VLOOKUP(CONCATENATE(H474,F474,FH$2),Ciencias!$A:$H,7,FALSE)=BV474,1,0)</f>
        <v>#N/A</v>
      </c>
      <c r="FI474" s="138" t="e">
        <f>IF(VLOOKUP(CONCATENATE(H474,F474,FI$2),Ciencias!$A:$H,7,FALSE)=BW474,1,0)</f>
        <v>#N/A</v>
      </c>
      <c r="FJ474" s="138" t="e">
        <f>IF(VLOOKUP(CONCATENATE(H474,F474,FJ$2),Ciencias!$A:$H,7,FALSE)=BX474,1,0)</f>
        <v>#N/A</v>
      </c>
      <c r="FK474" s="138" t="e">
        <f>IF(VLOOKUP(CONCATENATE(H474,F474,FK$2),Ciencias!$A:$H,7,FALSE)=BY474,1,0)</f>
        <v>#N/A</v>
      </c>
      <c r="FL474" s="138" t="e">
        <f>IF(VLOOKUP(CONCATENATE(H474,F474,FL$2),Ciencias!$A:$H,7,FALSE)=BZ474,1,0)</f>
        <v>#N/A</v>
      </c>
      <c r="FM474" s="138" t="e">
        <f>IF(VLOOKUP(CONCATENATE(H474,F474,FM$2),Ciencias!$A:$H,7,FALSE)=CA474,1,0)</f>
        <v>#N/A</v>
      </c>
      <c r="FN474" s="138" t="e">
        <f>IF(VLOOKUP(CONCATENATE(H474,F474,FN$2),Ciencias!$A:$H,7,FALSE)=CB474,1,0)</f>
        <v>#N/A</v>
      </c>
      <c r="FO474" s="138" t="e">
        <f>IF(VLOOKUP(CONCATENATE(H474,F474,FO$2),Ciencias!$A:$H,7,FALSE)=CC474,1,0)</f>
        <v>#N/A</v>
      </c>
      <c r="FP474" s="138" t="e">
        <f>IF(VLOOKUP(CONCATENATE(H474,F474,FP$2),GeoHis!$A:$H,7,FALSE)=CD474,1,0)</f>
        <v>#N/A</v>
      </c>
      <c r="FQ474" s="138" t="e">
        <f>IF(VLOOKUP(CONCATENATE(H474,F474,FQ$2),GeoHis!$A:$H,7,FALSE)=CE474,1,0)</f>
        <v>#N/A</v>
      </c>
      <c r="FR474" s="138" t="e">
        <f>IF(VLOOKUP(CONCATENATE(H474,F474,FR$2),GeoHis!$A:$H,7,FALSE)=CF474,1,0)</f>
        <v>#N/A</v>
      </c>
      <c r="FS474" s="138" t="e">
        <f>IF(VLOOKUP(CONCATENATE(H474,F474,FS$2),GeoHis!$A:$H,7,FALSE)=CG474,1,0)</f>
        <v>#N/A</v>
      </c>
      <c r="FT474" s="138" t="e">
        <f>IF(VLOOKUP(CONCATENATE(H474,F474,FT$2),GeoHis!$A:$H,7,FALSE)=CH474,1,0)</f>
        <v>#N/A</v>
      </c>
      <c r="FU474" s="138" t="e">
        <f>IF(VLOOKUP(CONCATENATE(H474,F474,FU$2),GeoHis!$A:$H,7,FALSE)=CI474,1,0)</f>
        <v>#N/A</v>
      </c>
      <c r="FV474" s="138" t="e">
        <f>IF(VLOOKUP(CONCATENATE(H474,F474,FV$2),GeoHis!$A:$H,7,FALSE)=CJ474,1,0)</f>
        <v>#N/A</v>
      </c>
      <c r="FW474" s="138" t="e">
        <f>IF(VLOOKUP(CONCATENATE(H474,F474,FW$2),GeoHis!$A:$H,7,FALSE)=CK474,1,0)</f>
        <v>#N/A</v>
      </c>
      <c r="FX474" s="138" t="e">
        <f>IF(VLOOKUP(CONCATENATE(H474,F474,FX$2),GeoHis!$A:$H,7,FALSE)=CL474,1,0)</f>
        <v>#N/A</v>
      </c>
      <c r="FY474" s="138" t="e">
        <f>IF(VLOOKUP(CONCATENATE(H474,F474,FY$2),GeoHis!$A:$H,7,FALSE)=CM474,1,0)</f>
        <v>#N/A</v>
      </c>
      <c r="FZ474" s="138" t="e">
        <f>IF(VLOOKUP(CONCATENATE(H474,F474,FZ$2),GeoHis!$A:$H,7,FALSE)=CN474,1,0)</f>
        <v>#N/A</v>
      </c>
      <c r="GA474" s="138" t="e">
        <f>IF(VLOOKUP(CONCATENATE(H474,F474,GA$2),GeoHis!$A:$H,7,FALSE)=CO474,1,0)</f>
        <v>#N/A</v>
      </c>
      <c r="GB474" s="138" t="e">
        <f>IF(VLOOKUP(CONCATENATE(H474,F474,GB$2),GeoHis!$A:$H,7,FALSE)=CP474,1,0)</f>
        <v>#N/A</v>
      </c>
      <c r="GC474" s="138" t="e">
        <f>IF(VLOOKUP(CONCATENATE(H474,F474,GC$2),GeoHis!$A:$H,7,FALSE)=CQ474,1,0)</f>
        <v>#N/A</v>
      </c>
      <c r="GD474" s="138" t="e">
        <f>IF(VLOOKUP(CONCATENATE(H474,F474,GD$2),GeoHis!$A:$H,7,FALSE)=CR474,1,0)</f>
        <v>#N/A</v>
      </c>
      <c r="GE474" s="135" t="str">
        <f t="shared" si="63"/>
        <v/>
      </c>
    </row>
    <row r="475" spans="1:187" x14ac:dyDescent="0.25">
      <c r="A475" s="127" t="str">
        <f>IF(C475="","",'Datos Generales'!$A$25)</f>
        <v/>
      </c>
      <c r="D475" s="126" t="str">
        <f t="shared" si="56"/>
        <v/>
      </c>
      <c r="E475" s="126">
        <f t="shared" si="57"/>
        <v>0</v>
      </c>
      <c r="F475" s="126" t="str">
        <f t="shared" si="58"/>
        <v/>
      </c>
      <c r="G475" s="126" t="str">
        <f>IF(C475="","",'Datos Generales'!$D$19)</f>
        <v/>
      </c>
      <c r="H475" s="21" t="str">
        <f>IF(C475="","",'Datos Generales'!$A$19)</f>
        <v/>
      </c>
      <c r="I475" s="126" t="str">
        <f>IF(C475="","",'Datos Generales'!$A$7)</f>
        <v/>
      </c>
      <c r="J475" s="21" t="str">
        <f>IF(C475="","",'Datos Generales'!$A$13)</f>
        <v/>
      </c>
      <c r="K475" s="21" t="str">
        <f>IF(C475="","",'Datos Generales'!$A$10)</f>
        <v/>
      </c>
      <c r="CS475" s="142" t="str">
        <f t="shared" si="59"/>
        <v/>
      </c>
      <c r="CT475" s="142" t="str">
        <f t="shared" si="60"/>
        <v/>
      </c>
      <c r="CU475" s="142" t="str">
        <f t="shared" si="61"/>
        <v/>
      </c>
      <c r="CV475" s="142" t="str">
        <f t="shared" si="62"/>
        <v/>
      </c>
      <c r="CW475" s="142" t="str">
        <f>IF(C475="","",IF('Datos Generales'!$A$19=1,AVERAGE(FP475:GD475),AVERAGE(Captura!FP475:FY475)))</f>
        <v/>
      </c>
      <c r="CX475" s="138" t="e">
        <f>IF(VLOOKUP(CONCATENATE($H$4,$F$4,CX$2),Español!$A:$H,7,FALSE)=L475,1,0)</f>
        <v>#N/A</v>
      </c>
      <c r="CY475" s="138" t="e">
        <f>IF(VLOOKUP(CONCATENATE(H475,F475,CY$2),Español!$A:$H,7,FALSE)=M475,1,0)</f>
        <v>#N/A</v>
      </c>
      <c r="CZ475" s="138" t="e">
        <f>IF(VLOOKUP(CONCATENATE(H475,F475,CZ$2),Español!$A:$H,7,FALSE)=N475,1,0)</f>
        <v>#N/A</v>
      </c>
      <c r="DA475" s="138" t="e">
        <f>IF(VLOOKUP(CONCATENATE(H475,F475,DA$2),Español!$A:$H,7,FALSE)=O475,1,0)</f>
        <v>#N/A</v>
      </c>
      <c r="DB475" s="138" t="e">
        <f>IF(VLOOKUP(CONCATENATE(H475,F475,DB$2),Español!$A:$H,7,FALSE)=P475,1,0)</f>
        <v>#N/A</v>
      </c>
      <c r="DC475" s="138" t="e">
        <f>IF(VLOOKUP(CONCATENATE(H475,F475,DC$2),Español!$A:$H,7,FALSE)=Q475,1,0)</f>
        <v>#N/A</v>
      </c>
      <c r="DD475" s="138" t="e">
        <f>IF(VLOOKUP(CONCATENATE(H475,F475,DD$2),Español!$A:$H,7,FALSE)=R475,1,0)</f>
        <v>#N/A</v>
      </c>
      <c r="DE475" s="138" t="e">
        <f>IF(VLOOKUP(CONCATENATE(H475,F475,DE$2),Español!$A:$H,7,FALSE)=S475,1,0)</f>
        <v>#N/A</v>
      </c>
      <c r="DF475" s="138" t="e">
        <f>IF(VLOOKUP(CONCATENATE(H475,F475,DF$2),Español!$A:$H,7,FALSE)=T475,1,0)</f>
        <v>#N/A</v>
      </c>
      <c r="DG475" s="138" t="e">
        <f>IF(VLOOKUP(CONCATENATE(H475,F475,DG$2),Español!$A:$H,7,FALSE)=U475,1,0)</f>
        <v>#N/A</v>
      </c>
      <c r="DH475" s="138" t="e">
        <f>IF(VLOOKUP(CONCATENATE(H475,F475,DH$2),Español!$A:$H,7,FALSE)=V475,1,0)</f>
        <v>#N/A</v>
      </c>
      <c r="DI475" s="138" t="e">
        <f>IF(VLOOKUP(CONCATENATE(H475,F475,DI$2),Español!$A:$H,7,FALSE)=W475,1,0)</f>
        <v>#N/A</v>
      </c>
      <c r="DJ475" s="138" t="e">
        <f>IF(VLOOKUP(CONCATENATE(H475,F475,DJ$2),Español!$A:$H,7,FALSE)=X475,1,0)</f>
        <v>#N/A</v>
      </c>
      <c r="DK475" s="138" t="e">
        <f>IF(VLOOKUP(CONCATENATE(H475,F475,DK$2),Español!$A:$H,7,FALSE)=Y475,1,0)</f>
        <v>#N/A</v>
      </c>
      <c r="DL475" s="138" t="e">
        <f>IF(VLOOKUP(CONCATENATE(H475,F475,DL$2),Español!$A:$H,7,FALSE)=Z475,1,0)</f>
        <v>#N/A</v>
      </c>
      <c r="DM475" s="138" t="e">
        <f>IF(VLOOKUP(CONCATENATE(H475,F475,DM$2),Español!$A:$H,7,FALSE)=AA475,1,0)</f>
        <v>#N/A</v>
      </c>
      <c r="DN475" s="138" t="e">
        <f>IF(VLOOKUP(CONCATENATE(H475,F475,DN$2),Español!$A:$H,7,FALSE)=AB475,1,0)</f>
        <v>#N/A</v>
      </c>
      <c r="DO475" s="138" t="e">
        <f>IF(VLOOKUP(CONCATENATE(H475,F475,DO$2),Español!$A:$H,7,FALSE)=AC475,1,0)</f>
        <v>#N/A</v>
      </c>
      <c r="DP475" s="138" t="e">
        <f>IF(VLOOKUP(CONCATENATE(H475,F475,DP$2),Español!$A:$H,7,FALSE)=AD475,1,0)</f>
        <v>#N/A</v>
      </c>
      <c r="DQ475" s="138" t="e">
        <f>IF(VLOOKUP(CONCATENATE(H475,F475,DQ$2),Español!$A:$H,7,FALSE)=AE475,1,0)</f>
        <v>#N/A</v>
      </c>
      <c r="DR475" s="138" t="e">
        <f>IF(VLOOKUP(CONCATENATE(H475,F475,DR$2),Inglés!$A:$H,7,FALSE)=AF475,1,0)</f>
        <v>#N/A</v>
      </c>
      <c r="DS475" s="138" t="e">
        <f>IF(VLOOKUP(CONCATENATE(H475,F475,DS$2),Inglés!$A:$H,7,FALSE)=AG475,1,0)</f>
        <v>#N/A</v>
      </c>
      <c r="DT475" s="138" t="e">
        <f>IF(VLOOKUP(CONCATENATE(H475,F475,DT$2),Inglés!$A:$H,7,FALSE)=AH475,1,0)</f>
        <v>#N/A</v>
      </c>
      <c r="DU475" s="138" t="e">
        <f>IF(VLOOKUP(CONCATENATE(H475,F475,DU$2),Inglés!$A:$H,7,FALSE)=AI475,1,0)</f>
        <v>#N/A</v>
      </c>
      <c r="DV475" s="138" t="e">
        <f>IF(VLOOKUP(CONCATENATE(H475,F475,DV$2),Inglés!$A:$H,7,FALSE)=AJ475,1,0)</f>
        <v>#N/A</v>
      </c>
      <c r="DW475" s="138" t="e">
        <f>IF(VLOOKUP(CONCATENATE(H475,F475,DW$2),Inglés!$A:$H,7,FALSE)=AK475,1,0)</f>
        <v>#N/A</v>
      </c>
      <c r="DX475" s="138" t="e">
        <f>IF(VLOOKUP(CONCATENATE(H475,F475,DX$2),Inglés!$A:$H,7,FALSE)=AL475,1,0)</f>
        <v>#N/A</v>
      </c>
      <c r="DY475" s="138" t="e">
        <f>IF(VLOOKUP(CONCATENATE(H475,F475,DY$2),Inglés!$A:$H,7,FALSE)=AM475,1,0)</f>
        <v>#N/A</v>
      </c>
      <c r="DZ475" s="138" t="e">
        <f>IF(VLOOKUP(CONCATENATE(H475,F475,DZ$2),Inglés!$A:$H,7,FALSE)=AN475,1,0)</f>
        <v>#N/A</v>
      </c>
      <c r="EA475" s="138" t="e">
        <f>IF(VLOOKUP(CONCATENATE(H475,F475,EA$2),Inglés!$A:$H,7,FALSE)=AO475,1,0)</f>
        <v>#N/A</v>
      </c>
      <c r="EB475" s="138" t="e">
        <f>IF(VLOOKUP(CONCATENATE(H475,F475,EB$2),Matemáticas!$A:$H,7,FALSE)=AP475,1,0)</f>
        <v>#N/A</v>
      </c>
      <c r="EC475" s="138" t="e">
        <f>IF(VLOOKUP(CONCATENATE(H475,F475,EC$2),Matemáticas!$A:$H,7,FALSE)=AQ475,1,0)</f>
        <v>#N/A</v>
      </c>
      <c r="ED475" s="138" t="e">
        <f>IF(VLOOKUP(CONCATENATE(H475,F475,ED$2),Matemáticas!$A:$H,7,FALSE)=AR475,1,0)</f>
        <v>#N/A</v>
      </c>
      <c r="EE475" s="138" t="e">
        <f>IF(VLOOKUP(CONCATENATE(H475,F475,EE$2),Matemáticas!$A:$H,7,FALSE)=AS475,1,0)</f>
        <v>#N/A</v>
      </c>
      <c r="EF475" s="138" t="e">
        <f>IF(VLOOKUP(CONCATENATE(H475,F475,EF$2),Matemáticas!$A:$H,7,FALSE)=AT475,1,0)</f>
        <v>#N/A</v>
      </c>
      <c r="EG475" s="138" t="e">
        <f>IF(VLOOKUP(CONCATENATE(H475,F475,EG$2),Matemáticas!$A:$H,7,FALSE)=AU475,1,0)</f>
        <v>#N/A</v>
      </c>
      <c r="EH475" s="138" t="e">
        <f>IF(VLOOKUP(CONCATENATE(H475,F475,EH$2),Matemáticas!$A:$H,7,FALSE)=AV475,1,0)</f>
        <v>#N/A</v>
      </c>
      <c r="EI475" s="138" t="e">
        <f>IF(VLOOKUP(CONCATENATE(H475,F475,EI$2),Matemáticas!$A:$H,7,FALSE)=AW475,1,0)</f>
        <v>#N/A</v>
      </c>
      <c r="EJ475" s="138" t="e">
        <f>IF(VLOOKUP(CONCATENATE(H475,F475,EJ$2),Matemáticas!$A:$H,7,FALSE)=AX475,1,0)</f>
        <v>#N/A</v>
      </c>
      <c r="EK475" s="138" t="e">
        <f>IF(VLOOKUP(CONCATENATE(H475,F475,EK$2),Matemáticas!$A:$H,7,FALSE)=AY475,1,0)</f>
        <v>#N/A</v>
      </c>
      <c r="EL475" s="138" t="e">
        <f>IF(VLOOKUP(CONCATENATE(H475,F475,EL$2),Matemáticas!$A:$H,7,FALSE)=AZ475,1,0)</f>
        <v>#N/A</v>
      </c>
      <c r="EM475" s="138" t="e">
        <f>IF(VLOOKUP(CONCATENATE(H475,F475,EM$2),Matemáticas!$A:$H,7,FALSE)=BA475,1,0)</f>
        <v>#N/A</v>
      </c>
      <c r="EN475" s="138" t="e">
        <f>IF(VLOOKUP(CONCATENATE(H475,F475,EN$2),Matemáticas!$A:$H,7,FALSE)=BB475,1,0)</f>
        <v>#N/A</v>
      </c>
      <c r="EO475" s="138" t="e">
        <f>IF(VLOOKUP(CONCATENATE(H475,F475,EO$2),Matemáticas!$A:$H,7,FALSE)=BC475,1,0)</f>
        <v>#N/A</v>
      </c>
      <c r="EP475" s="138" t="e">
        <f>IF(VLOOKUP(CONCATENATE(H475,F475,EP$2),Matemáticas!$A:$H,7,FALSE)=BD475,1,0)</f>
        <v>#N/A</v>
      </c>
      <c r="EQ475" s="138" t="e">
        <f>IF(VLOOKUP(CONCATENATE(H475,F475,EQ$2),Matemáticas!$A:$H,7,FALSE)=BE475,1,0)</f>
        <v>#N/A</v>
      </c>
      <c r="ER475" s="138" t="e">
        <f>IF(VLOOKUP(CONCATENATE(H475,F475,ER$2),Matemáticas!$A:$H,7,FALSE)=BF475,1,0)</f>
        <v>#N/A</v>
      </c>
      <c r="ES475" s="138" t="e">
        <f>IF(VLOOKUP(CONCATENATE(H475,F475,ES$2),Matemáticas!$A:$H,7,FALSE)=BG475,1,0)</f>
        <v>#N/A</v>
      </c>
      <c r="ET475" s="138" t="e">
        <f>IF(VLOOKUP(CONCATENATE(H475,F475,ET$2),Matemáticas!$A:$H,7,FALSE)=BH475,1,0)</f>
        <v>#N/A</v>
      </c>
      <c r="EU475" s="138" t="e">
        <f>IF(VLOOKUP(CONCATENATE(H475,F475,EU$2),Matemáticas!$A:$H,7,FALSE)=BI475,1,0)</f>
        <v>#N/A</v>
      </c>
      <c r="EV475" s="138" t="e">
        <f>IF(VLOOKUP(CONCATENATE(H475,F475,EV$2),Ciencias!$A:$H,7,FALSE)=BJ475,1,0)</f>
        <v>#N/A</v>
      </c>
      <c r="EW475" s="138" t="e">
        <f>IF(VLOOKUP(CONCATENATE(H475,F475,EW$2),Ciencias!$A:$H,7,FALSE)=BK475,1,0)</f>
        <v>#N/A</v>
      </c>
      <c r="EX475" s="138" t="e">
        <f>IF(VLOOKUP(CONCATENATE(H475,F475,EX$2),Ciencias!$A:$H,7,FALSE)=BL475,1,0)</f>
        <v>#N/A</v>
      </c>
      <c r="EY475" s="138" t="e">
        <f>IF(VLOOKUP(CONCATENATE(H475,F475,EY$2),Ciencias!$A:$H,7,FALSE)=BM475,1,0)</f>
        <v>#N/A</v>
      </c>
      <c r="EZ475" s="138" t="e">
        <f>IF(VLOOKUP(CONCATENATE(H475,F475,EZ$2),Ciencias!$A:$H,7,FALSE)=BN475,1,0)</f>
        <v>#N/A</v>
      </c>
      <c r="FA475" s="138" t="e">
        <f>IF(VLOOKUP(CONCATENATE(H475,F475,FA$2),Ciencias!$A:$H,7,FALSE)=BO475,1,0)</f>
        <v>#N/A</v>
      </c>
      <c r="FB475" s="138" t="e">
        <f>IF(VLOOKUP(CONCATENATE(H475,F475,FB$2),Ciencias!$A:$H,7,FALSE)=BP475,1,0)</f>
        <v>#N/A</v>
      </c>
      <c r="FC475" s="138" t="e">
        <f>IF(VLOOKUP(CONCATENATE(H475,F475,FC$2),Ciencias!$A:$H,7,FALSE)=BQ475,1,0)</f>
        <v>#N/A</v>
      </c>
      <c r="FD475" s="138" t="e">
        <f>IF(VLOOKUP(CONCATENATE(H475,F475,FD$2),Ciencias!$A:$H,7,FALSE)=BR475,1,0)</f>
        <v>#N/A</v>
      </c>
      <c r="FE475" s="138" t="e">
        <f>IF(VLOOKUP(CONCATENATE(H475,F475,FE$2),Ciencias!$A:$H,7,FALSE)=BS475,1,0)</f>
        <v>#N/A</v>
      </c>
      <c r="FF475" s="138" t="e">
        <f>IF(VLOOKUP(CONCATENATE(H475,F475,FF$2),Ciencias!$A:$H,7,FALSE)=BT475,1,0)</f>
        <v>#N/A</v>
      </c>
      <c r="FG475" s="138" t="e">
        <f>IF(VLOOKUP(CONCATENATE(H475,F475,FG$2),Ciencias!$A:$H,7,FALSE)=BU475,1,0)</f>
        <v>#N/A</v>
      </c>
      <c r="FH475" s="138" t="e">
        <f>IF(VLOOKUP(CONCATENATE(H475,F475,FH$2),Ciencias!$A:$H,7,FALSE)=BV475,1,0)</f>
        <v>#N/A</v>
      </c>
      <c r="FI475" s="138" t="e">
        <f>IF(VLOOKUP(CONCATENATE(H475,F475,FI$2),Ciencias!$A:$H,7,FALSE)=BW475,1,0)</f>
        <v>#N/A</v>
      </c>
      <c r="FJ475" s="138" t="e">
        <f>IF(VLOOKUP(CONCATENATE(H475,F475,FJ$2),Ciencias!$A:$H,7,FALSE)=BX475,1,0)</f>
        <v>#N/A</v>
      </c>
      <c r="FK475" s="138" t="e">
        <f>IF(VLOOKUP(CONCATENATE(H475,F475,FK$2),Ciencias!$A:$H,7,FALSE)=BY475,1,0)</f>
        <v>#N/A</v>
      </c>
      <c r="FL475" s="138" t="e">
        <f>IF(VLOOKUP(CONCATENATE(H475,F475,FL$2),Ciencias!$A:$H,7,FALSE)=BZ475,1,0)</f>
        <v>#N/A</v>
      </c>
      <c r="FM475" s="138" t="e">
        <f>IF(VLOOKUP(CONCATENATE(H475,F475,FM$2),Ciencias!$A:$H,7,FALSE)=CA475,1,0)</f>
        <v>#N/A</v>
      </c>
      <c r="FN475" s="138" t="e">
        <f>IF(VLOOKUP(CONCATENATE(H475,F475,FN$2),Ciencias!$A:$H,7,FALSE)=CB475,1,0)</f>
        <v>#N/A</v>
      </c>
      <c r="FO475" s="138" t="e">
        <f>IF(VLOOKUP(CONCATENATE(H475,F475,FO$2),Ciencias!$A:$H,7,FALSE)=CC475,1,0)</f>
        <v>#N/A</v>
      </c>
      <c r="FP475" s="138" t="e">
        <f>IF(VLOOKUP(CONCATENATE(H475,F475,FP$2),GeoHis!$A:$H,7,FALSE)=CD475,1,0)</f>
        <v>#N/A</v>
      </c>
      <c r="FQ475" s="138" t="e">
        <f>IF(VLOOKUP(CONCATENATE(H475,F475,FQ$2),GeoHis!$A:$H,7,FALSE)=CE475,1,0)</f>
        <v>#N/A</v>
      </c>
      <c r="FR475" s="138" t="e">
        <f>IF(VLOOKUP(CONCATENATE(H475,F475,FR$2),GeoHis!$A:$H,7,FALSE)=CF475,1,0)</f>
        <v>#N/A</v>
      </c>
      <c r="FS475" s="138" t="e">
        <f>IF(VLOOKUP(CONCATENATE(H475,F475,FS$2),GeoHis!$A:$H,7,FALSE)=CG475,1,0)</f>
        <v>#N/A</v>
      </c>
      <c r="FT475" s="138" t="e">
        <f>IF(VLOOKUP(CONCATENATE(H475,F475,FT$2),GeoHis!$A:$H,7,FALSE)=CH475,1,0)</f>
        <v>#N/A</v>
      </c>
      <c r="FU475" s="138" t="e">
        <f>IF(VLOOKUP(CONCATENATE(H475,F475,FU$2),GeoHis!$A:$H,7,FALSE)=CI475,1,0)</f>
        <v>#N/A</v>
      </c>
      <c r="FV475" s="138" t="e">
        <f>IF(VLOOKUP(CONCATENATE(H475,F475,FV$2),GeoHis!$A:$H,7,FALSE)=CJ475,1,0)</f>
        <v>#N/A</v>
      </c>
      <c r="FW475" s="138" t="e">
        <f>IF(VLOOKUP(CONCATENATE(H475,F475,FW$2),GeoHis!$A:$H,7,FALSE)=CK475,1,0)</f>
        <v>#N/A</v>
      </c>
      <c r="FX475" s="138" t="e">
        <f>IF(VLOOKUP(CONCATENATE(H475,F475,FX$2),GeoHis!$A:$H,7,FALSE)=CL475,1,0)</f>
        <v>#N/A</v>
      </c>
      <c r="FY475" s="138" t="e">
        <f>IF(VLOOKUP(CONCATENATE(H475,F475,FY$2),GeoHis!$A:$H,7,FALSE)=CM475,1,0)</f>
        <v>#N/A</v>
      </c>
      <c r="FZ475" s="138" t="e">
        <f>IF(VLOOKUP(CONCATENATE(H475,F475,FZ$2),GeoHis!$A:$H,7,FALSE)=CN475,1,0)</f>
        <v>#N/A</v>
      </c>
      <c r="GA475" s="138" t="e">
        <f>IF(VLOOKUP(CONCATENATE(H475,F475,GA$2),GeoHis!$A:$H,7,FALSE)=CO475,1,0)</f>
        <v>#N/A</v>
      </c>
      <c r="GB475" s="138" t="e">
        <f>IF(VLOOKUP(CONCATENATE(H475,F475,GB$2),GeoHis!$A:$H,7,FALSE)=CP475,1,0)</f>
        <v>#N/A</v>
      </c>
      <c r="GC475" s="138" t="e">
        <f>IF(VLOOKUP(CONCATENATE(H475,F475,GC$2),GeoHis!$A:$H,7,FALSE)=CQ475,1,0)</f>
        <v>#N/A</v>
      </c>
      <c r="GD475" s="138" t="e">
        <f>IF(VLOOKUP(CONCATENATE(H475,F475,GD$2),GeoHis!$A:$H,7,FALSE)=CR475,1,0)</f>
        <v>#N/A</v>
      </c>
      <c r="GE475" s="135" t="str">
        <f t="shared" si="63"/>
        <v/>
      </c>
    </row>
    <row r="476" spans="1:187" x14ac:dyDescent="0.25">
      <c r="A476" s="127" t="str">
        <f>IF(C476="","",'Datos Generales'!$A$25)</f>
        <v/>
      </c>
      <c r="D476" s="126" t="str">
        <f t="shared" si="56"/>
        <v/>
      </c>
      <c r="E476" s="126">
        <f t="shared" si="57"/>
        <v>0</v>
      </c>
      <c r="F476" s="126" t="str">
        <f t="shared" si="58"/>
        <v/>
      </c>
      <c r="G476" s="126" t="str">
        <f>IF(C476="","",'Datos Generales'!$D$19)</f>
        <v/>
      </c>
      <c r="H476" s="21" t="str">
        <f>IF(C476="","",'Datos Generales'!$A$19)</f>
        <v/>
      </c>
      <c r="I476" s="126" t="str">
        <f>IF(C476="","",'Datos Generales'!$A$7)</f>
        <v/>
      </c>
      <c r="J476" s="21" t="str">
        <f>IF(C476="","",'Datos Generales'!$A$13)</f>
        <v/>
      </c>
      <c r="K476" s="21" t="str">
        <f>IF(C476="","",'Datos Generales'!$A$10)</f>
        <v/>
      </c>
      <c r="CS476" s="142" t="str">
        <f t="shared" si="59"/>
        <v/>
      </c>
      <c r="CT476" s="142" t="str">
        <f t="shared" si="60"/>
        <v/>
      </c>
      <c r="CU476" s="142" t="str">
        <f t="shared" si="61"/>
        <v/>
      </c>
      <c r="CV476" s="142" t="str">
        <f t="shared" si="62"/>
        <v/>
      </c>
      <c r="CW476" s="142" t="str">
        <f>IF(C476="","",IF('Datos Generales'!$A$19=1,AVERAGE(FP476:GD476),AVERAGE(Captura!FP476:FY476)))</f>
        <v/>
      </c>
      <c r="CX476" s="138" t="e">
        <f>IF(VLOOKUP(CONCATENATE($H$4,$F$4,CX$2),Español!$A:$H,7,FALSE)=L476,1,0)</f>
        <v>#N/A</v>
      </c>
      <c r="CY476" s="138" t="e">
        <f>IF(VLOOKUP(CONCATENATE(H476,F476,CY$2),Español!$A:$H,7,FALSE)=M476,1,0)</f>
        <v>#N/A</v>
      </c>
      <c r="CZ476" s="138" t="e">
        <f>IF(VLOOKUP(CONCATENATE(H476,F476,CZ$2),Español!$A:$H,7,FALSE)=N476,1,0)</f>
        <v>#N/A</v>
      </c>
      <c r="DA476" s="138" t="e">
        <f>IF(VLOOKUP(CONCATENATE(H476,F476,DA$2),Español!$A:$H,7,FALSE)=O476,1,0)</f>
        <v>#N/A</v>
      </c>
      <c r="DB476" s="138" t="e">
        <f>IF(VLOOKUP(CONCATENATE(H476,F476,DB$2),Español!$A:$H,7,FALSE)=P476,1,0)</f>
        <v>#N/A</v>
      </c>
      <c r="DC476" s="138" t="e">
        <f>IF(VLOOKUP(CONCATENATE(H476,F476,DC$2),Español!$A:$H,7,FALSE)=Q476,1,0)</f>
        <v>#N/A</v>
      </c>
      <c r="DD476" s="138" t="e">
        <f>IF(VLOOKUP(CONCATENATE(H476,F476,DD$2),Español!$A:$H,7,FALSE)=R476,1,0)</f>
        <v>#N/A</v>
      </c>
      <c r="DE476" s="138" t="e">
        <f>IF(VLOOKUP(CONCATENATE(H476,F476,DE$2),Español!$A:$H,7,FALSE)=S476,1,0)</f>
        <v>#N/A</v>
      </c>
      <c r="DF476" s="138" t="e">
        <f>IF(VLOOKUP(CONCATENATE(H476,F476,DF$2),Español!$A:$H,7,FALSE)=T476,1,0)</f>
        <v>#N/A</v>
      </c>
      <c r="DG476" s="138" t="e">
        <f>IF(VLOOKUP(CONCATENATE(H476,F476,DG$2),Español!$A:$H,7,FALSE)=U476,1,0)</f>
        <v>#N/A</v>
      </c>
      <c r="DH476" s="138" t="e">
        <f>IF(VLOOKUP(CONCATENATE(H476,F476,DH$2),Español!$A:$H,7,FALSE)=V476,1,0)</f>
        <v>#N/A</v>
      </c>
      <c r="DI476" s="138" t="e">
        <f>IF(VLOOKUP(CONCATENATE(H476,F476,DI$2),Español!$A:$H,7,FALSE)=W476,1,0)</f>
        <v>#N/A</v>
      </c>
      <c r="DJ476" s="138" t="e">
        <f>IF(VLOOKUP(CONCATENATE(H476,F476,DJ$2),Español!$A:$H,7,FALSE)=X476,1,0)</f>
        <v>#N/A</v>
      </c>
      <c r="DK476" s="138" t="e">
        <f>IF(VLOOKUP(CONCATENATE(H476,F476,DK$2),Español!$A:$H,7,FALSE)=Y476,1,0)</f>
        <v>#N/A</v>
      </c>
      <c r="DL476" s="138" t="e">
        <f>IF(VLOOKUP(CONCATENATE(H476,F476,DL$2),Español!$A:$H,7,FALSE)=Z476,1,0)</f>
        <v>#N/A</v>
      </c>
      <c r="DM476" s="138" t="e">
        <f>IF(VLOOKUP(CONCATENATE(H476,F476,DM$2),Español!$A:$H,7,FALSE)=AA476,1,0)</f>
        <v>#N/A</v>
      </c>
      <c r="DN476" s="138" t="e">
        <f>IF(VLOOKUP(CONCATENATE(H476,F476,DN$2),Español!$A:$H,7,FALSE)=AB476,1,0)</f>
        <v>#N/A</v>
      </c>
      <c r="DO476" s="138" t="e">
        <f>IF(VLOOKUP(CONCATENATE(H476,F476,DO$2),Español!$A:$H,7,FALSE)=AC476,1,0)</f>
        <v>#N/A</v>
      </c>
      <c r="DP476" s="138" t="e">
        <f>IF(VLOOKUP(CONCATENATE(H476,F476,DP$2),Español!$A:$H,7,FALSE)=AD476,1,0)</f>
        <v>#N/A</v>
      </c>
      <c r="DQ476" s="138" t="e">
        <f>IF(VLOOKUP(CONCATENATE(H476,F476,DQ$2),Español!$A:$H,7,FALSE)=AE476,1,0)</f>
        <v>#N/A</v>
      </c>
      <c r="DR476" s="138" t="e">
        <f>IF(VLOOKUP(CONCATENATE(H476,F476,DR$2),Inglés!$A:$H,7,FALSE)=AF476,1,0)</f>
        <v>#N/A</v>
      </c>
      <c r="DS476" s="138" t="e">
        <f>IF(VLOOKUP(CONCATENATE(H476,F476,DS$2),Inglés!$A:$H,7,FALSE)=AG476,1,0)</f>
        <v>#N/A</v>
      </c>
      <c r="DT476" s="138" t="e">
        <f>IF(VLOOKUP(CONCATENATE(H476,F476,DT$2),Inglés!$A:$H,7,FALSE)=AH476,1,0)</f>
        <v>#N/A</v>
      </c>
      <c r="DU476" s="138" t="e">
        <f>IF(VLOOKUP(CONCATENATE(H476,F476,DU$2),Inglés!$A:$H,7,FALSE)=AI476,1,0)</f>
        <v>#N/A</v>
      </c>
      <c r="DV476" s="138" t="e">
        <f>IF(VLOOKUP(CONCATENATE(H476,F476,DV$2),Inglés!$A:$H,7,FALSE)=AJ476,1,0)</f>
        <v>#N/A</v>
      </c>
      <c r="DW476" s="138" t="e">
        <f>IF(VLOOKUP(CONCATENATE(H476,F476,DW$2),Inglés!$A:$H,7,FALSE)=AK476,1,0)</f>
        <v>#N/A</v>
      </c>
      <c r="DX476" s="138" t="e">
        <f>IF(VLOOKUP(CONCATENATE(H476,F476,DX$2),Inglés!$A:$H,7,FALSE)=AL476,1,0)</f>
        <v>#N/A</v>
      </c>
      <c r="DY476" s="138" t="e">
        <f>IF(VLOOKUP(CONCATENATE(H476,F476,DY$2),Inglés!$A:$H,7,FALSE)=AM476,1,0)</f>
        <v>#N/A</v>
      </c>
      <c r="DZ476" s="138" t="e">
        <f>IF(VLOOKUP(CONCATENATE(H476,F476,DZ$2),Inglés!$A:$H,7,FALSE)=AN476,1,0)</f>
        <v>#N/A</v>
      </c>
      <c r="EA476" s="138" t="e">
        <f>IF(VLOOKUP(CONCATENATE(H476,F476,EA$2),Inglés!$A:$H,7,FALSE)=AO476,1,0)</f>
        <v>#N/A</v>
      </c>
      <c r="EB476" s="138" t="e">
        <f>IF(VLOOKUP(CONCATENATE(H476,F476,EB$2),Matemáticas!$A:$H,7,FALSE)=AP476,1,0)</f>
        <v>#N/A</v>
      </c>
      <c r="EC476" s="138" t="e">
        <f>IF(VLOOKUP(CONCATENATE(H476,F476,EC$2),Matemáticas!$A:$H,7,FALSE)=AQ476,1,0)</f>
        <v>#N/A</v>
      </c>
      <c r="ED476" s="138" t="e">
        <f>IF(VLOOKUP(CONCATENATE(H476,F476,ED$2),Matemáticas!$A:$H,7,FALSE)=AR476,1,0)</f>
        <v>#N/A</v>
      </c>
      <c r="EE476" s="138" t="e">
        <f>IF(VLOOKUP(CONCATENATE(H476,F476,EE$2),Matemáticas!$A:$H,7,FALSE)=AS476,1,0)</f>
        <v>#N/A</v>
      </c>
      <c r="EF476" s="138" t="e">
        <f>IF(VLOOKUP(CONCATENATE(H476,F476,EF$2),Matemáticas!$A:$H,7,FALSE)=AT476,1,0)</f>
        <v>#N/A</v>
      </c>
      <c r="EG476" s="138" t="e">
        <f>IF(VLOOKUP(CONCATENATE(H476,F476,EG$2),Matemáticas!$A:$H,7,FALSE)=AU476,1,0)</f>
        <v>#N/A</v>
      </c>
      <c r="EH476" s="138" t="e">
        <f>IF(VLOOKUP(CONCATENATE(H476,F476,EH$2),Matemáticas!$A:$H,7,FALSE)=AV476,1,0)</f>
        <v>#N/A</v>
      </c>
      <c r="EI476" s="138" t="e">
        <f>IF(VLOOKUP(CONCATENATE(H476,F476,EI$2),Matemáticas!$A:$H,7,FALSE)=AW476,1,0)</f>
        <v>#N/A</v>
      </c>
      <c r="EJ476" s="138" t="e">
        <f>IF(VLOOKUP(CONCATENATE(H476,F476,EJ$2),Matemáticas!$A:$H,7,FALSE)=AX476,1,0)</f>
        <v>#N/A</v>
      </c>
      <c r="EK476" s="138" t="e">
        <f>IF(VLOOKUP(CONCATENATE(H476,F476,EK$2),Matemáticas!$A:$H,7,FALSE)=AY476,1,0)</f>
        <v>#N/A</v>
      </c>
      <c r="EL476" s="138" t="e">
        <f>IF(VLOOKUP(CONCATENATE(H476,F476,EL$2),Matemáticas!$A:$H,7,FALSE)=AZ476,1,0)</f>
        <v>#N/A</v>
      </c>
      <c r="EM476" s="138" t="e">
        <f>IF(VLOOKUP(CONCATENATE(H476,F476,EM$2),Matemáticas!$A:$H,7,FALSE)=BA476,1,0)</f>
        <v>#N/A</v>
      </c>
      <c r="EN476" s="138" t="e">
        <f>IF(VLOOKUP(CONCATENATE(H476,F476,EN$2),Matemáticas!$A:$H,7,FALSE)=BB476,1,0)</f>
        <v>#N/A</v>
      </c>
      <c r="EO476" s="138" t="e">
        <f>IF(VLOOKUP(CONCATENATE(H476,F476,EO$2),Matemáticas!$A:$H,7,FALSE)=BC476,1,0)</f>
        <v>#N/A</v>
      </c>
      <c r="EP476" s="138" t="e">
        <f>IF(VLOOKUP(CONCATENATE(H476,F476,EP$2),Matemáticas!$A:$H,7,FALSE)=BD476,1,0)</f>
        <v>#N/A</v>
      </c>
      <c r="EQ476" s="138" t="e">
        <f>IF(VLOOKUP(CONCATENATE(H476,F476,EQ$2),Matemáticas!$A:$H,7,FALSE)=BE476,1,0)</f>
        <v>#N/A</v>
      </c>
      <c r="ER476" s="138" t="e">
        <f>IF(VLOOKUP(CONCATENATE(H476,F476,ER$2),Matemáticas!$A:$H,7,FALSE)=BF476,1,0)</f>
        <v>#N/A</v>
      </c>
      <c r="ES476" s="138" t="e">
        <f>IF(VLOOKUP(CONCATENATE(H476,F476,ES$2),Matemáticas!$A:$H,7,FALSE)=BG476,1,0)</f>
        <v>#N/A</v>
      </c>
      <c r="ET476" s="138" t="e">
        <f>IF(VLOOKUP(CONCATENATE(H476,F476,ET$2),Matemáticas!$A:$H,7,FALSE)=BH476,1,0)</f>
        <v>#N/A</v>
      </c>
      <c r="EU476" s="138" t="e">
        <f>IF(VLOOKUP(CONCATENATE(H476,F476,EU$2),Matemáticas!$A:$H,7,FALSE)=BI476,1,0)</f>
        <v>#N/A</v>
      </c>
      <c r="EV476" s="138" t="e">
        <f>IF(VLOOKUP(CONCATENATE(H476,F476,EV$2),Ciencias!$A:$H,7,FALSE)=BJ476,1,0)</f>
        <v>#N/A</v>
      </c>
      <c r="EW476" s="138" t="e">
        <f>IF(VLOOKUP(CONCATENATE(H476,F476,EW$2),Ciencias!$A:$H,7,FALSE)=BK476,1,0)</f>
        <v>#N/A</v>
      </c>
      <c r="EX476" s="138" t="e">
        <f>IF(VLOOKUP(CONCATENATE(H476,F476,EX$2),Ciencias!$A:$H,7,FALSE)=BL476,1,0)</f>
        <v>#N/A</v>
      </c>
      <c r="EY476" s="138" t="e">
        <f>IF(VLOOKUP(CONCATENATE(H476,F476,EY$2),Ciencias!$A:$H,7,FALSE)=BM476,1,0)</f>
        <v>#N/A</v>
      </c>
      <c r="EZ476" s="138" t="e">
        <f>IF(VLOOKUP(CONCATENATE(H476,F476,EZ$2),Ciencias!$A:$H,7,FALSE)=BN476,1,0)</f>
        <v>#N/A</v>
      </c>
      <c r="FA476" s="138" t="e">
        <f>IF(VLOOKUP(CONCATENATE(H476,F476,FA$2),Ciencias!$A:$H,7,FALSE)=BO476,1,0)</f>
        <v>#N/A</v>
      </c>
      <c r="FB476" s="138" t="e">
        <f>IF(VLOOKUP(CONCATENATE(H476,F476,FB$2),Ciencias!$A:$H,7,FALSE)=BP476,1,0)</f>
        <v>#N/A</v>
      </c>
      <c r="FC476" s="138" t="e">
        <f>IF(VLOOKUP(CONCATENATE(H476,F476,FC$2),Ciencias!$A:$H,7,FALSE)=BQ476,1,0)</f>
        <v>#N/A</v>
      </c>
      <c r="FD476" s="138" t="e">
        <f>IF(VLOOKUP(CONCATENATE(H476,F476,FD$2),Ciencias!$A:$H,7,FALSE)=BR476,1,0)</f>
        <v>#N/A</v>
      </c>
      <c r="FE476" s="138" t="e">
        <f>IF(VLOOKUP(CONCATENATE(H476,F476,FE$2),Ciencias!$A:$H,7,FALSE)=BS476,1,0)</f>
        <v>#N/A</v>
      </c>
      <c r="FF476" s="138" t="e">
        <f>IF(VLOOKUP(CONCATENATE(H476,F476,FF$2),Ciencias!$A:$H,7,FALSE)=BT476,1,0)</f>
        <v>#N/A</v>
      </c>
      <c r="FG476" s="138" t="e">
        <f>IF(VLOOKUP(CONCATENATE(H476,F476,FG$2),Ciencias!$A:$H,7,FALSE)=BU476,1,0)</f>
        <v>#N/A</v>
      </c>
      <c r="FH476" s="138" t="e">
        <f>IF(VLOOKUP(CONCATENATE(H476,F476,FH$2),Ciencias!$A:$H,7,FALSE)=BV476,1,0)</f>
        <v>#N/A</v>
      </c>
      <c r="FI476" s="138" t="e">
        <f>IF(VLOOKUP(CONCATENATE(H476,F476,FI$2),Ciencias!$A:$H,7,FALSE)=BW476,1,0)</f>
        <v>#N/A</v>
      </c>
      <c r="FJ476" s="138" t="e">
        <f>IF(VLOOKUP(CONCATENATE(H476,F476,FJ$2),Ciencias!$A:$H,7,FALSE)=BX476,1,0)</f>
        <v>#N/A</v>
      </c>
      <c r="FK476" s="138" t="e">
        <f>IF(VLOOKUP(CONCATENATE(H476,F476,FK$2),Ciencias!$A:$H,7,FALSE)=BY476,1,0)</f>
        <v>#N/A</v>
      </c>
      <c r="FL476" s="138" t="e">
        <f>IF(VLOOKUP(CONCATENATE(H476,F476,FL$2),Ciencias!$A:$H,7,FALSE)=BZ476,1,0)</f>
        <v>#N/A</v>
      </c>
      <c r="FM476" s="138" t="e">
        <f>IF(VLOOKUP(CONCATENATE(H476,F476,FM$2),Ciencias!$A:$H,7,FALSE)=CA476,1,0)</f>
        <v>#N/A</v>
      </c>
      <c r="FN476" s="138" t="e">
        <f>IF(VLOOKUP(CONCATENATE(H476,F476,FN$2),Ciencias!$A:$H,7,FALSE)=CB476,1,0)</f>
        <v>#N/A</v>
      </c>
      <c r="FO476" s="138" t="e">
        <f>IF(VLOOKUP(CONCATENATE(H476,F476,FO$2),Ciencias!$A:$H,7,FALSE)=CC476,1,0)</f>
        <v>#N/A</v>
      </c>
      <c r="FP476" s="138" t="e">
        <f>IF(VLOOKUP(CONCATENATE(H476,F476,FP$2),GeoHis!$A:$H,7,FALSE)=CD476,1,0)</f>
        <v>#N/A</v>
      </c>
      <c r="FQ476" s="138" t="e">
        <f>IF(VLOOKUP(CONCATENATE(H476,F476,FQ$2),GeoHis!$A:$H,7,FALSE)=CE476,1,0)</f>
        <v>#N/A</v>
      </c>
      <c r="FR476" s="138" t="e">
        <f>IF(VLOOKUP(CONCATENATE(H476,F476,FR$2),GeoHis!$A:$H,7,FALSE)=CF476,1,0)</f>
        <v>#N/A</v>
      </c>
      <c r="FS476" s="138" t="e">
        <f>IF(VLOOKUP(CONCATENATE(H476,F476,FS$2),GeoHis!$A:$H,7,FALSE)=CG476,1,0)</f>
        <v>#N/A</v>
      </c>
      <c r="FT476" s="138" t="e">
        <f>IF(VLOOKUP(CONCATENATE(H476,F476,FT$2),GeoHis!$A:$H,7,FALSE)=CH476,1,0)</f>
        <v>#N/A</v>
      </c>
      <c r="FU476" s="138" t="e">
        <f>IF(VLOOKUP(CONCATENATE(H476,F476,FU$2),GeoHis!$A:$H,7,FALSE)=CI476,1,0)</f>
        <v>#N/A</v>
      </c>
      <c r="FV476" s="138" t="e">
        <f>IF(VLOOKUP(CONCATENATE(H476,F476,FV$2),GeoHis!$A:$H,7,FALSE)=CJ476,1,0)</f>
        <v>#N/A</v>
      </c>
      <c r="FW476" s="138" t="e">
        <f>IF(VLOOKUP(CONCATENATE(H476,F476,FW$2),GeoHis!$A:$H,7,FALSE)=CK476,1,0)</f>
        <v>#N/A</v>
      </c>
      <c r="FX476" s="138" t="e">
        <f>IF(VLOOKUP(CONCATENATE(H476,F476,FX$2),GeoHis!$A:$H,7,FALSE)=CL476,1,0)</f>
        <v>#N/A</v>
      </c>
      <c r="FY476" s="138" t="e">
        <f>IF(VLOOKUP(CONCATENATE(H476,F476,FY$2),GeoHis!$A:$H,7,FALSE)=CM476,1,0)</f>
        <v>#N/A</v>
      </c>
      <c r="FZ476" s="138" t="e">
        <f>IF(VLOOKUP(CONCATENATE(H476,F476,FZ$2),GeoHis!$A:$H,7,FALSE)=CN476,1,0)</f>
        <v>#N/A</v>
      </c>
      <c r="GA476" s="138" t="e">
        <f>IF(VLOOKUP(CONCATENATE(H476,F476,GA$2),GeoHis!$A:$H,7,FALSE)=CO476,1,0)</f>
        <v>#N/A</v>
      </c>
      <c r="GB476" s="138" t="e">
        <f>IF(VLOOKUP(CONCATENATE(H476,F476,GB$2),GeoHis!$A:$H,7,FALSE)=CP476,1,0)</f>
        <v>#N/A</v>
      </c>
      <c r="GC476" s="138" t="e">
        <f>IF(VLOOKUP(CONCATENATE(H476,F476,GC$2),GeoHis!$A:$H,7,FALSE)=CQ476,1,0)</f>
        <v>#N/A</v>
      </c>
      <c r="GD476" s="138" t="e">
        <f>IF(VLOOKUP(CONCATENATE(H476,F476,GD$2),GeoHis!$A:$H,7,FALSE)=CR476,1,0)</f>
        <v>#N/A</v>
      </c>
      <c r="GE476" s="135" t="str">
        <f t="shared" si="63"/>
        <v/>
      </c>
    </row>
    <row r="477" spans="1:187" x14ac:dyDescent="0.25">
      <c r="A477" s="127" t="str">
        <f>IF(C477="","",'Datos Generales'!$A$25)</f>
        <v/>
      </c>
      <c r="D477" s="126" t="str">
        <f t="shared" si="56"/>
        <v/>
      </c>
      <c r="E477" s="126">
        <f t="shared" si="57"/>
        <v>0</v>
      </c>
      <c r="F477" s="126" t="str">
        <f t="shared" si="58"/>
        <v/>
      </c>
      <c r="G477" s="126" t="str">
        <f>IF(C477="","",'Datos Generales'!$D$19)</f>
        <v/>
      </c>
      <c r="H477" s="21" t="str">
        <f>IF(C477="","",'Datos Generales'!$A$19)</f>
        <v/>
      </c>
      <c r="I477" s="126" t="str">
        <f>IF(C477="","",'Datos Generales'!$A$7)</f>
        <v/>
      </c>
      <c r="J477" s="21" t="str">
        <f>IF(C477="","",'Datos Generales'!$A$13)</f>
        <v/>
      </c>
      <c r="K477" s="21" t="str">
        <f>IF(C477="","",'Datos Generales'!$A$10)</f>
        <v/>
      </c>
      <c r="CS477" s="142" t="str">
        <f t="shared" si="59"/>
        <v/>
      </c>
      <c r="CT477" s="142" t="str">
        <f t="shared" si="60"/>
        <v/>
      </c>
      <c r="CU477" s="142" t="str">
        <f t="shared" si="61"/>
        <v/>
      </c>
      <c r="CV477" s="142" t="str">
        <f t="shared" si="62"/>
        <v/>
      </c>
      <c r="CW477" s="142" t="str">
        <f>IF(C477="","",IF('Datos Generales'!$A$19=1,AVERAGE(FP477:GD477),AVERAGE(Captura!FP477:FY477)))</f>
        <v/>
      </c>
      <c r="CX477" s="138" t="e">
        <f>IF(VLOOKUP(CONCATENATE($H$4,$F$4,CX$2),Español!$A:$H,7,FALSE)=L477,1,0)</f>
        <v>#N/A</v>
      </c>
      <c r="CY477" s="138" t="e">
        <f>IF(VLOOKUP(CONCATENATE(H477,F477,CY$2),Español!$A:$H,7,FALSE)=M477,1,0)</f>
        <v>#N/A</v>
      </c>
      <c r="CZ477" s="138" t="e">
        <f>IF(VLOOKUP(CONCATENATE(H477,F477,CZ$2),Español!$A:$H,7,FALSE)=N477,1,0)</f>
        <v>#N/A</v>
      </c>
      <c r="DA477" s="138" t="e">
        <f>IF(VLOOKUP(CONCATENATE(H477,F477,DA$2),Español!$A:$H,7,FALSE)=O477,1,0)</f>
        <v>#N/A</v>
      </c>
      <c r="DB477" s="138" t="e">
        <f>IF(VLOOKUP(CONCATENATE(H477,F477,DB$2),Español!$A:$H,7,FALSE)=P477,1,0)</f>
        <v>#N/A</v>
      </c>
      <c r="DC477" s="138" t="e">
        <f>IF(VLOOKUP(CONCATENATE(H477,F477,DC$2),Español!$A:$H,7,FALSE)=Q477,1,0)</f>
        <v>#N/A</v>
      </c>
      <c r="DD477" s="138" t="e">
        <f>IF(VLOOKUP(CONCATENATE(H477,F477,DD$2),Español!$A:$H,7,FALSE)=R477,1,0)</f>
        <v>#N/A</v>
      </c>
      <c r="DE477" s="138" t="e">
        <f>IF(VLOOKUP(CONCATENATE(H477,F477,DE$2),Español!$A:$H,7,FALSE)=S477,1,0)</f>
        <v>#N/A</v>
      </c>
      <c r="DF477" s="138" t="e">
        <f>IF(VLOOKUP(CONCATENATE(H477,F477,DF$2),Español!$A:$H,7,FALSE)=T477,1,0)</f>
        <v>#N/A</v>
      </c>
      <c r="DG477" s="138" t="e">
        <f>IF(VLOOKUP(CONCATENATE(H477,F477,DG$2),Español!$A:$H,7,FALSE)=U477,1,0)</f>
        <v>#N/A</v>
      </c>
      <c r="DH477" s="138" t="e">
        <f>IF(VLOOKUP(CONCATENATE(H477,F477,DH$2),Español!$A:$H,7,FALSE)=V477,1,0)</f>
        <v>#N/A</v>
      </c>
      <c r="DI477" s="138" t="e">
        <f>IF(VLOOKUP(CONCATENATE(H477,F477,DI$2),Español!$A:$H,7,FALSE)=W477,1,0)</f>
        <v>#N/A</v>
      </c>
      <c r="DJ477" s="138" t="e">
        <f>IF(VLOOKUP(CONCATENATE(H477,F477,DJ$2),Español!$A:$H,7,FALSE)=X477,1,0)</f>
        <v>#N/A</v>
      </c>
      <c r="DK477" s="138" t="e">
        <f>IF(VLOOKUP(CONCATENATE(H477,F477,DK$2),Español!$A:$H,7,FALSE)=Y477,1,0)</f>
        <v>#N/A</v>
      </c>
      <c r="DL477" s="138" t="e">
        <f>IF(VLOOKUP(CONCATENATE(H477,F477,DL$2),Español!$A:$H,7,FALSE)=Z477,1,0)</f>
        <v>#N/A</v>
      </c>
      <c r="DM477" s="138" t="e">
        <f>IF(VLOOKUP(CONCATENATE(H477,F477,DM$2),Español!$A:$H,7,FALSE)=AA477,1,0)</f>
        <v>#N/A</v>
      </c>
      <c r="DN477" s="138" t="e">
        <f>IF(VLOOKUP(CONCATENATE(H477,F477,DN$2),Español!$A:$H,7,FALSE)=AB477,1,0)</f>
        <v>#N/A</v>
      </c>
      <c r="DO477" s="138" t="e">
        <f>IF(VLOOKUP(CONCATENATE(H477,F477,DO$2),Español!$A:$H,7,FALSE)=AC477,1,0)</f>
        <v>#N/A</v>
      </c>
      <c r="DP477" s="138" t="e">
        <f>IF(VLOOKUP(CONCATENATE(H477,F477,DP$2),Español!$A:$H,7,FALSE)=AD477,1,0)</f>
        <v>#N/A</v>
      </c>
      <c r="DQ477" s="138" t="e">
        <f>IF(VLOOKUP(CONCATENATE(H477,F477,DQ$2),Español!$A:$H,7,FALSE)=AE477,1,0)</f>
        <v>#N/A</v>
      </c>
      <c r="DR477" s="138" t="e">
        <f>IF(VLOOKUP(CONCATENATE(H477,F477,DR$2),Inglés!$A:$H,7,FALSE)=AF477,1,0)</f>
        <v>#N/A</v>
      </c>
      <c r="DS477" s="138" t="e">
        <f>IF(VLOOKUP(CONCATENATE(H477,F477,DS$2),Inglés!$A:$H,7,FALSE)=AG477,1,0)</f>
        <v>#N/A</v>
      </c>
      <c r="DT477" s="138" t="e">
        <f>IF(VLOOKUP(CONCATENATE(H477,F477,DT$2),Inglés!$A:$H,7,FALSE)=AH477,1,0)</f>
        <v>#N/A</v>
      </c>
      <c r="DU477" s="138" t="e">
        <f>IF(VLOOKUP(CONCATENATE(H477,F477,DU$2),Inglés!$A:$H,7,FALSE)=AI477,1,0)</f>
        <v>#N/A</v>
      </c>
      <c r="DV477" s="138" t="e">
        <f>IF(VLOOKUP(CONCATENATE(H477,F477,DV$2),Inglés!$A:$H,7,FALSE)=AJ477,1,0)</f>
        <v>#N/A</v>
      </c>
      <c r="DW477" s="138" t="e">
        <f>IF(VLOOKUP(CONCATENATE(H477,F477,DW$2),Inglés!$A:$H,7,FALSE)=AK477,1,0)</f>
        <v>#N/A</v>
      </c>
      <c r="DX477" s="138" t="e">
        <f>IF(VLOOKUP(CONCATENATE(H477,F477,DX$2),Inglés!$A:$H,7,FALSE)=AL477,1,0)</f>
        <v>#N/A</v>
      </c>
      <c r="DY477" s="138" t="e">
        <f>IF(VLOOKUP(CONCATENATE(H477,F477,DY$2),Inglés!$A:$H,7,FALSE)=AM477,1,0)</f>
        <v>#N/A</v>
      </c>
      <c r="DZ477" s="138" t="e">
        <f>IF(VLOOKUP(CONCATENATE(H477,F477,DZ$2),Inglés!$A:$H,7,FALSE)=AN477,1,0)</f>
        <v>#N/A</v>
      </c>
      <c r="EA477" s="138" t="e">
        <f>IF(VLOOKUP(CONCATENATE(H477,F477,EA$2),Inglés!$A:$H,7,FALSE)=AO477,1,0)</f>
        <v>#N/A</v>
      </c>
      <c r="EB477" s="138" t="e">
        <f>IF(VLOOKUP(CONCATENATE(H477,F477,EB$2),Matemáticas!$A:$H,7,FALSE)=AP477,1,0)</f>
        <v>#N/A</v>
      </c>
      <c r="EC477" s="138" t="e">
        <f>IF(VLOOKUP(CONCATENATE(H477,F477,EC$2),Matemáticas!$A:$H,7,FALSE)=AQ477,1,0)</f>
        <v>#N/A</v>
      </c>
      <c r="ED477" s="138" t="e">
        <f>IF(VLOOKUP(CONCATENATE(H477,F477,ED$2),Matemáticas!$A:$H,7,FALSE)=AR477,1,0)</f>
        <v>#N/A</v>
      </c>
      <c r="EE477" s="138" t="e">
        <f>IF(VLOOKUP(CONCATENATE(H477,F477,EE$2),Matemáticas!$A:$H,7,FALSE)=AS477,1,0)</f>
        <v>#N/A</v>
      </c>
      <c r="EF477" s="138" t="e">
        <f>IF(VLOOKUP(CONCATENATE(H477,F477,EF$2),Matemáticas!$A:$H,7,FALSE)=AT477,1,0)</f>
        <v>#N/A</v>
      </c>
      <c r="EG477" s="138" t="e">
        <f>IF(VLOOKUP(CONCATENATE(H477,F477,EG$2),Matemáticas!$A:$H,7,FALSE)=AU477,1,0)</f>
        <v>#N/A</v>
      </c>
      <c r="EH477" s="138" t="e">
        <f>IF(VLOOKUP(CONCATENATE(H477,F477,EH$2),Matemáticas!$A:$H,7,FALSE)=AV477,1,0)</f>
        <v>#N/A</v>
      </c>
      <c r="EI477" s="138" t="e">
        <f>IF(VLOOKUP(CONCATENATE(H477,F477,EI$2),Matemáticas!$A:$H,7,FALSE)=AW477,1,0)</f>
        <v>#N/A</v>
      </c>
      <c r="EJ477" s="138" t="e">
        <f>IF(VLOOKUP(CONCATENATE(H477,F477,EJ$2),Matemáticas!$A:$H,7,FALSE)=AX477,1,0)</f>
        <v>#N/A</v>
      </c>
      <c r="EK477" s="138" t="e">
        <f>IF(VLOOKUP(CONCATENATE(H477,F477,EK$2),Matemáticas!$A:$H,7,FALSE)=AY477,1,0)</f>
        <v>#N/A</v>
      </c>
      <c r="EL477" s="138" t="e">
        <f>IF(VLOOKUP(CONCATENATE(H477,F477,EL$2),Matemáticas!$A:$H,7,FALSE)=AZ477,1,0)</f>
        <v>#N/A</v>
      </c>
      <c r="EM477" s="138" t="e">
        <f>IF(VLOOKUP(CONCATENATE(H477,F477,EM$2),Matemáticas!$A:$H,7,FALSE)=BA477,1,0)</f>
        <v>#N/A</v>
      </c>
      <c r="EN477" s="138" t="e">
        <f>IF(VLOOKUP(CONCATENATE(H477,F477,EN$2),Matemáticas!$A:$H,7,FALSE)=BB477,1,0)</f>
        <v>#N/A</v>
      </c>
      <c r="EO477" s="138" t="e">
        <f>IF(VLOOKUP(CONCATENATE(H477,F477,EO$2),Matemáticas!$A:$H,7,FALSE)=BC477,1,0)</f>
        <v>#N/A</v>
      </c>
      <c r="EP477" s="138" t="e">
        <f>IF(VLOOKUP(CONCATENATE(H477,F477,EP$2),Matemáticas!$A:$H,7,FALSE)=BD477,1,0)</f>
        <v>#N/A</v>
      </c>
      <c r="EQ477" s="138" t="e">
        <f>IF(VLOOKUP(CONCATENATE(H477,F477,EQ$2),Matemáticas!$A:$H,7,FALSE)=BE477,1,0)</f>
        <v>#N/A</v>
      </c>
      <c r="ER477" s="138" t="e">
        <f>IF(VLOOKUP(CONCATENATE(H477,F477,ER$2),Matemáticas!$A:$H,7,FALSE)=BF477,1,0)</f>
        <v>#N/A</v>
      </c>
      <c r="ES477" s="138" t="e">
        <f>IF(VLOOKUP(CONCATENATE(H477,F477,ES$2),Matemáticas!$A:$H,7,FALSE)=BG477,1,0)</f>
        <v>#N/A</v>
      </c>
      <c r="ET477" s="138" t="e">
        <f>IF(VLOOKUP(CONCATENATE(H477,F477,ET$2),Matemáticas!$A:$H,7,FALSE)=BH477,1,0)</f>
        <v>#N/A</v>
      </c>
      <c r="EU477" s="138" t="e">
        <f>IF(VLOOKUP(CONCATENATE(H477,F477,EU$2),Matemáticas!$A:$H,7,FALSE)=BI477,1,0)</f>
        <v>#N/A</v>
      </c>
      <c r="EV477" s="138" t="e">
        <f>IF(VLOOKUP(CONCATENATE(H477,F477,EV$2),Ciencias!$A:$H,7,FALSE)=BJ477,1,0)</f>
        <v>#N/A</v>
      </c>
      <c r="EW477" s="138" t="e">
        <f>IF(VLOOKUP(CONCATENATE(H477,F477,EW$2),Ciencias!$A:$H,7,FALSE)=BK477,1,0)</f>
        <v>#N/A</v>
      </c>
      <c r="EX477" s="138" t="e">
        <f>IF(VLOOKUP(CONCATENATE(H477,F477,EX$2),Ciencias!$A:$H,7,FALSE)=BL477,1,0)</f>
        <v>#N/A</v>
      </c>
      <c r="EY477" s="138" t="e">
        <f>IF(VLOOKUP(CONCATENATE(H477,F477,EY$2),Ciencias!$A:$H,7,FALSE)=BM477,1,0)</f>
        <v>#N/A</v>
      </c>
      <c r="EZ477" s="138" t="e">
        <f>IF(VLOOKUP(CONCATENATE(H477,F477,EZ$2),Ciencias!$A:$H,7,FALSE)=BN477,1,0)</f>
        <v>#N/A</v>
      </c>
      <c r="FA477" s="138" t="e">
        <f>IF(VLOOKUP(CONCATENATE(H477,F477,FA$2),Ciencias!$A:$H,7,FALSE)=BO477,1,0)</f>
        <v>#N/A</v>
      </c>
      <c r="FB477" s="138" t="e">
        <f>IF(VLOOKUP(CONCATENATE(H477,F477,FB$2),Ciencias!$A:$H,7,FALSE)=BP477,1,0)</f>
        <v>#N/A</v>
      </c>
      <c r="FC477" s="138" t="e">
        <f>IF(VLOOKUP(CONCATENATE(H477,F477,FC$2),Ciencias!$A:$H,7,FALSE)=BQ477,1,0)</f>
        <v>#N/A</v>
      </c>
      <c r="FD477" s="138" t="e">
        <f>IF(VLOOKUP(CONCATENATE(H477,F477,FD$2),Ciencias!$A:$H,7,FALSE)=BR477,1,0)</f>
        <v>#N/A</v>
      </c>
      <c r="FE477" s="138" t="e">
        <f>IF(VLOOKUP(CONCATENATE(H477,F477,FE$2),Ciencias!$A:$H,7,FALSE)=BS477,1,0)</f>
        <v>#N/A</v>
      </c>
      <c r="FF477" s="138" t="e">
        <f>IF(VLOOKUP(CONCATENATE(H477,F477,FF$2),Ciencias!$A:$H,7,FALSE)=BT477,1,0)</f>
        <v>#N/A</v>
      </c>
      <c r="FG477" s="138" t="e">
        <f>IF(VLOOKUP(CONCATENATE(H477,F477,FG$2),Ciencias!$A:$H,7,FALSE)=BU477,1,0)</f>
        <v>#N/A</v>
      </c>
      <c r="FH477" s="138" t="e">
        <f>IF(VLOOKUP(CONCATENATE(H477,F477,FH$2),Ciencias!$A:$H,7,FALSE)=BV477,1,0)</f>
        <v>#N/A</v>
      </c>
      <c r="FI477" s="138" t="e">
        <f>IF(VLOOKUP(CONCATENATE(H477,F477,FI$2),Ciencias!$A:$H,7,FALSE)=BW477,1,0)</f>
        <v>#N/A</v>
      </c>
      <c r="FJ477" s="138" t="e">
        <f>IF(VLOOKUP(CONCATENATE(H477,F477,FJ$2),Ciencias!$A:$H,7,FALSE)=BX477,1,0)</f>
        <v>#N/A</v>
      </c>
      <c r="FK477" s="138" t="e">
        <f>IF(VLOOKUP(CONCATENATE(H477,F477,FK$2),Ciencias!$A:$H,7,FALSE)=BY477,1,0)</f>
        <v>#N/A</v>
      </c>
      <c r="FL477" s="138" t="e">
        <f>IF(VLOOKUP(CONCATENATE(H477,F477,FL$2),Ciencias!$A:$H,7,FALSE)=BZ477,1,0)</f>
        <v>#N/A</v>
      </c>
      <c r="FM477" s="138" t="e">
        <f>IF(VLOOKUP(CONCATENATE(H477,F477,FM$2),Ciencias!$A:$H,7,FALSE)=CA477,1,0)</f>
        <v>#N/A</v>
      </c>
      <c r="FN477" s="138" t="e">
        <f>IF(VLOOKUP(CONCATENATE(H477,F477,FN$2),Ciencias!$A:$H,7,FALSE)=CB477,1,0)</f>
        <v>#N/A</v>
      </c>
      <c r="FO477" s="138" t="e">
        <f>IF(VLOOKUP(CONCATENATE(H477,F477,FO$2),Ciencias!$A:$H,7,FALSE)=CC477,1,0)</f>
        <v>#N/A</v>
      </c>
      <c r="FP477" s="138" t="e">
        <f>IF(VLOOKUP(CONCATENATE(H477,F477,FP$2),GeoHis!$A:$H,7,FALSE)=CD477,1,0)</f>
        <v>#N/A</v>
      </c>
      <c r="FQ477" s="138" t="e">
        <f>IF(VLOOKUP(CONCATENATE(H477,F477,FQ$2),GeoHis!$A:$H,7,FALSE)=CE477,1,0)</f>
        <v>#N/A</v>
      </c>
      <c r="FR477" s="138" t="e">
        <f>IF(VLOOKUP(CONCATENATE(H477,F477,FR$2),GeoHis!$A:$H,7,FALSE)=CF477,1,0)</f>
        <v>#N/A</v>
      </c>
      <c r="FS477" s="138" t="e">
        <f>IF(VLOOKUP(CONCATENATE(H477,F477,FS$2),GeoHis!$A:$H,7,FALSE)=CG477,1,0)</f>
        <v>#N/A</v>
      </c>
      <c r="FT477" s="138" t="e">
        <f>IF(VLOOKUP(CONCATENATE(H477,F477,FT$2),GeoHis!$A:$H,7,FALSE)=CH477,1,0)</f>
        <v>#N/A</v>
      </c>
      <c r="FU477" s="138" t="e">
        <f>IF(VLOOKUP(CONCATENATE(H477,F477,FU$2),GeoHis!$A:$H,7,FALSE)=CI477,1,0)</f>
        <v>#N/A</v>
      </c>
      <c r="FV477" s="138" t="e">
        <f>IF(VLOOKUP(CONCATENATE(H477,F477,FV$2),GeoHis!$A:$H,7,FALSE)=CJ477,1,0)</f>
        <v>#N/A</v>
      </c>
      <c r="FW477" s="138" t="e">
        <f>IF(VLOOKUP(CONCATENATE(H477,F477,FW$2),GeoHis!$A:$H,7,FALSE)=CK477,1,0)</f>
        <v>#N/A</v>
      </c>
      <c r="FX477" s="138" t="e">
        <f>IF(VLOOKUP(CONCATENATE(H477,F477,FX$2),GeoHis!$A:$H,7,FALSE)=CL477,1,0)</f>
        <v>#N/A</v>
      </c>
      <c r="FY477" s="138" t="e">
        <f>IF(VLOOKUP(CONCATENATE(H477,F477,FY$2),GeoHis!$A:$H,7,FALSE)=CM477,1,0)</f>
        <v>#N/A</v>
      </c>
      <c r="FZ477" s="138" t="e">
        <f>IF(VLOOKUP(CONCATENATE(H477,F477,FZ$2),GeoHis!$A:$H,7,FALSE)=CN477,1,0)</f>
        <v>#N/A</v>
      </c>
      <c r="GA477" s="138" t="e">
        <f>IF(VLOOKUP(CONCATENATE(H477,F477,GA$2),GeoHis!$A:$H,7,FALSE)=CO477,1,0)</f>
        <v>#N/A</v>
      </c>
      <c r="GB477" s="138" t="e">
        <f>IF(VLOOKUP(CONCATENATE(H477,F477,GB$2),GeoHis!$A:$H,7,FALSE)=CP477,1,0)</f>
        <v>#N/A</v>
      </c>
      <c r="GC477" s="138" t="e">
        <f>IF(VLOOKUP(CONCATENATE(H477,F477,GC$2),GeoHis!$A:$H,7,FALSE)=CQ477,1,0)</f>
        <v>#N/A</v>
      </c>
      <c r="GD477" s="138" t="e">
        <f>IF(VLOOKUP(CONCATENATE(H477,F477,GD$2),GeoHis!$A:$H,7,FALSE)=CR477,1,0)</f>
        <v>#N/A</v>
      </c>
      <c r="GE477" s="135" t="str">
        <f t="shared" si="63"/>
        <v/>
      </c>
    </row>
    <row r="478" spans="1:187" x14ac:dyDescent="0.25">
      <c r="A478" s="127" t="str">
        <f>IF(C478="","",'Datos Generales'!$A$25)</f>
        <v/>
      </c>
      <c r="D478" s="126" t="str">
        <f t="shared" si="56"/>
        <v/>
      </c>
      <c r="E478" s="126">
        <f t="shared" si="57"/>
        <v>0</v>
      </c>
      <c r="F478" s="126" t="str">
        <f t="shared" si="58"/>
        <v/>
      </c>
      <c r="G478" s="126" t="str">
        <f>IF(C478="","",'Datos Generales'!$D$19)</f>
        <v/>
      </c>
      <c r="H478" s="21" t="str">
        <f>IF(C478="","",'Datos Generales'!$A$19)</f>
        <v/>
      </c>
      <c r="I478" s="126" t="str">
        <f>IF(C478="","",'Datos Generales'!$A$7)</f>
        <v/>
      </c>
      <c r="J478" s="21" t="str">
        <f>IF(C478="","",'Datos Generales'!$A$13)</f>
        <v/>
      </c>
      <c r="K478" s="21" t="str">
        <f>IF(C478="","",'Datos Generales'!$A$10)</f>
        <v/>
      </c>
      <c r="CS478" s="142" t="str">
        <f t="shared" si="59"/>
        <v/>
      </c>
      <c r="CT478" s="142" t="str">
        <f t="shared" si="60"/>
        <v/>
      </c>
      <c r="CU478" s="142" t="str">
        <f t="shared" si="61"/>
        <v/>
      </c>
      <c r="CV478" s="142" t="str">
        <f t="shared" si="62"/>
        <v/>
      </c>
      <c r="CW478" s="142" t="str">
        <f>IF(C478="","",IF('Datos Generales'!$A$19=1,AVERAGE(FP478:GD478),AVERAGE(Captura!FP478:FY478)))</f>
        <v/>
      </c>
      <c r="CX478" s="138" t="e">
        <f>IF(VLOOKUP(CONCATENATE($H$4,$F$4,CX$2),Español!$A:$H,7,FALSE)=L478,1,0)</f>
        <v>#N/A</v>
      </c>
      <c r="CY478" s="138" t="e">
        <f>IF(VLOOKUP(CONCATENATE(H478,F478,CY$2),Español!$A:$H,7,FALSE)=M478,1,0)</f>
        <v>#N/A</v>
      </c>
      <c r="CZ478" s="138" t="e">
        <f>IF(VLOOKUP(CONCATENATE(H478,F478,CZ$2),Español!$A:$H,7,FALSE)=N478,1,0)</f>
        <v>#N/A</v>
      </c>
      <c r="DA478" s="138" t="e">
        <f>IF(VLOOKUP(CONCATENATE(H478,F478,DA$2),Español!$A:$H,7,FALSE)=O478,1,0)</f>
        <v>#N/A</v>
      </c>
      <c r="DB478" s="138" t="e">
        <f>IF(VLOOKUP(CONCATENATE(H478,F478,DB$2),Español!$A:$H,7,FALSE)=P478,1,0)</f>
        <v>#N/A</v>
      </c>
      <c r="DC478" s="138" t="e">
        <f>IF(VLOOKUP(CONCATENATE(H478,F478,DC$2),Español!$A:$H,7,FALSE)=Q478,1,0)</f>
        <v>#N/A</v>
      </c>
      <c r="DD478" s="138" t="e">
        <f>IF(VLOOKUP(CONCATENATE(H478,F478,DD$2),Español!$A:$H,7,FALSE)=R478,1,0)</f>
        <v>#N/A</v>
      </c>
      <c r="DE478" s="138" t="e">
        <f>IF(VLOOKUP(CONCATENATE(H478,F478,DE$2),Español!$A:$H,7,FALSE)=S478,1,0)</f>
        <v>#N/A</v>
      </c>
      <c r="DF478" s="138" t="e">
        <f>IF(VLOOKUP(CONCATENATE(H478,F478,DF$2),Español!$A:$H,7,FALSE)=T478,1,0)</f>
        <v>#N/A</v>
      </c>
      <c r="DG478" s="138" t="e">
        <f>IF(VLOOKUP(CONCATENATE(H478,F478,DG$2),Español!$A:$H,7,FALSE)=U478,1,0)</f>
        <v>#N/A</v>
      </c>
      <c r="DH478" s="138" t="e">
        <f>IF(VLOOKUP(CONCATENATE(H478,F478,DH$2),Español!$A:$H,7,FALSE)=V478,1,0)</f>
        <v>#N/A</v>
      </c>
      <c r="DI478" s="138" t="e">
        <f>IF(VLOOKUP(CONCATENATE(H478,F478,DI$2),Español!$A:$H,7,FALSE)=W478,1,0)</f>
        <v>#N/A</v>
      </c>
      <c r="DJ478" s="138" t="e">
        <f>IF(VLOOKUP(CONCATENATE(H478,F478,DJ$2),Español!$A:$H,7,FALSE)=X478,1,0)</f>
        <v>#N/A</v>
      </c>
      <c r="DK478" s="138" t="e">
        <f>IF(VLOOKUP(CONCATENATE(H478,F478,DK$2),Español!$A:$H,7,FALSE)=Y478,1,0)</f>
        <v>#N/A</v>
      </c>
      <c r="DL478" s="138" t="e">
        <f>IF(VLOOKUP(CONCATENATE(H478,F478,DL$2),Español!$A:$H,7,FALSE)=Z478,1,0)</f>
        <v>#N/A</v>
      </c>
      <c r="DM478" s="138" t="e">
        <f>IF(VLOOKUP(CONCATENATE(H478,F478,DM$2),Español!$A:$H,7,FALSE)=AA478,1,0)</f>
        <v>#N/A</v>
      </c>
      <c r="DN478" s="138" t="e">
        <f>IF(VLOOKUP(CONCATENATE(H478,F478,DN$2),Español!$A:$H,7,FALSE)=AB478,1,0)</f>
        <v>#N/A</v>
      </c>
      <c r="DO478" s="138" t="e">
        <f>IF(VLOOKUP(CONCATENATE(H478,F478,DO$2),Español!$A:$H,7,FALSE)=AC478,1,0)</f>
        <v>#N/A</v>
      </c>
      <c r="DP478" s="138" t="e">
        <f>IF(VLOOKUP(CONCATENATE(H478,F478,DP$2),Español!$A:$H,7,FALSE)=AD478,1,0)</f>
        <v>#N/A</v>
      </c>
      <c r="DQ478" s="138" t="e">
        <f>IF(VLOOKUP(CONCATENATE(H478,F478,DQ$2),Español!$A:$H,7,FALSE)=AE478,1,0)</f>
        <v>#N/A</v>
      </c>
      <c r="DR478" s="138" t="e">
        <f>IF(VLOOKUP(CONCATENATE(H478,F478,DR$2),Inglés!$A:$H,7,FALSE)=AF478,1,0)</f>
        <v>#N/A</v>
      </c>
      <c r="DS478" s="138" t="e">
        <f>IF(VLOOKUP(CONCATENATE(H478,F478,DS$2),Inglés!$A:$H,7,FALSE)=AG478,1,0)</f>
        <v>#N/A</v>
      </c>
      <c r="DT478" s="138" t="e">
        <f>IF(VLOOKUP(CONCATENATE(H478,F478,DT$2),Inglés!$A:$H,7,FALSE)=AH478,1,0)</f>
        <v>#N/A</v>
      </c>
      <c r="DU478" s="138" t="e">
        <f>IF(VLOOKUP(CONCATENATE(H478,F478,DU$2),Inglés!$A:$H,7,FALSE)=AI478,1,0)</f>
        <v>#N/A</v>
      </c>
      <c r="DV478" s="138" t="e">
        <f>IF(VLOOKUP(CONCATENATE(H478,F478,DV$2),Inglés!$A:$H,7,FALSE)=AJ478,1,0)</f>
        <v>#N/A</v>
      </c>
      <c r="DW478" s="138" t="e">
        <f>IF(VLOOKUP(CONCATENATE(H478,F478,DW$2),Inglés!$A:$H,7,FALSE)=AK478,1,0)</f>
        <v>#N/A</v>
      </c>
      <c r="DX478" s="138" t="e">
        <f>IF(VLOOKUP(CONCATENATE(H478,F478,DX$2),Inglés!$A:$H,7,FALSE)=AL478,1,0)</f>
        <v>#N/A</v>
      </c>
      <c r="DY478" s="138" t="e">
        <f>IF(VLOOKUP(CONCATENATE(H478,F478,DY$2),Inglés!$A:$H,7,FALSE)=AM478,1,0)</f>
        <v>#N/A</v>
      </c>
      <c r="DZ478" s="138" t="e">
        <f>IF(VLOOKUP(CONCATENATE(H478,F478,DZ$2),Inglés!$A:$H,7,FALSE)=AN478,1,0)</f>
        <v>#N/A</v>
      </c>
      <c r="EA478" s="138" t="e">
        <f>IF(VLOOKUP(CONCATENATE(H478,F478,EA$2),Inglés!$A:$H,7,FALSE)=AO478,1,0)</f>
        <v>#N/A</v>
      </c>
      <c r="EB478" s="138" t="e">
        <f>IF(VLOOKUP(CONCATENATE(H478,F478,EB$2),Matemáticas!$A:$H,7,FALSE)=AP478,1,0)</f>
        <v>#N/A</v>
      </c>
      <c r="EC478" s="138" t="e">
        <f>IF(VLOOKUP(CONCATENATE(H478,F478,EC$2),Matemáticas!$A:$H,7,FALSE)=AQ478,1,0)</f>
        <v>#N/A</v>
      </c>
      <c r="ED478" s="138" t="e">
        <f>IF(VLOOKUP(CONCATENATE(H478,F478,ED$2),Matemáticas!$A:$H,7,FALSE)=AR478,1,0)</f>
        <v>#N/A</v>
      </c>
      <c r="EE478" s="138" t="e">
        <f>IF(VLOOKUP(CONCATENATE(H478,F478,EE$2),Matemáticas!$A:$H,7,FALSE)=AS478,1,0)</f>
        <v>#N/A</v>
      </c>
      <c r="EF478" s="138" t="e">
        <f>IF(VLOOKUP(CONCATENATE(H478,F478,EF$2),Matemáticas!$A:$H,7,FALSE)=AT478,1,0)</f>
        <v>#N/A</v>
      </c>
      <c r="EG478" s="138" t="e">
        <f>IF(VLOOKUP(CONCATENATE(H478,F478,EG$2),Matemáticas!$A:$H,7,FALSE)=AU478,1,0)</f>
        <v>#N/A</v>
      </c>
      <c r="EH478" s="138" t="e">
        <f>IF(VLOOKUP(CONCATENATE(H478,F478,EH$2),Matemáticas!$A:$H,7,FALSE)=AV478,1,0)</f>
        <v>#N/A</v>
      </c>
      <c r="EI478" s="138" t="e">
        <f>IF(VLOOKUP(CONCATENATE(H478,F478,EI$2),Matemáticas!$A:$H,7,FALSE)=AW478,1,0)</f>
        <v>#N/A</v>
      </c>
      <c r="EJ478" s="138" t="e">
        <f>IF(VLOOKUP(CONCATENATE(H478,F478,EJ$2),Matemáticas!$A:$H,7,FALSE)=AX478,1,0)</f>
        <v>#N/A</v>
      </c>
      <c r="EK478" s="138" t="e">
        <f>IF(VLOOKUP(CONCATENATE(H478,F478,EK$2),Matemáticas!$A:$H,7,FALSE)=AY478,1,0)</f>
        <v>#N/A</v>
      </c>
      <c r="EL478" s="138" t="e">
        <f>IF(VLOOKUP(CONCATENATE(H478,F478,EL$2),Matemáticas!$A:$H,7,FALSE)=AZ478,1,0)</f>
        <v>#N/A</v>
      </c>
      <c r="EM478" s="138" t="e">
        <f>IF(VLOOKUP(CONCATENATE(H478,F478,EM$2),Matemáticas!$A:$H,7,FALSE)=BA478,1,0)</f>
        <v>#N/A</v>
      </c>
      <c r="EN478" s="138" t="e">
        <f>IF(VLOOKUP(CONCATENATE(H478,F478,EN$2),Matemáticas!$A:$H,7,FALSE)=BB478,1,0)</f>
        <v>#N/A</v>
      </c>
      <c r="EO478" s="138" t="e">
        <f>IF(VLOOKUP(CONCATENATE(H478,F478,EO$2),Matemáticas!$A:$H,7,FALSE)=BC478,1,0)</f>
        <v>#N/A</v>
      </c>
      <c r="EP478" s="138" t="e">
        <f>IF(VLOOKUP(CONCATENATE(H478,F478,EP$2),Matemáticas!$A:$H,7,FALSE)=BD478,1,0)</f>
        <v>#N/A</v>
      </c>
      <c r="EQ478" s="138" t="e">
        <f>IF(VLOOKUP(CONCATENATE(H478,F478,EQ$2),Matemáticas!$A:$H,7,FALSE)=BE478,1,0)</f>
        <v>#N/A</v>
      </c>
      <c r="ER478" s="138" t="e">
        <f>IF(VLOOKUP(CONCATENATE(H478,F478,ER$2),Matemáticas!$A:$H,7,FALSE)=BF478,1,0)</f>
        <v>#N/A</v>
      </c>
      <c r="ES478" s="138" t="e">
        <f>IF(VLOOKUP(CONCATENATE(H478,F478,ES$2),Matemáticas!$A:$H,7,FALSE)=BG478,1,0)</f>
        <v>#N/A</v>
      </c>
      <c r="ET478" s="138" t="e">
        <f>IF(VLOOKUP(CONCATENATE(H478,F478,ET$2),Matemáticas!$A:$H,7,FALSE)=BH478,1,0)</f>
        <v>#N/A</v>
      </c>
      <c r="EU478" s="138" t="e">
        <f>IF(VLOOKUP(CONCATENATE(H478,F478,EU$2),Matemáticas!$A:$H,7,FALSE)=BI478,1,0)</f>
        <v>#N/A</v>
      </c>
      <c r="EV478" s="138" t="e">
        <f>IF(VLOOKUP(CONCATENATE(H478,F478,EV$2),Ciencias!$A:$H,7,FALSE)=BJ478,1,0)</f>
        <v>#N/A</v>
      </c>
      <c r="EW478" s="138" t="e">
        <f>IF(VLOOKUP(CONCATENATE(H478,F478,EW$2),Ciencias!$A:$H,7,FALSE)=BK478,1,0)</f>
        <v>#N/A</v>
      </c>
      <c r="EX478" s="138" t="e">
        <f>IF(VLOOKUP(CONCATENATE(H478,F478,EX$2),Ciencias!$A:$H,7,FALSE)=BL478,1,0)</f>
        <v>#N/A</v>
      </c>
      <c r="EY478" s="138" t="e">
        <f>IF(VLOOKUP(CONCATENATE(H478,F478,EY$2),Ciencias!$A:$H,7,FALSE)=BM478,1,0)</f>
        <v>#N/A</v>
      </c>
      <c r="EZ478" s="138" t="e">
        <f>IF(VLOOKUP(CONCATENATE(H478,F478,EZ$2),Ciencias!$A:$H,7,FALSE)=BN478,1,0)</f>
        <v>#N/A</v>
      </c>
      <c r="FA478" s="138" t="e">
        <f>IF(VLOOKUP(CONCATENATE(H478,F478,FA$2),Ciencias!$A:$H,7,FALSE)=BO478,1,0)</f>
        <v>#N/A</v>
      </c>
      <c r="FB478" s="138" t="e">
        <f>IF(VLOOKUP(CONCATENATE(H478,F478,FB$2),Ciencias!$A:$H,7,FALSE)=BP478,1,0)</f>
        <v>#N/A</v>
      </c>
      <c r="FC478" s="138" t="e">
        <f>IF(VLOOKUP(CONCATENATE(H478,F478,FC$2),Ciencias!$A:$H,7,FALSE)=BQ478,1,0)</f>
        <v>#N/A</v>
      </c>
      <c r="FD478" s="138" t="e">
        <f>IF(VLOOKUP(CONCATENATE(H478,F478,FD$2),Ciencias!$A:$H,7,FALSE)=BR478,1,0)</f>
        <v>#N/A</v>
      </c>
      <c r="FE478" s="138" t="e">
        <f>IF(VLOOKUP(CONCATENATE(H478,F478,FE$2),Ciencias!$A:$H,7,FALSE)=BS478,1,0)</f>
        <v>#N/A</v>
      </c>
      <c r="FF478" s="138" t="e">
        <f>IF(VLOOKUP(CONCATENATE(H478,F478,FF$2),Ciencias!$A:$H,7,FALSE)=BT478,1,0)</f>
        <v>#N/A</v>
      </c>
      <c r="FG478" s="138" t="e">
        <f>IF(VLOOKUP(CONCATENATE(H478,F478,FG$2),Ciencias!$A:$H,7,FALSE)=BU478,1,0)</f>
        <v>#N/A</v>
      </c>
      <c r="FH478" s="138" t="e">
        <f>IF(VLOOKUP(CONCATENATE(H478,F478,FH$2),Ciencias!$A:$H,7,FALSE)=BV478,1,0)</f>
        <v>#N/A</v>
      </c>
      <c r="FI478" s="138" t="e">
        <f>IF(VLOOKUP(CONCATENATE(H478,F478,FI$2),Ciencias!$A:$H,7,FALSE)=BW478,1,0)</f>
        <v>#N/A</v>
      </c>
      <c r="FJ478" s="138" t="e">
        <f>IF(VLOOKUP(CONCATENATE(H478,F478,FJ$2),Ciencias!$A:$H,7,FALSE)=BX478,1,0)</f>
        <v>#N/A</v>
      </c>
      <c r="FK478" s="138" t="e">
        <f>IF(VLOOKUP(CONCATENATE(H478,F478,FK$2),Ciencias!$A:$H,7,FALSE)=BY478,1,0)</f>
        <v>#N/A</v>
      </c>
      <c r="FL478" s="138" t="e">
        <f>IF(VLOOKUP(CONCATENATE(H478,F478,FL$2),Ciencias!$A:$H,7,FALSE)=BZ478,1,0)</f>
        <v>#N/A</v>
      </c>
      <c r="FM478" s="138" t="e">
        <f>IF(VLOOKUP(CONCATENATE(H478,F478,FM$2),Ciencias!$A:$H,7,FALSE)=CA478,1,0)</f>
        <v>#N/A</v>
      </c>
      <c r="FN478" s="138" t="e">
        <f>IF(VLOOKUP(CONCATENATE(H478,F478,FN$2),Ciencias!$A:$H,7,FALSE)=CB478,1,0)</f>
        <v>#N/A</v>
      </c>
      <c r="FO478" s="138" t="e">
        <f>IF(VLOOKUP(CONCATENATE(H478,F478,FO$2),Ciencias!$A:$H,7,FALSE)=CC478,1,0)</f>
        <v>#N/A</v>
      </c>
      <c r="FP478" s="138" t="e">
        <f>IF(VLOOKUP(CONCATENATE(H478,F478,FP$2),GeoHis!$A:$H,7,FALSE)=CD478,1,0)</f>
        <v>#N/A</v>
      </c>
      <c r="FQ478" s="138" t="e">
        <f>IF(VLOOKUP(CONCATENATE(H478,F478,FQ$2),GeoHis!$A:$H,7,FALSE)=CE478,1,0)</f>
        <v>#N/A</v>
      </c>
      <c r="FR478" s="138" t="e">
        <f>IF(VLOOKUP(CONCATENATE(H478,F478,FR$2),GeoHis!$A:$H,7,FALSE)=CF478,1,0)</f>
        <v>#N/A</v>
      </c>
      <c r="FS478" s="138" t="e">
        <f>IF(VLOOKUP(CONCATENATE(H478,F478,FS$2),GeoHis!$A:$H,7,FALSE)=CG478,1,0)</f>
        <v>#N/A</v>
      </c>
      <c r="FT478" s="138" t="e">
        <f>IF(VLOOKUP(CONCATENATE(H478,F478,FT$2),GeoHis!$A:$H,7,FALSE)=CH478,1,0)</f>
        <v>#N/A</v>
      </c>
      <c r="FU478" s="138" t="e">
        <f>IF(VLOOKUP(CONCATENATE(H478,F478,FU$2),GeoHis!$A:$H,7,FALSE)=CI478,1,0)</f>
        <v>#N/A</v>
      </c>
      <c r="FV478" s="138" t="e">
        <f>IF(VLOOKUP(CONCATENATE(H478,F478,FV$2),GeoHis!$A:$H,7,FALSE)=CJ478,1,0)</f>
        <v>#N/A</v>
      </c>
      <c r="FW478" s="138" t="e">
        <f>IF(VLOOKUP(CONCATENATE(H478,F478,FW$2),GeoHis!$A:$H,7,FALSE)=CK478,1,0)</f>
        <v>#N/A</v>
      </c>
      <c r="FX478" s="138" t="e">
        <f>IF(VLOOKUP(CONCATENATE(H478,F478,FX$2),GeoHis!$A:$H,7,FALSE)=CL478,1,0)</f>
        <v>#N/A</v>
      </c>
      <c r="FY478" s="138" t="e">
        <f>IF(VLOOKUP(CONCATENATE(H478,F478,FY$2),GeoHis!$A:$H,7,FALSE)=CM478,1,0)</f>
        <v>#N/A</v>
      </c>
      <c r="FZ478" s="138" t="e">
        <f>IF(VLOOKUP(CONCATENATE(H478,F478,FZ$2),GeoHis!$A:$H,7,FALSE)=CN478,1,0)</f>
        <v>#N/A</v>
      </c>
      <c r="GA478" s="138" t="e">
        <f>IF(VLOOKUP(CONCATENATE(H478,F478,GA$2),GeoHis!$A:$H,7,FALSE)=CO478,1,0)</f>
        <v>#N/A</v>
      </c>
      <c r="GB478" s="138" t="e">
        <f>IF(VLOOKUP(CONCATENATE(H478,F478,GB$2),GeoHis!$A:$H,7,FALSE)=CP478,1,0)</f>
        <v>#N/A</v>
      </c>
      <c r="GC478" s="138" t="e">
        <f>IF(VLOOKUP(CONCATENATE(H478,F478,GC$2),GeoHis!$A:$H,7,FALSE)=CQ478,1,0)</f>
        <v>#N/A</v>
      </c>
      <c r="GD478" s="138" t="e">
        <f>IF(VLOOKUP(CONCATENATE(H478,F478,GD$2),GeoHis!$A:$H,7,FALSE)=CR478,1,0)</f>
        <v>#N/A</v>
      </c>
      <c r="GE478" s="135" t="str">
        <f t="shared" si="63"/>
        <v/>
      </c>
    </row>
    <row r="479" spans="1:187" x14ac:dyDescent="0.25">
      <c r="A479" s="127" t="str">
        <f>IF(C479="","",'Datos Generales'!$A$25)</f>
        <v/>
      </c>
      <c r="D479" s="126" t="str">
        <f t="shared" si="56"/>
        <v/>
      </c>
      <c r="E479" s="126">
        <f t="shared" si="57"/>
        <v>0</v>
      </c>
      <c r="F479" s="126" t="str">
        <f t="shared" si="58"/>
        <v/>
      </c>
      <c r="G479" s="126" t="str">
        <f>IF(C479="","",'Datos Generales'!$D$19)</f>
        <v/>
      </c>
      <c r="H479" s="21" t="str">
        <f>IF(C479="","",'Datos Generales'!$A$19)</f>
        <v/>
      </c>
      <c r="I479" s="126" t="str">
        <f>IF(C479="","",'Datos Generales'!$A$7)</f>
        <v/>
      </c>
      <c r="J479" s="21" t="str">
        <f>IF(C479="","",'Datos Generales'!$A$13)</f>
        <v/>
      </c>
      <c r="K479" s="21" t="str">
        <f>IF(C479="","",'Datos Generales'!$A$10)</f>
        <v/>
      </c>
      <c r="CS479" s="142" t="str">
        <f t="shared" si="59"/>
        <v/>
      </c>
      <c r="CT479" s="142" t="str">
        <f t="shared" si="60"/>
        <v/>
      </c>
      <c r="CU479" s="142" t="str">
        <f t="shared" si="61"/>
        <v/>
      </c>
      <c r="CV479" s="142" t="str">
        <f t="shared" si="62"/>
        <v/>
      </c>
      <c r="CW479" s="142" t="str">
        <f>IF(C479="","",IF('Datos Generales'!$A$19=1,AVERAGE(FP479:GD479),AVERAGE(Captura!FP479:FY479)))</f>
        <v/>
      </c>
      <c r="CX479" s="138" t="e">
        <f>IF(VLOOKUP(CONCATENATE($H$4,$F$4,CX$2),Español!$A:$H,7,FALSE)=L479,1,0)</f>
        <v>#N/A</v>
      </c>
      <c r="CY479" s="138" t="e">
        <f>IF(VLOOKUP(CONCATENATE(H479,F479,CY$2),Español!$A:$H,7,FALSE)=M479,1,0)</f>
        <v>#N/A</v>
      </c>
      <c r="CZ479" s="138" t="e">
        <f>IF(VLOOKUP(CONCATENATE(H479,F479,CZ$2),Español!$A:$H,7,FALSE)=N479,1,0)</f>
        <v>#N/A</v>
      </c>
      <c r="DA479" s="138" t="e">
        <f>IF(VLOOKUP(CONCATENATE(H479,F479,DA$2),Español!$A:$H,7,FALSE)=O479,1,0)</f>
        <v>#N/A</v>
      </c>
      <c r="DB479" s="138" t="e">
        <f>IF(VLOOKUP(CONCATENATE(H479,F479,DB$2),Español!$A:$H,7,FALSE)=P479,1,0)</f>
        <v>#N/A</v>
      </c>
      <c r="DC479" s="138" t="e">
        <f>IF(VLOOKUP(CONCATENATE(H479,F479,DC$2),Español!$A:$H,7,FALSE)=Q479,1,0)</f>
        <v>#N/A</v>
      </c>
      <c r="DD479" s="138" t="e">
        <f>IF(VLOOKUP(CONCATENATE(H479,F479,DD$2),Español!$A:$H,7,FALSE)=R479,1,0)</f>
        <v>#N/A</v>
      </c>
      <c r="DE479" s="138" t="e">
        <f>IF(VLOOKUP(CONCATENATE(H479,F479,DE$2),Español!$A:$H,7,FALSE)=S479,1,0)</f>
        <v>#N/A</v>
      </c>
      <c r="DF479" s="138" t="e">
        <f>IF(VLOOKUP(CONCATENATE(H479,F479,DF$2),Español!$A:$H,7,FALSE)=T479,1,0)</f>
        <v>#N/A</v>
      </c>
      <c r="DG479" s="138" t="e">
        <f>IF(VLOOKUP(CONCATENATE(H479,F479,DG$2),Español!$A:$H,7,FALSE)=U479,1,0)</f>
        <v>#N/A</v>
      </c>
      <c r="DH479" s="138" t="e">
        <f>IF(VLOOKUP(CONCATENATE(H479,F479,DH$2),Español!$A:$H,7,FALSE)=V479,1,0)</f>
        <v>#N/A</v>
      </c>
      <c r="DI479" s="138" t="e">
        <f>IF(VLOOKUP(CONCATENATE(H479,F479,DI$2),Español!$A:$H,7,FALSE)=W479,1,0)</f>
        <v>#N/A</v>
      </c>
      <c r="DJ479" s="138" t="e">
        <f>IF(VLOOKUP(CONCATENATE(H479,F479,DJ$2),Español!$A:$H,7,FALSE)=X479,1,0)</f>
        <v>#N/A</v>
      </c>
      <c r="DK479" s="138" t="e">
        <f>IF(VLOOKUP(CONCATENATE(H479,F479,DK$2),Español!$A:$H,7,FALSE)=Y479,1,0)</f>
        <v>#N/A</v>
      </c>
      <c r="DL479" s="138" t="e">
        <f>IF(VLOOKUP(CONCATENATE(H479,F479,DL$2),Español!$A:$H,7,FALSE)=Z479,1,0)</f>
        <v>#N/A</v>
      </c>
      <c r="DM479" s="138" t="e">
        <f>IF(VLOOKUP(CONCATENATE(H479,F479,DM$2),Español!$A:$H,7,FALSE)=AA479,1,0)</f>
        <v>#N/A</v>
      </c>
      <c r="DN479" s="138" t="e">
        <f>IF(VLOOKUP(CONCATENATE(H479,F479,DN$2),Español!$A:$H,7,FALSE)=AB479,1,0)</f>
        <v>#N/A</v>
      </c>
      <c r="DO479" s="138" t="e">
        <f>IF(VLOOKUP(CONCATENATE(H479,F479,DO$2),Español!$A:$H,7,FALSE)=AC479,1,0)</f>
        <v>#N/A</v>
      </c>
      <c r="DP479" s="138" t="e">
        <f>IF(VLOOKUP(CONCATENATE(H479,F479,DP$2),Español!$A:$H,7,FALSE)=AD479,1,0)</f>
        <v>#N/A</v>
      </c>
      <c r="DQ479" s="138" t="e">
        <f>IF(VLOOKUP(CONCATENATE(H479,F479,DQ$2),Español!$A:$H,7,FALSE)=AE479,1,0)</f>
        <v>#N/A</v>
      </c>
      <c r="DR479" s="138" t="e">
        <f>IF(VLOOKUP(CONCATENATE(H479,F479,DR$2),Inglés!$A:$H,7,FALSE)=AF479,1,0)</f>
        <v>#N/A</v>
      </c>
      <c r="DS479" s="138" t="e">
        <f>IF(VLOOKUP(CONCATENATE(H479,F479,DS$2),Inglés!$A:$H,7,FALSE)=AG479,1,0)</f>
        <v>#N/A</v>
      </c>
      <c r="DT479" s="138" t="e">
        <f>IF(VLOOKUP(CONCATENATE(H479,F479,DT$2),Inglés!$A:$H,7,FALSE)=AH479,1,0)</f>
        <v>#N/A</v>
      </c>
      <c r="DU479" s="138" t="e">
        <f>IF(VLOOKUP(CONCATENATE(H479,F479,DU$2),Inglés!$A:$H,7,FALSE)=AI479,1,0)</f>
        <v>#N/A</v>
      </c>
      <c r="DV479" s="138" t="e">
        <f>IF(VLOOKUP(CONCATENATE(H479,F479,DV$2),Inglés!$A:$H,7,FALSE)=AJ479,1,0)</f>
        <v>#N/A</v>
      </c>
      <c r="DW479" s="138" t="e">
        <f>IF(VLOOKUP(CONCATENATE(H479,F479,DW$2),Inglés!$A:$H,7,FALSE)=AK479,1,0)</f>
        <v>#N/A</v>
      </c>
      <c r="DX479" s="138" t="e">
        <f>IF(VLOOKUP(CONCATENATE(H479,F479,DX$2),Inglés!$A:$H,7,FALSE)=AL479,1,0)</f>
        <v>#N/A</v>
      </c>
      <c r="DY479" s="138" t="e">
        <f>IF(VLOOKUP(CONCATENATE(H479,F479,DY$2),Inglés!$A:$H,7,FALSE)=AM479,1,0)</f>
        <v>#N/A</v>
      </c>
      <c r="DZ479" s="138" t="e">
        <f>IF(VLOOKUP(CONCATENATE(H479,F479,DZ$2),Inglés!$A:$H,7,FALSE)=AN479,1,0)</f>
        <v>#N/A</v>
      </c>
      <c r="EA479" s="138" t="e">
        <f>IF(VLOOKUP(CONCATENATE(H479,F479,EA$2),Inglés!$A:$H,7,FALSE)=AO479,1,0)</f>
        <v>#N/A</v>
      </c>
      <c r="EB479" s="138" t="e">
        <f>IF(VLOOKUP(CONCATENATE(H479,F479,EB$2),Matemáticas!$A:$H,7,FALSE)=AP479,1,0)</f>
        <v>#N/A</v>
      </c>
      <c r="EC479" s="138" t="e">
        <f>IF(VLOOKUP(CONCATENATE(H479,F479,EC$2),Matemáticas!$A:$H,7,FALSE)=AQ479,1,0)</f>
        <v>#N/A</v>
      </c>
      <c r="ED479" s="138" t="e">
        <f>IF(VLOOKUP(CONCATENATE(H479,F479,ED$2),Matemáticas!$A:$H,7,FALSE)=AR479,1,0)</f>
        <v>#N/A</v>
      </c>
      <c r="EE479" s="138" t="e">
        <f>IF(VLOOKUP(CONCATENATE(H479,F479,EE$2),Matemáticas!$A:$H,7,FALSE)=AS479,1,0)</f>
        <v>#N/A</v>
      </c>
      <c r="EF479" s="138" t="e">
        <f>IF(VLOOKUP(CONCATENATE(H479,F479,EF$2),Matemáticas!$A:$H,7,FALSE)=AT479,1,0)</f>
        <v>#N/A</v>
      </c>
      <c r="EG479" s="138" t="e">
        <f>IF(VLOOKUP(CONCATENATE(H479,F479,EG$2),Matemáticas!$A:$H,7,FALSE)=AU479,1,0)</f>
        <v>#N/A</v>
      </c>
      <c r="EH479" s="138" t="e">
        <f>IF(VLOOKUP(CONCATENATE(H479,F479,EH$2),Matemáticas!$A:$H,7,FALSE)=AV479,1,0)</f>
        <v>#N/A</v>
      </c>
      <c r="EI479" s="138" t="e">
        <f>IF(VLOOKUP(CONCATENATE(H479,F479,EI$2),Matemáticas!$A:$H,7,FALSE)=AW479,1,0)</f>
        <v>#N/A</v>
      </c>
      <c r="EJ479" s="138" t="e">
        <f>IF(VLOOKUP(CONCATENATE(H479,F479,EJ$2),Matemáticas!$A:$H,7,FALSE)=AX479,1,0)</f>
        <v>#N/A</v>
      </c>
      <c r="EK479" s="138" t="e">
        <f>IF(VLOOKUP(CONCATENATE(H479,F479,EK$2),Matemáticas!$A:$H,7,FALSE)=AY479,1,0)</f>
        <v>#N/A</v>
      </c>
      <c r="EL479" s="138" t="e">
        <f>IF(VLOOKUP(CONCATENATE(H479,F479,EL$2),Matemáticas!$A:$H,7,FALSE)=AZ479,1,0)</f>
        <v>#N/A</v>
      </c>
      <c r="EM479" s="138" t="e">
        <f>IF(VLOOKUP(CONCATENATE(H479,F479,EM$2),Matemáticas!$A:$H,7,FALSE)=BA479,1,0)</f>
        <v>#N/A</v>
      </c>
      <c r="EN479" s="138" t="e">
        <f>IF(VLOOKUP(CONCATENATE(H479,F479,EN$2),Matemáticas!$A:$H,7,FALSE)=BB479,1,0)</f>
        <v>#N/A</v>
      </c>
      <c r="EO479" s="138" t="e">
        <f>IF(VLOOKUP(CONCATENATE(H479,F479,EO$2),Matemáticas!$A:$H,7,FALSE)=BC479,1,0)</f>
        <v>#N/A</v>
      </c>
      <c r="EP479" s="138" t="e">
        <f>IF(VLOOKUP(CONCATENATE(H479,F479,EP$2),Matemáticas!$A:$H,7,FALSE)=BD479,1,0)</f>
        <v>#N/A</v>
      </c>
      <c r="EQ479" s="138" t="e">
        <f>IF(VLOOKUP(CONCATENATE(H479,F479,EQ$2),Matemáticas!$A:$H,7,FALSE)=BE479,1,0)</f>
        <v>#N/A</v>
      </c>
      <c r="ER479" s="138" t="e">
        <f>IF(VLOOKUP(CONCATENATE(H479,F479,ER$2),Matemáticas!$A:$H,7,FALSE)=BF479,1,0)</f>
        <v>#N/A</v>
      </c>
      <c r="ES479" s="138" t="e">
        <f>IF(VLOOKUP(CONCATENATE(H479,F479,ES$2),Matemáticas!$A:$H,7,FALSE)=BG479,1,0)</f>
        <v>#N/A</v>
      </c>
      <c r="ET479" s="138" t="e">
        <f>IF(VLOOKUP(CONCATENATE(H479,F479,ET$2),Matemáticas!$A:$H,7,FALSE)=BH479,1,0)</f>
        <v>#N/A</v>
      </c>
      <c r="EU479" s="138" t="e">
        <f>IF(VLOOKUP(CONCATENATE(H479,F479,EU$2),Matemáticas!$A:$H,7,FALSE)=BI479,1,0)</f>
        <v>#N/A</v>
      </c>
      <c r="EV479" s="138" t="e">
        <f>IF(VLOOKUP(CONCATENATE(H479,F479,EV$2),Ciencias!$A:$H,7,FALSE)=BJ479,1,0)</f>
        <v>#N/A</v>
      </c>
      <c r="EW479" s="138" t="e">
        <f>IF(VLOOKUP(CONCATENATE(H479,F479,EW$2),Ciencias!$A:$H,7,FALSE)=BK479,1,0)</f>
        <v>#N/A</v>
      </c>
      <c r="EX479" s="138" t="e">
        <f>IF(VLOOKUP(CONCATENATE(H479,F479,EX$2),Ciencias!$A:$H,7,FALSE)=BL479,1,0)</f>
        <v>#N/A</v>
      </c>
      <c r="EY479" s="138" t="e">
        <f>IF(VLOOKUP(CONCATENATE(H479,F479,EY$2),Ciencias!$A:$H,7,FALSE)=BM479,1,0)</f>
        <v>#N/A</v>
      </c>
      <c r="EZ479" s="138" t="e">
        <f>IF(VLOOKUP(CONCATENATE(H479,F479,EZ$2),Ciencias!$A:$H,7,FALSE)=BN479,1,0)</f>
        <v>#N/A</v>
      </c>
      <c r="FA479" s="138" t="e">
        <f>IF(VLOOKUP(CONCATENATE(H479,F479,FA$2),Ciencias!$A:$H,7,FALSE)=BO479,1,0)</f>
        <v>#N/A</v>
      </c>
      <c r="FB479" s="138" t="e">
        <f>IF(VLOOKUP(CONCATENATE(H479,F479,FB$2),Ciencias!$A:$H,7,FALSE)=BP479,1,0)</f>
        <v>#N/A</v>
      </c>
      <c r="FC479" s="138" t="e">
        <f>IF(VLOOKUP(CONCATENATE(H479,F479,FC$2),Ciencias!$A:$H,7,FALSE)=BQ479,1,0)</f>
        <v>#N/A</v>
      </c>
      <c r="FD479" s="138" t="e">
        <f>IF(VLOOKUP(CONCATENATE(H479,F479,FD$2),Ciencias!$A:$H,7,FALSE)=BR479,1,0)</f>
        <v>#N/A</v>
      </c>
      <c r="FE479" s="138" t="e">
        <f>IF(VLOOKUP(CONCATENATE(H479,F479,FE$2),Ciencias!$A:$H,7,FALSE)=BS479,1,0)</f>
        <v>#N/A</v>
      </c>
      <c r="FF479" s="138" t="e">
        <f>IF(VLOOKUP(CONCATENATE(H479,F479,FF$2),Ciencias!$A:$H,7,FALSE)=BT479,1,0)</f>
        <v>#N/A</v>
      </c>
      <c r="FG479" s="138" t="e">
        <f>IF(VLOOKUP(CONCATENATE(H479,F479,FG$2),Ciencias!$A:$H,7,FALSE)=BU479,1,0)</f>
        <v>#N/A</v>
      </c>
      <c r="FH479" s="138" t="e">
        <f>IF(VLOOKUP(CONCATENATE(H479,F479,FH$2),Ciencias!$A:$H,7,FALSE)=BV479,1,0)</f>
        <v>#N/A</v>
      </c>
      <c r="FI479" s="138" t="e">
        <f>IF(VLOOKUP(CONCATENATE(H479,F479,FI$2),Ciencias!$A:$H,7,FALSE)=BW479,1,0)</f>
        <v>#N/A</v>
      </c>
      <c r="FJ479" s="138" t="e">
        <f>IF(VLOOKUP(CONCATENATE(H479,F479,FJ$2),Ciencias!$A:$H,7,FALSE)=BX479,1,0)</f>
        <v>#N/A</v>
      </c>
      <c r="FK479" s="138" t="e">
        <f>IF(VLOOKUP(CONCATENATE(H479,F479,FK$2),Ciencias!$A:$H,7,FALSE)=BY479,1,0)</f>
        <v>#N/A</v>
      </c>
      <c r="FL479" s="138" t="e">
        <f>IF(VLOOKUP(CONCATENATE(H479,F479,FL$2),Ciencias!$A:$H,7,FALSE)=BZ479,1,0)</f>
        <v>#N/A</v>
      </c>
      <c r="FM479" s="138" t="e">
        <f>IF(VLOOKUP(CONCATENATE(H479,F479,FM$2),Ciencias!$A:$H,7,FALSE)=CA479,1,0)</f>
        <v>#N/A</v>
      </c>
      <c r="FN479" s="138" t="e">
        <f>IF(VLOOKUP(CONCATENATE(H479,F479,FN$2),Ciencias!$A:$H,7,FALSE)=CB479,1,0)</f>
        <v>#N/A</v>
      </c>
      <c r="FO479" s="138" t="e">
        <f>IF(VLOOKUP(CONCATENATE(H479,F479,FO$2),Ciencias!$A:$H,7,FALSE)=CC479,1,0)</f>
        <v>#N/A</v>
      </c>
      <c r="FP479" s="138" t="e">
        <f>IF(VLOOKUP(CONCATENATE(H479,F479,FP$2),GeoHis!$A:$H,7,FALSE)=CD479,1,0)</f>
        <v>#N/A</v>
      </c>
      <c r="FQ479" s="138" t="e">
        <f>IF(VLOOKUP(CONCATENATE(H479,F479,FQ$2),GeoHis!$A:$H,7,FALSE)=CE479,1,0)</f>
        <v>#N/A</v>
      </c>
      <c r="FR479" s="138" t="e">
        <f>IF(VLOOKUP(CONCATENATE(H479,F479,FR$2),GeoHis!$A:$H,7,FALSE)=CF479,1,0)</f>
        <v>#N/A</v>
      </c>
      <c r="FS479" s="138" t="e">
        <f>IF(VLOOKUP(CONCATENATE(H479,F479,FS$2),GeoHis!$A:$H,7,FALSE)=CG479,1,0)</f>
        <v>#N/A</v>
      </c>
      <c r="FT479" s="138" t="e">
        <f>IF(VLOOKUP(CONCATENATE(H479,F479,FT$2),GeoHis!$A:$H,7,FALSE)=CH479,1,0)</f>
        <v>#N/A</v>
      </c>
      <c r="FU479" s="138" t="e">
        <f>IF(VLOOKUP(CONCATENATE(H479,F479,FU$2),GeoHis!$A:$H,7,FALSE)=CI479,1,0)</f>
        <v>#N/A</v>
      </c>
      <c r="FV479" s="138" t="e">
        <f>IF(VLOOKUP(CONCATENATE(H479,F479,FV$2),GeoHis!$A:$H,7,FALSE)=CJ479,1,0)</f>
        <v>#N/A</v>
      </c>
      <c r="FW479" s="138" t="e">
        <f>IF(VLOOKUP(CONCATENATE(H479,F479,FW$2),GeoHis!$A:$H,7,FALSE)=CK479,1,0)</f>
        <v>#N/A</v>
      </c>
      <c r="FX479" s="138" t="e">
        <f>IF(VLOOKUP(CONCATENATE(H479,F479,FX$2),GeoHis!$A:$H,7,FALSE)=CL479,1,0)</f>
        <v>#N/A</v>
      </c>
      <c r="FY479" s="138" t="e">
        <f>IF(VLOOKUP(CONCATENATE(H479,F479,FY$2),GeoHis!$A:$H,7,FALSE)=CM479,1,0)</f>
        <v>#N/A</v>
      </c>
      <c r="FZ479" s="138" t="e">
        <f>IF(VLOOKUP(CONCATENATE(H479,F479,FZ$2),GeoHis!$A:$H,7,FALSE)=CN479,1,0)</f>
        <v>#N/A</v>
      </c>
      <c r="GA479" s="138" t="e">
        <f>IF(VLOOKUP(CONCATENATE(H479,F479,GA$2),GeoHis!$A:$H,7,FALSE)=CO479,1,0)</f>
        <v>#N/A</v>
      </c>
      <c r="GB479" s="138" t="e">
        <f>IF(VLOOKUP(CONCATENATE(H479,F479,GB$2),GeoHis!$A:$H,7,FALSE)=CP479,1,0)</f>
        <v>#N/A</v>
      </c>
      <c r="GC479" s="138" t="e">
        <f>IF(VLOOKUP(CONCATENATE(H479,F479,GC$2),GeoHis!$A:$H,7,FALSE)=CQ479,1,0)</f>
        <v>#N/A</v>
      </c>
      <c r="GD479" s="138" t="e">
        <f>IF(VLOOKUP(CONCATENATE(H479,F479,GD$2),GeoHis!$A:$H,7,FALSE)=CR479,1,0)</f>
        <v>#N/A</v>
      </c>
      <c r="GE479" s="135" t="str">
        <f t="shared" si="63"/>
        <v/>
      </c>
    </row>
    <row r="480" spans="1:187" x14ac:dyDescent="0.25">
      <c r="A480" s="127" t="str">
        <f>IF(C480="","",'Datos Generales'!$A$25)</f>
        <v/>
      </c>
      <c r="D480" s="126" t="str">
        <f t="shared" si="56"/>
        <v/>
      </c>
      <c r="E480" s="126">
        <f t="shared" si="57"/>
        <v>0</v>
      </c>
      <c r="F480" s="126" t="str">
        <f t="shared" si="58"/>
        <v/>
      </c>
      <c r="G480" s="126" t="str">
        <f>IF(C480="","",'Datos Generales'!$D$19)</f>
        <v/>
      </c>
      <c r="H480" s="21" t="str">
        <f>IF(C480="","",'Datos Generales'!$A$19)</f>
        <v/>
      </c>
      <c r="I480" s="126" t="str">
        <f>IF(C480="","",'Datos Generales'!$A$7)</f>
        <v/>
      </c>
      <c r="J480" s="21" t="str">
        <f>IF(C480="","",'Datos Generales'!$A$13)</f>
        <v/>
      </c>
      <c r="K480" s="21" t="str">
        <f>IF(C480="","",'Datos Generales'!$A$10)</f>
        <v/>
      </c>
      <c r="CS480" s="142" t="str">
        <f t="shared" si="59"/>
        <v/>
      </c>
      <c r="CT480" s="142" t="str">
        <f t="shared" si="60"/>
        <v/>
      </c>
      <c r="CU480" s="142" t="str">
        <f t="shared" si="61"/>
        <v/>
      </c>
      <c r="CV480" s="142" t="str">
        <f t="shared" si="62"/>
        <v/>
      </c>
      <c r="CW480" s="142" t="str">
        <f>IF(C480="","",IF('Datos Generales'!$A$19=1,AVERAGE(FP480:GD480),AVERAGE(Captura!FP480:FY480)))</f>
        <v/>
      </c>
      <c r="CX480" s="138" t="e">
        <f>IF(VLOOKUP(CONCATENATE($H$4,$F$4,CX$2),Español!$A:$H,7,FALSE)=L480,1,0)</f>
        <v>#N/A</v>
      </c>
      <c r="CY480" s="138" t="e">
        <f>IF(VLOOKUP(CONCATENATE(H480,F480,CY$2),Español!$A:$H,7,FALSE)=M480,1,0)</f>
        <v>#N/A</v>
      </c>
      <c r="CZ480" s="138" t="e">
        <f>IF(VLOOKUP(CONCATENATE(H480,F480,CZ$2),Español!$A:$H,7,FALSE)=N480,1,0)</f>
        <v>#N/A</v>
      </c>
      <c r="DA480" s="138" t="e">
        <f>IF(VLOOKUP(CONCATENATE(H480,F480,DA$2),Español!$A:$H,7,FALSE)=O480,1,0)</f>
        <v>#N/A</v>
      </c>
      <c r="DB480" s="138" t="e">
        <f>IF(VLOOKUP(CONCATENATE(H480,F480,DB$2),Español!$A:$H,7,FALSE)=P480,1,0)</f>
        <v>#N/A</v>
      </c>
      <c r="DC480" s="138" t="e">
        <f>IF(VLOOKUP(CONCATENATE(H480,F480,DC$2),Español!$A:$H,7,FALSE)=Q480,1,0)</f>
        <v>#N/A</v>
      </c>
      <c r="DD480" s="138" t="e">
        <f>IF(VLOOKUP(CONCATENATE(H480,F480,DD$2),Español!$A:$H,7,FALSE)=R480,1,0)</f>
        <v>#N/A</v>
      </c>
      <c r="DE480" s="138" t="e">
        <f>IF(VLOOKUP(CONCATENATE(H480,F480,DE$2),Español!$A:$H,7,FALSE)=S480,1,0)</f>
        <v>#N/A</v>
      </c>
      <c r="DF480" s="138" t="e">
        <f>IF(VLOOKUP(CONCATENATE(H480,F480,DF$2),Español!$A:$H,7,FALSE)=T480,1,0)</f>
        <v>#N/A</v>
      </c>
      <c r="DG480" s="138" t="e">
        <f>IF(VLOOKUP(CONCATENATE(H480,F480,DG$2),Español!$A:$H,7,FALSE)=U480,1,0)</f>
        <v>#N/A</v>
      </c>
      <c r="DH480" s="138" t="e">
        <f>IF(VLOOKUP(CONCATENATE(H480,F480,DH$2),Español!$A:$H,7,FALSE)=V480,1,0)</f>
        <v>#N/A</v>
      </c>
      <c r="DI480" s="138" t="e">
        <f>IF(VLOOKUP(CONCATENATE(H480,F480,DI$2),Español!$A:$H,7,FALSE)=W480,1,0)</f>
        <v>#N/A</v>
      </c>
      <c r="DJ480" s="138" t="e">
        <f>IF(VLOOKUP(CONCATENATE(H480,F480,DJ$2),Español!$A:$H,7,FALSE)=X480,1,0)</f>
        <v>#N/A</v>
      </c>
      <c r="DK480" s="138" t="e">
        <f>IF(VLOOKUP(CONCATENATE(H480,F480,DK$2),Español!$A:$H,7,FALSE)=Y480,1,0)</f>
        <v>#N/A</v>
      </c>
      <c r="DL480" s="138" t="e">
        <f>IF(VLOOKUP(CONCATENATE(H480,F480,DL$2),Español!$A:$H,7,FALSE)=Z480,1,0)</f>
        <v>#N/A</v>
      </c>
      <c r="DM480" s="138" t="e">
        <f>IF(VLOOKUP(CONCATENATE(H480,F480,DM$2),Español!$A:$H,7,FALSE)=AA480,1,0)</f>
        <v>#N/A</v>
      </c>
      <c r="DN480" s="138" t="e">
        <f>IF(VLOOKUP(CONCATENATE(H480,F480,DN$2),Español!$A:$H,7,FALSE)=AB480,1,0)</f>
        <v>#N/A</v>
      </c>
      <c r="DO480" s="138" t="e">
        <f>IF(VLOOKUP(CONCATENATE(H480,F480,DO$2),Español!$A:$H,7,FALSE)=AC480,1,0)</f>
        <v>#N/A</v>
      </c>
      <c r="DP480" s="138" t="e">
        <f>IF(VLOOKUP(CONCATENATE(H480,F480,DP$2),Español!$A:$H,7,FALSE)=AD480,1,0)</f>
        <v>#N/A</v>
      </c>
      <c r="DQ480" s="138" t="e">
        <f>IF(VLOOKUP(CONCATENATE(H480,F480,DQ$2),Español!$A:$H,7,FALSE)=AE480,1,0)</f>
        <v>#N/A</v>
      </c>
      <c r="DR480" s="138" t="e">
        <f>IF(VLOOKUP(CONCATENATE(H480,F480,DR$2),Inglés!$A:$H,7,FALSE)=AF480,1,0)</f>
        <v>#N/A</v>
      </c>
      <c r="DS480" s="138" t="e">
        <f>IF(VLOOKUP(CONCATENATE(H480,F480,DS$2),Inglés!$A:$H,7,FALSE)=AG480,1,0)</f>
        <v>#N/A</v>
      </c>
      <c r="DT480" s="138" t="e">
        <f>IF(VLOOKUP(CONCATENATE(H480,F480,DT$2),Inglés!$A:$H,7,FALSE)=AH480,1,0)</f>
        <v>#N/A</v>
      </c>
      <c r="DU480" s="138" t="e">
        <f>IF(VLOOKUP(CONCATENATE(H480,F480,DU$2),Inglés!$A:$H,7,FALSE)=AI480,1,0)</f>
        <v>#N/A</v>
      </c>
      <c r="DV480" s="138" t="e">
        <f>IF(VLOOKUP(CONCATENATE(H480,F480,DV$2),Inglés!$A:$H,7,FALSE)=AJ480,1,0)</f>
        <v>#N/A</v>
      </c>
      <c r="DW480" s="138" t="e">
        <f>IF(VLOOKUP(CONCATENATE(H480,F480,DW$2),Inglés!$A:$H,7,FALSE)=AK480,1,0)</f>
        <v>#N/A</v>
      </c>
      <c r="DX480" s="138" t="e">
        <f>IF(VLOOKUP(CONCATENATE(H480,F480,DX$2),Inglés!$A:$H,7,FALSE)=AL480,1,0)</f>
        <v>#N/A</v>
      </c>
      <c r="DY480" s="138" t="e">
        <f>IF(VLOOKUP(CONCATENATE(H480,F480,DY$2),Inglés!$A:$H,7,FALSE)=AM480,1,0)</f>
        <v>#N/A</v>
      </c>
      <c r="DZ480" s="138" t="e">
        <f>IF(VLOOKUP(CONCATENATE(H480,F480,DZ$2),Inglés!$A:$H,7,FALSE)=AN480,1,0)</f>
        <v>#N/A</v>
      </c>
      <c r="EA480" s="138" t="e">
        <f>IF(VLOOKUP(CONCATENATE(H480,F480,EA$2),Inglés!$A:$H,7,FALSE)=AO480,1,0)</f>
        <v>#N/A</v>
      </c>
      <c r="EB480" s="138" t="e">
        <f>IF(VLOOKUP(CONCATENATE(H480,F480,EB$2),Matemáticas!$A:$H,7,FALSE)=AP480,1,0)</f>
        <v>#N/A</v>
      </c>
      <c r="EC480" s="138" t="e">
        <f>IF(VLOOKUP(CONCATENATE(H480,F480,EC$2),Matemáticas!$A:$H,7,FALSE)=AQ480,1,0)</f>
        <v>#N/A</v>
      </c>
      <c r="ED480" s="138" t="e">
        <f>IF(VLOOKUP(CONCATENATE(H480,F480,ED$2),Matemáticas!$A:$H,7,FALSE)=AR480,1,0)</f>
        <v>#N/A</v>
      </c>
      <c r="EE480" s="138" t="e">
        <f>IF(VLOOKUP(CONCATENATE(H480,F480,EE$2),Matemáticas!$A:$H,7,FALSE)=AS480,1,0)</f>
        <v>#N/A</v>
      </c>
      <c r="EF480" s="138" t="e">
        <f>IF(VLOOKUP(CONCATENATE(H480,F480,EF$2),Matemáticas!$A:$H,7,FALSE)=AT480,1,0)</f>
        <v>#N/A</v>
      </c>
      <c r="EG480" s="138" t="e">
        <f>IF(VLOOKUP(CONCATENATE(H480,F480,EG$2),Matemáticas!$A:$H,7,FALSE)=AU480,1,0)</f>
        <v>#N/A</v>
      </c>
      <c r="EH480" s="138" t="e">
        <f>IF(VLOOKUP(CONCATENATE(H480,F480,EH$2),Matemáticas!$A:$H,7,FALSE)=AV480,1,0)</f>
        <v>#N/A</v>
      </c>
      <c r="EI480" s="138" t="e">
        <f>IF(VLOOKUP(CONCATENATE(H480,F480,EI$2),Matemáticas!$A:$H,7,FALSE)=AW480,1,0)</f>
        <v>#N/A</v>
      </c>
      <c r="EJ480" s="138" t="e">
        <f>IF(VLOOKUP(CONCATENATE(H480,F480,EJ$2),Matemáticas!$A:$H,7,FALSE)=AX480,1,0)</f>
        <v>#N/A</v>
      </c>
      <c r="EK480" s="138" t="e">
        <f>IF(VLOOKUP(CONCATENATE(H480,F480,EK$2),Matemáticas!$A:$H,7,FALSE)=AY480,1,0)</f>
        <v>#N/A</v>
      </c>
      <c r="EL480" s="138" t="e">
        <f>IF(VLOOKUP(CONCATENATE(H480,F480,EL$2),Matemáticas!$A:$H,7,FALSE)=AZ480,1,0)</f>
        <v>#N/A</v>
      </c>
      <c r="EM480" s="138" t="e">
        <f>IF(VLOOKUP(CONCATENATE(H480,F480,EM$2),Matemáticas!$A:$H,7,FALSE)=BA480,1,0)</f>
        <v>#N/A</v>
      </c>
      <c r="EN480" s="138" t="e">
        <f>IF(VLOOKUP(CONCATENATE(H480,F480,EN$2),Matemáticas!$A:$H,7,FALSE)=BB480,1,0)</f>
        <v>#N/A</v>
      </c>
      <c r="EO480" s="138" t="e">
        <f>IF(VLOOKUP(CONCATENATE(H480,F480,EO$2),Matemáticas!$A:$H,7,FALSE)=BC480,1,0)</f>
        <v>#N/A</v>
      </c>
      <c r="EP480" s="138" t="e">
        <f>IF(VLOOKUP(CONCATENATE(H480,F480,EP$2),Matemáticas!$A:$H,7,FALSE)=BD480,1,0)</f>
        <v>#N/A</v>
      </c>
      <c r="EQ480" s="138" t="e">
        <f>IF(VLOOKUP(CONCATENATE(H480,F480,EQ$2),Matemáticas!$A:$H,7,FALSE)=BE480,1,0)</f>
        <v>#N/A</v>
      </c>
      <c r="ER480" s="138" t="e">
        <f>IF(VLOOKUP(CONCATENATE(H480,F480,ER$2),Matemáticas!$A:$H,7,FALSE)=BF480,1,0)</f>
        <v>#N/A</v>
      </c>
      <c r="ES480" s="138" t="e">
        <f>IF(VLOOKUP(CONCATENATE(H480,F480,ES$2),Matemáticas!$A:$H,7,FALSE)=BG480,1,0)</f>
        <v>#N/A</v>
      </c>
      <c r="ET480" s="138" t="e">
        <f>IF(VLOOKUP(CONCATENATE(H480,F480,ET$2),Matemáticas!$A:$H,7,FALSE)=BH480,1,0)</f>
        <v>#N/A</v>
      </c>
      <c r="EU480" s="138" t="e">
        <f>IF(VLOOKUP(CONCATENATE(H480,F480,EU$2),Matemáticas!$A:$H,7,FALSE)=BI480,1,0)</f>
        <v>#N/A</v>
      </c>
      <c r="EV480" s="138" t="e">
        <f>IF(VLOOKUP(CONCATENATE(H480,F480,EV$2),Ciencias!$A:$H,7,FALSE)=BJ480,1,0)</f>
        <v>#N/A</v>
      </c>
      <c r="EW480" s="138" t="e">
        <f>IF(VLOOKUP(CONCATENATE(H480,F480,EW$2),Ciencias!$A:$H,7,FALSE)=BK480,1,0)</f>
        <v>#N/A</v>
      </c>
      <c r="EX480" s="138" t="e">
        <f>IF(VLOOKUP(CONCATENATE(H480,F480,EX$2),Ciencias!$A:$H,7,FALSE)=BL480,1,0)</f>
        <v>#N/A</v>
      </c>
      <c r="EY480" s="138" t="e">
        <f>IF(VLOOKUP(CONCATENATE(H480,F480,EY$2),Ciencias!$A:$H,7,FALSE)=BM480,1,0)</f>
        <v>#N/A</v>
      </c>
      <c r="EZ480" s="138" t="e">
        <f>IF(VLOOKUP(CONCATENATE(H480,F480,EZ$2),Ciencias!$A:$H,7,FALSE)=BN480,1,0)</f>
        <v>#N/A</v>
      </c>
      <c r="FA480" s="138" t="e">
        <f>IF(VLOOKUP(CONCATENATE(H480,F480,FA$2),Ciencias!$A:$H,7,FALSE)=BO480,1,0)</f>
        <v>#N/A</v>
      </c>
      <c r="FB480" s="138" t="e">
        <f>IF(VLOOKUP(CONCATENATE(H480,F480,FB$2),Ciencias!$A:$H,7,FALSE)=BP480,1,0)</f>
        <v>#N/A</v>
      </c>
      <c r="FC480" s="138" t="e">
        <f>IF(VLOOKUP(CONCATENATE(H480,F480,FC$2),Ciencias!$A:$H,7,FALSE)=BQ480,1,0)</f>
        <v>#N/A</v>
      </c>
      <c r="FD480" s="138" t="e">
        <f>IF(VLOOKUP(CONCATENATE(H480,F480,FD$2),Ciencias!$A:$H,7,FALSE)=BR480,1,0)</f>
        <v>#N/A</v>
      </c>
      <c r="FE480" s="138" t="e">
        <f>IF(VLOOKUP(CONCATENATE(H480,F480,FE$2),Ciencias!$A:$H,7,FALSE)=BS480,1,0)</f>
        <v>#N/A</v>
      </c>
      <c r="FF480" s="138" t="e">
        <f>IF(VLOOKUP(CONCATENATE(H480,F480,FF$2),Ciencias!$A:$H,7,FALSE)=BT480,1,0)</f>
        <v>#N/A</v>
      </c>
      <c r="FG480" s="138" t="e">
        <f>IF(VLOOKUP(CONCATENATE(H480,F480,FG$2),Ciencias!$A:$H,7,FALSE)=BU480,1,0)</f>
        <v>#N/A</v>
      </c>
      <c r="FH480" s="138" t="e">
        <f>IF(VLOOKUP(CONCATENATE(H480,F480,FH$2),Ciencias!$A:$H,7,FALSE)=BV480,1,0)</f>
        <v>#N/A</v>
      </c>
      <c r="FI480" s="138" t="e">
        <f>IF(VLOOKUP(CONCATENATE(H480,F480,FI$2),Ciencias!$A:$H,7,FALSE)=BW480,1,0)</f>
        <v>#N/A</v>
      </c>
      <c r="FJ480" s="138" t="e">
        <f>IF(VLOOKUP(CONCATENATE(H480,F480,FJ$2),Ciencias!$A:$H,7,FALSE)=BX480,1,0)</f>
        <v>#N/A</v>
      </c>
      <c r="FK480" s="138" t="e">
        <f>IF(VLOOKUP(CONCATENATE(H480,F480,FK$2),Ciencias!$A:$H,7,FALSE)=BY480,1,0)</f>
        <v>#N/A</v>
      </c>
      <c r="FL480" s="138" t="e">
        <f>IF(VLOOKUP(CONCATENATE(H480,F480,FL$2),Ciencias!$A:$H,7,FALSE)=BZ480,1,0)</f>
        <v>#N/A</v>
      </c>
      <c r="FM480" s="138" t="e">
        <f>IF(VLOOKUP(CONCATENATE(H480,F480,FM$2),Ciencias!$A:$H,7,FALSE)=CA480,1,0)</f>
        <v>#N/A</v>
      </c>
      <c r="FN480" s="138" t="e">
        <f>IF(VLOOKUP(CONCATENATE(H480,F480,FN$2),Ciencias!$A:$H,7,FALSE)=CB480,1,0)</f>
        <v>#N/A</v>
      </c>
      <c r="FO480" s="138" t="e">
        <f>IF(VLOOKUP(CONCATENATE(H480,F480,FO$2),Ciencias!$A:$H,7,FALSE)=CC480,1,0)</f>
        <v>#N/A</v>
      </c>
      <c r="FP480" s="138" t="e">
        <f>IF(VLOOKUP(CONCATENATE(H480,F480,FP$2),GeoHis!$A:$H,7,FALSE)=CD480,1,0)</f>
        <v>#N/A</v>
      </c>
      <c r="FQ480" s="138" t="e">
        <f>IF(VLOOKUP(CONCATENATE(H480,F480,FQ$2),GeoHis!$A:$H,7,FALSE)=CE480,1,0)</f>
        <v>#N/A</v>
      </c>
      <c r="FR480" s="138" t="e">
        <f>IF(VLOOKUP(CONCATENATE(H480,F480,FR$2),GeoHis!$A:$H,7,FALSE)=CF480,1,0)</f>
        <v>#N/A</v>
      </c>
      <c r="FS480" s="138" t="e">
        <f>IF(VLOOKUP(CONCATENATE(H480,F480,FS$2),GeoHis!$A:$H,7,FALSE)=CG480,1,0)</f>
        <v>#N/A</v>
      </c>
      <c r="FT480" s="138" t="e">
        <f>IF(VLOOKUP(CONCATENATE(H480,F480,FT$2),GeoHis!$A:$H,7,FALSE)=CH480,1,0)</f>
        <v>#N/A</v>
      </c>
      <c r="FU480" s="138" t="e">
        <f>IF(VLOOKUP(CONCATENATE(H480,F480,FU$2),GeoHis!$A:$H,7,FALSE)=CI480,1,0)</f>
        <v>#N/A</v>
      </c>
      <c r="FV480" s="138" t="e">
        <f>IF(VLOOKUP(CONCATENATE(H480,F480,FV$2),GeoHis!$A:$H,7,FALSE)=CJ480,1,0)</f>
        <v>#N/A</v>
      </c>
      <c r="FW480" s="138" t="e">
        <f>IF(VLOOKUP(CONCATENATE(H480,F480,FW$2),GeoHis!$A:$H,7,FALSE)=CK480,1,0)</f>
        <v>#N/A</v>
      </c>
      <c r="FX480" s="138" t="e">
        <f>IF(VLOOKUP(CONCATENATE(H480,F480,FX$2),GeoHis!$A:$H,7,FALSE)=CL480,1,0)</f>
        <v>#N/A</v>
      </c>
      <c r="FY480" s="138" t="e">
        <f>IF(VLOOKUP(CONCATENATE(H480,F480,FY$2),GeoHis!$A:$H,7,FALSE)=CM480,1,0)</f>
        <v>#N/A</v>
      </c>
      <c r="FZ480" s="138" t="e">
        <f>IF(VLOOKUP(CONCATENATE(H480,F480,FZ$2),GeoHis!$A:$H,7,FALSE)=CN480,1,0)</f>
        <v>#N/A</v>
      </c>
      <c r="GA480" s="138" t="e">
        <f>IF(VLOOKUP(CONCATENATE(H480,F480,GA$2),GeoHis!$A:$H,7,FALSE)=CO480,1,0)</f>
        <v>#N/A</v>
      </c>
      <c r="GB480" s="138" t="e">
        <f>IF(VLOOKUP(CONCATENATE(H480,F480,GB$2),GeoHis!$A:$H,7,FALSE)=CP480,1,0)</f>
        <v>#N/A</v>
      </c>
      <c r="GC480" s="138" t="e">
        <f>IF(VLOOKUP(CONCATENATE(H480,F480,GC$2),GeoHis!$A:$H,7,FALSE)=CQ480,1,0)</f>
        <v>#N/A</v>
      </c>
      <c r="GD480" s="138" t="e">
        <f>IF(VLOOKUP(CONCATENATE(H480,F480,GD$2),GeoHis!$A:$H,7,FALSE)=CR480,1,0)</f>
        <v>#N/A</v>
      </c>
      <c r="GE480" s="135" t="str">
        <f t="shared" si="63"/>
        <v/>
      </c>
    </row>
    <row r="481" spans="1:187" x14ac:dyDescent="0.25">
      <c r="A481" s="127" t="str">
        <f>IF(C481="","",'Datos Generales'!$A$25)</f>
        <v/>
      </c>
      <c r="D481" s="126" t="str">
        <f t="shared" si="56"/>
        <v/>
      </c>
      <c r="E481" s="126">
        <f t="shared" si="57"/>
        <v>0</v>
      </c>
      <c r="F481" s="126" t="str">
        <f t="shared" si="58"/>
        <v/>
      </c>
      <c r="G481" s="126" t="str">
        <f>IF(C481="","",'Datos Generales'!$D$19)</f>
        <v/>
      </c>
      <c r="H481" s="21" t="str">
        <f>IF(C481="","",'Datos Generales'!$A$19)</f>
        <v/>
      </c>
      <c r="I481" s="126" t="str">
        <f>IF(C481="","",'Datos Generales'!$A$7)</f>
        <v/>
      </c>
      <c r="J481" s="21" t="str">
        <f>IF(C481="","",'Datos Generales'!$A$13)</f>
        <v/>
      </c>
      <c r="K481" s="21" t="str">
        <f>IF(C481="","",'Datos Generales'!$A$10)</f>
        <v/>
      </c>
      <c r="CS481" s="142" t="str">
        <f t="shared" si="59"/>
        <v/>
      </c>
      <c r="CT481" s="142" t="str">
        <f t="shared" si="60"/>
        <v/>
      </c>
      <c r="CU481" s="142" t="str">
        <f t="shared" si="61"/>
        <v/>
      </c>
      <c r="CV481" s="142" t="str">
        <f t="shared" si="62"/>
        <v/>
      </c>
      <c r="CW481" s="142" t="str">
        <f>IF(C481="","",IF('Datos Generales'!$A$19=1,AVERAGE(FP481:GD481),AVERAGE(Captura!FP481:FY481)))</f>
        <v/>
      </c>
      <c r="CX481" s="138" t="e">
        <f>IF(VLOOKUP(CONCATENATE($H$4,$F$4,CX$2),Español!$A:$H,7,FALSE)=L481,1,0)</f>
        <v>#N/A</v>
      </c>
      <c r="CY481" s="138" t="e">
        <f>IF(VLOOKUP(CONCATENATE(H481,F481,CY$2),Español!$A:$H,7,FALSE)=M481,1,0)</f>
        <v>#N/A</v>
      </c>
      <c r="CZ481" s="138" t="e">
        <f>IF(VLOOKUP(CONCATENATE(H481,F481,CZ$2),Español!$A:$H,7,FALSE)=N481,1,0)</f>
        <v>#N/A</v>
      </c>
      <c r="DA481" s="138" t="e">
        <f>IF(VLOOKUP(CONCATENATE(H481,F481,DA$2),Español!$A:$H,7,FALSE)=O481,1,0)</f>
        <v>#N/A</v>
      </c>
      <c r="DB481" s="138" t="e">
        <f>IF(VLOOKUP(CONCATENATE(H481,F481,DB$2),Español!$A:$H,7,FALSE)=P481,1,0)</f>
        <v>#N/A</v>
      </c>
      <c r="DC481" s="138" t="e">
        <f>IF(VLOOKUP(CONCATENATE(H481,F481,DC$2),Español!$A:$H,7,FALSE)=Q481,1,0)</f>
        <v>#N/A</v>
      </c>
      <c r="DD481" s="138" t="e">
        <f>IF(VLOOKUP(CONCATENATE(H481,F481,DD$2),Español!$A:$H,7,FALSE)=R481,1,0)</f>
        <v>#N/A</v>
      </c>
      <c r="DE481" s="138" t="e">
        <f>IF(VLOOKUP(CONCATENATE(H481,F481,DE$2),Español!$A:$H,7,FALSE)=S481,1,0)</f>
        <v>#N/A</v>
      </c>
      <c r="DF481" s="138" t="e">
        <f>IF(VLOOKUP(CONCATENATE(H481,F481,DF$2),Español!$A:$H,7,FALSE)=T481,1,0)</f>
        <v>#N/A</v>
      </c>
      <c r="DG481" s="138" t="e">
        <f>IF(VLOOKUP(CONCATENATE(H481,F481,DG$2),Español!$A:$H,7,FALSE)=U481,1,0)</f>
        <v>#N/A</v>
      </c>
      <c r="DH481" s="138" t="e">
        <f>IF(VLOOKUP(CONCATENATE(H481,F481,DH$2),Español!$A:$H,7,FALSE)=V481,1,0)</f>
        <v>#N/A</v>
      </c>
      <c r="DI481" s="138" t="e">
        <f>IF(VLOOKUP(CONCATENATE(H481,F481,DI$2),Español!$A:$H,7,FALSE)=W481,1,0)</f>
        <v>#N/A</v>
      </c>
      <c r="DJ481" s="138" t="e">
        <f>IF(VLOOKUP(CONCATENATE(H481,F481,DJ$2),Español!$A:$H,7,FALSE)=X481,1,0)</f>
        <v>#N/A</v>
      </c>
      <c r="DK481" s="138" t="e">
        <f>IF(VLOOKUP(CONCATENATE(H481,F481,DK$2),Español!$A:$H,7,FALSE)=Y481,1,0)</f>
        <v>#N/A</v>
      </c>
      <c r="DL481" s="138" t="e">
        <f>IF(VLOOKUP(CONCATENATE(H481,F481,DL$2),Español!$A:$H,7,FALSE)=Z481,1,0)</f>
        <v>#N/A</v>
      </c>
      <c r="DM481" s="138" t="e">
        <f>IF(VLOOKUP(CONCATENATE(H481,F481,DM$2),Español!$A:$H,7,FALSE)=AA481,1,0)</f>
        <v>#N/A</v>
      </c>
      <c r="DN481" s="138" t="e">
        <f>IF(VLOOKUP(CONCATENATE(H481,F481,DN$2),Español!$A:$H,7,FALSE)=AB481,1,0)</f>
        <v>#N/A</v>
      </c>
      <c r="DO481" s="138" t="e">
        <f>IF(VLOOKUP(CONCATENATE(H481,F481,DO$2),Español!$A:$H,7,FALSE)=AC481,1,0)</f>
        <v>#N/A</v>
      </c>
      <c r="DP481" s="138" t="e">
        <f>IF(VLOOKUP(CONCATENATE(H481,F481,DP$2),Español!$A:$H,7,FALSE)=AD481,1,0)</f>
        <v>#N/A</v>
      </c>
      <c r="DQ481" s="138" t="e">
        <f>IF(VLOOKUP(CONCATENATE(H481,F481,DQ$2),Español!$A:$H,7,FALSE)=AE481,1,0)</f>
        <v>#N/A</v>
      </c>
      <c r="DR481" s="138" t="e">
        <f>IF(VLOOKUP(CONCATENATE(H481,F481,DR$2),Inglés!$A:$H,7,FALSE)=AF481,1,0)</f>
        <v>#N/A</v>
      </c>
      <c r="DS481" s="138" t="e">
        <f>IF(VLOOKUP(CONCATENATE(H481,F481,DS$2),Inglés!$A:$H,7,FALSE)=AG481,1,0)</f>
        <v>#N/A</v>
      </c>
      <c r="DT481" s="138" t="e">
        <f>IF(VLOOKUP(CONCATENATE(H481,F481,DT$2),Inglés!$A:$H,7,FALSE)=AH481,1,0)</f>
        <v>#N/A</v>
      </c>
      <c r="DU481" s="138" t="e">
        <f>IF(VLOOKUP(CONCATENATE(H481,F481,DU$2),Inglés!$A:$H,7,FALSE)=AI481,1,0)</f>
        <v>#N/A</v>
      </c>
      <c r="DV481" s="138" t="e">
        <f>IF(VLOOKUP(CONCATENATE(H481,F481,DV$2),Inglés!$A:$H,7,FALSE)=AJ481,1,0)</f>
        <v>#N/A</v>
      </c>
      <c r="DW481" s="138" t="e">
        <f>IF(VLOOKUP(CONCATENATE(H481,F481,DW$2),Inglés!$A:$H,7,FALSE)=AK481,1,0)</f>
        <v>#N/A</v>
      </c>
      <c r="DX481" s="138" t="e">
        <f>IF(VLOOKUP(CONCATENATE(H481,F481,DX$2),Inglés!$A:$H,7,FALSE)=AL481,1,0)</f>
        <v>#N/A</v>
      </c>
      <c r="DY481" s="138" t="e">
        <f>IF(VLOOKUP(CONCATENATE(H481,F481,DY$2),Inglés!$A:$H,7,FALSE)=AM481,1,0)</f>
        <v>#N/A</v>
      </c>
      <c r="DZ481" s="138" t="e">
        <f>IF(VLOOKUP(CONCATENATE(H481,F481,DZ$2),Inglés!$A:$H,7,FALSE)=AN481,1,0)</f>
        <v>#N/A</v>
      </c>
      <c r="EA481" s="138" t="e">
        <f>IF(VLOOKUP(CONCATENATE(H481,F481,EA$2),Inglés!$A:$H,7,FALSE)=AO481,1,0)</f>
        <v>#N/A</v>
      </c>
      <c r="EB481" s="138" t="e">
        <f>IF(VLOOKUP(CONCATENATE(H481,F481,EB$2),Matemáticas!$A:$H,7,FALSE)=AP481,1,0)</f>
        <v>#N/A</v>
      </c>
      <c r="EC481" s="138" t="e">
        <f>IF(VLOOKUP(CONCATENATE(H481,F481,EC$2),Matemáticas!$A:$H,7,FALSE)=AQ481,1,0)</f>
        <v>#N/A</v>
      </c>
      <c r="ED481" s="138" t="e">
        <f>IF(VLOOKUP(CONCATENATE(H481,F481,ED$2),Matemáticas!$A:$H,7,FALSE)=AR481,1,0)</f>
        <v>#N/A</v>
      </c>
      <c r="EE481" s="138" t="e">
        <f>IF(VLOOKUP(CONCATENATE(H481,F481,EE$2),Matemáticas!$A:$H,7,FALSE)=AS481,1,0)</f>
        <v>#N/A</v>
      </c>
      <c r="EF481" s="138" t="e">
        <f>IF(VLOOKUP(CONCATENATE(H481,F481,EF$2),Matemáticas!$A:$H,7,FALSE)=AT481,1,0)</f>
        <v>#N/A</v>
      </c>
      <c r="EG481" s="138" t="e">
        <f>IF(VLOOKUP(CONCATENATE(H481,F481,EG$2),Matemáticas!$A:$H,7,FALSE)=AU481,1,0)</f>
        <v>#N/A</v>
      </c>
      <c r="EH481" s="138" t="e">
        <f>IF(VLOOKUP(CONCATENATE(H481,F481,EH$2),Matemáticas!$A:$H,7,FALSE)=AV481,1,0)</f>
        <v>#N/A</v>
      </c>
      <c r="EI481" s="138" t="e">
        <f>IF(VLOOKUP(CONCATENATE(H481,F481,EI$2),Matemáticas!$A:$H,7,FALSE)=AW481,1,0)</f>
        <v>#N/A</v>
      </c>
      <c r="EJ481" s="138" t="e">
        <f>IF(VLOOKUP(CONCATENATE(H481,F481,EJ$2),Matemáticas!$A:$H,7,FALSE)=AX481,1,0)</f>
        <v>#N/A</v>
      </c>
      <c r="EK481" s="138" t="e">
        <f>IF(VLOOKUP(CONCATENATE(H481,F481,EK$2),Matemáticas!$A:$H,7,FALSE)=AY481,1,0)</f>
        <v>#N/A</v>
      </c>
      <c r="EL481" s="138" t="e">
        <f>IF(VLOOKUP(CONCATENATE(H481,F481,EL$2),Matemáticas!$A:$H,7,FALSE)=AZ481,1,0)</f>
        <v>#N/A</v>
      </c>
      <c r="EM481" s="138" t="e">
        <f>IF(VLOOKUP(CONCATENATE(H481,F481,EM$2),Matemáticas!$A:$H,7,FALSE)=BA481,1,0)</f>
        <v>#N/A</v>
      </c>
      <c r="EN481" s="138" t="e">
        <f>IF(VLOOKUP(CONCATENATE(H481,F481,EN$2),Matemáticas!$A:$H,7,FALSE)=BB481,1,0)</f>
        <v>#N/A</v>
      </c>
      <c r="EO481" s="138" t="e">
        <f>IF(VLOOKUP(CONCATENATE(H481,F481,EO$2),Matemáticas!$A:$H,7,FALSE)=BC481,1,0)</f>
        <v>#N/A</v>
      </c>
      <c r="EP481" s="138" t="e">
        <f>IF(VLOOKUP(CONCATENATE(H481,F481,EP$2),Matemáticas!$A:$H,7,FALSE)=BD481,1,0)</f>
        <v>#N/A</v>
      </c>
      <c r="EQ481" s="138" t="e">
        <f>IF(VLOOKUP(CONCATENATE(H481,F481,EQ$2),Matemáticas!$A:$H,7,FALSE)=BE481,1,0)</f>
        <v>#N/A</v>
      </c>
      <c r="ER481" s="138" t="e">
        <f>IF(VLOOKUP(CONCATENATE(H481,F481,ER$2),Matemáticas!$A:$H,7,FALSE)=BF481,1,0)</f>
        <v>#N/A</v>
      </c>
      <c r="ES481" s="138" t="e">
        <f>IF(VLOOKUP(CONCATENATE(H481,F481,ES$2),Matemáticas!$A:$H,7,FALSE)=BG481,1,0)</f>
        <v>#N/A</v>
      </c>
      <c r="ET481" s="138" t="e">
        <f>IF(VLOOKUP(CONCATENATE(H481,F481,ET$2),Matemáticas!$A:$H,7,FALSE)=BH481,1,0)</f>
        <v>#N/A</v>
      </c>
      <c r="EU481" s="138" t="e">
        <f>IF(VLOOKUP(CONCATENATE(H481,F481,EU$2),Matemáticas!$A:$H,7,FALSE)=BI481,1,0)</f>
        <v>#N/A</v>
      </c>
      <c r="EV481" s="138" t="e">
        <f>IF(VLOOKUP(CONCATENATE(H481,F481,EV$2),Ciencias!$A:$H,7,FALSE)=BJ481,1,0)</f>
        <v>#N/A</v>
      </c>
      <c r="EW481" s="138" t="e">
        <f>IF(VLOOKUP(CONCATENATE(H481,F481,EW$2),Ciencias!$A:$H,7,FALSE)=BK481,1,0)</f>
        <v>#N/A</v>
      </c>
      <c r="EX481" s="138" t="e">
        <f>IF(VLOOKUP(CONCATENATE(H481,F481,EX$2),Ciencias!$A:$H,7,FALSE)=BL481,1,0)</f>
        <v>#N/A</v>
      </c>
      <c r="EY481" s="138" t="e">
        <f>IF(VLOOKUP(CONCATENATE(H481,F481,EY$2),Ciencias!$A:$H,7,FALSE)=BM481,1,0)</f>
        <v>#N/A</v>
      </c>
      <c r="EZ481" s="138" t="e">
        <f>IF(VLOOKUP(CONCATENATE(H481,F481,EZ$2),Ciencias!$A:$H,7,FALSE)=BN481,1,0)</f>
        <v>#N/A</v>
      </c>
      <c r="FA481" s="138" t="e">
        <f>IF(VLOOKUP(CONCATENATE(H481,F481,FA$2),Ciencias!$A:$H,7,FALSE)=BO481,1,0)</f>
        <v>#N/A</v>
      </c>
      <c r="FB481" s="138" t="e">
        <f>IF(VLOOKUP(CONCATENATE(H481,F481,FB$2),Ciencias!$A:$H,7,FALSE)=BP481,1,0)</f>
        <v>#N/A</v>
      </c>
      <c r="FC481" s="138" t="e">
        <f>IF(VLOOKUP(CONCATENATE(H481,F481,FC$2),Ciencias!$A:$H,7,FALSE)=BQ481,1,0)</f>
        <v>#N/A</v>
      </c>
      <c r="FD481" s="138" t="e">
        <f>IF(VLOOKUP(CONCATENATE(H481,F481,FD$2),Ciencias!$A:$H,7,FALSE)=BR481,1,0)</f>
        <v>#N/A</v>
      </c>
      <c r="FE481" s="138" t="e">
        <f>IF(VLOOKUP(CONCATENATE(H481,F481,FE$2),Ciencias!$A:$H,7,FALSE)=BS481,1,0)</f>
        <v>#N/A</v>
      </c>
      <c r="FF481" s="138" t="e">
        <f>IF(VLOOKUP(CONCATENATE(H481,F481,FF$2),Ciencias!$A:$H,7,FALSE)=BT481,1,0)</f>
        <v>#N/A</v>
      </c>
      <c r="FG481" s="138" t="e">
        <f>IF(VLOOKUP(CONCATENATE(H481,F481,FG$2),Ciencias!$A:$H,7,FALSE)=BU481,1,0)</f>
        <v>#N/A</v>
      </c>
      <c r="FH481" s="138" t="e">
        <f>IF(VLOOKUP(CONCATENATE(H481,F481,FH$2),Ciencias!$A:$H,7,FALSE)=BV481,1,0)</f>
        <v>#N/A</v>
      </c>
      <c r="FI481" s="138" t="e">
        <f>IF(VLOOKUP(CONCATENATE(H481,F481,FI$2),Ciencias!$A:$H,7,FALSE)=BW481,1,0)</f>
        <v>#N/A</v>
      </c>
      <c r="FJ481" s="138" t="e">
        <f>IF(VLOOKUP(CONCATENATE(H481,F481,FJ$2),Ciencias!$A:$H,7,FALSE)=BX481,1,0)</f>
        <v>#N/A</v>
      </c>
      <c r="FK481" s="138" t="e">
        <f>IF(VLOOKUP(CONCATENATE(H481,F481,FK$2),Ciencias!$A:$H,7,FALSE)=BY481,1,0)</f>
        <v>#N/A</v>
      </c>
      <c r="FL481" s="138" t="e">
        <f>IF(VLOOKUP(CONCATENATE(H481,F481,FL$2),Ciencias!$A:$H,7,FALSE)=BZ481,1,0)</f>
        <v>#N/A</v>
      </c>
      <c r="FM481" s="138" t="e">
        <f>IF(VLOOKUP(CONCATENATE(H481,F481,FM$2),Ciencias!$A:$H,7,FALSE)=CA481,1,0)</f>
        <v>#N/A</v>
      </c>
      <c r="FN481" s="138" t="e">
        <f>IF(VLOOKUP(CONCATENATE(H481,F481,FN$2),Ciencias!$A:$H,7,FALSE)=CB481,1,0)</f>
        <v>#N/A</v>
      </c>
      <c r="FO481" s="138" t="e">
        <f>IF(VLOOKUP(CONCATENATE(H481,F481,FO$2),Ciencias!$A:$H,7,FALSE)=CC481,1,0)</f>
        <v>#N/A</v>
      </c>
      <c r="FP481" s="138" t="e">
        <f>IF(VLOOKUP(CONCATENATE(H481,F481,FP$2),GeoHis!$A:$H,7,FALSE)=CD481,1,0)</f>
        <v>#N/A</v>
      </c>
      <c r="FQ481" s="138" t="e">
        <f>IF(VLOOKUP(CONCATENATE(H481,F481,FQ$2),GeoHis!$A:$H,7,FALSE)=CE481,1,0)</f>
        <v>#N/A</v>
      </c>
      <c r="FR481" s="138" t="e">
        <f>IF(VLOOKUP(CONCATENATE(H481,F481,FR$2),GeoHis!$A:$H,7,FALSE)=CF481,1,0)</f>
        <v>#N/A</v>
      </c>
      <c r="FS481" s="138" t="e">
        <f>IF(VLOOKUP(CONCATENATE(H481,F481,FS$2),GeoHis!$A:$H,7,FALSE)=CG481,1,0)</f>
        <v>#N/A</v>
      </c>
      <c r="FT481" s="138" t="e">
        <f>IF(VLOOKUP(CONCATENATE(H481,F481,FT$2),GeoHis!$A:$H,7,FALSE)=CH481,1,0)</f>
        <v>#N/A</v>
      </c>
      <c r="FU481" s="138" t="e">
        <f>IF(VLOOKUP(CONCATENATE(H481,F481,FU$2),GeoHis!$A:$H,7,FALSE)=CI481,1,0)</f>
        <v>#N/A</v>
      </c>
      <c r="FV481" s="138" t="e">
        <f>IF(VLOOKUP(CONCATENATE(H481,F481,FV$2),GeoHis!$A:$H,7,FALSE)=CJ481,1,0)</f>
        <v>#N/A</v>
      </c>
      <c r="FW481" s="138" t="e">
        <f>IF(VLOOKUP(CONCATENATE(H481,F481,FW$2),GeoHis!$A:$H,7,FALSE)=CK481,1,0)</f>
        <v>#N/A</v>
      </c>
      <c r="FX481" s="138" t="e">
        <f>IF(VLOOKUP(CONCATENATE(H481,F481,FX$2),GeoHis!$A:$H,7,FALSE)=CL481,1,0)</f>
        <v>#N/A</v>
      </c>
      <c r="FY481" s="138" t="e">
        <f>IF(VLOOKUP(CONCATENATE(H481,F481,FY$2),GeoHis!$A:$H,7,FALSE)=CM481,1,0)</f>
        <v>#N/A</v>
      </c>
      <c r="FZ481" s="138" t="e">
        <f>IF(VLOOKUP(CONCATENATE(H481,F481,FZ$2),GeoHis!$A:$H,7,FALSE)=CN481,1,0)</f>
        <v>#N/A</v>
      </c>
      <c r="GA481" s="138" t="e">
        <f>IF(VLOOKUP(CONCATENATE(H481,F481,GA$2),GeoHis!$A:$H,7,FALSE)=CO481,1,0)</f>
        <v>#N/A</v>
      </c>
      <c r="GB481" s="138" t="e">
        <f>IF(VLOOKUP(CONCATENATE(H481,F481,GB$2),GeoHis!$A:$H,7,FALSE)=CP481,1,0)</f>
        <v>#N/A</v>
      </c>
      <c r="GC481" s="138" t="e">
        <f>IF(VLOOKUP(CONCATENATE(H481,F481,GC$2),GeoHis!$A:$H,7,FALSE)=CQ481,1,0)</f>
        <v>#N/A</v>
      </c>
      <c r="GD481" s="138" t="e">
        <f>IF(VLOOKUP(CONCATENATE(H481,F481,GD$2),GeoHis!$A:$H,7,FALSE)=CR481,1,0)</f>
        <v>#N/A</v>
      </c>
      <c r="GE481" s="135" t="str">
        <f t="shared" si="63"/>
        <v/>
      </c>
    </row>
    <row r="482" spans="1:187" x14ac:dyDescent="0.25">
      <c r="A482" s="127" t="str">
        <f>IF(C482="","",'Datos Generales'!$A$25)</f>
        <v/>
      </c>
      <c r="D482" s="126" t="str">
        <f t="shared" si="56"/>
        <v/>
      </c>
      <c r="E482" s="126">
        <f t="shared" si="57"/>
        <v>0</v>
      </c>
      <c r="F482" s="126" t="str">
        <f t="shared" si="58"/>
        <v/>
      </c>
      <c r="G482" s="126" t="str">
        <f>IF(C482="","",'Datos Generales'!$D$19)</f>
        <v/>
      </c>
      <c r="H482" s="21" t="str">
        <f>IF(C482="","",'Datos Generales'!$A$19)</f>
        <v/>
      </c>
      <c r="I482" s="126" t="str">
        <f>IF(C482="","",'Datos Generales'!$A$7)</f>
        <v/>
      </c>
      <c r="J482" s="21" t="str">
        <f>IF(C482="","",'Datos Generales'!$A$13)</f>
        <v/>
      </c>
      <c r="K482" s="21" t="str">
        <f>IF(C482="","",'Datos Generales'!$A$10)</f>
        <v/>
      </c>
      <c r="CS482" s="142" t="str">
        <f t="shared" si="59"/>
        <v/>
      </c>
      <c r="CT482" s="142" t="str">
        <f t="shared" si="60"/>
        <v/>
      </c>
      <c r="CU482" s="142" t="str">
        <f t="shared" si="61"/>
        <v/>
      </c>
      <c r="CV482" s="142" t="str">
        <f t="shared" si="62"/>
        <v/>
      </c>
      <c r="CW482" s="142" t="str">
        <f>IF(C482="","",IF('Datos Generales'!$A$19=1,AVERAGE(FP482:GD482),AVERAGE(Captura!FP482:FY482)))</f>
        <v/>
      </c>
      <c r="CX482" s="138" t="e">
        <f>IF(VLOOKUP(CONCATENATE($H$4,$F$4,CX$2),Español!$A:$H,7,FALSE)=L482,1,0)</f>
        <v>#N/A</v>
      </c>
      <c r="CY482" s="138" t="e">
        <f>IF(VLOOKUP(CONCATENATE(H482,F482,CY$2),Español!$A:$H,7,FALSE)=M482,1,0)</f>
        <v>#N/A</v>
      </c>
      <c r="CZ482" s="138" t="e">
        <f>IF(VLOOKUP(CONCATENATE(H482,F482,CZ$2),Español!$A:$H,7,FALSE)=N482,1,0)</f>
        <v>#N/A</v>
      </c>
      <c r="DA482" s="138" t="e">
        <f>IF(VLOOKUP(CONCATENATE(H482,F482,DA$2),Español!$A:$H,7,FALSE)=O482,1,0)</f>
        <v>#N/A</v>
      </c>
      <c r="DB482" s="138" t="e">
        <f>IF(VLOOKUP(CONCATENATE(H482,F482,DB$2),Español!$A:$H,7,FALSE)=P482,1,0)</f>
        <v>#N/A</v>
      </c>
      <c r="DC482" s="138" t="e">
        <f>IF(VLOOKUP(CONCATENATE(H482,F482,DC$2),Español!$A:$H,7,FALSE)=Q482,1,0)</f>
        <v>#N/A</v>
      </c>
      <c r="DD482" s="138" t="e">
        <f>IF(VLOOKUP(CONCATENATE(H482,F482,DD$2),Español!$A:$H,7,FALSE)=R482,1,0)</f>
        <v>#N/A</v>
      </c>
      <c r="DE482" s="138" t="e">
        <f>IF(VLOOKUP(CONCATENATE(H482,F482,DE$2),Español!$A:$H,7,FALSE)=S482,1,0)</f>
        <v>#N/A</v>
      </c>
      <c r="DF482" s="138" t="e">
        <f>IF(VLOOKUP(CONCATENATE(H482,F482,DF$2),Español!$A:$H,7,FALSE)=T482,1,0)</f>
        <v>#N/A</v>
      </c>
      <c r="DG482" s="138" t="e">
        <f>IF(VLOOKUP(CONCATENATE(H482,F482,DG$2),Español!$A:$H,7,FALSE)=U482,1,0)</f>
        <v>#N/A</v>
      </c>
      <c r="DH482" s="138" t="e">
        <f>IF(VLOOKUP(CONCATENATE(H482,F482,DH$2),Español!$A:$H,7,FALSE)=V482,1,0)</f>
        <v>#N/A</v>
      </c>
      <c r="DI482" s="138" t="e">
        <f>IF(VLOOKUP(CONCATENATE(H482,F482,DI$2),Español!$A:$H,7,FALSE)=W482,1,0)</f>
        <v>#N/A</v>
      </c>
      <c r="DJ482" s="138" t="e">
        <f>IF(VLOOKUP(CONCATENATE(H482,F482,DJ$2),Español!$A:$H,7,FALSE)=X482,1,0)</f>
        <v>#N/A</v>
      </c>
      <c r="DK482" s="138" t="e">
        <f>IF(VLOOKUP(CONCATENATE(H482,F482,DK$2),Español!$A:$H,7,FALSE)=Y482,1,0)</f>
        <v>#N/A</v>
      </c>
      <c r="DL482" s="138" t="e">
        <f>IF(VLOOKUP(CONCATENATE(H482,F482,DL$2),Español!$A:$H,7,FALSE)=Z482,1,0)</f>
        <v>#N/A</v>
      </c>
      <c r="DM482" s="138" t="e">
        <f>IF(VLOOKUP(CONCATENATE(H482,F482,DM$2),Español!$A:$H,7,FALSE)=AA482,1,0)</f>
        <v>#N/A</v>
      </c>
      <c r="DN482" s="138" t="e">
        <f>IF(VLOOKUP(CONCATENATE(H482,F482,DN$2),Español!$A:$H,7,FALSE)=AB482,1,0)</f>
        <v>#N/A</v>
      </c>
      <c r="DO482" s="138" t="e">
        <f>IF(VLOOKUP(CONCATENATE(H482,F482,DO$2),Español!$A:$H,7,FALSE)=AC482,1,0)</f>
        <v>#N/A</v>
      </c>
      <c r="DP482" s="138" t="e">
        <f>IF(VLOOKUP(CONCATENATE(H482,F482,DP$2),Español!$A:$H,7,FALSE)=AD482,1,0)</f>
        <v>#N/A</v>
      </c>
      <c r="DQ482" s="138" t="e">
        <f>IF(VLOOKUP(CONCATENATE(H482,F482,DQ$2),Español!$A:$H,7,FALSE)=AE482,1,0)</f>
        <v>#N/A</v>
      </c>
      <c r="DR482" s="138" t="e">
        <f>IF(VLOOKUP(CONCATENATE(H482,F482,DR$2),Inglés!$A:$H,7,FALSE)=AF482,1,0)</f>
        <v>#N/A</v>
      </c>
      <c r="DS482" s="138" t="e">
        <f>IF(VLOOKUP(CONCATENATE(H482,F482,DS$2),Inglés!$A:$H,7,FALSE)=AG482,1,0)</f>
        <v>#N/A</v>
      </c>
      <c r="DT482" s="138" t="e">
        <f>IF(VLOOKUP(CONCATENATE(H482,F482,DT$2),Inglés!$A:$H,7,FALSE)=AH482,1,0)</f>
        <v>#N/A</v>
      </c>
      <c r="DU482" s="138" t="e">
        <f>IF(VLOOKUP(CONCATENATE(H482,F482,DU$2),Inglés!$A:$H,7,FALSE)=AI482,1,0)</f>
        <v>#N/A</v>
      </c>
      <c r="DV482" s="138" t="e">
        <f>IF(VLOOKUP(CONCATENATE(H482,F482,DV$2),Inglés!$A:$H,7,FALSE)=AJ482,1,0)</f>
        <v>#N/A</v>
      </c>
      <c r="DW482" s="138" t="e">
        <f>IF(VLOOKUP(CONCATENATE(H482,F482,DW$2),Inglés!$A:$H,7,FALSE)=AK482,1,0)</f>
        <v>#N/A</v>
      </c>
      <c r="DX482" s="138" t="e">
        <f>IF(VLOOKUP(CONCATENATE(H482,F482,DX$2),Inglés!$A:$H,7,FALSE)=AL482,1,0)</f>
        <v>#N/A</v>
      </c>
      <c r="DY482" s="138" t="e">
        <f>IF(VLOOKUP(CONCATENATE(H482,F482,DY$2),Inglés!$A:$H,7,FALSE)=AM482,1,0)</f>
        <v>#N/A</v>
      </c>
      <c r="DZ482" s="138" t="e">
        <f>IF(VLOOKUP(CONCATENATE(H482,F482,DZ$2),Inglés!$A:$H,7,FALSE)=AN482,1,0)</f>
        <v>#N/A</v>
      </c>
      <c r="EA482" s="138" t="e">
        <f>IF(VLOOKUP(CONCATENATE(H482,F482,EA$2),Inglés!$A:$H,7,FALSE)=AO482,1,0)</f>
        <v>#N/A</v>
      </c>
      <c r="EB482" s="138" t="e">
        <f>IF(VLOOKUP(CONCATENATE(H482,F482,EB$2),Matemáticas!$A:$H,7,FALSE)=AP482,1,0)</f>
        <v>#N/A</v>
      </c>
      <c r="EC482" s="138" t="e">
        <f>IF(VLOOKUP(CONCATENATE(H482,F482,EC$2),Matemáticas!$A:$H,7,FALSE)=AQ482,1,0)</f>
        <v>#N/A</v>
      </c>
      <c r="ED482" s="138" t="e">
        <f>IF(VLOOKUP(CONCATENATE(H482,F482,ED$2),Matemáticas!$A:$H,7,FALSE)=AR482,1,0)</f>
        <v>#N/A</v>
      </c>
      <c r="EE482" s="138" t="e">
        <f>IF(VLOOKUP(CONCATENATE(H482,F482,EE$2),Matemáticas!$A:$H,7,FALSE)=AS482,1,0)</f>
        <v>#N/A</v>
      </c>
      <c r="EF482" s="138" t="e">
        <f>IF(VLOOKUP(CONCATENATE(H482,F482,EF$2),Matemáticas!$A:$H,7,FALSE)=AT482,1,0)</f>
        <v>#N/A</v>
      </c>
      <c r="EG482" s="138" t="e">
        <f>IF(VLOOKUP(CONCATENATE(H482,F482,EG$2),Matemáticas!$A:$H,7,FALSE)=AU482,1,0)</f>
        <v>#N/A</v>
      </c>
      <c r="EH482" s="138" t="e">
        <f>IF(VLOOKUP(CONCATENATE(H482,F482,EH$2),Matemáticas!$A:$H,7,FALSE)=AV482,1,0)</f>
        <v>#N/A</v>
      </c>
      <c r="EI482" s="138" t="e">
        <f>IF(VLOOKUP(CONCATENATE(H482,F482,EI$2),Matemáticas!$A:$H,7,FALSE)=AW482,1,0)</f>
        <v>#N/A</v>
      </c>
      <c r="EJ482" s="138" t="e">
        <f>IF(VLOOKUP(CONCATENATE(H482,F482,EJ$2),Matemáticas!$A:$H,7,FALSE)=AX482,1,0)</f>
        <v>#N/A</v>
      </c>
      <c r="EK482" s="138" t="e">
        <f>IF(VLOOKUP(CONCATENATE(H482,F482,EK$2),Matemáticas!$A:$H,7,FALSE)=AY482,1,0)</f>
        <v>#N/A</v>
      </c>
      <c r="EL482" s="138" t="e">
        <f>IF(VLOOKUP(CONCATENATE(H482,F482,EL$2),Matemáticas!$A:$H,7,FALSE)=AZ482,1,0)</f>
        <v>#N/A</v>
      </c>
      <c r="EM482" s="138" t="e">
        <f>IF(VLOOKUP(CONCATENATE(H482,F482,EM$2),Matemáticas!$A:$H,7,FALSE)=BA482,1,0)</f>
        <v>#N/A</v>
      </c>
      <c r="EN482" s="138" t="e">
        <f>IF(VLOOKUP(CONCATENATE(H482,F482,EN$2),Matemáticas!$A:$H,7,FALSE)=BB482,1,0)</f>
        <v>#N/A</v>
      </c>
      <c r="EO482" s="138" t="e">
        <f>IF(VLOOKUP(CONCATENATE(H482,F482,EO$2),Matemáticas!$A:$H,7,FALSE)=BC482,1,0)</f>
        <v>#N/A</v>
      </c>
      <c r="EP482" s="138" t="e">
        <f>IF(VLOOKUP(CONCATENATE(H482,F482,EP$2),Matemáticas!$A:$H,7,FALSE)=BD482,1,0)</f>
        <v>#N/A</v>
      </c>
      <c r="EQ482" s="138" t="e">
        <f>IF(VLOOKUP(CONCATENATE(H482,F482,EQ$2),Matemáticas!$A:$H,7,FALSE)=BE482,1,0)</f>
        <v>#N/A</v>
      </c>
      <c r="ER482" s="138" t="e">
        <f>IF(VLOOKUP(CONCATENATE(H482,F482,ER$2),Matemáticas!$A:$H,7,FALSE)=BF482,1,0)</f>
        <v>#N/A</v>
      </c>
      <c r="ES482" s="138" t="e">
        <f>IF(VLOOKUP(CONCATENATE(H482,F482,ES$2),Matemáticas!$A:$H,7,FALSE)=BG482,1,0)</f>
        <v>#N/A</v>
      </c>
      <c r="ET482" s="138" t="e">
        <f>IF(VLOOKUP(CONCATENATE(H482,F482,ET$2),Matemáticas!$A:$H,7,FALSE)=BH482,1,0)</f>
        <v>#N/A</v>
      </c>
      <c r="EU482" s="138" t="e">
        <f>IF(VLOOKUP(CONCATENATE(H482,F482,EU$2),Matemáticas!$A:$H,7,FALSE)=BI482,1,0)</f>
        <v>#N/A</v>
      </c>
      <c r="EV482" s="138" t="e">
        <f>IF(VLOOKUP(CONCATENATE(H482,F482,EV$2),Ciencias!$A:$H,7,FALSE)=BJ482,1,0)</f>
        <v>#N/A</v>
      </c>
      <c r="EW482" s="138" t="e">
        <f>IF(VLOOKUP(CONCATENATE(H482,F482,EW$2),Ciencias!$A:$H,7,FALSE)=BK482,1,0)</f>
        <v>#N/A</v>
      </c>
      <c r="EX482" s="138" t="e">
        <f>IF(VLOOKUP(CONCATENATE(H482,F482,EX$2),Ciencias!$A:$H,7,FALSE)=BL482,1,0)</f>
        <v>#N/A</v>
      </c>
      <c r="EY482" s="138" t="e">
        <f>IF(VLOOKUP(CONCATENATE(H482,F482,EY$2),Ciencias!$A:$H,7,FALSE)=BM482,1,0)</f>
        <v>#N/A</v>
      </c>
      <c r="EZ482" s="138" t="e">
        <f>IF(VLOOKUP(CONCATENATE(H482,F482,EZ$2),Ciencias!$A:$H,7,FALSE)=BN482,1,0)</f>
        <v>#N/A</v>
      </c>
      <c r="FA482" s="138" t="e">
        <f>IF(VLOOKUP(CONCATENATE(H482,F482,FA$2),Ciencias!$A:$H,7,FALSE)=BO482,1,0)</f>
        <v>#N/A</v>
      </c>
      <c r="FB482" s="138" t="e">
        <f>IF(VLOOKUP(CONCATENATE(H482,F482,FB$2),Ciencias!$A:$H,7,FALSE)=BP482,1,0)</f>
        <v>#N/A</v>
      </c>
      <c r="FC482" s="138" t="e">
        <f>IF(VLOOKUP(CONCATENATE(H482,F482,FC$2),Ciencias!$A:$H,7,FALSE)=BQ482,1,0)</f>
        <v>#N/A</v>
      </c>
      <c r="FD482" s="138" t="e">
        <f>IF(VLOOKUP(CONCATENATE(H482,F482,FD$2),Ciencias!$A:$H,7,FALSE)=BR482,1,0)</f>
        <v>#N/A</v>
      </c>
      <c r="FE482" s="138" t="e">
        <f>IF(VLOOKUP(CONCATENATE(H482,F482,FE$2),Ciencias!$A:$H,7,FALSE)=BS482,1,0)</f>
        <v>#N/A</v>
      </c>
      <c r="FF482" s="138" t="e">
        <f>IF(VLOOKUP(CONCATENATE(H482,F482,FF$2),Ciencias!$A:$H,7,FALSE)=BT482,1,0)</f>
        <v>#N/A</v>
      </c>
      <c r="FG482" s="138" t="e">
        <f>IF(VLOOKUP(CONCATENATE(H482,F482,FG$2),Ciencias!$A:$H,7,FALSE)=BU482,1,0)</f>
        <v>#N/A</v>
      </c>
      <c r="FH482" s="138" t="e">
        <f>IF(VLOOKUP(CONCATENATE(H482,F482,FH$2),Ciencias!$A:$H,7,FALSE)=BV482,1,0)</f>
        <v>#N/A</v>
      </c>
      <c r="FI482" s="138" t="e">
        <f>IF(VLOOKUP(CONCATENATE(H482,F482,FI$2),Ciencias!$A:$H,7,FALSE)=BW482,1,0)</f>
        <v>#N/A</v>
      </c>
      <c r="FJ482" s="138" t="e">
        <f>IF(VLOOKUP(CONCATENATE(H482,F482,FJ$2),Ciencias!$A:$H,7,FALSE)=BX482,1,0)</f>
        <v>#N/A</v>
      </c>
      <c r="FK482" s="138" t="e">
        <f>IF(VLOOKUP(CONCATENATE(H482,F482,FK$2),Ciencias!$A:$H,7,FALSE)=BY482,1,0)</f>
        <v>#N/A</v>
      </c>
      <c r="FL482" s="138" t="e">
        <f>IF(VLOOKUP(CONCATENATE(H482,F482,FL$2),Ciencias!$A:$H,7,FALSE)=BZ482,1,0)</f>
        <v>#N/A</v>
      </c>
      <c r="FM482" s="138" t="e">
        <f>IF(VLOOKUP(CONCATENATE(H482,F482,FM$2),Ciencias!$A:$H,7,FALSE)=CA482,1,0)</f>
        <v>#N/A</v>
      </c>
      <c r="FN482" s="138" t="e">
        <f>IF(VLOOKUP(CONCATENATE(H482,F482,FN$2),Ciencias!$A:$H,7,FALSE)=CB482,1,0)</f>
        <v>#N/A</v>
      </c>
      <c r="FO482" s="138" t="e">
        <f>IF(VLOOKUP(CONCATENATE(H482,F482,FO$2),Ciencias!$A:$H,7,FALSE)=CC482,1,0)</f>
        <v>#N/A</v>
      </c>
      <c r="FP482" s="138" t="e">
        <f>IF(VLOOKUP(CONCATENATE(H482,F482,FP$2),GeoHis!$A:$H,7,FALSE)=CD482,1,0)</f>
        <v>#N/A</v>
      </c>
      <c r="FQ482" s="138" t="e">
        <f>IF(VLOOKUP(CONCATENATE(H482,F482,FQ$2),GeoHis!$A:$H,7,FALSE)=CE482,1,0)</f>
        <v>#N/A</v>
      </c>
      <c r="FR482" s="138" t="e">
        <f>IF(VLOOKUP(CONCATENATE(H482,F482,FR$2),GeoHis!$A:$H,7,FALSE)=CF482,1,0)</f>
        <v>#N/A</v>
      </c>
      <c r="FS482" s="138" t="e">
        <f>IF(VLOOKUP(CONCATENATE(H482,F482,FS$2),GeoHis!$A:$H,7,FALSE)=CG482,1,0)</f>
        <v>#N/A</v>
      </c>
      <c r="FT482" s="138" t="e">
        <f>IF(VLOOKUP(CONCATENATE(H482,F482,FT$2),GeoHis!$A:$H,7,FALSE)=CH482,1,0)</f>
        <v>#N/A</v>
      </c>
      <c r="FU482" s="138" t="e">
        <f>IF(VLOOKUP(CONCATENATE(H482,F482,FU$2),GeoHis!$A:$H,7,FALSE)=CI482,1,0)</f>
        <v>#N/A</v>
      </c>
      <c r="FV482" s="138" t="e">
        <f>IF(VLOOKUP(CONCATENATE(H482,F482,FV$2),GeoHis!$A:$H,7,FALSE)=CJ482,1,0)</f>
        <v>#N/A</v>
      </c>
      <c r="FW482" s="138" t="e">
        <f>IF(VLOOKUP(CONCATENATE(H482,F482,FW$2),GeoHis!$A:$H,7,FALSE)=CK482,1,0)</f>
        <v>#N/A</v>
      </c>
      <c r="FX482" s="138" t="e">
        <f>IF(VLOOKUP(CONCATENATE(H482,F482,FX$2),GeoHis!$A:$H,7,FALSE)=CL482,1,0)</f>
        <v>#N/A</v>
      </c>
      <c r="FY482" s="138" t="e">
        <f>IF(VLOOKUP(CONCATENATE(H482,F482,FY$2),GeoHis!$A:$H,7,FALSE)=CM482,1,0)</f>
        <v>#N/A</v>
      </c>
      <c r="FZ482" s="138" t="e">
        <f>IF(VLOOKUP(CONCATENATE(H482,F482,FZ$2),GeoHis!$A:$H,7,FALSE)=CN482,1,0)</f>
        <v>#N/A</v>
      </c>
      <c r="GA482" s="138" t="e">
        <f>IF(VLOOKUP(CONCATENATE(H482,F482,GA$2),GeoHis!$A:$H,7,FALSE)=CO482,1,0)</f>
        <v>#N/A</v>
      </c>
      <c r="GB482" s="138" t="e">
        <f>IF(VLOOKUP(CONCATENATE(H482,F482,GB$2),GeoHis!$A:$H,7,FALSE)=CP482,1,0)</f>
        <v>#N/A</v>
      </c>
      <c r="GC482" s="138" t="e">
        <f>IF(VLOOKUP(CONCATENATE(H482,F482,GC$2),GeoHis!$A:$H,7,FALSE)=CQ482,1,0)</f>
        <v>#N/A</v>
      </c>
      <c r="GD482" s="138" t="e">
        <f>IF(VLOOKUP(CONCATENATE(H482,F482,GD$2),GeoHis!$A:$H,7,FALSE)=CR482,1,0)</f>
        <v>#N/A</v>
      </c>
      <c r="GE482" s="135" t="str">
        <f t="shared" si="63"/>
        <v/>
      </c>
    </row>
    <row r="483" spans="1:187" x14ac:dyDescent="0.25">
      <c r="A483" s="127" t="str">
        <f>IF(C483="","",'Datos Generales'!$A$25)</f>
        <v/>
      </c>
      <c r="D483" s="126" t="str">
        <f t="shared" si="56"/>
        <v/>
      </c>
      <c r="E483" s="126">
        <f t="shared" si="57"/>
        <v>0</v>
      </c>
      <c r="F483" s="126" t="str">
        <f t="shared" si="58"/>
        <v/>
      </c>
      <c r="G483" s="126" t="str">
        <f>IF(C483="","",'Datos Generales'!$D$19)</f>
        <v/>
      </c>
      <c r="H483" s="21" t="str">
        <f>IF(C483="","",'Datos Generales'!$A$19)</f>
        <v/>
      </c>
      <c r="I483" s="126" t="str">
        <f>IF(C483="","",'Datos Generales'!$A$7)</f>
        <v/>
      </c>
      <c r="J483" s="21" t="str">
        <f>IF(C483="","",'Datos Generales'!$A$13)</f>
        <v/>
      </c>
      <c r="K483" s="21" t="str">
        <f>IF(C483="","",'Datos Generales'!$A$10)</f>
        <v/>
      </c>
      <c r="CS483" s="142" t="str">
        <f t="shared" si="59"/>
        <v/>
      </c>
      <c r="CT483" s="142" t="str">
        <f t="shared" si="60"/>
        <v/>
      </c>
      <c r="CU483" s="142" t="str">
        <f t="shared" si="61"/>
        <v/>
      </c>
      <c r="CV483" s="142" t="str">
        <f t="shared" si="62"/>
        <v/>
      </c>
      <c r="CW483" s="142" t="str">
        <f>IF(C483="","",IF('Datos Generales'!$A$19=1,AVERAGE(FP483:GD483),AVERAGE(Captura!FP483:FY483)))</f>
        <v/>
      </c>
      <c r="CX483" s="138" t="e">
        <f>IF(VLOOKUP(CONCATENATE($H$4,$F$4,CX$2),Español!$A:$H,7,FALSE)=L483,1,0)</f>
        <v>#N/A</v>
      </c>
      <c r="CY483" s="138" t="e">
        <f>IF(VLOOKUP(CONCATENATE(H483,F483,CY$2),Español!$A:$H,7,FALSE)=M483,1,0)</f>
        <v>#N/A</v>
      </c>
      <c r="CZ483" s="138" t="e">
        <f>IF(VLOOKUP(CONCATENATE(H483,F483,CZ$2),Español!$A:$H,7,FALSE)=N483,1,0)</f>
        <v>#N/A</v>
      </c>
      <c r="DA483" s="138" t="e">
        <f>IF(VLOOKUP(CONCATENATE(H483,F483,DA$2),Español!$A:$H,7,FALSE)=O483,1,0)</f>
        <v>#N/A</v>
      </c>
      <c r="DB483" s="138" t="e">
        <f>IF(VLOOKUP(CONCATENATE(H483,F483,DB$2),Español!$A:$H,7,FALSE)=P483,1,0)</f>
        <v>#N/A</v>
      </c>
      <c r="DC483" s="138" t="e">
        <f>IF(VLOOKUP(CONCATENATE(H483,F483,DC$2),Español!$A:$H,7,FALSE)=Q483,1,0)</f>
        <v>#N/A</v>
      </c>
      <c r="DD483" s="138" t="e">
        <f>IF(VLOOKUP(CONCATENATE(H483,F483,DD$2),Español!$A:$H,7,FALSE)=R483,1,0)</f>
        <v>#N/A</v>
      </c>
      <c r="DE483" s="138" t="e">
        <f>IF(VLOOKUP(CONCATENATE(H483,F483,DE$2),Español!$A:$H,7,FALSE)=S483,1,0)</f>
        <v>#N/A</v>
      </c>
      <c r="DF483" s="138" t="e">
        <f>IF(VLOOKUP(CONCATENATE(H483,F483,DF$2),Español!$A:$H,7,FALSE)=T483,1,0)</f>
        <v>#N/A</v>
      </c>
      <c r="DG483" s="138" t="e">
        <f>IF(VLOOKUP(CONCATENATE(H483,F483,DG$2),Español!$A:$H,7,FALSE)=U483,1,0)</f>
        <v>#N/A</v>
      </c>
      <c r="DH483" s="138" t="e">
        <f>IF(VLOOKUP(CONCATENATE(H483,F483,DH$2),Español!$A:$H,7,FALSE)=V483,1,0)</f>
        <v>#N/A</v>
      </c>
      <c r="DI483" s="138" t="e">
        <f>IF(VLOOKUP(CONCATENATE(H483,F483,DI$2),Español!$A:$H,7,FALSE)=W483,1,0)</f>
        <v>#N/A</v>
      </c>
      <c r="DJ483" s="138" t="e">
        <f>IF(VLOOKUP(CONCATENATE(H483,F483,DJ$2),Español!$A:$H,7,FALSE)=X483,1,0)</f>
        <v>#N/A</v>
      </c>
      <c r="DK483" s="138" t="e">
        <f>IF(VLOOKUP(CONCATENATE(H483,F483,DK$2),Español!$A:$H,7,FALSE)=Y483,1,0)</f>
        <v>#N/A</v>
      </c>
      <c r="DL483" s="138" t="e">
        <f>IF(VLOOKUP(CONCATENATE(H483,F483,DL$2),Español!$A:$H,7,FALSE)=Z483,1,0)</f>
        <v>#N/A</v>
      </c>
      <c r="DM483" s="138" t="e">
        <f>IF(VLOOKUP(CONCATENATE(H483,F483,DM$2),Español!$A:$H,7,FALSE)=AA483,1,0)</f>
        <v>#N/A</v>
      </c>
      <c r="DN483" s="138" t="e">
        <f>IF(VLOOKUP(CONCATENATE(H483,F483,DN$2),Español!$A:$H,7,FALSE)=AB483,1,0)</f>
        <v>#N/A</v>
      </c>
      <c r="DO483" s="138" t="e">
        <f>IF(VLOOKUP(CONCATENATE(H483,F483,DO$2),Español!$A:$H,7,FALSE)=AC483,1,0)</f>
        <v>#N/A</v>
      </c>
      <c r="DP483" s="138" t="e">
        <f>IF(VLOOKUP(CONCATENATE(H483,F483,DP$2),Español!$A:$H,7,FALSE)=AD483,1,0)</f>
        <v>#N/A</v>
      </c>
      <c r="DQ483" s="138" t="e">
        <f>IF(VLOOKUP(CONCATENATE(H483,F483,DQ$2),Español!$A:$H,7,FALSE)=AE483,1,0)</f>
        <v>#N/A</v>
      </c>
      <c r="DR483" s="138" t="e">
        <f>IF(VLOOKUP(CONCATENATE(H483,F483,DR$2),Inglés!$A:$H,7,FALSE)=AF483,1,0)</f>
        <v>#N/A</v>
      </c>
      <c r="DS483" s="138" t="e">
        <f>IF(VLOOKUP(CONCATENATE(H483,F483,DS$2),Inglés!$A:$H,7,FALSE)=AG483,1,0)</f>
        <v>#N/A</v>
      </c>
      <c r="DT483" s="138" t="e">
        <f>IF(VLOOKUP(CONCATENATE(H483,F483,DT$2),Inglés!$A:$H,7,FALSE)=AH483,1,0)</f>
        <v>#N/A</v>
      </c>
      <c r="DU483" s="138" t="e">
        <f>IF(VLOOKUP(CONCATENATE(H483,F483,DU$2),Inglés!$A:$H,7,FALSE)=AI483,1,0)</f>
        <v>#N/A</v>
      </c>
      <c r="DV483" s="138" t="e">
        <f>IF(VLOOKUP(CONCATENATE(H483,F483,DV$2),Inglés!$A:$H,7,FALSE)=AJ483,1,0)</f>
        <v>#N/A</v>
      </c>
      <c r="DW483" s="138" t="e">
        <f>IF(VLOOKUP(CONCATENATE(H483,F483,DW$2),Inglés!$A:$H,7,FALSE)=AK483,1,0)</f>
        <v>#N/A</v>
      </c>
      <c r="DX483" s="138" t="e">
        <f>IF(VLOOKUP(CONCATENATE(H483,F483,DX$2),Inglés!$A:$H,7,FALSE)=AL483,1,0)</f>
        <v>#N/A</v>
      </c>
      <c r="DY483" s="138" t="e">
        <f>IF(VLOOKUP(CONCATENATE(H483,F483,DY$2),Inglés!$A:$H,7,FALSE)=AM483,1,0)</f>
        <v>#N/A</v>
      </c>
      <c r="DZ483" s="138" t="e">
        <f>IF(VLOOKUP(CONCATENATE(H483,F483,DZ$2),Inglés!$A:$H,7,FALSE)=AN483,1,0)</f>
        <v>#N/A</v>
      </c>
      <c r="EA483" s="138" t="e">
        <f>IF(VLOOKUP(CONCATENATE(H483,F483,EA$2),Inglés!$A:$H,7,FALSE)=AO483,1,0)</f>
        <v>#N/A</v>
      </c>
      <c r="EB483" s="138" t="e">
        <f>IF(VLOOKUP(CONCATENATE(H483,F483,EB$2),Matemáticas!$A:$H,7,FALSE)=AP483,1,0)</f>
        <v>#N/A</v>
      </c>
      <c r="EC483" s="138" t="e">
        <f>IF(VLOOKUP(CONCATENATE(H483,F483,EC$2),Matemáticas!$A:$H,7,FALSE)=AQ483,1,0)</f>
        <v>#N/A</v>
      </c>
      <c r="ED483" s="138" t="e">
        <f>IF(VLOOKUP(CONCATENATE(H483,F483,ED$2),Matemáticas!$A:$H,7,FALSE)=AR483,1,0)</f>
        <v>#N/A</v>
      </c>
      <c r="EE483" s="138" t="e">
        <f>IF(VLOOKUP(CONCATENATE(H483,F483,EE$2),Matemáticas!$A:$H,7,FALSE)=AS483,1,0)</f>
        <v>#N/A</v>
      </c>
      <c r="EF483" s="138" t="e">
        <f>IF(VLOOKUP(CONCATENATE(H483,F483,EF$2),Matemáticas!$A:$H,7,FALSE)=AT483,1,0)</f>
        <v>#N/A</v>
      </c>
      <c r="EG483" s="138" t="e">
        <f>IF(VLOOKUP(CONCATENATE(H483,F483,EG$2),Matemáticas!$A:$H,7,FALSE)=AU483,1,0)</f>
        <v>#N/A</v>
      </c>
      <c r="EH483" s="138" t="e">
        <f>IF(VLOOKUP(CONCATENATE(H483,F483,EH$2),Matemáticas!$A:$H,7,FALSE)=AV483,1,0)</f>
        <v>#N/A</v>
      </c>
      <c r="EI483" s="138" t="e">
        <f>IF(VLOOKUP(CONCATENATE(H483,F483,EI$2),Matemáticas!$A:$H,7,FALSE)=AW483,1,0)</f>
        <v>#N/A</v>
      </c>
      <c r="EJ483" s="138" t="e">
        <f>IF(VLOOKUP(CONCATENATE(H483,F483,EJ$2),Matemáticas!$A:$H,7,FALSE)=AX483,1,0)</f>
        <v>#N/A</v>
      </c>
      <c r="EK483" s="138" t="e">
        <f>IF(VLOOKUP(CONCATENATE(H483,F483,EK$2),Matemáticas!$A:$H,7,FALSE)=AY483,1,0)</f>
        <v>#N/A</v>
      </c>
      <c r="EL483" s="138" t="e">
        <f>IF(VLOOKUP(CONCATENATE(H483,F483,EL$2),Matemáticas!$A:$H,7,FALSE)=AZ483,1,0)</f>
        <v>#N/A</v>
      </c>
      <c r="EM483" s="138" t="e">
        <f>IF(VLOOKUP(CONCATENATE(H483,F483,EM$2),Matemáticas!$A:$H,7,FALSE)=BA483,1,0)</f>
        <v>#N/A</v>
      </c>
      <c r="EN483" s="138" t="e">
        <f>IF(VLOOKUP(CONCATENATE(H483,F483,EN$2),Matemáticas!$A:$H,7,FALSE)=BB483,1,0)</f>
        <v>#N/A</v>
      </c>
      <c r="EO483" s="138" t="e">
        <f>IF(VLOOKUP(CONCATENATE(H483,F483,EO$2),Matemáticas!$A:$H,7,FALSE)=BC483,1,0)</f>
        <v>#N/A</v>
      </c>
      <c r="EP483" s="138" t="e">
        <f>IF(VLOOKUP(CONCATENATE(H483,F483,EP$2),Matemáticas!$A:$H,7,FALSE)=BD483,1,0)</f>
        <v>#N/A</v>
      </c>
      <c r="EQ483" s="138" t="e">
        <f>IF(VLOOKUP(CONCATENATE(H483,F483,EQ$2),Matemáticas!$A:$H,7,FALSE)=BE483,1,0)</f>
        <v>#N/A</v>
      </c>
      <c r="ER483" s="138" t="e">
        <f>IF(VLOOKUP(CONCATENATE(H483,F483,ER$2),Matemáticas!$A:$H,7,FALSE)=BF483,1,0)</f>
        <v>#N/A</v>
      </c>
      <c r="ES483" s="138" t="e">
        <f>IF(VLOOKUP(CONCATENATE(H483,F483,ES$2),Matemáticas!$A:$H,7,FALSE)=BG483,1,0)</f>
        <v>#N/A</v>
      </c>
      <c r="ET483" s="138" t="e">
        <f>IF(VLOOKUP(CONCATENATE(H483,F483,ET$2),Matemáticas!$A:$H,7,FALSE)=BH483,1,0)</f>
        <v>#N/A</v>
      </c>
      <c r="EU483" s="138" t="e">
        <f>IF(VLOOKUP(CONCATENATE(H483,F483,EU$2),Matemáticas!$A:$H,7,FALSE)=BI483,1,0)</f>
        <v>#N/A</v>
      </c>
      <c r="EV483" s="138" t="e">
        <f>IF(VLOOKUP(CONCATENATE(H483,F483,EV$2),Ciencias!$A:$H,7,FALSE)=BJ483,1,0)</f>
        <v>#N/A</v>
      </c>
      <c r="EW483" s="138" t="e">
        <f>IF(VLOOKUP(CONCATENATE(H483,F483,EW$2),Ciencias!$A:$H,7,FALSE)=BK483,1,0)</f>
        <v>#N/A</v>
      </c>
      <c r="EX483" s="138" t="e">
        <f>IF(VLOOKUP(CONCATENATE(H483,F483,EX$2),Ciencias!$A:$H,7,FALSE)=BL483,1,0)</f>
        <v>#N/A</v>
      </c>
      <c r="EY483" s="138" t="e">
        <f>IF(VLOOKUP(CONCATENATE(H483,F483,EY$2),Ciencias!$A:$H,7,FALSE)=BM483,1,0)</f>
        <v>#N/A</v>
      </c>
      <c r="EZ483" s="138" t="e">
        <f>IF(VLOOKUP(CONCATENATE(H483,F483,EZ$2),Ciencias!$A:$H,7,FALSE)=BN483,1,0)</f>
        <v>#N/A</v>
      </c>
      <c r="FA483" s="138" t="e">
        <f>IF(VLOOKUP(CONCATENATE(H483,F483,FA$2),Ciencias!$A:$H,7,FALSE)=BO483,1,0)</f>
        <v>#N/A</v>
      </c>
      <c r="FB483" s="138" t="e">
        <f>IF(VLOOKUP(CONCATENATE(H483,F483,FB$2),Ciencias!$A:$H,7,FALSE)=BP483,1,0)</f>
        <v>#N/A</v>
      </c>
      <c r="FC483" s="138" t="e">
        <f>IF(VLOOKUP(CONCATENATE(H483,F483,FC$2),Ciencias!$A:$H,7,FALSE)=BQ483,1,0)</f>
        <v>#N/A</v>
      </c>
      <c r="FD483" s="138" t="e">
        <f>IF(VLOOKUP(CONCATENATE(H483,F483,FD$2),Ciencias!$A:$H,7,FALSE)=BR483,1,0)</f>
        <v>#N/A</v>
      </c>
      <c r="FE483" s="138" t="e">
        <f>IF(VLOOKUP(CONCATENATE(H483,F483,FE$2),Ciencias!$A:$H,7,FALSE)=BS483,1,0)</f>
        <v>#N/A</v>
      </c>
      <c r="FF483" s="138" t="e">
        <f>IF(VLOOKUP(CONCATENATE(H483,F483,FF$2),Ciencias!$A:$H,7,FALSE)=BT483,1,0)</f>
        <v>#N/A</v>
      </c>
      <c r="FG483" s="138" t="e">
        <f>IF(VLOOKUP(CONCATENATE(H483,F483,FG$2),Ciencias!$A:$H,7,FALSE)=BU483,1,0)</f>
        <v>#N/A</v>
      </c>
      <c r="FH483" s="138" t="e">
        <f>IF(VLOOKUP(CONCATENATE(H483,F483,FH$2),Ciencias!$A:$H,7,FALSE)=BV483,1,0)</f>
        <v>#N/A</v>
      </c>
      <c r="FI483" s="138" t="e">
        <f>IF(VLOOKUP(CONCATENATE(H483,F483,FI$2),Ciencias!$A:$H,7,FALSE)=BW483,1,0)</f>
        <v>#N/A</v>
      </c>
      <c r="FJ483" s="138" t="e">
        <f>IF(VLOOKUP(CONCATENATE(H483,F483,FJ$2),Ciencias!$A:$H,7,FALSE)=BX483,1,0)</f>
        <v>#N/A</v>
      </c>
      <c r="FK483" s="138" t="e">
        <f>IF(VLOOKUP(CONCATENATE(H483,F483,FK$2),Ciencias!$A:$H,7,FALSE)=BY483,1,0)</f>
        <v>#N/A</v>
      </c>
      <c r="FL483" s="138" t="e">
        <f>IF(VLOOKUP(CONCATENATE(H483,F483,FL$2),Ciencias!$A:$H,7,FALSE)=BZ483,1,0)</f>
        <v>#N/A</v>
      </c>
      <c r="FM483" s="138" t="e">
        <f>IF(VLOOKUP(CONCATENATE(H483,F483,FM$2),Ciencias!$A:$H,7,FALSE)=CA483,1,0)</f>
        <v>#N/A</v>
      </c>
      <c r="FN483" s="138" t="e">
        <f>IF(VLOOKUP(CONCATENATE(H483,F483,FN$2),Ciencias!$A:$H,7,FALSE)=CB483,1,0)</f>
        <v>#N/A</v>
      </c>
      <c r="FO483" s="138" t="e">
        <f>IF(VLOOKUP(CONCATENATE(H483,F483,FO$2),Ciencias!$A:$H,7,FALSE)=CC483,1,0)</f>
        <v>#N/A</v>
      </c>
      <c r="FP483" s="138" t="e">
        <f>IF(VLOOKUP(CONCATENATE(H483,F483,FP$2),GeoHis!$A:$H,7,FALSE)=CD483,1,0)</f>
        <v>#N/A</v>
      </c>
      <c r="FQ483" s="138" t="e">
        <f>IF(VLOOKUP(CONCATENATE(H483,F483,FQ$2),GeoHis!$A:$H,7,FALSE)=CE483,1,0)</f>
        <v>#N/A</v>
      </c>
      <c r="FR483" s="138" t="e">
        <f>IF(VLOOKUP(CONCATENATE(H483,F483,FR$2),GeoHis!$A:$H,7,FALSE)=CF483,1,0)</f>
        <v>#N/A</v>
      </c>
      <c r="FS483" s="138" t="e">
        <f>IF(VLOOKUP(CONCATENATE(H483,F483,FS$2),GeoHis!$A:$H,7,FALSE)=CG483,1,0)</f>
        <v>#N/A</v>
      </c>
      <c r="FT483" s="138" t="e">
        <f>IF(VLOOKUP(CONCATENATE(H483,F483,FT$2),GeoHis!$A:$H,7,FALSE)=CH483,1,0)</f>
        <v>#N/A</v>
      </c>
      <c r="FU483" s="138" t="e">
        <f>IF(VLOOKUP(CONCATENATE(H483,F483,FU$2),GeoHis!$A:$H,7,FALSE)=CI483,1,0)</f>
        <v>#N/A</v>
      </c>
      <c r="FV483" s="138" t="e">
        <f>IF(VLOOKUP(CONCATENATE(H483,F483,FV$2),GeoHis!$A:$H,7,FALSE)=CJ483,1,0)</f>
        <v>#N/A</v>
      </c>
      <c r="FW483" s="138" t="e">
        <f>IF(VLOOKUP(CONCATENATE(H483,F483,FW$2),GeoHis!$A:$H,7,FALSE)=CK483,1,0)</f>
        <v>#N/A</v>
      </c>
      <c r="FX483" s="138" t="e">
        <f>IF(VLOOKUP(CONCATENATE(H483,F483,FX$2),GeoHis!$A:$H,7,FALSE)=CL483,1,0)</f>
        <v>#N/A</v>
      </c>
      <c r="FY483" s="138" t="e">
        <f>IF(VLOOKUP(CONCATENATE(H483,F483,FY$2),GeoHis!$A:$H,7,FALSE)=CM483,1,0)</f>
        <v>#N/A</v>
      </c>
      <c r="FZ483" s="138" t="e">
        <f>IF(VLOOKUP(CONCATENATE(H483,F483,FZ$2),GeoHis!$A:$H,7,FALSE)=CN483,1,0)</f>
        <v>#N/A</v>
      </c>
      <c r="GA483" s="138" t="e">
        <f>IF(VLOOKUP(CONCATENATE(H483,F483,GA$2),GeoHis!$A:$H,7,FALSE)=CO483,1,0)</f>
        <v>#N/A</v>
      </c>
      <c r="GB483" s="138" t="e">
        <f>IF(VLOOKUP(CONCATENATE(H483,F483,GB$2),GeoHis!$A:$H,7,FALSE)=CP483,1,0)</f>
        <v>#N/A</v>
      </c>
      <c r="GC483" s="138" t="e">
        <f>IF(VLOOKUP(CONCATENATE(H483,F483,GC$2),GeoHis!$A:$H,7,FALSE)=CQ483,1,0)</f>
        <v>#N/A</v>
      </c>
      <c r="GD483" s="138" t="e">
        <f>IF(VLOOKUP(CONCATENATE(H483,F483,GD$2),GeoHis!$A:$H,7,FALSE)=CR483,1,0)</f>
        <v>#N/A</v>
      </c>
      <c r="GE483" s="135" t="str">
        <f t="shared" si="63"/>
        <v/>
      </c>
    </row>
    <row r="484" spans="1:187" x14ac:dyDescent="0.25">
      <c r="A484" s="127" t="str">
        <f>IF(C484="","",'Datos Generales'!$A$25)</f>
        <v/>
      </c>
      <c r="D484" s="126" t="str">
        <f t="shared" si="56"/>
        <v/>
      </c>
      <c r="E484" s="126">
        <f t="shared" si="57"/>
        <v>0</v>
      </c>
      <c r="F484" s="126" t="str">
        <f t="shared" si="58"/>
        <v/>
      </c>
      <c r="G484" s="126" t="str">
        <f>IF(C484="","",'Datos Generales'!$D$19)</f>
        <v/>
      </c>
      <c r="H484" s="21" t="str">
        <f>IF(C484="","",'Datos Generales'!$A$19)</f>
        <v/>
      </c>
      <c r="I484" s="126" t="str">
        <f>IF(C484="","",'Datos Generales'!$A$7)</f>
        <v/>
      </c>
      <c r="J484" s="21" t="str">
        <f>IF(C484="","",'Datos Generales'!$A$13)</f>
        <v/>
      </c>
      <c r="K484" s="21" t="str">
        <f>IF(C484="","",'Datos Generales'!$A$10)</f>
        <v/>
      </c>
      <c r="CS484" s="142" t="str">
        <f t="shared" si="59"/>
        <v/>
      </c>
      <c r="CT484" s="142" t="str">
        <f t="shared" si="60"/>
        <v/>
      </c>
      <c r="CU484" s="142" t="str">
        <f t="shared" si="61"/>
        <v/>
      </c>
      <c r="CV484" s="142" t="str">
        <f t="shared" si="62"/>
        <v/>
      </c>
      <c r="CW484" s="142" t="str">
        <f>IF(C484="","",IF('Datos Generales'!$A$19=1,AVERAGE(FP484:GD484),AVERAGE(Captura!FP484:FY484)))</f>
        <v/>
      </c>
      <c r="CX484" s="138" t="e">
        <f>IF(VLOOKUP(CONCATENATE($H$4,$F$4,CX$2),Español!$A:$H,7,FALSE)=L484,1,0)</f>
        <v>#N/A</v>
      </c>
      <c r="CY484" s="138" t="e">
        <f>IF(VLOOKUP(CONCATENATE(H484,F484,CY$2),Español!$A:$H,7,FALSE)=M484,1,0)</f>
        <v>#N/A</v>
      </c>
      <c r="CZ484" s="138" t="e">
        <f>IF(VLOOKUP(CONCATENATE(H484,F484,CZ$2),Español!$A:$H,7,FALSE)=N484,1,0)</f>
        <v>#N/A</v>
      </c>
      <c r="DA484" s="138" t="e">
        <f>IF(VLOOKUP(CONCATENATE(H484,F484,DA$2),Español!$A:$H,7,FALSE)=O484,1,0)</f>
        <v>#N/A</v>
      </c>
      <c r="DB484" s="138" t="e">
        <f>IF(VLOOKUP(CONCATENATE(H484,F484,DB$2),Español!$A:$H,7,FALSE)=P484,1,0)</f>
        <v>#N/A</v>
      </c>
      <c r="DC484" s="138" t="e">
        <f>IF(VLOOKUP(CONCATENATE(H484,F484,DC$2),Español!$A:$H,7,FALSE)=Q484,1,0)</f>
        <v>#N/A</v>
      </c>
      <c r="DD484" s="138" t="e">
        <f>IF(VLOOKUP(CONCATENATE(H484,F484,DD$2),Español!$A:$H,7,FALSE)=R484,1,0)</f>
        <v>#N/A</v>
      </c>
      <c r="DE484" s="138" t="e">
        <f>IF(VLOOKUP(CONCATENATE(H484,F484,DE$2),Español!$A:$H,7,FALSE)=S484,1,0)</f>
        <v>#N/A</v>
      </c>
      <c r="DF484" s="138" t="e">
        <f>IF(VLOOKUP(CONCATENATE(H484,F484,DF$2),Español!$A:$H,7,FALSE)=T484,1,0)</f>
        <v>#N/A</v>
      </c>
      <c r="DG484" s="138" t="e">
        <f>IF(VLOOKUP(CONCATENATE(H484,F484,DG$2),Español!$A:$H,7,FALSE)=U484,1,0)</f>
        <v>#N/A</v>
      </c>
      <c r="DH484" s="138" t="e">
        <f>IF(VLOOKUP(CONCATENATE(H484,F484,DH$2),Español!$A:$H,7,FALSE)=V484,1,0)</f>
        <v>#N/A</v>
      </c>
      <c r="DI484" s="138" t="e">
        <f>IF(VLOOKUP(CONCATENATE(H484,F484,DI$2),Español!$A:$H,7,FALSE)=W484,1,0)</f>
        <v>#N/A</v>
      </c>
      <c r="DJ484" s="138" t="e">
        <f>IF(VLOOKUP(CONCATENATE(H484,F484,DJ$2),Español!$A:$H,7,FALSE)=X484,1,0)</f>
        <v>#N/A</v>
      </c>
      <c r="DK484" s="138" t="e">
        <f>IF(VLOOKUP(CONCATENATE(H484,F484,DK$2),Español!$A:$H,7,FALSE)=Y484,1,0)</f>
        <v>#N/A</v>
      </c>
      <c r="DL484" s="138" t="e">
        <f>IF(VLOOKUP(CONCATENATE(H484,F484,DL$2),Español!$A:$H,7,FALSE)=Z484,1,0)</f>
        <v>#N/A</v>
      </c>
      <c r="DM484" s="138" t="e">
        <f>IF(VLOOKUP(CONCATENATE(H484,F484,DM$2),Español!$A:$H,7,FALSE)=AA484,1,0)</f>
        <v>#N/A</v>
      </c>
      <c r="DN484" s="138" t="e">
        <f>IF(VLOOKUP(CONCATENATE(H484,F484,DN$2),Español!$A:$H,7,FALSE)=AB484,1,0)</f>
        <v>#N/A</v>
      </c>
      <c r="DO484" s="138" t="e">
        <f>IF(VLOOKUP(CONCATENATE(H484,F484,DO$2),Español!$A:$H,7,FALSE)=AC484,1,0)</f>
        <v>#N/A</v>
      </c>
      <c r="DP484" s="138" t="e">
        <f>IF(VLOOKUP(CONCATENATE(H484,F484,DP$2),Español!$A:$H,7,FALSE)=AD484,1,0)</f>
        <v>#N/A</v>
      </c>
      <c r="DQ484" s="138" t="e">
        <f>IF(VLOOKUP(CONCATENATE(H484,F484,DQ$2),Español!$A:$H,7,FALSE)=AE484,1,0)</f>
        <v>#N/A</v>
      </c>
      <c r="DR484" s="138" t="e">
        <f>IF(VLOOKUP(CONCATENATE(H484,F484,DR$2),Inglés!$A:$H,7,FALSE)=AF484,1,0)</f>
        <v>#N/A</v>
      </c>
      <c r="DS484" s="138" t="e">
        <f>IF(VLOOKUP(CONCATENATE(H484,F484,DS$2),Inglés!$A:$H,7,FALSE)=AG484,1,0)</f>
        <v>#N/A</v>
      </c>
      <c r="DT484" s="138" t="e">
        <f>IF(VLOOKUP(CONCATENATE(H484,F484,DT$2),Inglés!$A:$H,7,FALSE)=AH484,1,0)</f>
        <v>#N/A</v>
      </c>
      <c r="DU484" s="138" t="e">
        <f>IF(VLOOKUP(CONCATENATE(H484,F484,DU$2),Inglés!$A:$H,7,FALSE)=AI484,1,0)</f>
        <v>#N/A</v>
      </c>
      <c r="DV484" s="138" t="e">
        <f>IF(VLOOKUP(CONCATENATE(H484,F484,DV$2),Inglés!$A:$H,7,FALSE)=AJ484,1,0)</f>
        <v>#N/A</v>
      </c>
      <c r="DW484" s="138" t="e">
        <f>IF(VLOOKUP(CONCATENATE(H484,F484,DW$2),Inglés!$A:$H,7,FALSE)=AK484,1,0)</f>
        <v>#N/A</v>
      </c>
      <c r="DX484" s="138" t="e">
        <f>IF(VLOOKUP(CONCATENATE(H484,F484,DX$2),Inglés!$A:$H,7,FALSE)=AL484,1,0)</f>
        <v>#N/A</v>
      </c>
      <c r="DY484" s="138" t="e">
        <f>IF(VLOOKUP(CONCATENATE(H484,F484,DY$2),Inglés!$A:$H,7,FALSE)=AM484,1,0)</f>
        <v>#N/A</v>
      </c>
      <c r="DZ484" s="138" t="e">
        <f>IF(VLOOKUP(CONCATENATE(H484,F484,DZ$2),Inglés!$A:$H,7,FALSE)=AN484,1,0)</f>
        <v>#N/A</v>
      </c>
      <c r="EA484" s="138" t="e">
        <f>IF(VLOOKUP(CONCATENATE(H484,F484,EA$2),Inglés!$A:$H,7,FALSE)=AO484,1,0)</f>
        <v>#N/A</v>
      </c>
      <c r="EB484" s="138" t="e">
        <f>IF(VLOOKUP(CONCATENATE(H484,F484,EB$2),Matemáticas!$A:$H,7,FALSE)=AP484,1,0)</f>
        <v>#N/A</v>
      </c>
      <c r="EC484" s="138" t="e">
        <f>IF(VLOOKUP(CONCATENATE(H484,F484,EC$2),Matemáticas!$A:$H,7,FALSE)=AQ484,1,0)</f>
        <v>#N/A</v>
      </c>
      <c r="ED484" s="138" t="e">
        <f>IF(VLOOKUP(CONCATENATE(H484,F484,ED$2),Matemáticas!$A:$H,7,FALSE)=AR484,1,0)</f>
        <v>#N/A</v>
      </c>
      <c r="EE484" s="138" t="e">
        <f>IF(VLOOKUP(CONCATENATE(H484,F484,EE$2),Matemáticas!$A:$H,7,FALSE)=AS484,1,0)</f>
        <v>#N/A</v>
      </c>
      <c r="EF484" s="138" t="e">
        <f>IF(VLOOKUP(CONCATENATE(H484,F484,EF$2),Matemáticas!$A:$H,7,FALSE)=AT484,1,0)</f>
        <v>#N/A</v>
      </c>
      <c r="EG484" s="138" t="e">
        <f>IF(VLOOKUP(CONCATENATE(H484,F484,EG$2),Matemáticas!$A:$H,7,FALSE)=AU484,1,0)</f>
        <v>#N/A</v>
      </c>
      <c r="EH484" s="138" t="e">
        <f>IF(VLOOKUP(CONCATENATE(H484,F484,EH$2),Matemáticas!$A:$H,7,FALSE)=AV484,1,0)</f>
        <v>#N/A</v>
      </c>
      <c r="EI484" s="138" t="e">
        <f>IF(VLOOKUP(CONCATENATE(H484,F484,EI$2),Matemáticas!$A:$H,7,FALSE)=AW484,1,0)</f>
        <v>#N/A</v>
      </c>
      <c r="EJ484" s="138" t="e">
        <f>IF(VLOOKUP(CONCATENATE(H484,F484,EJ$2),Matemáticas!$A:$H,7,FALSE)=AX484,1,0)</f>
        <v>#N/A</v>
      </c>
      <c r="EK484" s="138" t="e">
        <f>IF(VLOOKUP(CONCATENATE(H484,F484,EK$2),Matemáticas!$A:$H,7,FALSE)=AY484,1,0)</f>
        <v>#N/A</v>
      </c>
      <c r="EL484" s="138" t="e">
        <f>IF(VLOOKUP(CONCATENATE(H484,F484,EL$2),Matemáticas!$A:$H,7,FALSE)=AZ484,1,0)</f>
        <v>#N/A</v>
      </c>
      <c r="EM484" s="138" t="e">
        <f>IF(VLOOKUP(CONCATENATE(H484,F484,EM$2),Matemáticas!$A:$H,7,FALSE)=BA484,1,0)</f>
        <v>#N/A</v>
      </c>
      <c r="EN484" s="138" t="e">
        <f>IF(VLOOKUP(CONCATENATE(H484,F484,EN$2),Matemáticas!$A:$H,7,FALSE)=BB484,1,0)</f>
        <v>#N/A</v>
      </c>
      <c r="EO484" s="138" t="e">
        <f>IF(VLOOKUP(CONCATENATE(H484,F484,EO$2),Matemáticas!$A:$H,7,FALSE)=BC484,1,0)</f>
        <v>#N/A</v>
      </c>
      <c r="EP484" s="138" t="e">
        <f>IF(VLOOKUP(CONCATENATE(H484,F484,EP$2),Matemáticas!$A:$H,7,FALSE)=BD484,1,0)</f>
        <v>#N/A</v>
      </c>
      <c r="EQ484" s="138" t="e">
        <f>IF(VLOOKUP(CONCATENATE(H484,F484,EQ$2),Matemáticas!$A:$H,7,FALSE)=BE484,1,0)</f>
        <v>#N/A</v>
      </c>
      <c r="ER484" s="138" t="e">
        <f>IF(VLOOKUP(CONCATENATE(H484,F484,ER$2),Matemáticas!$A:$H,7,FALSE)=BF484,1,0)</f>
        <v>#N/A</v>
      </c>
      <c r="ES484" s="138" t="e">
        <f>IF(VLOOKUP(CONCATENATE(H484,F484,ES$2),Matemáticas!$A:$H,7,FALSE)=BG484,1,0)</f>
        <v>#N/A</v>
      </c>
      <c r="ET484" s="138" t="e">
        <f>IF(VLOOKUP(CONCATENATE(H484,F484,ET$2),Matemáticas!$A:$H,7,FALSE)=BH484,1,0)</f>
        <v>#N/A</v>
      </c>
      <c r="EU484" s="138" t="e">
        <f>IF(VLOOKUP(CONCATENATE(H484,F484,EU$2),Matemáticas!$A:$H,7,FALSE)=BI484,1,0)</f>
        <v>#N/A</v>
      </c>
      <c r="EV484" s="138" t="e">
        <f>IF(VLOOKUP(CONCATENATE(H484,F484,EV$2),Ciencias!$A:$H,7,FALSE)=BJ484,1,0)</f>
        <v>#N/A</v>
      </c>
      <c r="EW484" s="138" t="e">
        <f>IF(VLOOKUP(CONCATENATE(H484,F484,EW$2),Ciencias!$A:$H,7,FALSE)=BK484,1,0)</f>
        <v>#N/A</v>
      </c>
      <c r="EX484" s="138" t="e">
        <f>IF(VLOOKUP(CONCATENATE(H484,F484,EX$2),Ciencias!$A:$H,7,FALSE)=BL484,1,0)</f>
        <v>#N/A</v>
      </c>
      <c r="EY484" s="138" t="e">
        <f>IF(VLOOKUP(CONCATENATE(H484,F484,EY$2),Ciencias!$A:$H,7,FALSE)=BM484,1,0)</f>
        <v>#N/A</v>
      </c>
      <c r="EZ484" s="138" t="e">
        <f>IF(VLOOKUP(CONCATENATE(H484,F484,EZ$2),Ciencias!$A:$H,7,FALSE)=BN484,1,0)</f>
        <v>#N/A</v>
      </c>
      <c r="FA484" s="138" t="e">
        <f>IF(VLOOKUP(CONCATENATE(H484,F484,FA$2),Ciencias!$A:$H,7,FALSE)=BO484,1,0)</f>
        <v>#N/A</v>
      </c>
      <c r="FB484" s="138" t="e">
        <f>IF(VLOOKUP(CONCATENATE(H484,F484,FB$2),Ciencias!$A:$H,7,FALSE)=BP484,1,0)</f>
        <v>#N/A</v>
      </c>
      <c r="FC484" s="138" t="e">
        <f>IF(VLOOKUP(CONCATENATE(H484,F484,FC$2),Ciencias!$A:$H,7,FALSE)=BQ484,1,0)</f>
        <v>#N/A</v>
      </c>
      <c r="FD484" s="138" t="e">
        <f>IF(VLOOKUP(CONCATENATE(H484,F484,FD$2),Ciencias!$A:$H,7,FALSE)=BR484,1,0)</f>
        <v>#N/A</v>
      </c>
      <c r="FE484" s="138" t="e">
        <f>IF(VLOOKUP(CONCATENATE(H484,F484,FE$2),Ciencias!$A:$H,7,FALSE)=BS484,1,0)</f>
        <v>#N/A</v>
      </c>
      <c r="FF484" s="138" t="e">
        <f>IF(VLOOKUP(CONCATENATE(H484,F484,FF$2),Ciencias!$A:$H,7,FALSE)=BT484,1,0)</f>
        <v>#N/A</v>
      </c>
      <c r="FG484" s="138" t="e">
        <f>IF(VLOOKUP(CONCATENATE(H484,F484,FG$2),Ciencias!$A:$H,7,FALSE)=BU484,1,0)</f>
        <v>#N/A</v>
      </c>
      <c r="FH484" s="138" t="e">
        <f>IF(VLOOKUP(CONCATENATE(H484,F484,FH$2),Ciencias!$A:$H,7,FALSE)=BV484,1,0)</f>
        <v>#N/A</v>
      </c>
      <c r="FI484" s="138" t="e">
        <f>IF(VLOOKUP(CONCATENATE(H484,F484,FI$2),Ciencias!$A:$H,7,FALSE)=BW484,1,0)</f>
        <v>#N/A</v>
      </c>
      <c r="FJ484" s="138" t="e">
        <f>IF(VLOOKUP(CONCATENATE(H484,F484,FJ$2),Ciencias!$A:$H,7,FALSE)=BX484,1,0)</f>
        <v>#N/A</v>
      </c>
      <c r="FK484" s="138" t="e">
        <f>IF(VLOOKUP(CONCATENATE(H484,F484,FK$2),Ciencias!$A:$H,7,FALSE)=BY484,1,0)</f>
        <v>#N/A</v>
      </c>
      <c r="FL484" s="138" t="e">
        <f>IF(VLOOKUP(CONCATENATE(H484,F484,FL$2),Ciencias!$A:$H,7,FALSE)=BZ484,1,0)</f>
        <v>#N/A</v>
      </c>
      <c r="FM484" s="138" t="e">
        <f>IF(VLOOKUP(CONCATENATE(H484,F484,FM$2),Ciencias!$A:$H,7,FALSE)=CA484,1,0)</f>
        <v>#N/A</v>
      </c>
      <c r="FN484" s="138" t="e">
        <f>IF(VLOOKUP(CONCATENATE(H484,F484,FN$2),Ciencias!$A:$H,7,FALSE)=CB484,1,0)</f>
        <v>#N/A</v>
      </c>
      <c r="FO484" s="138" t="e">
        <f>IF(VLOOKUP(CONCATENATE(H484,F484,FO$2),Ciencias!$A:$H,7,FALSE)=CC484,1,0)</f>
        <v>#N/A</v>
      </c>
      <c r="FP484" s="138" t="e">
        <f>IF(VLOOKUP(CONCATENATE(H484,F484,FP$2),GeoHis!$A:$H,7,FALSE)=CD484,1,0)</f>
        <v>#N/A</v>
      </c>
      <c r="FQ484" s="138" t="e">
        <f>IF(VLOOKUP(CONCATENATE(H484,F484,FQ$2),GeoHis!$A:$H,7,FALSE)=CE484,1,0)</f>
        <v>#N/A</v>
      </c>
      <c r="FR484" s="138" t="e">
        <f>IF(VLOOKUP(CONCATENATE(H484,F484,FR$2),GeoHis!$A:$H,7,FALSE)=CF484,1,0)</f>
        <v>#N/A</v>
      </c>
      <c r="FS484" s="138" t="e">
        <f>IF(VLOOKUP(CONCATENATE(H484,F484,FS$2),GeoHis!$A:$H,7,FALSE)=CG484,1,0)</f>
        <v>#N/A</v>
      </c>
      <c r="FT484" s="138" t="e">
        <f>IF(VLOOKUP(CONCATENATE(H484,F484,FT$2),GeoHis!$A:$H,7,FALSE)=CH484,1,0)</f>
        <v>#N/A</v>
      </c>
      <c r="FU484" s="138" t="e">
        <f>IF(VLOOKUP(CONCATENATE(H484,F484,FU$2),GeoHis!$A:$H,7,FALSE)=CI484,1,0)</f>
        <v>#N/A</v>
      </c>
      <c r="FV484" s="138" t="e">
        <f>IF(VLOOKUP(CONCATENATE(H484,F484,FV$2),GeoHis!$A:$H,7,FALSE)=CJ484,1,0)</f>
        <v>#N/A</v>
      </c>
      <c r="FW484" s="138" t="e">
        <f>IF(VLOOKUP(CONCATENATE(H484,F484,FW$2),GeoHis!$A:$H,7,FALSE)=CK484,1,0)</f>
        <v>#N/A</v>
      </c>
      <c r="FX484" s="138" t="e">
        <f>IF(VLOOKUP(CONCATENATE(H484,F484,FX$2),GeoHis!$A:$H,7,FALSE)=CL484,1,0)</f>
        <v>#N/A</v>
      </c>
      <c r="FY484" s="138" t="e">
        <f>IF(VLOOKUP(CONCATENATE(H484,F484,FY$2),GeoHis!$A:$H,7,FALSE)=CM484,1,0)</f>
        <v>#N/A</v>
      </c>
      <c r="FZ484" s="138" t="e">
        <f>IF(VLOOKUP(CONCATENATE(H484,F484,FZ$2),GeoHis!$A:$H,7,FALSE)=CN484,1,0)</f>
        <v>#N/A</v>
      </c>
      <c r="GA484" s="138" t="e">
        <f>IF(VLOOKUP(CONCATENATE(H484,F484,GA$2),GeoHis!$A:$H,7,FALSE)=CO484,1,0)</f>
        <v>#N/A</v>
      </c>
      <c r="GB484" s="138" t="e">
        <f>IF(VLOOKUP(CONCATENATE(H484,F484,GB$2),GeoHis!$A:$H,7,FALSE)=CP484,1,0)</f>
        <v>#N/A</v>
      </c>
      <c r="GC484" s="138" t="e">
        <f>IF(VLOOKUP(CONCATENATE(H484,F484,GC$2),GeoHis!$A:$H,7,FALSE)=CQ484,1,0)</f>
        <v>#N/A</v>
      </c>
      <c r="GD484" s="138" t="e">
        <f>IF(VLOOKUP(CONCATENATE(H484,F484,GD$2),GeoHis!$A:$H,7,FALSE)=CR484,1,0)</f>
        <v>#N/A</v>
      </c>
      <c r="GE484" s="135" t="str">
        <f t="shared" si="63"/>
        <v/>
      </c>
    </row>
    <row r="485" spans="1:187" x14ac:dyDescent="0.25">
      <c r="A485" s="127" t="str">
        <f>IF(C485="","",'Datos Generales'!$A$25)</f>
        <v/>
      </c>
      <c r="D485" s="126" t="str">
        <f t="shared" si="56"/>
        <v/>
      </c>
      <c r="E485" s="126">
        <f t="shared" si="57"/>
        <v>0</v>
      </c>
      <c r="F485" s="126" t="str">
        <f t="shared" si="58"/>
        <v/>
      </c>
      <c r="G485" s="126" t="str">
        <f>IF(C485="","",'Datos Generales'!$D$19)</f>
        <v/>
      </c>
      <c r="H485" s="21" t="str">
        <f>IF(C485="","",'Datos Generales'!$A$19)</f>
        <v/>
      </c>
      <c r="I485" s="126" t="str">
        <f>IF(C485="","",'Datos Generales'!$A$7)</f>
        <v/>
      </c>
      <c r="J485" s="21" t="str">
        <f>IF(C485="","",'Datos Generales'!$A$13)</f>
        <v/>
      </c>
      <c r="K485" s="21" t="str">
        <f>IF(C485="","",'Datos Generales'!$A$10)</f>
        <v/>
      </c>
      <c r="CS485" s="142" t="str">
        <f t="shared" si="59"/>
        <v/>
      </c>
      <c r="CT485" s="142" t="str">
        <f t="shared" si="60"/>
        <v/>
      </c>
      <c r="CU485" s="142" t="str">
        <f t="shared" si="61"/>
        <v/>
      </c>
      <c r="CV485" s="142" t="str">
        <f t="shared" si="62"/>
        <v/>
      </c>
      <c r="CW485" s="142" t="str">
        <f>IF(C485="","",IF('Datos Generales'!$A$19=1,AVERAGE(FP485:GD485),AVERAGE(Captura!FP485:FY485)))</f>
        <v/>
      </c>
      <c r="CX485" s="138" t="e">
        <f>IF(VLOOKUP(CONCATENATE($H$4,$F$4,CX$2),Español!$A:$H,7,FALSE)=L485,1,0)</f>
        <v>#N/A</v>
      </c>
      <c r="CY485" s="138" t="e">
        <f>IF(VLOOKUP(CONCATENATE(H485,F485,CY$2),Español!$A:$H,7,FALSE)=M485,1,0)</f>
        <v>#N/A</v>
      </c>
      <c r="CZ485" s="138" t="e">
        <f>IF(VLOOKUP(CONCATENATE(H485,F485,CZ$2),Español!$A:$H,7,FALSE)=N485,1,0)</f>
        <v>#N/A</v>
      </c>
      <c r="DA485" s="138" t="e">
        <f>IF(VLOOKUP(CONCATENATE(H485,F485,DA$2),Español!$A:$H,7,FALSE)=O485,1,0)</f>
        <v>#N/A</v>
      </c>
      <c r="DB485" s="138" t="e">
        <f>IF(VLOOKUP(CONCATENATE(H485,F485,DB$2),Español!$A:$H,7,FALSE)=P485,1,0)</f>
        <v>#N/A</v>
      </c>
      <c r="DC485" s="138" t="e">
        <f>IF(VLOOKUP(CONCATENATE(H485,F485,DC$2),Español!$A:$H,7,FALSE)=Q485,1,0)</f>
        <v>#N/A</v>
      </c>
      <c r="DD485" s="138" t="e">
        <f>IF(VLOOKUP(CONCATENATE(H485,F485,DD$2),Español!$A:$H,7,FALSE)=R485,1,0)</f>
        <v>#N/A</v>
      </c>
      <c r="DE485" s="138" t="e">
        <f>IF(VLOOKUP(CONCATENATE(H485,F485,DE$2),Español!$A:$H,7,FALSE)=S485,1,0)</f>
        <v>#N/A</v>
      </c>
      <c r="DF485" s="138" t="e">
        <f>IF(VLOOKUP(CONCATENATE(H485,F485,DF$2),Español!$A:$H,7,FALSE)=T485,1,0)</f>
        <v>#N/A</v>
      </c>
      <c r="DG485" s="138" t="e">
        <f>IF(VLOOKUP(CONCATENATE(H485,F485,DG$2),Español!$A:$H,7,FALSE)=U485,1,0)</f>
        <v>#N/A</v>
      </c>
      <c r="DH485" s="138" t="e">
        <f>IF(VLOOKUP(CONCATENATE(H485,F485,DH$2),Español!$A:$H,7,FALSE)=V485,1,0)</f>
        <v>#N/A</v>
      </c>
      <c r="DI485" s="138" t="e">
        <f>IF(VLOOKUP(CONCATENATE(H485,F485,DI$2),Español!$A:$H,7,FALSE)=W485,1,0)</f>
        <v>#N/A</v>
      </c>
      <c r="DJ485" s="138" t="e">
        <f>IF(VLOOKUP(CONCATENATE(H485,F485,DJ$2),Español!$A:$H,7,FALSE)=X485,1,0)</f>
        <v>#N/A</v>
      </c>
      <c r="DK485" s="138" t="e">
        <f>IF(VLOOKUP(CONCATENATE(H485,F485,DK$2),Español!$A:$H,7,FALSE)=Y485,1,0)</f>
        <v>#N/A</v>
      </c>
      <c r="DL485" s="138" t="e">
        <f>IF(VLOOKUP(CONCATENATE(H485,F485,DL$2),Español!$A:$H,7,FALSE)=Z485,1,0)</f>
        <v>#N/A</v>
      </c>
      <c r="DM485" s="138" t="e">
        <f>IF(VLOOKUP(CONCATENATE(H485,F485,DM$2),Español!$A:$H,7,FALSE)=AA485,1,0)</f>
        <v>#N/A</v>
      </c>
      <c r="DN485" s="138" t="e">
        <f>IF(VLOOKUP(CONCATENATE(H485,F485,DN$2),Español!$A:$H,7,FALSE)=AB485,1,0)</f>
        <v>#N/A</v>
      </c>
      <c r="DO485" s="138" t="e">
        <f>IF(VLOOKUP(CONCATENATE(H485,F485,DO$2),Español!$A:$H,7,FALSE)=AC485,1,0)</f>
        <v>#N/A</v>
      </c>
      <c r="DP485" s="138" t="e">
        <f>IF(VLOOKUP(CONCATENATE(H485,F485,DP$2),Español!$A:$H,7,FALSE)=AD485,1,0)</f>
        <v>#N/A</v>
      </c>
      <c r="DQ485" s="138" t="e">
        <f>IF(VLOOKUP(CONCATENATE(H485,F485,DQ$2),Español!$A:$H,7,FALSE)=AE485,1,0)</f>
        <v>#N/A</v>
      </c>
      <c r="DR485" s="138" t="e">
        <f>IF(VLOOKUP(CONCATENATE(H485,F485,DR$2),Inglés!$A:$H,7,FALSE)=AF485,1,0)</f>
        <v>#N/A</v>
      </c>
      <c r="DS485" s="138" t="e">
        <f>IF(VLOOKUP(CONCATENATE(H485,F485,DS$2),Inglés!$A:$H,7,FALSE)=AG485,1,0)</f>
        <v>#N/A</v>
      </c>
      <c r="DT485" s="138" t="e">
        <f>IF(VLOOKUP(CONCATENATE(H485,F485,DT$2),Inglés!$A:$H,7,FALSE)=AH485,1,0)</f>
        <v>#N/A</v>
      </c>
      <c r="DU485" s="138" t="e">
        <f>IF(VLOOKUP(CONCATENATE(H485,F485,DU$2),Inglés!$A:$H,7,FALSE)=AI485,1,0)</f>
        <v>#N/A</v>
      </c>
      <c r="DV485" s="138" t="e">
        <f>IF(VLOOKUP(CONCATENATE(H485,F485,DV$2),Inglés!$A:$H,7,FALSE)=AJ485,1,0)</f>
        <v>#N/A</v>
      </c>
      <c r="DW485" s="138" t="e">
        <f>IF(VLOOKUP(CONCATENATE(H485,F485,DW$2),Inglés!$A:$H,7,FALSE)=AK485,1,0)</f>
        <v>#N/A</v>
      </c>
      <c r="DX485" s="138" t="e">
        <f>IF(VLOOKUP(CONCATENATE(H485,F485,DX$2),Inglés!$A:$H,7,FALSE)=AL485,1,0)</f>
        <v>#N/A</v>
      </c>
      <c r="DY485" s="138" t="e">
        <f>IF(VLOOKUP(CONCATENATE(H485,F485,DY$2),Inglés!$A:$H,7,FALSE)=AM485,1,0)</f>
        <v>#N/A</v>
      </c>
      <c r="DZ485" s="138" t="e">
        <f>IF(VLOOKUP(CONCATENATE(H485,F485,DZ$2),Inglés!$A:$H,7,FALSE)=AN485,1,0)</f>
        <v>#N/A</v>
      </c>
      <c r="EA485" s="138" t="e">
        <f>IF(VLOOKUP(CONCATENATE(H485,F485,EA$2),Inglés!$A:$H,7,FALSE)=AO485,1,0)</f>
        <v>#N/A</v>
      </c>
      <c r="EB485" s="138" t="e">
        <f>IF(VLOOKUP(CONCATENATE(H485,F485,EB$2),Matemáticas!$A:$H,7,FALSE)=AP485,1,0)</f>
        <v>#N/A</v>
      </c>
      <c r="EC485" s="138" t="e">
        <f>IF(VLOOKUP(CONCATENATE(H485,F485,EC$2),Matemáticas!$A:$H,7,FALSE)=AQ485,1,0)</f>
        <v>#N/A</v>
      </c>
      <c r="ED485" s="138" t="e">
        <f>IF(VLOOKUP(CONCATENATE(H485,F485,ED$2),Matemáticas!$A:$H,7,FALSE)=AR485,1,0)</f>
        <v>#N/A</v>
      </c>
      <c r="EE485" s="138" t="e">
        <f>IF(VLOOKUP(CONCATENATE(H485,F485,EE$2),Matemáticas!$A:$H,7,FALSE)=AS485,1,0)</f>
        <v>#N/A</v>
      </c>
      <c r="EF485" s="138" t="e">
        <f>IF(VLOOKUP(CONCATENATE(H485,F485,EF$2),Matemáticas!$A:$H,7,FALSE)=AT485,1,0)</f>
        <v>#N/A</v>
      </c>
      <c r="EG485" s="138" t="e">
        <f>IF(VLOOKUP(CONCATENATE(H485,F485,EG$2),Matemáticas!$A:$H,7,FALSE)=AU485,1,0)</f>
        <v>#N/A</v>
      </c>
      <c r="EH485" s="138" t="e">
        <f>IF(VLOOKUP(CONCATENATE(H485,F485,EH$2),Matemáticas!$A:$H,7,FALSE)=AV485,1,0)</f>
        <v>#N/A</v>
      </c>
      <c r="EI485" s="138" t="e">
        <f>IF(VLOOKUP(CONCATENATE(H485,F485,EI$2),Matemáticas!$A:$H,7,FALSE)=AW485,1,0)</f>
        <v>#N/A</v>
      </c>
      <c r="EJ485" s="138" t="e">
        <f>IF(VLOOKUP(CONCATENATE(H485,F485,EJ$2),Matemáticas!$A:$H,7,FALSE)=AX485,1,0)</f>
        <v>#N/A</v>
      </c>
      <c r="EK485" s="138" t="e">
        <f>IF(VLOOKUP(CONCATENATE(H485,F485,EK$2),Matemáticas!$A:$H,7,FALSE)=AY485,1,0)</f>
        <v>#N/A</v>
      </c>
      <c r="EL485" s="138" t="e">
        <f>IF(VLOOKUP(CONCATENATE(H485,F485,EL$2),Matemáticas!$A:$H,7,FALSE)=AZ485,1,0)</f>
        <v>#N/A</v>
      </c>
      <c r="EM485" s="138" t="e">
        <f>IF(VLOOKUP(CONCATENATE(H485,F485,EM$2),Matemáticas!$A:$H,7,FALSE)=BA485,1,0)</f>
        <v>#N/A</v>
      </c>
      <c r="EN485" s="138" t="e">
        <f>IF(VLOOKUP(CONCATENATE(H485,F485,EN$2),Matemáticas!$A:$H,7,FALSE)=BB485,1,0)</f>
        <v>#N/A</v>
      </c>
      <c r="EO485" s="138" t="e">
        <f>IF(VLOOKUP(CONCATENATE(H485,F485,EO$2),Matemáticas!$A:$H,7,FALSE)=BC485,1,0)</f>
        <v>#N/A</v>
      </c>
      <c r="EP485" s="138" t="e">
        <f>IF(VLOOKUP(CONCATENATE(H485,F485,EP$2),Matemáticas!$A:$H,7,FALSE)=BD485,1,0)</f>
        <v>#N/A</v>
      </c>
      <c r="EQ485" s="138" t="e">
        <f>IF(VLOOKUP(CONCATENATE(H485,F485,EQ$2),Matemáticas!$A:$H,7,FALSE)=BE485,1,0)</f>
        <v>#N/A</v>
      </c>
      <c r="ER485" s="138" t="e">
        <f>IF(VLOOKUP(CONCATENATE(H485,F485,ER$2),Matemáticas!$A:$H,7,FALSE)=BF485,1,0)</f>
        <v>#N/A</v>
      </c>
      <c r="ES485" s="138" t="e">
        <f>IF(VLOOKUP(CONCATENATE(H485,F485,ES$2),Matemáticas!$A:$H,7,FALSE)=BG485,1,0)</f>
        <v>#N/A</v>
      </c>
      <c r="ET485" s="138" t="e">
        <f>IF(VLOOKUP(CONCATENATE(H485,F485,ET$2),Matemáticas!$A:$H,7,FALSE)=BH485,1,0)</f>
        <v>#N/A</v>
      </c>
      <c r="EU485" s="138" t="e">
        <f>IF(VLOOKUP(CONCATENATE(H485,F485,EU$2),Matemáticas!$A:$H,7,FALSE)=BI485,1,0)</f>
        <v>#N/A</v>
      </c>
      <c r="EV485" s="138" t="e">
        <f>IF(VLOOKUP(CONCATENATE(H485,F485,EV$2),Ciencias!$A:$H,7,FALSE)=BJ485,1,0)</f>
        <v>#N/A</v>
      </c>
      <c r="EW485" s="138" t="e">
        <f>IF(VLOOKUP(CONCATENATE(H485,F485,EW$2),Ciencias!$A:$H,7,FALSE)=BK485,1,0)</f>
        <v>#N/A</v>
      </c>
      <c r="EX485" s="138" t="e">
        <f>IF(VLOOKUP(CONCATENATE(H485,F485,EX$2),Ciencias!$A:$H,7,FALSE)=BL485,1,0)</f>
        <v>#N/A</v>
      </c>
      <c r="EY485" s="138" t="e">
        <f>IF(VLOOKUP(CONCATENATE(H485,F485,EY$2),Ciencias!$A:$H,7,FALSE)=BM485,1,0)</f>
        <v>#N/A</v>
      </c>
      <c r="EZ485" s="138" t="e">
        <f>IF(VLOOKUP(CONCATENATE(H485,F485,EZ$2),Ciencias!$A:$H,7,FALSE)=BN485,1,0)</f>
        <v>#N/A</v>
      </c>
      <c r="FA485" s="138" t="e">
        <f>IF(VLOOKUP(CONCATENATE(H485,F485,FA$2),Ciencias!$A:$H,7,FALSE)=BO485,1,0)</f>
        <v>#N/A</v>
      </c>
      <c r="FB485" s="138" t="e">
        <f>IF(VLOOKUP(CONCATENATE(H485,F485,FB$2),Ciencias!$A:$H,7,FALSE)=BP485,1,0)</f>
        <v>#N/A</v>
      </c>
      <c r="FC485" s="138" t="e">
        <f>IF(VLOOKUP(CONCATENATE(H485,F485,FC$2),Ciencias!$A:$H,7,FALSE)=BQ485,1,0)</f>
        <v>#N/A</v>
      </c>
      <c r="FD485" s="138" t="e">
        <f>IF(VLOOKUP(CONCATENATE(H485,F485,FD$2),Ciencias!$A:$H,7,FALSE)=BR485,1,0)</f>
        <v>#N/A</v>
      </c>
      <c r="FE485" s="138" t="e">
        <f>IF(VLOOKUP(CONCATENATE(H485,F485,FE$2),Ciencias!$A:$H,7,FALSE)=BS485,1,0)</f>
        <v>#N/A</v>
      </c>
      <c r="FF485" s="138" t="e">
        <f>IF(VLOOKUP(CONCATENATE(H485,F485,FF$2),Ciencias!$A:$H,7,FALSE)=BT485,1,0)</f>
        <v>#N/A</v>
      </c>
      <c r="FG485" s="138" t="e">
        <f>IF(VLOOKUP(CONCATENATE(H485,F485,FG$2),Ciencias!$A:$H,7,FALSE)=BU485,1,0)</f>
        <v>#N/A</v>
      </c>
      <c r="FH485" s="138" t="e">
        <f>IF(VLOOKUP(CONCATENATE(H485,F485,FH$2),Ciencias!$A:$H,7,FALSE)=BV485,1,0)</f>
        <v>#N/A</v>
      </c>
      <c r="FI485" s="138" t="e">
        <f>IF(VLOOKUP(CONCATENATE(H485,F485,FI$2),Ciencias!$A:$H,7,FALSE)=BW485,1,0)</f>
        <v>#N/A</v>
      </c>
      <c r="FJ485" s="138" t="e">
        <f>IF(VLOOKUP(CONCATENATE(H485,F485,FJ$2),Ciencias!$A:$H,7,FALSE)=BX485,1,0)</f>
        <v>#N/A</v>
      </c>
      <c r="FK485" s="138" t="e">
        <f>IF(VLOOKUP(CONCATENATE(H485,F485,FK$2),Ciencias!$A:$H,7,FALSE)=BY485,1,0)</f>
        <v>#N/A</v>
      </c>
      <c r="FL485" s="138" t="e">
        <f>IF(VLOOKUP(CONCATENATE(H485,F485,FL$2),Ciencias!$A:$H,7,FALSE)=BZ485,1,0)</f>
        <v>#N/A</v>
      </c>
      <c r="FM485" s="138" t="e">
        <f>IF(VLOOKUP(CONCATENATE(H485,F485,FM$2),Ciencias!$A:$H,7,FALSE)=CA485,1,0)</f>
        <v>#N/A</v>
      </c>
      <c r="FN485" s="138" t="e">
        <f>IF(VLOOKUP(CONCATENATE(H485,F485,FN$2),Ciencias!$A:$H,7,FALSE)=CB485,1,0)</f>
        <v>#N/A</v>
      </c>
      <c r="FO485" s="138" t="e">
        <f>IF(VLOOKUP(CONCATENATE(H485,F485,FO$2),Ciencias!$A:$H,7,FALSE)=CC485,1,0)</f>
        <v>#N/A</v>
      </c>
      <c r="FP485" s="138" t="e">
        <f>IF(VLOOKUP(CONCATENATE(H485,F485,FP$2),GeoHis!$A:$H,7,FALSE)=CD485,1,0)</f>
        <v>#N/A</v>
      </c>
      <c r="FQ485" s="138" t="e">
        <f>IF(VLOOKUP(CONCATENATE(H485,F485,FQ$2),GeoHis!$A:$H,7,FALSE)=CE485,1,0)</f>
        <v>#N/A</v>
      </c>
      <c r="FR485" s="138" t="e">
        <f>IF(VLOOKUP(CONCATENATE(H485,F485,FR$2),GeoHis!$A:$H,7,FALSE)=CF485,1,0)</f>
        <v>#N/A</v>
      </c>
      <c r="FS485" s="138" t="e">
        <f>IF(VLOOKUP(CONCATENATE(H485,F485,FS$2),GeoHis!$A:$H,7,FALSE)=CG485,1,0)</f>
        <v>#N/A</v>
      </c>
      <c r="FT485" s="138" t="e">
        <f>IF(VLOOKUP(CONCATENATE(H485,F485,FT$2),GeoHis!$A:$H,7,FALSE)=CH485,1,0)</f>
        <v>#N/A</v>
      </c>
      <c r="FU485" s="138" t="e">
        <f>IF(VLOOKUP(CONCATENATE(H485,F485,FU$2),GeoHis!$A:$H,7,FALSE)=CI485,1,0)</f>
        <v>#N/A</v>
      </c>
      <c r="FV485" s="138" t="e">
        <f>IF(VLOOKUP(CONCATENATE(H485,F485,FV$2),GeoHis!$A:$H,7,FALSE)=CJ485,1,0)</f>
        <v>#N/A</v>
      </c>
      <c r="FW485" s="138" t="e">
        <f>IF(VLOOKUP(CONCATENATE(H485,F485,FW$2),GeoHis!$A:$H,7,FALSE)=CK485,1,0)</f>
        <v>#N/A</v>
      </c>
      <c r="FX485" s="138" t="e">
        <f>IF(VLOOKUP(CONCATENATE(H485,F485,FX$2),GeoHis!$A:$H,7,FALSE)=CL485,1,0)</f>
        <v>#N/A</v>
      </c>
      <c r="FY485" s="138" t="e">
        <f>IF(VLOOKUP(CONCATENATE(H485,F485,FY$2),GeoHis!$A:$H,7,FALSE)=CM485,1,0)</f>
        <v>#N/A</v>
      </c>
      <c r="FZ485" s="138" t="e">
        <f>IF(VLOOKUP(CONCATENATE(H485,F485,FZ$2),GeoHis!$A:$H,7,FALSE)=CN485,1,0)</f>
        <v>#N/A</v>
      </c>
      <c r="GA485" s="138" t="e">
        <f>IF(VLOOKUP(CONCATENATE(H485,F485,GA$2),GeoHis!$A:$H,7,FALSE)=CO485,1,0)</f>
        <v>#N/A</v>
      </c>
      <c r="GB485" s="138" t="e">
        <f>IF(VLOOKUP(CONCATENATE(H485,F485,GB$2),GeoHis!$A:$H,7,FALSE)=CP485,1,0)</f>
        <v>#N/A</v>
      </c>
      <c r="GC485" s="138" t="e">
        <f>IF(VLOOKUP(CONCATENATE(H485,F485,GC$2),GeoHis!$A:$H,7,FALSE)=CQ485,1,0)</f>
        <v>#N/A</v>
      </c>
      <c r="GD485" s="138" t="e">
        <f>IF(VLOOKUP(CONCATENATE(H485,F485,GD$2),GeoHis!$A:$H,7,FALSE)=CR485,1,0)</f>
        <v>#N/A</v>
      </c>
      <c r="GE485" s="135" t="str">
        <f t="shared" si="63"/>
        <v/>
      </c>
    </row>
    <row r="486" spans="1:187" x14ac:dyDescent="0.25">
      <c r="A486" s="127" t="str">
        <f>IF(C486="","",'Datos Generales'!$A$25)</f>
        <v/>
      </c>
      <c r="D486" s="126" t="str">
        <f t="shared" si="56"/>
        <v/>
      </c>
      <c r="E486" s="126">
        <f t="shared" si="57"/>
        <v>0</v>
      </c>
      <c r="F486" s="126" t="str">
        <f t="shared" si="58"/>
        <v/>
      </c>
      <c r="G486" s="126" t="str">
        <f>IF(C486="","",'Datos Generales'!$D$19)</f>
        <v/>
      </c>
      <c r="H486" s="21" t="str">
        <f>IF(C486="","",'Datos Generales'!$A$19)</f>
        <v/>
      </c>
      <c r="I486" s="126" t="str">
        <f>IF(C486="","",'Datos Generales'!$A$7)</f>
        <v/>
      </c>
      <c r="J486" s="21" t="str">
        <f>IF(C486="","",'Datos Generales'!$A$13)</f>
        <v/>
      </c>
      <c r="K486" s="21" t="str">
        <f>IF(C486="","",'Datos Generales'!$A$10)</f>
        <v/>
      </c>
      <c r="CS486" s="142" t="str">
        <f t="shared" si="59"/>
        <v/>
      </c>
      <c r="CT486" s="142" t="str">
        <f t="shared" si="60"/>
        <v/>
      </c>
      <c r="CU486" s="142" t="str">
        <f t="shared" si="61"/>
        <v/>
      </c>
      <c r="CV486" s="142" t="str">
        <f t="shared" si="62"/>
        <v/>
      </c>
      <c r="CW486" s="142" t="str">
        <f>IF(C486="","",IF('Datos Generales'!$A$19=1,AVERAGE(FP486:GD486),AVERAGE(Captura!FP486:FY486)))</f>
        <v/>
      </c>
      <c r="CX486" s="138" t="e">
        <f>IF(VLOOKUP(CONCATENATE($H$4,$F$4,CX$2),Español!$A:$H,7,FALSE)=L486,1,0)</f>
        <v>#N/A</v>
      </c>
      <c r="CY486" s="138" t="e">
        <f>IF(VLOOKUP(CONCATENATE(H486,F486,CY$2),Español!$A:$H,7,FALSE)=M486,1,0)</f>
        <v>#N/A</v>
      </c>
      <c r="CZ486" s="138" t="e">
        <f>IF(VLOOKUP(CONCATENATE(H486,F486,CZ$2),Español!$A:$H,7,FALSE)=N486,1,0)</f>
        <v>#N/A</v>
      </c>
      <c r="DA486" s="138" t="e">
        <f>IF(VLOOKUP(CONCATENATE(H486,F486,DA$2),Español!$A:$H,7,FALSE)=O486,1,0)</f>
        <v>#N/A</v>
      </c>
      <c r="DB486" s="138" t="e">
        <f>IF(VLOOKUP(CONCATENATE(H486,F486,DB$2),Español!$A:$H,7,FALSE)=P486,1,0)</f>
        <v>#N/A</v>
      </c>
      <c r="DC486" s="138" t="e">
        <f>IF(VLOOKUP(CONCATENATE(H486,F486,DC$2),Español!$A:$H,7,FALSE)=Q486,1,0)</f>
        <v>#N/A</v>
      </c>
      <c r="DD486" s="138" t="e">
        <f>IF(VLOOKUP(CONCATENATE(H486,F486,DD$2),Español!$A:$H,7,FALSE)=R486,1,0)</f>
        <v>#N/A</v>
      </c>
      <c r="DE486" s="138" t="e">
        <f>IF(VLOOKUP(CONCATENATE(H486,F486,DE$2),Español!$A:$H,7,FALSE)=S486,1,0)</f>
        <v>#N/A</v>
      </c>
      <c r="DF486" s="138" t="e">
        <f>IF(VLOOKUP(CONCATENATE(H486,F486,DF$2),Español!$A:$H,7,FALSE)=T486,1,0)</f>
        <v>#N/A</v>
      </c>
      <c r="DG486" s="138" t="e">
        <f>IF(VLOOKUP(CONCATENATE(H486,F486,DG$2),Español!$A:$H,7,FALSE)=U486,1,0)</f>
        <v>#N/A</v>
      </c>
      <c r="DH486" s="138" t="e">
        <f>IF(VLOOKUP(CONCATENATE(H486,F486,DH$2),Español!$A:$H,7,FALSE)=V486,1,0)</f>
        <v>#N/A</v>
      </c>
      <c r="DI486" s="138" t="e">
        <f>IF(VLOOKUP(CONCATENATE(H486,F486,DI$2),Español!$A:$H,7,FALSE)=W486,1,0)</f>
        <v>#N/A</v>
      </c>
      <c r="DJ486" s="138" t="e">
        <f>IF(VLOOKUP(CONCATENATE(H486,F486,DJ$2),Español!$A:$H,7,FALSE)=X486,1,0)</f>
        <v>#N/A</v>
      </c>
      <c r="DK486" s="138" t="e">
        <f>IF(VLOOKUP(CONCATENATE(H486,F486,DK$2),Español!$A:$H,7,FALSE)=Y486,1,0)</f>
        <v>#N/A</v>
      </c>
      <c r="DL486" s="138" t="e">
        <f>IF(VLOOKUP(CONCATENATE(H486,F486,DL$2),Español!$A:$H,7,FALSE)=Z486,1,0)</f>
        <v>#N/A</v>
      </c>
      <c r="DM486" s="138" t="e">
        <f>IF(VLOOKUP(CONCATENATE(H486,F486,DM$2),Español!$A:$H,7,FALSE)=AA486,1,0)</f>
        <v>#N/A</v>
      </c>
      <c r="DN486" s="138" t="e">
        <f>IF(VLOOKUP(CONCATENATE(H486,F486,DN$2),Español!$A:$H,7,FALSE)=AB486,1,0)</f>
        <v>#N/A</v>
      </c>
      <c r="DO486" s="138" t="e">
        <f>IF(VLOOKUP(CONCATENATE(H486,F486,DO$2),Español!$A:$H,7,FALSE)=AC486,1,0)</f>
        <v>#N/A</v>
      </c>
      <c r="DP486" s="138" t="e">
        <f>IF(VLOOKUP(CONCATENATE(H486,F486,DP$2),Español!$A:$H,7,FALSE)=AD486,1,0)</f>
        <v>#N/A</v>
      </c>
      <c r="DQ486" s="138" t="e">
        <f>IF(VLOOKUP(CONCATENATE(H486,F486,DQ$2),Español!$A:$H,7,FALSE)=AE486,1,0)</f>
        <v>#N/A</v>
      </c>
      <c r="DR486" s="138" t="e">
        <f>IF(VLOOKUP(CONCATENATE(H486,F486,DR$2),Inglés!$A:$H,7,FALSE)=AF486,1,0)</f>
        <v>#N/A</v>
      </c>
      <c r="DS486" s="138" t="e">
        <f>IF(VLOOKUP(CONCATENATE(H486,F486,DS$2),Inglés!$A:$H,7,FALSE)=AG486,1,0)</f>
        <v>#N/A</v>
      </c>
      <c r="DT486" s="138" t="e">
        <f>IF(VLOOKUP(CONCATENATE(H486,F486,DT$2),Inglés!$A:$H,7,FALSE)=AH486,1,0)</f>
        <v>#N/A</v>
      </c>
      <c r="DU486" s="138" t="e">
        <f>IF(VLOOKUP(CONCATENATE(H486,F486,DU$2),Inglés!$A:$H,7,FALSE)=AI486,1,0)</f>
        <v>#N/A</v>
      </c>
      <c r="DV486" s="138" t="e">
        <f>IF(VLOOKUP(CONCATENATE(H486,F486,DV$2),Inglés!$A:$H,7,FALSE)=AJ486,1,0)</f>
        <v>#N/A</v>
      </c>
      <c r="DW486" s="138" t="e">
        <f>IF(VLOOKUP(CONCATENATE(H486,F486,DW$2),Inglés!$A:$H,7,FALSE)=AK486,1,0)</f>
        <v>#N/A</v>
      </c>
      <c r="DX486" s="138" t="e">
        <f>IF(VLOOKUP(CONCATENATE(H486,F486,DX$2),Inglés!$A:$H,7,FALSE)=AL486,1,0)</f>
        <v>#N/A</v>
      </c>
      <c r="DY486" s="138" t="e">
        <f>IF(VLOOKUP(CONCATENATE(H486,F486,DY$2),Inglés!$A:$H,7,FALSE)=AM486,1,0)</f>
        <v>#N/A</v>
      </c>
      <c r="DZ486" s="138" t="e">
        <f>IF(VLOOKUP(CONCATENATE(H486,F486,DZ$2),Inglés!$A:$H,7,FALSE)=AN486,1,0)</f>
        <v>#N/A</v>
      </c>
      <c r="EA486" s="138" t="e">
        <f>IF(VLOOKUP(CONCATENATE(H486,F486,EA$2),Inglés!$A:$H,7,FALSE)=AO486,1,0)</f>
        <v>#N/A</v>
      </c>
      <c r="EB486" s="138" t="e">
        <f>IF(VLOOKUP(CONCATENATE(H486,F486,EB$2),Matemáticas!$A:$H,7,FALSE)=AP486,1,0)</f>
        <v>#N/A</v>
      </c>
      <c r="EC486" s="138" t="e">
        <f>IF(VLOOKUP(CONCATENATE(H486,F486,EC$2),Matemáticas!$A:$H,7,FALSE)=AQ486,1,0)</f>
        <v>#N/A</v>
      </c>
      <c r="ED486" s="138" t="e">
        <f>IF(VLOOKUP(CONCATENATE(H486,F486,ED$2),Matemáticas!$A:$H,7,FALSE)=AR486,1,0)</f>
        <v>#N/A</v>
      </c>
      <c r="EE486" s="138" t="e">
        <f>IF(VLOOKUP(CONCATENATE(H486,F486,EE$2),Matemáticas!$A:$H,7,FALSE)=AS486,1,0)</f>
        <v>#N/A</v>
      </c>
      <c r="EF486" s="138" t="e">
        <f>IF(VLOOKUP(CONCATENATE(H486,F486,EF$2),Matemáticas!$A:$H,7,FALSE)=AT486,1,0)</f>
        <v>#N/A</v>
      </c>
      <c r="EG486" s="138" t="e">
        <f>IF(VLOOKUP(CONCATENATE(H486,F486,EG$2),Matemáticas!$A:$H,7,FALSE)=AU486,1,0)</f>
        <v>#N/A</v>
      </c>
      <c r="EH486" s="138" t="e">
        <f>IF(VLOOKUP(CONCATENATE(H486,F486,EH$2),Matemáticas!$A:$H,7,FALSE)=AV486,1,0)</f>
        <v>#N/A</v>
      </c>
      <c r="EI486" s="138" t="e">
        <f>IF(VLOOKUP(CONCATENATE(H486,F486,EI$2),Matemáticas!$A:$H,7,FALSE)=AW486,1,0)</f>
        <v>#N/A</v>
      </c>
      <c r="EJ486" s="138" t="e">
        <f>IF(VLOOKUP(CONCATENATE(H486,F486,EJ$2),Matemáticas!$A:$H,7,FALSE)=AX486,1,0)</f>
        <v>#N/A</v>
      </c>
      <c r="EK486" s="138" t="e">
        <f>IF(VLOOKUP(CONCATENATE(H486,F486,EK$2),Matemáticas!$A:$H,7,FALSE)=AY486,1,0)</f>
        <v>#N/A</v>
      </c>
      <c r="EL486" s="138" t="e">
        <f>IF(VLOOKUP(CONCATENATE(H486,F486,EL$2),Matemáticas!$A:$H,7,FALSE)=AZ486,1,0)</f>
        <v>#N/A</v>
      </c>
      <c r="EM486" s="138" t="e">
        <f>IF(VLOOKUP(CONCATENATE(H486,F486,EM$2),Matemáticas!$A:$H,7,FALSE)=BA486,1,0)</f>
        <v>#N/A</v>
      </c>
      <c r="EN486" s="138" t="e">
        <f>IF(VLOOKUP(CONCATENATE(H486,F486,EN$2),Matemáticas!$A:$H,7,FALSE)=BB486,1,0)</f>
        <v>#N/A</v>
      </c>
      <c r="EO486" s="138" t="e">
        <f>IF(VLOOKUP(CONCATENATE(H486,F486,EO$2),Matemáticas!$A:$H,7,FALSE)=BC486,1,0)</f>
        <v>#N/A</v>
      </c>
      <c r="EP486" s="138" t="e">
        <f>IF(VLOOKUP(CONCATENATE(H486,F486,EP$2),Matemáticas!$A:$H,7,FALSE)=BD486,1,0)</f>
        <v>#N/A</v>
      </c>
      <c r="EQ486" s="138" t="e">
        <f>IF(VLOOKUP(CONCATENATE(H486,F486,EQ$2),Matemáticas!$A:$H,7,FALSE)=BE486,1,0)</f>
        <v>#N/A</v>
      </c>
      <c r="ER486" s="138" t="e">
        <f>IF(VLOOKUP(CONCATENATE(H486,F486,ER$2),Matemáticas!$A:$H,7,FALSE)=BF486,1,0)</f>
        <v>#N/A</v>
      </c>
      <c r="ES486" s="138" t="e">
        <f>IF(VLOOKUP(CONCATENATE(H486,F486,ES$2),Matemáticas!$A:$H,7,FALSE)=BG486,1,0)</f>
        <v>#N/A</v>
      </c>
      <c r="ET486" s="138" t="e">
        <f>IF(VLOOKUP(CONCATENATE(H486,F486,ET$2),Matemáticas!$A:$H,7,FALSE)=BH486,1,0)</f>
        <v>#N/A</v>
      </c>
      <c r="EU486" s="138" t="e">
        <f>IF(VLOOKUP(CONCATENATE(H486,F486,EU$2),Matemáticas!$A:$H,7,FALSE)=BI486,1,0)</f>
        <v>#N/A</v>
      </c>
      <c r="EV486" s="138" t="e">
        <f>IF(VLOOKUP(CONCATENATE(H486,F486,EV$2),Ciencias!$A:$H,7,FALSE)=BJ486,1,0)</f>
        <v>#N/A</v>
      </c>
      <c r="EW486" s="138" t="e">
        <f>IF(VLOOKUP(CONCATENATE(H486,F486,EW$2),Ciencias!$A:$H,7,FALSE)=BK486,1,0)</f>
        <v>#N/A</v>
      </c>
      <c r="EX486" s="138" t="e">
        <f>IF(VLOOKUP(CONCATENATE(H486,F486,EX$2),Ciencias!$A:$H,7,FALSE)=BL486,1,0)</f>
        <v>#N/A</v>
      </c>
      <c r="EY486" s="138" t="e">
        <f>IF(VLOOKUP(CONCATENATE(H486,F486,EY$2),Ciencias!$A:$H,7,FALSE)=BM486,1,0)</f>
        <v>#N/A</v>
      </c>
      <c r="EZ486" s="138" t="e">
        <f>IF(VLOOKUP(CONCATENATE(H486,F486,EZ$2),Ciencias!$A:$H,7,FALSE)=BN486,1,0)</f>
        <v>#N/A</v>
      </c>
      <c r="FA486" s="138" t="e">
        <f>IF(VLOOKUP(CONCATENATE(H486,F486,FA$2),Ciencias!$A:$H,7,FALSE)=BO486,1,0)</f>
        <v>#N/A</v>
      </c>
      <c r="FB486" s="138" t="e">
        <f>IF(VLOOKUP(CONCATENATE(H486,F486,FB$2),Ciencias!$A:$H,7,FALSE)=BP486,1,0)</f>
        <v>#N/A</v>
      </c>
      <c r="FC486" s="138" t="e">
        <f>IF(VLOOKUP(CONCATENATE(H486,F486,FC$2),Ciencias!$A:$H,7,FALSE)=BQ486,1,0)</f>
        <v>#N/A</v>
      </c>
      <c r="FD486" s="138" t="e">
        <f>IF(VLOOKUP(CONCATENATE(H486,F486,FD$2),Ciencias!$A:$H,7,FALSE)=BR486,1,0)</f>
        <v>#N/A</v>
      </c>
      <c r="FE486" s="138" t="e">
        <f>IF(VLOOKUP(CONCATENATE(H486,F486,FE$2),Ciencias!$A:$H,7,FALSE)=BS486,1,0)</f>
        <v>#N/A</v>
      </c>
      <c r="FF486" s="138" t="e">
        <f>IF(VLOOKUP(CONCATENATE(H486,F486,FF$2),Ciencias!$A:$H,7,FALSE)=BT486,1,0)</f>
        <v>#N/A</v>
      </c>
      <c r="FG486" s="138" t="e">
        <f>IF(VLOOKUP(CONCATENATE(H486,F486,FG$2),Ciencias!$A:$H,7,FALSE)=BU486,1,0)</f>
        <v>#N/A</v>
      </c>
      <c r="FH486" s="138" t="e">
        <f>IF(VLOOKUP(CONCATENATE(H486,F486,FH$2),Ciencias!$A:$H,7,FALSE)=BV486,1,0)</f>
        <v>#N/A</v>
      </c>
      <c r="FI486" s="138" t="e">
        <f>IF(VLOOKUP(CONCATENATE(H486,F486,FI$2),Ciencias!$A:$H,7,FALSE)=BW486,1,0)</f>
        <v>#N/A</v>
      </c>
      <c r="FJ486" s="138" t="e">
        <f>IF(VLOOKUP(CONCATENATE(H486,F486,FJ$2),Ciencias!$A:$H,7,FALSE)=BX486,1,0)</f>
        <v>#N/A</v>
      </c>
      <c r="FK486" s="138" t="e">
        <f>IF(VLOOKUP(CONCATENATE(H486,F486,FK$2),Ciencias!$A:$H,7,FALSE)=BY486,1,0)</f>
        <v>#N/A</v>
      </c>
      <c r="FL486" s="138" t="e">
        <f>IF(VLOOKUP(CONCATENATE(H486,F486,FL$2),Ciencias!$A:$H,7,FALSE)=BZ486,1,0)</f>
        <v>#N/A</v>
      </c>
      <c r="FM486" s="138" t="e">
        <f>IF(VLOOKUP(CONCATENATE(H486,F486,FM$2),Ciencias!$A:$H,7,FALSE)=CA486,1,0)</f>
        <v>#N/A</v>
      </c>
      <c r="FN486" s="138" t="e">
        <f>IF(VLOOKUP(CONCATENATE(H486,F486,FN$2),Ciencias!$A:$H,7,FALSE)=CB486,1,0)</f>
        <v>#N/A</v>
      </c>
      <c r="FO486" s="138" t="e">
        <f>IF(VLOOKUP(CONCATENATE(H486,F486,FO$2),Ciencias!$A:$H,7,FALSE)=CC486,1,0)</f>
        <v>#N/A</v>
      </c>
      <c r="FP486" s="138" t="e">
        <f>IF(VLOOKUP(CONCATENATE(H486,F486,FP$2),GeoHis!$A:$H,7,FALSE)=CD486,1,0)</f>
        <v>#N/A</v>
      </c>
      <c r="FQ486" s="138" t="e">
        <f>IF(VLOOKUP(CONCATENATE(H486,F486,FQ$2),GeoHis!$A:$H,7,FALSE)=CE486,1,0)</f>
        <v>#N/A</v>
      </c>
      <c r="FR486" s="138" t="e">
        <f>IF(VLOOKUP(CONCATENATE(H486,F486,FR$2),GeoHis!$A:$H,7,FALSE)=CF486,1,0)</f>
        <v>#N/A</v>
      </c>
      <c r="FS486" s="138" t="e">
        <f>IF(VLOOKUP(CONCATENATE(H486,F486,FS$2),GeoHis!$A:$H,7,FALSE)=CG486,1,0)</f>
        <v>#N/A</v>
      </c>
      <c r="FT486" s="138" t="e">
        <f>IF(VLOOKUP(CONCATENATE(H486,F486,FT$2),GeoHis!$A:$H,7,FALSE)=CH486,1,0)</f>
        <v>#N/A</v>
      </c>
      <c r="FU486" s="138" t="e">
        <f>IF(VLOOKUP(CONCATENATE(H486,F486,FU$2),GeoHis!$A:$H,7,FALSE)=CI486,1,0)</f>
        <v>#N/A</v>
      </c>
      <c r="FV486" s="138" t="e">
        <f>IF(VLOOKUP(CONCATENATE(H486,F486,FV$2),GeoHis!$A:$H,7,FALSE)=CJ486,1,0)</f>
        <v>#N/A</v>
      </c>
      <c r="FW486" s="138" t="e">
        <f>IF(VLOOKUP(CONCATENATE(H486,F486,FW$2),GeoHis!$A:$H,7,FALSE)=CK486,1,0)</f>
        <v>#N/A</v>
      </c>
      <c r="FX486" s="138" t="e">
        <f>IF(VLOOKUP(CONCATENATE(H486,F486,FX$2),GeoHis!$A:$H,7,FALSE)=CL486,1,0)</f>
        <v>#N/A</v>
      </c>
      <c r="FY486" s="138" t="e">
        <f>IF(VLOOKUP(CONCATENATE(H486,F486,FY$2),GeoHis!$A:$H,7,FALSE)=CM486,1,0)</f>
        <v>#N/A</v>
      </c>
      <c r="FZ486" s="138" t="e">
        <f>IF(VLOOKUP(CONCATENATE(H486,F486,FZ$2),GeoHis!$A:$H,7,FALSE)=CN486,1,0)</f>
        <v>#N/A</v>
      </c>
      <c r="GA486" s="138" t="e">
        <f>IF(VLOOKUP(CONCATENATE(H486,F486,GA$2),GeoHis!$A:$H,7,FALSE)=CO486,1,0)</f>
        <v>#N/A</v>
      </c>
      <c r="GB486" s="138" t="e">
        <f>IF(VLOOKUP(CONCATENATE(H486,F486,GB$2),GeoHis!$A:$H,7,FALSE)=CP486,1,0)</f>
        <v>#N/A</v>
      </c>
      <c r="GC486" s="138" t="e">
        <f>IF(VLOOKUP(CONCATENATE(H486,F486,GC$2),GeoHis!$A:$H,7,FALSE)=CQ486,1,0)</f>
        <v>#N/A</v>
      </c>
      <c r="GD486" s="138" t="e">
        <f>IF(VLOOKUP(CONCATENATE(H486,F486,GD$2),GeoHis!$A:$H,7,FALSE)=CR486,1,0)</f>
        <v>#N/A</v>
      </c>
      <c r="GE486" s="135" t="str">
        <f t="shared" si="63"/>
        <v/>
      </c>
    </row>
    <row r="487" spans="1:187" x14ac:dyDescent="0.25">
      <c r="A487" s="127" t="str">
        <f>IF(C487="","",'Datos Generales'!$A$25)</f>
        <v/>
      </c>
      <c r="D487" s="126" t="str">
        <f t="shared" si="56"/>
        <v/>
      </c>
      <c r="E487" s="126">
        <f t="shared" si="57"/>
        <v>0</v>
      </c>
      <c r="F487" s="126" t="str">
        <f t="shared" si="58"/>
        <v/>
      </c>
      <c r="G487" s="126" t="str">
        <f>IF(C487="","",'Datos Generales'!$D$19)</f>
        <v/>
      </c>
      <c r="H487" s="21" t="str">
        <f>IF(C487="","",'Datos Generales'!$A$19)</f>
        <v/>
      </c>
      <c r="I487" s="126" t="str">
        <f>IF(C487="","",'Datos Generales'!$A$7)</f>
        <v/>
      </c>
      <c r="J487" s="21" t="str">
        <f>IF(C487="","",'Datos Generales'!$A$13)</f>
        <v/>
      </c>
      <c r="K487" s="21" t="str">
        <f>IF(C487="","",'Datos Generales'!$A$10)</f>
        <v/>
      </c>
      <c r="CS487" s="142" t="str">
        <f t="shared" si="59"/>
        <v/>
      </c>
      <c r="CT487" s="142" t="str">
        <f t="shared" si="60"/>
        <v/>
      </c>
      <c r="CU487" s="142" t="str">
        <f t="shared" si="61"/>
        <v/>
      </c>
      <c r="CV487" s="142" t="str">
        <f t="shared" si="62"/>
        <v/>
      </c>
      <c r="CW487" s="142" t="str">
        <f>IF(C487="","",IF('Datos Generales'!$A$19=1,AVERAGE(FP487:GD487),AVERAGE(Captura!FP487:FY487)))</f>
        <v/>
      </c>
      <c r="CX487" s="138" t="e">
        <f>IF(VLOOKUP(CONCATENATE($H$4,$F$4,CX$2),Español!$A:$H,7,FALSE)=L487,1,0)</f>
        <v>#N/A</v>
      </c>
      <c r="CY487" s="138" t="e">
        <f>IF(VLOOKUP(CONCATENATE(H487,F487,CY$2),Español!$A:$H,7,FALSE)=M487,1,0)</f>
        <v>#N/A</v>
      </c>
      <c r="CZ487" s="138" t="e">
        <f>IF(VLOOKUP(CONCATENATE(H487,F487,CZ$2),Español!$A:$H,7,FALSE)=N487,1,0)</f>
        <v>#N/A</v>
      </c>
      <c r="DA487" s="138" t="e">
        <f>IF(VLOOKUP(CONCATENATE(H487,F487,DA$2),Español!$A:$H,7,FALSE)=O487,1,0)</f>
        <v>#N/A</v>
      </c>
      <c r="DB487" s="138" t="e">
        <f>IF(VLOOKUP(CONCATENATE(H487,F487,DB$2),Español!$A:$H,7,FALSE)=P487,1,0)</f>
        <v>#N/A</v>
      </c>
      <c r="DC487" s="138" t="e">
        <f>IF(VLOOKUP(CONCATENATE(H487,F487,DC$2),Español!$A:$H,7,FALSE)=Q487,1,0)</f>
        <v>#N/A</v>
      </c>
      <c r="DD487" s="138" t="e">
        <f>IF(VLOOKUP(CONCATENATE(H487,F487,DD$2),Español!$A:$H,7,FALSE)=R487,1,0)</f>
        <v>#N/A</v>
      </c>
      <c r="DE487" s="138" t="e">
        <f>IF(VLOOKUP(CONCATENATE(H487,F487,DE$2),Español!$A:$H,7,FALSE)=S487,1,0)</f>
        <v>#N/A</v>
      </c>
      <c r="DF487" s="138" t="e">
        <f>IF(VLOOKUP(CONCATENATE(H487,F487,DF$2),Español!$A:$H,7,FALSE)=T487,1,0)</f>
        <v>#N/A</v>
      </c>
      <c r="DG487" s="138" t="e">
        <f>IF(VLOOKUP(CONCATENATE(H487,F487,DG$2),Español!$A:$H,7,FALSE)=U487,1,0)</f>
        <v>#N/A</v>
      </c>
      <c r="DH487" s="138" t="e">
        <f>IF(VLOOKUP(CONCATENATE(H487,F487,DH$2),Español!$A:$H,7,FALSE)=V487,1,0)</f>
        <v>#N/A</v>
      </c>
      <c r="DI487" s="138" t="e">
        <f>IF(VLOOKUP(CONCATENATE(H487,F487,DI$2),Español!$A:$H,7,FALSE)=W487,1,0)</f>
        <v>#N/A</v>
      </c>
      <c r="DJ487" s="138" t="e">
        <f>IF(VLOOKUP(CONCATENATE(H487,F487,DJ$2),Español!$A:$H,7,FALSE)=X487,1,0)</f>
        <v>#N/A</v>
      </c>
      <c r="DK487" s="138" t="e">
        <f>IF(VLOOKUP(CONCATENATE(H487,F487,DK$2),Español!$A:$H,7,FALSE)=Y487,1,0)</f>
        <v>#N/A</v>
      </c>
      <c r="DL487" s="138" t="e">
        <f>IF(VLOOKUP(CONCATENATE(H487,F487,DL$2),Español!$A:$H,7,FALSE)=Z487,1,0)</f>
        <v>#N/A</v>
      </c>
      <c r="DM487" s="138" t="e">
        <f>IF(VLOOKUP(CONCATENATE(H487,F487,DM$2),Español!$A:$H,7,FALSE)=AA487,1,0)</f>
        <v>#N/A</v>
      </c>
      <c r="DN487" s="138" t="e">
        <f>IF(VLOOKUP(CONCATENATE(H487,F487,DN$2),Español!$A:$H,7,FALSE)=AB487,1,0)</f>
        <v>#N/A</v>
      </c>
      <c r="DO487" s="138" t="e">
        <f>IF(VLOOKUP(CONCATENATE(H487,F487,DO$2),Español!$A:$H,7,FALSE)=AC487,1,0)</f>
        <v>#N/A</v>
      </c>
      <c r="DP487" s="138" t="e">
        <f>IF(VLOOKUP(CONCATENATE(H487,F487,DP$2),Español!$A:$H,7,FALSE)=AD487,1,0)</f>
        <v>#N/A</v>
      </c>
      <c r="DQ487" s="138" t="e">
        <f>IF(VLOOKUP(CONCATENATE(H487,F487,DQ$2),Español!$A:$H,7,FALSE)=AE487,1,0)</f>
        <v>#N/A</v>
      </c>
      <c r="DR487" s="138" t="e">
        <f>IF(VLOOKUP(CONCATENATE(H487,F487,DR$2),Inglés!$A:$H,7,FALSE)=AF487,1,0)</f>
        <v>#N/A</v>
      </c>
      <c r="DS487" s="138" t="e">
        <f>IF(VLOOKUP(CONCATENATE(H487,F487,DS$2),Inglés!$A:$H,7,FALSE)=AG487,1,0)</f>
        <v>#N/A</v>
      </c>
      <c r="DT487" s="138" t="e">
        <f>IF(VLOOKUP(CONCATENATE(H487,F487,DT$2),Inglés!$A:$H,7,FALSE)=AH487,1,0)</f>
        <v>#N/A</v>
      </c>
      <c r="DU487" s="138" t="e">
        <f>IF(VLOOKUP(CONCATENATE(H487,F487,DU$2),Inglés!$A:$H,7,FALSE)=AI487,1,0)</f>
        <v>#N/A</v>
      </c>
      <c r="DV487" s="138" t="e">
        <f>IF(VLOOKUP(CONCATENATE(H487,F487,DV$2),Inglés!$A:$H,7,FALSE)=AJ487,1,0)</f>
        <v>#N/A</v>
      </c>
      <c r="DW487" s="138" t="e">
        <f>IF(VLOOKUP(CONCATENATE(H487,F487,DW$2),Inglés!$A:$H,7,FALSE)=AK487,1,0)</f>
        <v>#N/A</v>
      </c>
      <c r="DX487" s="138" t="e">
        <f>IF(VLOOKUP(CONCATENATE(H487,F487,DX$2),Inglés!$A:$H,7,FALSE)=AL487,1,0)</f>
        <v>#N/A</v>
      </c>
      <c r="DY487" s="138" t="e">
        <f>IF(VLOOKUP(CONCATENATE(H487,F487,DY$2),Inglés!$A:$H,7,FALSE)=AM487,1,0)</f>
        <v>#N/A</v>
      </c>
      <c r="DZ487" s="138" t="e">
        <f>IF(VLOOKUP(CONCATENATE(H487,F487,DZ$2),Inglés!$A:$H,7,FALSE)=AN487,1,0)</f>
        <v>#N/A</v>
      </c>
      <c r="EA487" s="138" t="e">
        <f>IF(VLOOKUP(CONCATENATE(H487,F487,EA$2),Inglés!$A:$H,7,FALSE)=AO487,1,0)</f>
        <v>#N/A</v>
      </c>
      <c r="EB487" s="138" t="e">
        <f>IF(VLOOKUP(CONCATENATE(H487,F487,EB$2),Matemáticas!$A:$H,7,FALSE)=AP487,1,0)</f>
        <v>#N/A</v>
      </c>
      <c r="EC487" s="138" t="e">
        <f>IF(VLOOKUP(CONCATENATE(H487,F487,EC$2),Matemáticas!$A:$H,7,FALSE)=AQ487,1,0)</f>
        <v>#N/A</v>
      </c>
      <c r="ED487" s="138" t="e">
        <f>IF(VLOOKUP(CONCATENATE(H487,F487,ED$2),Matemáticas!$A:$H,7,FALSE)=AR487,1,0)</f>
        <v>#N/A</v>
      </c>
      <c r="EE487" s="138" t="e">
        <f>IF(VLOOKUP(CONCATENATE(H487,F487,EE$2),Matemáticas!$A:$H,7,FALSE)=AS487,1,0)</f>
        <v>#N/A</v>
      </c>
      <c r="EF487" s="138" t="e">
        <f>IF(VLOOKUP(CONCATENATE(H487,F487,EF$2),Matemáticas!$A:$H,7,FALSE)=AT487,1,0)</f>
        <v>#N/A</v>
      </c>
      <c r="EG487" s="138" t="e">
        <f>IF(VLOOKUP(CONCATENATE(H487,F487,EG$2),Matemáticas!$A:$H,7,FALSE)=AU487,1,0)</f>
        <v>#N/A</v>
      </c>
      <c r="EH487" s="138" t="e">
        <f>IF(VLOOKUP(CONCATENATE(H487,F487,EH$2),Matemáticas!$A:$H,7,FALSE)=AV487,1,0)</f>
        <v>#N/A</v>
      </c>
      <c r="EI487" s="138" t="e">
        <f>IF(VLOOKUP(CONCATENATE(H487,F487,EI$2),Matemáticas!$A:$H,7,FALSE)=AW487,1,0)</f>
        <v>#N/A</v>
      </c>
      <c r="EJ487" s="138" t="e">
        <f>IF(VLOOKUP(CONCATENATE(H487,F487,EJ$2),Matemáticas!$A:$H,7,FALSE)=AX487,1,0)</f>
        <v>#N/A</v>
      </c>
      <c r="EK487" s="138" t="e">
        <f>IF(VLOOKUP(CONCATENATE(H487,F487,EK$2),Matemáticas!$A:$H,7,FALSE)=AY487,1,0)</f>
        <v>#N/A</v>
      </c>
      <c r="EL487" s="138" t="e">
        <f>IF(VLOOKUP(CONCATENATE(H487,F487,EL$2),Matemáticas!$A:$H,7,FALSE)=AZ487,1,0)</f>
        <v>#N/A</v>
      </c>
      <c r="EM487" s="138" t="e">
        <f>IF(VLOOKUP(CONCATENATE(H487,F487,EM$2),Matemáticas!$A:$H,7,FALSE)=BA487,1,0)</f>
        <v>#N/A</v>
      </c>
      <c r="EN487" s="138" t="e">
        <f>IF(VLOOKUP(CONCATENATE(H487,F487,EN$2),Matemáticas!$A:$H,7,FALSE)=BB487,1,0)</f>
        <v>#N/A</v>
      </c>
      <c r="EO487" s="138" t="e">
        <f>IF(VLOOKUP(CONCATENATE(H487,F487,EO$2),Matemáticas!$A:$H,7,FALSE)=BC487,1,0)</f>
        <v>#N/A</v>
      </c>
      <c r="EP487" s="138" t="e">
        <f>IF(VLOOKUP(CONCATENATE(H487,F487,EP$2),Matemáticas!$A:$H,7,FALSE)=BD487,1,0)</f>
        <v>#N/A</v>
      </c>
      <c r="EQ487" s="138" t="e">
        <f>IF(VLOOKUP(CONCATENATE(H487,F487,EQ$2),Matemáticas!$A:$H,7,FALSE)=BE487,1,0)</f>
        <v>#N/A</v>
      </c>
      <c r="ER487" s="138" t="e">
        <f>IF(VLOOKUP(CONCATENATE(H487,F487,ER$2),Matemáticas!$A:$H,7,FALSE)=BF487,1,0)</f>
        <v>#N/A</v>
      </c>
      <c r="ES487" s="138" t="e">
        <f>IF(VLOOKUP(CONCATENATE(H487,F487,ES$2),Matemáticas!$A:$H,7,FALSE)=BG487,1,0)</f>
        <v>#N/A</v>
      </c>
      <c r="ET487" s="138" t="e">
        <f>IF(VLOOKUP(CONCATENATE(H487,F487,ET$2),Matemáticas!$A:$H,7,FALSE)=BH487,1,0)</f>
        <v>#N/A</v>
      </c>
      <c r="EU487" s="138" t="e">
        <f>IF(VLOOKUP(CONCATENATE(H487,F487,EU$2),Matemáticas!$A:$H,7,FALSE)=BI487,1,0)</f>
        <v>#N/A</v>
      </c>
      <c r="EV487" s="138" t="e">
        <f>IF(VLOOKUP(CONCATENATE(H487,F487,EV$2),Ciencias!$A:$H,7,FALSE)=BJ487,1,0)</f>
        <v>#N/A</v>
      </c>
      <c r="EW487" s="138" t="e">
        <f>IF(VLOOKUP(CONCATENATE(H487,F487,EW$2),Ciencias!$A:$H,7,FALSE)=BK487,1,0)</f>
        <v>#N/A</v>
      </c>
      <c r="EX487" s="138" t="e">
        <f>IF(VLOOKUP(CONCATENATE(H487,F487,EX$2),Ciencias!$A:$H,7,FALSE)=BL487,1,0)</f>
        <v>#N/A</v>
      </c>
      <c r="EY487" s="138" t="e">
        <f>IF(VLOOKUP(CONCATENATE(H487,F487,EY$2),Ciencias!$A:$H,7,FALSE)=BM487,1,0)</f>
        <v>#N/A</v>
      </c>
      <c r="EZ487" s="138" t="e">
        <f>IF(VLOOKUP(CONCATENATE(H487,F487,EZ$2),Ciencias!$A:$H,7,FALSE)=BN487,1,0)</f>
        <v>#N/A</v>
      </c>
      <c r="FA487" s="138" t="e">
        <f>IF(VLOOKUP(CONCATENATE(H487,F487,FA$2),Ciencias!$A:$H,7,FALSE)=BO487,1,0)</f>
        <v>#N/A</v>
      </c>
      <c r="FB487" s="138" t="e">
        <f>IF(VLOOKUP(CONCATENATE(H487,F487,FB$2),Ciencias!$A:$H,7,FALSE)=BP487,1,0)</f>
        <v>#N/A</v>
      </c>
      <c r="FC487" s="138" t="e">
        <f>IF(VLOOKUP(CONCATENATE(H487,F487,FC$2),Ciencias!$A:$H,7,FALSE)=BQ487,1,0)</f>
        <v>#N/A</v>
      </c>
      <c r="FD487" s="138" t="e">
        <f>IF(VLOOKUP(CONCATENATE(H487,F487,FD$2),Ciencias!$A:$H,7,FALSE)=BR487,1,0)</f>
        <v>#N/A</v>
      </c>
      <c r="FE487" s="138" t="e">
        <f>IF(VLOOKUP(CONCATENATE(H487,F487,FE$2),Ciencias!$A:$H,7,FALSE)=BS487,1,0)</f>
        <v>#N/A</v>
      </c>
      <c r="FF487" s="138" t="e">
        <f>IF(VLOOKUP(CONCATENATE(H487,F487,FF$2),Ciencias!$A:$H,7,FALSE)=BT487,1,0)</f>
        <v>#N/A</v>
      </c>
      <c r="FG487" s="138" t="e">
        <f>IF(VLOOKUP(CONCATENATE(H487,F487,FG$2),Ciencias!$A:$H,7,FALSE)=BU487,1,0)</f>
        <v>#N/A</v>
      </c>
      <c r="FH487" s="138" t="e">
        <f>IF(VLOOKUP(CONCATENATE(H487,F487,FH$2),Ciencias!$A:$H,7,FALSE)=BV487,1,0)</f>
        <v>#N/A</v>
      </c>
      <c r="FI487" s="138" t="e">
        <f>IF(VLOOKUP(CONCATENATE(H487,F487,FI$2),Ciencias!$A:$H,7,FALSE)=BW487,1,0)</f>
        <v>#N/A</v>
      </c>
      <c r="FJ487" s="138" t="e">
        <f>IF(VLOOKUP(CONCATENATE(H487,F487,FJ$2),Ciencias!$A:$H,7,FALSE)=BX487,1,0)</f>
        <v>#N/A</v>
      </c>
      <c r="FK487" s="138" t="e">
        <f>IF(VLOOKUP(CONCATENATE(H487,F487,FK$2),Ciencias!$A:$H,7,FALSE)=BY487,1,0)</f>
        <v>#N/A</v>
      </c>
      <c r="FL487" s="138" t="e">
        <f>IF(VLOOKUP(CONCATENATE(H487,F487,FL$2),Ciencias!$A:$H,7,FALSE)=BZ487,1,0)</f>
        <v>#N/A</v>
      </c>
      <c r="FM487" s="138" t="e">
        <f>IF(VLOOKUP(CONCATENATE(H487,F487,FM$2),Ciencias!$A:$H,7,FALSE)=CA487,1,0)</f>
        <v>#N/A</v>
      </c>
      <c r="FN487" s="138" t="e">
        <f>IF(VLOOKUP(CONCATENATE(H487,F487,FN$2),Ciencias!$A:$H,7,FALSE)=CB487,1,0)</f>
        <v>#N/A</v>
      </c>
      <c r="FO487" s="138" t="e">
        <f>IF(VLOOKUP(CONCATENATE(H487,F487,FO$2),Ciencias!$A:$H,7,FALSE)=CC487,1,0)</f>
        <v>#N/A</v>
      </c>
      <c r="FP487" s="138" t="e">
        <f>IF(VLOOKUP(CONCATENATE(H487,F487,FP$2),GeoHis!$A:$H,7,FALSE)=CD487,1,0)</f>
        <v>#N/A</v>
      </c>
      <c r="FQ487" s="138" t="e">
        <f>IF(VLOOKUP(CONCATENATE(H487,F487,FQ$2),GeoHis!$A:$H,7,FALSE)=CE487,1,0)</f>
        <v>#N/A</v>
      </c>
      <c r="FR487" s="138" t="e">
        <f>IF(VLOOKUP(CONCATENATE(H487,F487,FR$2),GeoHis!$A:$H,7,FALSE)=CF487,1,0)</f>
        <v>#N/A</v>
      </c>
      <c r="FS487" s="138" t="e">
        <f>IF(VLOOKUP(CONCATENATE(H487,F487,FS$2),GeoHis!$A:$H,7,FALSE)=CG487,1,0)</f>
        <v>#N/A</v>
      </c>
      <c r="FT487" s="138" t="e">
        <f>IF(VLOOKUP(CONCATENATE(H487,F487,FT$2),GeoHis!$A:$H,7,FALSE)=CH487,1,0)</f>
        <v>#N/A</v>
      </c>
      <c r="FU487" s="138" t="e">
        <f>IF(VLOOKUP(CONCATENATE(H487,F487,FU$2),GeoHis!$A:$H,7,FALSE)=CI487,1,0)</f>
        <v>#N/A</v>
      </c>
      <c r="FV487" s="138" t="e">
        <f>IF(VLOOKUP(CONCATENATE(H487,F487,FV$2),GeoHis!$A:$H,7,FALSE)=CJ487,1,0)</f>
        <v>#N/A</v>
      </c>
      <c r="FW487" s="138" t="e">
        <f>IF(VLOOKUP(CONCATENATE(H487,F487,FW$2),GeoHis!$A:$H,7,FALSE)=CK487,1,0)</f>
        <v>#N/A</v>
      </c>
      <c r="FX487" s="138" t="e">
        <f>IF(VLOOKUP(CONCATENATE(H487,F487,FX$2),GeoHis!$A:$H,7,FALSE)=CL487,1,0)</f>
        <v>#N/A</v>
      </c>
      <c r="FY487" s="138" t="e">
        <f>IF(VLOOKUP(CONCATENATE(H487,F487,FY$2),GeoHis!$A:$H,7,FALSE)=CM487,1,0)</f>
        <v>#N/A</v>
      </c>
      <c r="FZ487" s="138" t="e">
        <f>IF(VLOOKUP(CONCATENATE(H487,F487,FZ$2),GeoHis!$A:$H,7,FALSE)=CN487,1,0)</f>
        <v>#N/A</v>
      </c>
      <c r="GA487" s="138" t="e">
        <f>IF(VLOOKUP(CONCATENATE(H487,F487,GA$2),GeoHis!$A:$H,7,FALSE)=CO487,1,0)</f>
        <v>#N/A</v>
      </c>
      <c r="GB487" s="138" t="e">
        <f>IF(VLOOKUP(CONCATENATE(H487,F487,GB$2),GeoHis!$A:$H,7,FALSE)=CP487,1,0)</f>
        <v>#N/A</v>
      </c>
      <c r="GC487" s="138" t="e">
        <f>IF(VLOOKUP(CONCATENATE(H487,F487,GC$2),GeoHis!$A:$H,7,FALSE)=CQ487,1,0)</f>
        <v>#N/A</v>
      </c>
      <c r="GD487" s="138" t="e">
        <f>IF(VLOOKUP(CONCATENATE(H487,F487,GD$2),GeoHis!$A:$H,7,FALSE)=CR487,1,0)</f>
        <v>#N/A</v>
      </c>
      <c r="GE487" s="135" t="str">
        <f t="shared" si="63"/>
        <v/>
      </c>
    </row>
    <row r="488" spans="1:187" x14ac:dyDescent="0.25">
      <c r="A488" s="127" t="str">
        <f>IF(C488="","",'Datos Generales'!$A$25)</f>
        <v/>
      </c>
      <c r="D488" s="126" t="str">
        <f t="shared" si="56"/>
        <v/>
      </c>
      <c r="E488" s="126">
        <f t="shared" si="57"/>
        <v>0</v>
      </c>
      <c r="F488" s="126" t="str">
        <f t="shared" si="58"/>
        <v/>
      </c>
      <c r="G488" s="126" t="str">
        <f>IF(C488="","",'Datos Generales'!$D$19)</f>
        <v/>
      </c>
      <c r="H488" s="21" t="str">
        <f>IF(C488="","",'Datos Generales'!$A$19)</f>
        <v/>
      </c>
      <c r="I488" s="126" t="str">
        <f>IF(C488="","",'Datos Generales'!$A$7)</f>
        <v/>
      </c>
      <c r="J488" s="21" t="str">
        <f>IF(C488="","",'Datos Generales'!$A$13)</f>
        <v/>
      </c>
      <c r="K488" s="21" t="str">
        <f>IF(C488="","",'Datos Generales'!$A$10)</f>
        <v/>
      </c>
      <c r="CS488" s="142" t="str">
        <f t="shared" si="59"/>
        <v/>
      </c>
      <c r="CT488" s="142" t="str">
        <f t="shared" si="60"/>
        <v/>
      </c>
      <c r="CU488" s="142" t="str">
        <f t="shared" si="61"/>
        <v/>
      </c>
      <c r="CV488" s="142" t="str">
        <f t="shared" si="62"/>
        <v/>
      </c>
      <c r="CW488" s="142" t="str">
        <f>IF(C488="","",IF('Datos Generales'!$A$19=1,AVERAGE(FP488:GD488),AVERAGE(Captura!FP488:FY488)))</f>
        <v/>
      </c>
      <c r="CX488" s="138" t="e">
        <f>IF(VLOOKUP(CONCATENATE($H$4,$F$4,CX$2),Español!$A:$H,7,FALSE)=L488,1,0)</f>
        <v>#N/A</v>
      </c>
      <c r="CY488" s="138" t="e">
        <f>IF(VLOOKUP(CONCATENATE(H488,F488,CY$2),Español!$A:$H,7,FALSE)=M488,1,0)</f>
        <v>#N/A</v>
      </c>
      <c r="CZ488" s="138" t="e">
        <f>IF(VLOOKUP(CONCATENATE(H488,F488,CZ$2),Español!$A:$H,7,FALSE)=N488,1,0)</f>
        <v>#N/A</v>
      </c>
      <c r="DA488" s="138" t="e">
        <f>IF(VLOOKUP(CONCATENATE(H488,F488,DA$2),Español!$A:$H,7,FALSE)=O488,1,0)</f>
        <v>#N/A</v>
      </c>
      <c r="DB488" s="138" t="e">
        <f>IF(VLOOKUP(CONCATENATE(H488,F488,DB$2),Español!$A:$H,7,FALSE)=P488,1,0)</f>
        <v>#N/A</v>
      </c>
      <c r="DC488" s="138" t="e">
        <f>IF(VLOOKUP(CONCATENATE(H488,F488,DC$2),Español!$A:$H,7,FALSE)=Q488,1,0)</f>
        <v>#N/A</v>
      </c>
      <c r="DD488" s="138" t="e">
        <f>IF(VLOOKUP(CONCATENATE(H488,F488,DD$2),Español!$A:$H,7,FALSE)=R488,1,0)</f>
        <v>#N/A</v>
      </c>
      <c r="DE488" s="138" t="e">
        <f>IF(VLOOKUP(CONCATENATE(H488,F488,DE$2),Español!$A:$H,7,FALSE)=S488,1,0)</f>
        <v>#N/A</v>
      </c>
      <c r="DF488" s="138" t="e">
        <f>IF(VLOOKUP(CONCATENATE(H488,F488,DF$2),Español!$A:$H,7,FALSE)=T488,1,0)</f>
        <v>#N/A</v>
      </c>
      <c r="DG488" s="138" t="e">
        <f>IF(VLOOKUP(CONCATENATE(H488,F488,DG$2),Español!$A:$H,7,FALSE)=U488,1,0)</f>
        <v>#N/A</v>
      </c>
      <c r="DH488" s="138" t="e">
        <f>IF(VLOOKUP(CONCATENATE(H488,F488,DH$2),Español!$A:$H,7,FALSE)=V488,1,0)</f>
        <v>#N/A</v>
      </c>
      <c r="DI488" s="138" t="e">
        <f>IF(VLOOKUP(CONCATENATE(H488,F488,DI$2),Español!$A:$H,7,FALSE)=W488,1,0)</f>
        <v>#N/A</v>
      </c>
      <c r="DJ488" s="138" t="e">
        <f>IF(VLOOKUP(CONCATENATE(H488,F488,DJ$2),Español!$A:$H,7,FALSE)=X488,1,0)</f>
        <v>#N/A</v>
      </c>
      <c r="DK488" s="138" t="e">
        <f>IF(VLOOKUP(CONCATENATE(H488,F488,DK$2),Español!$A:$H,7,FALSE)=Y488,1,0)</f>
        <v>#N/A</v>
      </c>
      <c r="DL488" s="138" t="e">
        <f>IF(VLOOKUP(CONCATENATE(H488,F488,DL$2),Español!$A:$H,7,FALSE)=Z488,1,0)</f>
        <v>#N/A</v>
      </c>
      <c r="DM488" s="138" t="e">
        <f>IF(VLOOKUP(CONCATENATE(H488,F488,DM$2),Español!$A:$H,7,FALSE)=AA488,1,0)</f>
        <v>#N/A</v>
      </c>
      <c r="DN488" s="138" t="e">
        <f>IF(VLOOKUP(CONCATENATE(H488,F488,DN$2),Español!$A:$H,7,FALSE)=AB488,1,0)</f>
        <v>#N/A</v>
      </c>
      <c r="DO488" s="138" t="e">
        <f>IF(VLOOKUP(CONCATENATE(H488,F488,DO$2),Español!$A:$H,7,FALSE)=AC488,1,0)</f>
        <v>#N/A</v>
      </c>
      <c r="DP488" s="138" t="e">
        <f>IF(VLOOKUP(CONCATENATE(H488,F488,DP$2),Español!$A:$H,7,FALSE)=AD488,1,0)</f>
        <v>#N/A</v>
      </c>
      <c r="DQ488" s="138" t="e">
        <f>IF(VLOOKUP(CONCATENATE(H488,F488,DQ$2),Español!$A:$H,7,FALSE)=AE488,1,0)</f>
        <v>#N/A</v>
      </c>
      <c r="DR488" s="138" t="e">
        <f>IF(VLOOKUP(CONCATENATE(H488,F488,DR$2),Inglés!$A:$H,7,FALSE)=AF488,1,0)</f>
        <v>#N/A</v>
      </c>
      <c r="DS488" s="138" t="e">
        <f>IF(VLOOKUP(CONCATENATE(H488,F488,DS$2),Inglés!$A:$H,7,FALSE)=AG488,1,0)</f>
        <v>#N/A</v>
      </c>
      <c r="DT488" s="138" t="e">
        <f>IF(VLOOKUP(CONCATENATE(H488,F488,DT$2),Inglés!$A:$H,7,FALSE)=AH488,1,0)</f>
        <v>#N/A</v>
      </c>
      <c r="DU488" s="138" t="e">
        <f>IF(VLOOKUP(CONCATENATE(H488,F488,DU$2),Inglés!$A:$H,7,FALSE)=AI488,1,0)</f>
        <v>#N/A</v>
      </c>
      <c r="DV488" s="138" t="e">
        <f>IF(VLOOKUP(CONCATENATE(H488,F488,DV$2),Inglés!$A:$H,7,FALSE)=AJ488,1,0)</f>
        <v>#N/A</v>
      </c>
      <c r="DW488" s="138" t="e">
        <f>IF(VLOOKUP(CONCATENATE(H488,F488,DW$2),Inglés!$A:$H,7,FALSE)=AK488,1,0)</f>
        <v>#N/A</v>
      </c>
      <c r="DX488" s="138" t="e">
        <f>IF(VLOOKUP(CONCATENATE(H488,F488,DX$2),Inglés!$A:$H,7,FALSE)=AL488,1,0)</f>
        <v>#N/A</v>
      </c>
      <c r="DY488" s="138" t="e">
        <f>IF(VLOOKUP(CONCATENATE(H488,F488,DY$2),Inglés!$A:$H,7,FALSE)=AM488,1,0)</f>
        <v>#N/A</v>
      </c>
      <c r="DZ488" s="138" t="e">
        <f>IF(VLOOKUP(CONCATENATE(H488,F488,DZ$2),Inglés!$A:$H,7,FALSE)=AN488,1,0)</f>
        <v>#N/A</v>
      </c>
      <c r="EA488" s="138" t="e">
        <f>IF(VLOOKUP(CONCATENATE(H488,F488,EA$2),Inglés!$A:$H,7,FALSE)=AO488,1,0)</f>
        <v>#N/A</v>
      </c>
      <c r="EB488" s="138" t="e">
        <f>IF(VLOOKUP(CONCATENATE(H488,F488,EB$2),Matemáticas!$A:$H,7,FALSE)=AP488,1,0)</f>
        <v>#N/A</v>
      </c>
      <c r="EC488" s="138" t="e">
        <f>IF(VLOOKUP(CONCATENATE(H488,F488,EC$2),Matemáticas!$A:$H,7,FALSE)=AQ488,1,0)</f>
        <v>#N/A</v>
      </c>
      <c r="ED488" s="138" t="e">
        <f>IF(VLOOKUP(CONCATENATE(H488,F488,ED$2),Matemáticas!$A:$H,7,FALSE)=AR488,1,0)</f>
        <v>#N/A</v>
      </c>
      <c r="EE488" s="138" t="e">
        <f>IF(VLOOKUP(CONCATENATE(H488,F488,EE$2),Matemáticas!$A:$H,7,FALSE)=AS488,1,0)</f>
        <v>#N/A</v>
      </c>
      <c r="EF488" s="138" t="e">
        <f>IF(VLOOKUP(CONCATENATE(H488,F488,EF$2),Matemáticas!$A:$H,7,FALSE)=AT488,1,0)</f>
        <v>#N/A</v>
      </c>
      <c r="EG488" s="138" t="e">
        <f>IF(VLOOKUP(CONCATENATE(H488,F488,EG$2),Matemáticas!$A:$H,7,FALSE)=AU488,1,0)</f>
        <v>#N/A</v>
      </c>
      <c r="EH488" s="138" t="e">
        <f>IF(VLOOKUP(CONCATENATE(H488,F488,EH$2),Matemáticas!$A:$H,7,FALSE)=AV488,1,0)</f>
        <v>#N/A</v>
      </c>
      <c r="EI488" s="138" t="e">
        <f>IF(VLOOKUP(CONCATENATE(H488,F488,EI$2),Matemáticas!$A:$H,7,FALSE)=AW488,1,0)</f>
        <v>#N/A</v>
      </c>
      <c r="EJ488" s="138" t="e">
        <f>IF(VLOOKUP(CONCATENATE(H488,F488,EJ$2),Matemáticas!$A:$H,7,FALSE)=AX488,1,0)</f>
        <v>#N/A</v>
      </c>
      <c r="EK488" s="138" t="e">
        <f>IF(VLOOKUP(CONCATENATE(H488,F488,EK$2),Matemáticas!$A:$H,7,FALSE)=AY488,1,0)</f>
        <v>#N/A</v>
      </c>
      <c r="EL488" s="138" t="e">
        <f>IF(VLOOKUP(CONCATENATE(H488,F488,EL$2),Matemáticas!$A:$H,7,FALSE)=AZ488,1,0)</f>
        <v>#N/A</v>
      </c>
      <c r="EM488" s="138" t="e">
        <f>IF(VLOOKUP(CONCATENATE(H488,F488,EM$2),Matemáticas!$A:$H,7,FALSE)=BA488,1,0)</f>
        <v>#N/A</v>
      </c>
      <c r="EN488" s="138" t="e">
        <f>IF(VLOOKUP(CONCATENATE(H488,F488,EN$2),Matemáticas!$A:$H,7,FALSE)=BB488,1,0)</f>
        <v>#N/A</v>
      </c>
      <c r="EO488" s="138" t="e">
        <f>IF(VLOOKUP(CONCATENATE(H488,F488,EO$2),Matemáticas!$A:$H,7,FALSE)=BC488,1,0)</f>
        <v>#N/A</v>
      </c>
      <c r="EP488" s="138" t="e">
        <f>IF(VLOOKUP(CONCATENATE(H488,F488,EP$2),Matemáticas!$A:$H,7,FALSE)=BD488,1,0)</f>
        <v>#N/A</v>
      </c>
      <c r="EQ488" s="138" t="e">
        <f>IF(VLOOKUP(CONCATENATE(H488,F488,EQ$2),Matemáticas!$A:$H,7,FALSE)=BE488,1,0)</f>
        <v>#N/A</v>
      </c>
      <c r="ER488" s="138" t="e">
        <f>IF(VLOOKUP(CONCATENATE(H488,F488,ER$2),Matemáticas!$A:$H,7,FALSE)=BF488,1,0)</f>
        <v>#N/A</v>
      </c>
      <c r="ES488" s="138" t="e">
        <f>IF(VLOOKUP(CONCATENATE(H488,F488,ES$2),Matemáticas!$A:$H,7,FALSE)=BG488,1,0)</f>
        <v>#N/A</v>
      </c>
      <c r="ET488" s="138" t="e">
        <f>IF(VLOOKUP(CONCATENATE(H488,F488,ET$2),Matemáticas!$A:$H,7,FALSE)=BH488,1,0)</f>
        <v>#N/A</v>
      </c>
      <c r="EU488" s="138" t="e">
        <f>IF(VLOOKUP(CONCATENATE(H488,F488,EU$2),Matemáticas!$A:$H,7,FALSE)=BI488,1,0)</f>
        <v>#N/A</v>
      </c>
      <c r="EV488" s="138" t="e">
        <f>IF(VLOOKUP(CONCATENATE(H488,F488,EV$2),Ciencias!$A:$H,7,FALSE)=BJ488,1,0)</f>
        <v>#N/A</v>
      </c>
      <c r="EW488" s="138" t="e">
        <f>IF(VLOOKUP(CONCATENATE(H488,F488,EW$2),Ciencias!$A:$H,7,FALSE)=BK488,1,0)</f>
        <v>#N/A</v>
      </c>
      <c r="EX488" s="138" t="e">
        <f>IF(VLOOKUP(CONCATENATE(H488,F488,EX$2),Ciencias!$A:$H,7,FALSE)=BL488,1,0)</f>
        <v>#N/A</v>
      </c>
      <c r="EY488" s="138" t="e">
        <f>IF(VLOOKUP(CONCATENATE(H488,F488,EY$2),Ciencias!$A:$H,7,FALSE)=BM488,1,0)</f>
        <v>#N/A</v>
      </c>
      <c r="EZ488" s="138" t="e">
        <f>IF(VLOOKUP(CONCATENATE(H488,F488,EZ$2),Ciencias!$A:$H,7,FALSE)=BN488,1,0)</f>
        <v>#N/A</v>
      </c>
      <c r="FA488" s="138" t="e">
        <f>IF(VLOOKUP(CONCATENATE(H488,F488,FA$2),Ciencias!$A:$H,7,FALSE)=BO488,1,0)</f>
        <v>#N/A</v>
      </c>
      <c r="FB488" s="138" t="e">
        <f>IF(VLOOKUP(CONCATENATE(H488,F488,FB$2),Ciencias!$A:$H,7,FALSE)=BP488,1,0)</f>
        <v>#N/A</v>
      </c>
      <c r="FC488" s="138" t="e">
        <f>IF(VLOOKUP(CONCATENATE(H488,F488,FC$2),Ciencias!$A:$H,7,FALSE)=BQ488,1,0)</f>
        <v>#N/A</v>
      </c>
      <c r="FD488" s="138" t="e">
        <f>IF(VLOOKUP(CONCATENATE(H488,F488,FD$2),Ciencias!$A:$H,7,FALSE)=BR488,1,0)</f>
        <v>#N/A</v>
      </c>
      <c r="FE488" s="138" t="e">
        <f>IF(VLOOKUP(CONCATENATE(H488,F488,FE$2),Ciencias!$A:$H,7,FALSE)=BS488,1,0)</f>
        <v>#N/A</v>
      </c>
      <c r="FF488" s="138" t="e">
        <f>IF(VLOOKUP(CONCATENATE(H488,F488,FF$2),Ciencias!$A:$H,7,FALSE)=BT488,1,0)</f>
        <v>#N/A</v>
      </c>
      <c r="FG488" s="138" t="e">
        <f>IF(VLOOKUP(CONCATENATE(H488,F488,FG$2),Ciencias!$A:$H,7,FALSE)=BU488,1,0)</f>
        <v>#N/A</v>
      </c>
      <c r="FH488" s="138" t="e">
        <f>IF(VLOOKUP(CONCATENATE(H488,F488,FH$2),Ciencias!$A:$H,7,FALSE)=BV488,1,0)</f>
        <v>#N/A</v>
      </c>
      <c r="FI488" s="138" t="e">
        <f>IF(VLOOKUP(CONCATENATE(H488,F488,FI$2),Ciencias!$A:$H,7,FALSE)=BW488,1,0)</f>
        <v>#N/A</v>
      </c>
      <c r="FJ488" s="138" t="e">
        <f>IF(VLOOKUP(CONCATENATE(H488,F488,FJ$2),Ciencias!$A:$H,7,FALSE)=BX488,1,0)</f>
        <v>#N/A</v>
      </c>
      <c r="FK488" s="138" t="e">
        <f>IF(VLOOKUP(CONCATENATE(H488,F488,FK$2),Ciencias!$A:$H,7,FALSE)=BY488,1,0)</f>
        <v>#N/A</v>
      </c>
      <c r="FL488" s="138" t="e">
        <f>IF(VLOOKUP(CONCATENATE(H488,F488,FL$2),Ciencias!$A:$H,7,FALSE)=BZ488,1,0)</f>
        <v>#N/A</v>
      </c>
      <c r="FM488" s="138" t="e">
        <f>IF(VLOOKUP(CONCATENATE(H488,F488,FM$2),Ciencias!$A:$H,7,FALSE)=CA488,1,0)</f>
        <v>#N/A</v>
      </c>
      <c r="FN488" s="138" t="e">
        <f>IF(VLOOKUP(CONCATENATE(H488,F488,FN$2),Ciencias!$A:$H,7,FALSE)=CB488,1,0)</f>
        <v>#N/A</v>
      </c>
      <c r="FO488" s="138" t="e">
        <f>IF(VLOOKUP(CONCATENATE(H488,F488,FO$2),Ciencias!$A:$H,7,FALSE)=CC488,1,0)</f>
        <v>#N/A</v>
      </c>
      <c r="FP488" s="138" t="e">
        <f>IF(VLOOKUP(CONCATENATE(H488,F488,FP$2),GeoHis!$A:$H,7,FALSE)=CD488,1,0)</f>
        <v>#N/A</v>
      </c>
      <c r="FQ488" s="138" t="e">
        <f>IF(VLOOKUP(CONCATENATE(H488,F488,FQ$2),GeoHis!$A:$H,7,FALSE)=CE488,1,0)</f>
        <v>#N/A</v>
      </c>
      <c r="FR488" s="138" t="e">
        <f>IF(VLOOKUP(CONCATENATE(H488,F488,FR$2),GeoHis!$A:$H,7,FALSE)=CF488,1,0)</f>
        <v>#N/A</v>
      </c>
      <c r="FS488" s="138" t="e">
        <f>IF(VLOOKUP(CONCATENATE(H488,F488,FS$2),GeoHis!$A:$H,7,FALSE)=CG488,1,0)</f>
        <v>#N/A</v>
      </c>
      <c r="FT488" s="138" t="e">
        <f>IF(VLOOKUP(CONCATENATE(H488,F488,FT$2),GeoHis!$A:$H,7,FALSE)=CH488,1,0)</f>
        <v>#N/A</v>
      </c>
      <c r="FU488" s="138" t="e">
        <f>IF(VLOOKUP(CONCATENATE(H488,F488,FU$2),GeoHis!$A:$H,7,FALSE)=CI488,1,0)</f>
        <v>#N/A</v>
      </c>
      <c r="FV488" s="138" t="e">
        <f>IF(VLOOKUP(CONCATENATE(H488,F488,FV$2),GeoHis!$A:$H,7,FALSE)=CJ488,1,0)</f>
        <v>#N/A</v>
      </c>
      <c r="FW488" s="138" t="e">
        <f>IF(VLOOKUP(CONCATENATE(H488,F488,FW$2),GeoHis!$A:$H,7,FALSE)=CK488,1,0)</f>
        <v>#N/A</v>
      </c>
      <c r="FX488" s="138" t="e">
        <f>IF(VLOOKUP(CONCATENATE(H488,F488,FX$2),GeoHis!$A:$H,7,FALSE)=CL488,1,0)</f>
        <v>#N/A</v>
      </c>
      <c r="FY488" s="138" t="e">
        <f>IF(VLOOKUP(CONCATENATE(H488,F488,FY$2),GeoHis!$A:$H,7,FALSE)=CM488,1,0)</f>
        <v>#N/A</v>
      </c>
      <c r="FZ488" s="138" t="e">
        <f>IF(VLOOKUP(CONCATENATE(H488,F488,FZ$2),GeoHis!$A:$H,7,FALSE)=CN488,1,0)</f>
        <v>#N/A</v>
      </c>
      <c r="GA488" s="138" t="e">
        <f>IF(VLOOKUP(CONCATENATE(H488,F488,GA$2),GeoHis!$A:$H,7,FALSE)=CO488,1,0)</f>
        <v>#N/A</v>
      </c>
      <c r="GB488" s="138" t="e">
        <f>IF(VLOOKUP(CONCATENATE(H488,F488,GB$2),GeoHis!$A:$H,7,FALSE)=CP488,1,0)</f>
        <v>#N/A</v>
      </c>
      <c r="GC488" s="138" t="e">
        <f>IF(VLOOKUP(CONCATENATE(H488,F488,GC$2),GeoHis!$A:$H,7,FALSE)=CQ488,1,0)</f>
        <v>#N/A</v>
      </c>
      <c r="GD488" s="138" t="e">
        <f>IF(VLOOKUP(CONCATENATE(H488,F488,GD$2),GeoHis!$A:$H,7,FALSE)=CR488,1,0)</f>
        <v>#N/A</v>
      </c>
      <c r="GE488" s="135" t="str">
        <f t="shared" si="63"/>
        <v/>
      </c>
    </row>
    <row r="489" spans="1:187" x14ac:dyDescent="0.25">
      <c r="A489" s="127" t="str">
        <f>IF(C489="","",'Datos Generales'!$A$25)</f>
        <v/>
      </c>
      <c r="D489" s="126" t="str">
        <f t="shared" si="56"/>
        <v/>
      </c>
      <c r="E489" s="126">
        <f t="shared" si="57"/>
        <v>0</v>
      </c>
      <c r="F489" s="126" t="str">
        <f t="shared" si="58"/>
        <v/>
      </c>
      <c r="G489" s="126" t="str">
        <f>IF(C489="","",'Datos Generales'!$D$19)</f>
        <v/>
      </c>
      <c r="H489" s="21" t="str">
        <f>IF(C489="","",'Datos Generales'!$A$19)</f>
        <v/>
      </c>
      <c r="I489" s="126" t="str">
        <f>IF(C489="","",'Datos Generales'!$A$7)</f>
        <v/>
      </c>
      <c r="J489" s="21" t="str">
        <f>IF(C489="","",'Datos Generales'!$A$13)</f>
        <v/>
      </c>
      <c r="K489" s="21" t="str">
        <f>IF(C489="","",'Datos Generales'!$A$10)</f>
        <v/>
      </c>
      <c r="CS489" s="142" t="str">
        <f t="shared" si="59"/>
        <v/>
      </c>
      <c r="CT489" s="142" t="str">
        <f t="shared" si="60"/>
        <v/>
      </c>
      <c r="CU489" s="142" t="str">
        <f t="shared" si="61"/>
        <v/>
      </c>
      <c r="CV489" s="142" t="str">
        <f t="shared" si="62"/>
        <v/>
      </c>
      <c r="CW489" s="142" t="str">
        <f>IF(C489="","",IF('Datos Generales'!$A$19=1,AVERAGE(FP489:GD489),AVERAGE(Captura!FP489:FY489)))</f>
        <v/>
      </c>
      <c r="CX489" s="138" t="e">
        <f>IF(VLOOKUP(CONCATENATE($H$4,$F$4,CX$2),Español!$A:$H,7,FALSE)=L489,1,0)</f>
        <v>#N/A</v>
      </c>
      <c r="CY489" s="138" t="e">
        <f>IF(VLOOKUP(CONCATENATE(H489,F489,CY$2),Español!$A:$H,7,FALSE)=M489,1,0)</f>
        <v>#N/A</v>
      </c>
      <c r="CZ489" s="138" t="e">
        <f>IF(VLOOKUP(CONCATENATE(H489,F489,CZ$2),Español!$A:$H,7,FALSE)=N489,1,0)</f>
        <v>#N/A</v>
      </c>
      <c r="DA489" s="138" t="e">
        <f>IF(VLOOKUP(CONCATENATE(H489,F489,DA$2),Español!$A:$H,7,FALSE)=O489,1,0)</f>
        <v>#N/A</v>
      </c>
      <c r="DB489" s="138" t="e">
        <f>IF(VLOOKUP(CONCATENATE(H489,F489,DB$2),Español!$A:$H,7,FALSE)=P489,1,0)</f>
        <v>#N/A</v>
      </c>
      <c r="DC489" s="138" t="e">
        <f>IF(VLOOKUP(CONCATENATE(H489,F489,DC$2),Español!$A:$H,7,FALSE)=Q489,1,0)</f>
        <v>#N/A</v>
      </c>
      <c r="DD489" s="138" t="e">
        <f>IF(VLOOKUP(CONCATENATE(H489,F489,DD$2),Español!$A:$H,7,FALSE)=R489,1,0)</f>
        <v>#N/A</v>
      </c>
      <c r="DE489" s="138" t="e">
        <f>IF(VLOOKUP(CONCATENATE(H489,F489,DE$2),Español!$A:$H,7,FALSE)=S489,1,0)</f>
        <v>#N/A</v>
      </c>
      <c r="DF489" s="138" t="e">
        <f>IF(VLOOKUP(CONCATENATE(H489,F489,DF$2),Español!$A:$H,7,FALSE)=T489,1,0)</f>
        <v>#N/A</v>
      </c>
      <c r="DG489" s="138" t="e">
        <f>IF(VLOOKUP(CONCATENATE(H489,F489,DG$2),Español!$A:$H,7,FALSE)=U489,1,0)</f>
        <v>#N/A</v>
      </c>
      <c r="DH489" s="138" t="e">
        <f>IF(VLOOKUP(CONCATENATE(H489,F489,DH$2),Español!$A:$H,7,FALSE)=V489,1,0)</f>
        <v>#N/A</v>
      </c>
      <c r="DI489" s="138" t="e">
        <f>IF(VLOOKUP(CONCATENATE(H489,F489,DI$2),Español!$A:$H,7,FALSE)=W489,1,0)</f>
        <v>#N/A</v>
      </c>
      <c r="DJ489" s="138" t="e">
        <f>IF(VLOOKUP(CONCATENATE(H489,F489,DJ$2),Español!$A:$H,7,FALSE)=X489,1,0)</f>
        <v>#N/A</v>
      </c>
      <c r="DK489" s="138" t="e">
        <f>IF(VLOOKUP(CONCATENATE(H489,F489,DK$2),Español!$A:$H,7,FALSE)=Y489,1,0)</f>
        <v>#N/A</v>
      </c>
      <c r="DL489" s="138" t="e">
        <f>IF(VLOOKUP(CONCATENATE(H489,F489,DL$2),Español!$A:$H,7,FALSE)=Z489,1,0)</f>
        <v>#N/A</v>
      </c>
      <c r="DM489" s="138" t="e">
        <f>IF(VLOOKUP(CONCATENATE(H489,F489,DM$2),Español!$A:$H,7,FALSE)=AA489,1,0)</f>
        <v>#N/A</v>
      </c>
      <c r="DN489" s="138" t="e">
        <f>IF(VLOOKUP(CONCATENATE(H489,F489,DN$2),Español!$A:$H,7,FALSE)=AB489,1,0)</f>
        <v>#N/A</v>
      </c>
      <c r="DO489" s="138" t="e">
        <f>IF(VLOOKUP(CONCATENATE(H489,F489,DO$2),Español!$A:$H,7,FALSE)=AC489,1,0)</f>
        <v>#N/A</v>
      </c>
      <c r="DP489" s="138" t="e">
        <f>IF(VLOOKUP(CONCATENATE(H489,F489,DP$2),Español!$A:$H,7,FALSE)=AD489,1,0)</f>
        <v>#N/A</v>
      </c>
      <c r="DQ489" s="138" t="e">
        <f>IF(VLOOKUP(CONCATENATE(H489,F489,DQ$2),Español!$A:$H,7,FALSE)=AE489,1,0)</f>
        <v>#N/A</v>
      </c>
      <c r="DR489" s="138" t="e">
        <f>IF(VLOOKUP(CONCATENATE(H489,F489,DR$2),Inglés!$A:$H,7,FALSE)=AF489,1,0)</f>
        <v>#N/A</v>
      </c>
      <c r="DS489" s="138" t="e">
        <f>IF(VLOOKUP(CONCATENATE(H489,F489,DS$2),Inglés!$A:$H,7,FALSE)=AG489,1,0)</f>
        <v>#N/A</v>
      </c>
      <c r="DT489" s="138" t="e">
        <f>IF(VLOOKUP(CONCATENATE(H489,F489,DT$2),Inglés!$A:$H,7,FALSE)=AH489,1,0)</f>
        <v>#N/A</v>
      </c>
      <c r="DU489" s="138" t="e">
        <f>IF(VLOOKUP(CONCATENATE(H489,F489,DU$2),Inglés!$A:$H,7,FALSE)=AI489,1,0)</f>
        <v>#N/A</v>
      </c>
      <c r="DV489" s="138" t="e">
        <f>IF(VLOOKUP(CONCATENATE(H489,F489,DV$2),Inglés!$A:$H,7,FALSE)=AJ489,1,0)</f>
        <v>#N/A</v>
      </c>
      <c r="DW489" s="138" t="e">
        <f>IF(VLOOKUP(CONCATENATE(H489,F489,DW$2),Inglés!$A:$H,7,FALSE)=AK489,1,0)</f>
        <v>#N/A</v>
      </c>
      <c r="DX489" s="138" t="e">
        <f>IF(VLOOKUP(CONCATENATE(H489,F489,DX$2),Inglés!$A:$H,7,FALSE)=AL489,1,0)</f>
        <v>#N/A</v>
      </c>
      <c r="DY489" s="138" t="e">
        <f>IF(VLOOKUP(CONCATENATE(H489,F489,DY$2),Inglés!$A:$H,7,FALSE)=AM489,1,0)</f>
        <v>#N/A</v>
      </c>
      <c r="DZ489" s="138" t="e">
        <f>IF(VLOOKUP(CONCATENATE(H489,F489,DZ$2),Inglés!$A:$H,7,FALSE)=AN489,1,0)</f>
        <v>#N/A</v>
      </c>
      <c r="EA489" s="138" t="e">
        <f>IF(VLOOKUP(CONCATENATE(H489,F489,EA$2),Inglés!$A:$H,7,FALSE)=AO489,1,0)</f>
        <v>#N/A</v>
      </c>
      <c r="EB489" s="138" t="e">
        <f>IF(VLOOKUP(CONCATENATE(H489,F489,EB$2),Matemáticas!$A:$H,7,FALSE)=AP489,1,0)</f>
        <v>#N/A</v>
      </c>
      <c r="EC489" s="138" t="e">
        <f>IF(VLOOKUP(CONCATENATE(H489,F489,EC$2),Matemáticas!$A:$H,7,FALSE)=AQ489,1,0)</f>
        <v>#N/A</v>
      </c>
      <c r="ED489" s="138" t="e">
        <f>IF(VLOOKUP(CONCATENATE(H489,F489,ED$2),Matemáticas!$A:$H,7,FALSE)=AR489,1,0)</f>
        <v>#N/A</v>
      </c>
      <c r="EE489" s="138" t="e">
        <f>IF(VLOOKUP(CONCATENATE(H489,F489,EE$2),Matemáticas!$A:$H,7,FALSE)=AS489,1,0)</f>
        <v>#N/A</v>
      </c>
      <c r="EF489" s="138" t="e">
        <f>IF(VLOOKUP(CONCATENATE(H489,F489,EF$2),Matemáticas!$A:$H,7,FALSE)=AT489,1,0)</f>
        <v>#N/A</v>
      </c>
      <c r="EG489" s="138" t="e">
        <f>IF(VLOOKUP(CONCATENATE(H489,F489,EG$2),Matemáticas!$A:$H,7,FALSE)=AU489,1,0)</f>
        <v>#N/A</v>
      </c>
      <c r="EH489" s="138" t="e">
        <f>IF(VLOOKUP(CONCATENATE(H489,F489,EH$2),Matemáticas!$A:$H,7,FALSE)=AV489,1,0)</f>
        <v>#N/A</v>
      </c>
      <c r="EI489" s="138" t="e">
        <f>IF(VLOOKUP(CONCATENATE(H489,F489,EI$2),Matemáticas!$A:$H,7,FALSE)=AW489,1,0)</f>
        <v>#N/A</v>
      </c>
      <c r="EJ489" s="138" t="e">
        <f>IF(VLOOKUP(CONCATENATE(H489,F489,EJ$2),Matemáticas!$A:$H,7,FALSE)=AX489,1,0)</f>
        <v>#N/A</v>
      </c>
      <c r="EK489" s="138" t="e">
        <f>IF(VLOOKUP(CONCATENATE(H489,F489,EK$2),Matemáticas!$A:$H,7,FALSE)=AY489,1,0)</f>
        <v>#N/A</v>
      </c>
      <c r="EL489" s="138" t="e">
        <f>IF(VLOOKUP(CONCATENATE(H489,F489,EL$2),Matemáticas!$A:$H,7,FALSE)=AZ489,1,0)</f>
        <v>#N/A</v>
      </c>
      <c r="EM489" s="138" t="e">
        <f>IF(VLOOKUP(CONCATENATE(H489,F489,EM$2),Matemáticas!$A:$H,7,FALSE)=BA489,1,0)</f>
        <v>#N/A</v>
      </c>
      <c r="EN489" s="138" t="e">
        <f>IF(VLOOKUP(CONCATENATE(H489,F489,EN$2),Matemáticas!$A:$H,7,FALSE)=BB489,1,0)</f>
        <v>#N/A</v>
      </c>
      <c r="EO489" s="138" t="e">
        <f>IF(VLOOKUP(CONCATENATE(H489,F489,EO$2),Matemáticas!$A:$H,7,FALSE)=BC489,1,0)</f>
        <v>#N/A</v>
      </c>
      <c r="EP489" s="138" t="e">
        <f>IF(VLOOKUP(CONCATENATE(H489,F489,EP$2),Matemáticas!$A:$H,7,FALSE)=BD489,1,0)</f>
        <v>#N/A</v>
      </c>
      <c r="EQ489" s="138" t="e">
        <f>IF(VLOOKUP(CONCATENATE(H489,F489,EQ$2),Matemáticas!$A:$H,7,FALSE)=BE489,1,0)</f>
        <v>#N/A</v>
      </c>
      <c r="ER489" s="138" t="e">
        <f>IF(VLOOKUP(CONCATENATE(H489,F489,ER$2),Matemáticas!$A:$H,7,FALSE)=BF489,1,0)</f>
        <v>#N/A</v>
      </c>
      <c r="ES489" s="138" t="e">
        <f>IF(VLOOKUP(CONCATENATE(H489,F489,ES$2),Matemáticas!$A:$H,7,FALSE)=BG489,1,0)</f>
        <v>#N/A</v>
      </c>
      <c r="ET489" s="138" t="e">
        <f>IF(VLOOKUP(CONCATENATE(H489,F489,ET$2),Matemáticas!$A:$H,7,FALSE)=BH489,1,0)</f>
        <v>#N/A</v>
      </c>
      <c r="EU489" s="138" t="e">
        <f>IF(VLOOKUP(CONCATENATE(H489,F489,EU$2),Matemáticas!$A:$H,7,FALSE)=BI489,1,0)</f>
        <v>#N/A</v>
      </c>
      <c r="EV489" s="138" t="e">
        <f>IF(VLOOKUP(CONCATENATE(H489,F489,EV$2),Ciencias!$A:$H,7,FALSE)=BJ489,1,0)</f>
        <v>#N/A</v>
      </c>
      <c r="EW489" s="138" t="e">
        <f>IF(VLOOKUP(CONCATENATE(H489,F489,EW$2),Ciencias!$A:$H,7,FALSE)=BK489,1,0)</f>
        <v>#N/A</v>
      </c>
      <c r="EX489" s="138" t="e">
        <f>IF(VLOOKUP(CONCATENATE(H489,F489,EX$2),Ciencias!$A:$H,7,FALSE)=BL489,1,0)</f>
        <v>#N/A</v>
      </c>
      <c r="EY489" s="138" t="e">
        <f>IF(VLOOKUP(CONCATENATE(H489,F489,EY$2),Ciencias!$A:$H,7,FALSE)=BM489,1,0)</f>
        <v>#N/A</v>
      </c>
      <c r="EZ489" s="138" t="e">
        <f>IF(VLOOKUP(CONCATENATE(H489,F489,EZ$2),Ciencias!$A:$H,7,FALSE)=BN489,1,0)</f>
        <v>#N/A</v>
      </c>
      <c r="FA489" s="138" t="e">
        <f>IF(VLOOKUP(CONCATENATE(H489,F489,FA$2),Ciencias!$A:$H,7,FALSE)=BO489,1,0)</f>
        <v>#N/A</v>
      </c>
      <c r="FB489" s="138" t="e">
        <f>IF(VLOOKUP(CONCATENATE(H489,F489,FB$2),Ciencias!$A:$H,7,FALSE)=BP489,1,0)</f>
        <v>#N/A</v>
      </c>
      <c r="FC489" s="138" t="e">
        <f>IF(VLOOKUP(CONCATENATE(H489,F489,FC$2),Ciencias!$A:$H,7,FALSE)=BQ489,1,0)</f>
        <v>#N/A</v>
      </c>
      <c r="FD489" s="138" t="e">
        <f>IF(VLOOKUP(CONCATENATE(H489,F489,FD$2),Ciencias!$A:$H,7,FALSE)=BR489,1,0)</f>
        <v>#N/A</v>
      </c>
      <c r="FE489" s="138" t="e">
        <f>IF(VLOOKUP(CONCATENATE(H489,F489,FE$2),Ciencias!$A:$H,7,FALSE)=BS489,1,0)</f>
        <v>#N/A</v>
      </c>
      <c r="FF489" s="138" t="e">
        <f>IF(VLOOKUP(CONCATENATE(H489,F489,FF$2),Ciencias!$A:$H,7,FALSE)=BT489,1,0)</f>
        <v>#N/A</v>
      </c>
      <c r="FG489" s="138" t="e">
        <f>IF(VLOOKUP(CONCATENATE(H489,F489,FG$2),Ciencias!$A:$H,7,FALSE)=BU489,1,0)</f>
        <v>#N/A</v>
      </c>
      <c r="FH489" s="138" t="e">
        <f>IF(VLOOKUP(CONCATENATE(H489,F489,FH$2),Ciencias!$A:$H,7,FALSE)=BV489,1,0)</f>
        <v>#N/A</v>
      </c>
      <c r="FI489" s="138" t="e">
        <f>IF(VLOOKUP(CONCATENATE(H489,F489,FI$2),Ciencias!$A:$H,7,FALSE)=BW489,1,0)</f>
        <v>#N/A</v>
      </c>
      <c r="FJ489" s="138" t="e">
        <f>IF(VLOOKUP(CONCATENATE(H489,F489,FJ$2),Ciencias!$A:$H,7,FALSE)=BX489,1,0)</f>
        <v>#N/A</v>
      </c>
      <c r="FK489" s="138" t="e">
        <f>IF(VLOOKUP(CONCATENATE(H489,F489,FK$2),Ciencias!$A:$H,7,FALSE)=BY489,1,0)</f>
        <v>#N/A</v>
      </c>
      <c r="FL489" s="138" t="e">
        <f>IF(VLOOKUP(CONCATENATE(H489,F489,FL$2),Ciencias!$A:$H,7,FALSE)=BZ489,1,0)</f>
        <v>#N/A</v>
      </c>
      <c r="FM489" s="138" t="e">
        <f>IF(VLOOKUP(CONCATENATE(H489,F489,FM$2),Ciencias!$A:$H,7,FALSE)=CA489,1,0)</f>
        <v>#N/A</v>
      </c>
      <c r="FN489" s="138" t="e">
        <f>IF(VLOOKUP(CONCATENATE(H489,F489,FN$2),Ciencias!$A:$H,7,FALSE)=CB489,1,0)</f>
        <v>#N/A</v>
      </c>
      <c r="FO489" s="138" t="e">
        <f>IF(VLOOKUP(CONCATENATE(H489,F489,FO$2),Ciencias!$A:$H,7,FALSE)=CC489,1,0)</f>
        <v>#N/A</v>
      </c>
      <c r="FP489" s="138" t="e">
        <f>IF(VLOOKUP(CONCATENATE(H489,F489,FP$2),GeoHis!$A:$H,7,FALSE)=CD489,1,0)</f>
        <v>#N/A</v>
      </c>
      <c r="FQ489" s="138" t="e">
        <f>IF(VLOOKUP(CONCATENATE(H489,F489,FQ$2),GeoHis!$A:$H,7,FALSE)=CE489,1,0)</f>
        <v>#N/A</v>
      </c>
      <c r="FR489" s="138" t="e">
        <f>IF(VLOOKUP(CONCATENATE(H489,F489,FR$2),GeoHis!$A:$H,7,FALSE)=CF489,1,0)</f>
        <v>#N/A</v>
      </c>
      <c r="FS489" s="138" t="e">
        <f>IF(VLOOKUP(CONCATENATE(H489,F489,FS$2),GeoHis!$A:$H,7,FALSE)=CG489,1,0)</f>
        <v>#N/A</v>
      </c>
      <c r="FT489" s="138" t="e">
        <f>IF(VLOOKUP(CONCATENATE(H489,F489,FT$2),GeoHis!$A:$H,7,FALSE)=CH489,1,0)</f>
        <v>#N/A</v>
      </c>
      <c r="FU489" s="138" t="e">
        <f>IF(VLOOKUP(CONCATENATE(H489,F489,FU$2),GeoHis!$A:$H,7,FALSE)=CI489,1,0)</f>
        <v>#N/A</v>
      </c>
      <c r="FV489" s="138" t="e">
        <f>IF(VLOOKUP(CONCATENATE(H489,F489,FV$2),GeoHis!$A:$H,7,FALSE)=CJ489,1,0)</f>
        <v>#N/A</v>
      </c>
      <c r="FW489" s="138" t="e">
        <f>IF(VLOOKUP(CONCATENATE(H489,F489,FW$2),GeoHis!$A:$H,7,FALSE)=CK489,1,0)</f>
        <v>#N/A</v>
      </c>
      <c r="FX489" s="138" t="e">
        <f>IF(VLOOKUP(CONCATENATE(H489,F489,FX$2),GeoHis!$A:$H,7,FALSE)=CL489,1,0)</f>
        <v>#N/A</v>
      </c>
      <c r="FY489" s="138" t="e">
        <f>IF(VLOOKUP(CONCATENATE(H489,F489,FY$2),GeoHis!$A:$H,7,FALSE)=CM489,1,0)</f>
        <v>#N/A</v>
      </c>
      <c r="FZ489" s="138" t="e">
        <f>IF(VLOOKUP(CONCATENATE(H489,F489,FZ$2),GeoHis!$A:$H,7,FALSE)=CN489,1,0)</f>
        <v>#N/A</v>
      </c>
      <c r="GA489" s="138" t="e">
        <f>IF(VLOOKUP(CONCATENATE(H489,F489,GA$2),GeoHis!$A:$H,7,FALSE)=CO489,1,0)</f>
        <v>#N/A</v>
      </c>
      <c r="GB489" s="138" t="e">
        <f>IF(VLOOKUP(CONCATENATE(H489,F489,GB$2),GeoHis!$A:$H,7,FALSE)=CP489,1,0)</f>
        <v>#N/A</v>
      </c>
      <c r="GC489" s="138" t="e">
        <f>IF(VLOOKUP(CONCATENATE(H489,F489,GC$2),GeoHis!$A:$H,7,FALSE)=CQ489,1,0)</f>
        <v>#N/A</v>
      </c>
      <c r="GD489" s="138" t="e">
        <f>IF(VLOOKUP(CONCATENATE(H489,F489,GD$2),GeoHis!$A:$H,7,FALSE)=CR489,1,0)</f>
        <v>#N/A</v>
      </c>
      <c r="GE489" s="135" t="str">
        <f t="shared" si="63"/>
        <v/>
      </c>
    </row>
    <row r="490" spans="1:187" x14ac:dyDescent="0.25">
      <c r="A490" s="127" t="str">
        <f>IF(C490="","",'Datos Generales'!$A$25)</f>
        <v/>
      </c>
      <c r="D490" s="126" t="str">
        <f t="shared" si="56"/>
        <v/>
      </c>
      <c r="E490" s="126">
        <f t="shared" si="57"/>
        <v>0</v>
      </c>
      <c r="F490" s="126" t="str">
        <f t="shared" si="58"/>
        <v/>
      </c>
      <c r="G490" s="126" t="str">
        <f>IF(C490="","",'Datos Generales'!$D$19)</f>
        <v/>
      </c>
      <c r="H490" s="21" t="str">
        <f>IF(C490="","",'Datos Generales'!$A$19)</f>
        <v/>
      </c>
      <c r="I490" s="126" t="str">
        <f>IF(C490="","",'Datos Generales'!$A$7)</f>
        <v/>
      </c>
      <c r="J490" s="21" t="str">
        <f>IF(C490="","",'Datos Generales'!$A$13)</f>
        <v/>
      </c>
      <c r="K490" s="21" t="str">
        <f>IF(C490="","",'Datos Generales'!$A$10)</f>
        <v/>
      </c>
      <c r="CS490" s="142" t="str">
        <f t="shared" si="59"/>
        <v/>
      </c>
      <c r="CT490" s="142" t="str">
        <f t="shared" si="60"/>
        <v/>
      </c>
      <c r="CU490" s="142" t="str">
        <f t="shared" si="61"/>
        <v/>
      </c>
      <c r="CV490" s="142" t="str">
        <f t="shared" si="62"/>
        <v/>
      </c>
      <c r="CW490" s="142" t="str">
        <f>IF(C490="","",IF('Datos Generales'!$A$19=1,AVERAGE(FP490:GD490),AVERAGE(Captura!FP490:FY490)))</f>
        <v/>
      </c>
      <c r="CX490" s="138" t="e">
        <f>IF(VLOOKUP(CONCATENATE($H$4,$F$4,CX$2),Español!$A:$H,7,FALSE)=L490,1,0)</f>
        <v>#N/A</v>
      </c>
      <c r="CY490" s="138" t="e">
        <f>IF(VLOOKUP(CONCATENATE(H490,F490,CY$2),Español!$A:$H,7,FALSE)=M490,1,0)</f>
        <v>#N/A</v>
      </c>
      <c r="CZ490" s="138" t="e">
        <f>IF(VLOOKUP(CONCATENATE(H490,F490,CZ$2),Español!$A:$H,7,FALSE)=N490,1,0)</f>
        <v>#N/A</v>
      </c>
      <c r="DA490" s="138" t="e">
        <f>IF(VLOOKUP(CONCATENATE(H490,F490,DA$2),Español!$A:$H,7,FALSE)=O490,1,0)</f>
        <v>#N/A</v>
      </c>
      <c r="DB490" s="138" t="e">
        <f>IF(VLOOKUP(CONCATENATE(H490,F490,DB$2),Español!$A:$H,7,FALSE)=P490,1,0)</f>
        <v>#N/A</v>
      </c>
      <c r="DC490" s="138" t="e">
        <f>IF(VLOOKUP(CONCATENATE(H490,F490,DC$2),Español!$A:$H,7,FALSE)=Q490,1,0)</f>
        <v>#N/A</v>
      </c>
      <c r="DD490" s="138" t="e">
        <f>IF(VLOOKUP(CONCATENATE(H490,F490,DD$2),Español!$A:$H,7,FALSE)=R490,1,0)</f>
        <v>#N/A</v>
      </c>
      <c r="DE490" s="138" t="e">
        <f>IF(VLOOKUP(CONCATENATE(H490,F490,DE$2),Español!$A:$H,7,FALSE)=S490,1,0)</f>
        <v>#N/A</v>
      </c>
      <c r="DF490" s="138" t="e">
        <f>IF(VLOOKUP(CONCATENATE(H490,F490,DF$2),Español!$A:$H,7,FALSE)=T490,1,0)</f>
        <v>#N/A</v>
      </c>
      <c r="DG490" s="138" t="e">
        <f>IF(VLOOKUP(CONCATENATE(H490,F490,DG$2),Español!$A:$H,7,FALSE)=U490,1,0)</f>
        <v>#N/A</v>
      </c>
      <c r="DH490" s="138" t="e">
        <f>IF(VLOOKUP(CONCATENATE(H490,F490,DH$2),Español!$A:$H,7,FALSE)=V490,1,0)</f>
        <v>#N/A</v>
      </c>
      <c r="DI490" s="138" t="e">
        <f>IF(VLOOKUP(CONCATENATE(H490,F490,DI$2),Español!$A:$H,7,FALSE)=W490,1,0)</f>
        <v>#N/A</v>
      </c>
      <c r="DJ490" s="138" t="e">
        <f>IF(VLOOKUP(CONCATENATE(H490,F490,DJ$2),Español!$A:$H,7,FALSE)=X490,1,0)</f>
        <v>#N/A</v>
      </c>
      <c r="DK490" s="138" t="e">
        <f>IF(VLOOKUP(CONCATENATE(H490,F490,DK$2),Español!$A:$H,7,FALSE)=Y490,1,0)</f>
        <v>#N/A</v>
      </c>
      <c r="DL490" s="138" t="e">
        <f>IF(VLOOKUP(CONCATENATE(H490,F490,DL$2),Español!$A:$H,7,FALSE)=Z490,1,0)</f>
        <v>#N/A</v>
      </c>
      <c r="DM490" s="138" t="e">
        <f>IF(VLOOKUP(CONCATENATE(H490,F490,DM$2),Español!$A:$H,7,FALSE)=AA490,1,0)</f>
        <v>#N/A</v>
      </c>
      <c r="DN490" s="138" t="e">
        <f>IF(VLOOKUP(CONCATENATE(H490,F490,DN$2),Español!$A:$H,7,FALSE)=AB490,1,0)</f>
        <v>#N/A</v>
      </c>
      <c r="DO490" s="138" t="e">
        <f>IF(VLOOKUP(CONCATENATE(H490,F490,DO$2),Español!$A:$H,7,FALSE)=AC490,1,0)</f>
        <v>#N/A</v>
      </c>
      <c r="DP490" s="138" t="e">
        <f>IF(VLOOKUP(CONCATENATE(H490,F490,DP$2),Español!$A:$H,7,FALSE)=AD490,1,0)</f>
        <v>#N/A</v>
      </c>
      <c r="DQ490" s="138" t="e">
        <f>IF(VLOOKUP(CONCATENATE(H490,F490,DQ$2),Español!$A:$H,7,FALSE)=AE490,1,0)</f>
        <v>#N/A</v>
      </c>
      <c r="DR490" s="138" t="e">
        <f>IF(VLOOKUP(CONCATENATE(H490,F490,DR$2),Inglés!$A:$H,7,FALSE)=AF490,1,0)</f>
        <v>#N/A</v>
      </c>
      <c r="DS490" s="138" t="e">
        <f>IF(VLOOKUP(CONCATENATE(H490,F490,DS$2),Inglés!$A:$H,7,FALSE)=AG490,1,0)</f>
        <v>#N/A</v>
      </c>
      <c r="DT490" s="138" t="e">
        <f>IF(VLOOKUP(CONCATENATE(H490,F490,DT$2),Inglés!$A:$H,7,FALSE)=AH490,1,0)</f>
        <v>#N/A</v>
      </c>
      <c r="DU490" s="138" t="e">
        <f>IF(VLOOKUP(CONCATENATE(H490,F490,DU$2),Inglés!$A:$H,7,FALSE)=AI490,1,0)</f>
        <v>#N/A</v>
      </c>
      <c r="DV490" s="138" t="e">
        <f>IF(VLOOKUP(CONCATENATE(H490,F490,DV$2),Inglés!$A:$H,7,FALSE)=AJ490,1,0)</f>
        <v>#N/A</v>
      </c>
      <c r="DW490" s="138" t="e">
        <f>IF(VLOOKUP(CONCATENATE(H490,F490,DW$2),Inglés!$A:$H,7,FALSE)=AK490,1,0)</f>
        <v>#N/A</v>
      </c>
      <c r="DX490" s="138" t="e">
        <f>IF(VLOOKUP(CONCATENATE(H490,F490,DX$2),Inglés!$A:$H,7,FALSE)=AL490,1,0)</f>
        <v>#N/A</v>
      </c>
      <c r="DY490" s="138" t="e">
        <f>IF(VLOOKUP(CONCATENATE(H490,F490,DY$2),Inglés!$A:$H,7,FALSE)=AM490,1,0)</f>
        <v>#N/A</v>
      </c>
      <c r="DZ490" s="138" t="e">
        <f>IF(VLOOKUP(CONCATENATE(H490,F490,DZ$2),Inglés!$A:$H,7,FALSE)=AN490,1,0)</f>
        <v>#N/A</v>
      </c>
      <c r="EA490" s="138" t="e">
        <f>IF(VLOOKUP(CONCATENATE(H490,F490,EA$2),Inglés!$A:$H,7,FALSE)=AO490,1,0)</f>
        <v>#N/A</v>
      </c>
      <c r="EB490" s="138" t="e">
        <f>IF(VLOOKUP(CONCATENATE(H490,F490,EB$2),Matemáticas!$A:$H,7,FALSE)=AP490,1,0)</f>
        <v>#N/A</v>
      </c>
      <c r="EC490" s="138" t="e">
        <f>IF(VLOOKUP(CONCATENATE(H490,F490,EC$2),Matemáticas!$A:$H,7,FALSE)=AQ490,1,0)</f>
        <v>#N/A</v>
      </c>
      <c r="ED490" s="138" t="e">
        <f>IF(VLOOKUP(CONCATENATE(H490,F490,ED$2),Matemáticas!$A:$H,7,FALSE)=AR490,1,0)</f>
        <v>#N/A</v>
      </c>
      <c r="EE490" s="138" t="e">
        <f>IF(VLOOKUP(CONCATENATE(H490,F490,EE$2),Matemáticas!$A:$H,7,FALSE)=AS490,1,0)</f>
        <v>#N/A</v>
      </c>
      <c r="EF490" s="138" t="e">
        <f>IF(VLOOKUP(CONCATENATE(H490,F490,EF$2),Matemáticas!$A:$H,7,FALSE)=AT490,1,0)</f>
        <v>#N/A</v>
      </c>
      <c r="EG490" s="138" t="e">
        <f>IF(VLOOKUP(CONCATENATE(H490,F490,EG$2),Matemáticas!$A:$H,7,FALSE)=AU490,1,0)</f>
        <v>#N/A</v>
      </c>
      <c r="EH490" s="138" t="e">
        <f>IF(VLOOKUP(CONCATENATE(H490,F490,EH$2),Matemáticas!$A:$H,7,FALSE)=AV490,1,0)</f>
        <v>#N/A</v>
      </c>
      <c r="EI490" s="138" t="e">
        <f>IF(VLOOKUP(CONCATENATE(H490,F490,EI$2),Matemáticas!$A:$H,7,FALSE)=AW490,1,0)</f>
        <v>#N/A</v>
      </c>
      <c r="EJ490" s="138" t="e">
        <f>IF(VLOOKUP(CONCATENATE(H490,F490,EJ$2),Matemáticas!$A:$H,7,FALSE)=AX490,1,0)</f>
        <v>#N/A</v>
      </c>
      <c r="EK490" s="138" t="e">
        <f>IF(VLOOKUP(CONCATENATE(H490,F490,EK$2),Matemáticas!$A:$H,7,FALSE)=AY490,1,0)</f>
        <v>#N/A</v>
      </c>
      <c r="EL490" s="138" t="e">
        <f>IF(VLOOKUP(CONCATENATE(H490,F490,EL$2),Matemáticas!$A:$H,7,FALSE)=AZ490,1,0)</f>
        <v>#N/A</v>
      </c>
      <c r="EM490" s="138" t="e">
        <f>IF(VLOOKUP(CONCATENATE(H490,F490,EM$2),Matemáticas!$A:$H,7,FALSE)=BA490,1,0)</f>
        <v>#N/A</v>
      </c>
      <c r="EN490" s="138" t="e">
        <f>IF(VLOOKUP(CONCATENATE(H490,F490,EN$2),Matemáticas!$A:$H,7,FALSE)=BB490,1,0)</f>
        <v>#N/A</v>
      </c>
      <c r="EO490" s="138" t="e">
        <f>IF(VLOOKUP(CONCATENATE(H490,F490,EO$2),Matemáticas!$A:$H,7,FALSE)=BC490,1,0)</f>
        <v>#N/A</v>
      </c>
      <c r="EP490" s="138" t="e">
        <f>IF(VLOOKUP(CONCATENATE(H490,F490,EP$2),Matemáticas!$A:$H,7,FALSE)=BD490,1,0)</f>
        <v>#N/A</v>
      </c>
      <c r="EQ490" s="138" t="e">
        <f>IF(VLOOKUP(CONCATENATE(H490,F490,EQ$2),Matemáticas!$A:$H,7,FALSE)=BE490,1,0)</f>
        <v>#N/A</v>
      </c>
      <c r="ER490" s="138" t="e">
        <f>IF(VLOOKUP(CONCATENATE(H490,F490,ER$2),Matemáticas!$A:$H,7,FALSE)=BF490,1,0)</f>
        <v>#N/A</v>
      </c>
      <c r="ES490" s="138" t="e">
        <f>IF(VLOOKUP(CONCATENATE(H490,F490,ES$2),Matemáticas!$A:$H,7,FALSE)=BG490,1,0)</f>
        <v>#N/A</v>
      </c>
      <c r="ET490" s="138" t="e">
        <f>IF(VLOOKUP(CONCATENATE(H490,F490,ET$2),Matemáticas!$A:$H,7,FALSE)=BH490,1,0)</f>
        <v>#N/A</v>
      </c>
      <c r="EU490" s="138" t="e">
        <f>IF(VLOOKUP(CONCATENATE(H490,F490,EU$2),Matemáticas!$A:$H,7,FALSE)=BI490,1,0)</f>
        <v>#N/A</v>
      </c>
      <c r="EV490" s="138" t="e">
        <f>IF(VLOOKUP(CONCATENATE(H490,F490,EV$2),Ciencias!$A:$H,7,FALSE)=BJ490,1,0)</f>
        <v>#N/A</v>
      </c>
      <c r="EW490" s="138" t="e">
        <f>IF(VLOOKUP(CONCATENATE(H490,F490,EW$2),Ciencias!$A:$H,7,FALSE)=BK490,1,0)</f>
        <v>#N/A</v>
      </c>
      <c r="EX490" s="138" t="e">
        <f>IF(VLOOKUP(CONCATENATE(H490,F490,EX$2),Ciencias!$A:$H,7,FALSE)=BL490,1,0)</f>
        <v>#N/A</v>
      </c>
      <c r="EY490" s="138" t="e">
        <f>IF(VLOOKUP(CONCATENATE(H490,F490,EY$2),Ciencias!$A:$H,7,FALSE)=BM490,1,0)</f>
        <v>#N/A</v>
      </c>
      <c r="EZ490" s="138" t="e">
        <f>IF(VLOOKUP(CONCATENATE(H490,F490,EZ$2),Ciencias!$A:$H,7,FALSE)=BN490,1,0)</f>
        <v>#N/A</v>
      </c>
      <c r="FA490" s="138" t="e">
        <f>IF(VLOOKUP(CONCATENATE(H490,F490,FA$2),Ciencias!$A:$H,7,FALSE)=BO490,1,0)</f>
        <v>#N/A</v>
      </c>
      <c r="FB490" s="138" t="e">
        <f>IF(VLOOKUP(CONCATENATE(H490,F490,FB$2),Ciencias!$A:$H,7,FALSE)=BP490,1,0)</f>
        <v>#N/A</v>
      </c>
      <c r="FC490" s="138" t="e">
        <f>IF(VLOOKUP(CONCATENATE(H490,F490,FC$2),Ciencias!$A:$H,7,FALSE)=BQ490,1,0)</f>
        <v>#N/A</v>
      </c>
      <c r="FD490" s="138" t="e">
        <f>IF(VLOOKUP(CONCATENATE(H490,F490,FD$2),Ciencias!$A:$H,7,FALSE)=BR490,1,0)</f>
        <v>#N/A</v>
      </c>
      <c r="FE490" s="138" t="e">
        <f>IF(VLOOKUP(CONCATENATE(H490,F490,FE$2),Ciencias!$A:$H,7,FALSE)=BS490,1,0)</f>
        <v>#N/A</v>
      </c>
      <c r="FF490" s="138" t="e">
        <f>IF(VLOOKUP(CONCATENATE(H490,F490,FF$2),Ciencias!$A:$H,7,FALSE)=BT490,1,0)</f>
        <v>#N/A</v>
      </c>
      <c r="FG490" s="138" t="e">
        <f>IF(VLOOKUP(CONCATENATE(H490,F490,FG$2),Ciencias!$A:$H,7,FALSE)=BU490,1,0)</f>
        <v>#N/A</v>
      </c>
      <c r="FH490" s="138" t="e">
        <f>IF(VLOOKUP(CONCATENATE(H490,F490,FH$2),Ciencias!$A:$H,7,FALSE)=BV490,1,0)</f>
        <v>#N/A</v>
      </c>
      <c r="FI490" s="138" t="e">
        <f>IF(VLOOKUP(CONCATENATE(H490,F490,FI$2),Ciencias!$A:$H,7,FALSE)=BW490,1,0)</f>
        <v>#N/A</v>
      </c>
      <c r="FJ490" s="138" t="e">
        <f>IF(VLOOKUP(CONCATENATE(H490,F490,FJ$2),Ciencias!$A:$H,7,FALSE)=BX490,1,0)</f>
        <v>#N/A</v>
      </c>
      <c r="FK490" s="138" t="e">
        <f>IF(VLOOKUP(CONCATENATE(H490,F490,FK$2),Ciencias!$A:$H,7,FALSE)=BY490,1,0)</f>
        <v>#N/A</v>
      </c>
      <c r="FL490" s="138" t="e">
        <f>IF(VLOOKUP(CONCATENATE(H490,F490,FL$2),Ciencias!$A:$H,7,FALSE)=BZ490,1,0)</f>
        <v>#N/A</v>
      </c>
      <c r="FM490" s="138" t="e">
        <f>IF(VLOOKUP(CONCATENATE(H490,F490,FM$2),Ciencias!$A:$H,7,FALSE)=CA490,1,0)</f>
        <v>#N/A</v>
      </c>
      <c r="FN490" s="138" t="e">
        <f>IF(VLOOKUP(CONCATENATE(H490,F490,FN$2),Ciencias!$A:$H,7,FALSE)=CB490,1,0)</f>
        <v>#N/A</v>
      </c>
      <c r="FO490" s="138" t="e">
        <f>IF(VLOOKUP(CONCATENATE(H490,F490,FO$2),Ciencias!$A:$H,7,FALSE)=CC490,1,0)</f>
        <v>#N/A</v>
      </c>
      <c r="FP490" s="138" t="e">
        <f>IF(VLOOKUP(CONCATENATE(H490,F490,FP$2),GeoHis!$A:$H,7,FALSE)=CD490,1,0)</f>
        <v>#N/A</v>
      </c>
      <c r="FQ490" s="138" t="e">
        <f>IF(VLOOKUP(CONCATENATE(H490,F490,FQ$2),GeoHis!$A:$H,7,FALSE)=CE490,1,0)</f>
        <v>#N/A</v>
      </c>
      <c r="FR490" s="138" t="e">
        <f>IF(VLOOKUP(CONCATENATE(H490,F490,FR$2),GeoHis!$A:$H,7,FALSE)=CF490,1,0)</f>
        <v>#N/A</v>
      </c>
      <c r="FS490" s="138" t="e">
        <f>IF(VLOOKUP(CONCATENATE(H490,F490,FS$2),GeoHis!$A:$H,7,FALSE)=CG490,1,0)</f>
        <v>#N/A</v>
      </c>
      <c r="FT490" s="138" t="e">
        <f>IF(VLOOKUP(CONCATENATE(H490,F490,FT$2),GeoHis!$A:$H,7,FALSE)=CH490,1,0)</f>
        <v>#N/A</v>
      </c>
      <c r="FU490" s="138" t="e">
        <f>IF(VLOOKUP(CONCATENATE(H490,F490,FU$2),GeoHis!$A:$H,7,FALSE)=CI490,1,0)</f>
        <v>#N/A</v>
      </c>
      <c r="FV490" s="138" t="e">
        <f>IF(VLOOKUP(CONCATENATE(H490,F490,FV$2),GeoHis!$A:$H,7,FALSE)=CJ490,1,0)</f>
        <v>#N/A</v>
      </c>
      <c r="FW490" s="138" t="e">
        <f>IF(VLOOKUP(CONCATENATE(H490,F490,FW$2),GeoHis!$A:$H,7,FALSE)=CK490,1,0)</f>
        <v>#N/A</v>
      </c>
      <c r="FX490" s="138" t="e">
        <f>IF(VLOOKUP(CONCATENATE(H490,F490,FX$2),GeoHis!$A:$H,7,FALSE)=CL490,1,0)</f>
        <v>#N/A</v>
      </c>
      <c r="FY490" s="138" t="e">
        <f>IF(VLOOKUP(CONCATENATE(H490,F490,FY$2),GeoHis!$A:$H,7,FALSE)=CM490,1,0)</f>
        <v>#N/A</v>
      </c>
      <c r="FZ490" s="138" t="e">
        <f>IF(VLOOKUP(CONCATENATE(H490,F490,FZ$2),GeoHis!$A:$H,7,FALSE)=CN490,1,0)</f>
        <v>#N/A</v>
      </c>
      <c r="GA490" s="138" t="e">
        <f>IF(VLOOKUP(CONCATENATE(H490,F490,GA$2),GeoHis!$A:$H,7,FALSE)=CO490,1,0)</f>
        <v>#N/A</v>
      </c>
      <c r="GB490" s="138" t="e">
        <f>IF(VLOOKUP(CONCATENATE(H490,F490,GB$2),GeoHis!$A:$H,7,FALSE)=CP490,1,0)</f>
        <v>#N/A</v>
      </c>
      <c r="GC490" s="138" t="e">
        <f>IF(VLOOKUP(CONCATENATE(H490,F490,GC$2),GeoHis!$A:$H,7,FALSE)=CQ490,1,0)</f>
        <v>#N/A</v>
      </c>
      <c r="GD490" s="138" t="e">
        <f>IF(VLOOKUP(CONCATENATE(H490,F490,GD$2),GeoHis!$A:$H,7,FALSE)=CR490,1,0)</f>
        <v>#N/A</v>
      </c>
      <c r="GE490" s="135" t="str">
        <f t="shared" si="63"/>
        <v/>
      </c>
    </row>
    <row r="491" spans="1:187" x14ac:dyDescent="0.25">
      <c r="A491" s="127" t="str">
        <f>IF(C491="","",'Datos Generales'!$A$25)</f>
        <v/>
      </c>
      <c r="D491" s="126" t="str">
        <f t="shared" si="56"/>
        <v/>
      </c>
      <c r="E491" s="126">
        <f t="shared" si="57"/>
        <v>0</v>
      </c>
      <c r="F491" s="126" t="str">
        <f t="shared" si="58"/>
        <v/>
      </c>
      <c r="G491" s="126" t="str">
        <f>IF(C491="","",'Datos Generales'!$D$19)</f>
        <v/>
      </c>
      <c r="H491" s="21" t="str">
        <f>IF(C491="","",'Datos Generales'!$A$19)</f>
        <v/>
      </c>
      <c r="I491" s="126" t="str">
        <f>IF(C491="","",'Datos Generales'!$A$7)</f>
        <v/>
      </c>
      <c r="J491" s="21" t="str">
        <f>IF(C491="","",'Datos Generales'!$A$13)</f>
        <v/>
      </c>
      <c r="K491" s="21" t="str">
        <f>IF(C491="","",'Datos Generales'!$A$10)</f>
        <v/>
      </c>
      <c r="CS491" s="142" t="str">
        <f t="shared" si="59"/>
        <v/>
      </c>
      <c r="CT491" s="142" t="str">
        <f t="shared" si="60"/>
        <v/>
      </c>
      <c r="CU491" s="142" t="str">
        <f t="shared" si="61"/>
        <v/>
      </c>
      <c r="CV491" s="142" t="str">
        <f t="shared" si="62"/>
        <v/>
      </c>
      <c r="CW491" s="142" t="str">
        <f>IF(C491="","",IF('Datos Generales'!$A$19=1,AVERAGE(FP491:GD491),AVERAGE(Captura!FP491:FY491)))</f>
        <v/>
      </c>
      <c r="CX491" s="138" t="e">
        <f>IF(VLOOKUP(CONCATENATE($H$4,$F$4,CX$2),Español!$A:$H,7,FALSE)=L491,1,0)</f>
        <v>#N/A</v>
      </c>
      <c r="CY491" s="138" t="e">
        <f>IF(VLOOKUP(CONCATENATE(H491,F491,CY$2),Español!$A:$H,7,FALSE)=M491,1,0)</f>
        <v>#N/A</v>
      </c>
      <c r="CZ491" s="138" t="e">
        <f>IF(VLOOKUP(CONCATENATE(H491,F491,CZ$2),Español!$A:$H,7,FALSE)=N491,1,0)</f>
        <v>#N/A</v>
      </c>
      <c r="DA491" s="138" t="e">
        <f>IF(VLOOKUP(CONCATENATE(H491,F491,DA$2),Español!$A:$H,7,FALSE)=O491,1,0)</f>
        <v>#N/A</v>
      </c>
      <c r="DB491" s="138" t="e">
        <f>IF(VLOOKUP(CONCATENATE(H491,F491,DB$2),Español!$A:$H,7,FALSE)=P491,1,0)</f>
        <v>#N/A</v>
      </c>
      <c r="DC491" s="138" t="e">
        <f>IF(VLOOKUP(CONCATENATE(H491,F491,DC$2),Español!$A:$H,7,FALSE)=Q491,1,0)</f>
        <v>#N/A</v>
      </c>
      <c r="DD491" s="138" t="e">
        <f>IF(VLOOKUP(CONCATENATE(H491,F491,DD$2),Español!$A:$H,7,FALSE)=R491,1,0)</f>
        <v>#N/A</v>
      </c>
      <c r="DE491" s="138" t="e">
        <f>IF(VLOOKUP(CONCATENATE(H491,F491,DE$2),Español!$A:$H,7,FALSE)=S491,1,0)</f>
        <v>#N/A</v>
      </c>
      <c r="DF491" s="138" t="e">
        <f>IF(VLOOKUP(CONCATENATE(H491,F491,DF$2),Español!$A:$H,7,FALSE)=T491,1,0)</f>
        <v>#N/A</v>
      </c>
      <c r="DG491" s="138" t="e">
        <f>IF(VLOOKUP(CONCATENATE(H491,F491,DG$2),Español!$A:$H,7,FALSE)=U491,1,0)</f>
        <v>#N/A</v>
      </c>
      <c r="DH491" s="138" t="e">
        <f>IF(VLOOKUP(CONCATENATE(H491,F491,DH$2),Español!$A:$H,7,FALSE)=V491,1,0)</f>
        <v>#N/A</v>
      </c>
      <c r="DI491" s="138" t="e">
        <f>IF(VLOOKUP(CONCATENATE(H491,F491,DI$2),Español!$A:$H,7,FALSE)=W491,1,0)</f>
        <v>#N/A</v>
      </c>
      <c r="DJ491" s="138" t="e">
        <f>IF(VLOOKUP(CONCATENATE(H491,F491,DJ$2),Español!$A:$H,7,FALSE)=X491,1,0)</f>
        <v>#N/A</v>
      </c>
      <c r="DK491" s="138" t="e">
        <f>IF(VLOOKUP(CONCATENATE(H491,F491,DK$2),Español!$A:$H,7,FALSE)=Y491,1,0)</f>
        <v>#N/A</v>
      </c>
      <c r="DL491" s="138" t="e">
        <f>IF(VLOOKUP(CONCATENATE(H491,F491,DL$2),Español!$A:$H,7,FALSE)=Z491,1,0)</f>
        <v>#N/A</v>
      </c>
      <c r="DM491" s="138" t="e">
        <f>IF(VLOOKUP(CONCATENATE(H491,F491,DM$2),Español!$A:$H,7,FALSE)=AA491,1,0)</f>
        <v>#N/A</v>
      </c>
      <c r="DN491" s="138" t="e">
        <f>IF(VLOOKUP(CONCATENATE(H491,F491,DN$2),Español!$A:$H,7,FALSE)=AB491,1,0)</f>
        <v>#N/A</v>
      </c>
      <c r="DO491" s="138" t="e">
        <f>IF(VLOOKUP(CONCATENATE(H491,F491,DO$2),Español!$A:$H,7,FALSE)=AC491,1,0)</f>
        <v>#N/A</v>
      </c>
      <c r="DP491" s="138" t="e">
        <f>IF(VLOOKUP(CONCATENATE(H491,F491,DP$2),Español!$A:$H,7,FALSE)=AD491,1,0)</f>
        <v>#N/A</v>
      </c>
      <c r="DQ491" s="138" t="e">
        <f>IF(VLOOKUP(CONCATENATE(H491,F491,DQ$2),Español!$A:$H,7,FALSE)=AE491,1,0)</f>
        <v>#N/A</v>
      </c>
      <c r="DR491" s="138" t="e">
        <f>IF(VLOOKUP(CONCATENATE(H491,F491,DR$2),Inglés!$A:$H,7,FALSE)=AF491,1,0)</f>
        <v>#N/A</v>
      </c>
      <c r="DS491" s="138" t="e">
        <f>IF(VLOOKUP(CONCATENATE(H491,F491,DS$2),Inglés!$A:$H,7,FALSE)=AG491,1,0)</f>
        <v>#N/A</v>
      </c>
      <c r="DT491" s="138" t="e">
        <f>IF(VLOOKUP(CONCATENATE(H491,F491,DT$2),Inglés!$A:$H,7,FALSE)=AH491,1,0)</f>
        <v>#N/A</v>
      </c>
      <c r="DU491" s="138" t="e">
        <f>IF(VLOOKUP(CONCATENATE(H491,F491,DU$2),Inglés!$A:$H,7,FALSE)=AI491,1,0)</f>
        <v>#N/A</v>
      </c>
      <c r="DV491" s="138" t="e">
        <f>IF(VLOOKUP(CONCATENATE(H491,F491,DV$2),Inglés!$A:$H,7,FALSE)=AJ491,1,0)</f>
        <v>#N/A</v>
      </c>
      <c r="DW491" s="138" t="e">
        <f>IF(VLOOKUP(CONCATENATE(H491,F491,DW$2),Inglés!$A:$H,7,FALSE)=AK491,1,0)</f>
        <v>#N/A</v>
      </c>
      <c r="DX491" s="138" t="e">
        <f>IF(VLOOKUP(CONCATENATE(H491,F491,DX$2),Inglés!$A:$H,7,FALSE)=AL491,1,0)</f>
        <v>#N/A</v>
      </c>
      <c r="DY491" s="138" t="e">
        <f>IF(VLOOKUP(CONCATENATE(H491,F491,DY$2),Inglés!$A:$H,7,FALSE)=AM491,1,0)</f>
        <v>#N/A</v>
      </c>
      <c r="DZ491" s="138" t="e">
        <f>IF(VLOOKUP(CONCATENATE(H491,F491,DZ$2),Inglés!$A:$H,7,FALSE)=AN491,1,0)</f>
        <v>#N/A</v>
      </c>
      <c r="EA491" s="138" t="e">
        <f>IF(VLOOKUP(CONCATENATE(H491,F491,EA$2),Inglés!$A:$H,7,FALSE)=AO491,1,0)</f>
        <v>#N/A</v>
      </c>
      <c r="EB491" s="138" t="e">
        <f>IF(VLOOKUP(CONCATENATE(H491,F491,EB$2),Matemáticas!$A:$H,7,FALSE)=AP491,1,0)</f>
        <v>#N/A</v>
      </c>
      <c r="EC491" s="138" t="e">
        <f>IF(VLOOKUP(CONCATENATE(H491,F491,EC$2),Matemáticas!$A:$H,7,FALSE)=AQ491,1,0)</f>
        <v>#N/A</v>
      </c>
      <c r="ED491" s="138" t="e">
        <f>IF(VLOOKUP(CONCATENATE(H491,F491,ED$2),Matemáticas!$A:$H,7,FALSE)=AR491,1,0)</f>
        <v>#N/A</v>
      </c>
      <c r="EE491" s="138" t="e">
        <f>IF(VLOOKUP(CONCATENATE(H491,F491,EE$2),Matemáticas!$A:$H,7,FALSE)=AS491,1,0)</f>
        <v>#N/A</v>
      </c>
      <c r="EF491" s="138" t="e">
        <f>IF(VLOOKUP(CONCATENATE(H491,F491,EF$2),Matemáticas!$A:$H,7,FALSE)=AT491,1,0)</f>
        <v>#N/A</v>
      </c>
      <c r="EG491" s="138" t="e">
        <f>IF(VLOOKUP(CONCATENATE(H491,F491,EG$2),Matemáticas!$A:$H,7,FALSE)=AU491,1,0)</f>
        <v>#N/A</v>
      </c>
      <c r="EH491" s="138" t="e">
        <f>IF(VLOOKUP(CONCATENATE(H491,F491,EH$2),Matemáticas!$A:$H,7,FALSE)=AV491,1,0)</f>
        <v>#N/A</v>
      </c>
      <c r="EI491" s="138" t="e">
        <f>IF(VLOOKUP(CONCATENATE(H491,F491,EI$2),Matemáticas!$A:$H,7,FALSE)=AW491,1,0)</f>
        <v>#N/A</v>
      </c>
      <c r="EJ491" s="138" t="e">
        <f>IF(VLOOKUP(CONCATENATE(H491,F491,EJ$2),Matemáticas!$A:$H,7,FALSE)=AX491,1,0)</f>
        <v>#N/A</v>
      </c>
      <c r="EK491" s="138" t="e">
        <f>IF(VLOOKUP(CONCATENATE(H491,F491,EK$2),Matemáticas!$A:$H,7,FALSE)=AY491,1,0)</f>
        <v>#N/A</v>
      </c>
      <c r="EL491" s="138" t="e">
        <f>IF(VLOOKUP(CONCATENATE(H491,F491,EL$2),Matemáticas!$A:$H,7,FALSE)=AZ491,1,0)</f>
        <v>#N/A</v>
      </c>
      <c r="EM491" s="138" t="e">
        <f>IF(VLOOKUP(CONCATENATE(H491,F491,EM$2),Matemáticas!$A:$H,7,FALSE)=BA491,1,0)</f>
        <v>#N/A</v>
      </c>
      <c r="EN491" s="138" t="e">
        <f>IF(VLOOKUP(CONCATENATE(H491,F491,EN$2),Matemáticas!$A:$H,7,FALSE)=BB491,1,0)</f>
        <v>#N/A</v>
      </c>
      <c r="EO491" s="138" t="e">
        <f>IF(VLOOKUP(CONCATENATE(H491,F491,EO$2),Matemáticas!$A:$H,7,FALSE)=BC491,1,0)</f>
        <v>#N/A</v>
      </c>
      <c r="EP491" s="138" t="e">
        <f>IF(VLOOKUP(CONCATENATE(H491,F491,EP$2),Matemáticas!$A:$H,7,FALSE)=BD491,1,0)</f>
        <v>#N/A</v>
      </c>
      <c r="EQ491" s="138" t="e">
        <f>IF(VLOOKUP(CONCATENATE(H491,F491,EQ$2),Matemáticas!$A:$H,7,FALSE)=BE491,1,0)</f>
        <v>#N/A</v>
      </c>
      <c r="ER491" s="138" t="e">
        <f>IF(VLOOKUP(CONCATENATE(H491,F491,ER$2),Matemáticas!$A:$H,7,FALSE)=BF491,1,0)</f>
        <v>#N/A</v>
      </c>
      <c r="ES491" s="138" t="e">
        <f>IF(VLOOKUP(CONCATENATE(H491,F491,ES$2),Matemáticas!$A:$H,7,FALSE)=BG491,1,0)</f>
        <v>#N/A</v>
      </c>
      <c r="ET491" s="138" t="e">
        <f>IF(VLOOKUP(CONCATENATE(H491,F491,ET$2),Matemáticas!$A:$H,7,FALSE)=BH491,1,0)</f>
        <v>#N/A</v>
      </c>
      <c r="EU491" s="138" t="e">
        <f>IF(VLOOKUP(CONCATENATE(H491,F491,EU$2),Matemáticas!$A:$H,7,FALSE)=BI491,1,0)</f>
        <v>#N/A</v>
      </c>
      <c r="EV491" s="138" t="e">
        <f>IF(VLOOKUP(CONCATENATE(H491,F491,EV$2),Ciencias!$A:$H,7,FALSE)=BJ491,1,0)</f>
        <v>#N/A</v>
      </c>
      <c r="EW491" s="138" t="e">
        <f>IF(VLOOKUP(CONCATENATE(H491,F491,EW$2),Ciencias!$A:$H,7,FALSE)=BK491,1,0)</f>
        <v>#N/A</v>
      </c>
      <c r="EX491" s="138" t="e">
        <f>IF(VLOOKUP(CONCATENATE(H491,F491,EX$2),Ciencias!$A:$H,7,FALSE)=BL491,1,0)</f>
        <v>#N/A</v>
      </c>
      <c r="EY491" s="138" t="e">
        <f>IF(VLOOKUP(CONCATENATE(H491,F491,EY$2),Ciencias!$A:$H,7,FALSE)=BM491,1,0)</f>
        <v>#N/A</v>
      </c>
      <c r="EZ491" s="138" t="e">
        <f>IF(VLOOKUP(CONCATENATE(H491,F491,EZ$2),Ciencias!$A:$H,7,FALSE)=BN491,1,0)</f>
        <v>#N/A</v>
      </c>
      <c r="FA491" s="138" t="e">
        <f>IF(VLOOKUP(CONCATENATE(H491,F491,FA$2),Ciencias!$A:$H,7,FALSE)=BO491,1,0)</f>
        <v>#N/A</v>
      </c>
      <c r="FB491" s="138" t="e">
        <f>IF(VLOOKUP(CONCATENATE(H491,F491,FB$2),Ciencias!$A:$H,7,FALSE)=BP491,1,0)</f>
        <v>#N/A</v>
      </c>
      <c r="FC491" s="138" t="e">
        <f>IF(VLOOKUP(CONCATENATE(H491,F491,FC$2),Ciencias!$A:$H,7,FALSE)=BQ491,1,0)</f>
        <v>#N/A</v>
      </c>
      <c r="FD491" s="138" t="e">
        <f>IF(VLOOKUP(CONCATENATE(H491,F491,FD$2),Ciencias!$A:$H,7,FALSE)=BR491,1,0)</f>
        <v>#N/A</v>
      </c>
      <c r="FE491" s="138" t="e">
        <f>IF(VLOOKUP(CONCATENATE(H491,F491,FE$2),Ciencias!$A:$H,7,FALSE)=BS491,1,0)</f>
        <v>#N/A</v>
      </c>
      <c r="FF491" s="138" t="e">
        <f>IF(VLOOKUP(CONCATENATE(H491,F491,FF$2),Ciencias!$A:$H,7,FALSE)=BT491,1,0)</f>
        <v>#N/A</v>
      </c>
      <c r="FG491" s="138" t="e">
        <f>IF(VLOOKUP(CONCATENATE(H491,F491,FG$2),Ciencias!$A:$H,7,FALSE)=BU491,1,0)</f>
        <v>#N/A</v>
      </c>
      <c r="FH491" s="138" t="e">
        <f>IF(VLOOKUP(CONCATENATE(H491,F491,FH$2),Ciencias!$A:$H,7,FALSE)=BV491,1,0)</f>
        <v>#N/A</v>
      </c>
      <c r="FI491" s="138" t="e">
        <f>IF(VLOOKUP(CONCATENATE(H491,F491,FI$2),Ciencias!$A:$H,7,FALSE)=BW491,1,0)</f>
        <v>#N/A</v>
      </c>
      <c r="FJ491" s="138" t="e">
        <f>IF(VLOOKUP(CONCATENATE(H491,F491,FJ$2),Ciencias!$A:$H,7,FALSE)=BX491,1,0)</f>
        <v>#N/A</v>
      </c>
      <c r="FK491" s="138" t="e">
        <f>IF(VLOOKUP(CONCATENATE(H491,F491,FK$2),Ciencias!$A:$H,7,FALSE)=BY491,1,0)</f>
        <v>#N/A</v>
      </c>
      <c r="FL491" s="138" t="e">
        <f>IF(VLOOKUP(CONCATENATE(H491,F491,FL$2),Ciencias!$A:$H,7,FALSE)=BZ491,1,0)</f>
        <v>#N/A</v>
      </c>
      <c r="FM491" s="138" t="e">
        <f>IF(VLOOKUP(CONCATENATE(H491,F491,FM$2),Ciencias!$A:$H,7,FALSE)=CA491,1,0)</f>
        <v>#N/A</v>
      </c>
      <c r="FN491" s="138" t="e">
        <f>IF(VLOOKUP(CONCATENATE(H491,F491,FN$2),Ciencias!$A:$H,7,FALSE)=CB491,1,0)</f>
        <v>#N/A</v>
      </c>
      <c r="FO491" s="138" t="e">
        <f>IF(VLOOKUP(CONCATENATE(H491,F491,FO$2),Ciencias!$A:$H,7,FALSE)=CC491,1,0)</f>
        <v>#N/A</v>
      </c>
      <c r="FP491" s="138" t="e">
        <f>IF(VLOOKUP(CONCATENATE(H491,F491,FP$2),GeoHis!$A:$H,7,FALSE)=CD491,1,0)</f>
        <v>#N/A</v>
      </c>
      <c r="FQ491" s="138" t="e">
        <f>IF(VLOOKUP(CONCATENATE(H491,F491,FQ$2),GeoHis!$A:$H,7,FALSE)=CE491,1,0)</f>
        <v>#N/A</v>
      </c>
      <c r="FR491" s="138" t="e">
        <f>IF(VLOOKUP(CONCATENATE(H491,F491,FR$2),GeoHis!$A:$H,7,FALSE)=CF491,1,0)</f>
        <v>#N/A</v>
      </c>
      <c r="FS491" s="138" t="e">
        <f>IF(VLOOKUP(CONCATENATE(H491,F491,FS$2),GeoHis!$A:$H,7,FALSE)=CG491,1,0)</f>
        <v>#N/A</v>
      </c>
      <c r="FT491" s="138" t="e">
        <f>IF(VLOOKUP(CONCATENATE(H491,F491,FT$2),GeoHis!$A:$H,7,FALSE)=CH491,1,0)</f>
        <v>#N/A</v>
      </c>
      <c r="FU491" s="138" t="e">
        <f>IF(VLOOKUP(CONCATENATE(H491,F491,FU$2),GeoHis!$A:$H,7,FALSE)=CI491,1,0)</f>
        <v>#N/A</v>
      </c>
      <c r="FV491" s="138" t="e">
        <f>IF(VLOOKUP(CONCATENATE(H491,F491,FV$2),GeoHis!$A:$H,7,FALSE)=CJ491,1,0)</f>
        <v>#N/A</v>
      </c>
      <c r="FW491" s="138" t="e">
        <f>IF(VLOOKUP(CONCATENATE(H491,F491,FW$2),GeoHis!$A:$H,7,FALSE)=CK491,1,0)</f>
        <v>#N/A</v>
      </c>
      <c r="FX491" s="138" t="e">
        <f>IF(VLOOKUP(CONCATENATE(H491,F491,FX$2),GeoHis!$A:$H,7,FALSE)=CL491,1,0)</f>
        <v>#N/A</v>
      </c>
      <c r="FY491" s="138" t="e">
        <f>IF(VLOOKUP(CONCATENATE(H491,F491,FY$2),GeoHis!$A:$H,7,FALSE)=CM491,1,0)</f>
        <v>#N/A</v>
      </c>
      <c r="FZ491" s="138" t="e">
        <f>IF(VLOOKUP(CONCATENATE(H491,F491,FZ$2),GeoHis!$A:$H,7,FALSE)=CN491,1,0)</f>
        <v>#N/A</v>
      </c>
      <c r="GA491" s="138" t="e">
        <f>IF(VLOOKUP(CONCATENATE(H491,F491,GA$2),GeoHis!$A:$H,7,FALSE)=CO491,1,0)</f>
        <v>#N/A</v>
      </c>
      <c r="GB491" s="138" t="e">
        <f>IF(VLOOKUP(CONCATENATE(H491,F491,GB$2),GeoHis!$A:$H,7,FALSE)=CP491,1,0)</f>
        <v>#N/A</v>
      </c>
      <c r="GC491" s="138" t="e">
        <f>IF(VLOOKUP(CONCATENATE(H491,F491,GC$2),GeoHis!$A:$H,7,FALSE)=CQ491,1,0)</f>
        <v>#N/A</v>
      </c>
      <c r="GD491" s="138" t="e">
        <f>IF(VLOOKUP(CONCATENATE(H491,F491,GD$2),GeoHis!$A:$H,7,FALSE)=CR491,1,0)</f>
        <v>#N/A</v>
      </c>
      <c r="GE491" s="135" t="str">
        <f t="shared" si="63"/>
        <v/>
      </c>
    </row>
    <row r="492" spans="1:187" x14ac:dyDescent="0.25">
      <c r="A492" s="127" t="str">
        <f>IF(C492="","",'Datos Generales'!$A$25)</f>
        <v/>
      </c>
      <c r="D492" s="126" t="str">
        <f t="shared" si="56"/>
        <v/>
      </c>
      <c r="E492" s="126">
        <f t="shared" si="57"/>
        <v>0</v>
      </c>
      <c r="F492" s="126" t="str">
        <f t="shared" si="58"/>
        <v/>
      </c>
      <c r="G492" s="126" t="str">
        <f>IF(C492="","",'Datos Generales'!$D$19)</f>
        <v/>
      </c>
      <c r="H492" s="21" t="str">
        <f>IF(C492="","",'Datos Generales'!$A$19)</f>
        <v/>
      </c>
      <c r="I492" s="126" t="str">
        <f>IF(C492="","",'Datos Generales'!$A$7)</f>
        <v/>
      </c>
      <c r="J492" s="21" t="str">
        <f>IF(C492="","",'Datos Generales'!$A$13)</f>
        <v/>
      </c>
      <c r="K492" s="21" t="str">
        <f>IF(C492="","",'Datos Generales'!$A$10)</f>
        <v/>
      </c>
      <c r="CS492" s="142" t="str">
        <f t="shared" si="59"/>
        <v/>
      </c>
      <c r="CT492" s="142" t="str">
        <f t="shared" si="60"/>
        <v/>
      </c>
      <c r="CU492" s="142" t="str">
        <f t="shared" si="61"/>
        <v/>
      </c>
      <c r="CV492" s="142" t="str">
        <f t="shared" si="62"/>
        <v/>
      </c>
      <c r="CW492" s="142" t="str">
        <f>IF(C492="","",IF('Datos Generales'!$A$19=1,AVERAGE(FP492:GD492),AVERAGE(Captura!FP492:FY492)))</f>
        <v/>
      </c>
      <c r="CX492" s="138" t="e">
        <f>IF(VLOOKUP(CONCATENATE($H$4,$F$4,CX$2),Español!$A:$H,7,FALSE)=L492,1,0)</f>
        <v>#N/A</v>
      </c>
      <c r="CY492" s="138" t="e">
        <f>IF(VLOOKUP(CONCATENATE(H492,F492,CY$2),Español!$A:$H,7,FALSE)=M492,1,0)</f>
        <v>#N/A</v>
      </c>
      <c r="CZ492" s="138" t="e">
        <f>IF(VLOOKUP(CONCATENATE(H492,F492,CZ$2),Español!$A:$H,7,FALSE)=N492,1,0)</f>
        <v>#N/A</v>
      </c>
      <c r="DA492" s="138" t="e">
        <f>IF(VLOOKUP(CONCATENATE(H492,F492,DA$2),Español!$A:$H,7,FALSE)=O492,1,0)</f>
        <v>#N/A</v>
      </c>
      <c r="DB492" s="138" t="e">
        <f>IF(VLOOKUP(CONCATENATE(H492,F492,DB$2),Español!$A:$H,7,FALSE)=P492,1,0)</f>
        <v>#N/A</v>
      </c>
      <c r="DC492" s="138" t="e">
        <f>IF(VLOOKUP(CONCATENATE(H492,F492,DC$2),Español!$A:$H,7,FALSE)=Q492,1,0)</f>
        <v>#N/A</v>
      </c>
      <c r="DD492" s="138" t="e">
        <f>IF(VLOOKUP(CONCATENATE(H492,F492,DD$2),Español!$A:$H,7,FALSE)=R492,1,0)</f>
        <v>#N/A</v>
      </c>
      <c r="DE492" s="138" t="e">
        <f>IF(VLOOKUP(CONCATENATE(H492,F492,DE$2),Español!$A:$H,7,FALSE)=S492,1,0)</f>
        <v>#N/A</v>
      </c>
      <c r="DF492" s="138" t="e">
        <f>IF(VLOOKUP(CONCATENATE(H492,F492,DF$2),Español!$A:$H,7,FALSE)=T492,1,0)</f>
        <v>#N/A</v>
      </c>
      <c r="DG492" s="138" t="e">
        <f>IF(VLOOKUP(CONCATENATE(H492,F492,DG$2),Español!$A:$H,7,FALSE)=U492,1,0)</f>
        <v>#N/A</v>
      </c>
      <c r="DH492" s="138" t="e">
        <f>IF(VLOOKUP(CONCATENATE(H492,F492,DH$2),Español!$A:$H,7,FALSE)=V492,1,0)</f>
        <v>#N/A</v>
      </c>
      <c r="DI492" s="138" t="e">
        <f>IF(VLOOKUP(CONCATENATE(H492,F492,DI$2),Español!$A:$H,7,FALSE)=W492,1,0)</f>
        <v>#N/A</v>
      </c>
      <c r="DJ492" s="138" t="e">
        <f>IF(VLOOKUP(CONCATENATE(H492,F492,DJ$2),Español!$A:$H,7,FALSE)=X492,1,0)</f>
        <v>#N/A</v>
      </c>
      <c r="DK492" s="138" t="e">
        <f>IF(VLOOKUP(CONCATENATE(H492,F492,DK$2),Español!$A:$H,7,FALSE)=Y492,1,0)</f>
        <v>#N/A</v>
      </c>
      <c r="DL492" s="138" t="e">
        <f>IF(VLOOKUP(CONCATENATE(H492,F492,DL$2),Español!$A:$H,7,FALSE)=Z492,1,0)</f>
        <v>#N/A</v>
      </c>
      <c r="DM492" s="138" t="e">
        <f>IF(VLOOKUP(CONCATENATE(H492,F492,DM$2),Español!$A:$H,7,FALSE)=AA492,1,0)</f>
        <v>#N/A</v>
      </c>
      <c r="DN492" s="138" t="e">
        <f>IF(VLOOKUP(CONCATENATE(H492,F492,DN$2),Español!$A:$H,7,FALSE)=AB492,1,0)</f>
        <v>#N/A</v>
      </c>
      <c r="DO492" s="138" t="e">
        <f>IF(VLOOKUP(CONCATENATE(H492,F492,DO$2),Español!$A:$H,7,FALSE)=AC492,1,0)</f>
        <v>#N/A</v>
      </c>
      <c r="DP492" s="138" t="e">
        <f>IF(VLOOKUP(CONCATENATE(H492,F492,DP$2),Español!$A:$H,7,FALSE)=AD492,1,0)</f>
        <v>#N/A</v>
      </c>
      <c r="DQ492" s="138" t="e">
        <f>IF(VLOOKUP(CONCATENATE(H492,F492,DQ$2),Español!$A:$H,7,FALSE)=AE492,1,0)</f>
        <v>#N/A</v>
      </c>
      <c r="DR492" s="138" t="e">
        <f>IF(VLOOKUP(CONCATENATE(H492,F492,DR$2),Inglés!$A:$H,7,FALSE)=AF492,1,0)</f>
        <v>#N/A</v>
      </c>
      <c r="DS492" s="138" t="e">
        <f>IF(VLOOKUP(CONCATENATE(H492,F492,DS$2),Inglés!$A:$H,7,FALSE)=AG492,1,0)</f>
        <v>#N/A</v>
      </c>
      <c r="DT492" s="138" t="e">
        <f>IF(VLOOKUP(CONCATENATE(H492,F492,DT$2),Inglés!$A:$H,7,FALSE)=AH492,1,0)</f>
        <v>#N/A</v>
      </c>
      <c r="DU492" s="138" t="e">
        <f>IF(VLOOKUP(CONCATENATE(H492,F492,DU$2),Inglés!$A:$H,7,FALSE)=AI492,1,0)</f>
        <v>#N/A</v>
      </c>
      <c r="DV492" s="138" t="e">
        <f>IF(VLOOKUP(CONCATENATE(H492,F492,DV$2),Inglés!$A:$H,7,FALSE)=AJ492,1,0)</f>
        <v>#N/A</v>
      </c>
      <c r="DW492" s="138" t="e">
        <f>IF(VLOOKUP(CONCATENATE(H492,F492,DW$2),Inglés!$A:$H,7,FALSE)=AK492,1,0)</f>
        <v>#N/A</v>
      </c>
      <c r="DX492" s="138" t="e">
        <f>IF(VLOOKUP(CONCATENATE(H492,F492,DX$2),Inglés!$A:$H,7,FALSE)=AL492,1,0)</f>
        <v>#N/A</v>
      </c>
      <c r="DY492" s="138" t="e">
        <f>IF(VLOOKUP(CONCATENATE(H492,F492,DY$2),Inglés!$A:$H,7,FALSE)=AM492,1,0)</f>
        <v>#N/A</v>
      </c>
      <c r="DZ492" s="138" t="e">
        <f>IF(VLOOKUP(CONCATENATE(H492,F492,DZ$2),Inglés!$A:$H,7,FALSE)=AN492,1,0)</f>
        <v>#N/A</v>
      </c>
      <c r="EA492" s="138" t="e">
        <f>IF(VLOOKUP(CONCATENATE(H492,F492,EA$2),Inglés!$A:$H,7,FALSE)=AO492,1,0)</f>
        <v>#N/A</v>
      </c>
      <c r="EB492" s="138" t="e">
        <f>IF(VLOOKUP(CONCATENATE(H492,F492,EB$2),Matemáticas!$A:$H,7,FALSE)=AP492,1,0)</f>
        <v>#N/A</v>
      </c>
      <c r="EC492" s="138" t="e">
        <f>IF(VLOOKUP(CONCATENATE(H492,F492,EC$2),Matemáticas!$A:$H,7,FALSE)=AQ492,1,0)</f>
        <v>#N/A</v>
      </c>
      <c r="ED492" s="138" t="e">
        <f>IF(VLOOKUP(CONCATENATE(H492,F492,ED$2),Matemáticas!$A:$H,7,FALSE)=AR492,1,0)</f>
        <v>#N/A</v>
      </c>
      <c r="EE492" s="138" t="e">
        <f>IF(VLOOKUP(CONCATENATE(H492,F492,EE$2),Matemáticas!$A:$H,7,FALSE)=AS492,1,0)</f>
        <v>#N/A</v>
      </c>
      <c r="EF492" s="138" t="e">
        <f>IF(VLOOKUP(CONCATENATE(H492,F492,EF$2),Matemáticas!$A:$H,7,FALSE)=AT492,1,0)</f>
        <v>#N/A</v>
      </c>
      <c r="EG492" s="138" t="e">
        <f>IF(VLOOKUP(CONCATENATE(H492,F492,EG$2),Matemáticas!$A:$H,7,FALSE)=AU492,1,0)</f>
        <v>#N/A</v>
      </c>
      <c r="EH492" s="138" t="e">
        <f>IF(VLOOKUP(CONCATENATE(H492,F492,EH$2),Matemáticas!$A:$H,7,FALSE)=AV492,1,0)</f>
        <v>#N/A</v>
      </c>
      <c r="EI492" s="138" t="e">
        <f>IF(VLOOKUP(CONCATENATE(H492,F492,EI$2),Matemáticas!$A:$H,7,FALSE)=AW492,1,0)</f>
        <v>#N/A</v>
      </c>
      <c r="EJ492" s="138" t="e">
        <f>IF(VLOOKUP(CONCATENATE(H492,F492,EJ$2),Matemáticas!$A:$H,7,FALSE)=AX492,1,0)</f>
        <v>#N/A</v>
      </c>
      <c r="EK492" s="138" t="e">
        <f>IF(VLOOKUP(CONCATENATE(H492,F492,EK$2),Matemáticas!$A:$H,7,FALSE)=AY492,1,0)</f>
        <v>#N/A</v>
      </c>
      <c r="EL492" s="138" t="e">
        <f>IF(VLOOKUP(CONCATENATE(H492,F492,EL$2),Matemáticas!$A:$H,7,FALSE)=AZ492,1,0)</f>
        <v>#N/A</v>
      </c>
      <c r="EM492" s="138" t="e">
        <f>IF(VLOOKUP(CONCATENATE(H492,F492,EM$2),Matemáticas!$A:$H,7,FALSE)=BA492,1,0)</f>
        <v>#N/A</v>
      </c>
      <c r="EN492" s="138" t="e">
        <f>IF(VLOOKUP(CONCATENATE(H492,F492,EN$2),Matemáticas!$A:$H,7,FALSE)=BB492,1,0)</f>
        <v>#N/A</v>
      </c>
      <c r="EO492" s="138" t="e">
        <f>IF(VLOOKUP(CONCATENATE(H492,F492,EO$2),Matemáticas!$A:$H,7,FALSE)=BC492,1,0)</f>
        <v>#N/A</v>
      </c>
      <c r="EP492" s="138" t="e">
        <f>IF(VLOOKUP(CONCATENATE(H492,F492,EP$2),Matemáticas!$A:$H,7,FALSE)=BD492,1,0)</f>
        <v>#N/A</v>
      </c>
      <c r="EQ492" s="138" t="e">
        <f>IF(VLOOKUP(CONCATENATE(H492,F492,EQ$2),Matemáticas!$A:$H,7,FALSE)=BE492,1,0)</f>
        <v>#N/A</v>
      </c>
      <c r="ER492" s="138" t="e">
        <f>IF(VLOOKUP(CONCATENATE(H492,F492,ER$2),Matemáticas!$A:$H,7,FALSE)=BF492,1,0)</f>
        <v>#N/A</v>
      </c>
      <c r="ES492" s="138" t="e">
        <f>IF(VLOOKUP(CONCATENATE(H492,F492,ES$2),Matemáticas!$A:$H,7,FALSE)=BG492,1,0)</f>
        <v>#N/A</v>
      </c>
      <c r="ET492" s="138" t="e">
        <f>IF(VLOOKUP(CONCATENATE(H492,F492,ET$2),Matemáticas!$A:$H,7,FALSE)=BH492,1,0)</f>
        <v>#N/A</v>
      </c>
      <c r="EU492" s="138" t="e">
        <f>IF(VLOOKUP(CONCATENATE(H492,F492,EU$2),Matemáticas!$A:$H,7,FALSE)=BI492,1,0)</f>
        <v>#N/A</v>
      </c>
      <c r="EV492" s="138" t="e">
        <f>IF(VLOOKUP(CONCATENATE(H492,F492,EV$2),Ciencias!$A:$H,7,FALSE)=BJ492,1,0)</f>
        <v>#N/A</v>
      </c>
      <c r="EW492" s="138" t="e">
        <f>IF(VLOOKUP(CONCATENATE(H492,F492,EW$2),Ciencias!$A:$H,7,FALSE)=BK492,1,0)</f>
        <v>#N/A</v>
      </c>
      <c r="EX492" s="138" t="e">
        <f>IF(VLOOKUP(CONCATENATE(H492,F492,EX$2),Ciencias!$A:$H,7,FALSE)=BL492,1,0)</f>
        <v>#N/A</v>
      </c>
      <c r="EY492" s="138" t="e">
        <f>IF(VLOOKUP(CONCATENATE(H492,F492,EY$2),Ciencias!$A:$H,7,FALSE)=BM492,1,0)</f>
        <v>#N/A</v>
      </c>
      <c r="EZ492" s="138" t="e">
        <f>IF(VLOOKUP(CONCATENATE(H492,F492,EZ$2),Ciencias!$A:$H,7,FALSE)=BN492,1,0)</f>
        <v>#N/A</v>
      </c>
      <c r="FA492" s="138" t="e">
        <f>IF(VLOOKUP(CONCATENATE(H492,F492,FA$2),Ciencias!$A:$H,7,FALSE)=BO492,1,0)</f>
        <v>#N/A</v>
      </c>
      <c r="FB492" s="138" t="e">
        <f>IF(VLOOKUP(CONCATENATE(H492,F492,FB$2),Ciencias!$A:$H,7,FALSE)=BP492,1,0)</f>
        <v>#N/A</v>
      </c>
      <c r="FC492" s="138" t="e">
        <f>IF(VLOOKUP(CONCATENATE(H492,F492,FC$2),Ciencias!$A:$H,7,FALSE)=BQ492,1,0)</f>
        <v>#N/A</v>
      </c>
      <c r="FD492" s="138" t="e">
        <f>IF(VLOOKUP(CONCATENATE(H492,F492,FD$2),Ciencias!$A:$H,7,FALSE)=BR492,1,0)</f>
        <v>#N/A</v>
      </c>
      <c r="FE492" s="138" t="e">
        <f>IF(VLOOKUP(CONCATENATE(H492,F492,FE$2),Ciencias!$A:$H,7,FALSE)=BS492,1,0)</f>
        <v>#N/A</v>
      </c>
      <c r="FF492" s="138" t="e">
        <f>IF(VLOOKUP(CONCATENATE(H492,F492,FF$2),Ciencias!$A:$H,7,FALSE)=BT492,1,0)</f>
        <v>#N/A</v>
      </c>
      <c r="FG492" s="138" t="e">
        <f>IF(VLOOKUP(CONCATENATE(H492,F492,FG$2),Ciencias!$A:$H,7,FALSE)=BU492,1,0)</f>
        <v>#N/A</v>
      </c>
      <c r="FH492" s="138" t="e">
        <f>IF(VLOOKUP(CONCATENATE(H492,F492,FH$2),Ciencias!$A:$H,7,FALSE)=BV492,1,0)</f>
        <v>#N/A</v>
      </c>
      <c r="FI492" s="138" t="e">
        <f>IF(VLOOKUP(CONCATENATE(H492,F492,FI$2),Ciencias!$A:$H,7,FALSE)=BW492,1,0)</f>
        <v>#N/A</v>
      </c>
      <c r="FJ492" s="138" t="e">
        <f>IF(VLOOKUP(CONCATENATE(H492,F492,FJ$2),Ciencias!$A:$H,7,FALSE)=BX492,1,0)</f>
        <v>#N/A</v>
      </c>
      <c r="FK492" s="138" t="e">
        <f>IF(VLOOKUP(CONCATENATE(H492,F492,FK$2),Ciencias!$A:$H,7,FALSE)=BY492,1,0)</f>
        <v>#N/A</v>
      </c>
      <c r="FL492" s="138" t="e">
        <f>IF(VLOOKUP(CONCATENATE(H492,F492,FL$2),Ciencias!$A:$H,7,FALSE)=BZ492,1,0)</f>
        <v>#N/A</v>
      </c>
      <c r="FM492" s="138" t="e">
        <f>IF(VLOOKUP(CONCATENATE(H492,F492,FM$2),Ciencias!$A:$H,7,FALSE)=CA492,1,0)</f>
        <v>#N/A</v>
      </c>
      <c r="FN492" s="138" t="e">
        <f>IF(VLOOKUP(CONCATENATE(H492,F492,FN$2),Ciencias!$A:$H,7,FALSE)=CB492,1,0)</f>
        <v>#N/A</v>
      </c>
      <c r="FO492" s="138" t="e">
        <f>IF(VLOOKUP(CONCATENATE(H492,F492,FO$2),Ciencias!$A:$H,7,FALSE)=CC492,1,0)</f>
        <v>#N/A</v>
      </c>
      <c r="FP492" s="138" t="e">
        <f>IF(VLOOKUP(CONCATENATE(H492,F492,FP$2),GeoHis!$A:$H,7,FALSE)=CD492,1,0)</f>
        <v>#N/A</v>
      </c>
      <c r="FQ492" s="138" t="e">
        <f>IF(VLOOKUP(CONCATENATE(H492,F492,FQ$2),GeoHis!$A:$H,7,FALSE)=CE492,1,0)</f>
        <v>#N/A</v>
      </c>
      <c r="FR492" s="138" t="e">
        <f>IF(VLOOKUP(CONCATENATE(H492,F492,FR$2),GeoHis!$A:$H,7,FALSE)=CF492,1,0)</f>
        <v>#N/A</v>
      </c>
      <c r="FS492" s="138" t="e">
        <f>IF(VLOOKUP(CONCATENATE(H492,F492,FS$2),GeoHis!$A:$H,7,FALSE)=CG492,1,0)</f>
        <v>#N/A</v>
      </c>
      <c r="FT492" s="138" t="e">
        <f>IF(VLOOKUP(CONCATENATE(H492,F492,FT$2),GeoHis!$A:$H,7,FALSE)=CH492,1,0)</f>
        <v>#N/A</v>
      </c>
      <c r="FU492" s="138" t="e">
        <f>IF(VLOOKUP(CONCATENATE(H492,F492,FU$2),GeoHis!$A:$H,7,FALSE)=CI492,1,0)</f>
        <v>#N/A</v>
      </c>
      <c r="FV492" s="138" t="e">
        <f>IF(VLOOKUP(CONCATENATE(H492,F492,FV$2),GeoHis!$A:$H,7,FALSE)=CJ492,1,0)</f>
        <v>#N/A</v>
      </c>
      <c r="FW492" s="138" t="e">
        <f>IF(VLOOKUP(CONCATENATE(H492,F492,FW$2),GeoHis!$A:$H,7,FALSE)=CK492,1,0)</f>
        <v>#N/A</v>
      </c>
      <c r="FX492" s="138" t="e">
        <f>IF(VLOOKUP(CONCATENATE(H492,F492,FX$2),GeoHis!$A:$H,7,FALSE)=CL492,1,0)</f>
        <v>#N/A</v>
      </c>
      <c r="FY492" s="138" t="e">
        <f>IF(VLOOKUP(CONCATENATE(H492,F492,FY$2),GeoHis!$A:$H,7,FALSE)=CM492,1,0)</f>
        <v>#N/A</v>
      </c>
      <c r="FZ492" s="138" t="e">
        <f>IF(VLOOKUP(CONCATENATE(H492,F492,FZ$2),GeoHis!$A:$H,7,FALSE)=CN492,1,0)</f>
        <v>#N/A</v>
      </c>
      <c r="GA492" s="138" t="e">
        <f>IF(VLOOKUP(CONCATENATE(H492,F492,GA$2),GeoHis!$A:$H,7,FALSE)=CO492,1,0)</f>
        <v>#N/A</v>
      </c>
      <c r="GB492" s="138" t="e">
        <f>IF(VLOOKUP(CONCATENATE(H492,F492,GB$2),GeoHis!$A:$H,7,FALSE)=CP492,1,0)</f>
        <v>#N/A</v>
      </c>
      <c r="GC492" s="138" t="e">
        <f>IF(VLOOKUP(CONCATENATE(H492,F492,GC$2),GeoHis!$A:$H,7,FALSE)=CQ492,1,0)</f>
        <v>#N/A</v>
      </c>
      <c r="GD492" s="138" t="e">
        <f>IF(VLOOKUP(CONCATENATE(H492,F492,GD$2),GeoHis!$A:$H,7,FALSE)=CR492,1,0)</f>
        <v>#N/A</v>
      </c>
      <c r="GE492" s="135" t="str">
        <f t="shared" si="63"/>
        <v/>
      </c>
    </row>
    <row r="493" spans="1:187" x14ac:dyDescent="0.25">
      <c r="A493" s="127" t="str">
        <f>IF(C493="","",'Datos Generales'!$A$25)</f>
        <v/>
      </c>
      <c r="D493" s="126" t="str">
        <f t="shared" si="56"/>
        <v/>
      </c>
      <c r="E493" s="126">
        <f t="shared" si="57"/>
        <v>0</v>
      </c>
      <c r="F493" s="126" t="str">
        <f t="shared" si="58"/>
        <v/>
      </c>
      <c r="G493" s="126" t="str">
        <f>IF(C493="","",'Datos Generales'!$D$19)</f>
        <v/>
      </c>
      <c r="H493" s="21" t="str">
        <f>IF(C493="","",'Datos Generales'!$A$19)</f>
        <v/>
      </c>
      <c r="I493" s="126" t="str">
        <f>IF(C493="","",'Datos Generales'!$A$7)</f>
        <v/>
      </c>
      <c r="J493" s="21" t="str">
        <f>IF(C493="","",'Datos Generales'!$A$13)</f>
        <v/>
      </c>
      <c r="K493" s="21" t="str">
        <f>IF(C493="","",'Datos Generales'!$A$10)</f>
        <v/>
      </c>
      <c r="CS493" s="142" t="str">
        <f t="shared" si="59"/>
        <v/>
      </c>
      <c r="CT493" s="142" t="str">
        <f t="shared" si="60"/>
        <v/>
      </c>
      <c r="CU493" s="142" t="str">
        <f t="shared" si="61"/>
        <v/>
      </c>
      <c r="CV493" s="142" t="str">
        <f t="shared" si="62"/>
        <v/>
      </c>
      <c r="CW493" s="142" t="str">
        <f>IF(C493="","",IF('Datos Generales'!$A$19=1,AVERAGE(FP493:GD493),AVERAGE(Captura!FP493:FY493)))</f>
        <v/>
      </c>
      <c r="CX493" s="138" t="e">
        <f>IF(VLOOKUP(CONCATENATE($H$4,$F$4,CX$2),Español!$A:$H,7,FALSE)=L493,1,0)</f>
        <v>#N/A</v>
      </c>
      <c r="CY493" s="138" t="e">
        <f>IF(VLOOKUP(CONCATENATE(H493,F493,CY$2),Español!$A:$H,7,FALSE)=M493,1,0)</f>
        <v>#N/A</v>
      </c>
      <c r="CZ493" s="138" t="e">
        <f>IF(VLOOKUP(CONCATENATE(H493,F493,CZ$2),Español!$A:$H,7,FALSE)=N493,1,0)</f>
        <v>#N/A</v>
      </c>
      <c r="DA493" s="138" t="e">
        <f>IF(VLOOKUP(CONCATENATE(H493,F493,DA$2),Español!$A:$H,7,FALSE)=O493,1,0)</f>
        <v>#N/A</v>
      </c>
      <c r="DB493" s="138" t="e">
        <f>IF(VLOOKUP(CONCATENATE(H493,F493,DB$2),Español!$A:$H,7,FALSE)=P493,1,0)</f>
        <v>#N/A</v>
      </c>
      <c r="DC493" s="138" t="e">
        <f>IF(VLOOKUP(CONCATENATE(H493,F493,DC$2),Español!$A:$H,7,FALSE)=Q493,1,0)</f>
        <v>#N/A</v>
      </c>
      <c r="DD493" s="138" t="e">
        <f>IF(VLOOKUP(CONCATENATE(H493,F493,DD$2),Español!$A:$H,7,FALSE)=R493,1,0)</f>
        <v>#N/A</v>
      </c>
      <c r="DE493" s="138" t="e">
        <f>IF(VLOOKUP(CONCATENATE(H493,F493,DE$2),Español!$A:$H,7,FALSE)=S493,1,0)</f>
        <v>#N/A</v>
      </c>
      <c r="DF493" s="138" t="e">
        <f>IF(VLOOKUP(CONCATENATE(H493,F493,DF$2),Español!$A:$H,7,FALSE)=T493,1,0)</f>
        <v>#N/A</v>
      </c>
      <c r="DG493" s="138" t="e">
        <f>IF(VLOOKUP(CONCATENATE(H493,F493,DG$2),Español!$A:$H,7,FALSE)=U493,1,0)</f>
        <v>#N/A</v>
      </c>
      <c r="DH493" s="138" t="e">
        <f>IF(VLOOKUP(CONCATENATE(H493,F493,DH$2),Español!$A:$H,7,FALSE)=V493,1,0)</f>
        <v>#N/A</v>
      </c>
      <c r="DI493" s="138" t="e">
        <f>IF(VLOOKUP(CONCATENATE(H493,F493,DI$2),Español!$A:$H,7,FALSE)=W493,1,0)</f>
        <v>#N/A</v>
      </c>
      <c r="DJ493" s="138" t="e">
        <f>IF(VLOOKUP(CONCATENATE(H493,F493,DJ$2),Español!$A:$H,7,FALSE)=X493,1,0)</f>
        <v>#N/A</v>
      </c>
      <c r="DK493" s="138" t="e">
        <f>IF(VLOOKUP(CONCATENATE(H493,F493,DK$2),Español!$A:$H,7,FALSE)=Y493,1,0)</f>
        <v>#N/A</v>
      </c>
      <c r="DL493" s="138" t="e">
        <f>IF(VLOOKUP(CONCATENATE(H493,F493,DL$2),Español!$A:$H,7,FALSE)=Z493,1,0)</f>
        <v>#N/A</v>
      </c>
      <c r="DM493" s="138" t="e">
        <f>IF(VLOOKUP(CONCATENATE(H493,F493,DM$2),Español!$A:$H,7,FALSE)=AA493,1,0)</f>
        <v>#N/A</v>
      </c>
      <c r="DN493" s="138" t="e">
        <f>IF(VLOOKUP(CONCATENATE(H493,F493,DN$2),Español!$A:$H,7,FALSE)=AB493,1,0)</f>
        <v>#N/A</v>
      </c>
      <c r="DO493" s="138" t="e">
        <f>IF(VLOOKUP(CONCATENATE(H493,F493,DO$2),Español!$A:$H,7,FALSE)=AC493,1,0)</f>
        <v>#N/A</v>
      </c>
      <c r="DP493" s="138" t="e">
        <f>IF(VLOOKUP(CONCATENATE(H493,F493,DP$2),Español!$A:$H,7,FALSE)=AD493,1,0)</f>
        <v>#N/A</v>
      </c>
      <c r="DQ493" s="138" t="e">
        <f>IF(VLOOKUP(CONCATENATE(H493,F493,DQ$2),Español!$A:$H,7,FALSE)=AE493,1,0)</f>
        <v>#N/A</v>
      </c>
      <c r="DR493" s="138" t="e">
        <f>IF(VLOOKUP(CONCATENATE(H493,F493,DR$2),Inglés!$A:$H,7,FALSE)=AF493,1,0)</f>
        <v>#N/A</v>
      </c>
      <c r="DS493" s="138" t="e">
        <f>IF(VLOOKUP(CONCATENATE(H493,F493,DS$2),Inglés!$A:$H,7,FALSE)=AG493,1,0)</f>
        <v>#N/A</v>
      </c>
      <c r="DT493" s="138" t="e">
        <f>IF(VLOOKUP(CONCATENATE(H493,F493,DT$2),Inglés!$A:$H,7,FALSE)=AH493,1,0)</f>
        <v>#N/A</v>
      </c>
      <c r="DU493" s="138" t="e">
        <f>IF(VLOOKUP(CONCATENATE(H493,F493,DU$2),Inglés!$A:$H,7,FALSE)=AI493,1,0)</f>
        <v>#N/A</v>
      </c>
      <c r="DV493" s="138" t="e">
        <f>IF(VLOOKUP(CONCATENATE(H493,F493,DV$2),Inglés!$A:$H,7,FALSE)=AJ493,1,0)</f>
        <v>#N/A</v>
      </c>
      <c r="DW493" s="138" t="e">
        <f>IF(VLOOKUP(CONCATENATE(H493,F493,DW$2),Inglés!$A:$H,7,FALSE)=AK493,1,0)</f>
        <v>#N/A</v>
      </c>
      <c r="DX493" s="138" t="e">
        <f>IF(VLOOKUP(CONCATENATE(H493,F493,DX$2),Inglés!$A:$H,7,FALSE)=AL493,1,0)</f>
        <v>#N/A</v>
      </c>
      <c r="DY493" s="138" t="e">
        <f>IF(VLOOKUP(CONCATENATE(H493,F493,DY$2),Inglés!$A:$H,7,FALSE)=AM493,1,0)</f>
        <v>#N/A</v>
      </c>
      <c r="DZ493" s="138" t="e">
        <f>IF(VLOOKUP(CONCATENATE(H493,F493,DZ$2),Inglés!$A:$H,7,FALSE)=AN493,1,0)</f>
        <v>#N/A</v>
      </c>
      <c r="EA493" s="138" t="e">
        <f>IF(VLOOKUP(CONCATENATE(H493,F493,EA$2),Inglés!$A:$H,7,FALSE)=AO493,1,0)</f>
        <v>#N/A</v>
      </c>
      <c r="EB493" s="138" t="e">
        <f>IF(VLOOKUP(CONCATENATE(H493,F493,EB$2),Matemáticas!$A:$H,7,FALSE)=AP493,1,0)</f>
        <v>#N/A</v>
      </c>
      <c r="EC493" s="138" t="e">
        <f>IF(VLOOKUP(CONCATENATE(H493,F493,EC$2),Matemáticas!$A:$H,7,FALSE)=AQ493,1,0)</f>
        <v>#N/A</v>
      </c>
      <c r="ED493" s="138" t="e">
        <f>IF(VLOOKUP(CONCATENATE(H493,F493,ED$2),Matemáticas!$A:$H,7,FALSE)=AR493,1,0)</f>
        <v>#N/A</v>
      </c>
      <c r="EE493" s="138" t="e">
        <f>IF(VLOOKUP(CONCATENATE(H493,F493,EE$2),Matemáticas!$A:$H,7,FALSE)=AS493,1,0)</f>
        <v>#N/A</v>
      </c>
      <c r="EF493" s="138" t="e">
        <f>IF(VLOOKUP(CONCATENATE(H493,F493,EF$2),Matemáticas!$A:$H,7,FALSE)=AT493,1,0)</f>
        <v>#N/A</v>
      </c>
      <c r="EG493" s="138" t="e">
        <f>IF(VLOOKUP(CONCATENATE(H493,F493,EG$2),Matemáticas!$A:$H,7,FALSE)=AU493,1,0)</f>
        <v>#N/A</v>
      </c>
      <c r="EH493" s="138" t="e">
        <f>IF(VLOOKUP(CONCATENATE(H493,F493,EH$2),Matemáticas!$A:$H,7,FALSE)=AV493,1,0)</f>
        <v>#N/A</v>
      </c>
      <c r="EI493" s="138" t="e">
        <f>IF(VLOOKUP(CONCATENATE(H493,F493,EI$2),Matemáticas!$A:$H,7,FALSE)=AW493,1,0)</f>
        <v>#N/A</v>
      </c>
      <c r="EJ493" s="138" t="e">
        <f>IF(VLOOKUP(CONCATENATE(H493,F493,EJ$2),Matemáticas!$A:$H,7,FALSE)=AX493,1,0)</f>
        <v>#N/A</v>
      </c>
      <c r="EK493" s="138" t="e">
        <f>IF(VLOOKUP(CONCATENATE(H493,F493,EK$2),Matemáticas!$A:$H,7,FALSE)=AY493,1,0)</f>
        <v>#N/A</v>
      </c>
      <c r="EL493" s="138" t="e">
        <f>IF(VLOOKUP(CONCATENATE(H493,F493,EL$2),Matemáticas!$A:$H,7,FALSE)=AZ493,1,0)</f>
        <v>#N/A</v>
      </c>
      <c r="EM493" s="138" t="e">
        <f>IF(VLOOKUP(CONCATENATE(H493,F493,EM$2),Matemáticas!$A:$H,7,FALSE)=BA493,1,0)</f>
        <v>#N/A</v>
      </c>
      <c r="EN493" s="138" t="e">
        <f>IF(VLOOKUP(CONCATENATE(H493,F493,EN$2),Matemáticas!$A:$H,7,FALSE)=BB493,1,0)</f>
        <v>#N/A</v>
      </c>
      <c r="EO493" s="138" t="e">
        <f>IF(VLOOKUP(CONCATENATE(H493,F493,EO$2),Matemáticas!$A:$H,7,FALSE)=BC493,1,0)</f>
        <v>#N/A</v>
      </c>
      <c r="EP493" s="138" t="e">
        <f>IF(VLOOKUP(CONCATENATE(H493,F493,EP$2),Matemáticas!$A:$H,7,FALSE)=BD493,1,0)</f>
        <v>#N/A</v>
      </c>
      <c r="EQ493" s="138" t="e">
        <f>IF(VLOOKUP(CONCATENATE(H493,F493,EQ$2),Matemáticas!$A:$H,7,FALSE)=BE493,1,0)</f>
        <v>#N/A</v>
      </c>
      <c r="ER493" s="138" t="e">
        <f>IF(VLOOKUP(CONCATENATE(H493,F493,ER$2),Matemáticas!$A:$H,7,FALSE)=BF493,1,0)</f>
        <v>#N/A</v>
      </c>
      <c r="ES493" s="138" t="e">
        <f>IF(VLOOKUP(CONCATENATE(H493,F493,ES$2),Matemáticas!$A:$H,7,FALSE)=BG493,1,0)</f>
        <v>#N/A</v>
      </c>
      <c r="ET493" s="138" t="e">
        <f>IF(VLOOKUP(CONCATENATE(H493,F493,ET$2),Matemáticas!$A:$H,7,FALSE)=BH493,1,0)</f>
        <v>#N/A</v>
      </c>
      <c r="EU493" s="138" t="e">
        <f>IF(VLOOKUP(CONCATENATE(H493,F493,EU$2),Matemáticas!$A:$H,7,FALSE)=BI493,1,0)</f>
        <v>#N/A</v>
      </c>
      <c r="EV493" s="138" t="e">
        <f>IF(VLOOKUP(CONCATENATE(H493,F493,EV$2),Ciencias!$A:$H,7,FALSE)=BJ493,1,0)</f>
        <v>#N/A</v>
      </c>
      <c r="EW493" s="138" t="e">
        <f>IF(VLOOKUP(CONCATENATE(H493,F493,EW$2),Ciencias!$A:$H,7,FALSE)=BK493,1,0)</f>
        <v>#N/A</v>
      </c>
      <c r="EX493" s="138" t="e">
        <f>IF(VLOOKUP(CONCATENATE(H493,F493,EX$2),Ciencias!$A:$H,7,FALSE)=BL493,1,0)</f>
        <v>#N/A</v>
      </c>
      <c r="EY493" s="138" t="e">
        <f>IF(VLOOKUP(CONCATENATE(H493,F493,EY$2),Ciencias!$A:$H,7,FALSE)=BM493,1,0)</f>
        <v>#N/A</v>
      </c>
      <c r="EZ493" s="138" t="e">
        <f>IF(VLOOKUP(CONCATENATE(H493,F493,EZ$2),Ciencias!$A:$H,7,FALSE)=BN493,1,0)</f>
        <v>#N/A</v>
      </c>
      <c r="FA493" s="138" t="e">
        <f>IF(VLOOKUP(CONCATENATE(H493,F493,FA$2),Ciencias!$A:$H,7,FALSE)=BO493,1,0)</f>
        <v>#N/A</v>
      </c>
      <c r="FB493" s="138" t="e">
        <f>IF(VLOOKUP(CONCATENATE(H493,F493,FB$2),Ciencias!$A:$H,7,FALSE)=BP493,1,0)</f>
        <v>#N/A</v>
      </c>
      <c r="FC493" s="138" t="e">
        <f>IF(VLOOKUP(CONCATENATE(H493,F493,FC$2),Ciencias!$A:$H,7,FALSE)=BQ493,1,0)</f>
        <v>#N/A</v>
      </c>
      <c r="FD493" s="138" t="e">
        <f>IF(VLOOKUP(CONCATENATE(H493,F493,FD$2),Ciencias!$A:$H,7,FALSE)=BR493,1,0)</f>
        <v>#N/A</v>
      </c>
      <c r="FE493" s="138" t="e">
        <f>IF(VLOOKUP(CONCATENATE(H493,F493,FE$2),Ciencias!$A:$H,7,FALSE)=BS493,1,0)</f>
        <v>#N/A</v>
      </c>
      <c r="FF493" s="138" t="e">
        <f>IF(VLOOKUP(CONCATENATE(H493,F493,FF$2),Ciencias!$A:$H,7,FALSE)=BT493,1,0)</f>
        <v>#N/A</v>
      </c>
      <c r="FG493" s="138" t="e">
        <f>IF(VLOOKUP(CONCATENATE(H493,F493,FG$2),Ciencias!$A:$H,7,FALSE)=BU493,1,0)</f>
        <v>#N/A</v>
      </c>
      <c r="FH493" s="138" t="e">
        <f>IF(VLOOKUP(CONCATENATE(H493,F493,FH$2),Ciencias!$A:$H,7,FALSE)=BV493,1,0)</f>
        <v>#N/A</v>
      </c>
      <c r="FI493" s="138" t="e">
        <f>IF(VLOOKUP(CONCATENATE(H493,F493,FI$2),Ciencias!$A:$H,7,FALSE)=BW493,1,0)</f>
        <v>#N/A</v>
      </c>
      <c r="FJ493" s="138" t="e">
        <f>IF(VLOOKUP(CONCATENATE(H493,F493,FJ$2),Ciencias!$A:$H,7,FALSE)=BX493,1,0)</f>
        <v>#N/A</v>
      </c>
      <c r="FK493" s="138" t="e">
        <f>IF(VLOOKUP(CONCATENATE(H493,F493,FK$2),Ciencias!$A:$H,7,FALSE)=BY493,1,0)</f>
        <v>#N/A</v>
      </c>
      <c r="FL493" s="138" t="e">
        <f>IF(VLOOKUP(CONCATENATE(H493,F493,FL$2),Ciencias!$A:$H,7,FALSE)=BZ493,1,0)</f>
        <v>#N/A</v>
      </c>
      <c r="FM493" s="138" t="e">
        <f>IF(VLOOKUP(CONCATENATE(H493,F493,FM$2),Ciencias!$A:$H,7,FALSE)=CA493,1,0)</f>
        <v>#N/A</v>
      </c>
      <c r="FN493" s="138" t="e">
        <f>IF(VLOOKUP(CONCATENATE(H493,F493,FN$2),Ciencias!$A:$H,7,FALSE)=CB493,1,0)</f>
        <v>#N/A</v>
      </c>
      <c r="FO493" s="138" t="e">
        <f>IF(VLOOKUP(CONCATENATE(H493,F493,FO$2),Ciencias!$A:$H,7,FALSE)=CC493,1,0)</f>
        <v>#N/A</v>
      </c>
      <c r="FP493" s="138" t="e">
        <f>IF(VLOOKUP(CONCATENATE(H493,F493,FP$2),GeoHis!$A:$H,7,FALSE)=CD493,1,0)</f>
        <v>#N/A</v>
      </c>
      <c r="FQ493" s="138" t="e">
        <f>IF(VLOOKUP(CONCATENATE(H493,F493,FQ$2),GeoHis!$A:$H,7,FALSE)=CE493,1,0)</f>
        <v>#N/A</v>
      </c>
      <c r="FR493" s="138" t="e">
        <f>IF(VLOOKUP(CONCATENATE(H493,F493,FR$2),GeoHis!$A:$H,7,FALSE)=CF493,1,0)</f>
        <v>#N/A</v>
      </c>
      <c r="FS493" s="138" t="e">
        <f>IF(VLOOKUP(CONCATENATE(H493,F493,FS$2),GeoHis!$A:$H,7,FALSE)=CG493,1,0)</f>
        <v>#N/A</v>
      </c>
      <c r="FT493" s="138" t="e">
        <f>IF(VLOOKUP(CONCATENATE(H493,F493,FT$2),GeoHis!$A:$H,7,FALSE)=CH493,1,0)</f>
        <v>#N/A</v>
      </c>
      <c r="FU493" s="138" t="e">
        <f>IF(VLOOKUP(CONCATENATE(H493,F493,FU$2),GeoHis!$A:$H,7,FALSE)=CI493,1,0)</f>
        <v>#N/A</v>
      </c>
      <c r="FV493" s="138" t="e">
        <f>IF(VLOOKUP(CONCATENATE(H493,F493,FV$2),GeoHis!$A:$H,7,FALSE)=CJ493,1,0)</f>
        <v>#N/A</v>
      </c>
      <c r="FW493" s="138" t="e">
        <f>IF(VLOOKUP(CONCATENATE(H493,F493,FW$2),GeoHis!$A:$H,7,FALSE)=CK493,1,0)</f>
        <v>#N/A</v>
      </c>
      <c r="FX493" s="138" t="e">
        <f>IF(VLOOKUP(CONCATENATE(H493,F493,FX$2),GeoHis!$A:$H,7,FALSE)=CL493,1,0)</f>
        <v>#N/A</v>
      </c>
      <c r="FY493" s="138" t="e">
        <f>IF(VLOOKUP(CONCATENATE(H493,F493,FY$2),GeoHis!$A:$H,7,FALSE)=CM493,1,0)</f>
        <v>#N/A</v>
      </c>
      <c r="FZ493" s="138" t="e">
        <f>IF(VLOOKUP(CONCATENATE(H493,F493,FZ$2),GeoHis!$A:$H,7,FALSE)=CN493,1,0)</f>
        <v>#N/A</v>
      </c>
      <c r="GA493" s="138" t="e">
        <f>IF(VLOOKUP(CONCATENATE(H493,F493,GA$2),GeoHis!$A:$H,7,FALSE)=CO493,1,0)</f>
        <v>#N/A</v>
      </c>
      <c r="GB493" s="138" t="e">
        <f>IF(VLOOKUP(CONCATENATE(H493,F493,GB$2),GeoHis!$A:$H,7,FALSE)=CP493,1,0)</f>
        <v>#N/A</v>
      </c>
      <c r="GC493" s="138" t="e">
        <f>IF(VLOOKUP(CONCATENATE(H493,F493,GC$2),GeoHis!$A:$H,7,FALSE)=CQ493,1,0)</f>
        <v>#N/A</v>
      </c>
      <c r="GD493" s="138" t="e">
        <f>IF(VLOOKUP(CONCATENATE(H493,F493,GD$2),GeoHis!$A:$H,7,FALSE)=CR493,1,0)</f>
        <v>#N/A</v>
      </c>
      <c r="GE493" s="135" t="str">
        <f t="shared" si="63"/>
        <v/>
      </c>
    </row>
    <row r="494" spans="1:187" x14ac:dyDescent="0.25">
      <c r="A494" s="127" t="str">
        <f>IF(C494="","",'Datos Generales'!$A$25)</f>
        <v/>
      </c>
      <c r="D494" s="126" t="str">
        <f t="shared" si="56"/>
        <v/>
      </c>
      <c r="E494" s="126">
        <f t="shared" si="57"/>
        <v>0</v>
      </c>
      <c r="F494" s="126" t="str">
        <f t="shared" si="58"/>
        <v/>
      </c>
      <c r="G494" s="126" t="str">
        <f>IF(C494="","",'Datos Generales'!$D$19)</f>
        <v/>
      </c>
      <c r="H494" s="21" t="str">
        <f>IF(C494="","",'Datos Generales'!$A$19)</f>
        <v/>
      </c>
      <c r="I494" s="126" t="str">
        <f>IF(C494="","",'Datos Generales'!$A$7)</f>
        <v/>
      </c>
      <c r="J494" s="21" t="str">
        <f>IF(C494="","",'Datos Generales'!$A$13)</f>
        <v/>
      </c>
      <c r="K494" s="21" t="str">
        <f>IF(C494="","",'Datos Generales'!$A$10)</f>
        <v/>
      </c>
      <c r="CS494" s="142" t="str">
        <f t="shared" si="59"/>
        <v/>
      </c>
      <c r="CT494" s="142" t="str">
        <f t="shared" si="60"/>
        <v/>
      </c>
      <c r="CU494" s="142" t="str">
        <f t="shared" si="61"/>
        <v/>
      </c>
      <c r="CV494" s="142" t="str">
        <f t="shared" si="62"/>
        <v/>
      </c>
      <c r="CW494" s="142" t="str">
        <f>IF(C494="","",IF('Datos Generales'!$A$19=1,AVERAGE(FP494:GD494),AVERAGE(Captura!FP494:FY494)))</f>
        <v/>
      </c>
      <c r="CX494" s="138" t="e">
        <f>IF(VLOOKUP(CONCATENATE($H$4,$F$4,CX$2),Español!$A:$H,7,FALSE)=L494,1,0)</f>
        <v>#N/A</v>
      </c>
      <c r="CY494" s="138" t="e">
        <f>IF(VLOOKUP(CONCATENATE(H494,F494,CY$2),Español!$A:$H,7,FALSE)=M494,1,0)</f>
        <v>#N/A</v>
      </c>
      <c r="CZ494" s="138" t="e">
        <f>IF(VLOOKUP(CONCATENATE(H494,F494,CZ$2),Español!$A:$H,7,FALSE)=N494,1,0)</f>
        <v>#N/A</v>
      </c>
      <c r="DA494" s="138" t="e">
        <f>IF(VLOOKUP(CONCATENATE(H494,F494,DA$2),Español!$A:$H,7,FALSE)=O494,1,0)</f>
        <v>#N/A</v>
      </c>
      <c r="DB494" s="138" t="e">
        <f>IF(VLOOKUP(CONCATENATE(H494,F494,DB$2),Español!$A:$H,7,FALSE)=P494,1,0)</f>
        <v>#N/A</v>
      </c>
      <c r="DC494" s="138" t="e">
        <f>IF(VLOOKUP(CONCATENATE(H494,F494,DC$2),Español!$A:$H,7,FALSE)=Q494,1,0)</f>
        <v>#N/A</v>
      </c>
      <c r="DD494" s="138" t="e">
        <f>IF(VLOOKUP(CONCATENATE(H494,F494,DD$2),Español!$A:$H,7,FALSE)=R494,1,0)</f>
        <v>#N/A</v>
      </c>
      <c r="DE494" s="138" t="e">
        <f>IF(VLOOKUP(CONCATENATE(H494,F494,DE$2),Español!$A:$H,7,FALSE)=S494,1,0)</f>
        <v>#N/A</v>
      </c>
      <c r="DF494" s="138" t="e">
        <f>IF(VLOOKUP(CONCATENATE(H494,F494,DF$2),Español!$A:$H,7,FALSE)=T494,1,0)</f>
        <v>#N/A</v>
      </c>
      <c r="DG494" s="138" t="e">
        <f>IF(VLOOKUP(CONCATENATE(H494,F494,DG$2),Español!$A:$H,7,FALSE)=U494,1,0)</f>
        <v>#N/A</v>
      </c>
      <c r="DH494" s="138" t="e">
        <f>IF(VLOOKUP(CONCATENATE(H494,F494,DH$2),Español!$A:$H,7,FALSE)=V494,1,0)</f>
        <v>#N/A</v>
      </c>
      <c r="DI494" s="138" t="e">
        <f>IF(VLOOKUP(CONCATENATE(H494,F494,DI$2),Español!$A:$H,7,FALSE)=W494,1,0)</f>
        <v>#N/A</v>
      </c>
      <c r="DJ494" s="138" t="e">
        <f>IF(VLOOKUP(CONCATENATE(H494,F494,DJ$2),Español!$A:$H,7,FALSE)=X494,1,0)</f>
        <v>#N/A</v>
      </c>
      <c r="DK494" s="138" t="e">
        <f>IF(VLOOKUP(CONCATENATE(H494,F494,DK$2),Español!$A:$H,7,FALSE)=Y494,1,0)</f>
        <v>#N/A</v>
      </c>
      <c r="DL494" s="138" t="e">
        <f>IF(VLOOKUP(CONCATENATE(H494,F494,DL$2),Español!$A:$H,7,FALSE)=Z494,1,0)</f>
        <v>#N/A</v>
      </c>
      <c r="DM494" s="138" t="e">
        <f>IF(VLOOKUP(CONCATENATE(H494,F494,DM$2),Español!$A:$H,7,FALSE)=AA494,1,0)</f>
        <v>#N/A</v>
      </c>
      <c r="DN494" s="138" t="e">
        <f>IF(VLOOKUP(CONCATENATE(H494,F494,DN$2),Español!$A:$H,7,FALSE)=AB494,1,0)</f>
        <v>#N/A</v>
      </c>
      <c r="DO494" s="138" t="e">
        <f>IF(VLOOKUP(CONCATENATE(H494,F494,DO$2),Español!$A:$H,7,FALSE)=AC494,1,0)</f>
        <v>#N/A</v>
      </c>
      <c r="DP494" s="138" t="e">
        <f>IF(VLOOKUP(CONCATENATE(H494,F494,DP$2),Español!$A:$H,7,FALSE)=AD494,1,0)</f>
        <v>#N/A</v>
      </c>
      <c r="DQ494" s="138" t="e">
        <f>IF(VLOOKUP(CONCATENATE(H494,F494,DQ$2),Español!$A:$H,7,FALSE)=AE494,1,0)</f>
        <v>#N/A</v>
      </c>
      <c r="DR494" s="138" t="e">
        <f>IF(VLOOKUP(CONCATENATE(H494,F494,DR$2),Inglés!$A:$H,7,FALSE)=AF494,1,0)</f>
        <v>#N/A</v>
      </c>
      <c r="DS494" s="138" t="e">
        <f>IF(VLOOKUP(CONCATENATE(H494,F494,DS$2),Inglés!$A:$H,7,FALSE)=AG494,1,0)</f>
        <v>#N/A</v>
      </c>
      <c r="DT494" s="138" t="e">
        <f>IF(VLOOKUP(CONCATENATE(H494,F494,DT$2),Inglés!$A:$H,7,FALSE)=AH494,1,0)</f>
        <v>#N/A</v>
      </c>
      <c r="DU494" s="138" t="e">
        <f>IF(VLOOKUP(CONCATENATE(H494,F494,DU$2),Inglés!$A:$H,7,FALSE)=AI494,1,0)</f>
        <v>#N/A</v>
      </c>
      <c r="DV494" s="138" t="e">
        <f>IF(VLOOKUP(CONCATENATE(H494,F494,DV$2),Inglés!$A:$H,7,FALSE)=AJ494,1,0)</f>
        <v>#N/A</v>
      </c>
      <c r="DW494" s="138" t="e">
        <f>IF(VLOOKUP(CONCATENATE(H494,F494,DW$2),Inglés!$A:$H,7,FALSE)=AK494,1,0)</f>
        <v>#N/A</v>
      </c>
      <c r="DX494" s="138" t="e">
        <f>IF(VLOOKUP(CONCATENATE(H494,F494,DX$2),Inglés!$A:$H,7,FALSE)=AL494,1,0)</f>
        <v>#N/A</v>
      </c>
      <c r="DY494" s="138" t="e">
        <f>IF(VLOOKUP(CONCATENATE(H494,F494,DY$2),Inglés!$A:$H,7,FALSE)=AM494,1,0)</f>
        <v>#N/A</v>
      </c>
      <c r="DZ494" s="138" t="e">
        <f>IF(VLOOKUP(CONCATENATE(H494,F494,DZ$2),Inglés!$A:$H,7,FALSE)=AN494,1,0)</f>
        <v>#N/A</v>
      </c>
      <c r="EA494" s="138" t="e">
        <f>IF(VLOOKUP(CONCATENATE(H494,F494,EA$2),Inglés!$A:$H,7,FALSE)=AO494,1,0)</f>
        <v>#N/A</v>
      </c>
      <c r="EB494" s="138" t="e">
        <f>IF(VLOOKUP(CONCATENATE(H494,F494,EB$2),Matemáticas!$A:$H,7,FALSE)=AP494,1,0)</f>
        <v>#N/A</v>
      </c>
      <c r="EC494" s="138" t="e">
        <f>IF(VLOOKUP(CONCATENATE(H494,F494,EC$2),Matemáticas!$A:$H,7,FALSE)=AQ494,1,0)</f>
        <v>#N/A</v>
      </c>
      <c r="ED494" s="138" t="e">
        <f>IF(VLOOKUP(CONCATENATE(H494,F494,ED$2),Matemáticas!$A:$H,7,FALSE)=AR494,1,0)</f>
        <v>#N/A</v>
      </c>
      <c r="EE494" s="138" t="e">
        <f>IF(VLOOKUP(CONCATENATE(H494,F494,EE$2),Matemáticas!$A:$H,7,FALSE)=AS494,1,0)</f>
        <v>#N/A</v>
      </c>
      <c r="EF494" s="138" t="e">
        <f>IF(VLOOKUP(CONCATENATE(H494,F494,EF$2),Matemáticas!$A:$H,7,FALSE)=AT494,1,0)</f>
        <v>#N/A</v>
      </c>
      <c r="EG494" s="138" t="e">
        <f>IF(VLOOKUP(CONCATENATE(H494,F494,EG$2),Matemáticas!$A:$H,7,FALSE)=AU494,1,0)</f>
        <v>#N/A</v>
      </c>
      <c r="EH494" s="138" t="e">
        <f>IF(VLOOKUP(CONCATENATE(H494,F494,EH$2),Matemáticas!$A:$H,7,FALSE)=AV494,1,0)</f>
        <v>#N/A</v>
      </c>
      <c r="EI494" s="138" t="e">
        <f>IF(VLOOKUP(CONCATENATE(H494,F494,EI$2),Matemáticas!$A:$H,7,FALSE)=AW494,1,0)</f>
        <v>#N/A</v>
      </c>
      <c r="EJ494" s="138" t="e">
        <f>IF(VLOOKUP(CONCATENATE(H494,F494,EJ$2),Matemáticas!$A:$H,7,FALSE)=AX494,1,0)</f>
        <v>#N/A</v>
      </c>
      <c r="EK494" s="138" t="e">
        <f>IF(VLOOKUP(CONCATENATE(H494,F494,EK$2),Matemáticas!$A:$H,7,FALSE)=AY494,1,0)</f>
        <v>#N/A</v>
      </c>
      <c r="EL494" s="138" t="e">
        <f>IF(VLOOKUP(CONCATENATE(H494,F494,EL$2),Matemáticas!$A:$H,7,FALSE)=AZ494,1,0)</f>
        <v>#N/A</v>
      </c>
      <c r="EM494" s="138" t="e">
        <f>IF(VLOOKUP(CONCATENATE(H494,F494,EM$2),Matemáticas!$A:$H,7,FALSE)=BA494,1,0)</f>
        <v>#N/A</v>
      </c>
      <c r="EN494" s="138" t="e">
        <f>IF(VLOOKUP(CONCATENATE(H494,F494,EN$2),Matemáticas!$A:$H,7,FALSE)=BB494,1,0)</f>
        <v>#N/A</v>
      </c>
      <c r="EO494" s="138" t="e">
        <f>IF(VLOOKUP(CONCATENATE(H494,F494,EO$2),Matemáticas!$A:$H,7,FALSE)=BC494,1,0)</f>
        <v>#N/A</v>
      </c>
      <c r="EP494" s="138" t="e">
        <f>IF(VLOOKUP(CONCATENATE(H494,F494,EP$2),Matemáticas!$A:$H,7,FALSE)=BD494,1,0)</f>
        <v>#N/A</v>
      </c>
      <c r="EQ494" s="138" t="e">
        <f>IF(VLOOKUP(CONCATENATE(H494,F494,EQ$2),Matemáticas!$A:$H,7,FALSE)=BE494,1,0)</f>
        <v>#N/A</v>
      </c>
      <c r="ER494" s="138" t="e">
        <f>IF(VLOOKUP(CONCATENATE(H494,F494,ER$2),Matemáticas!$A:$H,7,FALSE)=BF494,1,0)</f>
        <v>#N/A</v>
      </c>
      <c r="ES494" s="138" t="e">
        <f>IF(VLOOKUP(CONCATENATE(H494,F494,ES$2),Matemáticas!$A:$H,7,FALSE)=BG494,1,0)</f>
        <v>#N/A</v>
      </c>
      <c r="ET494" s="138" t="e">
        <f>IF(VLOOKUP(CONCATENATE(H494,F494,ET$2),Matemáticas!$A:$H,7,FALSE)=BH494,1,0)</f>
        <v>#N/A</v>
      </c>
      <c r="EU494" s="138" t="e">
        <f>IF(VLOOKUP(CONCATENATE(H494,F494,EU$2),Matemáticas!$A:$H,7,FALSE)=BI494,1,0)</f>
        <v>#N/A</v>
      </c>
      <c r="EV494" s="138" t="e">
        <f>IF(VLOOKUP(CONCATENATE(H494,F494,EV$2),Ciencias!$A:$H,7,FALSE)=BJ494,1,0)</f>
        <v>#N/A</v>
      </c>
      <c r="EW494" s="138" t="e">
        <f>IF(VLOOKUP(CONCATENATE(H494,F494,EW$2),Ciencias!$A:$H,7,FALSE)=BK494,1,0)</f>
        <v>#N/A</v>
      </c>
      <c r="EX494" s="138" t="e">
        <f>IF(VLOOKUP(CONCATENATE(H494,F494,EX$2),Ciencias!$A:$H,7,FALSE)=BL494,1,0)</f>
        <v>#N/A</v>
      </c>
      <c r="EY494" s="138" t="e">
        <f>IF(VLOOKUP(CONCATENATE(H494,F494,EY$2),Ciencias!$A:$H,7,FALSE)=BM494,1,0)</f>
        <v>#N/A</v>
      </c>
      <c r="EZ494" s="138" t="e">
        <f>IF(VLOOKUP(CONCATENATE(H494,F494,EZ$2),Ciencias!$A:$H,7,FALSE)=BN494,1,0)</f>
        <v>#N/A</v>
      </c>
      <c r="FA494" s="138" t="e">
        <f>IF(VLOOKUP(CONCATENATE(H494,F494,FA$2),Ciencias!$A:$H,7,FALSE)=BO494,1,0)</f>
        <v>#N/A</v>
      </c>
      <c r="FB494" s="138" t="e">
        <f>IF(VLOOKUP(CONCATENATE(H494,F494,FB$2),Ciencias!$A:$H,7,FALSE)=BP494,1,0)</f>
        <v>#N/A</v>
      </c>
      <c r="FC494" s="138" t="e">
        <f>IF(VLOOKUP(CONCATENATE(H494,F494,FC$2),Ciencias!$A:$H,7,FALSE)=BQ494,1,0)</f>
        <v>#N/A</v>
      </c>
      <c r="FD494" s="138" t="e">
        <f>IF(VLOOKUP(CONCATENATE(H494,F494,FD$2),Ciencias!$A:$H,7,FALSE)=BR494,1,0)</f>
        <v>#N/A</v>
      </c>
      <c r="FE494" s="138" t="e">
        <f>IF(VLOOKUP(CONCATENATE(H494,F494,FE$2),Ciencias!$A:$H,7,FALSE)=BS494,1,0)</f>
        <v>#N/A</v>
      </c>
      <c r="FF494" s="138" t="e">
        <f>IF(VLOOKUP(CONCATENATE(H494,F494,FF$2),Ciencias!$A:$H,7,FALSE)=BT494,1,0)</f>
        <v>#N/A</v>
      </c>
      <c r="FG494" s="138" t="e">
        <f>IF(VLOOKUP(CONCATENATE(H494,F494,FG$2),Ciencias!$A:$H,7,FALSE)=BU494,1,0)</f>
        <v>#N/A</v>
      </c>
      <c r="FH494" s="138" t="e">
        <f>IF(VLOOKUP(CONCATENATE(H494,F494,FH$2),Ciencias!$A:$H,7,FALSE)=BV494,1,0)</f>
        <v>#N/A</v>
      </c>
      <c r="FI494" s="138" t="e">
        <f>IF(VLOOKUP(CONCATENATE(H494,F494,FI$2),Ciencias!$A:$H,7,FALSE)=BW494,1,0)</f>
        <v>#N/A</v>
      </c>
      <c r="FJ494" s="138" t="e">
        <f>IF(VLOOKUP(CONCATENATE(H494,F494,FJ$2),Ciencias!$A:$H,7,FALSE)=BX494,1,0)</f>
        <v>#N/A</v>
      </c>
      <c r="FK494" s="138" t="e">
        <f>IF(VLOOKUP(CONCATENATE(H494,F494,FK$2),Ciencias!$A:$H,7,FALSE)=BY494,1,0)</f>
        <v>#N/A</v>
      </c>
      <c r="FL494" s="138" t="e">
        <f>IF(VLOOKUP(CONCATENATE(H494,F494,FL$2),Ciencias!$A:$H,7,FALSE)=BZ494,1,0)</f>
        <v>#N/A</v>
      </c>
      <c r="FM494" s="138" t="e">
        <f>IF(VLOOKUP(CONCATENATE(H494,F494,FM$2),Ciencias!$A:$H,7,FALSE)=CA494,1,0)</f>
        <v>#N/A</v>
      </c>
      <c r="FN494" s="138" t="e">
        <f>IF(VLOOKUP(CONCATENATE(H494,F494,FN$2),Ciencias!$A:$H,7,FALSE)=CB494,1,0)</f>
        <v>#N/A</v>
      </c>
      <c r="FO494" s="138" t="e">
        <f>IF(VLOOKUP(CONCATENATE(H494,F494,FO$2),Ciencias!$A:$H,7,FALSE)=CC494,1,0)</f>
        <v>#N/A</v>
      </c>
      <c r="FP494" s="138" t="e">
        <f>IF(VLOOKUP(CONCATENATE(H494,F494,FP$2),GeoHis!$A:$H,7,FALSE)=CD494,1,0)</f>
        <v>#N/A</v>
      </c>
      <c r="FQ494" s="138" t="e">
        <f>IF(VLOOKUP(CONCATENATE(H494,F494,FQ$2),GeoHis!$A:$H,7,FALSE)=CE494,1,0)</f>
        <v>#N/A</v>
      </c>
      <c r="FR494" s="138" t="e">
        <f>IF(VLOOKUP(CONCATENATE(H494,F494,FR$2),GeoHis!$A:$H,7,FALSE)=CF494,1,0)</f>
        <v>#N/A</v>
      </c>
      <c r="FS494" s="138" t="e">
        <f>IF(VLOOKUP(CONCATENATE(H494,F494,FS$2),GeoHis!$A:$H,7,FALSE)=CG494,1,0)</f>
        <v>#N/A</v>
      </c>
      <c r="FT494" s="138" t="e">
        <f>IF(VLOOKUP(CONCATENATE(H494,F494,FT$2),GeoHis!$A:$H,7,FALSE)=CH494,1,0)</f>
        <v>#N/A</v>
      </c>
      <c r="FU494" s="138" t="e">
        <f>IF(VLOOKUP(CONCATENATE(H494,F494,FU$2),GeoHis!$A:$H,7,FALSE)=CI494,1,0)</f>
        <v>#N/A</v>
      </c>
      <c r="FV494" s="138" t="e">
        <f>IF(VLOOKUP(CONCATENATE(H494,F494,FV$2),GeoHis!$A:$H,7,FALSE)=CJ494,1,0)</f>
        <v>#N/A</v>
      </c>
      <c r="FW494" s="138" t="e">
        <f>IF(VLOOKUP(CONCATENATE(H494,F494,FW$2),GeoHis!$A:$H,7,FALSE)=CK494,1,0)</f>
        <v>#N/A</v>
      </c>
      <c r="FX494" s="138" t="e">
        <f>IF(VLOOKUP(CONCATENATE(H494,F494,FX$2),GeoHis!$A:$H,7,FALSE)=CL494,1,0)</f>
        <v>#N/A</v>
      </c>
      <c r="FY494" s="138" t="e">
        <f>IF(VLOOKUP(CONCATENATE(H494,F494,FY$2),GeoHis!$A:$H,7,FALSE)=CM494,1,0)</f>
        <v>#N/A</v>
      </c>
      <c r="FZ494" s="138" t="e">
        <f>IF(VLOOKUP(CONCATENATE(H494,F494,FZ$2),GeoHis!$A:$H,7,FALSE)=CN494,1,0)</f>
        <v>#N/A</v>
      </c>
      <c r="GA494" s="138" t="e">
        <f>IF(VLOOKUP(CONCATENATE(H494,F494,GA$2),GeoHis!$A:$H,7,FALSE)=CO494,1,0)</f>
        <v>#N/A</v>
      </c>
      <c r="GB494" s="138" t="e">
        <f>IF(VLOOKUP(CONCATENATE(H494,F494,GB$2),GeoHis!$A:$H,7,FALSE)=CP494,1,0)</f>
        <v>#N/A</v>
      </c>
      <c r="GC494" s="138" t="e">
        <f>IF(VLOOKUP(CONCATENATE(H494,F494,GC$2),GeoHis!$A:$H,7,FALSE)=CQ494,1,0)</f>
        <v>#N/A</v>
      </c>
      <c r="GD494" s="138" t="e">
        <f>IF(VLOOKUP(CONCATENATE(H494,F494,GD$2),GeoHis!$A:$H,7,FALSE)=CR494,1,0)</f>
        <v>#N/A</v>
      </c>
      <c r="GE494" s="135" t="str">
        <f t="shared" si="63"/>
        <v/>
      </c>
    </row>
    <row r="495" spans="1:187" x14ac:dyDescent="0.25">
      <c r="A495" s="127" t="str">
        <f>IF(C495="","",'Datos Generales'!$A$25)</f>
        <v/>
      </c>
      <c r="D495" s="126" t="str">
        <f t="shared" si="56"/>
        <v/>
      </c>
      <c r="E495" s="126">
        <f t="shared" si="57"/>
        <v>0</v>
      </c>
      <c r="F495" s="126" t="str">
        <f t="shared" si="58"/>
        <v/>
      </c>
      <c r="G495" s="126" t="str">
        <f>IF(C495="","",'Datos Generales'!$D$19)</f>
        <v/>
      </c>
      <c r="H495" s="21" t="str">
        <f>IF(C495="","",'Datos Generales'!$A$19)</f>
        <v/>
      </c>
      <c r="I495" s="126" t="str">
        <f>IF(C495="","",'Datos Generales'!$A$7)</f>
        <v/>
      </c>
      <c r="J495" s="21" t="str">
        <f>IF(C495="","",'Datos Generales'!$A$13)</f>
        <v/>
      </c>
      <c r="K495" s="21" t="str">
        <f>IF(C495="","",'Datos Generales'!$A$10)</f>
        <v/>
      </c>
      <c r="CS495" s="142" t="str">
        <f t="shared" si="59"/>
        <v/>
      </c>
      <c r="CT495" s="142" t="str">
        <f t="shared" si="60"/>
        <v/>
      </c>
      <c r="CU495" s="142" t="str">
        <f t="shared" si="61"/>
        <v/>
      </c>
      <c r="CV495" s="142" t="str">
        <f t="shared" si="62"/>
        <v/>
      </c>
      <c r="CW495" s="142" t="str">
        <f>IF(C495="","",IF('Datos Generales'!$A$19=1,AVERAGE(FP495:GD495),AVERAGE(Captura!FP495:FY495)))</f>
        <v/>
      </c>
      <c r="CX495" s="138" t="e">
        <f>IF(VLOOKUP(CONCATENATE($H$4,$F$4,CX$2),Español!$A:$H,7,FALSE)=L495,1,0)</f>
        <v>#N/A</v>
      </c>
      <c r="CY495" s="138" t="e">
        <f>IF(VLOOKUP(CONCATENATE(H495,F495,CY$2),Español!$A:$H,7,FALSE)=M495,1,0)</f>
        <v>#N/A</v>
      </c>
      <c r="CZ495" s="138" t="e">
        <f>IF(VLOOKUP(CONCATENATE(H495,F495,CZ$2),Español!$A:$H,7,FALSE)=N495,1,0)</f>
        <v>#N/A</v>
      </c>
      <c r="DA495" s="138" t="e">
        <f>IF(VLOOKUP(CONCATENATE(H495,F495,DA$2),Español!$A:$H,7,FALSE)=O495,1,0)</f>
        <v>#N/A</v>
      </c>
      <c r="DB495" s="138" t="e">
        <f>IF(VLOOKUP(CONCATENATE(H495,F495,DB$2),Español!$A:$H,7,FALSE)=P495,1,0)</f>
        <v>#N/A</v>
      </c>
      <c r="DC495" s="138" t="e">
        <f>IF(VLOOKUP(CONCATENATE(H495,F495,DC$2),Español!$A:$H,7,FALSE)=Q495,1,0)</f>
        <v>#N/A</v>
      </c>
      <c r="DD495" s="138" t="e">
        <f>IF(VLOOKUP(CONCATENATE(H495,F495,DD$2),Español!$A:$H,7,FALSE)=R495,1,0)</f>
        <v>#N/A</v>
      </c>
      <c r="DE495" s="138" t="e">
        <f>IF(VLOOKUP(CONCATENATE(H495,F495,DE$2),Español!$A:$H,7,FALSE)=S495,1,0)</f>
        <v>#N/A</v>
      </c>
      <c r="DF495" s="138" t="e">
        <f>IF(VLOOKUP(CONCATENATE(H495,F495,DF$2),Español!$A:$H,7,FALSE)=T495,1,0)</f>
        <v>#N/A</v>
      </c>
      <c r="DG495" s="138" t="e">
        <f>IF(VLOOKUP(CONCATENATE(H495,F495,DG$2),Español!$A:$H,7,FALSE)=U495,1,0)</f>
        <v>#N/A</v>
      </c>
      <c r="DH495" s="138" t="e">
        <f>IF(VLOOKUP(CONCATENATE(H495,F495,DH$2),Español!$A:$H,7,FALSE)=V495,1,0)</f>
        <v>#N/A</v>
      </c>
      <c r="DI495" s="138" t="e">
        <f>IF(VLOOKUP(CONCATENATE(H495,F495,DI$2),Español!$A:$H,7,FALSE)=W495,1,0)</f>
        <v>#N/A</v>
      </c>
      <c r="DJ495" s="138" t="e">
        <f>IF(VLOOKUP(CONCATENATE(H495,F495,DJ$2),Español!$A:$H,7,FALSE)=X495,1,0)</f>
        <v>#N/A</v>
      </c>
      <c r="DK495" s="138" t="e">
        <f>IF(VLOOKUP(CONCATENATE(H495,F495,DK$2),Español!$A:$H,7,FALSE)=Y495,1,0)</f>
        <v>#N/A</v>
      </c>
      <c r="DL495" s="138" t="e">
        <f>IF(VLOOKUP(CONCATENATE(H495,F495,DL$2),Español!$A:$H,7,FALSE)=Z495,1,0)</f>
        <v>#N/A</v>
      </c>
      <c r="DM495" s="138" t="e">
        <f>IF(VLOOKUP(CONCATENATE(H495,F495,DM$2),Español!$A:$H,7,FALSE)=AA495,1,0)</f>
        <v>#N/A</v>
      </c>
      <c r="DN495" s="138" t="e">
        <f>IF(VLOOKUP(CONCATENATE(H495,F495,DN$2),Español!$A:$H,7,FALSE)=AB495,1,0)</f>
        <v>#N/A</v>
      </c>
      <c r="DO495" s="138" t="e">
        <f>IF(VLOOKUP(CONCATENATE(H495,F495,DO$2),Español!$A:$H,7,FALSE)=AC495,1,0)</f>
        <v>#N/A</v>
      </c>
      <c r="DP495" s="138" t="e">
        <f>IF(VLOOKUP(CONCATENATE(H495,F495,DP$2),Español!$A:$H,7,FALSE)=AD495,1,0)</f>
        <v>#N/A</v>
      </c>
      <c r="DQ495" s="138" t="e">
        <f>IF(VLOOKUP(CONCATENATE(H495,F495,DQ$2),Español!$A:$H,7,FALSE)=AE495,1,0)</f>
        <v>#N/A</v>
      </c>
      <c r="DR495" s="138" t="e">
        <f>IF(VLOOKUP(CONCATENATE(H495,F495,DR$2),Inglés!$A:$H,7,FALSE)=AF495,1,0)</f>
        <v>#N/A</v>
      </c>
      <c r="DS495" s="138" t="e">
        <f>IF(VLOOKUP(CONCATENATE(H495,F495,DS$2),Inglés!$A:$H,7,FALSE)=AG495,1,0)</f>
        <v>#N/A</v>
      </c>
      <c r="DT495" s="138" t="e">
        <f>IF(VLOOKUP(CONCATENATE(H495,F495,DT$2),Inglés!$A:$H,7,FALSE)=AH495,1,0)</f>
        <v>#N/A</v>
      </c>
      <c r="DU495" s="138" t="e">
        <f>IF(VLOOKUP(CONCATENATE(H495,F495,DU$2),Inglés!$A:$H,7,FALSE)=AI495,1,0)</f>
        <v>#N/A</v>
      </c>
      <c r="DV495" s="138" t="e">
        <f>IF(VLOOKUP(CONCATENATE(H495,F495,DV$2),Inglés!$A:$H,7,FALSE)=AJ495,1,0)</f>
        <v>#N/A</v>
      </c>
      <c r="DW495" s="138" t="e">
        <f>IF(VLOOKUP(CONCATENATE(H495,F495,DW$2),Inglés!$A:$H,7,FALSE)=AK495,1,0)</f>
        <v>#N/A</v>
      </c>
      <c r="DX495" s="138" t="e">
        <f>IF(VLOOKUP(CONCATENATE(H495,F495,DX$2),Inglés!$A:$H,7,FALSE)=AL495,1,0)</f>
        <v>#N/A</v>
      </c>
      <c r="DY495" s="138" t="e">
        <f>IF(VLOOKUP(CONCATENATE(H495,F495,DY$2),Inglés!$A:$H,7,FALSE)=AM495,1,0)</f>
        <v>#N/A</v>
      </c>
      <c r="DZ495" s="138" t="e">
        <f>IF(VLOOKUP(CONCATENATE(H495,F495,DZ$2),Inglés!$A:$H,7,FALSE)=AN495,1,0)</f>
        <v>#N/A</v>
      </c>
      <c r="EA495" s="138" t="e">
        <f>IF(VLOOKUP(CONCATENATE(H495,F495,EA$2),Inglés!$A:$H,7,FALSE)=AO495,1,0)</f>
        <v>#N/A</v>
      </c>
      <c r="EB495" s="138" t="e">
        <f>IF(VLOOKUP(CONCATENATE(H495,F495,EB$2),Matemáticas!$A:$H,7,FALSE)=AP495,1,0)</f>
        <v>#N/A</v>
      </c>
      <c r="EC495" s="138" t="e">
        <f>IF(VLOOKUP(CONCATENATE(H495,F495,EC$2),Matemáticas!$A:$H,7,FALSE)=AQ495,1,0)</f>
        <v>#N/A</v>
      </c>
      <c r="ED495" s="138" t="e">
        <f>IF(VLOOKUP(CONCATENATE(H495,F495,ED$2),Matemáticas!$A:$H,7,FALSE)=AR495,1,0)</f>
        <v>#N/A</v>
      </c>
      <c r="EE495" s="138" t="e">
        <f>IF(VLOOKUP(CONCATENATE(H495,F495,EE$2),Matemáticas!$A:$H,7,FALSE)=AS495,1,0)</f>
        <v>#N/A</v>
      </c>
      <c r="EF495" s="138" t="e">
        <f>IF(VLOOKUP(CONCATENATE(H495,F495,EF$2),Matemáticas!$A:$H,7,FALSE)=AT495,1,0)</f>
        <v>#N/A</v>
      </c>
      <c r="EG495" s="138" t="e">
        <f>IF(VLOOKUP(CONCATENATE(H495,F495,EG$2),Matemáticas!$A:$H,7,FALSE)=AU495,1,0)</f>
        <v>#N/A</v>
      </c>
      <c r="EH495" s="138" t="e">
        <f>IF(VLOOKUP(CONCATENATE(H495,F495,EH$2),Matemáticas!$A:$H,7,FALSE)=AV495,1,0)</f>
        <v>#N/A</v>
      </c>
      <c r="EI495" s="138" t="e">
        <f>IF(VLOOKUP(CONCATENATE(H495,F495,EI$2),Matemáticas!$A:$H,7,FALSE)=AW495,1,0)</f>
        <v>#N/A</v>
      </c>
      <c r="EJ495" s="138" t="e">
        <f>IF(VLOOKUP(CONCATENATE(H495,F495,EJ$2),Matemáticas!$A:$H,7,FALSE)=AX495,1,0)</f>
        <v>#N/A</v>
      </c>
      <c r="EK495" s="138" t="e">
        <f>IF(VLOOKUP(CONCATENATE(H495,F495,EK$2),Matemáticas!$A:$H,7,FALSE)=AY495,1,0)</f>
        <v>#N/A</v>
      </c>
      <c r="EL495" s="138" t="e">
        <f>IF(VLOOKUP(CONCATENATE(H495,F495,EL$2),Matemáticas!$A:$H,7,FALSE)=AZ495,1,0)</f>
        <v>#N/A</v>
      </c>
      <c r="EM495" s="138" t="e">
        <f>IF(VLOOKUP(CONCATENATE(H495,F495,EM$2),Matemáticas!$A:$H,7,FALSE)=BA495,1,0)</f>
        <v>#N/A</v>
      </c>
      <c r="EN495" s="138" t="e">
        <f>IF(VLOOKUP(CONCATENATE(H495,F495,EN$2),Matemáticas!$A:$H,7,FALSE)=BB495,1,0)</f>
        <v>#N/A</v>
      </c>
      <c r="EO495" s="138" t="e">
        <f>IF(VLOOKUP(CONCATENATE(H495,F495,EO$2),Matemáticas!$A:$H,7,FALSE)=BC495,1,0)</f>
        <v>#N/A</v>
      </c>
      <c r="EP495" s="138" t="e">
        <f>IF(VLOOKUP(CONCATENATE(H495,F495,EP$2),Matemáticas!$A:$H,7,FALSE)=BD495,1,0)</f>
        <v>#N/A</v>
      </c>
      <c r="EQ495" s="138" t="e">
        <f>IF(VLOOKUP(CONCATENATE(H495,F495,EQ$2),Matemáticas!$A:$H,7,FALSE)=BE495,1,0)</f>
        <v>#N/A</v>
      </c>
      <c r="ER495" s="138" t="e">
        <f>IF(VLOOKUP(CONCATENATE(H495,F495,ER$2),Matemáticas!$A:$H,7,FALSE)=BF495,1,0)</f>
        <v>#N/A</v>
      </c>
      <c r="ES495" s="138" t="e">
        <f>IF(VLOOKUP(CONCATENATE(H495,F495,ES$2),Matemáticas!$A:$H,7,FALSE)=BG495,1,0)</f>
        <v>#N/A</v>
      </c>
      <c r="ET495" s="138" t="e">
        <f>IF(VLOOKUP(CONCATENATE(H495,F495,ET$2),Matemáticas!$A:$H,7,FALSE)=BH495,1,0)</f>
        <v>#N/A</v>
      </c>
      <c r="EU495" s="138" t="e">
        <f>IF(VLOOKUP(CONCATENATE(H495,F495,EU$2),Matemáticas!$A:$H,7,FALSE)=BI495,1,0)</f>
        <v>#N/A</v>
      </c>
      <c r="EV495" s="138" t="e">
        <f>IF(VLOOKUP(CONCATENATE(H495,F495,EV$2),Ciencias!$A:$H,7,FALSE)=BJ495,1,0)</f>
        <v>#N/A</v>
      </c>
      <c r="EW495" s="138" t="e">
        <f>IF(VLOOKUP(CONCATENATE(H495,F495,EW$2),Ciencias!$A:$H,7,FALSE)=BK495,1,0)</f>
        <v>#N/A</v>
      </c>
      <c r="EX495" s="138" t="e">
        <f>IF(VLOOKUP(CONCATENATE(H495,F495,EX$2),Ciencias!$A:$H,7,FALSE)=BL495,1,0)</f>
        <v>#N/A</v>
      </c>
      <c r="EY495" s="138" t="e">
        <f>IF(VLOOKUP(CONCATENATE(H495,F495,EY$2),Ciencias!$A:$H,7,FALSE)=BM495,1,0)</f>
        <v>#N/A</v>
      </c>
      <c r="EZ495" s="138" t="e">
        <f>IF(VLOOKUP(CONCATENATE(H495,F495,EZ$2),Ciencias!$A:$H,7,FALSE)=BN495,1,0)</f>
        <v>#N/A</v>
      </c>
      <c r="FA495" s="138" t="e">
        <f>IF(VLOOKUP(CONCATENATE(H495,F495,FA$2),Ciencias!$A:$H,7,FALSE)=BO495,1,0)</f>
        <v>#N/A</v>
      </c>
      <c r="FB495" s="138" t="e">
        <f>IF(VLOOKUP(CONCATENATE(H495,F495,FB$2),Ciencias!$A:$H,7,FALSE)=BP495,1,0)</f>
        <v>#N/A</v>
      </c>
      <c r="FC495" s="138" t="e">
        <f>IF(VLOOKUP(CONCATENATE(H495,F495,FC$2),Ciencias!$A:$H,7,FALSE)=BQ495,1,0)</f>
        <v>#N/A</v>
      </c>
      <c r="FD495" s="138" t="e">
        <f>IF(VLOOKUP(CONCATENATE(H495,F495,FD$2),Ciencias!$A:$H,7,FALSE)=BR495,1,0)</f>
        <v>#N/A</v>
      </c>
      <c r="FE495" s="138" t="e">
        <f>IF(VLOOKUP(CONCATENATE(H495,F495,FE$2),Ciencias!$A:$H,7,FALSE)=BS495,1,0)</f>
        <v>#N/A</v>
      </c>
      <c r="FF495" s="138" t="e">
        <f>IF(VLOOKUP(CONCATENATE(H495,F495,FF$2),Ciencias!$A:$H,7,FALSE)=BT495,1,0)</f>
        <v>#N/A</v>
      </c>
      <c r="FG495" s="138" t="e">
        <f>IF(VLOOKUP(CONCATENATE(H495,F495,FG$2),Ciencias!$A:$H,7,FALSE)=BU495,1,0)</f>
        <v>#N/A</v>
      </c>
      <c r="FH495" s="138" t="e">
        <f>IF(VLOOKUP(CONCATENATE(H495,F495,FH$2),Ciencias!$A:$H,7,FALSE)=BV495,1,0)</f>
        <v>#N/A</v>
      </c>
      <c r="FI495" s="138" t="e">
        <f>IF(VLOOKUP(CONCATENATE(H495,F495,FI$2),Ciencias!$A:$H,7,FALSE)=BW495,1,0)</f>
        <v>#N/A</v>
      </c>
      <c r="FJ495" s="138" t="e">
        <f>IF(VLOOKUP(CONCATENATE(H495,F495,FJ$2),Ciencias!$A:$H,7,FALSE)=BX495,1,0)</f>
        <v>#N/A</v>
      </c>
      <c r="FK495" s="138" t="e">
        <f>IF(VLOOKUP(CONCATENATE(H495,F495,FK$2),Ciencias!$A:$H,7,FALSE)=BY495,1,0)</f>
        <v>#N/A</v>
      </c>
      <c r="FL495" s="138" t="e">
        <f>IF(VLOOKUP(CONCATENATE(H495,F495,FL$2),Ciencias!$A:$H,7,FALSE)=BZ495,1,0)</f>
        <v>#N/A</v>
      </c>
      <c r="FM495" s="138" t="e">
        <f>IF(VLOOKUP(CONCATENATE(H495,F495,FM$2),Ciencias!$A:$H,7,FALSE)=CA495,1,0)</f>
        <v>#N/A</v>
      </c>
      <c r="FN495" s="138" t="e">
        <f>IF(VLOOKUP(CONCATENATE(H495,F495,FN$2),Ciencias!$A:$H,7,FALSE)=CB495,1,0)</f>
        <v>#N/A</v>
      </c>
      <c r="FO495" s="138" t="e">
        <f>IF(VLOOKUP(CONCATENATE(H495,F495,FO$2),Ciencias!$A:$H,7,FALSE)=CC495,1,0)</f>
        <v>#N/A</v>
      </c>
      <c r="FP495" s="138" t="e">
        <f>IF(VLOOKUP(CONCATENATE(H495,F495,FP$2),GeoHis!$A:$H,7,FALSE)=CD495,1,0)</f>
        <v>#N/A</v>
      </c>
      <c r="FQ495" s="138" t="e">
        <f>IF(VLOOKUP(CONCATENATE(H495,F495,FQ$2),GeoHis!$A:$H,7,FALSE)=CE495,1,0)</f>
        <v>#N/A</v>
      </c>
      <c r="FR495" s="138" t="e">
        <f>IF(VLOOKUP(CONCATENATE(H495,F495,FR$2),GeoHis!$A:$H,7,FALSE)=CF495,1,0)</f>
        <v>#N/A</v>
      </c>
      <c r="FS495" s="138" t="e">
        <f>IF(VLOOKUP(CONCATENATE(H495,F495,FS$2),GeoHis!$A:$H,7,FALSE)=CG495,1,0)</f>
        <v>#N/A</v>
      </c>
      <c r="FT495" s="138" t="e">
        <f>IF(VLOOKUP(CONCATENATE(H495,F495,FT$2),GeoHis!$A:$H,7,FALSE)=CH495,1,0)</f>
        <v>#N/A</v>
      </c>
      <c r="FU495" s="138" t="e">
        <f>IF(VLOOKUP(CONCATENATE(H495,F495,FU$2),GeoHis!$A:$H,7,FALSE)=CI495,1,0)</f>
        <v>#N/A</v>
      </c>
      <c r="FV495" s="138" t="e">
        <f>IF(VLOOKUP(CONCATENATE(H495,F495,FV$2),GeoHis!$A:$H,7,FALSE)=CJ495,1,0)</f>
        <v>#N/A</v>
      </c>
      <c r="FW495" s="138" t="e">
        <f>IF(VLOOKUP(CONCATENATE(H495,F495,FW$2),GeoHis!$A:$H,7,FALSE)=CK495,1,0)</f>
        <v>#N/A</v>
      </c>
      <c r="FX495" s="138" t="e">
        <f>IF(VLOOKUP(CONCATENATE(H495,F495,FX$2),GeoHis!$A:$H,7,FALSE)=CL495,1,0)</f>
        <v>#N/A</v>
      </c>
      <c r="FY495" s="138" t="e">
        <f>IF(VLOOKUP(CONCATENATE(H495,F495,FY$2),GeoHis!$A:$H,7,FALSE)=CM495,1,0)</f>
        <v>#N/A</v>
      </c>
      <c r="FZ495" s="138" t="e">
        <f>IF(VLOOKUP(CONCATENATE(H495,F495,FZ$2),GeoHis!$A:$H,7,FALSE)=CN495,1,0)</f>
        <v>#N/A</v>
      </c>
      <c r="GA495" s="138" t="e">
        <f>IF(VLOOKUP(CONCATENATE(H495,F495,GA$2),GeoHis!$A:$H,7,FALSE)=CO495,1,0)</f>
        <v>#N/A</v>
      </c>
      <c r="GB495" s="138" t="e">
        <f>IF(VLOOKUP(CONCATENATE(H495,F495,GB$2),GeoHis!$A:$H,7,FALSE)=CP495,1,0)</f>
        <v>#N/A</v>
      </c>
      <c r="GC495" s="138" t="e">
        <f>IF(VLOOKUP(CONCATENATE(H495,F495,GC$2),GeoHis!$A:$H,7,FALSE)=CQ495,1,0)</f>
        <v>#N/A</v>
      </c>
      <c r="GD495" s="138" t="e">
        <f>IF(VLOOKUP(CONCATENATE(H495,F495,GD$2),GeoHis!$A:$H,7,FALSE)=CR495,1,0)</f>
        <v>#N/A</v>
      </c>
      <c r="GE495" s="135" t="str">
        <f t="shared" si="63"/>
        <v/>
      </c>
    </row>
    <row r="496" spans="1:187" x14ac:dyDescent="0.25">
      <c r="A496" s="127" t="str">
        <f>IF(C496="","",'Datos Generales'!$A$25)</f>
        <v/>
      </c>
      <c r="D496" s="126" t="str">
        <f t="shared" si="56"/>
        <v/>
      </c>
      <c r="E496" s="126">
        <f t="shared" si="57"/>
        <v>0</v>
      </c>
      <c r="F496" s="126" t="str">
        <f t="shared" si="58"/>
        <v/>
      </c>
      <c r="G496" s="126" t="str">
        <f>IF(C496="","",'Datos Generales'!$D$19)</f>
        <v/>
      </c>
      <c r="H496" s="21" t="str">
        <f>IF(C496="","",'Datos Generales'!$A$19)</f>
        <v/>
      </c>
      <c r="I496" s="126" t="str">
        <f>IF(C496="","",'Datos Generales'!$A$7)</f>
        <v/>
      </c>
      <c r="J496" s="21" t="str">
        <f>IF(C496="","",'Datos Generales'!$A$13)</f>
        <v/>
      </c>
      <c r="K496" s="21" t="str">
        <f>IF(C496="","",'Datos Generales'!$A$10)</f>
        <v/>
      </c>
      <c r="CS496" s="142" t="str">
        <f t="shared" si="59"/>
        <v/>
      </c>
      <c r="CT496" s="142" t="str">
        <f t="shared" si="60"/>
        <v/>
      </c>
      <c r="CU496" s="142" t="str">
        <f t="shared" si="61"/>
        <v/>
      </c>
      <c r="CV496" s="142" t="str">
        <f t="shared" si="62"/>
        <v/>
      </c>
      <c r="CW496" s="142" t="str">
        <f>IF(C496="","",IF('Datos Generales'!$A$19=1,AVERAGE(FP496:GD496),AVERAGE(Captura!FP496:FY496)))</f>
        <v/>
      </c>
      <c r="CX496" s="138" t="e">
        <f>IF(VLOOKUP(CONCATENATE($H$4,$F$4,CX$2),Español!$A:$H,7,FALSE)=L496,1,0)</f>
        <v>#N/A</v>
      </c>
      <c r="CY496" s="138" t="e">
        <f>IF(VLOOKUP(CONCATENATE(H496,F496,CY$2),Español!$A:$H,7,FALSE)=M496,1,0)</f>
        <v>#N/A</v>
      </c>
      <c r="CZ496" s="138" t="e">
        <f>IF(VLOOKUP(CONCATENATE(H496,F496,CZ$2),Español!$A:$H,7,FALSE)=N496,1,0)</f>
        <v>#N/A</v>
      </c>
      <c r="DA496" s="138" t="e">
        <f>IF(VLOOKUP(CONCATENATE(H496,F496,DA$2),Español!$A:$H,7,FALSE)=O496,1,0)</f>
        <v>#N/A</v>
      </c>
      <c r="DB496" s="138" t="e">
        <f>IF(VLOOKUP(CONCATENATE(H496,F496,DB$2),Español!$A:$H,7,FALSE)=P496,1,0)</f>
        <v>#N/A</v>
      </c>
      <c r="DC496" s="138" t="e">
        <f>IF(VLOOKUP(CONCATENATE(H496,F496,DC$2),Español!$A:$H,7,FALSE)=Q496,1,0)</f>
        <v>#N/A</v>
      </c>
      <c r="DD496" s="138" t="e">
        <f>IF(VLOOKUP(CONCATENATE(H496,F496,DD$2),Español!$A:$H,7,FALSE)=R496,1,0)</f>
        <v>#N/A</v>
      </c>
      <c r="DE496" s="138" t="e">
        <f>IF(VLOOKUP(CONCATENATE(H496,F496,DE$2),Español!$A:$H,7,FALSE)=S496,1,0)</f>
        <v>#N/A</v>
      </c>
      <c r="DF496" s="138" t="e">
        <f>IF(VLOOKUP(CONCATENATE(H496,F496,DF$2),Español!$A:$H,7,FALSE)=T496,1,0)</f>
        <v>#N/A</v>
      </c>
      <c r="DG496" s="138" t="e">
        <f>IF(VLOOKUP(CONCATENATE(H496,F496,DG$2),Español!$A:$H,7,FALSE)=U496,1,0)</f>
        <v>#N/A</v>
      </c>
      <c r="DH496" s="138" t="e">
        <f>IF(VLOOKUP(CONCATENATE(H496,F496,DH$2),Español!$A:$H,7,FALSE)=V496,1,0)</f>
        <v>#N/A</v>
      </c>
      <c r="DI496" s="138" t="e">
        <f>IF(VLOOKUP(CONCATENATE(H496,F496,DI$2),Español!$A:$H,7,FALSE)=W496,1,0)</f>
        <v>#N/A</v>
      </c>
      <c r="DJ496" s="138" t="e">
        <f>IF(VLOOKUP(CONCATENATE(H496,F496,DJ$2),Español!$A:$H,7,FALSE)=X496,1,0)</f>
        <v>#N/A</v>
      </c>
      <c r="DK496" s="138" t="e">
        <f>IF(VLOOKUP(CONCATENATE(H496,F496,DK$2),Español!$A:$H,7,FALSE)=Y496,1,0)</f>
        <v>#N/A</v>
      </c>
      <c r="DL496" s="138" t="e">
        <f>IF(VLOOKUP(CONCATENATE(H496,F496,DL$2),Español!$A:$H,7,FALSE)=Z496,1,0)</f>
        <v>#N/A</v>
      </c>
      <c r="DM496" s="138" t="e">
        <f>IF(VLOOKUP(CONCATENATE(H496,F496,DM$2),Español!$A:$H,7,FALSE)=AA496,1,0)</f>
        <v>#N/A</v>
      </c>
      <c r="DN496" s="138" t="e">
        <f>IF(VLOOKUP(CONCATENATE(H496,F496,DN$2),Español!$A:$H,7,FALSE)=AB496,1,0)</f>
        <v>#N/A</v>
      </c>
      <c r="DO496" s="138" t="e">
        <f>IF(VLOOKUP(CONCATENATE(H496,F496,DO$2),Español!$A:$H,7,FALSE)=AC496,1,0)</f>
        <v>#N/A</v>
      </c>
      <c r="DP496" s="138" t="e">
        <f>IF(VLOOKUP(CONCATENATE(H496,F496,DP$2),Español!$A:$H,7,FALSE)=AD496,1,0)</f>
        <v>#N/A</v>
      </c>
      <c r="DQ496" s="138" t="e">
        <f>IF(VLOOKUP(CONCATENATE(H496,F496,DQ$2),Español!$A:$H,7,FALSE)=AE496,1,0)</f>
        <v>#N/A</v>
      </c>
      <c r="DR496" s="138" t="e">
        <f>IF(VLOOKUP(CONCATENATE(H496,F496,DR$2),Inglés!$A:$H,7,FALSE)=AF496,1,0)</f>
        <v>#N/A</v>
      </c>
      <c r="DS496" s="138" t="e">
        <f>IF(VLOOKUP(CONCATENATE(H496,F496,DS$2),Inglés!$A:$H,7,FALSE)=AG496,1,0)</f>
        <v>#N/A</v>
      </c>
      <c r="DT496" s="138" t="e">
        <f>IF(VLOOKUP(CONCATENATE(H496,F496,DT$2),Inglés!$A:$H,7,FALSE)=AH496,1,0)</f>
        <v>#N/A</v>
      </c>
      <c r="DU496" s="138" t="e">
        <f>IF(VLOOKUP(CONCATENATE(H496,F496,DU$2),Inglés!$A:$H,7,FALSE)=AI496,1,0)</f>
        <v>#N/A</v>
      </c>
      <c r="DV496" s="138" t="e">
        <f>IF(VLOOKUP(CONCATENATE(H496,F496,DV$2),Inglés!$A:$H,7,FALSE)=AJ496,1,0)</f>
        <v>#N/A</v>
      </c>
      <c r="DW496" s="138" t="e">
        <f>IF(VLOOKUP(CONCATENATE(H496,F496,DW$2),Inglés!$A:$H,7,FALSE)=AK496,1,0)</f>
        <v>#N/A</v>
      </c>
      <c r="DX496" s="138" t="e">
        <f>IF(VLOOKUP(CONCATENATE(H496,F496,DX$2),Inglés!$A:$H,7,FALSE)=AL496,1,0)</f>
        <v>#N/A</v>
      </c>
      <c r="DY496" s="138" t="e">
        <f>IF(VLOOKUP(CONCATENATE(H496,F496,DY$2),Inglés!$A:$H,7,FALSE)=AM496,1,0)</f>
        <v>#N/A</v>
      </c>
      <c r="DZ496" s="138" t="e">
        <f>IF(VLOOKUP(CONCATENATE(H496,F496,DZ$2),Inglés!$A:$H,7,FALSE)=AN496,1,0)</f>
        <v>#N/A</v>
      </c>
      <c r="EA496" s="138" t="e">
        <f>IF(VLOOKUP(CONCATENATE(H496,F496,EA$2),Inglés!$A:$H,7,FALSE)=AO496,1,0)</f>
        <v>#N/A</v>
      </c>
      <c r="EB496" s="138" t="e">
        <f>IF(VLOOKUP(CONCATENATE(H496,F496,EB$2),Matemáticas!$A:$H,7,FALSE)=AP496,1,0)</f>
        <v>#N/A</v>
      </c>
      <c r="EC496" s="138" t="e">
        <f>IF(VLOOKUP(CONCATENATE(H496,F496,EC$2),Matemáticas!$A:$H,7,FALSE)=AQ496,1,0)</f>
        <v>#N/A</v>
      </c>
      <c r="ED496" s="138" t="e">
        <f>IF(VLOOKUP(CONCATENATE(H496,F496,ED$2),Matemáticas!$A:$H,7,FALSE)=AR496,1,0)</f>
        <v>#N/A</v>
      </c>
      <c r="EE496" s="138" t="e">
        <f>IF(VLOOKUP(CONCATENATE(H496,F496,EE$2),Matemáticas!$A:$H,7,FALSE)=AS496,1,0)</f>
        <v>#N/A</v>
      </c>
      <c r="EF496" s="138" t="e">
        <f>IF(VLOOKUP(CONCATENATE(H496,F496,EF$2),Matemáticas!$A:$H,7,FALSE)=AT496,1,0)</f>
        <v>#N/A</v>
      </c>
      <c r="EG496" s="138" t="e">
        <f>IF(VLOOKUP(CONCATENATE(H496,F496,EG$2),Matemáticas!$A:$H,7,FALSE)=AU496,1,0)</f>
        <v>#N/A</v>
      </c>
      <c r="EH496" s="138" t="e">
        <f>IF(VLOOKUP(CONCATENATE(H496,F496,EH$2),Matemáticas!$A:$H,7,FALSE)=AV496,1,0)</f>
        <v>#N/A</v>
      </c>
      <c r="EI496" s="138" t="e">
        <f>IF(VLOOKUP(CONCATENATE(H496,F496,EI$2),Matemáticas!$A:$H,7,FALSE)=AW496,1,0)</f>
        <v>#N/A</v>
      </c>
      <c r="EJ496" s="138" t="e">
        <f>IF(VLOOKUP(CONCATENATE(H496,F496,EJ$2),Matemáticas!$A:$H,7,FALSE)=AX496,1,0)</f>
        <v>#N/A</v>
      </c>
      <c r="EK496" s="138" t="e">
        <f>IF(VLOOKUP(CONCATENATE(H496,F496,EK$2),Matemáticas!$A:$H,7,FALSE)=AY496,1,0)</f>
        <v>#N/A</v>
      </c>
      <c r="EL496" s="138" t="e">
        <f>IF(VLOOKUP(CONCATENATE(H496,F496,EL$2),Matemáticas!$A:$H,7,FALSE)=AZ496,1,0)</f>
        <v>#N/A</v>
      </c>
      <c r="EM496" s="138" t="e">
        <f>IF(VLOOKUP(CONCATENATE(H496,F496,EM$2),Matemáticas!$A:$H,7,FALSE)=BA496,1,0)</f>
        <v>#N/A</v>
      </c>
      <c r="EN496" s="138" t="e">
        <f>IF(VLOOKUP(CONCATENATE(H496,F496,EN$2),Matemáticas!$A:$H,7,FALSE)=BB496,1,0)</f>
        <v>#N/A</v>
      </c>
      <c r="EO496" s="138" t="e">
        <f>IF(VLOOKUP(CONCATENATE(H496,F496,EO$2),Matemáticas!$A:$H,7,FALSE)=BC496,1,0)</f>
        <v>#N/A</v>
      </c>
      <c r="EP496" s="138" t="e">
        <f>IF(VLOOKUP(CONCATENATE(H496,F496,EP$2),Matemáticas!$A:$H,7,FALSE)=BD496,1,0)</f>
        <v>#N/A</v>
      </c>
      <c r="EQ496" s="138" t="e">
        <f>IF(VLOOKUP(CONCATENATE(H496,F496,EQ$2),Matemáticas!$A:$H,7,FALSE)=BE496,1,0)</f>
        <v>#N/A</v>
      </c>
      <c r="ER496" s="138" t="e">
        <f>IF(VLOOKUP(CONCATENATE(H496,F496,ER$2),Matemáticas!$A:$H,7,FALSE)=BF496,1,0)</f>
        <v>#N/A</v>
      </c>
      <c r="ES496" s="138" t="e">
        <f>IF(VLOOKUP(CONCATENATE(H496,F496,ES$2),Matemáticas!$A:$H,7,FALSE)=BG496,1,0)</f>
        <v>#N/A</v>
      </c>
      <c r="ET496" s="138" t="e">
        <f>IF(VLOOKUP(CONCATENATE(H496,F496,ET$2),Matemáticas!$A:$H,7,FALSE)=BH496,1,0)</f>
        <v>#N/A</v>
      </c>
      <c r="EU496" s="138" t="e">
        <f>IF(VLOOKUP(CONCATENATE(H496,F496,EU$2),Matemáticas!$A:$H,7,FALSE)=BI496,1,0)</f>
        <v>#N/A</v>
      </c>
      <c r="EV496" s="138" t="e">
        <f>IF(VLOOKUP(CONCATENATE(H496,F496,EV$2),Ciencias!$A:$H,7,FALSE)=BJ496,1,0)</f>
        <v>#N/A</v>
      </c>
      <c r="EW496" s="138" t="e">
        <f>IF(VLOOKUP(CONCATENATE(H496,F496,EW$2),Ciencias!$A:$H,7,FALSE)=BK496,1,0)</f>
        <v>#N/A</v>
      </c>
      <c r="EX496" s="138" t="e">
        <f>IF(VLOOKUP(CONCATENATE(H496,F496,EX$2),Ciencias!$A:$H,7,FALSE)=BL496,1,0)</f>
        <v>#N/A</v>
      </c>
      <c r="EY496" s="138" t="e">
        <f>IF(VLOOKUP(CONCATENATE(H496,F496,EY$2),Ciencias!$A:$H,7,FALSE)=BM496,1,0)</f>
        <v>#N/A</v>
      </c>
      <c r="EZ496" s="138" t="e">
        <f>IF(VLOOKUP(CONCATENATE(H496,F496,EZ$2),Ciencias!$A:$H,7,FALSE)=BN496,1,0)</f>
        <v>#N/A</v>
      </c>
      <c r="FA496" s="138" t="e">
        <f>IF(VLOOKUP(CONCATENATE(H496,F496,FA$2),Ciencias!$A:$H,7,FALSE)=BO496,1,0)</f>
        <v>#N/A</v>
      </c>
      <c r="FB496" s="138" t="e">
        <f>IF(VLOOKUP(CONCATENATE(H496,F496,FB$2),Ciencias!$A:$H,7,FALSE)=BP496,1,0)</f>
        <v>#N/A</v>
      </c>
      <c r="FC496" s="138" t="e">
        <f>IF(VLOOKUP(CONCATENATE(H496,F496,FC$2),Ciencias!$A:$H,7,FALSE)=BQ496,1,0)</f>
        <v>#N/A</v>
      </c>
      <c r="FD496" s="138" t="e">
        <f>IF(VLOOKUP(CONCATENATE(H496,F496,FD$2),Ciencias!$A:$H,7,FALSE)=BR496,1,0)</f>
        <v>#N/A</v>
      </c>
      <c r="FE496" s="138" t="e">
        <f>IF(VLOOKUP(CONCATENATE(H496,F496,FE$2),Ciencias!$A:$H,7,FALSE)=BS496,1,0)</f>
        <v>#N/A</v>
      </c>
      <c r="FF496" s="138" t="e">
        <f>IF(VLOOKUP(CONCATENATE(H496,F496,FF$2),Ciencias!$A:$H,7,FALSE)=BT496,1,0)</f>
        <v>#N/A</v>
      </c>
      <c r="FG496" s="138" t="e">
        <f>IF(VLOOKUP(CONCATENATE(H496,F496,FG$2),Ciencias!$A:$H,7,FALSE)=BU496,1,0)</f>
        <v>#N/A</v>
      </c>
      <c r="FH496" s="138" t="e">
        <f>IF(VLOOKUP(CONCATENATE(H496,F496,FH$2),Ciencias!$A:$H,7,FALSE)=BV496,1,0)</f>
        <v>#N/A</v>
      </c>
      <c r="FI496" s="138" t="e">
        <f>IF(VLOOKUP(CONCATENATE(H496,F496,FI$2),Ciencias!$A:$H,7,FALSE)=BW496,1,0)</f>
        <v>#N/A</v>
      </c>
      <c r="FJ496" s="138" t="e">
        <f>IF(VLOOKUP(CONCATENATE(H496,F496,FJ$2),Ciencias!$A:$H,7,FALSE)=BX496,1,0)</f>
        <v>#N/A</v>
      </c>
      <c r="FK496" s="138" t="e">
        <f>IF(VLOOKUP(CONCATENATE(H496,F496,FK$2),Ciencias!$A:$H,7,FALSE)=BY496,1,0)</f>
        <v>#N/A</v>
      </c>
      <c r="FL496" s="138" t="e">
        <f>IF(VLOOKUP(CONCATENATE(H496,F496,FL$2),Ciencias!$A:$H,7,FALSE)=BZ496,1,0)</f>
        <v>#N/A</v>
      </c>
      <c r="FM496" s="138" t="e">
        <f>IF(VLOOKUP(CONCATENATE(H496,F496,FM$2),Ciencias!$A:$H,7,FALSE)=CA496,1,0)</f>
        <v>#N/A</v>
      </c>
      <c r="FN496" s="138" t="e">
        <f>IF(VLOOKUP(CONCATENATE(H496,F496,FN$2),Ciencias!$A:$H,7,FALSE)=CB496,1,0)</f>
        <v>#N/A</v>
      </c>
      <c r="FO496" s="138" t="e">
        <f>IF(VLOOKUP(CONCATENATE(H496,F496,FO$2),Ciencias!$A:$H,7,FALSE)=CC496,1,0)</f>
        <v>#N/A</v>
      </c>
      <c r="FP496" s="138" t="e">
        <f>IF(VLOOKUP(CONCATENATE(H496,F496,FP$2),GeoHis!$A:$H,7,FALSE)=CD496,1,0)</f>
        <v>#N/A</v>
      </c>
      <c r="FQ496" s="138" t="e">
        <f>IF(VLOOKUP(CONCATENATE(H496,F496,FQ$2),GeoHis!$A:$H,7,FALSE)=CE496,1,0)</f>
        <v>#N/A</v>
      </c>
      <c r="FR496" s="138" t="e">
        <f>IF(VLOOKUP(CONCATENATE(H496,F496,FR$2),GeoHis!$A:$H,7,FALSE)=CF496,1,0)</f>
        <v>#N/A</v>
      </c>
      <c r="FS496" s="138" t="e">
        <f>IF(VLOOKUP(CONCATENATE(H496,F496,FS$2),GeoHis!$A:$H,7,FALSE)=CG496,1,0)</f>
        <v>#N/A</v>
      </c>
      <c r="FT496" s="138" t="e">
        <f>IF(VLOOKUP(CONCATENATE(H496,F496,FT$2),GeoHis!$A:$H,7,FALSE)=CH496,1,0)</f>
        <v>#N/A</v>
      </c>
      <c r="FU496" s="138" t="e">
        <f>IF(VLOOKUP(CONCATENATE(H496,F496,FU$2),GeoHis!$A:$H,7,FALSE)=CI496,1,0)</f>
        <v>#N/A</v>
      </c>
      <c r="FV496" s="138" t="e">
        <f>IF(VLOOKUP(CONCATENATE(H496,F496,FV$2),GeoHis!$A:$H,7,FALSE)=CJ496,1,0)</f>
        <v>#N/A</v>
      </c>
      <c r="FW496" s="138" t="e">
        <f>IF(VLOOKUP(CONCATENATE(H496,F496,FW$2),GeoHis!$A:$H,7,FALSE)=CK496,1,0)</f>
        <v>#N/A</v>
      </c>
      <c r="FX496" s="138" t="e">
        <f>IF(VLOOKUP(CONCATENATE(H496,F496,FX$2),GeoHis!$A:$H,7,FALSE)=CL496,1,0)</f>
        <v>#N/A</v>
      </c>
      <c r="FY496" s="138" t="e">
        <f>IF(VLOOKUP(CONCATENATE(H496,F496,FY$2),GeoHis!$A:$H,7,FALSE)=CM496,1,0)</f>
        <v>#N/A</v>
      </c>
      <c r="FZ496" s="138" t="e">
        <f>IF(VLOOKUP(CONCATENATE(H496,F496,FZ$2),GeoHis!$A:$H,7,FALSE)=CN496,1,0)</f>
        <v>#N/A</v>
      </c>
      <c r="GA496" s="138" t="e">
        <f>IF(VLOOKUP(CONCATENATE(H496,F496,GA$2),GeoHis!$A:$H,7,FALSE)=CO496,1,0)</f>
        <v>#N/A</v>
      </c>
      <c r="GB496" s="138" t="e">
        <f>IF(VLOOKUP(CONCATENATE(H496,F496,GB$2),GeoHis!$A:$H,7,FALSE)=CP496,1,0)</f>
        <v>#N/A</v>
      </c>
      <c r="GC496" s="138" t="e">
        <f>IF(VLOOKUP(CONCATENATE(H496,F496,GC$2),GeoHis!$A:$H,7,FALSE)=CQ496,1,0)</f>
        <v>#N/A</v>
      </c>
      <c r="GD496" s="138" t="e">
        <f>IF(VLOOKUP(CONCATENATE(H496,F496,GD$2),GeoHis!$A:$H,7,FALSE)=CR496,1,0)</f>
        <v>#N/A</v>
      </c>
      <c r="GE496" s="135" t="str">
        <f t="shared" si="63"/>
        <v/>
      </c>
    </row>
    <row r="497" spans="1:187" x14ac:dyDescent="0.25">
      <c r="A497" s="127" t="str">
        <f>IF(C497="","",'Datos Generales'!$A$25)</f>
        <v/>
      </c>
      <c r="D497" s="126" t="str">
        <f t="shared" si="56"/>
        <v/>
      </c>
      <c r="E497" s="126">
        <f t="shared" si="57"/>
        <v>0</v>
      </c>
      <c r="F497" s="126" t="str">
        <f t="shared" si="58"/>
        <v/>
      </c>
      <c r="G497" s="126" t="str">
        <f>IF(C497="","",'Datos Generales'!$D$19)</f>
        <v/>
      </c>
      <c r="H497" s="21" t="str">
        <f>IF(C497="","",'Datos Generales'!$A$19)</f>
        <v/>
      </c>
      <c r="I497" s="126" t="str">
        <f>IF(C497="","",'Datos Generales'!$A$7)</f>
        <v/>
      </c>
      <c r="J497" s="21" t="str">
        <f>IF(C497="","",'Datos Generales'!$A$13)</f>
        <v/>
      </c>
      <c r="K497" s="21" t="str">
        <f>IF(C497="","",'Datos Generales'!$A$10)</f>
        <v/>
      </c>
      <c r="CS497" s="142" t="str">
        <f t="shared" si="59"/>
        <v/>
      </c>
      <c r="CT497" s="142" t="str">
        <f t="shared" si="60"/>
        <v/>
      </c>
      <c r="CU497" s="142" t="str">
        <f t="shared" si="61"/>
        <v/>
      </c>
      <c r="CV497" s="142" t="str">
        <f t="shared" si="62"/>
        <v/>
      </c>
      <c r="CW497" s="142" t="str">
        <f>IF(C497="","",IF('Datos Generales'!$A$19=1,AVERAGE(FP497:GD497),AVERAGE(Captura!FP497:FY497)))</f>
        <v/>
      </c>
      <c r="CX497" s="138" t="e">
        <f>IF(VLOOKUP(CONCATENATE($H$4,$F$4,CX$2),Español!$A:$H,7,FALSE)=L497,1,0)</f>
        <v>#N/A</v>
      </c>
      <c r="CY497" s="138" t="e">
        <f>IF(VLOOKUP(CONCATENATE(H497,F497,CY$2),Español!$A:$H,7,FALSE)=M497,1,0)</f>
        <v>#N/A</v>
      </c>
      <c r="CZ497" s="138" t="e">
        <f>IF(VLOOKUP(CONCATENATE(H497,F497,CZ$2),Español!$A:$H,7,FALSE)=N497,1,0)</f>
        <v>#N/A</v>
      </c>
      <c r="DA497" s="138" t="e">
        <f>IF(VLOOKUP(CONCATENATE(H497,F497,DA$2),Español!$A:$H,7,FALSE)=O497,1,0)</f>
        <v>#N/A</v>
      </c>
      <c r="DB497" s="138" t="e">
        <f>IF(VLOOKUP(CONCATENATE(H497,F497,DB$2),Español!$A:$H,7,FALSE)=P497,1,0)</f>
        <v>#N/A</v>
      </c>
      <c r="DC497" s="138" t="e">
        <f>IF(VLOOKUP(CONCATENATE(H497,F497,DC$2),Español!$A:$H,7,FALSE)=Q497,1,0)</f>
        <v>#N/A</v>
      </c>
      <c r="DD497" s="138" t="e">
        <f>IF(VLOOKUP(CONCATENATE(H497,F497,DD$2),Español!$A:$H,7,FALSE)=R497,1,0)</f>
        <v>#N/A</v>
      </c>
      <c r="DE497" s="138" t="e">
        <f>IF(VLOOKUP(CONCATENATE(H497,F497,DE$2),Español!$A:$H,7,FALSE)=S497,1,0)</f>
        <v>#N/A</v>
      </c>
      <c r="DF497" s="138" t="e">
        <f>IF(VLOOKUP(CONCATENATE(H497,F497,DF$2),Español!$A:$H,7,FALSE)=T497,1,0)</f>
        <v>#N/A</v>
      </c>
      <c r="DG497" s="138" t="e">
        <f>IF(VLOOKUP(CONCATENATE(H497,F497,DG$2),Español!$A:$H,7,FALSE)=U497,1,0)</f>
        <v>#N/A</v>
      </c>
      <c r="DH497" s="138" t="e">
        <f>IF(VLOOKUP(CONCATENATE(H497,F497,DH$2),Español!$A:$H,7,FALSE)=V497,1,0)</f>
        <v>#N/A</v>
      </c>
      <c r="DI497" s="138" t="e">
        <f>IF(VLOOKUP(CONCATENATE(H497,F497,DI$2),Español!$A:$H,7,FALSE)=W497,1,0)</f>
        <v>#N/A</v>
      </c>
      <c r="DJ497" s="138" t="e">
        <f>IF(VLOOKUP(CONCATENATE(H497,F497,DJ$2),Español!$A:$H,7,FALSE)=X497,1,0)</f>
        <v>#N/A</v>
      </c>
      <c r="DK497" s="138" t="e">
        <f>IF(VLOOKUP(CONCATENATE(H497,F497,DK$2),Español!$A:$H,7,FALSE)=Y497,1,0)</f>
        <v>#N/A</v>
      </c>
      <c r="DL497" s="138" t="e">
        <f>IF(VLOOKUP(CONCATENATE(H497,F497,DL$2),Español!$A:$H,7,FALSE)=Z497,1,0)</f>
        <v>#N/A</v>
      </c>
      <c r="DM497" s="138" t="e">
        <f>IF(VLOOKUP(CONCATENATE(H497,F497,DM$2),Español!$A:$H,7,FALSE)=AA497,1,0)</f>
        <v>#N/A</v>
      </c>
      <c r="DN497" s="138" t="e">
        <f>IF(VLOOKUP(CONCATENATE(H497,F497,DN$2),Español!$A:$H,7,FALSE)=AB497,1,0)</f>
        <v>#N/A</v>
      </c>
      <c r="DO497" s="138" t="e">
        <f>IF(VLOOKUP(CONCATENATE(H497,F497,DO$2),Español!$A:$H,7,FALSE)=AC497,1,0)</f>
        <v>#N/A</v>
      </c>
      <c r="DP497" s="138" t="e">
        <f>IF(VLOOKUP(CONCATENATE(H497,F497,DP$2),Español!$A:$H,7,FALSE)=AD497,1,0)</f>
        <v>#N/A</v>
      </c>
      <c r="DQ497" s="138" t="e">
        <f>IF(VLOOKUP(CONCATENATE(H497,F497,DQ$2),Español!$A:$H,7,FALSE)=AE497,1,0)</f>
        <v>#N/A</v>
      </c>
      <c r="DR497" s="138" t="e">
        <f>IF(VLOOKUP(CONCATENATE(H497,F497,DR$2),Inglés!$A:$H,7,FALSE)=AF497,1,0)</f>
        <v>#N/A</v>
      </c>
      <c r="DS497" s="138" t="e">
        <f>IF(VLOOKUP(CONCATENATE(H497,F497,DS$2),Inglés!$A:$H,7,FALSE)=AG497,1,0)</f>
        <v>#N/A</v>
      </c>
      <c r="DT497" s="138" t="e">
        <f>IF(VLOOKUP(CONCATENATE(H497,F497,DT$2),Inglés!$A:$H,7,FALSE)=AH497,1,0)</f>
        <v>#N/A</v>
      </c>
      <c r="DU497" s="138" t="e">
        <f>IF(VLOOKUP(CONCATENATE(H497,F497,DU$2),Inglés!$A:$H,7,FALSE)=AI497,1,0)</f>
        <v>#N/A</v>
      </c>
      <c r="DV497" s="138" t="e">
        <f>IF(VLOOKUP(CONCATENATE(H497,F497,DV$2),Inglés!$A:$H,7,FALSE)=AJ497,1,0)</f>
        <v>#N/A</v>
      </c>
      <c r="DW497" s="138" t="e">
        <f>IF(VLOOKUP(CONCATENATE(H497,F497,DW$2),Inglés!$A:$H,7,FALSE)=AK497,1,0)</f>
        <v>#N/A</v>
      </c>
      <c r="DX497" s="138" t="e">
        <f>IF(VLOOKUP(CONCATENATE(H497,F497,DX$2),Inglés!$A:$H,7,FALSE)=AL497,1,0)</f>
        <v>#N/A</v>
      </c>
      <c r="DY497" s="138" t="e">
        <f>IF(VLOOKUP(CONCATENATE(H497,F497,DY$2),Inglés!$A:$H,7,FALSE)=AM497,1,0)</f>
        <v>#N/A</v>
      </c>
      <c r="DZ497" s="138" t="e">
        <f>IF(VLOOKUP(CONCATENATE(H497,F497,DZ$2),Inglés!$A:$H,7,FALSE)=AN497,1,0)</f>
        <v>#N/A</v>
      </c>
      <c r="EA497" s="138" t="e">
        <f>IF(VLOOKUP(CONCATENATE(H497,F497,EA$2),Inglés!$A:$H,7,FALSE)=AO497,1,0)</f>
        <v>#N/A</v>
      </c>
      <c r="EB497" s="138" t="e">
        <f>IF(VLOOKUP(CONCATENATE(H497,F497,EB$2),Matemáticas!$A:$H,7,FALSE)=AP497,1,0)</f>
        <v>#N/A</v>
      </c>
      <c r="EC497" s="138" t="e">
        <f>IF(VLOOKUP(CONCATENATE(H497,F497,EC$2),Matemáticas!$A:$H,7,FALSE)=AQ497,1,0)</f>
        <v>#N/A</v>
      </c>
      <c r="ED497" s="138" t="e">
        <f>IF(VLOOKUP(CONCATENATE(H497,F497,ED$2),Matemáticas!$A:$H,7,FALSE)=AR497,1,0)</f>
        <v>#N/A</v>
      </c>
      <c r="EE497" s="138" t="e">
        <f>IF(VLOOKUP(CONCATENATE(H497,F497,EE$2),Matemáticas!$A:$H,7,FALSE)=AS497,1,0)</f>
        <v>#N/A</v>
      </c>
      <c r="EF497" s="138" t="e">
        <f>IF(VLOOKUP(CONCATENATE(H497,F497,EF$2),Matemáticas!$A:$H,7,FALSE)=AT497,1,0)</f>
        <v>#N/A</v>
      </c>
      <c r="EG497" s="138" t="e">
        <f>IF(VLOOKUP(CONCATENATE(H497,F497,EG$2),Matemáticas!$A:$H,7,FALSE)=AU497,1,0)</f>
        <v>#N/A</v>
      </c>
      <c r="EH497" s="138" t="e">
        <f>IF(VLOOKUP(CONCATENATE(H497,F497,EH$2),Matemáticas!$A:$H,7,FALSE)=AV497,1,0)</f>
        <v>#N/A</v>
      </c>
      <c r="EI497" s="138" t="e">
        <f>IF(VLOOKUP(CONCATENATE(H497,F497,EI$2),Matemáticas!$A:$H,7,FALSE)=AW497,1,0)</f>
        <v>#N/A</v>
      </c>
      <c r="EJ497" s="138" t="e">
        <f>IF(VLOOKUP(CONCATENATE(H497,F497,EJ$2),Matemáticas!$A:$H,7,FALSE)=AX497,1,0)</f>
        <v>#N/A</v>
      </c>
      <c r="EK497" s="138" t="e">
        <f>IF(VLOOKUP(CONCATENATE(H497,F497,EK$2),Matemáticas!$A:$H,7,FALSE)=AY497,1,0)</f>
        <v>#N/A</v>
      </c>
      <c r="EL497" s="138" t="e">
        <f>IF(VLOOKUP(CONCATENATE(H497,F497,EL$2),Matemáticas!$A:$H,7,FALSE)=AZ497,1,0)</f>
        <v>#N/A</v>
      </c>
      <c r="EM497" s="138" t="e">
        <f>IF(VLOOKUP(CONCATENATE(H497,F497,EM$2),Matemáticas!$A:$H,7,FALSE)=BA497,1,0)</f>
        <v>#N/A</v>
      </c>
      <c r="EN497" s="138" t="e">
        <f>IF(VLOOKUP(CONCATENATE(H497,F497,EN$2),Matemáticas!$A:$H,7,FALSE)=BB497,1,0)</f>
        <v>#N/A</v>
      </c>
      <c r="EO497" s="138" t="e">
        <f>IF(VLOOKUP(CONCATENATE(H497,F497,EO$2),Matemáticas!$A:$H,7,FALSE)=BC497,1,0)</f>
        <v>#N/A</v>
      </c>
      <c r="EP497" s="138" t="e">
        <f>IF(VLOOKUP(CONCATENATE(H497,F497,EP$2),Matemáticas!$A:$H,7,FALSE)=BD497,1,0)</f>
        <v>#N/A</v>
      </c>
      <c r="EQ497" s="138" t="e">
        <f>IF(VLOOKUP(CONCATENATE(H497,F497,EQ$2),Matemáticas!$A:$H,7,FALSE)=BE497,1,0)</f>
        <v>#N/A</v>
      </c>
      <c r="ER497" s="138" t="e">
        <f>IF(VLOOKUP(CONCATENATE(H497,F497,ER$2),Matemáticas!$A:$H,7,FALSE)=BF497,1,0)</f>
        <v>#N/A</v>
      </c>
      <c r="ES497" s="138" t="e">
        <f>IF(VLOOKUP(CONCATENATE(H497,F497,ES$2),Matemáticas!$A:$H,7,FALSE)=BG497,1,0)</f>
        <v>#N/A</v>
      </c>
      <c r="ET497" s="138" t="e">
        <f>IF(VLOOKUP(CONCATENATE(H497,F497,ET$2),Matemáticas!$A:$H,7,FALSE)=BH497,1,0)</f>
        <v>#N/A</v>
      </c>
      <c r="EU497" s="138" t="e">
        <f>IF(VLOOKUP(CONCATENATE(H497,F497,EU$2),Matemáticas!$A:$H,7,FALSE)=BI497,1,0)</f>
        <v>#N/A</v>
      </c>
      <c r="EV497" s="138" t="e">
        <f>IF(VLOOKUP(CONCATENATE(H497,F497,EV$2),Ciencias!$A:$H,7,FALSE)=BJ497,1,0)</f>
        <v>#N/A</v>
      </c>
      <c r="EW497" s="138" t="e">
        <f>IF(VLOOKUP(CONCATENATE(H497,F497,EW$2),Ciencias!$A:$H,7,FALSE)=BK497,1,0)</f>
        <v>#N/A</v>
      </c>
      <c r="EX497" s="138" t="e">
        <f>IF(VLOOKUP(CONCATENATE(H497,F497,EX$2),Ciencias!$A:$H,7,FALSE)=BL497,1,0)</f>
        <v>#N/A</v>
      </c>
      <c r="EY497" s="138" t="e">
        <f>IF(VLOOKUP(CONCATENATE(H497,F497,EY$2),Ciencias!$A:$H,7,FALSE)=BM497,1,0)</f>
        <v>#N/A</v>
      </c>
      <c r="EZ497" s="138" t="e">
        <f>IF(VLOOKUP(CONCATENATE(H497,F497,EZ$2),Ciencias!$A:$H,7,FALSE)=BN497,1,0)</f>
        <v>#N/A</v>
      </c>
      <c r="FA497" s="138" t="e">
        <f>IF(VLOOKUP(CONCATENATE(H497,F497,FA$2),Ciencias!$A:$H,7,FALSE)=BO497,1,0)</f>
        <v>#N/A</v>
      </c>
      <c r="FB497" s="138" t="e">
        <f>IF(VLOOKUP(CONCATENATE(H497,F497,FB$2),Ciencias!$A:$H,7,FALSE)=BP497,1,0)</f>
        <v>#N/A</v>
      </c>
      <c r="FC497" s="138" t="e">
        <f>IF(VLOOKUP(CONCATENATE(H497,F497,FC$2),Ciencias!$A:$H,7,FALSE)=BQ497,1,0)</f>
        <v>#N/A</v>
      </c>
      <c r="FD497" s="138" t="e">
        <f>IF(VLOOKUP(CONCATENATE(H497,F497,FD$2),Ciencias!$A:$H,7,FALSE)=BR497,1,0)</f>
        <v>#N/A</v>
      </c>
      <c r="FE497" s="138" t="e">
        <f>IF(VLOOKUP(CONCATENATE(H497,F497,FE$2),Ciencias!$A:$H,7,FALSE)=BS497,1,0)</f>
        <v>#N/A</v>
      </c>
      <c r="FF497" s="138" t="e">
        <f>IF(VLOOKUP(CONCATENATE(H497,F497,FF$2),Ciencias!$A:$H,7,FALSE)=BT497,1,0)</f>
        <v>#N/A</v>
      </c>
      <c r="FG497" s="138" t="e">
        <f>IF(VLOOKUP(CONCATENATE(H497,F497,FG$2),Ciencias!$A:$H,7,FALSE)=BU497,1,0)</f>
        <v>#N/A</v>
      </c>
      <c r="FH497" s="138" t="e">
        <f>IF(VLOOKUP(CONCATENATE(H497,F497,FH$2),Ciencias!$A:$H,7,FALSE)=BV497,1,0)</f>
        <v>#N/A</v>
      </c>
      <c r="FI497" s="138" t="e">
        <f>IF(VLOOKUP(CONCATENATE(H497,F497,FI$2),Ciencias!$A:$H,7,FALSE)=BW497,1,0)</f>
        <v>#N/A</v>
      </c>
      <c r="FJ497" s="138" t="e">
        <f>IF(VLOOKUP(CONCATENATE(H497,F497,FJ$2),Ciencias!$A:$H,7,FALSE)=BX497,1,0)</f>
        <v>#N/A</v>
      </c>
      <c r="FK497" s="138" t="e">
        <f>IF(VLOOKUP(CONCATENATE(H497,F497,FK$2),Ciencias!$A:$H,7,FALSE)=BY497,1,0)</f>
        <v>#N/A</v>
      </c>
      <c r="FL497" s="138" t="e">
        <f>IF(VLOOKUP(CONCATENATE(H497,F497,FL$2),Ciencias!$A:$H,7,FALSE)=BZ497,1,0)</f>
        <v>#N/A</v>
      </c>
      <c r="FM497" s="138" t="e">
        <f>IF(VLOOKUP(CONCATENATE(H497,F497,FM$2),Ciencias!$A:$H,7,FALSE)=CA497,1,0)</f>
        <v>#N/A</v>
      </c>
      <c r="FN497" s="138" t="e">
        <f>IF(VLOOKUP(CONCATENATE(H497,F497,FN$2),Ciencias!$A:$H,7,FALSE)=CB497,1,0)</f>
        <v>#N/A</v>
      </c>
      <c r="FO497" s="138" t="e">
        <f>IF(VLOOKUP(CONCATENATE(H497,F497,FO$2),Ciencias!$A:$H,7,FALSE)=CC497,1,0)</f>
        <v>#N/A</v>
      </c>
      <c r="FP497" s="138" t="e">
        <f>IF(VLOOKUP(CONCATENATE(H497,F497,FP$2),GeoHis!$A:$H,7,FALSE)=CD497,1,0)</f>
        <v>#N/A</v>
      </c>
      <c r="FQ497" s="138" t="e">
        <f>IF(VLOOKUP(CONCATENATE(H497,F497,FQ$2),GeoHis!$A:$H,7,FALSE)=CE497,1,0)</f>
        <v>#N/A</v>
      </c>
      <c r="FR497" s="138" t="e">
        <f>IF(VLOOKUP(CONCATENATE(H497,F497,FR$2),GeoHis!$A:$H,7,FALSE)=CF497,1,0)</f>
        <v>#N/A</v>
      </c>
      <c r="FS497" s="138" t="e">
        <f>IF(VLOOKUP(CONCATENATE(H497,F497,FS$2),GeoHis!$A:$H,7,FALSE)=CG497,1,0)</f>
        <v>#N/A</v>
      </c>
      <c r="FT497" s="138" t="e">
        <f>IF(VLOOKUP(CONCATENATE(H497,F497,FT$2),GeoHis!$A:$H,7,FALSE)=CH497,1,0)</f>
        <v>#N/A</v>
      </c>
      <c r="FU497" s="138" t="e">
        <f>IF(VLOOKUP(CONCATENATE(H497,F497,FU$2),GeoHis!$A:$H,7,FALSE)=CI497,1,0)</f>
        <v>#N/A</v>
      </c>
      <c r="FV497" s="138" t="e">
        <f>IF(VLOOKUP(CONCATENATE(H497,F497,FV$2),GeoHis!$A:$H,7,FALSE)=CJ497,1,0)</f>
        <v>#N/A</v>
      </c>
      <c r="FW497" s="138" t="e">
        <f>IF(VLOOKUP(CONCATENATE(H497,F497,FW$2),GeoHis!$A:$H,7,FALSE)=CK497,1,0)</f>
        <v>#N/A</v>
      </c>
      <c r="FX497" s="138" t="e">
        <f>IF(VLOOKUP(CONCATENATE(H497,F497,FX$2),GeoHis!$A:$H,7,FALSE)=CL497,1,0)</f>
        <v>#N/A</v>
      </c>
      <c r="FY497" s="138" t="e">
        <f>IF(VLOOKUP(CONCATENATE(H497,F497,FY$2),GeoHis!$A:$H,7,FALSE)=CM497,1,0)</f>
        <v>#N/A</v>
      </c>
      <c r="FZ497" s="138" t="e">
        <f>IF(VLOOKUP(CONCATENATE(H497,F497,FZ$2),GeoHis!$A:$H,7,FALSE)=CN497,1,0)</f>
        <v>#N/A</v>
      </c>
      <c r="GA497" s="138" t="e">
        <f>IF(VLOOKUP(CONCATENATE(H497,F497,GA$2),GeoHis!$A:$H,7,FALSE)=CO497,1,0)</f>
        <v>#N/A</v>
      </c>
      <c r="GB497" s="138" t="e">
        <f>IF(VLOOKUP(CONCATENATE(H497,F497,GB$2),GeoHis!$A:$H,7,FALSE)=CP497,1,0)</f>
        <v>#N/A</v>
      </c>
      <c r="GC497" s="138" t="e">
        <f>IF(VLOOKUP(CONCATENATE(H497,F497,GC$2),GeoHis!$A:$H,7,FALSE)=CQ497,1,0)</f>
        <v>#N/A</v>
      </c>
      <c r="GD497" s="138" t="e">
        <f>IF(VLOOKUP(CONCATENATE(H497,F497,GD$2),GeoHis!$A:$H,7,FALSE)=CR497,1,0)</f>
        <v>#N/A</v>
      </c>
      <c r="GE497" s="135" t="str">
        <f t="shared" si="63"/>
        <v/>
      </c>
    </row>
    <row r="498" spans="1:187" x14ac:dyDescent="0.25">
      <c r="A498" s="127" t="str">
        <f>IF(C498="","",'Datos Generales'!$A$25)</f>
        <v/>
      </c>
      <c r="D498" s="126" t="str">
        <f t="shared" si="56"/>
        <v/>
      </c>
      <c r="E498" s="126">
        <f t="shared" si="57"/>
        <v>0</v>
      </c>
      <c r="F498" s="126" t="str">
        <f t="shared" si="58"/>
        <v/>
      </c>
      <c r="G498" s="126" t="str">
        <f>IF(C498="","",'Datos Generales'!$D$19)</f>
        <v/>
      </c>
      <c r="H498" s="21" t="str">
        <f>IF(C498="","",'Datos Generales'!$A$19)</f>
        <v/>
      </c>
      <c r="I498" s="126" t="str">
        <f>IF(C498="","",'Datos Generales'!$A$7)</f>
        <v/>
      </c>
      <c r="J498" s="21" t="str">
        <f>IF(C498="","",'Datos Generales'!$A$13)</f>
        <v/>
      </c>
      <c r="K498" s="21" t="str">
        <f>IF(C498="","",'Datos Generales'!$A$10)</f>
        <v/>
      </c>
      <c r="CS498" s="142" t="str">
        <f t="shared" si="59"/>
        <v/>
      </c>
      <c r="CT498" s="142" t="str">
        <f t="shared" si="60"/>
        <v/>
      </c>
      <c r="CU498" s="142" t="str">
        <f t="shared" si="61"/>
        <v/>
      </c>
      <c r="CV498" s="142" t="str">
        <f t="shared" si="62"/>
        <v/>
      </c>
      <c r="CW498" s="142" t="str">
        <f>IF(C498="","",IF('Datos Generales'!$A$19=1,AVERAGE(FP498:GD498),AVERAGE(Captura!FP498:FY498)))</f>
        <v/>
      </c>
      <c r="CX498" s="138" t="e">
        <f>IF(VLOOKUP(CONCATENATE($H$4,$F$4,CX$2),Español!$A:$H,7,FALSE)=L498,1,0)</f>
        <v>#N/A</v>
      </c>
      <c r="CY498" s="138" t="e">
        <f>IF(VLOOKUP(CONCATENATE(H498,F498,CY$2),Español!$A:$H,7,FALSE)=M498,1,0)</f>
        <v>#N/A</v>
      </c>
      <c r="CZ498" s="138" t="e">
        <f>IF(VLOOKUP(CONCATENATE(H498,F498,CZ$2),Español!$A:$H,7,FALSE)=N498,1,0)</f>
        <v>#N/A</v>
      </c>
      <c r="DA498" s="138" t="e">
        <f>IF(VLOOKUP(CONCATENATE(H498,F498,DA$2),Español!$A:$H,7,FALSE)=O498,1,0)</f>
        <v>#N/A</v>
      </c>
      <c r="DB498" s="138" t="e">
        <f>IF(VLOOKUP(CONCATENATE(H498,F498,DB$2),Español!$A:$H,7,FALSE)=P498,1,0)</f>
        <v>#N/A</v>
      </c>
      <c r="DC498" s="138" t="e">
        <f>IF(VLOOKUP(CONCATENATE(H498,F498,DC$2),Español!$A:$H,7,FALSE)=Q498,1,0)</f>
        <v>#N/A</v>
      </c>
      <c r="DD498" s="138" t="e">
        <f>IF(VLOOKUP(CONCATENATE(H498,F498,DD$2),Español!$A:$H,7,FALSE)=R498,1,0)</f>
        <v>#N/A</v>
      </c>
      <c r="DE498" s="138" t="e">
        <f>IF(VLOOKUP(CONCATENATE(H498,F498,DE$2),Español!$A:$H,7,FALSE)=S498,1,0)</f>
        <v>#N/A</v>
      </c>
      <c r="DF498" s="138" t="e">
        <f>IF(VLOOKUP(CONCATENATE(H498,F498,DF$2),Español!$A:$H,7,FALSE)=T498,1,0)</f>
        <v>#N/A</v>
      </c>
      <c r="DG498" s="138" t="e">
        <f>IF(VLOOKUP(CONCATENATE(H498,F498,DG$2),Español!$A:$H,7,FALSE)=U498,1,0)</f>
        <v>#N/A</v>
      </c>
      <c r="DH498" s="138" t="e">
        <f>IF(VLOOKUP(CONCATENATE(H498,F498,DH$2),Español!$A:$H,7,FALSE)=V498,1,0)</f>
        <v>#N/A</v>
      </c>
      <c r="DI498" s="138" t="e">
        <f>IF(VLOOKUP(CONCATENATE(H498,F498,DI$2),Español!$A:$H,7,FALSE)=W498,1,0)</f>
        <v>#N/A</v>
      </c>
      <c r="DJ498" s="138" t="e">
        <f>IF(VLOOKUP(CONCATENATE(H498,F498,DJ$2),Español!$A:$H,7,FALSE)=X498,1,0)</f>
        <v>#N/A</v>
      </c>
      <c r="DK498" s="138" t="e">
        <f>IF(VLOOKUP(CONCATENATE(H498,F498,DK$2),Español!$A:$H,7,FALSE)=Y498,1,0)</f>
        <v>#N/A</v>
      </c>
      <c r="DL498" s="138" t="e">
        <f>IF(VLOOKUP(CONCATENATE(H498,F498,DL$2),Español!$A:$H,7,FALSE)=Z498,1,0)</f>
        <v>#N/A</v>
      </c>
      <c r="DM498" s="138" t="e">
        <f>IF(VLOOKUP(CONCATENATE(H498,F498,DM$2),Español!$A:$H,7,FALSE)=AA498,1,0)</f>
        <v>#N/A</v>
      </c>
      <c r="DN498" s="138" t="e">
        <f>IF(VLOOKUP(CONCATENATE(H498,F498,DN$2),Español!$A:$H,7,FALSE)=AB498,1,0)</f>
        <v>#N/A</v>
      </c>
      <c r="DO498" s="138" t="e">
        <f>IF(VLOOKUP(CONCATENATE(H498,F498,DO$2),Español!$A:$H,7,FALSE)=AC498,1,0)</f>
        <v>#N/A</v>
      </c>
      <c r="DP498" s="138" t="e">
        <f>IF(VLOOKUP(CONCATENATE(H498,F498,DP$2),Español!$A:$H,7,FALSE)=AD498,1,0)</f>
        <v>#N/A</v>
      </c>
      <c r="DQ498" s="138" t="e">
        <f>IF(VLOOKUP(CONCATENATE(H498,F498,DQ$2),Español!$A:$H,7,FALSE)=AE498,1,0)</f>
        <v>#N/A</v>
      </c>
      <c r="DR498" s="138" t="e">
        <f>IF(VLOOKUP(CONCATENATE(H498,F498,DR$2),Inglés!$A:$H,7,FALSE)=AF498,1,0)</f>
        <v>#N/A</v>
      </c>
      <c r="DS498" s="138" t="e">
        <f>IF(VLOOKUP(CONCATENATE(H498,F498,DS$2),Inglés!$A:$H,7,FALSE)=AG498,1,0)</f>
        <v>#N/A</v>
      </c>
      <c r="DT498" s="138" t="e">
        <f>IF(VLOOKUP(CONCATENATE(H498,F498,DT$2),Inglés!$A:$H,7,FALSE)=AH498,1,0)</f>
        <v>#N/A</v>
      </c>
      <c r="DU498" s="138" t="e">
        <f>IF(VLOOKUP(CONCATENATE(H498,F498,DU$2),Inglés!$A:$H,7,FALSE)=AI498,1,0)</f>
        <v>#N/A</v>
      </c>
      <c r="DV498" s="138" t="e">
        <f>IF(VLOOKUP(CONCATENATE(H498,F498,DV$2),Inglés!$A:$H,7,FALSE)=AJ498,1,0)</f>
        <v>#N/A</v>
      </c>
      <c r="DW498" s="138" t="e">
        <f>IF(VLOOKUP(CONCATENATE(H498,F498,DW$2),Inglés!$A:$H,7,FALSE)=AK498,1,0)</f>
        <v>#N/A</v>
      </c>
      <c r="DX498" s="138" t="e">
        <f>IF(VLOOKUP(CONCATENATE(H498,F498,DX$2),Inglés!$A:$H,7,FALSE)=AL498,1,0)</f>
        <v>#N/A</v>
      </c>
      <c r="DY498" s="138" t="e">
        <f>IF(VLOOKUP(CONCATENATE(H498,F498,DY$2),Inglés!$A:$H,7,FALSE)=AM498,1,0)</f>
        <v>#N/A</v>
      </c>
      <c r="DZ498" s="138" t="e">
        <f>IF(VLOOKUP(CONCATENATE(H498,F498,DZ$2),Inglés!$A:$H,7,FALSE)=AN498,1,0)</f>
        <v>#N/A</v>
      </c>
      <c r="EA498" s="138" t="e">
        <f>IF(VLOOKUP(CONCATENATE(H498,F498,EA$2),Inglés!$A:$H,7,FALSE)=AO498,1,0)</f>
        <v>#N/A</v>
      </c>
      <c r="EB498" s="138" t="e">
        <f>IF(VLOOKUP(CONCATENATE(H498,F498,EB$2),Matemáticas!$A:$H,7,FALSE)=AP498,1,0)</f>
        <v>#N/A</v>
      </c>
      <c r="EC498" s="138" t="e">
        <f>IF(VLOOKUP(CONCATENATE(H498,F498,EC$2),Matemáticas!$A:$H,7,FALSE)=AQ498,1,0)</f>
        <v>#N/A</v>
      </c>
      <c r="ED498" s="138" t="e">
        <f>IF(VLOOKUP(CONCATENATE(H498,F498,ED$2),Matemáticas!$A:$H,7,FALSE)=AR498,1,0)</f>
        <v>#N/A</v>
      </c>
      <c r="EE498" s="138" t="e">
        <f>IF(VLOOKUP(CONCATENATE(H498,F498,EE$2),Matemáticas!$A:$H,7,FALSE)=AS498,1,0)</f>
        <v>#N/A</v>
      </c>
      <c r="EF498" s="138" t="e">
        <f>IF(VLOOKUP(CONCATENATE(H498,F498,EF$2),Matemáticas!$A:$H,7,FALSE)=AT498,1,0)</f>
        <v>#N/A</v>
      </c>
      <c r="EG498" s="138" t="e">
        <f>IF(VLOOKUP(CONCATENATE(H498,F498,EG$2),Matemáticas!$A:$H,7,FALSE)=AU498,1,0)</f>
        <v>#N/A</v>
      </c>
      <c r="EH498" s="138" t="e">
        <f>IF(VLOOKUP(CONCATENATE(H498,F498,EH$2),Matemáticas!$A:$H,7,FALSE)=AV498,1,0)</f>
        <v>#N/A</v>
      </c>
      <c r="EI498" s="138" t="e">
        <f>IF(VLOOKUP(CONCATENATE(H498,F498,EI$2),Matemáticas!$A:$H,7,FALSE)=AW498,1,0)</f>
        <v>#N/A</v>
      </c>
      <c r="EJ498" s="138" t="e">
        <f>IF(VLOOKUP(CONCATENATE(H498,F498,EJ$2),Matemáticas!$A:$H,7,FALSE)=AX498,1,0)</f>
        <v>#N/A</v>
      </c>
      <c r="EK498" s="138" t="e">
        <f>IF(VLOOKUP(CONCATENATE(H498,F498,EK$2),Matemáticas!$A:$H,7,FALSE)=AY498,1,0)</f>
        <v>#N/A</v>
      </c>
      <c r="EL498" s="138" t="e">
        <f>IF(VLOOKUP(CONCATENATE(H498,F498,EL$2),Matemáticas!$A:$H,7,FALSE)=AZ498,1,0)</f>
        <v>#N/A</v>
      </c>
      <c r="EM498" s="138" t="e">
        <f>IF(VLOOKUP(CONCATENATE(H498,F498,EM$2),Matemáticas!$A:$H,7,FALSE)=BA498,1,0)</f>
        <v>#N/A</v>
      </c>
      <c r="EN498" s="138" t="e">
        <f>IF(VLOOKUP(CONCATENATE(H498,F498,EN$2),Matemáticas!$A:$H,7,FALSE)=BB498,1,0)</f>
        <v>#N/A</v>
      </c>
      <c r="EO498" s="138" t="e">
        <f>IF(VLOOKUP(CONCATENATE(H498,F498,EO$2),Matemáticas!$A:$H,7,FALSE)=BC498,1,0)</f>
        <v>#N/A</v>
      </c>
      <c r="EP498" s="138" t="e">
        <f>IF(VLOOKUP(CONCATENATE(H498,F498,EP$2),Matemáticas!$A:$H,7,FALSE)=BD498,1,0)</f>
        <v>#N/A</v>
      </c>
      <c r="EQ498" s="138" t="e">
        <f>IF(VLOOKUP(CONCATENATE(H498,F498,EQ$2),Matemáticas!$A:$H,7,FALSE)=BE498,1,0)</f>
        <v>#N/A</v>
      </c>
      <c r="ER498" s="138" t="e">
        <f>IF(VLOOKUP(CONCATENATE(H498,F498,ER$2),Matemáticas!$A:$H,7,FALSE)=BF498,1,0)</f>
        <v>#N/A</v>
      </c>
      <c r="ES498" s="138" t="e">
        <f>IF(VLOOKUP(CONCATENATE(H498,F498,ES$2),Matemáticas!$A:$H,7,FALSE)=BG498,1,0)</f>
        <v>#N/A</v>
      </c>
      <c r="ET498" s="138" t="e">
        <f>IF(VLOOKUP(CONCATENATE(H498,F498,ET$2),Matemáticas!$A:$H,7,FALSE)=BH498,1,0)</f>
        <v>#N/A</v>
      </c>
      <c r="EU498" s="138" t="e">
        <f>IF(VLOOKUP(CONCATENATE(H498,F498,EU$2),Matemáticas!$A:$H,7,FALSE)=BI498,1,0)</f>
        <v>#N/A</v>
      </c>
      <c r="EV498" s="138" t="e">
        <f>IF(VLOOKUP(CONCATENATE(H498,F498,EV$2),Ciencias!$A:$H,7,FALSE)=BJ498,1,0)</f>
        <v>#N/A</v>
      </c>
      <c r="EW498" s="138" t="e">
        <f>IF(VLOOKUP(CONCATENATE(H498,F498,EW$2),Ciencias!$A:$H,7,FALSE)=BK498,1,0)</f>
        <v>#N/A</v>
      </c>
      <c r="EX498" s="138" t="e">
        <f>IF(VLOOKUP(CONCATENATE(H498,F498,EX$2),Ciencias!$A:$H,7,FALSE)=BL498,1,0)</f>
        <v>#N/A</v>
      </c>
      <c r="EY498" s="138" t="e">
        <f>IF(VLOOKUP(CONCATENATE(H498,F498,EY$2),Ciencias!$A:$H,7,FALSE)=BM498,1,0)</f>
        <v>#N/A</v>
      </c>
      <c r="EZ498" s="138" t="e">
        <f>IF(VLOOKUP(CONCATENATE(H498,F498,EZ$2),Ciencias!$A:$H,7,FALSE)=BN498,1,0)</f>
        <v>#N/A</v>
      </c>
      <c r="FA498" s="138" t="e">
        <f>IF(VLOOKUP(CONCATENATE(H498,F498,FA$2),Ciencias!$A:$H,7,FALSE)=BO498,1,0)</f>
        <v>#N/A</v>
      </c>
      <c r="FB498" s="138" t="e">
        <f>IF(VLOOKUP(CONCATENATE(H498,F498,FB$2),Ciencias!$A:$H,7,FALSE)=BP498,1,0)</f>
        <v>#N/A</v>
      </c>
      <c r="FC498" s="138" t="e">
        <f>IF(VLOOKUP(CONCATENATE(H498,F498,FC$2),Ciencias!$A:$H,7,FALSE)=BQ498,1,0)</f>
        <v>#N/A</v>
      </c>
      <c r="FD498" s="138" t="e">
        <f>IF(VLOOKUP(CONCATENATE(H498,F498,FD$2),Ciencias!$A:$H,7,FALSE)=BR498,1,0)</f>
        <v>#N/A</v>
      </c>
      <c r="FE498" s="138" t="e">
        <f>IF(VLOOKUP(CONCATENATE(H498,F498,FE$2),Ciencias!$A:$H,7,FALSE)=BS498,1,0)</f>
        <v>#N/A</v>
      </c>
      <c r="FF498" s="138" t="e">
        <f>IF(VLOOKUP(CONCATENATE(H498,F498,FF$2),Ciencias!$A:$H,7,FALSE)=BT498,1,0)</f>
        <v>#N/A</v>
      </c>
      <c r="FG498" s="138" t="e">
        <f>IF(VLOOKUP(CONCATENATE(H498,F498,FG$2),Ciencias!$A:$H,7,FALSE)=BU498,1,0)</f>
        <v>#N/A</v>
      </c>
      <c r="FH498" s="138" t="e">
        <f>IF(VLOOKUP(CONCATENATE(H498,F498,FH$2),Ciencias!$A:$H,7,FALSE)=BV498,1,0)</f>
        <v>#N/A</v>
      </c>
      <c r="FI498" s="138" t="e">
        <f>IF(VLOOKUP(CONCATENATE(H498,F498,FI$2),Ciencias!$A:$H,7,FALSE)=BW498,1,0)</f>
        <v>#N/A</v>
      </c>
      <c r="FJ498" s="138" t="e">
        <f>IF(VLOOKUP(CONCATENATE(H498,F498,FJ$2),Ciencias!$A:$H,7,FALSE)=BX498,1,0)</f>
        <v>#N/A</v>
      </c>
      <c r="FK498" s="138" t="e">
        <f>IF(VLOOKUP(CONCATENATE(H498,F498,FK$2),Ciencias!$A:$H,7,FALSE)=BY498,1,0)</f>
        <v>#N/A</v>
      </c>
      <c r="FL498" s="138" t="e">
        <f>IF(VLOOKUP(CONCATENATE(H498,F498,FL$2),Ciencias!$A:$H,7,FALSE)=BZ498,1,0)</f>
        <v>#N/A</v>
      </c>
      <c r="FM498" s="138" t="e">
        <f>IF(VLOOKUP(CONCATENATE(H498,F498,FM$2),Ciencias!$A:$H,7,FALSE)=CA498,1,0)</f>
        <v>#N/A</v>
      </c>
      <c r="FN498" s="138" t="e">
        <f>IF(VLOOKUP(CONCATENATE(H498,F498,FN$2),Ciencias!$A:$H,7,FALSE)=CB498,1,0)</f>
        <v>#N/A</v>
      </c>
      <c r="FO498" s="138" t="e">
        <f>IF(VLOOKUP(CONCATENATE(H498,F498,FO$2),Ciencias!$A:$H,7,FALSE)=CC498,1,0)</f>
        <v>#N/A</v>
      </c>
      <c r="FP498" s="138" t="e">
        <f>IF(VLOOKUP(CONCATENATE(H498,F498,FP$2),GeoHis!$A:$H,7,FALSE)=CD498,1,0)</f>
        <v>#N/A</v>
      </c>
      <c r="FQ498" s="138" t="e">
        <f>IF(VLOOKUP(CONCATENATE(H498,F498,FQ$2),GeoHis!$A:$H,7,FALSE)=CE498,1,0)</f>
        <v>#N/A</v>
      </c>
      <c r="FR498" s="138" t="e">
        <f>IF(VLOOKUP(CONCATENATE(H498,F498,FR$2),GeoHis!$A:$H,7,FALSE)=CF498,1,0)</f>
        <v>#N/A</v>
      </c>
      <c r="FS498" s="138" t="e">
        <f>IF(VLOOKUP(CONCATENATE(H498,F498,FS$2),GeoHis!$A:$H,7,FALSE)=CG498,1,0)</f>
        <v>#N/A</v>
      </c>
      <c r="FT498" s="138" t="e">
        <f>IF(VLOOKUP(CONCATENATE(H498,F498,FT$2),GeoHis!$A:$H,7,FALSE)=CH498,1,0)</f>
        <v>#N/A</v>
      </c>
      <c r="FU498" s="138" t="e">
        <f>IF(VLOOKUP(CONCATENATE(H498,F498,FU$2),GeoHis!$A:$H,7,FALSE)=CI498,1,0)</f>
        <v>#N/A</v>
      </c>
      <c r="FV498" s="138" t="e">
        <f>IF(VLOOKUP(CONCATENATE(H498,F498,FV$2),GeoHis!$A:$H,7,FALSE)=CJ498,1,0)</f>
        <v>#N/A</v>
      </c>
      <c r="FW498" s="138" t="e">
        <f>IF(VLOOKUP(CONCATENATE(H498,F498,FW$2),GeoHis!$A:$H,7,FALSE)=CK498,1,0)</f>
        <v>#N/A</v>
      </c>
      <c r="FX498" s="138" t="e">
        <f>IF(VLOOKUP(CONCATENATE(H498,F498,FX$2),GeoHis!$A:$H,7,FALSE)=CL498,1,0)</f>
        <v>#N/A</v>
      </c>
      <c r="FY498" s="138" t="e">
        <f>IF(VLOOKUP(CONCATENATE(H498,F498,FY$2),GeoHis!$A:$H,7,FALSE)=CM498,1,0)</f>
        <v>#N/A</v>
      </c>
      <c r="FZ498" s="138" t="e">
        <f>IF(VLOOKUP(CONCATENATE(H498,F498,FZ$2),GeoHis!$A:$H,7,FALSE)=CN498,1,0)</f>
        <v>#N/A</v>
      </c>
      <c r="GA498" s="138" t="e">
        <f>IF(VLOOKUP(CONCATENATE(H498,F498,GA$2),GeoHis!$A:$H,7,FALSE)=CO498,1,0)</f>
        <v>#N/A</v>
      </c>
      <c r="GB498" s="138" t="e">
        <f>IF(VLOOKUP(CONCATENATE(H498,F498,GB$2),GeoHis!$A:$H,7,FALSE)=CP498,1,0)</f>
        <v>#N/A</v>
      </c>
      <c r="GC498" s="138" t="e">
        <f>IF(VLOOKUP(CONCATENATE(H498,F498,GC$2),GeoHis!$A:$H,7,FALSE)=CQ498,1,0)</f>
        <v>#N/A</v>
      </c>
      <c r="GD498" s="138" t="e">
        <f>IF(VLOOKUP(CONCATENATE(H498,F498,GD$2),GeoHis!$A:$H,7,FALSE)=CR498,1,0)</f>
        <v>#N/A</v>
      </c>
      <c r="GE498" s="135" t="str">
        <f t="shared" si="63"/>
        <v/>
      </c>
    </row>
    <row r="499" spans="1:187" x14ac:dyDescent="0.25">
      <c r="A499" s="127" t="str">
        <f>IF(C499="","",'Datos Generales'!$A$25)</f>
        <v/>
      </c>
      <c r="D499" s="126" t="str">
        <f t="shared" si="56"/>
        <v/>
      </c>
      <c r="E499" s="126">
        <f t="shared" si="57"/>
        <v>0</v>
      </c>
      <c r="F499" s="126" t="str">
        <f t="shared" si="58"/>
        <v/>
      </c>
      <c r="G499" s="126" t="str">
        <f>IF(C499="","",'Datos Generales'!$D$19)</f>
        <v/>
      </c>
      <c r="H499" s="21" t="str">
        <f>IF(C499="","",'Datos Generales'!$A$19)</f>
        <v/>
      </c>
      <c r="I499" s="126" t="str">
        <f>IF(C499="","",'Datos Generales'!$A$7)</f>
        <v/>
      </c>
      <c r="J499" s="21" t="str">
        <f>IF(C499="","",'Datos Generales'!$A$13)</f>
        <v/>
      </c>
      <c r="K499" s="21" t="str">
        <f>IF(C499="","",'Datos Generales'!$A$10)</f>
        <v/>
      </c>
      <c r="CS499" s="142" t="str">
        <f t="shared" si="59"/>
        <v/>
      </c>
      <c r="CT499" s="142" t="str">
        <f t="shared" si="60"/>
        <v/>
      </c>
      <c r="CU499" s="142" t="str">
        <f t="shared" si="61"/>
        <v/>
      </c>
      <c r="CV499" s="142" t="str">
        <f t="shared" si="62"/>
        <v/>
      </c>
      <c r="CW499" s="142" t="str">
        <f>IF(C499="","",IF('Datos Generales'!$A$19=1,AVERAGE(FP499:GD499),AVERAGE(Captura!FP499:FY499)))</f>
        <v/>
      </c>
      <c r="CX499" s="138" t="e">
        <f>IF(VLOOKUP(CONCATENATE($H$4,$F$4,CX$2),Español!$A:$H,7,FALSE)=L499,1,0)</f>
        <v>#N/A</v>
      </c>
      <c r="CY499" s="138" t="e">
        <f>IF(VLOOKUP(CONCATENATE(H499,F499,CY$2),Español!$A:$H,7,FALSE)=M499,1,0)</f>
        <v>#N/A</v>
      </c>
      <c r="CZ499" s="138" t="e">
        <f>IF(VLOOKUP(CONCATENATE(H499,F499,CZ$2),Español!$A:$H,7,FALSE)=N499,1,0)</f>
        <v>#N/A</v>
      </c>
      <c r="DA499" s="138" t="e">
        <f>IF(VLOOKUP(CONCATENATE(H499,F499,DA$2),Español!$A:$H,7,FALSE)=O499,1,0)</f>
        <v>#N/A</v>
      </c>
      <c r="DB499" s="138" t="e">
        <f>IF(VLOOKUP(CONCATENATE(H499,F499,DB$2),Español!$A:$H,7,FALSE)=P499,1,0)</f>
        <v>#N/A</v>
      </c>
      <c r="DC499" s="138" t="e">
        <f>IF(VLOOKUP(CONCATENATE(H499,F499,DC$2),Español!$A:$H,7,FALSE)=Q499,1,0)</f>
        <v>#N/A</v>
      </c>
      <c r="DD499" s="138" t="e">
        <f>IF(VLOOKUP(CONCATENATE(H499,F499,DD$2),Español!$A:$H,7,FALSE)=R499,1,0)</f>
        <v>#N/A</v>
      </c>
      <c r="DE499" s="138" t="e">
        <f>IF(VLOOKUP(CONCATENATE(H499,F499,DE$2),Español!$A:$H,7,FALSE)=S499,1,0)</f>
        <v>#N/A</v>
      </c>
      <c r="DF499" s="138" t="e">
        <f>IF(VLOOKUP(CONCATENATE(H499,F499,DF$2),Español!$A:$H,7,FALSE)=T499,1,0)</f>
        <v>#N/A</v>
      </c>
      <c r="DG499" s="138" t="e">
        <f>IF(VLOOKUP(CONCATENATE(H499,F499,DG$2),Español!$A:$H,7,FALSE)=U499,1,0)</f>
        <v>#N/A</v>
      </c>
      <c r="DH499" s="138" t="e">
        <f>IF(VLOOKUP(CONCATENATE(H499,F499,DH$2),Español!$A:$H,7,FALSE)=V499,1,0)</f>
        <v>#N/A</v>
      </c>
      <c r="DI499" s="138" t="e">
        <f>IF(VLOOKUP(CONCATENATE(H499,F499,DI$2),Español!$A:$H,7,FALSE)=W499,1,0)</f>
        <v>#N/A</v>
      </c>
      <c r="DJ499" s="138" t="e">
        <f>IF(VLOOKUP(CONCATENATE(H499,F499,DJ$2),Español!$A:$H,7,FALSE)=X499,1,0)</f>
        <v>#N/A</v>
      </c>
      <c r="DK499" s="138" t="e">
        <f>IF(VLOOKUP(CONCATENATE(H499,F499,DK$2),Español!$A:$H,7,FALSE)=Y499,1,0)</f>
        <v>#N/A</v>
      </c>
      <c r="DL499" s="138" t="e">
        <f>IF(VLOOKUP(CONCATENATE(H499,F499,DL$2),Español!$A:$H,7,FALSE)=Z499,1,0)</f>
        <v>#N/A</v>
      </c>
      <c r="DM499" s="138" t="e">
        <f>IF(VLOOKUP(CONCATENATE(H499,F499,DM$2),Español!$A:$H,7,FALSE)=AA499,1,0)</f>
        <v>#N/A</v>
      </c>
      <c r="DN499" s="138" t="e">
        <f>IF(VLOOKUP(CONCATENATE(H499,F499,DN$2),Español!$A:$H,7,FALSE)=AB499,1,0)</f>
        <v>#N/A</v>
      </c>
      <c r="DO499" s="138" t="e">
        <f>IF(VLOOKUP(CONCATENATE(H499,F499,DO$2),Español!$A:$H,7,FALSE)=AC499,1,0)</f>
        <v>#N/A</v>
      </c>
      <c r="DP499" s="138" t="e">
        <f>IF(VLOOKUP(CONCATENATE(H499,F499,DP$2),Español!$A:$H,7,FALSE)=AD499,1,0)</f>
        <v>#N/A</v>
      </c>
      <c r="DQ499" s="138" t="e">
        <f>IF(VLOOKUP(CONCATENATE(H499,F499,DQ$2),Español!$A:$H,7,FALSE)=AE499,1,0)</f>
        <v>#N/A</v>
      </c>
      <c r="DR499" s="138" t="e">
        <f>IF(VLOOKUP(CONCATENATE(H499,F499,DR$2),Inglés!$A:$H,7,FALSE)=AF499,1,0)</f>
        <v>#N/A</v>
      </c>
      <c r="DS499" s="138" t="e">
        <f>IF(VLOOKUP(CONCATENATE(H499,F499,DS$2),Inglés!$A:$H,7,FALSE)=AG499,1,0)</f>
        <v>#N/A</v>
      </c>
      <c r="DT499" s="138" t="e">
        <f>IF(VLOOKUP(CONCATENATE(H499,F499,DT$2),Inglés!$A:$H,7,FALSE)=AH499,1,0)</f>
        <v>#N/A</v>
      </c>
      <c r="DU499" s="138" t="e">
        <f>IF(VLOOKUP(CONCATENATE(H499,F499,DU$2),Inglés!$A:$H,7,FALSE)=AI499,1,0)</f>
        <v>#N/A</v>
      </c>
      <c r="DV499" s="138" t="e">
        <f>IF(VLOOKUP(CONCATENATE(H499,F499,DV$2),Inglés!$A:$H,7,FALSE)=AJ499,1,0)</f>
        <v>#N/A</v>
      </c>
      <c r="DW499" s="138" t="e">
        <f>IF(VLOOKUP(CONCATENATE(H499,F499,DW$2),Inglés!$A:$H,7,FALSE)=AK499,1,0)</f>
        <v>#N/A</v>
      </c>
      <c r="DX499" s="138" t="e">
        <f>IF(VLOOKUP(CONCATENATE(H499,F499,DX$2),Inglés!$A:$H,7,FALSE)=AL499,1,0)</f>
        <v>#N/A</v>
      </c>
      <c r="DY499" s="138" t="e">
        <f>IF(VLOOKUP(CONCATENATE(H499,F499,DY$2),Inglés!$A:$H,7,FALSE)=AM499,1,0)</f>
        <v>#N/A</v>
      </c>
      <c r="DZ499" s="138" t="e">
        <f>IF(VLOOKUP(CONCATENATE(H499,F499,DZ$2),Inglés!$A:$H,7,FALSE)=AN499,1,0)</f>
        <v>#N/A</v>
      </c>
      <c r="EA499" s="138" t="e">
        <f>IF(VLOOKUP(CONCATENATE(H499,F499,EA$2),Inglés!$A:$H,7,FALSE)=AO499,1,0)</f>
        <v>#N/A</v>
      </c>
      <c r="EB499" s="138" t="e">
        <f>IF(VLOOKUP(CONCATENATE(H499,F499,EB$2),Matemáticas!$A:$H,7,FALSE)=AP499,1,0)</f>
        <v>#N/A</v>
      </c>
      <c r="EC499" s="138" t="e">
        <f>IF(VLOOKUP(CONCATENATE(H499,F499,EC$2),Matemáticas!$A:$H,7,FALSE)=AQ499,1,0)</f>
        <v>#N/A</v>
      </c>
      <c r="ED499" s="138" t="e">
        <f>IF(VLOOKUP(CONCATENATE(H499,F499,ED$2),Matemáticas!$A:$H,7,FALSE)=AR499,1,0)</f>
        <v>#N/A</v>
      </c>
      <c r="EE499" s="138" t="e">
        <f>IF(VLOOKUP(CONCATENATE(H499,F499,EE$2),Matemáticas!$A:$H,7,FALSE)=AS499,1,0)</f>
        <v>#N/A</v>
      </c>
      <c r="EF499" s="138" t="e">
        <f>IF(VLOOKUP(CONCATENATE(H499,F499,EF$2),Matemáticas!$A:$H,7,FALSE)=AT499,1,0)</f>
        <v>#N/A</v>
      </c>
      <c r="EG499" s="138" t="e">
        <f>IF(VLOOKUP(CONCATENATE(H499,F499,EG$2),Matemáticas!$A:$H,7,FALSE)=AU499,1,0)</f>
        <v>#N/A</v>
      </c>
      <c r="EH499" s="138" t="e">
        <f>IF(VLOOKUP(CONCATENATE(H499,F499,EH$2),Matemáticas!$A:$H,7,FALSE)=AV499,1,0)</f>
        <v>#N/A</v>
      </c>
      <c r="EI499" s="138" t="e">
        <f>IF(VLOOKUP(CONCATENATE(H499,F499,EI$2),Matemáticas!$A:$H,7,FALSE)=AW499,1,0)</f>
        <v>#N/A</v>
      </c>
      <c r="EJ499" s="138" t="e">
        <f>IF(VLOOKUP(CONCATENATE(H499,F499,EJ$2),Matemáticas!$A:$H,7,FALSE)=AX499,1,0)</f>
        <v>#N/A</v>
      </c>
      <c r="EK499" s="138" t="e">
        <f>IF(VLOOKUP(CONCATENATE(H499,F499,EK$2),Matemáticas!$A:$H,7,FALSE)=AY499,1,0)</f>
        <v>#N/A</v>
      </c>
      <c r="EL499" s="138" t="e">
        <f>IF(VLOOKUP(CONCATENATE(H499,F499,EL$2),Matemáticas!$A:$H,7,FALSE)=AZ499,1,0)</f>
        <v>#N/A</v>
      </c>
      <c r="EM499" s="138" t="e">
        <f>IF(VLOOKUP(CONCATENATE(H499,F499,EM$2),Matemáticas!$A:$H,7,FALSE)=BA499,1,0)</f>
        <v>#N/A</v>
      </c>
      <c r="EN499" s="138" t="e">
        <f>IF(VLOOKUP(CONCATENATE(H499,F499,EN$2),Matemáticas!$A:$H,7,FALSE)=BB499,1,0)</f>
        <v>#N/A</v>
      </c>
      <c r="EO499" s="138" t="e">
        <f>IF(VLOOKUP(CONCATENATE(H499,F499,EO$2),Matemáticas!$A:$H,7,FALSE)=BC499,1,0)</f>
        <v>#N/A</v>
      </c>
      <c r="EP499" s="138" t="e">
        <f>IF(VLOOKUP(CONCATENATE(H499,F499,EP$2),Matemáticas!$A:$H,7,FALSE)=BD499,1,0)</f>
        <v>#N/A</v>
      </c>
      <c r="EQ499" s="138" t="e">
        <f>IF(VLOOKUP(CONCATENATE(H499,F499,EQ$2),Matemáticas!$A:$H,7,FALSE)=BE499,1,0)</f>
        <v>#N/A</v>
      </c>
      <c r="ER499" s="138" t="e">
        <f>IF(VLOOKUP(CONCATENATE(H499,F499,ER$2),Matemáticas!$A:$H,7,FALSE)=BF499,1,0)</f>
        <v>#N/A</v>
      </c>
      <c r="ES499" s="138" t="e">
        <f>IF(VLOOKUP(CONCATENATE(H499,F499,ES$2),Matemáticas!$A:$H,7,FALSE)=BG499,1,0)</f>
        <v>#N/A</v>
      </c>
      <c r="ET499" s="138" t="e">
        <f>IF(VLOOKUP(CONCATENATE(H499,F499,ET$2),Matemáticas!$A:$H,7,FALSE)=BH499,1,0)</f>
        <v>#N/A</v>
      </c>
      <c r="EU499" s="138" t="e">
        <f>IF(VLOOKUP(CONCATENATE(H499,F499,EU$2),Matemáticas!$A:$H,7,FALSE)=BI499,1,0)</f>
        <v>#N/A</v>
      </c>
      <c r="EV499" s="138" t="e">
        <f>IF(VLOOKUP(CONCATENATE(H499,F499,EV$2),Ciencias!$A:$H,7,FALSE)=BJ499,1,0)</f>
        <v>#N/A</v>
      </c>
      <c r="EW499" s="138" t="e">
        <f>IF(VLOOKUP(CONCATENATE(H499,F499,EW$2),Ciencias!$A:$H,7,FALSE)=BK499,1,0)</f>
        <v>#N/A</v>
      </c>
      <c r="EX499" s="138" t="e">
        <f>IF(VLOOKUP(CONCATENATE(H499,F499,EX$2),Ciencias!$A:$H,7,FALSE)=BL499,1,0)</f>
        <v>#N/A</v>
      </c>
      <c r="EY499" s="138" t="e">
        <f>IF(VLOOKUP(CONCATENATE(H499,F499,EY$2),Ciencias!$A:$H,7,FALSE)=BM499,1,0)</f>
        <v>#N/A</v>
      </c>
      <c r="EZ499" s="138" t="e">
        <f>IF(VLOOKUP(CONCATENATE(H499,F499,EZ$2),Ciencias!$A:$H,7,FALSE)=BN499,1,0)</f>
        <v>#N/A</v>
      </c>
      <c r="FA499" s="138" t="e">
        <f>IF(VLOOKUP(CONCATENATE(H499,F499,FA$2),Ciencias!$A:$H,7,FALSE)=BO499,1,0)</f>
        <v>#N/A</v>
      </c>
      <c r="FB499" s="138" t="e">
        <f>IF(VLOOKUP(CONCATENATE(H499,F499,FB$2),Ciencias!$A:$H,7,FALSE)=BP499,1,0)</f>
        <v>#N/A</v>
      </c>
      <c r="FC499" s="138" t="e">
        <f>IF(VLOOKUP(CONCATENATE(H499,F499,FC$2),Ciencias!$A:$H,7,FALSE)=BQ499,1,0)</f>
        <v>#N/A</v>
      </c>
      <c r="FD499" s="138" t="e">
        <f>IF(VLOOKUP(CONCATENATE(H499,F499,FD$2),Ciencias!$A:$H,7,FALSE)=BR499,1,0)</f>
        <v>#N/A</v>
      </c>
      <c r="FE499" s="138" t="e">
        <f>IF(VLOOKUP(CONCATENATE(H499,F499,FE$2),Ciencias!$A:$H,7,FALSE)=BS499,1,0)</f>
        <v>#N/A</v>
      </c>
      <c r="FF499" s="138" t="e">
        <f>IF(VLOOKUP(CONCATENATE(H499,F499,FF$2),Ciencias!$A:$H,7,FALSE)=BT499,1,0)</f>
        <v>#N/A</v>
      </c>
      <c r="FG499" s="138" t="e">
        <f>IF(VLOOKUP(CONCATENATE(H499,F499,FG$2),Ciencias!$A:$H,7,FALSE)=BU499,1,0)</f>
        <v>#N/A</v>
      </c>
      <c r="FH499" s="138" t="e">
        <f>IF(VLOOKUP(CONCATENATE(H499,F499,FH$2),Ciencias!$A:$H,7,FALSE)=BV499,1,0)</f>
        <v>#N/A</v>
      </c>
      <c r="FI499" s="138" t="e">
        <f>IF(VLOOKUP(CONCATENATE(H499,F499,FI$2),Ciencias!$A:$H,7,FALSE)=BW499,1,0)</f>
        <v>#N/A</v>
      </c>
      <c r="FJ499" s="138" t="e">
        <f>IF(VLOOKUP(CONCATENATE(H499,F499,FJ$2),Ciencias!$A:$H,7,FALSE)=BX499,1,0)</f>
        <v>#N/A</v>
      </c>
      <c r="FK499" s="138" t="e">
        <f>IF(VLOOKUP(CONCATENATE(H499,F499,FK$2),Ciencias!$A:$H,7,FALSE)=BY499,1,0)</f>
        <v>#N/A</v>
      </c>
      <c r="FL499" s="138" t="e">
        <f>IF(VLOOKUP(CONCATENATE(H499,F499,FL$2),Ciencias!$A:$H,7,FALSE)=BZ499,1,0)</f>
        <v>#N/A</v>
      </c>
      <c r="FM499" s="138" t="e">
        <f>IF(VLOOKUP(CONCATENATE(H499,F499,FM$2),Ciencias!$A:$H,7,FALSE)=CA499,1,0)</f>
        <v>#N/A</v>
      </c>
      <c r="FN499" s="138" t="e">
        <f>IF(VLOOKUP(CONCATENATE(H499,F499,FN$2),Ciencias!$A:$H,7,FALSE)=CB499,1,0)</f>
        <v>#N/A</v>
      </c>
      <c r="FO499" s="138" t="e">
        <f>IF(VLOOKUP(CONCATENATE(H499,F499,FO$2),Ciencias!$A:$H,7,FALSE)=CC499,1,0)</f>
        <v>#N/A</v>
      </c>
      <c r="FP499" s="138" t="e">
        <f>IF(VLOOKUP(CONCATENATE(H499,F499,FP$2),GeoHis!$A:$H,7,FALSE)=CD499,1,0)</f>
        <v>#N/A</v>
      </c>
      <c r="FQ499" s="138" t="e">
        <f>IF(VLOOKUP(CONCATENATE(H499,F499,FQ$2),GeoHis!$A:$H,7,FALSE)=CE499,1,0)</f>
        <v>#N/A</v>
      </c>
      <c r="FR499" s="138" t="e">
        <f>IF(VLOOKUP(CONCATENATE(H499,F499,FR$2),GeoHis!$A:$H,7,FALSE)=CF499,1,0)</f>
        <v>#N/A</v>
      </c>
      <c r="FS499" s="138" t="e">
        <f>IF(VLOOKUP(CONCATENATE(H499,F499,FS$2),GeoHis!$A:$H,7,FALSE)=CG499,1,0)</f>
        <v>#N/A</v>
      </c>
      <c r="FT499" s="138" t="e">
        <f>IF(VLOOKUP(CONCATENATE(H499,F499,FT$2),GeoHis!$A:$H,7,FALSE)=CH499,1,0)</f>
        <v>#N/A</v>
      </c>
      <c r="FU499" s="138" t="e">
        <f>IF(VLOOKUP(CONCATENATE(H499,F499,FU$2),GeoHis!$A:$H,7,FALSE)=CI499,1,0)</f>
        <v>#N/A</v>
      </c>
      <c r="FV499" s="138" t="e">
        <f>IF(VLOOKUP(CONCATENATE(H499,F499,FV$2),GeoHis!$A:$H,7,FALSE)=CJ499,1,0)</f>
        <v>#N/A</v>
      </c>
      <c r="FW499" s="138" t="e">
        <f>IF(VLOOKUP(CONCATENATE(H499,F499,FW$2),GeoHis!$A:$H,7,FALSE)=CK499,1,0)</f>
        <v>#N/A</v>
      </c>
      <c r="FX499" s="138" t="e">
        <f>IF(VLOOKUP(CONCATENATE(H499,F499,FX$2),GeoHis!$A:$H,7,FALSE)=CL499,1,0)</f>
        <v>#N/A</v>
      </c>
      <c r="FY499" s="138" t="e">
        <f>IF(VLOOKUP(CONCATENATE(H499,F499,FY$2),GeoHis!$A:$H,7,FALSE)=CM499,1,0)</f>
        <v>#N/A</v>
      </c>
      <c r="FZ499" s="138" t="e">
        <f>IF(VLOOKUP(CONCATENATE(H499,F499,FZ$2),GeoHis!$A:$H,7,FALSE)=CN499,1,0)</f>
        <v>#N/A</v>
      </c>
      <c r="GA499" s="138" t="e">
        <f>IF(VLOOKUP(CONCATENATE(H499,F499,GA$2),GeoHis!$A:$H,7,FALSE)=CO499,1,0)</f>
        <v>#N/A</v>
      </c>
      <c r="GB499" s="138" t="e">
        <f>IF(VLOOKUP(CONCATENATE(H499,F499,GB$2),GeoHis!$A:$H,7,FALSE)=CP499,1,0)</f>
        <v>#N/A</v>
      </c>
      <c r="GC499" s="138" t="e">
        <f>IF(VLOOKUP(CONCATENATE(H499,F499,GC$2),GeoHis!$A:$H,7,FALSE)=CQ499,1,0)</f>
        <v>#N/A</v>
      </c>
      <c r="GD499" s="138" t="e">
        <f>IF(VLOOKUP(CONCATENATE(H499,F499,GD$2),GeoHis!$A:$H,7,FALSE)=CR499,1,0)</f>
        <v>#N/A</v>
      </c>
      <c r="GE499" s="135" t="str">
        <f t="shared" si="63"/>
        <v/>
      </c>
    </row>
    <row r="500" spans="1:187" x14ac:dyDescent="0.25">
      <c r="A500" s="127" t="str">
        <f>IF(C500="","",'Datos Generales'!$A$25)</f>
        <v/>
      </c>
      <c r="D500" s="126" t="str">
        <f t="shared" si="56"/>
        <v/>
      </c>
      <c r="E500" s="126">
        <f t="shared" si="57"/>
        <v>0</v>
      </c>
      <c r="F500" s="126" t="str">
        <f t="shared" si="58"/>
        <v/>
      </c>
      <c r="G500" s="126" t="str">
        <f>IF(C500="","",'Datos Generales'!$D$19)</f>
        <v/>
      </c>
      <c r="H500" s="21" t="str">
        <f>IF(C500="","",'Datos Generales'!$A$19)</f>
        <v/>
      </c>
      <c r="I500" s="126" t="str">
        <f>IF(C500="","",'Datos Generales'!$A$7)</f>
        <v/>
      </c>
      <c r="J500" s="21" t="str">
        <f>IF(C500="","",'Datos Generales'!$A$13)</f>
        <v/>
      </c>
      <c r="K500" s="21" t="str">
        <f>IF(C500="","",'Datos Generales'!$A$10)</f>
        <v/>
      </c>
      <c r="CS500" s="142" t="str">
        <f t="shared" si="59"/>
        <v/>
      </c>
      <c r="CT500" s="142" t="str">
        <f t="shared" si="60"/>
        <v/>
      </c>
      <c r="CU500" s="142" t="str">
        <f t="shared" si="61"/>
        <v/>
      </c>
      <c r="CV500" s="142" t="str">
        <f t="shared" si="62"/>
        <v/>
      </c>
      <c r="CW500" s="142" t="str">
        <f>IF(C500="","",IF('Datos Generales'!$A$19=1,AVERAGE(FP500:GD500),AVERAGE(Captura!FP500:FY500)))</f>
        <v/>
      </c>
      <c r="CX500" s="138" t="e">
        <f>IF(VLOOKUP(CONCATENATE($H$4,$F$4,CX$2),Español!$A:$H,7,FALSE)=L500,1,0)</f>
        <v>#N/A</v>
      </c>
      <c r="CY500" s="138" t="e">
        <f>IF(VLOOKUP(CONCATENATE(H500,F500,CY$2),Español!$A:$H,7,FALSE)=M500,1,0)</f>
        <v>#N/A</v>
      </c>
      <c r="CZ500" s="138" t="e">
        <f>IF(VLOOKUP(CONCATENATE(H500,F500,CZ$2),Español!$A:$H,7,FALSE)=N500,1,0)</f>
        <v>#N/A</v>
      </c>
      <c r="DA500" s="138" t="e">
        <f>IF(VLOOKUP(CONCATENATE(H500,F500,DA$2),Español!$A:$H,7,FALSE)=O500,1,0)</f>
        <v>#N/A</v>
      </c>
      <c r="DB500" s="138" t="e">
        <f>IF(VLOOKUP(CONCATENATE(H500,F500,DB$2),Español!$A:$H,7,FALSE)=P500,1,0)</f>
        <v>#N/A</v>
      </c>
      <c r="DC500" s="138" t="e">
        <f>IF(VLOOKUP(CONCATENATE(H500,F500,DC$2),Español!$A:$H,7,FALSE)=Q500,1,0)</f>
        <v>#N/A</v>
      </c>
      <c r="DD500" s="138" t="e">
        <f>IF(VLOOKUP(CONCATENATE(H500,F500,DD$2),Español!$A:$H,7,FALSE)=R500,1,0)</f>
        <v>#N/A</v>
      </c>
      <c r="DE500" s="138" t="e">
        <f>IF(VLOOKUP(CONCATENATE(H500,F500,DE$2),Español!$A:$H,7,FALSE)=S500,1,0)</f>
        <v>#N/A</v>
      </c>
      <c r="DF500" s="138" t="e">
        <f>IF(VLOOKUP(CONCATENATE(H500,F500,DF$2),Español!$A:$H,7,FALSE)=T500,1,0)</f>
        <v>#N/A</v>
      </c>
      <c r="DG500" s="138" t="e">
        <f>IF(VLOOKUP(CONCATENATE(H500,F500,DG$2),Español!$A:$H,7,FALSE)=U500,1,0)</f>
        <v>#N/A</v>
      </c>
      <c r="DH500" s="138" t="e">
        <f>IF(VLOOKUP(CONCATENATE(H500,F500,DH$2),Español!$A:$H,7,FALSE)=V500,1,0)</f>
        <v>#N/A</v>
      </c>
      <c r="DI500" s="138" t="e">
        <f>IF(VLOOKUP(CONCATENATE(H500,F500,DI$2),Español!$A:$H,7,FALSE)=W500,1,0)</f>
        <v>#N/A</v>
      </c>
      <c r="DJ500" s="138" t="e">
        <f>IF(VLOOKUP(CONCATENATE(H500,F500,DJ$2),Español!$A:$H,7,FALSE)=X500,1,0)</f>
        <v>#N/A</v>
      </c>
      <c r="DK500" s="138" t="e">
        <f>IF(VLOOKUP(CONCATENATE(H500,F500,DK$2),Español!$A:$H,7,FALSE)=Y500,1,0)</f>
        <v>#N/A</v>
      </c>
      <c r="DL500" s="138" t="e">
        <f>IF(VLOOKUP(CONCATENATE(H500,F500,DL$2),Español!$A:$H,7,FALSE)=Z500,1,0)</f>
        <v>#N/A</v>
      </c>
      <c r="DM500" s="138" t="e">
        <f>IF(VLOOKUP(CONCATENATE(H500,F500,DM$2),Español!$A:$H,7,FALSE)=AA500,1,0)</f>
        <v>#N/A</v>
      </c>
      <c r="DN500" s="138" t="e">
        <f>IF(VLOOKUP(CONCATENATE(H500,F500,DN$2),Español!$A:$H,7,FALSE)=AB500,1,0)</f>
        <v>#N/A</v>
      </c>
      <c r="DO500" s="138" t="e">
        <f>IF(VLOOKUP(CONCATENATE(H500,F500,DO$2),Español!$A:$H,7,FALSE)=AC500,1,0)</f>
        <v>#N/A</v>
      </c>
      <c r="DP500" s="138" t="e">
        <f>IF(VLOOKUP(CONCATENATE(H500,F500,DP$2),Español!$A:$H,7,FALSE)=AD500,1,0)</f>
        <v>#N/A</v>
      </c>
      <c r="DQ500" s="138" t="e">
        <f>IF(VLOOKUP(CONCATENATE(H500,F500,DQ$2),Español!$A:$H,7,FALSE)=AE500,1,0)</f>
        <v>#N/A</v>
      </c>
      <c r="DR500" s="138" t="e">
        <f>IF(VLOOKUP(CONCATENATE(H500,F500,DR$2),Inglés!$A:$H,7,FALSE)=AF500,1,0)</f>
        <v>#N/A</v>
      </c>
      <c r="DS500" s="138" t="e">
        <f>IF(VLOOKUP(CONCATENATE(H500,F500,DS$2),Inglés!$A:$H,7,FALSE)=AG500,1,0)</f>
        <v>#N/A</v>
      </c>
      <c r="DT500" s="138" t="e">
        <f>IF(VLOOKUP(CONCATENATE(H500,F500,DT$2),Inglés!$A:$H,7,FALSE)=AH500,1,0)</f>
        <v>#N/A</v>
      </c>
      <c r="DU500" s="138" t="e">
        <f>IF(VLOOKUP(CONCATENATE(H500,F500,DU$2),Inglés!$A:$H,7,FALSE)=AI500,1,0)</f>
        <v>#N/A</v>
      </c>
      <c r="DV500" s="138" t="e">
        <f>IF(VLOOKUP(CONCATENATE(H500,F500,DV$2),Inglés!$A:$H,7,FALSE)=AJ500,1,0)</f>
        <v>#N/A</v>
      </c>
      <c r="DW500" s="138" t="e">
        <f>IF(VLOOKUP(CONCATENATE(H500,F500,DW$2),Inglés!$A:$H,7,FALSE)=AK500,1,0)</f>
        <v>#N/A</v>
      </c>
      <c r="DX500" s="138" t="e">
        <f>IF(VLOOKUP(CONCATENATE(H500,F500,DX$2),Inglés!$A:$H,7,FALSE)=AL500,1,0)</f>
        <v>#N/A</v>
      </c>
      <c r="DY500" s="138" t="e">
        <f>IF(VLOOKUP(CONCATENATE(H500,F500,DY$2),Inglés!$A:$H,7,FALSE)=AM500,1,0)</f>
        <v>#N/A</v>
      </c>
      <c r="DZ500" s="138" t="e">
        <f>IF(VLOOKUP(CONCATENATE(H500,F500,DZ$2),Inglés!$A:$H,7,FALSE)=AN500,1,0)</f>
        <v>#N/A</v>
      </c>
      <c r="EA500" s="138" t="e">
        <f>IF(VLOOKUP(CONCATENATE(H500,F500,EA$2),Inglés!$A:$H,7,FALSE)=AO500,1,0)</f>
        <v>#N/A</v>
      </c>
      <c r="EB500" s="138" t="e">
        <f>IF(VLOOKUP(CONCATENATE(H500,F500,EB$2),Matemáticas!$A:$H,7,FALSE)=AP500,1,0)</f>
        <v>#N/A</v>
      </c>
      <c r="EC500" s="138" t="e">
        <f>IF(VLOOKUP(CONCATENATE(H500,F500,EC$2),Matemáticas!$A:$H,7,FALSE)=AQ500,1,0)</f>
        <v>#N/A</v>
      </c>
      <c r="ED500" s="138" t="e">
        <f>IF(VLOOKUP(CONCATENATE(H500,F500,ED$2),Matemáticas!$A:$H,7,FALSE)=AR500,1,0)</f>
        <v>#N/A</v>
      </c>
      <c r="EE500" s="138" t="e">
        <f>IF(VLOOKUP(CONCATENATE(H500,F500,EE$2),Matemáticas!$A:$H,7,FALSE)=AS500,1,0)</f>
        <v>#N/A</v>
      </c>
      <c r="EF500" s="138" t="e">
        <f>IF(VLOOKUP(CONCATENATE(H500,F500,EF$2),Matemáticas!$A:$H,7,FALSE)=AT500,1,0)</f>
        <v>#N/A</v>
      </c>
      <c r="EG500" s="138" t="e">
        <f>IF(VLOOKUP(CONCATENATE(H500,F500,EG$2),Matemáticas!$A:$H,7,FALSE)=AU500,1,0)</f>
        <v>#N/A</v>
      </c>
      <c r="EH500" s="138" t="e">
        <f>IF(VLOOKUP(CONCATENATE(H500,F500,EH$2),Matemáticas!$A:$H,7,FALSE)=AV500,1,0)</f>
        <v>#N/A</v>
      </c>
      <c r="EI500" s="138" t="e">
        <f>IF(VLOOKUP(CONCATENATE(H500,F500,EI$2),Matemáticas!$A:$H,7,FALSE)=AW500,1,0)</f>
        <v>#N/A</v>
      </c>
      <c r="EJ500" s="138" t="e">
        <f>IF(VLOOKUP(CONCATENATE(H500,F500,EJ$2),Matemáticas!$A:$H,7,FALSE)=AX500,1,0)</f>
        <v>#N/A</v>
      </c>
      <c r="EK500" s="138" t="e">
        <f>IF(VLOOKUP(CONCATENATE(H500,F500,EK$2),Matemáticas!$A:$H,7,FALSE)=AY500,1,0)</f>
        <v>#N/A</v>
      </c>
      <c r="EL500" s="138" t="e">
        <f>IF(VLOOKUP(CONCATENATE(H500,F500,EL$2),Matemáticas!$A:$H,7,FALSE)=AZ500,1,0)</f>
        <v>#N/A</v>
      </c>
      <c r="EM500" s="138" t="e">
        <f>IF(VLOOKUP(CONCATENATE(H500,F500,EM$2),Matemáticas!$A:$H,7,FALSE)=BA500,1,0)</f>
        <v>#N/A</v>
      </c>
      <c r="EN500" s="138" t="e">
        <f>IF(VLOOKUP(CONCATENATE(H500,F500,EN$2),Matemáticas!$A:$H,7,FALSE)=BB500,1,0)</f>
        <v>#N/A</v>
      </c>
      <c r="EO500" s="138" t="e">
        <f>IF(VLOOKUP(CONCATENATE(H500,F500,EO$2),Matemáticas!$A:$H,7,FALSE)=BC500,1,0)</f>
        <v>#N/A</v>
      </c>
      <c r="EP500" s="138" t="e">
        <f>IF(VLOOKUP(CONCATENATE(H500,F500,EP$2),Matemáticas!$A:$H,7,FALSE)=BD500,1,0)</f>
        <v>#N/A</v>
      </c>
      <c r="EQ500" s="138" t="e">
        <f>IF(VLOOKUP(CONCATENATE(H500,F500,EQ$2),Matemáticas!$A:$H,7,FALSE)=BE500,1,0)</f>
        <v>#N/A</v>
      </c>
      <c r="ER500" s="138" t="e">
        <f>IF(VLOOKUP(CONCATENATE(H500,F500,ER$2),Matemáticas!$A:$H,7,FALSE)=BF500,1,0)</f>
        <v>#N/A</v>
      </c>
      <c r="ES500" s="138" t="e">
        <f>IF(VLOOKUP(CONCATENATE(H500,F500,ES$2),Matemáticas!$A:$H,7,FALSE)=BG500,1,0)</f>
        <v>#N/A</v>
      </c>
      <c r="ET500" s="138" t="e">
        <f>IF(VLOOKUP(CONCATENATE(H500,F500,ET$2),Matemáticas!$A:$H,7,FALSE)=BH500,1,0)</f>
        <v>#N/A</v>
      </c>
      <c r="EU500" s="138" t="e">
        <f>IF(VLOOKUP(CONCATENATE(H500,F500,EU$2),Matemáticas!$A:$H,7,FALSE)=BI500,1,0)</f>
        <v>#N/A</v>
      </c>
      <c r="EV500" s="138" t="e">
        <f>IF(VLOOKUP(CONCATENATE(H500,F500,EV$2),Ciencias!$A:$H,7,FALSE)=BJ500,1,0)</f>
        <v>#N/A</v>
      </c>
      <c r="EW500" s="138" t="e">
        <f>IF(VLOOKUP(CONCATENATE(H500,F500,EW$2),Ciencias!$A:$H,7,FALSE)=BK500,1,0)</f>
        <v>#N/A</v>
      </c>
      <c r="EX500" s="138" t="e">
        <f>IF(VLOOKUP(CONCATENATE(H500,F500,EX$2),Ciencias!$A:$H,7,FALSE)=BL500,1,0)</f>
        <v>#N/A</v>
      </c>
      <c r="EY500" s="138" t="e">
        <f>IF(VLOOKUP(CONCATENATE(H500,F500,EY$2),Ciencias!$A:$H,7,FALSE)=BM500,1,0)</f>
        <v>#N/A</v>
      </c>
      <c r="EZ500" s="138" t="e">
        <f>IF(VLOOKUP(CONCATENATE(H500,F500,EZ$2),Ciencias!$A:$H,7,FALSE)=BN500,1,0)</f>
        <v>#N/A</v>
      </c>
      <c r="FA500" s="138" t="e">
        <f>IF(VLOOKUP(CONCATENATE(H500,F500,FA$2),Ciencias!$A:$H,7,FALSE)=BO500,1,0)</f>
        <v>#N/A</v>
      </c>
      <c r="FB500" s="138" t="e">
        <f>IF(VLOOKUP(CONCATENATE(H500,F500,FB$2),Ciencias!$A:$H,7,FALSE)=BP500,1,0)</f>
        <v>#N/A</v>
      </c>
      <c r="FC500" s="138" t="e">
        <f>IF(VLOOKUP(CONCATENATE(H500,F500,FC$2),Ciencias!$A:$H,7,FALSE)=BQ500,1,0)</f>
        <v>#N/A</v>
      </c>
      <c r="FD500" s="138" t="e">
        <f>IF(VLOOKUP(CONCATENATE(H500,F500,FD$2),Ciencias!$A:$H,7,FALSE)=BR500,1,0)</f>
        <v>#N/A</v>
      </c>
      <c r="FE500" s="138" t="e">
        <f>IF(VLOOKUP(CONCATENATE(H500,F500,FE$2),Ciencias!$A:$H,7,FALSE)=BS500,1,0)</f>
        <v>#N/A</v>
      </c>
      <c r="FF500" s="138" t="e">
        <f>IF(VLOOKUP(CONCATENATE(H500,F500,FF$2),Ciencias!$A:$H,7,FALSE)=BT500,1,0)</f>
        <v>#N/A</v>
      </c>
      <c r="FG500" s="138" t="e">
        <f>IF(VLOOKUP(CONCATENATE(H500,F500,FG$2),Ciencias!$A:$H,7,FALSE)=BU500,1,0)</f>
        <v>#N/A</v>
      </c>
      <c r="FH500" s="138" t="e">
        <f>IF(VLOOKUP(CONCATENATE(H500,F500,FH$2),Ciencias!$A:$H,7,FALSE)=BV500,1,0)</f>
        <v>#N/A</v>
      </c>
      <c r="FI500" s="138" t="e">
        <f>IF(VLOOKUP(CONCATENATE(H500,F500,FI$2),Ciencias!$A:$H,7,FALSE)=BW500,1,0)</f>
        <v>#N/A</v>
      </c>
      <c r="FJ500" s="138" t="e">
        <f>IF(VLOOKUP(CONCATENATE(H500,F500,FJ$2),Ciencias!$A:$H,7,FALSE)=BX500,1,0)</f>
        <v>#N/A</v>
      </c>
      <c r="FK500" s="138" t="e">
        <f>IF(VLOOKUP(CONCATENATE(H500,F500,FK$2),Ciencias!$A:$H,7,FALSE)=BY500,1,0)</f>
        <v>#N/A</v>
      </c>
      <c r="FL500" s="138" t="e">
        <f>IF(VLOOKUP(CONCATENATE(H500,F500,FL$2),Ciencias!$A:$H,7,FALSE)=BZ500,1,0)</f>
        <v>#N/A</v>
      </c>
      <c r="FM500" s="138" t="e">
        <f>IF(VLOOKUP(CONCATENATE(H500,F500,FM$2),Ciencias!$A:$H,7,FALSE)=CA500,1,0)</f>
        <v>#N/A</v>
      </c>
      <c r="FN500" s="138" t="e">
        <f>IF(VLOOKUP(CONCATENATE(H500,F500,FN$2),Ciencias!$A:$H,7,FALSE)=CB500,1,0)</f>
        <v>#N/A</v>
      </c>
      <c r="FO500" s="138" t="e">
        <f>IF(VLOOKUP(CONCATENATE(H500,F500,FO$2),Ciencias!$A:$H,7,FALSE)=CC500,1,0)</f>
        <v>#N/A</v>
      </c>
      <c r="FP500" s="138" t="e">
        <f>IF(VLOOKUP(CONCATENATE(H500,F500,FP$2),GeoHis!$A:$H,7,FALSE)=CD500,1,0)</f>
        <v>#N/A</v>
      </c>
      <c r="FQ500" s="138" t="e">
        <f>IF(VLOOKUP(CONCATENATE(H500,F500,FQ$2),GeoHis!$A:$H,7,FALSE)=CE500,1,0)</f>
        <v>#N/A</v>
      </c>
      <c r="FR500" s="138" t="e">
        <f>IF(VLOOKUP(CONCATENATE(H500,F500,FR$2),GeoHis!$A:$H,7,FALSE)=CF500,1,0)</f>
        <v>#N/A</v>
      </c>
      <c r="FS500" s="138" t="e">
        <f>IF(VLOOKUP(CONCATENATE(H500,F500,FS$2),GeoHis!$A:$H,7,FALSE)=CG500,1,0)</f>
        <v>#N/A</v>
      </c>
      <c r="FT500" s="138" t="e">
        <f>IF(VLOOKUP(CONCATENATE(H500,F500,FT$2),GeoHis!$A:$H,7,FALSE)=CH500,1,0)</f>
        <v>#N/A</v>
      </c>
      <c r="FU500" s="138" t="e">
        <f>IF(VLOOKUP(CONCATENATE(H500,F500,FU$2),GeoHis!$A:$H,7,FALSE)=CI500,1,0)</f>
        <v>#N/A</v>
      </c>
      <c r="FV500" s="138" t="e">
        <f>IF(VLOOKUP(CONCATENATE(H500,F500,FV$2),GeoHis!$A:$H,7,FALSE)=CJ500,1,0)</f>
        <v>#N/A</v>
      </c>
      <c r="FW500" s="138" t="e">
        <f>IF(VLOOKUP(CONCATENATE(H500,F500,FW$2),GeoHis!$A:$H,7,FALSE)=CK500,1,0)</f>
        <v>#N/A</v>
      </c>
      <c r="FX500" s="138" t="e">
        <f>IF(VLOOKUP(CONCATENATE(H500,F500,FX$2),GeoHis!$A:$H,7,FALSE)=CL500,1,0)</f>
        <v>#N/A</v>
      </c>
      <c r="FY500" s="138" t="e">
        <f>IF(VLOOKUP(CONCATENATE(H500,F500,FY$2),GeoHis!$A:$H,7,FALSE)=CM500,1,0)</f>
        <v>#N/A</v>
      </c>
      <c r="FZ500" s="138" t="e">
        <f>IF(VLOOKUP(CONCATENATE(H500,F500,FZ$2),GeoHis!$A:$H,7,FALSE)=CN500,1,0)</f>
        <v>#N/A</v>
      </c>
      <c r="GA500" s="138" t="e">
        <f>IF(VLOOKUP(CONCATENATE(H500,F500,GA$2),GeoHis!$A:$H,7,FALSE)=CO500,1,0)</f>
        <v>#N/A</v>
      </c>
      <c r="GB500" s="138" t="e">
        <f>IF(VLOOKUP(CONCATENATE(H500,F500,GB$2),GeoHis!$A:$H,7,FALSE)=CP500,1,0)</f>
        <v>#N/A</v>
      </c>
      <c r="GC500" s="138" t="e">
        <f>IF(VLOOKUP(CONCATENATE(H500,F500,GC$2),GeoHis!$A:$H,7,FALSE)=CQ500,1,0)</f>
        <v>#N/A</v>
      </c>
      <c r="GD500" s="138" t="e">
        <f>IF(VLOOKUP(CONCATENATE(H500,F500,GD$2),GeoHis!$A:$H,7,FALSE)=CR500,1,0)</f>
        <v>#N/A</v>
      </c>
      <c r="GE500" s="135" t="str">
        <f t="shared" si="63"/>
        <v/>
      </c>
    </row>
  </sheetData>
  <sheetProtection sort="0" autoFilter="0" pivotTables="0"/>
  <protectedRanges>
    <protectedRange sqref="L3:CR1872" name="Respuestas"/>
    <protectedRange sqref="B1:F1048576" name="Datos"/>
  </protectedRanges>
  <mergeCells count="13">
    <mergeCell ref="A1:A2"/>
    <mergeCell ref="B1:B2"/>
    <mergeCell ref="C1:C2"/>
    <mergeCell ref="G1:G2"/>
    <mergeCell ref="H1:H2"/>
    <mergeCell ref="F1:F2"/>
    <mergeCell ref="AP1:BI1"/>
    <mergeCell ref="L1:AE1"/>
    <mergeCell ref="BJ1:CC1"/>
    <mergeCell ref="AF1:AO1"/>
    <mergeCell ref="I1:I2"/>
    <mergeCell ref="J1:J2"/>
    <mergeCell ref="K1:K2"/>
  </mergeCells>
  <conditionalFormatting sqref="CN1:CR1048576">
    <cfRule type="expression" dxfId="12" priority="1">
      <formula>OR($H$3=2,$H$3=3)</formula>
    </cfRule>
  </conditionalFormatting>
  <printOptions horizontalCentered="1"/>
  <pageMargins left="0.23622047244094491" right="0.23622047244094491" top="0.94488188976377963" bottom="0.74803149606299213" header="0.31496062992125984" footer="0.31496062992125984"/>
  <pageSetup scale="60" orientation="portrait" horizontalDpi="200" verticalDpi="200" r:id="rId1"/>
  <headerFooter>
    <oddHeader>&amp;L&amp;G&amp;CCaptura de exámenes</oddHeader>
  </headerFooter>
  <colBreaks count="4" manualBreakCount="4">
    <brk id="31" max="117" man="1"/>
    <brk id="41" max="1048575" man="1"/>
    <brk id="61" max="1048575" man="1"/>
    <brk id="81"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zoomScaleNormal="100" zoomScalePageLayoutView="30" workbookViewId="0">
      <selection activeCell="F23" sqref="F23"/>
    </sheetView>
  </sheetViews>
  <sheetFormatPr baseColWidth="10" defaultRowHeight="10.5" x14ac:dyDescent="0.15"/>
  <cols>
    <col min="1" max="1" width="3" style="65" bestFit="1" customWidth="1"/>
    <col min="2" max="2" width="3.7109375" style="65" customWidth="1"/>
    <col min="3" max="3" width="6.7109375" style="2" customWidth="1"/>
    <col min="4" max="5" width="12.7109375" style="11" customWidth="1"/>
    <col min="6" max="6" width="12.7109375" style="1" customWidth="1"/>
    <col min="7" max="7" width="12.7109375" style="70" customWidth="1"/>
    <col min="8" max="8" width="12.7109375" style="69" customWidth="1"/>
    <col min="9" max="9" width="12.7109375" style="2" customWidth="1"/>
    <col min="10" max="10" width="11.5703125" style="2" customWidth="1"/>
    <col min="11" max="16" width="11.42578125" style="2" hidden="1" customWidth="1"/>
    <col min="17" max="16384" width="11.42578125" style="2"/>
  </cols>
  <sheetData>
    <row r="1" spans="1:9" ht="12.75" x14ac:dyDescent="0.15">
      <c r="A1" s="72"/>
      <c r="B1" s="72"/>
      <c r="D1" s="177" t="str">
        <f>'Datos Generales'!A3</f>
        <v>Ciclo Escolar 2013-2014</v>
      </c>
      <c r="E1" s="177"/>
      <c r="F1" s="177"/>
      <c r="G1" s="177"/>
      <c r="H1" s="177"/>
      <c r="I1" s="177"/>
    </row>
    <row r="2" spans="1:9" x14ac:dyDescent="0.15">
      <c r="A2" s="29"/>
      <c r="B2" s="29"/>
      <c r="D2" s="176"/>
      <c r="E2" s="176"/>
      <c r="F2" s="176"/>
      <c r="G2" s="176"/>
      <c r="H2" s="67"/>
      <c r="I2" s="12"/>
    </row>
    <row r="3" spans="1:9" x14ac:dyDescent="0.15">
      <c r="A3" s="29"/>
      <c r="B3" s="29"/>
      <c r="D3" s="164" t="s">
        <v>7</v>
      </c>
      <c r="E3" s="164"/>
      <c r="F3" s="164"/>
      <c r="G3" s="86" t="s">
        <v>8</v>
      </c>
      <c r="H3" s="86" t="s">
        <v>3</v>
      </c>
      <c r="I3" s="86" t="s">
        <v>1</v>
      </c>
    </row>
    <row r="4" spans="1:9" x14ac:dyDescent="0.15">
      <c r="A4" s="72"/>
      <c r="B4" s="72"/>
      <c r="D4" s="165" t="str">
        <f>'Datos Generales'!D7</f>
        <v/>
      </c>
      <c r="E4" s="165"/>
      <c r="F4" s="165"/>
      <c r="G4" s="31">
        <f>'Datos Generales'!A7</f>
        <v>0</v>
      </c>
      <c r="H4" s="87" t="str">
        <f>'Datos Generales'!A13</f>
        <v/>
      </c>
      <c r="I4" s="87" t="str">
        <f>'Datos Generales'!A10</f>
        <v/>
      </c>
    </row>
    <row r="5" spans="1:9" x14ac:dyDescent="0.15">
      <c r="A5" s="72"/>
      <c r="B5" s="72"/>
      <c r="D5" s="12"/>
      <c r="E5" s="75"/>
      <c r="F5" s="12"/>
      <c r="G5" s="67"/>
      <c r="H5" s="67"/>
      <c r="I5" s="12"/>
    </row>
    <row r="6" spans="1:9" x14ac:dyDescent="0.15">
      <c r="A6" s="72"/>
      <c r="B6" s="72"/>
      <c r="D6" s="164" t="s">
        <v>5</v>
      </c>
      <c r="E6" s="164"/>
      <c r="F6" s="164"/>
      <c r="G6" s="171" t="s">
        <v>6</v>
      </c>
      <c r="H6" s="172"/>
      <c r="I6" s="173"/>
    </row>
    <row r="7" spans="1:9" x14ac:dyDescent="0.15">
      <c r="A7" s="72"/>
      <c r="B7" s="72"/>
      <c r="D7" s="165" t="str">
        <f>'Datos Generales'!A16</f>
        <v/>
      </c>
      <c r="E7" s="165"/>
      <c r="F7" s="165"/>
      <c r="G7" s="166" t="str">
        <f>'Datos Generales'!D16</f>
        <v/>
      </c>
      <c r="H7" s="167"/>
      <c r="I7" s="168"/>
    </row>
    <row r="8" spans="1:9" x14ac:dyDescent="0.15">
      <c r="A8" s="72"/>
      <c r="B8" s="72"/>
      <c r="D8" s="12"/>
      <c r="E8" s="12"/>
      <c r="F8" s="12"/>
      <c r="G8" s="68"/>
      <c r="H8" s="70"/>
      <c r="I8" s="12"/>
    </row>
    <row r="9" spans="1:9" ht="10.5" customHeight="1" x14ac:dyDescent="0.15">
      <c r="A9" s="72"/>
      <c r="B9" s="72"/>
      <c r="D9" s="171" t="s">
        <v>9</v>
      </c>
      <c r="E9" s="172"/>
      <c r="F9" s="172"/>
      <c r="G9" s="173"/>
      <c r="H9" s="86" t="s">
        <v>14</v>
      </c>
      <c r="I9" s="86" t="s">
        <v>10</v>
      </c>
    </row>
    <row r="10" spans="1:9" x14ac:dyDescent="0.15">
      <c r="A10" s="72"/>
      <c r="B10" s="72"/>
      <c r="D10" s="166">
        <f>'Datos Generales'!A25</f>
        <v>0</v>
      </c>
      <c r="E10" s="167"/>
      <c r="F10" s="167"/>
      <c r="G10" s="168"/>
      <c r="H10" s="87">
        <f>'Datos Generales'!A19</f>
        <v>3</v>
      </c>
      <c r="I10" s="87" t="str">
        <f>'Datos Generales'!D19</f>
        <v>A</v>
      </c>
    </row>
    <row r="11" spans="1:9" ht="15" customHeight="1" x14ac:dyDescent="0.15">
      <c r="A11" s="72"/>
      <c r="B11" s="72"/>
      <c r="D11" s="76"/>
      <c r="E11" s="76"/>
      <c r="F11" s="10"/>
      <c r="G11" s="10"/>
      <c r="H11" s="70"/>
      <c r="I11" s="12"/>
    </row>
    <row r="12" spans="1:9" ht="10.5" customHeight="1" x14ac:dyDescent="0.15">
      <c r="A12" s="72"/>
      <c r="B12" s="72"/>
      <c r="D12" s="169" t="s">
        <v>6371</v>
      </c>
      <c r="E12" s="169"/>
      <c r="F12" s="169"/>
      <c r="G12" s="169"/>
      <c r="H12" s="174" t="s">
        <v>13</v>
      </c>
      <c r="I12" s="175"/>
    </row>
    <row r="13" spans="1:9" x14ac:dyDescent="0.15">
      <c r="A13" s="72"/>
      <c r="B13" s="72"/>
      <c r="D13" s="170" t="e">
        <f>VLOOKUP(H13,Captura!C:E,3,FALSE)</f>
        <v>#N/A</v>
      </c>
      <c r="E13" s="170"/>
      <c r="F13" s="170"/>
      <c r="G13" s="170"/>
      <c r="H13" s="184">
        <v>1</v>
      </c>
      <c r="I13" s="185"/>
    </row>
    <row r="14" spans="1:9" x14ac:dyDescent="0.15">
      <c r="A14" s="72"/>
      <c r="B14" s="72"/>
      <c r="D14" s="10"/>
      <c r="E14" s="10"/>
      <c r="F14" s="10"/>
      <c r="G14" s="10"/>
      <c r="H14" s="174" t="s">
        <v>6121</v>
      </c>
      <c r="I14" s="175"/>
    </row>
    <row r="15" spans="1:9" x14ac:dyDescent="0.15">
      <c r="A15" s="72"/>
      <c r="B15" s="72"/>
      <c r="D15" s="10"/>
      <c r="E15" s="10"/>
      <c r="F15" s="10"/>
      <c r="G15" s="10"/>
      <c r="H15" s="184" t="s">
        <v>6384</v>
      </c>
      <c r="I15" s="185"/>
    </row>
    <row r="16" spans="1:9" x14ac:dyDescent="0.15">
      <c r="A16" s="72"/>
      <c r="B16" s="72"/>
      <c r="D16" s="73"/>
      <c r="E16" s="2"/>
      <c r="F16" s="2"/>
      <c r="G16" s="2"/>
      <c r="H16" s="2"/>
    </row>
    <row r="17" spans="1:16" x14ac:dyDescent="0.15">
      <c r="A17" s="188" t="s">
        <v>6376</v>
      </c>
      <c r="B17" s="188"/>
      <c r="C17" s="188"/>
      <c r="D17" s="188"/>
      <c r="E17" s="188"/>
      <c r="F17" s="188"/>
      <c r="G17" s="188"/>
      <c r="H17" s="188"/>
      <c r="I17" s="188"/>
      <c r="J17" s="169" t="s">
        <v>6378</v>
      </c>
    </row>
    <row r="18" spans="1:16" x14ac:dyDescent="0.15">
      <c r="A18" s="187" t="s">
        <v>6124</v>
      </c>
      <c r="B18" s="187"/>
      <c r="C18" s="187"/>
      <c r="D18" s="187"/>
      <c r="E18" s="74" t="s">
        <v>6127</v>
      </c>
      <c r="F18" s="74" t="s">
        <v>6367</v>
      </c>
      <c r="G18" s="74" t="s">
        <v>6368</v>
      </c>
      <c r="H18" s="74" t="s">
        <v>6369</v>
      </c>
      <c r="I18" s="74" t="s">
        <v>6370</v>
      </c>
      <c r="J18" s="169"/>
    </row>
    <row r="19" spans="1:16" x14ac:dyDescent="0.15">
      <c r="A19" s="186" t="str">
        <f>IF(H10=1,"Español I",IF(H10=2,"Español II",IF(H10=3,"Español III")))</f>
        <v>Español III</v>
      </c>
      <c r="B19" s="186"/>
      <c r="C19" s="186"/>
      <c r="D19" s="186"/>
      <c r="E19" s="93">
        <f>COUNTIF(L32:L51,TRUE)/$J$19</f>
        <v>0</v>
      </c>
      <c r="F19" s="93">
        <f>COUNTIF(M32:M51,TRUE)/$J$19</f>
        <v>0</v>
      </c>
      <c r="G19" s="93">
        <f t="shared" ref="G19:I19" si="0">COUNTIF(N32:N51,TRUE)/$J$19</f>
        <v>0</v>
      </c>
      <c r="H19" s="93">
        <f t="shared" si="0"/>
        <v>0</v>
      </c>
      <c r="I19" s="93">
        <f t="shared" si="0"/>
        <v>0</v>
      </c>
      <c r="J19" s="3">
        <v>20</v>
      </c>
    </row>
    <row r="20" spans="1:16" x14ac:dyDescent="0.15">
      <c r="A20" s="186" t="str">
        <f>IF(H10=1,"Segunda Lengua: Inglés I",IF(H10=2,"Segunda Lengua: Inglés II",IF(H10=3,"Segunda Lengua: Inglés III")))</f>
        <v>Segunda Lengua: Inglés III</v>
      </c>
      <c r="B20" s="186"/>
      <c r="C20" s="186"/>
      <c r="D20" s="186"/>
      <c r="E20" s="93">
        <f>COUNTIF(L55:L64,TRUE)/$J$20</f>
        <v>0</v>
      </c>
      <c r="F20" s="93">
        <f>COUNTIF(M55:M64,TRUE)/$J$20</f>
        <v>0</v>
      </c>
      <c r="G20" s="93">
        <f t="shared" ref="G20:I20" si="1">COUNTIF(N55:N64,TRUE)/$J$20</f>
        <v>0</v>
      </c>
      <c r="H20" s="93">
        <f t="shared" si="1"/>
        <v>0</v>
      </c>
      <c r="I20" s="93">
        <f t="shared" si="1"/>
        <v>0</v>
      </c>
      <c r="J20" s="3">
        <v>10</v>
      </c>
    </row>
    <row r="21" spans="1:16" x14ac:dyDescent="0.15">
      <c r="A21" s="186" t="str">
        <f>IF(H10=1,"Matemáticas I",IF(H10=2,"Matemáticas II",IF(H10=3,"Matemáticas III")))</f>
        <v>Matemáticas III</v>
      </c>
      <c r="B21" s="186"/>
      <c r="C21" s="186"/>
      <c r="D21" s="186"/>
      <c r="E21" s="93">
        <f>COUNTIF(L68:L87,TRUE)/$J$21</f>
        <v>0</v>
      </c>
      <c r="F21" s="93">
        <f>COUNTIF(M68:M87,TRUE)/$J$21</f>
        <v>0</v>
      </c>
      <c r="G21" s="93">
        <f t="shared" ref="G21:I21" si="2">COUNTIF(N68:N87,TRUE)/$J$21</f>
        <v>0</v>
      </c>
      <c r="H21" s="93">
        <f t="shared" si="2"/>
        <v>0</v>
      </c>
      <c r="I21" s="93">
        <f t="shared" si="2"/>
        <v>0</v>
      </c>
      <c r="J21" s="3">
        <v>20</v>
      </c>
    </row>
    <row r="22" spans="1:16" x14ac:dyDescent="0.15">
      <c r="A22" s="186" t="str">
        <f>IF(H10=1,"Ciencias I (Énfasis en Biología)",IF(H10=2,"Ciencias II (Énfasis en Física)",IF(H10=3,"Ciencias III (Énfasis en Química)")))</f>
        <v>Ciencias III (Énfasis en Química)</v>
      </c>
      <c r="B22" s="186"/>
      <c r="C22" s="186"/>
      <c r="D22" s="186"/>
      <c r="E22" s="93">
        <f>COUNTIF(L91:L110,TRUE)/$J$22</f>
        <v>0</v>
      </c>
      <c r="F22" s="93">
        <f>COUNTIF(M91:M110,TRUE)/$J$22</f>
        <v>0</v>
      </c>
      <c r="G22" s="93">
        <f t="shared" ref="G22:I22" si="3">COUNTIF(N91:N110,TRUE)/$J$22</f>
        <v>0</v>
      </c>
      <c r="H22" s="93">
        <f t="shared" si="3"/>
        <v>0</v>
      </c>
      <c r="I22" s="93">
        <f t="shared" si="3"/>
        <v>0</v>
      </c>
      <c r="J22" s="3">
        <v>20</v>
      </c>
    </row>
    <row r="23" spans="1:16" x14ac:dyDescent="0.15">
      <c r="A23" s="186" t="str">
        <f>IF(H10=1,"Geografía de México y del Mundo",IF(H10=2,"Historia I",IF(H10=3,"Historia II")))</f>
        <v>Historia II</v>
      </c>
      <c r="B23" s="186"/>
      <c r="C23" s="186"/>
      <c r="D23" s="186"/>
      <c r="E23" s="119">
        <f>COUNTIF(L114:L128,TRUE)/$J$23</f>
        <v>0</v>
      </c>
      <c r="F23" s="94">
        <f>COUNTIF(M114:M128,TRUE)/$J$23</f>
        <v>0</v>
      </c>
      <c r="G23" s="94">
        <f t="shared" ref="G23:I23" si="4">COUNTIF(N114:N128,TRUE)/$J$23</f>
        <v>0</v>
      </c>
      <c r="H23" s="94">
        <f t="shared" si="4"/>
        <v>0</v>
      </c>
      <c r="I23" s="94">
        <f t="shared" si="4"/>
        <v>0</v>
      </c>
      <c r="J23" s="3">
        <f>IF(H10=1,15,IF(H10=2,10,IF(H10=3,10)))</f>
        <v>10</v>
      </c>
    </row>
    <row r="24" spans="1:16" ht="10.5" customHeight="1" x14ac:dyDescent="0.15">
      <c r="A24" s="72"/>
      <c r="B24" s="72"/>
      <c r="D24" s="2"/>
      <c r="E24" s="2"/>
      <c r="F24" s="10"/>
      <c r="G24" s="69"/>
      <c r="H24" s="2"/>
      <c r="I24" s="71"/>
    </row>
    <row r="25" spans="1:16" x14ac:dyDescent="0.15">
      <c r="A25" s="72"/>
      <c r="B25" s="72"/>
      <c r="D25" s="74" t="s">
        <v>6372</v>
      </c>
      <c r="E25" s="79"/>
      <c r="F25" s="10"/>
      <c r="G25" s="69"/>
      <c r="H25" s="2"/>
      <c r="I25" s="71"/>
    </row>
    <row r="26" spans="1:16" x14ac:dyDescent="0.15">
      <c r="A26" s="29"/>
      <c r="B26" s="29"/>
      <c r="C26" s="83"/>
      <c r="D26" s="74" t="s">
        <v>6373</v>
      </c>
      <c r="E26" s="81"/>
      <c r="F26" s="10"/>
      <c r="G26" s="69"/>
      <c r="H26" s="2"/>
      <c r="I26" s="71"/>
    </row>
    <row r="27" spans="1:16" x14ac:dyDescent="0.15">
      <c r="A27" s="29"/>
      <c r="B27" s="29"/>
      <c r="C27" s="83"/>
      <c r="D27" s="74" t="s">
        <v>6374</v>
      </c>
      <c r="E27" s="80"/>
      <c r="F27" s="2"/>
      <c r="G27" s="2"/>
      <c r="H27" s="2"/>
      <c r="I27" s="71"/>
    </row>
    <row r="28" spans="1:16" x14ac:dyDescent="0.15">
      <c r="A28" s="84"/>
      <c r="B28" s="84"/>
      <c r="C28" s="83"/>
      <c r="D28" s="74" t="s">
        <v>6375</v>
      </c>
      <c r="E28" s="82"/>
      <c r="F28" s="2"/>
      <c r="G28" s="2"/>
      <c r="H28" s="2"/>
      <c r="I28" s="71"/>
    </row>
    <row r="29" spans="1:16" x14ac:dyDescent="0.15">
      <c r="A29" s="84"/>
      <c r="B29" s="84"/>
      <c r="C29" s="83"/>
      <c r="D29" s="2"/>
      <c r="E29" s="2"/>
      <c r="F29" s="2"/>
      <c r="G29" s="2"/>
      <c r="H29" s="2"/>
      <c r="I29" s="71"/>
    </row>
    <row r="30" spans="1:16" s="1" customFormat="1" ht="10.5" customHeight="1" x14ac:dyDescent="0.15">
      <c r="A30" s="178" t="str">
        <f>IF(H10=1,"Español I",IF(H10=2,"Español II",IF(H10=3,"Español III")))</f>
        <v>Español III</v>
      </c>
      <c r="B30" s="179"/>
      <c r="C30" s="179"/>
      <c r="D30" s="179"/>
      <c r="E30" s="179"/>
      <c r="F30" s="179"/>
      <c r="G30" s="179"/>
      <c r="H30" s="179"/>
      <c r="I30" s="179"/>
      <c r="J30" s="180"/>
    </row>
    <row r="31" spans="1:16" s="1" customFormat="1" ht="21" x14ac:dyDescent="0.15">
      <c r="A31" s="77" t="s">
        <v>6125</v>
      </c>
      <c r="B31" s="174" t="s">
        <v>6123</v>
      </c>
      <c r="C31" s="175"/>
      <c r="D31" s="169" t="s">
        <v>6365</v>
      </c>
      <c r="E31" s="169"/>
      <c r="F31" s="169"/>
      <c r="G31" s="169" t="s">
        <v>6366</v>
      </c>
      <c r="H31" s="169"/>
      <c r="I31" s="169"/>
      <c r="J31" s="85" t="s">
        <v>6377</v>
      </c>
      <c r="K31" s="1" t="s">
        <v>3744</v>
      </c>
      <c r="L31" s="1" t="s">
        <v>6122</v>
      </c>
      <c r="M31" s="1" t="s">
        <v>6384</v>
      </c>
      <c r="N31" s="1" t="s">
        <v>6385</v>
      </c>
      <c r="O31" s="1" t="s">
        <v>6386</v>
      </c>
      <c r="P31" s="1" t="s">
        <v>6387</v>
      </c>
    </row>
    <row r="32" spans="1:16" s="1" customFormat="1" ht="24.95" customHeight="1" x14ac:dyDescent="0.15">
      <c r="A32" s="30">
        <v>1</v>
      </c>
      <c r="B32" s="105" t="e">
        <f>IF(K32&lt;&gt;C32,-1,1)</f>
        <v>#N/A</v>
      </c>
      <c r="C32" s="100" t="e">
        <f>VLOOKUP(CONCATENATE(H13,H15,I10,H10,G4,H4,I4),Captura!D:AE,9,FALSE)</f>
        <v>#N/A</v>
      </c>
      <c r="D32" s="181" t="str">
        <f>IF(VLOOKUP(CONCATENATE($H$10,$H$15,$A32),Español!A:H,4,FALSE)=0,D31,VLOOKUP(CONCATENATE($H$10,$H$15,$A32),Español!A:H,4,FALSE))</f>
        <v>Identifica la diferencia  entre los argumentos basados en datos y los basados en opiniones personales.</v>
      </c>
      <c r="E32" s="182"/>
      <c r="F32" s="183"/>
      <c r="G32" s="181" t="str">
        <f>IF(VLOOKUP(CONCATENATE($H$10,$H$15,$A32),Español!A:H,5,FALSE)=0,G31,VLOOKUP(CONCATENATE($H$10,$H$15,$A32),Español!A:H,5,FALSE))</f>
        <v>Características del panel de discusión. Diferencia entre la información basada en datos y hechos. Formas de validar los argumentos.</v>
      </c>
      <c r="H32" s="182"/>
      <c r="I32" s="183"/>
      <c r="J32" s="100" t="str">
        <f>VLOOKUP(CONCATENATE($H$10,$H$15,$A32),Español!A:H,8,FALSE)</f>
        <v>Conceptual</v>
      </c>
      <c r="K32" s="1" t="str">
        <f>VLOOKUP(CONCATENATE($H$10,$H$15,$A32),Español!A:H,7,FALSE)</f>
        <v>D</v>
      </c>
      <c r="L32" s="1" t="e">
        <f>EXACT(VLOOKUP(CONCATENATE($H$10,"I",$A32),Español!$A:$H,7,FALSE),VLOOKUP(CONCATENATE($H$13,"I",$I$10,$H$10,$G$4,$H$4,$I$4),Captura!$D:$AE,9,FALSE))</f>
        <v>#N/A</v>
      </c>
      <c r="M32" s="1" t="e">
        <f>EXACT(VLOOKUP(CONCATENATE($H$10,"II",$A32),Español!$A:$H,7,FALSE),VLOOKUP(CONCATENATE($H$13,"II",$I$10,$H$10,$G$4,$H$4,$I$4),Captura!$D:$AE,9,FALSE))</f>
        <v>#N/A</v>
      </c>
      <c r="N32" s="1" t="e">
        <f>EXACT(VLOOKUP(CONCATENATE($H$10,"III",$A32),Español!$A:$H,7,FALSE),VLOOKUP(CONCATENATE($H$13,"III",$I$10,$H$10,$G$4,$H$4,$I$4),Captura!$D:$AE,9,FALSE))</f>
        <v>#N/A</v>
      </c>
      <c r="O32" s="1" t="e">
        <f>EXACT(VLOOKUP(CONCATENATE($H$10,"IV",$A32),Español!$A:$H,7,FALSE),VLOOKUP(CONCATENATE($H$13,"IV",$I$10,$H$10,$G$4,$H$4,$I$4),Captura!$D:$AE,9,FALSE))</f>
        <v>#N/A</v>
      </c>
      <c r="P32" s="1" t="e">
        <f>EXACT(VLOOKUP(CONCATENATE($H$10,"V",$A32),Español!$A:$H,7,FALSE),VLOOKUP(CONCATENATE($H$13,"V",$I$10,$H$10,$G$4,$H$4,$I$4),Captura!$D:$AE,9,FALSE))</f>
        <v>#N/A</v>
      </c>
    </row>
    <row r="33" spans="1:16" s="1" customFormat="1" ht="24.95" customHeight="1" x14ac:dyDescent="0.15">
      <c r="A33" s="30">
        <v>2</v>
      </c>
      <c r="B33" s="105" t="e">
        <f t="shared" ref="B33:B51" si="5">IF(K33&lt;&gt;C33,-1,1)</f>
        <v>#N/A</v>
      </c>
      <c r="C33" s="100" t="e">
        <f>VLOOKUP(CONCATENATE(H13,H15,I10,H10,G4,H4,I4),Captura!D:AE,10,FALSE)</f>
        <v>#N/A</v>
      </c>
      <c r="D33" s="181" t="str">
        <f>IF(VLOOKUP(CONCATENATE($H$10,$H$15,$A33),Español!A:H,4,FALSE)=0,D32,VLOOKUP(CONCATENATE($H$10,$H$15,$A33),Español!A:H,4,FALSE))</f>
        <v>Identifica la diferencia  entre los argumentos basados en datos y los basados en opiniones personales.</v>
      </c>
      <c r="E33" s="182"/>
      <c r="F33" s="183"/>
      <c r="G33" s="181" t="str">
        <f>IF(VLOOKUP(CONCATENATE($H$10,$H$15,$A33),Español!A:H,5,FALSE)=0,G32,VLOOKUP(CONCATENATE($H$10,$H$15,$A33),Español!A:H,5,FALSE))</f>
        <v>Características del panel de discusión. Diferencia entre la información basada en datos y hechos. Formas de validar los argumentos.</v>
      </c>
      <c r="H33" s="182"/>
      <c r="I33" s="183"/>
      <c r="J33" s="100" t="str">
        <f>VLOOKUP(CONCATENATE($H$10,$H$15,$A33),Español!A:H,8,FALSE)</f>
        <v>Conceptual</v>
      </c>
      <c r="K33" s="1" t="str">
        <f>VLOOKUP(CONCATENATE($H$10,$H$15,$A33),Español!A:H,7,FALSE)</f>
        <v>C</v>
      </c>
      <c r="L33" s="1" t="e">
        <f>EXACT(VLOOKUP(CONCATENATE($H$10,"I",$A33),Español!$A:$H,7,FALSE),VLOOKUP(CONCATENATE($H$13,"I",$I$10,$H$10,$G$4,$H$4,$I$4),Captura!$D:$AE,10,FALSE))</f>
        <v>#N/A</v>
      </c>
      <c r="M33" s="1" t="e">
        <f>EXACT(VLOOKUP(CONCATENATE($H$10,"II",$A33),Español!$A:$H,7,FALSE),VLOOKUP(CONCATENATE($H$13,"II",$I$10,$H$10,$G$4,$H$4,$I$4),Captura!$D:$AE,10,FALSE))</f>
        <v>#N/A</v>
      </c>
      <c r="N33" s="1" t="e">
        <f>EXACT(VLOOKUP(CONCATENATE($H$10,"III",$A33),Español!$A:$H,7,FALSE),VLOOKUP(CONCATENATE($H$13,"III",$I$10,$H$10,$G$4,$H$4,$I$4),Captura!$D:$AE,10,FALSE))</f>
        <v>#N/A</v>
      </c>
      <c r="O33" s="1" t="e">
        <f>EXACT(VLOOKUP(CONCATENATE($H$10,"IV",$A33),Español!$A:$H,7,FALSE),VLOOKUP(CONCATENATE($H$13,"IV",$I$10,$H$10,$G$4,$H$4,$I$4),Captura!$D:$AE,10,FALSE))</f>
        <v>#N/A</v>
      </c>
      <c r="P33" s="1" t="e">
        <f>EXACT(VLOOKUP(CONCATENATE($H$10,"V",$A33),Español!$A:$H,7,FALSE),VLOOKUP(CONCATENATE($H$13,"V",$I$10,$H$10,$G$4,$H$4,$I$4),Captura!$D:$AE,10,FALSE))</f>
        <v>#N/A</v>
      </c>
    </row>
    <row r="34" spans="1:16" s="1" customFormat="1" ht="24.95" customHeight="1" x14ac:dyDescent="0.15">
      <c r="A34" s="30">
        <v>3</v>
      </c>
      <c r="B34" s="105" t="e">
        <f t="shared" si="5"/>
        <v>#N/A</v>
      </c>
      <c r="C34" s="100" t="e">
        <f>VLOOKUP(CONCATENATE(H13,H15,I10,H10,G4,H4,I4),Captura!D:AE,11,FALSE)</f>
        <v>#N/A</v>
      </c>
      <c r="D34" s="181" t="str">
        <f>IF(VLOOKUP(CONCATENATE($H$10,$H$15,$A34),Español!A:H,4,FALSE)=0,D33,VLOOKUP(CONCATENATE($H$10,$H$15,$A34),Español!A:H,4,FALSE))</f>
        <v>Identifica la diferencia  entre los argumentos basados en datos y los basados en opiniones personales.</v>
      </c>
      <c r="E34" s="182"/>
      <c r="F34" s="183"/>
      <c r="G34" s="181" t="str">
        <f>IF(VLOOKUP(CONCATENATE($H$10,$H$15,$A34),Español!A:H,5,FALSE)=0,G33,VLOOKUP(CONCATENATE($H$10,$H$15,$A34),Español!A:H,5,FALSE))</f>
        <v>Características del panel de discusión. Diferencia entre la información basada en datos y hechos. Formas de validar los argumentos.</v>
      </c>
      <c r="H34" s="182"/>
      <c r="I34" s="183"/>
      <c r="J34" s="100" t="str">
        <f>VLOOKUP(CONCATENATE($H$10,$H$15,$A34),Español!A:H,8,FALSE)</f>
        <v>Conceptual</v>
      </c>
      <c r="K34" s="1" t="str">
        <f>VLOOKUP(CONCATENATE($H$10,$H$15,$A34),Español!A:H,7,FALSE)</f>
        <v>C</v>
      </c>
      <c r="L34" s="1" t="e">
        <f>EXACT(VLOOKUP(CONCATENATE($H$10,"I",$A34),Español!$A:$H,7,FALSE),VLOOKUP(CONCATENATE($H$13,"I",$I$10,$H$10,$G$4,$H$4,$I$4),Captura!$D:$AE,11,FALSE))</f>
        <v>#N/A</v>
      </c>
      <c r="M34" s="1" t="e">
        <f>EXACT(VLOOKUP(CONCATENATE($H$10,"II",$A34),Español!$A:$H,7,FALSE),VLOOKUP(CONCATENATE($H$13,"II",$I$10,$H$10,$G$4,$H$4,$I$4),Captura!$D:$AE,11,FALSE))</f>
        <v>#N/A</v>
      </c>
      <c r="N34" s="1" t="e">
        <f>EXACT(VLOOKUP(CONCATENATE($H$10,"III",$A34),Español!$A:$H,7,FALSE),VLOOKUP(CONCATENATE($H$13,"III",$I$10,$H$10,$G$4,$H$4,$I$4),Captura!$D:$AE,11,FALSE))</f>
        <v>#N/A</v>
      </c>
      <c r="O34" s="1" t="e">
        <f>EXACT(VLOOKUP(CONCATENATE($H$10,"IV",$A34),Español!$A:$H,7,FALSE),VLOOKUP(CONCATENATE($H$13,"IV",$I$10,$H$10,$G$4,$H$4,$I$4),Captura!$D:$AE,11,FALSE))</f>
        <v>#N/A</v>
      </c>
      <c r="P34" s="1" t="e">
        <f>EXACT(VLOOKUP(CONCATENATE($H$10,"V",$A34),Español!$A:$H,7,FALSE),VLOOKUP(CONCATENATE($H$13,"V",$I$10,$H$10,$G$4,$H$4,$I$4),Captura!$D:$AE,11,FALSE))</f>
        <v>#N/A</v>
      </c>
    </row>
    <row r="35" spans="1:16" s="1" customFormat="1" ht="24.95" customHeight="1" x14ac:dyDescent="0.15">
      <c r="A35" s="30">
        <v>4</v>
      </c>
      <c r="B35" s="105" t="e">
        <f t="shared" si="5"/>
        <v>#N/A</v>
      </c>
      <c r="C35" s="100" t="e">
        <f>VLOOKUP(CONCATENATE(H13,H15,I10,H10,G4,H4,I4),Captura!D:AE,12,FALSE)</f>
        <v>#N/A</v>
      </c>
      <c r="D35" s="181" t="str">
        <f>IF(VLOOKUP(CONCATENATE($H$10,$H$15,$A35),Español!A:H,4,FALSE)=0,D34,VLOOKUP(CONCATENATE($H$10,$H$15,$A35),Español!A:H,4,FALSE))</f>
        <v>Expresa de manera clara sus argumentos y los sustenta en información  analizada, al debatir sobre un tema.</v>
      </c>
      <c r="E35" s="182"/>
      <c r="F35" s="183"/>
      <c r="G35" s="181" t="str">
        <f>IF(VLOOKUP(CONCATENATE($H$10,$H$15,$A35),Español!A:H,5,FALSE)=0,G34,VLOOKUP(CONCATENATE($H$10,$H$15,$A35),Español!A:H,5,FALSE))</f>
        <v>Fichas de trabajo con información sobre el tema  por desarrollar (datos, ejemplos, citas, entre otros).</v>
      </c>
      <c r="H35" s="182"/>
      <c r="I35" s="183"/>
      <c r="J35" s="100" t="str">
        <f>VLOOKUP(CONCATENATE($H$10,$H$15,$A35),Español!A:H,8,FALSE)</f>
        <v>Conceptual</v>
      </c>
      <c r="K35" s="1" t="str">
        <f>VLOOKUP(CONCATENATE($H$10,$H$15,$A35),Español!A:H,7,FALSE)</f>
        <v>B</v>
      </c>
      <c r="L35" s="1" t="e">
        <f>EXACT(VLOOKUP(CONCATENATE($H$10,"I",$A35),Español!$A:$H,7,FALSE),VLOOKUP(CONCATENATE($H$13,"I",$I$10,$H$10,$G$4,$H$4,$I$4),Captura!$D:$AE,12,FALSE))</f>
        <v>#N/A</v>
      </c>
      <c r="M35" s="1" t="e">
        <f>EXACT(VLOOKUP(CONCATENATE($H$10,"II",$A35),Español!$A:$H,7,FALSE),VLOOKUP(CONCATENATE($H$13,"II",$I$10,$H$10,$G$4,$H$4,$I$4),Captura!$D:$AE,12,FALSE))</f>
        <v>#N/A</v>
      </c>
      <c r="N35" s="1" t="e">
        <f>EXACT(VLOOKUP(CONCATENATE($H$10,"III",$A35),Español!$A:$H,7,FALSE),VLOOKUP(CONCATENATE($H$13,"III",$I$10,$H$10,$G$4,$H$4,$I$4),Captura!$D:$AE,12,FALSE))</f>
        <v>#N/A</v>
      </c>
      <c r="O35" s="1" t="e">
        <f>EXACT(VLOOKUP(CONCATENATE($H$10,"IV",$A35),Español!$A:$H,7,FALSE),VLOOKUP(CONCATENATE($H$13,"IV",$I$10,$H$10,$G$4,$H$4,$I$4),Captura!$D:$AE,12,FALSE))</f>
        <v>#N/A</v>
      </c>
      <c r="P35" s="1" t="e">
        <f>EXACT(VLOOKUP(CONCATENATE($H$10,"V",$A35),Español!$A:$H,7,FALSE),VLOOKUP(CONCATENATE($H$13,"V",$I$10,$H$10,$G$4,$H$4,$I$4),Captura!$D:$AE,12,FALSE))</f>
        <v>#N/A</v>
      </c>
    </row>
    <row r="36" spans="1:16" s="1" customFormat="1" ht="24.95" customHeight="1" x14ac:dyDescent="0.15">
      <c r="A36" s="30">
        <v>5</v>
      </c>
      <c r="B36" s="105" t="e">
        <f t="shared" si="5"/>
        <v>#N/A</v>
      </c>
      <c r="C36" s="100" t="e">
        <f>VLOOKUP(CONCATENATE(H13,H15,I10,H10,G4,H4,I4),Captura!D:AE,13,FALSE)</f>
        <v>#N/A</v>
      </c>
      <c r="D36" s="181" t="str">
        <f>IF(VLOOKUP(CONCATENATE($H$10,$H$15,$A36),Español!A:H,4,FALSE)=0,D35,VLOOKUP(CONCATENATE($H$10,$H$15,$A36),Español!A:H,4,FALSE))</f>
        <v>Utiliza recurso discursivos para persuadir  y defender   su posición en un panel  de discusión.</v>
      </c>
      <c r="E36" s="182"/>
      <c r="F36" s="183"/>
      <c r="G36" s="181" t="str">
        <f>IF(VLOOKUP(CONCATENATE($H$10,$H$15,$A36),Español!A:H,5,FALSE)=0,G35,VLOOKUP(CONCATENATE($H$10,$H$15,$A36),Español!A:H,5,FALSE))</f>
        <v>Estrategías discursivas para persuadir a la audiencia. Empleo del lenguaje formal e informal en función de la situación comunicativa. Características y función  de los textos argumentatitovs.</v>
      </c>
      <c r="H36" s="182"/>
      <c r="I36" s="183"/>
      <c r="J36" s="100" t="str">
        <f>VLOOKUP(CONCATENATE($H$10,$H$15,$A36),Español!A:H,8,FALSE)</f>
        <v>Conceptual</v>
      </c>
      <c r="K36" s="1" t="str">
        <f>VLOOKUP(CONCATENATE($H$10,$H$15,$A36),Español!A:H,7,FALSE)</f>
        <v>D</v>
      </c>
      <c r="L36" s="1" t="e">
        <f>EXACT(VLOOKUP(CONCATENATE($H$10,"I",$A36),Español!$A:$H,7,FALSE),VLOOKUP(CONCATENATE($H$13,"I",$I$10,$H$10,$G$4,$H$4,$I$4),Captura!$D:$AE,13,FALSE))</f>
        <v>#N/A</v>
      </c>
      <c r="M36" s="1" t="e">
        <f>EXACT(VLOOKUP(CONCATENATE($H$10,"II",$A36),Español!$A:$H,7,FALSE),VLOOKUP(CONCATENATE($H$13,"II",$I$10,$H$10,$G$4,$H$4,$I$4),Captura!$D:$AE,13,FALSE))</f>
        <v>#N/A</v>
      </c>
      <c r="N36" s="1" t="e">
        <f>EXACT(VLOOKUP(CONCATENATE($H$10,"III",$A36),Español!$A:$H,7,FALSE),VLOOKUP(CONCATENATE($H$13,"III",$I$10,$H$10,$G$4,$H$4,$I$4),Captura!$D:$AE,13,FALSE))</f>
        <v>#N/A</v>
      </c>
      <c r="O36" s="1" t="e">
        <f>EXACT(VLOOKUP(CONCATENATE($H$10,"IV",$A36),Español!$A:$H,7,FALSE),VLOOKUP(CONCATENATE($H$13,"IV",$I$10,$H$10,$G$4,$H$4,$I$4),Captura!$D:$AE,13,FALSE))</f>
        <v>#N/A</v>
      </c>
      <c r="P36" s="1" t="e">
        <f>EXACT(VLOOKUP(CONCATENATE($H$10,"V",$A36),Español!$A:$H,7,FALSE),VLOOKUP(CONCATENATE($H$13,"V",$I$10,$H$10,$G$4,$H$4,$I$4),Captura!$D:$AE,13,FALSE))</f>
        <v>#N/A</v>
      </c>
    </row>
    <row r="37" spans="1:16" s="1" customFormat="1" ht="24.95" customHeight="1" x14ac:dyDescent="0.15">
      <c r="A37" s="30">
        <v>6</v>
      </c>
      <c r="B37" s="105" t="e">
        <f t="shared" si="5"/>
        <v>#N/A</v>
      </c>
      <c r="C37" s="100" t="e">
        <f>VLOOKUP(CONCATENATE(H13,H15,I10,H10,G4,H4,I4),Captura!D:AE,14,FALSE)</f>
        <v>#N/A</v>
      </c>
      <c r="D37" s="181" t="str">
        <f>IF(VLOOKUP(CONCATENATE($H$10,$H$15,$A37),Español!A:H,4,FALSE)=0,D36,VLOOKUP(CONCATENATE($H$10,$H$15,$A37),Español!A:H,4,FALSE))</f>
        <v>Utiliza recurso discursivos para persuadir  y defender   su posición en un panel  de discusión.</v>
      </c>
      <c r="E37" s="182"/>
      <c r="F37" s="183"/>
      <c r="G37" s="181" t="str">
        <f>IF(VLOOKUP(CONCATENATE($H$10,$H$15,$A37),Español!A:H,5,FALSE)=0,G36,VLOOKUP(CONCATENATE($H$10,$H$15,$A37),Español!A:H,5,FALSE))</f>
        <v>Estrategías discursivas para persuadir a la audiencia. Empleo del lenguaje formal e informal en función de la situación comunicativa. Características y función  de los textos argumentatitovs.</v>
      </c>
      <c r="H37" s="182"/>
      <c r="I37" s="183"/>
      <c r="J37" s="100" t="str">
        <f>VLOOKUP(CONCATENATE($H$10,$H$15,$A37),Español!A:H,8,FALSE)</f>
        <v>Conceptual</v>
      </c>
      <c r="K37" s="1" t="str">
        <f>VLOOKUP(CONCATENATE($H$10,$H$15,$A37),Español!A:H,7,FALSE)</f>
        <v>B</v>
      </c>
      <c r="L37" s="1" t="e">
        <f>EXACT(VLOOKUP(CONCATENATE($H$10,"I",$A37),Español!$A:$H,7,FALSE),VLOOKUP(CONCATENATE($H$13,"I",$I$10,$H$10,$G$4,$H$4,$I$4),Captura!$D:$AE,14,FALSE))</f>
        <v>#N/A</v>
      </c>
      <c r="M37" s="1" t="e">
        <f>EXACT(VLOOKUP(CONCATENATE($H$10,"II",$A37),Español!$A:$H,7,FALSE),VLOOKUP(CONCATENATE($H$13,"II",$I$10,$H$10,$G$4,$H$4,$I$4),Captura!$D:$AE,14,FALSE))</f>
        <v>#N/A</v>
      </c>
      <c r="N37" s="1" t="e">
        <f>EXACT(VLOOKUP(CONCATENATE($H$10,"III",$A37),Español!$A:$H,7,FALSE),VLOOKUP(CONCATENATE($H$13,"III",$I$10,$H$10,$G$4,$H$4,$I$4),Captura!$D:$AE,14,FALSE))</f>
        <v>#N/A</v>
      </c>
      <c r="O37" s="1" t="e">
        <f>EXACT(VLOOKUP(CONCATENATE($H$10,"IV",$A37),Español!$A:$H,7,FALSE),VLOOKUP(CONCATENATE($H$13,"IV",$I$10,$H$10,$G$4,$H$4,$I$4),Captura!$D:$AE,14,FALSE))</f>
        <v>#N/A</v>
      </c>
      <c r="P37" s="1" t="e">
        <f>EXACT(VLOOKUP(CONCATENATE($H$10,"V",$A37),Español!$A:$H,7,FALSE),VLOOKUP(CONCATENATE($H$13,"V",$I$10,$H$10,$G$4,$H$4,$I$4),Captura!$D:$AE,14,FALSE))</f>
        <v>#N/A</v>
      </c>
    </row>
    <row r="38" spans="1:16" s="1" customFormat="1" ht="24.95" customHeight="1" x14ac:dyDescent="0.15">
      <c r="A38" s="30">
        <v>7</v>
      </c>
      <c r="B38" s="105" t="e">
        <f t="shared" si="5"/>
        <v>#N/A</v>
      </c>
      <c r="C38" s="100" t="e">
        <f>VLOOKUP(CONCATENATE(H13,H15,I10,H10,G4,H4,I4),Captura!D:AE,15,FALSE)</f>
        <v>#N/A</v>
      </c>
      <c r="D38" s="181" t="str">
        <f>IF(VLOOKUP(CONCATENATE($H$10,$H$15,$A38),Español!A:H,4,FALSE)=0,D37,VLOOKUP(CONCATENATE($H$10,$H$15,$A38),Español!A:H,4,FALSE))</f>
        <v>Utiliza recurso discursivos para persuadir  y defender   su posición en un panel  de discusión.</v>
      </c>
      <c r="E38" s="182"/>
      <c r="F38" s="183"/>
      <c r="G38" s="181" t="str">
        <f>IF(VLOOKUP(CONCATENATE($H$10,$H$15,$A38),Español!A:H,5,FALSE)=0,G37,VLOOKUP(CONCATENATE($H$10,$H$15,$A38),Español!A:H,5,FALSE))</f>
        <v>Estrategías discursivas para persuadir a la audiencia. Empleo del lenguaje formal e informal en función de la situación comunicativa. Características y función  de los textos argumentatitovs.</v>
      </c>
      <c r="H38" s="182"/>
      <c r="I38" s="183"/>
      <c r="J38" s="100" t="str">
        <f>VLOOKUP(CONCATENATE($H$10,$H$15,$A38),Español!A:H,8,FALSE)</f>
        <v>Conceptual</v>
      </c>
      <c r="K38" s="1" t="str">
        <f>VLOOKUP(CONCATENATE($H$10,$H$15,$A38),Español!A:H,7,FALSE)</f>
        <v>B</v>
      </c>
      <c r="L38" s="1" t="e">
        <f>EXACT(VLOOKUP(CONCATENATE($H$10,"I",$A38),Español!$A:$H,7,FALSE),VLOOKUP(CONCATENATE($H$13,"I",$I$10,$H$10,$G$4,$H$4,$I$4),Captura!$D:$AE,15,FALSE))</f>
        <v>#N/A</v>
      </c>
      <c r="M38" s="1" t="e">
        <f>EXACT(VLOOKUP(CONCATENATE($H$10,"II",$A38),Español!$A:$H,7,FALSE),VLOOKUP(CONCATENATE($H$13,"II",$I$10,$H$10,$G$4,$H$4,$I$4),Captura!$D:$AE,15,FALSE))</f>
        <v>#N/A</v>
      </c>
      <c r="N38" s="1" t="e">
        <f>EXACT(VLOOKUP(CONCATENATE($H$10,"III",$A38),Español!$A:$H,7,FALSE),VLOOKUP(CONCATENATE($H$13,"III",$I$10,$H$10,$G$4,$H$4,$I$4),Captura!$D:$AE,15,FALSE))</f>
        <v>#N/A</v>
      </c>
      <c r="O38" s="1" t="e">
        <f>EXACT(VLOOKUP(CONCATENATE($H$10,"IV",$A38),Español!$A:$H,7,FALSE),VLOOKUP(CONCATENATE($H$13,"IV",$I$10,$H$10,$G$4,$H$4,$I$4),Captura!$D:$AE,15,FALSE))</f>
        <v>#N/A</v>
      </c>
      <c r="P38" s="1" t="e">
        <f>EXACT(VLOOKUP(CONCATENATE($H$10,"V",$A38),Español!$A:$H,7,FALSE),VLOOKUP(CONCATENATE($H$13,"V",$I$10,$H$10,$G$4,$H$4,$I$4),Captura!$D:$AE,15,FALSE))</f>
        <v>#N/A</v>
      </c>
    </row>
    <row r="39" spans="1:16" s="1" customFormat="1" ht="24.95" customHeight="1" x14ac:dyDescent="0.15">
      <c r="A39" s="30">
        <v>8</v>
      </c>
      <c r="B39" s="105" t="e">
        <f t="shared" si="5"/>
        <v>#N/A</v>
      </c>
      <c r="C39" s="78" t="e">
        <f>VLOOKUP(CONCATENATE(H13,H15,I10,H10,G4,H4,I4),Captura!D:AE,16,FALSE)</f>
        <v>#N/A</v>
      </c>
      <c r="D39" s="181" t="str">
        <f>IF(VLOOKUP(CONCATENATE($H$10,$H$15,$A39),Español!A:H,4,FALSE)=0,D38,VLOOKUP(CONCATENATE($H$10,$H$15,$A39),Español!A:H,4,FALSE))</f>
        <v>Reconoce y respeta los diferentes puntos de vista  y opiniones sobre un tema  y los turnos de particfipación  al llevar a cabo un panel de discusión.</v>
      </c>
      <c r="E39" s="182"/>
      <c r="F39" s="183"/>
      <c r="G39" s="181" t="str">
        <f>IF(VLOOKUP(CONCATENATE($H$10,$H$15,$A39),Español!A:H,5,FALSE)=0,G38,VLOOKUP(CONCATENATE($H$10,$H$15,$A39),Español!A:H,5,FALSE))</f>
        <v>Características del panel de discusión.</v>
      </c>
      <c r="H39" s="182"/>
      <c r="I39" s="183"/>
      <c r="J39" s="78" t="str">
        <f>VLOOKUP(CONCATENATE($H$10,$H$15,$A39),Español!A:H,8,FALSE)</f>
        <v>Aplicación de procedimientos</v>
      </c>
      <c r="K39" s="1" t="str">
        <f>VLOOKUP(CONCATENATE($H$10,$H$15,$A39),Español!A:H,7,FALSE)</f>
        <v>D</v>
      </c>
      <c r="L39" s="1" t="e">
        <f>EXACT(VLOOKUP(CONCATENATE($H$10,"I",$A39),Español!$A:$H,7,FALSE),VLOOKUP(CONCATENATE($H$13,"I",$I$10,$H$10,$G$4,$H$4,$I$4),Captura!$D:$AE,16,FALSE))</f>
        <v>#N/A</v>
      </c>
      <c r="M39" s="1" t="e">
        <f>EXACT(VLOOKUP(CONCATENATE($H$10,"II",$A39),Español!$A:$H,7,FALSE),VLOOKUP(CONCATENATE($H$13,"II",$I$10,$H$10,$G$4,$H$4,$I$4),Captura!$D:$AE,16,FALSE))</f>
        <v>#N/A</v>
      </c>
      <c r="N39" s="1" t="e">
        <f>EXACT(VLOOKUP(CONCATENATE($H$10,"III",$A39),Español!$A:$H,7,FALSE),VLOOKUP(CONCATENATE($H$13,"III",$I$10,$H$10,$G$4,$H$4,$I$4),Captura!$D:$AE,16,FALSE))</f>
        <v>#N/A</v>
      </c>
      <c r="O39" s="1" t="e">
        <f>EXACT(VLOOKUP(CONCATENATE($H$10,"IV",$A39),Español!$A:$H,7,FALSE),VLOOKUP(CONCATENATE($H$13,"IV",$I$10,$H$10,$G$4,$H$4,$I$4),Captura!$D:$AE,16,FALSE))</f>
        <v>#N/A</v>
      </c>
      <c r="P39" s="1" t="e">
        <f>EXACT(VLOOKUP(CONCATENATE($H$10,"V",$A39),Español!$A:$H,7,FALSE),VLOOKUP(CONCATENATE($H$13,"V",$I$10,$H$10,$G$4,$H$4,$I$4),Captura!$D:$AE,16,FALSE))</f>
        <v>#N/A</v>
      </c>
    </row>
    <row r="40" spans="1:16" s="1" customFormat="1" ht="24.95" customHeight="1" x14ac:dyDescent="0.15">
      <c r="A40" s="30">
        <v>9</v>
      </c>
      <c r="B40" s="105" t="e">
        <f t="shared" si="5"/>
        <v>#N/A</v>
      </c>
      <c r="C40" s="78" t="e">
        <f>VLOOKUP(CONCATENATE(H13,H15,I10,H10,G4,H4,I4),Captura!D:AE,17,FALSE)</f>
        <v>#N/A</v>
      </c>
      <c r="D40" s="181" t="str">
        <f>IF(VLOOKUP(CONCATENATE($H$10,$H$15,$A40),Español!A:H,4,FALSE)=0,D39,VLOOKUP(CONCATENATE($H$10,$H$15,$A40),Español!A:H,4,FALSE))</f>
        <v>Analiza e identifica la información  presentada en textos introductorios: prólogos, reseñas, dedicatorias y presentaciones.</v>
      </c>
      <c r="E40" s="182"/>
      <c r="F40" s="183"/>
      <c r="G40" s="181" t="str">
        <f>IF(VLOOKUP(CONCATENATE($H$10,$H$15,$A40),Español!A:H,5,FALSE)=0,G39,VLOOKUP(CONCATENATE($H$10,$H$15,$A40),Español!A:H,5,FALSE))</f>
        <v>Diferencias y semejanzas entre textos introductorios: introducción, presentación, dedicatoria, advertencia y prólogo.</v>
      </c>
      <c r="H40" s="182"/>
      <c r="I40" s="183"/>
      <c r="J40" s="78" t="str">
        <f>VLOOKUP(CONCATENATE($H$10,$H$15,$A40),Español!A:H,8,FALSE)</f>
        <v>Aplicación de procedimientos</v>
      </c>
      <c r="K40" s="1" t="str">
        <f>VLOOKUP(CONCATENATE($H$10,$H$15,$A40),Español!A:H,7,FALSE)</f>
        <v>D</v>
      </c>
      <c r="L40" s="1" t="e">
        <f>EXACT(VLOOKUP(CONCATENATE($H$10,"I",$A40),Español!$A:$H,7,FALSE),VLOOKUP(CONCATENATE($H$13,"I",$I$10,$H$10,$G$4,$H$4,$I$4),Captura!$D:$AE,17,FALSE))</f>
        <v>#N/A</v>
      </c>
      <c r="M40" s="1" t="e">
        <f>EXACT(VLOOKUP(CONCATENATE($H$10,"II",$A40),Español!$A:$H,7,FALSE),VLOOKUP(CONCATENATE($H$13,"II",$I$10,$H$10,$G$4,$H$4,$I$4),Captura!$D:$AE,17,FALSE))</f>
        <v>#N/A</v>
      </c>
      <c r="N40" s="1" t="e">
        <f>EXACT(VLOOKUP(CONCATENATE($H$10,"III",$A40),Español!$A:$H,7,FALSE),VLOOKUP(CONCATENATE($H$13,"III",$I$10,$H$10,$G$4,$H$4,$I$4),Captura!$D:$AE,17,FALSE))</f>
        <v>#N/A</v>
      </c>
      <c r="O40" s="1" t="e">
        <f>EXACT(VLOOKUP(CONCATENATE($H$10,"IV",$A40),Español!$A:$H,7,FALSE),VLOOKUP(CONCATENATE($H$13,"IV",$I$10,$H$10,$G$4,$H$4,$I$4),Captura!$D:$AE,17,FALSE))</f>
        <v>#N/A</v>
      </c>
      <c r="P40" s="1" t="e">
        <f>EXACT(VLOOKUP(CONCATENATE($H$10,"V",$A40),Español!$A:$H,7,FALSE),VLOOKUP(CONCATENATE($H$13,"V",$I$10,$H$10,$G$4,$H$4,$I$4),Captura!$D:$AE,17,FALSE))</f>
        <v>#N/A</v>
      </c>
    </row>
    <row r="41" spans="1:16" s="1" customFormat="1" ht="24.95" customHeight="1" x14ac:dyDescent="0.15">
      <c r="A41" s="30">
        <v>10</v>
      </c>
      <c r="B41" s="105" t="e">
        <f t="shared" si="5"/>
        <v>#N/A</v>
      </c>
      <c r="C41" s="78" t="e">
        <f>VLOOKUP(CONCATENATE(H13,H15,I10,H10,G4,H4,I4),Captura!D:AE,18,FALSE)</f>
        <v>#N/A</v>
      </c>
      <c r="D41" s="181" t="str">
        <f>IF(VLOOKUP(CONCATENATE($H$10,$H$15,$A41),Español!A:H,4,FALSE)=0,D40,VLOOKUP(CONCATENATE($H$10,$H$15,$A41),Español!A:H,4,FALSE))</f>
        <v>Analiza e identifica la información  presentada en textos introductorios: prólogos, reseñas, dedicatorias y presentaciones.</v>
      </c>
      <c r="E41" s="182"/>
      <c r="F41" s="183"/>
      <c r="G41" s="181" t="str">
        <f>IF(VLOOKUP(CONCATENATE($H$10,$H$15,$A41),Español!A:H,5,FALSE)=0,G40,VLOOKUP(CONCATENATE($H$10,$H$15,$A41),Español!A:H,5,FALSE))</f>
        <v>Diferencias y semejanzas entre textos introductorios: introducción, presentación, dedicatoria, advertencia y prólogo.</v>
      </c>
      <c r="H41" s="182"/>
      <c r="I41" s="183"/>
      <c r="J41" s="78" t="str">
        <f>VLOOKUP(CONCATENATE($H$10,$H$15,$A41),Español!A:H,8,FALSE)</f>
        <v>Aplicación de procedimientos</v>
      </c>
      <c r="K41" s="1" t="str">
        <f>VLOOKUP(CONCATENATE($H$10,$H$15,$A41),Español!A:H,7,FALSE)</f>
        <v>C</v>
      </c>
      <c r="L41" s="1" t="e">
        <f>EXACT(VLOOKUP(CONCATENATE($H$10,"I",$A41),Español!$A:$H,7,FALSE),VLOOKUP(CONCATENATE($H$13,"I",$I$10,$H$10,$G$4,$H$4,$I$4),Captura!$D:$AE,18,FALSE))</f>
        <v>#N/A</v>
      </c>
      <c r="M41" s="1" t="e">
        <f>EXACT(VLOOKUP(CONCATENATE($H$10,"II",$A41),Español!$A:$H,7,FALSE),VLOOKUP(CONCATENATE($H$13,"II",$I$10,$H$10,$G$4,$H$4,$I$4),Captura!$D:$AE,18,FALSE))</f>
        <v>#N/A</v>
      </c>
      <c r="N41" s="1" t="e">
        <f>EXACT(VLOOKUP(CONCATENATE($H$10,"III",$A41),Español!$A:$H,7,FALSE),VLOOKUP(CONCATENATE($H$13,"III",$I$10,$H$10,$G$4,$H$4,$I$4),Captura!$D:$AE,18,FALSE))</f>
        <v>#N/A</v>
      </c>
      <c r="O41" s="1" t="e">
        <f>EXACT(VLOOKUP(CONCATENATE($H$10,"IV",$A41),Español!$A:$H,7,FALSE),VLOOKUP(CONCATENATE($H$13,"IV",$I$10,$H$10,$G$4,$H$4,$I$4),Captura!$D:$AE,18,FALSE))</f>
        <v>#N/A</v>
      </c>
      <c r="P41" s="1" t="e">
        <f>EXACT(VLOOKUP(CONCATENATE($H$10,"V",$A41),Español!$A:$H,7,FALSE),VLOOKUP(CONCATENATE($H$13,"V",$I$10,$H$10,$G$4,$H$4,$I$4),Captura!$D:$AE,18,FALSE))</f>
        <v>#N/A</v>
      </c>
    </row>
    <row r="42" spans="1:16" s="1" customFormat="1" ht="24.95" customHeight="1" x14ac:dyDescent="0.15">
      <c r="A42" s="30">
        <v>11</v>
      </c>
      <c r="B42" s="105" t="e">
        <f t="shared" si="5"/>
        <v>#N/A</v>
      </c>
      <c r="C42" s="78" t="e">
        <f>VLOOKUP(CONCATENATE(H13,H15,I10,H10,G4,H4,I4),Captura!D:AE,19,FALSE)</f>
        <v>#N/A</v>
      </c>
      <c r="D42" s="181" t="str">
        <f>IF(VLOOKUP(CONCATENATE($H$10,$H$15,$A42),Español!A:H,4,FALSE)=0,D41,VLOOKUP(CONCATENATE($H$10,$H$15,$A42),Español!A:H,4,FALSE))</f>
        <v>Analiza e identifica la información  presentada en textos introductorios: prólogos, reseñas, dedicatorias y presentaciones.</v>
      </c>
      <c r="E42" s="182"/>
      <c r="F42" s="183"/>
      <c r="G42" s="181" t="str">
        <f>IF(VLOOKUP(CONCATENATE($H$10,$H$15,$A42),Español!A:H,5,FALSE)=0,G41,VLOOKUP(CONCATENATE($H$10,$H$15,$A42),Español!A:H,5,FALSE))</f>
        <v>Diferencias y semejanzas entre textos introductorios: introducción, presentación, dedicatoria, advertencia y prólogo.</v>
      </c>
      <c r="H42" s="182"/>
      <c r="I42" s="183"/>
      <c r="J42" s="78" t="str">
        <f>VLOOKUP(CONCATENATE($H$10,$H$15,$A42),Español!A:H,8,FALSE)</f>
        <v>Aplicación de procedimientos</v>
      </c>
      <c r="K42" s="1" t="str">
        <f>VLOOKUP(CONCATENATE($H$10,$H$15,$A42),Español!A:H,7,FALSE)</f>
        <v>A</v>
      </c>
      <c r="L42" s="1" t="e">
        <f>EXACT(VLOOKUP(CONCATENATE($H$10,"I",$A42),Español!$A:$H,7,FALSE),VLOOKUP(CONCATENATE($H$13,"I",$I$10,$H$10,$G$4,$H$4,$I$4),Captura!$D:$AE,19,FALSE))</f>
        <v>#N/A</v>
      </c>
      <c r="M42" s="1" t="e">
        <f>EXACT(VLOOKUP(CONCATENATE($H$10,"II",$A42),Español!$A:$H,7,FALSE),VLOOKUP(CONCATENATE($H$13,"II",$I$10,$H$10,$G$4,$H$4,$I$4),Captura!$D:$AE,19,FALSE))</f>
        <v>#N/A</v>
      </c>
      <c r="N42" s="1" t="e">
        <f>EXACT(VLOOKUP(CONCATENATE($H$10,"III",$A42),Español!$A:$H,7,FALSE),VLOOKUP(CONCATENATE($H$13,"III",$I$10,$H$10,$G$4,$H$4,$I$4),Captura!$D:$AE,19,FALSE))</f>
        <v>#N/A</v>
      </c>
      <c r="O42" s="1" t="e">
        <f>EXACT(VLOOKUP(CONCATENATE($H$10,"IV",$A42),Español!$A:$H,7,FALSE),VLOOKUP(CONCATENATE($H$13,"IV",$I$10,$H$10,$G$4,$H$4,$I$4),Captura!$D:$AE,19,FALSE))</f>
        <v>#N/A</v>
      </c>
      <c r="P42" s="1" t="e">
        <f>EXACT(VLOOKUP(CONCATENATE($H$10,"V",$A42),Español!$A:$H,7,FALSE),VLOOKUP(CONCATENATE($H$13,"V",$I$10,$H$10,$G$4,$H$4,$I$4),Captura!$D:$AE,19,FALSE))</f>
        <v>#N/A</v>
      </c>
    </row>
    <row r="43" spans="1:16" s="1" customFormat="1" ht="24.95" customHeight="1" x14ac:dyDescent="0.15">
      <c r="A43" s="30">
        <v>12</v>
      </c>
      <c r="B43" s="105" t="e">
        <f t="shared" si="5"/>
        <v>#N/A</v>
      </c>
      <c r="C43" s="78" t="e">
        <f>VLOOKUP(CONCATENATE(H13,H15,I10,H10,G4,H4,I4),Captura!D:AE,20,FALSE)</f>
        <v>#N/A</v>
      </c>
      <c r="D43" s="181" t="str">
        <f>IF(VLOOKUP(CONCATENATE($H$10,$H$15,$A43),Español!A:H,4,FALSE)=0,D42,VLOOKUP(CONCATENATE($H$10,$H$15,$A43),Español!A:H,4,FALSE))</f>
        <v>Analiza e identifica la información  presentada en textos introductorios: prólogos, reseñas, dedicatorias y presentaciones.</v>
      </c>
      <c r="E43" s="182"/>
      <c r="F43" s="183"/>
      <c r="G43" s="181" t="str">
        <f>IF(VLOOKUP(CONCATENATE($H$10,$H$15,$A43),Español!A:H,5,FALSE)=0,G42,VLOOKUP(CONCATENATE($H$10,$H$15,$A43),Español!A:H,5,FALSE))</f>
        <v>Diferencias y semejanzas entre textos introductorios: introducción, presentación, dedicatoria, advertencia y prólogo.</v>
      </c>
      <c r="H43" s="182"/>
      <c r="I43" s="183"/>
      <c r="J43" s="78" t="str">
        <f>VLOOKUP(CONCATENATE($H$10,$H$15,$A43),Español!A:H,8,FALSE)</f>
        <v>Aplicación de procedimientos</v>
      </c>
      <c r="K43" s="1" t="str">
        <f>VLOOKUP(CONCATENATE($H$10,$H$15,$A43),Español!A:H,7,FALSE)</f>
        <v>B</v>
      </c>
      <c r="L43" s="1" t="e">
        <f>EXACT(VLOOKUP(CONCATENATE($H$10,"I",$A43),Español!$A:$H,7,FALSE),VLOOKUP(CONCATENATE($H$13,"I",$I$10,$H$10,$G$4,$H$4,$I$4),Captura!$D:$AE,20,FALSE))</f>
        <v>#N/A</v>
      </c>
      <c r="M43" s="1" t="e">
        <f>EXACT(VLOOKUP(CONCATENATE($H$10,"II",$A43),Español!$A:$H,7,FALSE),VLOOKUP(CONCATENATE($H$13,"II",$I$10,$H$10,$G$4,$H$4,$I$4),Captura!$D:$AE,20,FALSE))</f>
        <v>#N/A</v>
      </c>
      <c r="N43" s="1" t="e">
        <f>EXACT(VLOOKUP(CONCATENATE($H$10,"III",$A43),Español!$A:$H,7,FALSE),VLOOKUP(CONCATENATE($H$13,"III",$I$10,$H$10,$G$4,$H$4,$I$4),Captura!$D:$AE,20,FALSE))</f>
        <v>#N/A</v>
      </c>
      <c r="O43" s="1" t="e">
        <f>EXACT(VLOOKUP(CONCATENATE($H$10,"IV",$A43),Español!$A:$H,7,FALSE),VLOOKUP(CONCATENATE($H$13,"IV",$I$10,$H$10,$G$4,$H$4,$I$4),Captura!$D:$AE,20,FALSE))</f>
        <v>#N/A</v>
      </c>
      <c r="P43" s="1" t="e">
        <f>EXACT(VLOOKUP(CONCATENATE($H$10,"V",$A43),Español!$A:$H,7,FALSE),VLOOKUP(CONCATENATE($H$13,"V",$I$10,$H$10,$G$4,$H$4,$I$4),Captura!$D:$AE,20,FALSE))</f>
        <v>#N/A</v>
      </c>
    </row>
    <row r="44" spans="1:16" s="1" customFormat="1" ht="24.95" customHeight="1" x14ac:dyDescent="0.15">
      <c r="A44" s="30">
        <v>13</v>
      </c>
      <c r="B44" s="105" t="e">
        <f t="shared" si="5"/>
        <v>#N/A</v>
      </c>
      <c r="C44" s="78" t="e">
        <f>VLOOKUP(CONCATENATE(H13,H15,I10,H10,G4,H4,I4),Captura!D:AE,21,FALSE)</f>
        <v>#N/A</v>
      </c>
      <c r="D44" s="181" t="str">
        <f>IF(VLOOKUP(CONCATENATE($H$10,$H$15,$A44),Español!A:H,4,FALSE)=0,D43,VLOOKUP(CONCATENATE($H$10,$H$15,$A44),Español!A:H,4,FALSE))</f>
        <v>Analiza e identifica la información  presentada en textos introductorios: prólogos, reseñas, dedicatorias y presentaciones.</v>
      </c>
      <c r="E44" s="182"/>
      <c r="F44" s="183"/>
      <c r="G44" s="181" t="str">
        <f>IF(VLOOKUP(CONCATENATE($H$10,$H$15,$A44),Español!A:H,5,FALSE)=0,G43,VLOOKUP(CONCATENATE($H$10,$H$15,$A44),Español!A:H,5,FALSE))</f>
        <v>Diferencias y semejanzas entre textos introductorios: introducción, presentación, dedicatoria, advertencia y prólogo.</v>
      </c>
      <c r="H44" s="182"/>
      <c r="I44" s="183"/>
      <c r="J44" s="78" t="str">
        <f>VLOOKUP(CONCATENATE($H$10,$H$15,$A44),Español!A:H,8,FALSE)</f>
        <v>Aplicación de procedimientos</v>
      </c>
      <c r="K44" s="1" t="str">
        <f>VLOOKUP(CONCATENATE($H$10,$H$15,$A44),Español!A:H,7,FALSE)</f>
        <v>C</v>
      </c>
      <c r="L44" s="1" t="e">
        <f>EXACT(VLOOKUP(CONCATENATE($H$10,"I",$A44),Español!$A:$H,7,FALSE),VLOOKUP(CONCATENATE($H$13,"I",$I$10,$H$10,$G$4,$H$4,$I$4),Captura!$D:$AE,21,FALSE))</f>
        <v>#N/A</v>
      </c>
      <c r="M44" s="1" t="e">
        <f>EXACT(VLOOKUP(CONCATENATE($H$10,"II",$A44),Español!$A:$H,7,FALSE),VLOOKUP(CONCATENATE($H$13,"II",$I$10,$H$10,$G$4,$H$4,$I$4),Captura!$D:$AE,21,FALSE))</f>
        <v>#N/A</v>
      </c>
      <c r="N44" s="1" t="e">
        <f>EXACT(VLOOKUP(CONCATENATE($H$10,"III",$A44),Español!$A:$H,7,FALSE),VLOOKUP(CONCATENATE($H$13,"III",$I$10,$H$10,$G$4,$H$4,$I$4),Captura!$D:$AE,21,FALSE))</f>
        <v>#N/A</v>
      </c>
      <c r="O44" s="1" t="e">
        <f>EXACT(VLOOKUP(CONCATENATE($H$10,"IV",$A44),Español!$A:$H,7,FALSE),VLOOKUP(CONCATENATE($H$13,"IV",$I$10,$H$10,$G$4,$H$4,$I$4),Captura!$D:$AE,21,FALSE))</f>
        <v>#N/A</v>
      </c>
      <c r="P44" s="1" t="e">
        <f>EXACT(VLOOKUP(CONCATENATE($H$10,"V",$A44),Español!$A:$H,7,FALSE),VLOOKUP(CONCATENATE($H$13,"V",$I$10,$H$10,$G$4,$H$4,$I$4),Captura!$D:$AE,21,FALSE))</f>
        <v>#N/A</v>
      </c>
    </row>
    <row r="45" spans="1:16" s="1" customFormat="1" ht="24.95" customHeight="1" x14ac:dyDescent="0.15">
      <c r="A45" s="30">
        <v>14</v>
      </c>
      <c r="B45" s="105" t="e">
        <f t="shared" si="5"/>
        <v>#N/A</v>
      </c>
      <c r="C45" s="78" t="e">
        <f>VLOOKUP(CONCATENATE(H13,H15,I10,H10,G4,H4,I4),Captura!D:AE,22,FALSE)</f>
        <v>#N/A</v>
      </c>
      <c r="D45" s="181" t="str">
        <f>IF(VLOOKUP(CONCATENATE($H$10,$H$15,$A45),Español!A:H,4,FALSE)=0,D44,VLOOKUP(CONCATENATE($H$10,$H$15,$A45),Español!A:H,4,FALSE))</f>
        <v>Utiliza la información de un prólogo para anticipar el contenido, los propósitos y características de una obra literaria o una antología.</v>
      </c>
      <c r="E45" s="182"/>
      <c r="F45" s="183"/>
      <c r="G45" s="181" t="str">
        <f>IF(VLOOKUP(CONCATENATE($H$10,$H$15,$A45),Español!A:H,5,FALSE)=0,G44,VLOOKUP(CONCATENATE($H$10,$H$15,$A45),Español!A:H,5,FALSE))</f>
        <v>Características  y función de las  obras literarias.  Características y función de las antologías literarias. Ortografia y puntuación convencionales.</v>
      </c>
      <c r="H45" s="182"/>
      <c r="I45" s="183"/>
      <c r="J45" s="78" t="str">
        <f>VLOOKUP(CONCATENATE($H$10,$H$15,$A45),Español!A:H,8,FALSE)</f>
        <v>Conceptual</v>
      </c>
      <c r="K45" s="1" t="str">
        <f>VLOOKUP(CONCATENATE($H$10,$H$15,$A45),Español!A:H,7,FALSE)</f>
        <v>D</v>
      </c>
      <c r="L45" s="1" t="e">
        <f>EXACT(VLOOKUP(CONCATENATE($H$10,"I",$A45),Español!$A:$H,7,FALSE),VLOOKUP(CONCATENATE($H$13,"I",$I$10,$H$10,$G$4,$H$4,$I$4),Captura!$D:$AE,22,FALSE))</f>
        <v>#N/A</v>
      </c>
      <c r="M45" s="1" t="e">
        <f>EXACT(VLOOKUP(CONCATENATE($H$10,"II",$A45),Español!$A:$H,7,FALSE),VLOOKUP(CONCATENATE($H$13,"II",$I$10,$H$10,$G$4,$H$4,$I$4),Captura!$D:$AE,22,FALSE))</f>
        <v>#N/A</v>
      </c>
      <c r="N45" s="1" t="e">
        <f>EXACT(VLOOKUP(CONCATENATE($H$10,"III",$A45),Español!$A:$H,7,FALSE),VLOOKUP(CONCATENATE($H$13,"III",$I$10,$H$10,$G$4,$H$4,$I$4),Captura!$D:$AE,22,FALSE))</f>
        <v>#N/A</v>
      </c>
      <c r="O45" s="1" t="e">
        <f>EXACT(VLOOKUP(CONCATENATE($H$10,"IV",$A45),Español!$A:$H,7,FALSE),VLOOKUP(CONCATENATE($H$13,"IV",$I$10,$H$10,$G$4,$H$4,$I$4),Captura!$D:$AE,22,FALSE))</f>
        <v>#N/A</v>
      </c>
      <c r="P45" s="1" t="e">
        <f>EXACT(VLOOKUP(CONCATENATE($H$10,"V",$A45),Español!$A:$H,7,FALSE),VLOOKUP(CONCATENATE($H$13,"V",$I$10,$H$10,$G$4,$H$4,$I$4),Captura!$D:$AE,22,FALSE))</f>
        <v>#N/A</v>
      </c>
    </row>
    <row r="46" spans="1:16" s="1" customFormat="1" ht="24.95" customHeight="1" x14ac:dyDescent="0.15">
      <c r="A46" s="30">
        <v>15</v>
      </c>
      <c r="B46" s="105" t="e">
        <f t="shared" si="5"/>
        <v>#N/A</v>
      </c>
      <c r="C46" s="78" t="e">
        <f>VLOOKUP(CONCATENATE(H13,H15,I10,H10,G4,H4,I4),Captura!D:AE,23,FALSE)</f>
        <v>#N/A</v>
      </c>
      <c r="D46" s="181" t="str">
        <f>IF(VLOOKUP(CONCATENATE($H$10,$H$15,$A46),Español!A:H,4,FALSE)=0,D45,VLOOKUP(CONCATENATE($H$10,$H$15,$A46),Español!A:H,4,FALSE))</f>
        <v>Utiliza la información de un prólogo para anticipar el contenido, los propósitos y características de una obra literaria o una antología.</v>
      </c>
      <c r="E46" s="182"/>
      <c r="F46" s="183"/>
      <c r="G46" s="181" t="str">
        <f>IF(VLOOKUP(CONCATENATE($H$10,$H$15,$A46),Español!A:H,5,FALSE)=0,G45,VLOOKUP(CONCATENATE($H$10,$H$15,$A46),Español!A:H,5,FALSE))</f>
        <v>Características  y función de las  obras literarias.  Características y función de las antologías literarias. Ortografia y puntuación convencionales.</v>
      </c>
      <c r="H46" s="182"/>
      <c r="I46" s="183"/>
      <c r="J46" s="78" t="str">
        <f>VLOOKUP(CONCATENATE($H$10,$H$15,$A46),Español!A:H,8,FALSE)</f>
        <v>Conceptual</v>
      </c>
      <c r="K46" s="1" t="str">
        <f>VLOOKUP(CONCATENATE($H$10,$H$15,$A46),Español!A:H,7,FALSE)</f>
        <v>A</v>
      </c>
      <c r="L46" s="1" t="e">
        <f>EXACT(VLOOKUP(CONCATENATE($H$10,"I",$A46),Español!$A:$H,7,FALSE),VLOOKUP(CONCATENATE($H$13,"I",$I$10,$H$10,$G$4,$H$4,$I$4),Captura!$D:$AE,23,FALSE))</f>
        <v>#N/A</v>
      </c>
      <c r="M46" s="1" t="e">
        <f>EXACT(VLOOKUP(CONCATENATE($H$10,"II",$A46),Español!$A:$H,7,FALSE),VLOOKUP(CONCATENATE($H$13,"II",$I$10,$H$10,$G$4,$H$4,$I$4),Captura!$D:$AE,23,FALSE))</f>
        <v>#N/A</v>
      </c>
      <c r="N46" s="1" t="e">
        <f>EXACT(VLOOKUP(CONCATENATE($H$10,"III",$A46),Español!$A:$H,7,FALSE),VLOOKUP(CONCATENATE($H$13,"III",$I$10,$H$10,$G$4,$H$4,$I$4),Captura!$D:$AE,23,FALSE))</f>
        <v>#N/A</v>
      </c>
      <c r="O46" s="1" t="e">
        <f>EXACT(VLOOKUP(CONCATENATE($H$10,"IV",$A46),Español!$A:$H,7,FALSE),VLOOKUP(CONCATENATE($H$13,"IV",$I$10,$H$10,$G$4,$H$4,$I$4),Captura!$D:$AE,23,FALSE))</f>
        <v>#N/A</v>
      </c>
      <c r="P46" s="1" t="e">
        <f>EXACT(VLOOKUP(CONCATENATE($H$10,"V",$A46),Español!$A:$H,7,FALSE),VLOOKUP(CONCATENATE($H$13,"V",$I$10,$H$10,$G$4,$H$4,$I$4),Captura!$D:$AE,23,FALSE))</f>
        <v>#N/A</v>
      </c>
    </row>
    <row r="47" spans="1:16" s="1" customFormat="1" ht="24.95" customHeight="1" x14ac:dyDescent="0.15">
      <c r="A47" s="30">
        <v>16</v>
      </c>
      <c r="B47" s="105" t="e">
        <f t="shared" si="5"/>
        <v>#N/A</v>
      </c>
      <c r="C47" s="78" t="e">
        <f>VLOOKUP(CONCATENATE(H13,H15,I10,H10,G4,H4,I4),Captura!D:AE,24,FALSE)</f>
        <v>#N/A</v>
      </c>
      <c r="D47" s="181" t="str">
        <f>IF(VLOOKUP(CONCATENATE($H$10,$H$15,$A47),Español!A:H,4,FALSE)=0,D46,VLOOKUP(CONCATENATE($H$10,$H$15,$A47),Español!A:H,4,FALSE))</f>
        <v>Utiliza la información de un prólogo para anticipar el contenido, los propósitos y características de una obra literaria o una antología.</v>
      </c>
      <c r="E47" s="182"/>
      <c r="F47" s="183"/>
      <c r="G47" s="181" t="str">
        <f>IF(VLOOKUP(CONCATENATE($H$10,$H$15,$A47),Español!A:H,5,FALSE)=0,G46,VLOOKUP(CONCATENATE($H$10,$H$15,$A47),Español!A:H,5,FALSE))</f>
        <v>Características  y función de las  obras literarias.  Características y función de las antologías literarias. Ortografia y puntuación convencionales.</v>
      </c>
      <c r="H47" s="182"/>
      <c r="I47" s="183"/>
      <c r="J47" s="78" t="str">
        <f>VLOOKUP(CONCATENATE($H$10,$H$15,$A47),Español!A:H,8,FALSE)</f>
        <v>Conceptual</v>
      </c>
      <c r="K47" s="1" t="str">
        <f>VLOOKUP(CONCATENATE($H$10,$H$15,$A47),Español!A:H,7,FALSE)</f>
        <v>D</v>
      </c>
      <c r="L47" s="1" t="e">
        <f>EXACT(VLOOKUP(CONCATENATE($H$10,"I",$A47),Español!$A:$H,7,FALSE),VLOOKUP(CONCATENATE($H$13,"I",$I$10,$H$10,$G$4,$H$4,$I$4),Captura!$D:$AE,24,FALSE))</f>
        <v>#N/A</v>
      </c>
      <c r="M47" s="1" t="e">
        <f>EXACT(VLOOKUP(CONCATENATE($H$10,"II",$A47),Español!$A:$H,7,FALSE),VLOOKUP(CONCATENATE($H$13,"II",$I$10,$H$10,$G$4,$H$4,$I$4),Captura!$D:$AE,24,FALSE))</f>
        <v>#N/A</v>
      </c>
      <c r="N47" s="1" t="e">
        <f>EXACT(VLOOKUP(CONCATENATE($H$10,"III",$A47),Español!$A:$H,7,FALSE),VLOOKUP(CONCATENATE($H$13,"III",$I$10,$H$10,$G$4,$H$4,$I$4),Captura!$D:$AE,24,FALSE))</f>
        <v>#N/A</v>
      </c>
      <c r="O47" s="1" t="e">
        <f>EXACT(VLOOKUP(CONCATENATE($H$10,"IV",$A47),Español!$A:$H,7,FALSE),VLOOKUP(CONCATENATE($H$13,"IV",$I$10,$H$10,$G$4,$H$4,$I$4),Captura!$D:$AE,24,FALSE))</f>
        <v>#N/A</v>
      </c>
      <c r="P47" s="1" t="e">
        <f>EXACT(VLOOKUP(CONCATENATE($H$10,"V",$A47),Español!$A:$H,7,FALSE),VLOOKUP(CONCATENATE($H$13,"V",$I$10,$H$10,$G$4,$H$4,$I$4),Captura!$D:$AE,24,FALSE))</f>
        <v>#N/A</v>
      </c>
    </row>
    <row r="48" spans="1:16" s="1" customFormat="1" ht="24.95" customHeight="1" x14ac:dyDescent="0.15">
      <c r="A48" s="30">
        <v>17</v>
      </c>
      <c r="B48" s="105" t="e">
        <f t="shared" si="5"/>
        <v>#N/A</v>
      </c>
      <c r="C48" s="78" t="e">
        <f>VLOOKUP(CONCATENATE(H13,H15,I10,H10,G4,H4,I4),Captura!D:AE,25,FALSE)</f>
        <v>#N/A</v>
      </c>
      <c r="D48" s="181" t="str">
        <f>IF(VLOOKUP(CONCATENATE($H$10,$H$15,$A48),Español!A:H,4,FALSE)=0,D47,VLOOKUP(CONCATENATE($H$10,$H$15,$A48),Español!A:H,4,FALSE))</f>
        <v>Emplea información contenida en documentos oficiales para el llenado de formularios.</v>
      </c>
      <c r="E48" s="182"/>
      <c r="F48" s="183"/>
      <c r="G48" s="181" t="str">
        <f>IF(VLOOKUP(CONCATENATE($H$10,$H$15,$A48),Español!A:H,5,FALSE)=0,G47,VLOOKUP(CONCATENATE($H$10,$H$15,$A48),Español!A:H,5,FALSE))</f>
        <v>Características y función  de los formatos y formularios electrónicos.</v>
      </c>
      <c r="H48" s="182"/>
      <c r="I48" s="183"/>
      <c r="J48" s="78" t="str">
        <f>VLOOKUP(CONCATENATE($H$10,$H$15,$A48),Español!A:H,8,FALSE)</f>
        <v>Conceptual</v>
      </c>
      <c r="K48" s="1" t="str">
        <f>VLOOKUP(CONCATENATE($H$10,$H$15,$A48),Español!A:H,7,FALSE)</f>
        <v>D</v>
      </c>
      <c r="L48" s="1" t="e">
        <f>EXACT(VLOOKUP(CONCATENATE($H$10,"I",$A48),Español!$A:$H,7,FALSE),VLOOKUP(CONCATENATE($H$13,"I",$I$10,$H$10,$G$4,$H$4,$I$4),Captura!$D:$AE,25,FALSE))</f>
        <v>#N/A</v>
      </c>
      <c r="M48" s="1" t="e">
        <f>EXACT(VLOOKUP(CONCATENATE($H$10,"II",$A48),Español!$A:$H,7,FALSE),VLOOKUP(CONCATENATE($H$13,"II",$I$10,$H$10,$G$4,$H$4,$I$4),Captura!$D:$AE,25,FALSE))</f>
        <v>#N/A</v>
      </c>
      <c r="N48" s="1" t="e">
        <f>EXACT(VLOOKUP(CONCATENATE($H$10,"III",$A48),Español!$A:$H,7,FALSE),VLOOKUP(CONCATENATE($H$13,"III",$I$10,$H$10,$G$4,$H$4,$I$4),Captura!$D:$AE,25,FALSE))</f>
        <v>#N/A</v>
      </c>
      <c r="O48" s="1" t="e">
        <f>EXACT(VLOOKUP(CONCATENATE($H$10,"IV",$A48),Español!$A:$H,7,FALSE),VLOOKUP(CONCATENATE($H$13,"IV",$I$10,$H$10,$G$4,$H$4,$I$4),Captura!$D:$AE,25,FALSE))</f>
        <v>#N/A</v>
      </c>
      <c r="P48" s="1" t="e">
        <f>EXACT(VLOOKUP(CONCATENATE($H$10,"V",$A48),Español!$A:$H,7,FALSE),VLOOKUP(CONCATENATE($H$13,"V",$I$10,$H$10,$G$4,$H$4,$I$4),Captura!$D:$AE,25,FALSE))</f>
        <v>#N/A</v>
      </c>
    </row>
    <row r="49" spans="1:16" s="1" customFormat="1" ht="24.95" customHeight="1" x14ac:dyDescent="0.15">
      <c r="A49" s="30">
        <v>18</v>
      </c>
      <c r="B49" s="105" t="e">
        <f t="shared" si="5"/>
        <v>#N/A</v>
      </c>
      <c r="C49" s="78" t="e">
        <f>VLOOKUP(CONCATENATE(H13,H15,I10,H10,G4,H4,I4),Captura!D:AE,26,FALSE)</f>
        <v>#N/A</v>
      </c>
      <c r="D49" s="181" t="str">
        <f>IF(VLOOKUP(CONCATENATE($H$10,$H$15,$A49),Español!A:H,4,FALSE)=0,D48,VLOOKUP(CONCATENATE($H$10,$H$15,$A49),Español!A:H,4,FALSE))</f>
        <v>Emplea información contenida en documentos oficiales para el llenado de formularios.</v>
      </c>
      <c r="E49" s="182"/>
      <c r="F49" s="183"/>
      <c r="G49" s="181" t="str">
        <f>IF(VLOOKUP(CONCATENATE($H$10,$H$15,$A49),Español!A:H,5,FALSE)=0,G48,VLOOKUP(CONCATENATE($H$10,$H$15,$A49),Español!A:H,5,FALSE))</f>
        <v>Características y función  de los formatos y formularios electrónicos.</v>
      </c>
      <c r="H49" s="182"/>
      <c r="I49" s="183"/>
      <c r="J49" s="78" t="str">
        <f>VLOOKUP(CONCATENATE($H$10,$H$15,$A49),Español!A:H,8,FALSE)</f>
        <v>Conceptual</v>
      </c>
      <c r="K49" s="1" t="str">
        <f>VLOOKUP(CONCATENATE($H$10,$H$15,$A49),Español!A:H,7,FALSE)</f>
        <v>C</v>
      </c>
      <c r="L49" s="1" t="e">
        <f>EXACT(VLOOKUP(CONCATENATE($H$10,"I",$A49),Español!$A:$H,7,FALSE),VLOOKUP(CONCATENATE($H$13,"I",$I$10,$H$10,$G$4,$H$4,$I$4),Captura!$D:$AE,26,FALSE))</f>
        <v>#N/A</v>
      </c>
      <c r="M49" s="1" t="e">
        <f>EXACT(VLOOKUP(CONCATENATE($H$10,"II",$A49),Español!$A:$H,7,FALSE),VLOOKUP(CONCATENATE($H$13,"II",$I$10,$H$10,$G$4,$H$4,$I$4),Captura!$D:$AE,26,FALSE))</f>
        <v>#N/A</v>
      </c>
      <c r="N49" s="1" t="e">
        <f>EXACT(VLOOKUP(CONCATENATE($H$10,"III",$A49),Español!$A:$H,7,FALSE),VLOOKUP(CONCATENATE($H$13,"III",$I$10,$H$10,$G$4,$H$4,$I$4),Captura!$D:$AE,26,FALSE))</f>
        <v>#N/A</v>
      </c>
      <c r="O49" s="1" t="e">
        <f>EXACT(VLOOKUP(CONCATENATE($H$10,"IV",$A49),Español!$A:$H,7,FALSE),VLOOKUP(CONCATENATE($H$13,"IV",$I$10,$H$10,$G$4,$H$4,$I$4),Captura!$D:$AE,26,FALSE))</f>
        <v>#N/A</v>
      </c>
      <c r="P49" s="1" t="e">
        <f>EXACT(VLOOKUP(CONCATENATE($H$10,"V",$A49),Español!$A:$H,7,FALSE),VLOOKUP(CONCATENATE($H$13,"V",$I$10,$H$10,$G$4,$H$4,$I$4),Captura!$D:$AE,26,FALSE))</f>
        <v>#N/A</v>
      </c>
    </row>
    <row r="50" spans="1:16" s="1" customFormat="1" ht="24.95" customHeight="1" x14ac:dyDescent="0.15">
      <c r="A50" s="30">
        <v>19</v>
      </c>
      <c r="B50" s="105" t="e">
        <f t="shared" si="5"/>
        <v>#N/A</v>
      </c>
      <c r="C50" s="78" t="e">
        <f>VLOOKUP(CONCATENATE(H13,H15,I10,H10,G4,H4,I4),Captura!D:AE,27,FALSE)</f>
        <v>#N/A</v>
      </c>
      <c r="D50" s="181" t="str">
        <f>IF(VLOOKUP(CONCATENATE($H$10,$H$15,$A50),Español!A:H,4,FALSE)=0,D49,VLOOKUP(CONCATENATE($H$10,$H$15,$A50),Español!A:H,4,FALSE))</f>
        <v>Emplea información contenida en documentos oficiales para el llenado de formularios.</v>
      </c>
      <c r="E50" s="182"/>
      <c r="F50" s="183"/>
      <c r="G50" s="181" t="str">
        <f>IF(VLOOKUP(CONCATENATE($H$10,$H$15,$A50),Español!A:H,5,FALSE)=0,G49,VLOOKUP(CONCATENATE($H$10,$H$15,$A50),Español!A:H,5,FALSE))</f>
        <v>Características y función  de los formatos y formularios electrónicos.</v>
      </c>
      <c r="H50" s="182"/>
      <c r="I50" s="183"/>
      <c r="J50" s="78" t="str">
        <f>VLOOKUP(CONCATENATE($H$10,$H$15,$A50),Español!A:H,8,FALSE)</f>
        <v>Aplicación de procedimientos</v>
      </c>
      <c r="K50" s="1" t="str">
        <f>VLOOKUP(CONCATENATE($H$10,$H$15,$A50),Español!A:H,7,FALSE)</f>
        <v>A</v>
      </c>
      <c r="L50" s="1" t="e">
        <f>EXACT(VLOOKUP(CONCATENATE($H$10,"I",$A50),Español!$A:$H,7,FALSE),VLOOKUP(CONCATENATE($H$13,"I",$I$10,$H$10,$G$4,$H$4,$I$4),Captura!$D:$AE,27,FALSE))</f>
        <v>#N/A</v>
      </c>
      <c r="M50" s="1" t="e">
        <f>EXACT(VLOOKUP(CONCATENATE($H$10,"II",$A50),Español!$A:$H,7,FALSE),VLOOKUP(CONCATENATE($H$13,"II",$I$10,$H$10,$G$4,$H$4,$I$4),Captura!$D:$AE,27,FALSE))</f>
        <v>#N/A</v>
      </c>
      <c r="N50" s="1" t="e">
        <f>EXACT(VLOOKUP(CONCATENATE($H$10,"III",$A50),Español!$A:$H,7,FALSE),VLOOKUP(CONCATENATE($H$13,"III",$I$10,$H$10,$G$4,$H$4,$I$4),Captura!$D:$AE,27,FALSE))</f>
        <v>#N/A</v>
      </c>
      <c r="O50" s="1" t="e">
        <f>EXACT(VLOOKUP(CONCATENATE($H$10,"IV",$A50),Español!$A:$H,7,FALSE),VLOOKUP(CONCATENATE($H$13,"IV",$I$10,$H$10,$G$4,$H$4,$I$4),Captura!$D:$AE,27,FALSE))</f>
        <v>#N/A</v>
      </c>
      <c r="P50" s="1" t="e">
        <f>EXACT(VLOOKUP(CONCATENATE($H$10,"V",$A50),Español!$A:$H,7,FALSE),VLOOKUP(CONCATENATE($H$13,"V",$I$10,$H$10,$G$4,$H$4,$I$4),Captura!$D:$AE,27,FALSE))</f>
        <v>#N/A</v>
      </c>
    </row>
    <row r="51" spans="1:16" s="1" customFormat="1" ht="24.95" customHeight="1" x14ac:dyDescent="0.15">
      <c r="A51" s="30">
        <v>20</v>
      </c>
      <c r="B51" s="105" t="e">
        <f t="shared" si="5"/>
        <v>#N/A</v>
      </c>
      <c r="C51" s="78" t="e">
        <f>VLOOKUP(CONCATENATE($H$13,$H$15,$I$10,$H$10,$G$4,$H$4,$I$4),Captura!D:AE,28,FALSE)</f>
        <v>#N/A</v>
      </c>
      <c r="D51" s="181" t="str">
        <f>IF(VLOOKUP(CONCATENATE($H$10,$H$15,$A51),Español!A:H,4,FALSE)=0,D50,VLOOKUP(CONCATENATE($H$10,$H$15,$A51),Español!A:H,4,FALSE))</f>
        <v>Emplea información contenida en documentos oficiales para el llenado de formularios.</v>
      </c>
      <c r="E51" s="182"/>
      <c r="F51" s="183"/>
      <c r="G51" s="181" t="str">
        <f>IF(VLOOKUP(CONCATENATE($H$10,$H$15,$A51),Español!A:H,5,FALSE)=0,G50,VLOOKUP(CONCATENATE($H$10,$H$15,$A51),Español!A:H,5,FALSE))</f>
        <v>Características y función  de los formatos y formularios electrónicos.</v>
      </c>
      <c r="H51" s="182"/>
      <c r="I51" s="183"/>
      <c r="J51" s="78" t="str">
        <f>VLOOKUP(CONCATENATE($H$10,$H$15,$A51),Español!A:H,8,FALSE)</f>
        <v>Aplicación de procedimientos</v>
      </c>
      <c r="K51" s="1" t="str">
        <f>VLOOKUP(CONCATENATE($H$10,$H$15,$A51),Español!A:H,7,FALSE)</f>
        <v>D</v>
      </c>
      <c r="L51" s="1" t="e">
        <f>EXACT(VLOOKUP(CONCATENATE($H$10,"I",$A51),Español!$A:$H,7,FALSE),VLOOKUP(CONCATENATE($H$13,"I",$I$10,$H$10,$G$4,$H$4,$I$4),Captura!$D:$AE,28,FALSE))</f>
        <v>#N/A</v>
      </c>
      <c r="M51" s="1" t="e">
        <f>EXACT(VLOOKUP(CONCATENATE($H$10,"II",$A51),Español!$A:$H,7,FALSE),VLOOKUP(CONCATENATE($H$13,"II",$I$10,$H$10,$G$4,$H$4,$I$4),Captura!$D:$AE,28,FALSE))</f>
        <v>#N/A</v>
      </c>
      <c r="N51" s="1" t="e">
        <f>EXACT(VLOOKUP(CONCATENATE($H$10,"III",$A51),Español!$A:$H,7,FALSE),VLOOKUP(CONCATENATE($H$13,"III",$I$10,$H$10,$G$4,$H$4,$I$4),Captura!$D:$AE,28,FALSE))</f>
        <v>#N/A</v>
      </c>
      <c r="O51" s="1" t="e">
        <f>EXACT(VLOOKUP(CONCATENATE($H$10,"IV",$A51),Español!$A:$H,7,FALSE),VLOOKUP(CONCATENATE($H$13,"IV",$I$10,$H$10,$G$4,$H$4,$I$4),Captura!$D:$AE,28,FALSE))</f>
        <v>#N/A</v>
      </c>
      <c r="P51" s="1" t="e">
        <f>EXACT(VLOOKUP(CONCATENATE($H$10,"V",$A51),Español!$A:$H,7,FALSE),VLOOKUP(CONCATENATE($H$13,"V",$I$10,$H$10,$G$4,$H$4,$I$4),Captura!$D:$AE,28,FALSE))</f>
        <v>#N/A</v>
      </c>
    </row>
    <row r="52" spans="1:16" x14ac:dyDescent="0.15">
      <c r="D52" s="2"/>
      <c r="E52" s="2"/>
      <c r="F52" s="2"/>
      <c r="G52" s="2"/>
      <c r="H52" s="2"/>
      <c r="L52" s="1"/>
    </row>
    <row r="53" spans="1:16" x14ac:dyDescent="0.15">
      <c r="A53" s="189" t="str">
        <f>IF(H10=1,"Segunda Lengua: Inglés I",IF(H10=2,"Segunda Lengua: Inglés II",IF(H10=3,"Segunda Lengua: Inglés III")))</f>
        <v>Segunda Lengua: Inglés III</v>
      </c>
      <c r="B53" s="189"/>
      <c r="C53" s="189"/>
      <c r="D53" s="189"/>
      <c r="E53" s="189"/>
      <c r="F53" s="189"/>
      <c r="G53" s="189"/>
      <c r="H53" s="189"/>
      <c r="I53" s="189"/>
      <c r="J53" s="189"/>
      <c r="L53" s="1"/>
    </row>
    <row r="54" spans="1:16" ht="21" x14ac:dyDescent="0.15">
      <c r="A54" s="74" t="s">
        <v>6125</v>
      </c>
      <c r="B54" s="103"/>
      <c r="C54" s="74" t="s">
        <v>6123</v>
      </c>
      <c r="D54" s="187" t="s">
        <v>6365</v>
      </c>
      <c r="E54" s="187"/>
      <c r="F54" s="187"/>
      <c r="G54" s="187" t="s">
        <v>6366</v>
      </c>
      <c r="H54" s="187"/>
      <c r="I54" s="187"/>
      <c r="J54" s="85" t="s">
        <v>6377</v>
      </c>
      <c r="L54" s="1"/>
    </row>
    <row r="55" spans="1:16" s="1" customFormat="1" ht="24.95" customHeight="1" x14ac:dyDescent="0.15">
      <c r="A55" s="30">
        <v>1</v>
      </c>
      <c r="B55" s="105" t="e">
        <f>IF(K55&lt;&gt;C55,-1,1)</f>
        <v>#N/A</v>
      </c>
      <c r="C55" s="100" t="e">
        <f>VLOOKUP(CONCATENATE($H$13,$H$15,$I$10,$H$10,$G$4,$H$4,$I$4),Captura!D:CR,29,FALSE)</f>
        <v>#N/A</v>
      </c>
      <c r="D55" s="181" t="str">
        <f>IF(VLOOKUP(CONCATENATE($H$10,$H$15,$A55),Inglés!A:H,4,FALSE)=0,D54,VLOOKUP(CONCATENATE($H$10,$H$15,$A55),Inglés!A:H,4,FALSE))</f>
        <v>Lesson 40:Identificar que "have to/has to" se usan para indicar obligación.</v>
      </c>
      <c r="E55" s="182"/>
      <c r="F55" s="183"/>
      <c r="G55" s="181" t="str">
        <f>IF(VLOOKUP(CONCATENATE($H$10,$H$15,$A55),Inglés!A:H,5,FALSE)=0,G54,VLOOKUP(CONCATENATE($H$10,$H$15,$A55),Inglés!A:H,5,FALSE))</f>
        <v>Uso del verbo "have to/has to" para indicar obligación.</v>
      </c>
      <c r="H55" s="182"/>
      <c r="I55" s="183"/>
      <c r="J55" s="100" t="str">
        <f>VLOOKUP(CONCATENATE($H$10,$H$15,$A55),Inglés!A:H,8,FALSE)</f>
        <v>Aplicación de procedimientos</v>
      </c>
      <c r="K55" s="1" t="str">
        <f>VLOOKUP(CONCATENATE($H$10,$H$15,$A55),Inglés!A:H,7,FALSE)</f>
        <v>D</v>
      </c>
      <c r="L55" s="1" t="e">
        <f>EXACT(VLOOKUP(CONCATENATE($H$10,"I",$A55),Inglés!$A:$H,7,FALSE),VLOOKUP(CONCATENATE($H$13,"I",$I$10,$H$10,$G$4,$H$4,$I$4),Captura!$D:$CR,29,FALSE))</f>
        <v>#N/A</v>
      </c>
      <c r="M55" s="1" t="e">
        <f>EXACT(VLOOKUP(CONCATENATE($H$10,"II",$A55),Inglés!$A:$H,7,FALSE),VLOOKUP(CONCATENATE($H$13,"II",$I$10,$H$10,$G$4,$H$4,$I$4),Captura!$D:$CR,29,FALSE))</f>
        <v>#N/A</v>
      </c>
      <c r="N55" s="1" t="e">
        <f>EXACT(VLOOKUP(CONCATENATE($H$10,"III",$A55),Inglés!$A:$H,7,FALSE),VLOOKUP(CONCATENATE($H$13,"III",$I$10,$H$10,$G$4,$H$4,$I$4),Captura!$D:$CR,29,FALSE))</f>
        <v>#N/A</v>
      </c>
      <c r="O55" s="1" t="e">
        <f>EXACT(VLOOKUP(CONCATENATE($H$10,"IV",$A55),Inglés!$A:$H,7,FALSE),VLOOKUP(CONCATENATE($H$13,"IV",$I$10,$H$10,$G$4,$H$4,$I$4),Captura!$D:$CR,29,FALSE))</f>
        <v>#N/A</v>
      </c>
      <c r="P55" s="1" t="e">
        <f>EXACT(VLOOKUP(CONCATENATE($H$10,"V",$A55),Inglés!$A:$H,7,FALSE),VLOOKUP(CONCATENATE($H$13,"V",$I$10,$H$10,$G$4,$H$4,$I$4),Captura!$D:$CR,29,FALSE))</f>
        <v>#N/A</v>
      </c>
    </row>
    <row r="56" spans="1:16" s="1" customFormat="1" ht="24.95" customHeight="1" x14ac:dyDescent="0.15">
      <c r="A56" s="30">
        <v>2</v>
      </c>
      <c r="B56" s="105" t="e">
        <f t="shared" ref="B56:B64" si="6">IF(K56&lt;&gt;C56,-1,1)</f>
        <v>#N/A</v>
      </c>
      <c r="C56" s="100" t="e">
        <f>VLOOKUP(CONCATENATE($H$13,$H$15,$I$10,$H$10,$G$4,$H$4,$I$4),Captura!D:CR,30,FALSE)</f>
        <v>#N/A</v>
      </c>
      <c r="D56" s="181" t="str">
        <f>IF(VLOOKUP(CONCATENATE($H$10,$H$15,$A56),Inglés!A:H,4,FALSE)=0,D55,VLOOKUP(CONCATENATE($H$10,$H$15,$A56),Inglés!A:H,4,FALSE))</f>
        <v>Lesson 44: Identificar que must tiene una forma regular para todas las personas.</v>
      </c>
      <c r="E56" s="182"/>
      <c r="F56" s="183"/>
      <c r="G56" s="181" t="str">
        <f>IF(VLOOKUP(CONCATENATE($H$10,$H$15,$A56),Inglés!A:H,5,FALSE)=0,G55,VLOOKUP(CONCATENATE($H$10,$H$15,$A56),Inglés!A:H,5,FALSE))</f>
        <v xml:space="preserve">Uso de la forma negativa "mustn't" </v>
      </c>
      <c r="H56" s="182"/>
      <c r="I56" s="183"/>
      <c r="J56" s="100" t="str">
        <f>VLOOKUP(CONCATENATE($H$10,$H$15,$A56),Inglés!A:H,8,FALSE)</f>
        <v>Aplicación de procedimientos</v>
      </c>
      <c r="K56" s="1" t="str">
        <f>VLOOKUP(CONCATENATE($H$10,$H$15,$A56),Inglés!A:H,7,FALSE)</f>
        <v>B</v>
      </c>
      <c r="L56" s="1" t="e">
        <f>EXACT(VLOOKUP(CONCATENATE($H$10,"I",$A56),Inglés!$A:$H,7,FALSE),VLOOKUP(CONCATENATE($H$13,"I",$I$10,$H$10,$G$4,$H$4,$I$4),Captura!$D:$CR,30,FALSE))</f>
        <v>#N/A</v>
      </c>
      <c r="M56" s="1" t="e">
        <f>EXACT(VLOOKUP(CONCATENATE($H$10,"II",$A56),Inglés!$A:$H,7,FALSE),VLOOKUP(CONCATENATE($H$13,"II",$I$10,$H$10,$G$4,$H$4,$I$4),Captura!$D:$CR,30,FALSE))</f>
        <v>#N/A</v>
      </c>
      <c r="N56" s="1" t="e">
        <f>EXACT(VLOOKUP(CONCATENATE($H$10,"III",$A56),Inglés!$A:$H,7,FALSE),VLOOKUP(CONCATENATE($H$13,"III",$I$10,$H$10,$G$4,$H$4,$I$4),Captura!$D:$CR,30,FALSE))</f>
        <v>#N/A</v>
      </c>
      <c r="O56" s="1" t="e">
        <f>EXACT(VLOOKUP(CONCATENATE($H$10,"IV",$A56),Inglés!$A:$H,7,FALSE),VLOOKUP(CONCATENATE($H$13,"IV",$I$10,$H$10,$G$4,$H$4,$I$4),Captura!$D:$CR,30,FALSE))</f>
        <v>#N/A</v>
      </c>
      <c r="P56" s="1" t="e">
        <f>EXACT(VLOOKUP(CONCATENATE($H$10,"V",$A56),Inglés!$A:$H,7,FALSE),VLOOKUP(CONCATENATE($H$13,"V",$I$10,$H$10,$G$4,$H$4,$I$4),Captura!$D:$CR,30,FALSE))</f>
        <v>#N/A</v>
      </c>
    </row>
    <row r="57" spans="1:16" s="1" customFormat="1" ht="24.75" customHeight="1" x14ac:dyDescent="0.15">
      <c r="A57" s="30">
        <v>3</v>
      </c>
      <c r="B57" s="105" t="e">
        <f t="shared" si="6"/>
        <v>#N/A</v>
      </c>
      <c r="C57" s="100" t="e">
        <f>VLOOKUP(CONCATENATE($H$13,$H$15,$I$10,$H$10,$G$4,$H$4,$I$4),Captura!D:CR,31,FALSE)</f>
        <v>#N/A</v>
      </c>
      <c r="D57" s="181" t="str">
        <f>IF(VLOOKUP(CONCATENATE($H$10,$H$15,$A57),Inglés!A:H,4,FALSE)=0,D56,VLOOKUP(CONCATENATE($H$10,$H$15,$A57),Inglés!A:H,4,FALSE))</f>
        <v>Lesson 35: Dar consejos y sugerencias a ciertas situaciones.</v>
      </c>
      <c r="E57" s="182"/>
      <c r="F57" s="183"/>
      <c r="G57" s="181" t="str">
        <f>IF(VLOOKUP(CONCATENATE($H$10,$H$15,$A57),Inglés!A:H,5,FALSE)=0,G56,VLOOKUP(CONCATENATE($H$10,$H$15,$A57),Inglés!A:H,5,FALSE))</f>
        <v>Uso de "should" para dar consejos.</v>
      </c>
      <c r="H57" s="182"/>
      <c r="I57" s="183"/>
      <c r="J57" s="100" t="str">
        <f>VLOOKUP(CONCATENATE($H$10,$H$15,$A57),Inglés!A:H,8,FALSE)</f>
        <v>Aplicación de procedimientos</v>
      </c>
      <c r="K57" s="1" t="str">
        <f>VLOOKUP(CONCATENATE($H$10,$H$15,$A57),Inglés!A:H,7,FALSE)</f>
        <v>D</v>
      </c>
      <c r="L57" s="1" t="e">
        <f>EXACT(VLOOKUP(CONCATENATE($H$10,"I",$A57),Inglés!$A:$H,7,FALSE),VLOOKUP(CONCATENATE($H$13,"I",$I$10,$H$10,$G$4,$H$4,$I$4),Captura!$D:$CR,31,FALSE))</f>
        <v>#N/A</v>
      </c>
      <c r="M57" s="1" t="e">
        <f>EXACT(VLOOKUP(CONCATENATE($H$10,"II",$A57),Inglés!$A:$H,7,FALSE),VLOOKUP(CONCATENATE($H$13,"II",$I$10,$H$10,$G$4,$H$4,$I$4),Captura!$D:$CR,31,FALSE))</f>
        <v>#N/A</v>
      </c>
      <c r="N57" s="1" t="e">
        <f>EXACT(VLOOKUP(CONCATENATE($H$10,"III",$A57),Inglés!$A:$H,7,FALSE),VLOOKUP(CONCATENATE($H$13,"III",$I$10,$H$10,$G$4,$H$4,$I$4),Captura!$D:$CR,31,FALSE))</f>
        <v>#N/A</v>
      </c>
      <c r="O57" s="1" t="e">
        <f>EXACT(VLOOKUP(CONCATENATE($H$10,"IV",$A57),Inglés!$A:$H,7,FALSE),VLOOKUP(CONCATENATE($H$13,"IV",$I$10,$H$10,$G$4,$H$4,$I$4),Captura!$D:$CR,31,FALSE))</f>
        <v>#N/A</v>
      </c>
      <c r="P57" s="1" t="e">
        <f>EXACT(VLOOKUP(CONCATENATE($H$10,"V",$A57),Inglés!$A:$H,7,FALSE),VLOOKUP(CONCATENATE($H$13,"V",$I$10,$H$10,$G$4,$H$4,$I$4),Captura!$D:$CR,31,FALSE))</f>
        <v>#N/A</v>
      </c>
    </row>
    <row r="58" spans="1:16" s="1" customFormat="1" ht="24.95" customHeight="1" x14ac:dyDescent="0.15">
      <c r="A58" s="30">
        <v>4</v>
      </c>
      <c r="B58" s="105" t="e">
        <f t="shared" si="6"/>
        <v>#N/A</v>
      </c>
      <c r="C58" s="100" t="e">
        <f>VLOOKUP(CONCATENATE($H$13,$H$15,$I$10,$H$10,$G$4,$H$4,$I$4),Captura!D:CR,32,FALSE)</f>
        <v>#N/A</v>
      </c>
      <c r="D58" s="181" t="str">
        <f>IF(VLOOKUP(CONCATENATE($H$10,$H$15,$A58),Inglés!A:H,4,FALSE)=0,D57,VLOOKUP(CONCATENATE($H$10,$H$15,$A58),Inglés!A:H,4,FALSE))</f>
        <v>Lesson 40: Identificar que "have to/has to" se usan para indicar obligación.</v>
      </c>
      <c r="E58" s="182"/>
      <c r="F58" s="183"/>
      <c r="G58" s="181" t="str">
        <f>IF(VLOOKUP(CONCATENATE($H$10,$H$15,$A58),Inglés!A:H,5,FALSE)=0,G57,VLOOKUP(CONCATENATE($H$10,$H$15,$A58),Inglés!A:H,5,FALSE))</f>
        <v>Uso del verbo "have to/has to" para indicar obligación.</v>
      </c>
      <c r="H58" s="182"/>
      <c r="I58" s="183"/>
      <c r="J58" s="100" t="str">
        <f>VLOOKUP(CONCATENATE($H$10,$H$15,$A58),Inglés!A:H,8,FALSE)</f>
        <v>Aplicación de procedimientos</v>
      </c>
      <c r="K58" s="1" t="str">
        <f>VLOOKUP(CONCATENATE($H$10,$H$15,$A58),Inglés!A:H,7,FALSE)</f>
        <v>A</v>
      </c>
      <c r="L58" s="1" t="e">
        <f>EXACT(VLOOKUP(CONCATENATE($H$10,"I",$A58),Inglés!$A:$H,7,FALSE),VLOOKUP(CONCATENATE($H$13,"I",$I$10,$H$10,$G$4,$H$4,$I$4),Captura!$D:$CR,32,FALSE))</f>
        <v>#N/A</v>
      </c>
      <c r="M58" s="1" t="e">
        <f>EXACT(VLOOKUP(CONCATENATE($H$10,"II",$A58),Inglés!$A:$H,7,FALSE),VLOOKUP(CONCATENATE($H$13,"II",$I$10,$H$10,$G$4,$H$4,$I$4),Captura!$D:$CR,32,FALSE))</f>
        <v>#N/A</v>
      </c>
      <c r="N58" s="1" t="e">
        <f>EXACT(VLOOKUP(CONCATENATE($H$10,"III",$A58),Inglés!$A:$H,7,FALSE),VLOOKUP(CONCATENATE($H$13,"III",$I$10,$H$10,$G$4,$H$4,$I$4),Captura!$D:$CR,32,FALSE))</f>
        <v>#N/A</v>
      </c>
      <c r="O58" s="1" t="e">
        <f>EXACT(VLOOKUP(CONCATENATE($H$10,"IV",$A58),Inglés!$A:$H,7,FALSE),VLOOKUP(CONCATENATE($H$13,"IV",$I$10,$H$10,$G$4,$H$4,$I$4),Captura!$D:$CR,32,FALSE))</f>
        <v>#N/A</v>
      </c>
      <c r="P58" s="1" t="e">
        <f>EXACT(VLOOKUP(CONCATENATE($H$10,"V",$A58),Inglés!$A:$H,7,FALSE),VLOOKUP(CONCATENATE($H$13,"V",$I$10,$H$10,$G$4,$H$4,$I$4),Captura!$D:$CR,32,FALSE))</f>
        <v>#N/A</v>
      </c>
    </row>
    <row r="59" spans="1:16" s="1" customFormat="1" ht="24.95" customHeight="1" x14ac:dyDescent="0.15">
      <c r="A59" s="30">
        <v>5</v>
      </c>
      <c r="B59" s="105" t="e">
        <f t="shared" si="6"/>
        <v>#N/A</v>
      </c>
      <c r="C59" s="100" t="e">
        <f>VLOOKUP(CONCATENATE($H$13,$H$15,$I$10,$H$10,$G$4,$H$4,$I$4),Captura!D:CR,33,FALSE)</f>
        <v>#N/A</v>
      </c>
      <c r="D59" s="181" t="str">
        <f>IF(VLOOKUP(CONCATENATE($H$10,$H$15,$A59),Inglés!A:H,4,FALSE)=0,D58,VLOOKUP(CONCATENATE($H$10,$H$15,$A59),Inglés!A:H,4,FALSE))</f>
        <v>Lesson 32: Identificar que la forma imperativa se usa para hacer advertencias.</v>
      </c>
      <c r="E59" s="182"/>
      <c r="F59" s="183"/>
      <c r="G59" s="181" t="str">
        <f>IF(VLOOKUP(CONCATENATE($H$10,$H$15,$A59),Inglés!A:H,5,FALSE)=0,G58,VLOOKUP(CONCATENATE($H$10,$H$15,$A59),Inglés!A:H,5,FALSE))</f>
        <v>Uso de la forma imperativa en su forma negativa para hacer advertencias.</v>
      </c>
      <c r="H59" s="182"/>
      <c r="I59" s="183"/>
      <c r="J59" s="100" t="str">
        <f>VLOOKUP(CONCATENATE($H$10,$H$15,$A59),Inglés!A:H,8,FALSE)</f>
        <v>Aplicación de procedimientos</v>
      </c>
      <c r="K59" s="1" t="str">
        <f>VLOOKUP(CONCATENATE($H$10,$H$15,$A59),Inglés!A:H,7,FALSE)</f>
        <v>C</v>
      </c>
      <c r="L59" s="1" t="e">
        <f>EXACT(VLOOKUP(CONCATENATE($H$10,"I",$A59),Inglés!$A:$H,7,FALSE),VLOOKUP(CONCATENATE($H$13,"I",$I$10,$H$10,$G$4,$H$4,$I$4),Captura!$D:$CR,33,FALSE))</f>
        <v>#N/A</v>
      </c>
      <c r="M59" s="1" t="e">
        <f>EXACT(VLOOKUP(CONCATENATE($H$10,"II",$A59),Inglés!$A:$H,7,FALSE),VLOOKUP(CONCATENATE($H$13,"II",$I$10,$H$10,$G$4,$H$4,$I$4),Captura!$D:$CR,33,FALSE))</f>
        <v>#N/A</v>
      </c>
      <c r="N59" s="1" t="e">
        <f>EXACT(VLOOKUP(CONCATENATE($H$10,"III",$A59),Inglés!$A:$H,7,FALSE),VLOOKUP(CONCATENATE($H$13,"III",$I$10,$H$10,$G$4,$H$4,$I$4),Captura!$D:$CR,33,FALSE))</f>
        <v>#N/A</v>
      </c>
      <c r="O59" s="1" t="e">
        <f>EXACT(VLOOKUP(CONCATENATE($H$10,"IV",$A59),Inglés!$A:$H,7,FALSE),VLOOKUP(CONCATENATE($H$13,"IV",$I$10,$H$10,$G$4,$H$4,$I$4),Captura!$D:$CR,33,FALSE))</f>
        <v>#N/A</v>
      </c>
      <c r="P59" s="1" t="e">
        <f>EXACT(VLOOKUP(CONCATENATE($H$10,"V",$A59),Inglés!$A:$H,7,FALSE),VLOOKUP(CONCATENATE($H$13,"V",$I$10,$H$10,$G$4,$H$4,$I$4),Captura!$D:$CR,33,FALSE))</f>
        <v>#N/A</v>
      </c>
    </row>
    <row r="60" spans="1:16" s="1" customFormat="1" ht="24.95" customHeight="1" x14ac:dyDescent="0.15">
      <c r="A60" s="30">
        <v>6</v>
      </c>
      <c r="B60" s="105" t="e">
        <f t="shared" si="6"/>
        <v>#N/A</v>
      </c>
      <c r="C60" s="100" t="e">
        <f>VLOOKUP(CONCATENATE($H$13,$H$15,$I$10,$H$10,$G$4,$H$4,$I$4),Captura!D:CR,34,FALSE)</f>
        <v>#N/A</v>
      </c>
      <c r="D60" s="181" t="str">
        <f>IF(VLOOKUP(CONCATENATE($H$10,$H$15,$A60),Inglés!A:H,4,FALSE)=0,D59,VLOOKUP(CONCATENATE($H$10,$H$15,$A60),Inglés!A:H,4,FALSE))</f>
        <v>Lesson 31:Identificar e interpretar señales que indican precaución.</v>
      </c>
      <c r="E60" s="182"/>
      <c r="F60" s="183"/>
      <c r="G60" s="181" t="str">
        <f>IF(VLOOKUP(CONCATENATE($H$10,$H$15,$A60),Inglés!A:H,5,FALSE)=0,G59,VLOOKUP(CONCATENATE($H$10,$H$15,$A60),Inglés!A:H,5,FALSE))</f>
        <v>Identicicación de advertencias.</v>
      </c>
      <c r="H60" s="182"/>
      <c r="I60" s="183"/>
      <c r="J60" s="100" t="str">
        <f>VLOOKUP(CONCATENATE($H$10,$H$15,$A60),Inglés!A:H,8,FALSE)</f>
        <v>Aplicación de procedimientos</v>
      </c>
      <c r="K60" s="1" t="str">
        <f>VLOOKUP(CONCATENATE($H$10,$H$15,$A60),Inglés!A:H,7,FALSE)</f>
        <v>C</v>
      </c>
      <c r="L60" s="1" t="e">
        <f>EXACT(VLOOKUP(CONCATENATE($H$10,"I",$A60),Inglés!$A:$H,7,FALSE),VLOOKUP(CONCATENATE($H$13,"I",$I$10,$H$10,$G$4,$H$4,$I$4),Captura!$D:$CR,34,FALSE))</f>
        <v>#N/A</v>
      </c>
      <c r="M60" s="1" t="e">
        <f>EXACT(VLOOKUP(CONCATENATE($H$10,"II",$A60),Inglés!$A:$H,7,FALSE),VLOOKUP(CONCATENATE($H$13,"II",$I$10,$H$10,$G$4,$H$4,$I$4),Captura!$D:$CR,34,FALSE))</f>
        <v>#N/A</v>
      </c>
      <c r="N60" s="1" t="e">
        <f>EXACT(VLOOKUP(CONCATENATE($H$10,"III",$A60),Inglés!$A:$H,7,FALSE),VLOOKUP(CONCATENATE($H$13,"III",$I$10,$H$10,$G$4,$H$4,$I$4),Captura!$D:$CR,34,FALSE))</f>
        <v>#N/A</v>
      </c>
      <c r="O60" s="1" t="e">
        <f>EXACT(VLOOKUP(CONCATENATE($H$10,"IV",$A60),Inglés!$A:$H,7,FALSE),VLOOKUP(CONCATENATE($H$13,"IV",$I$10,$H$10,$G$4,$H$4,$I$4),Captura!$D:$CR,34,FALSE))</f>
        <v>#N/A</v>
      </c>
      <c r="P60" s="1" t="e">
        <f>EXACT(VLOOKUP(CONCATENATE($H$10,"V",$A60),Inglés!$A:$H,7,FALSE),VLOOKUP(CONCATENATE($H$13,"V",$I$10,$H$10,$G$4,$H$4,$I$4),Captura!$D:$CR,34,FALSE))</f>
        <v>#N/A</v>
      </c>
    </row>
    <row r="61" spans="1:16" s="1" customFormat="1" ht="24.95" customHeight="1" x14ac:dyDescent="0.15">
      <c r="A61" s="30">
        <v>7</v>
      </c>
      <c r="B61" s="105" t="e">
        <f t="shared" si="6"/>
        <v>#N/A</v>
      </c>
      <c r="C61" s="100" t="e">
        <f>VLOOKUP(CONCATENATE($H$13,$H$15,$I$10,$H$10,$G$4,$H$4,$I$4),Captura!D:CR,35,FALSE)</f>
        <v>#N/A</v>
      </c>
      <c r="D61" s="181" t="str">
        <f>IF(VLOOKUP(CONCATENATE($H$10,$H$15,$A61),Inglés!A:H,4,FALSE)=0,D60,VLOOKUP(CONCATENATE($H$10,$H$15,$A61),Inglés!A:H,4,FALSE))</f>
        <v>Lesson 41: Identificar que "must" también se usa para indicar obligación.</v>
      </c>
      <c r="E61" s="182"/>
      <c r="F61" s="183"/>
      <c r="G61" s="181" t="str">
        <f>IF(VLOOKUP(CONCATENATE($H$10,$H$15,$A61),Inglés!A:H,5,FALSE)=0,G60,VLOOKUP(CONCATENATE($H$10,$H$15,$A61),Inglés!A:H,5,FALSE))</f>
        <v>Uso del verbo "must" para indicar obligación.</v>
      </c>
      <c r="H61" s="182"/>
      <c r="I61" s="183"/>
      <c r="J61" s="100" t="str">
        <f>VLOOKUP(CONCATENATE($H$10,$H$15,$A61),Inglés!A:H,8,FALSE)</f>
        <v>Aplicación de procedimientos</v>
      </c>
      <c r="K61" s="1" t="str">
        <f>VLOOKUP(CONCATENATE($H$10,$H$15,$A61),Inglés!A:H,7,FALSE)</f>
        <v>A</v>
      </c>
      <c r="L61" s="1" t="e">
        <f>EXACT(VLOOKUP(CONCATENATE($H$10,"I",$A61),Inglés!$A:$H,7,FALSE),VLOOKUP(CONCATENATE($H$13,"I",$I$10,$H$10,$G$4,$H$4,$I$4),Captura!$D:$CR,35,FALSE))</f>
        <v>#N/A</v>
      </c>
      <c r="M61" s="1" t="e">
        <f>EXACT(VLOOKUP(CONCATENATE($H$10,"II",$A61),Inglés!$A:$H,7,FALSE),VLOOKUP(CONCATENATE($H$13,"II",$I$10,$H$10,$G$4,$H$4,$I$4),Captura!$D:$CR,35,FALSE))</f>
        <v>#N/A</v>
      </c>
      <c r="N61" s="1" t="e">
        <f>EXACT(VLOOKUP(CONCATENATE($H$10,"III",$A61),Inglés!$A:$H,7,FALSE),VLOOKUP(CONCATENATE($H$13,"III",$I$10,$H$10,$G$4,$H$4,$I$4),Captura!$D:$CR,35,FALSE))</f>
        <v>#N/A</v>
      </c>
      <c r="O61" s="1" t="e">
        <f>EXACT(VLOOKUP(CONCATENATE($H$10,"IV",$A61),Inglés!$A:$H,7,FALSE),VLOOKUP(CONCATENATE($H$13,"IV",$I$10,$H$10,$G$4,$H$4,$I$4),Captura!$D:$CR,35,FALSE))</f>
        <v>#N/A</v>
      </c>
      <c r="P61" s="1" t="e">
        <f>EXACT(VLOOKUP(CONCATENATE($H$10,"V",$A61),Inglés!$A:$H,7,FALSE),VLOOKUP(CONCATENATE($H$13,"V",$I$10,$H$10,$G$4,$H$4,$I$4),Captura!$D:$CR,35,FALSE))</f>
        <v>#N/A</v>
      </c>
    </row>
    <row r="62" spans="1:16" s="1" customFormat="1" ht="24.95" customHeight="1" x14ac:dyDescent="0.15">
      <c r="A62" s="30">
        <v>8</v>
      </c>
      <c r="B62" s="105" t="e">
        <f t="shared" si="6"/>
        <v>#N/A</v>
      </c>
      <c r="C62" s="100" t="e">
        <f>VLOOKUP(CONCATENATE($H$13,$H$15,$I$10,$H$10,$G$4,$H$4,$I$4),Captura!D:CR,36,FALSE)</f>
        <v>#N/A</v>
      </c>
      <c r="D62" s="181" t="str">
        <f>IF(VLOOKUP(CONCATENATE($H$10,$H$15,$A62),Inglés!A:H,4,FALSE)=0,D61,VLOOKUP(CONCATENATE($H$10,$H$15,$A62),Inglés!A:H,4,FALSE))</f>
        <v>Lesson 43: Usar "have to/has to" para indicar obligación.</v>
      </c>
      <c r="E62" s="182"/>
      <c r="F62" s="183"/>
      <c r="G62" s="181" t="str">
        <f>IF(VLOOKUP(CONCATENATE($H$10,$H$15,$A62),Inglés!A:H,5,FALSE)=0,G61,VLOOKUP(CONCATENATE($H$10,$H$15,$A62),Inglés!A:H,5,FALSE))</f>
        <v>Uso del verbo "have to/has to" para indicar obligación.</v>
      </c>
      <c r="H62" s="182"/>
      <c r="I62" s="183"/>
      <c r="J62" s="100" t="str">
        <f>VLOOKUP(CONCATENATE($H$10,$H$15,$A62),Inglés!A:H,8,FALSE)</f>
        <v>Aplicación de procedimientos</v>
      </c>
      <c r="K62" s="1" t="str">
        <f>VLOOKUP(CONCATENATE($H$10,$H$15,$A62),Inglés!A:H,7,FALSE)</f>
        <v>B</v>
      </c>
      <c r="L62" s="1" t="e">
        <f>EXACT(VLOOKUP(CONCATENATE($H$10,"I",$A62),Inglés!$A:$H,7,FALSE),VLOOKUP(CONCATENATE($H$13,"I",$I$10,$H$10,$G$4,$H$4,$I$4),Captura!$D:$CR,36,FALSE))</f>
        <v>#N/A</v>
      </c>
      <c r="M62" s="1" t="e">
        <f>EXACT(VLOOKUP(CONCATENATE($H$10,"II",$A62),Inglés!$A:$H,7,FALSE),VLOOKUP(CONCATENATE($H$13,"II",$I$10,$H$10,$G$4,$H$4,$I$4),Captura!$D:$CR,36,FALSE))</f>
        <v>#N/A</v>
      </c>
      <c r="N62" s="1" t="e">
        <f>EXACT(VLOOKUP(CONCATENATE($H$10,"III",$A62),Inglés!$A:$H,7,FALSE),VLOOKUP(CONCATENATE($H$13,"III",$I$10,$H$10,$G$4,$H$4,$I$4),Captura!$D:$CR,36,FALSE))</f>
        <v>#N/A</v>
      </c>
      <c r="O62" s="1" t="e">
        <f>EXACT(VLOOKUP(CONCATENATE($H$10,"IV",$A62),Inglés!$A:$H,7,FALSE),VLOOKUP(CONCATENATE($H$13,"IV",$I$10,$H$10,$G$4,$H$4,$I$4),Captura!$D:$CR,36,FALSE))</f>
        <v>#N/A</v>
      </c>
      <c r="P62" s="1" t="e">
        <f>EXACT(VLOOKUP(CONCATENATE($H$10,"V",$A62),Inglés!$A:$H,7,FALSE),VLOOKUP(CONCATENATE($H$13,"V",$I$10,$H$10,$G$4,$H$4,$I$4),Captura!$D:$CR,36,FALSE))</f>
        <v>#N/A</v>
      </c>
    </row>
    <row r="63" spans="1:16" s="1" customFormat="1" ht="24.95" customHeight="1" x14ac:dyDescent="0.15">
      <c r="A63" s="30">
        <v>9</v>
      </c>
      <c r="B63" s="105" t="e">
        <f t="shared" si="6"/>
        <v>#N/A</v>
      </c>
      <c r="C63" s="100" t="e">
        <f>VLOOKUP(CONCATENATE($H$13,$H$15,$I$10,$H$10,$G$4,$H$4,$I$4),Captura!D:CR,37,FALSE)</f>
        <v>#N/A</v>
      </c>
      <c r="D63" s="181" t="str">
        <f>IF(VLOOKUP(CONCATENATE($H$10,$H$15,$A63),Inglés!A:H,4,FALSE)=0,D62,VLOOKUP(CONCATENATE($H$10,$H$15,$A63),Inglés!A:H,4,FALSE))</f>
        <v>Lesson 38: Interpretar instrucciones de seguridad.</v>
      </c>
      <c r="E63" s="182"/>
      <c r="F63" s="183"/>
      <c r="G63" s="181" t="str">
        <f>IF(VLOOKUP(CONCATENATE($H$10,$H$15,$A63),Inglés!A:H,5,FALSE)=0,G62,VLOOKUP(CONCATENATE($H$10,$H$15,$A63),Inglés!A:H,5,FALSE))</f>
        <v>Identicicación de instrucciones a seguir.</v>
      </c>
      <c r="H63" s="182"/>
      <c r="I63" s="183"/>
      <c r="J63" s="100" t="str">
        <f>VLOOKUP(CONCATENATE($H$10,$H$15,$A63),Inglés!A:H,8,FALSE)</f>
        <v>Aplicación de procedimientos</v>
      </c>
      <c r="K63" s="1" t="str">
        <f>VLOOKUP(CONCATENATE($H$10,$H$15,$A63),Inglés!A:H,7,FALSE)</f>
        <v>A</v>
      </c>
      <c r="L63" s="1" t="e">
        <f>EXACT(VLOOKUP(CONCATENATE($H$10,"I",$A63),Inglés!$A:$H,7,FALSE),VLOOKUP(CONCATENATE($H$13,"I",$I$10,$H$10,$G$4,$H$4,$I$4),Captura!$D:$CR,37,FALSE))</f>
        <v>#N/A</v>
      </c>
      <c r="M63" s="1" t="e">
        <f>EXACT(VLOOKUP(CONCATENATE($H$10,"II",$A63),Inglés!$A:$H,7,FALSE),VLOOKUP(CONCATENATE($H$13,"II",$I$10,$H$10,$G$4,$H$4,$I$4),Captura!$D:$CR,37,FALSE))</f>
        <v>#N/A</v>
      </c>
      <c r="N63" s="1" t="e">
        <f>EXACT(VLOOKUP(CONCATENATE($H$10,"III",$A63),Inglés!$A:$H,7,FALSE),VLOOKUP(CONCATENATE($H$13,"III",$I$10,$H$10,$G$4,$H$4,$I$4),Captura!$D:$CR,37,FALSE))</f>
        <v>#N/A</v>
      </c>
      <c r="O63" s="1" t="e">
        <f>EXACT(VLOOKUP(CONCATENATE($H$10,"IV",$A63),Inglés!$A:$H,7,FALSE),VLOOKUP(CONCATENATE($H$13,"IV",$I$10,$H$10,$G$4,$H$4,$I$4),Captura!$D:$CR,37,FALSE))</f>
        <v>#N/A</v>
      </c>
      <c r="P63" s="1" t="e">
        <f>EXACT(VLOOKUP(CONCATENATE($H$10,"V",$A63),Inglés!$A:$H,7,FALSE),VLOOKUP(CONCATENATE($H$13,"V",$I$10,$H$10,$G$4,$H$4,$I$4),Captura!$D:$CR,37,FALSE))</f>
        <v>#N/A</v>
      </c>
    </row>
    <row r="64" spans="1:16" s="1" customFormat="1" ht="24.95" customHeight="1" x14ac:dyDescent="0.15">
      <c r="A64" s="30">
        <v>10</v>
      </c>
      <c r="B64" s="105" t="e">
        <f t="shared" si="6"/>
        <v>#N/A</v>
      </c>
      <c r="C64" s="100" t="e">
        <f>VLOOKUP(CONCATENATE($H$13,$H$15,$I$10,$H$10,$G$4,$H$4,$I$4),Captura!D:CR,38,FALSE)</f>
        <v>#N/A</v>
      </c>
      <c r="D64" s="181" t="str">
        <f>IF(VLOOKUP(CONCATENATE($H$10,$H$15,$A64),Inglés!A:H,4,FALSE)=0,D63,VLOOKUP(CONCATENATE($H$10,$H$15,$A64),Inglés!A:H,4,FALSE))</f>
        <v>Lesson 36: Identificar las señales de precaución.</v>
      </c>
      <c r="E64" s="182"/>
      <c r="F64" s="183"/>
      <c r="G64" s="181" t="str">
        <f>IF(VLOOKUP(CONCATENATE($H$10,$H$15,$A64),Inglés!A:H,5,FALSE)=0,G63,VLOOKUP(CONCATENATE($H$10,$H$15,$A64),Inglés!A:H,5,FALSE))</f>
        <v>Identicicación de precacuciones en señales.</v>
      </c>
      <c r="H64" s="182"/>
      <c r="I64" s="183"/>
      <c r="J64" s="100" t="str">
        <f>VLOOKUP(CONCATENATE($H$10,$H$15,$A64),Inglés!A:H,8,FALSE)</f>
        <v>Aplicación de procedimientos</v>
      </c>
      <c r="K64" s="1" t="str">
        <f>VLOOKUP(CONCATENATE($H$10,$H$15,$A64),Inglés!A:H,7,FALSE)</f>
        <v>C</v>
      </c>
      <c r="L64" s="1" t="e">
        <f>EXACT(VLOOKUP(CONCATENATE($H$10,"I",$A64),Inglés!$A:$H,7,FALSE),VLOOKUP(CONCATENATE($H$13,"I",$I$10,$H$10,$G$4,$H$4,$I$4),Captura!$D:$CR,38,FALSE))</f>
        <v>#N/A</v>
      </c>
      <c r="M64" s="1" t="e">
        <f>EXACT(VLOOKUP(CONCATENATE($H$10,"II",$A64),Inglés!$A:$H,7,FALSE),VLOOKUP(CONCATENATE($H$13,"II",$I$10,$H$10,$G$4,$H$4,$I$4),Captura!$D:$CR,38,FALSE))</f>
        <v>#N/A</v>
      </c>
      <c r="N64" s="1" t="e">
        <f>EXACT(VLOOKUP(CONCATENATE($H$10,"III",$A64),Inglés!$A:$H,7,FALSE),VLOOKUP(CONCATENATE($H$13,"III",$I$10,$H$10,$G$4,$H$4,$I$4),Captura!$D:$CR,38,FALSE))</f>
        <v>#N/A</v>
      </c>
      <c r="O64" s="1" t="e">
        <f>EXACT(VLOOKUP(CONCATENATE($H$10,"IV",$A64),Inglés!$A:$H,7,FALSE),VLOOKUP(CONCATENATE($H$13,"IV",$I$10,$H$10,$G$4,$H$4,$I$4),Captura!$D:$CR,38,FALSE))</f>
        <v>#N/A</v>
      </c>
      <c r="P64" s="1" t="e">
        <f>EXACT(VLOOKUP(CONCATENATE($H$10,"V",$A64),Inglés!$A:$H,7,FALSE),VLOOKUP(CONCATENATE($H$13,"V",$I$10,$H$10,$G$4,$H$4,$I$4),Captura!$D:$CR,38,FALSE))</f>
        <v>#N/A</v>
      </c>
    </row>
    <row r="65" spans="1:16" x14ac:dyDescent="0.15">
      <c r="D65" s="2"/>
      <c r="E65" s="2"/>
      <c r="F65" s="2"/>
      <c r="G65" s="2"/>
      <c r="H65" s="2"/>
      <c r="I65" s="66"/>
      <c r="L65" s="1"/>
      <c r="M65" s="1"/>
      <c r="N65" s="1"/>
      <c r="O65" s="1"/>
      <c r="P65" s="1"/>
    </row>
    <row r="66" spans="1:16" x14ac:dyDescent="0.15">
      <c r="A66" s="189" t="str">
        <f>IF(H10=1,"Matemáticas I",IF(H10=2,"Matemáticas II",IF(H10=3,"Matemáticas III")))</f>
        <v>Matemáticas III</v>
      </c>
      <c r="B66" s="189"/>
      <c r="C66" s="189"/>
      <c r="D66" s="189"/>
      <c r="E66" s="189"/>
      <c r="F66" s="189"/>
      <c r="G66" s="189"/>
      <c r="H66" s="189"/>
      <c r="I66" s="189"/>
      <c r="J66" s="189"/>
      <c r="L66" s="1"/>
    </row>
    <row r="67" spans="1:16" ht="21" x14ac:dyDescent="0.15">
      <c r="A67" s="74" t="s">
        <v>6125</v>
      </c>
      <c r="B67" s="103"/>
      <c r="C67" s="74" t="s">
        <v>6123</v>
      </c>
      <c r="D67" s="187" t="s">
        <v>6365</v>
      </c>
      <c r="E67" s="187"/>
      <c r="F67" s="187"/>
      <c r="G67" s="187" t="s">
        <v>6366</v>
      </c>
      <c r="H67" s="187"/>
      <c r="I67" s="187"/>
      <c r="J67" s="85" t="s">
        <v>6377</v>
      </c>
      <c r="L67" s="1"/>
    </row>
    <row r="68" spans="1:16" ht="24.95" customHeight="1" x14ac:dyDescent="0.15">
      <c r="A68" s="30">
        <v>1</v>
      </c>
      <c r="B68" s="104" t="e">
        <f>IF(K68&lt;&gt;C68,-1,1)</f>
        <v>#N/A</v>
      </c>
      <c r="C68" s="3" t="e">
        <f>VLOOKUP(CONCATENATE($H$13,$H$15,$I$10,$H$10,$G$4,$H$4,$I$4),Captura!D:CR,39,FALSE)</f>
        <v>#N/A</v>
      </c>
      <c r="D68" s="181" t="str">
        <f>IF(VLOOKUP(CONCATENATE($H$10,$H$15,$A68),Matemáticas!A:H,4,FALSE)=0,D67,VLOOKUP(CONCATENATE($H$10,$H$15,$A68),Matemáticas!A:H,4,FALSE))</f>
        <v xml:space="preserve"> </v>
      </c>
      <c r="E68" s="182"/>
      <c r="F68" s="183"/>
      <c r="G68" s="181" t="str">
        <f>IF(VLOOKUP(CONCATENATE($H$10,$H$15,$A68),Matemáticas!A:H,5,FALSE)=0,G67,VLOOKUP(CONCATENATE($H$10,$H$15,$A68),Matemáticas!A:H,5,FALSE))</f>
        <v>Uso de ecuaciones cuadráticas para modelar situaciones y resolverlas usando la factorización.</v>
      </c>
      <c r="H68" s="182"/>
      <c r="I68" s="183"/>
      <c r="J68" s="3" t="str">
        <f>VLOOKUP(CONCATENATE($H$10,$H$15,$A68),Matemáticas!A:H,8,FALSE)</f>
        <v>Resol.  problemas</v>
      </c>
      <c r="K68" s="2" t="str">
        <f>VLOOKUP(CONCATENATE($H$10,$H$15,$A68),Matemáticas!A:H,7,FALSE)</f>
        <v>B</v>
      </c>
      <c r="L68" s="1" t="e">
        <f>EXACT(VLOOKUP(CONCATENATE($H$10,"I",$A68),Matemáticas!$A:$H,7,FALSE),VLOOKUP(CONCATENATE($H$13,"I",$I$10,$H$10,$G$4,$H$4,$I$4),Captura!$D:$CR,39,FALSE))</f>
        <v>#N/A</v>
      </c>
      <c r="M68" s="1" t="e">
        <f>EXACT(VLOOKUP(CONCATENATE($H$10,"II",$A68),Matemáticas!$A:$H,7,FALSE),VLOOKUP(CONCATENATE($H$13,"II",$I$10,$H$10,$G$4,$H$4,$I$4),Captura!$D:$CR,39,FALSE))</f>
        <v>#N/A</v>
      </c>
      <c r="N68" s="1" t="e">
        <f>EXACT(VLOOKUP(CONCATENATE($H$10,"III",$A68),Matemáticas!$A:$H,7,FALSE),VLOOKUP(CONCATENATE($H$13,"III",$I$10,$H$10,$G$4,$H$4,$I$4),Captura!$D:$CR,39,FALSE))</f>
        <v>#N/A</v>
      </c>
      <c r="O68" s="1" t="e">
        <f>EXACT(VLOOKUP(CONCATENATE($H$10,"IV",$A68),Matemáticas!$A:$H,7,FALSE),VLOOKUP(CONCATENATE($H$13,"IV",$I$10,$H$10,$G$4,$H$4,$I$4),Captura!$D:$CR,39,FALSE))</f>
        <v>#N/A</v>
      </c>
      <c r="P68" s="1" t="e">
        <f>EXACT(VLOOKUP(CONCATENATE($H$10,"V",$A68),Matemáticas!$A:$H,7,FALSE),VLOOKUP(CONCATENATE($H$13,"V",$I$10,$H$10,$G$4,$H$4,$I$4),Captura!$D:$CR,39,FALSE))</f>
        <v>#N/A</v>
      </c>
    </row>
    <row r="69" spans="1:16" ht="24.95" customHeight="1" x14ac:dyDescent="0.15">
      <c r="A69" s="30">
        <v>2</v>
      </c>
      <c r="B69" s="104" t="e">
        <f t="shared" ref="B69:B87" si="7">IF(K69&lt;&gt;C69,-1,1)</f>
        <v>#N/A</v>
      </c>
      <c r="C69" s="92" t="e">
        <f>VLOOKUP(CONCATENATE($H$13,$H$15,$I$10,$H$10,$G$4,$H$4,$I$4),Captura!D:CR,40,FALSE)</f>
        <v>#N/A</v>
      </c>
      <c r="D69" s="181" t="str">
        <f>IF(VLOOKUP(CONCATENATE($H$10,$H$15,$A69),Matemáticas!A:H,4,FALSE)=0,D68,VLOOKUP(CONCATENATE($H$10,$H$15,$A69),Matemáticas!A:H,4,FALSE))</f>
        <v xml:space="preserve"> </v>
      </c>
      <c r="E69" s="182"/>
      <c r="F69" s="183"/>
      <c r="G69" s="181" t="str">
        <f>IF(VLOOKUP(CONCATENATE($H$10,$H$15,$A69),Matemáticas!A:H,5,FALSE)=0,G68,VLOOKUP(CONCATENATE($H$10,$H$15,$A69),Matemáticas!A:H,5,FALSE))</f>
        <v>Uso de ecuaciones cuadráticas para modelar situaciones y resolverlas usando la factorización.</v>
      </c>
      <c r="H69" s="182"/>
      <c r="I69" s="183"/>
      <c r="J69" s="92" t="str">
        <f>VLOOKUP(CONCATENATE($H$10,$H$15,$A69),Matemáticas!A:H,8,FALSE)</f>
        <v>Aplic. Procedimientos</v>
      </c>
      <c r="K69" s="2" t="str">
        <f>VLOOKUP(CONCATENATE($H$10,$H$15,$A69),Matemáticas!A:H,7,FALSE)</f>
        <v>C</v>
      </c>
      <c r="L69" s="1" t="e">
        <f>EXACT(VLOOKUP(CONCATENATE($H$10,"I",$A69),Matemáticas!$A:$H,7,FALSE),VLOOKUP(CONCATENATE($H$13,"I",$I$10,$H$10,$G$4,$H$4,$I$4),Captura!$D:$CR,40,FALSE))</f>
        <v>#N/A</v>
      </c>
      <c r="M69" s="1" t="e">
        <f>EXACT(VLOOKUP(CONCATENATE($H$10,"II",$A69),Matemáticas!$A:$H,7,FALSE),VLOOKUP(CONCATENATE($H$13,"II",$I$10,$H$10,$G$4,$H$4,$I$4),Captura!$D:$CR,40,FALSE))</f>
        <v>#N/A</v>
      </c>
      <c r="N69" s="1" t="e">
        <f>EXACT(VLOOKUP(CONCATENATE($H$10,"III",$A69),Matemáticas!$A:$H,7,FALSE),VLOOKUP(CONCATENATE($H$13,"III",$I$10,$H$10,$G$4,$H$4,$I$4),Captura!$D:$CR,40,FALSE))</f>
        <v>#N/A</v>
      </c>
      <c r="O69" s="1" t="e">
        <f>EXACT(VLOOKUP(CONCATENATE($H$10,"IV",$A69),Matemáticas!$A:$H,7,FALSE),VLOOKUP(CONCATENATE($H$13,"IV",$I$10,$H$10,$G$4,$H$4,$I$4),Captura!$D:$CR,40,FALSE))</f>
        <v>#N/A</v>
      </c>
      <c r="P69" s="1" t="e">
        <f>EXACT(VLOOKUP(CONCATENATE($H$10,"V",$A69),Matemáticas!$A:$H,7,FALSE),VLOOKUP(CONCATENATE($H$13,"V",$I$10,$H$10,$G$4,$H$4,$I$4),Captura!$D:$CR,40,FALSE))</f>
        <v>#N/A</v>
      </c>
    </row>
    <row r="70" spans="1:16" ht="24.95" customHeight="1" x14ac:dyDescent="0.15">
      <c r="A70" s="30">
        <v>3</v>
      </c>
      <c r="B70" s="104" t="e">
        <f t="shared" si="7"/>
        <v>#N/A</v>
      </c>
      <c r="C70" s="92" t="e">
        <f>VLOOKUP(CONCATENATE($H$13,$H$15,$I$10,$H$10,$G$4,$H$4,$I$4),Captura!D:CR,41,FALSE)</f>
        <v>#N/A</v>
      </c>
      <c r="D70" s="181" t="str">
        <f>IF(VLOOKUP(CONCATENATE($H$10,$H$15,$A70),Matemáticas!A:H,4,FALSE)=0,D69,VLOOKUP(CONCATENATE($H$10,$H$15,$A70),Matemáticas!A:H,4,FALSE))</f>
        <v xml:space="preserve"> </v>
      </c>
      <c r="E70" s="182"/>
      <c r="F70" s="183"/>
      <c r="G70" s="181" t="str">
        <f>IF(VLOOKUP(CONCATENATE($H$10,$H$15,$A70),Matemáticas!A:H,5,FALSE)=0,G69,VLOOKUP(CONCATENATE($H$10,$H$15,$A70),Matemáticas!A:H,5,FALSE))</f>
        <v>Uso de ecuaciones cuadráticas para modelar situaciones y resolverlas usando la factorización.</v>
      </c>
      <c r="H70" s="182"/>
      <c r="I70" s="183"/>
      <c r="J70" s="92" t="str">
        <f>VLOOKUP(CONCATENATE($H$10,$H$15,$A70),Matemáticas!A:H,8,FALSE)</f>
        <v>Resol.  problemas</v>
      </c>
      <c r="K70" s="2" t="str">
        <f>VLOOKUP(CONCATENATE($H$10,$H$15,$A70),Matemáticas!A:H,7,FALSE)</f>
        <v>D</v>
      </c>
      <c r="L70" s="1" t="e">
        <f>EXACT(VLOOKUP(CONCATENATE($H$10,"I",$A70),Matemáticas!$A:$H,7,FALSE),VLOOKUP(CONCATENATE($H$13,"I",$I$10,$H$10,$G$4,$H$4,$I$4),Captura!$D:$CR,41,FALSE))</f>
        <v>#N/A</v>
      </c>
      <c r="M70" s="1" t="e">
        <f>EXACT(VLOOKUP(CONCATENATE($H$10,"II",$A70),Matemáticas!$A:$H,7,FALSE),VLOOKUP(CONCATENATE($H$13,"II",$I$10,$H$10,$G$4,$H$4,$I$4),Captura!$D:$CR,41,FALSE))</f>
        <v>#N/A</v>
      </c>
      <c r="N70" s="1" t="e">
        <f>EXACT(VLOOKUP(CONCATENATE($H$10,"III",$A70),Matemáticas!$A:$H,7,FALSE),VLOOKUP(CONCATENATE($H$13,"III",$I$10,$H$10,$G$4,$H$4,$I$4),Captura!$D:$CR,41,FALSE))</f>
        <v>#N/A</v>
      </c>
      <c r="O70" s="1" t="e">
        <f>EXACT(VLOOKUP(CONCATENATE($H$10,"IV",$A70),Matemáticas!$A:$H,7,FALSE),VLOOKUP(CONCATENATE($H$13,"IV",$I$10,$H$10,$G$4,$H$4,$I$4),Captura!$D:$CR,41,FALSE))</f>
        <v>#N/A</v>
      </c>
      <c r="P70" s="1" t="e">
        <f>EXACT(VLOOKUP(CONCATENATE($H$10,"V",$A70),Matemáticas!$A:$H,7,FALSE),VLOOKUP(CONCATENATE($H$13,"V",$I$10,$H$10,$G$4,$H$4,$I$4),Captura!$D:$CR,41,FALSE))</f>
        <v>#N/A</v>
      </c>
    </row>
    <row r="71" spans="1:16" ht="24.95" customHeight="1" x14ac:dyDescent="0.15">
      <c r="A71" s="30">
        <v>4</v>
      </c>
      <c r="B71" s="104" t="e">
        <f t="shared" si="7"/>
        <v>#N/A</v>
      </c>
      <c r="C71" s="92" t="e">
        <f>VLOOKUP(CONCATENATE($H$13,$H$15,$I$10,$H$10,$G$4,$H$4,$I$4),Captura!D:CR,42,FALSE)</f>
        <v>#N/A</v>
      </c>
      <c r="D71" s="181" t="str">
        <f>IF(VLOOKUP(CONCATENATE($H$10,$H$15,$A71),Matemáticas!A:H,4,FALSE)=0,D70,VLOOKUP(CONCATENATE($H$10,$H$15,$A71),Matemáticas!A:H,4,FALSE))</f>
        <v xml:space="preserve"> </v>
      </c>
      <c r="E71" s="182"/>
      <c r="F71" s="183"/>
      <c r="G71" s="181" t="str">
        <f>IF(VLOOKUP(CONCATENATE($H$10,$H$15,$A71),Matemáticas!A:H,5,FALSE)=0,G70,VLOOKUP(CONCATENATE($H$10,$H$15,$A71),Matemáticas!A:H,5,FALSE))</f>
        <v>Uso de ecuaciones cuadráticas para modelar situaciones y resolverlas usando la factorización.</v>
      </c>
      <c r="H71" s="182"/>
      <c r="I71" s="183"/>
      <c r="J71" s="92" t="str">
        <f>VLOOKUP(CONCATENATE($H$10,$H$15,$A71),Matemáticas!A:H,8,FALSE)</f>
        <v>Resol.  problemas</v>
      </c>
      <c r="K71" s="2" t="str">
        <f>VLOOKUP(CONCATENATE($H$10,$H$15,$A71),Matemáticas!A:H,7,FALSE)</f>
        <v>A</v>
      </c>
      <c r="L71" s="1" t="e">
        <f>EXACT(VLOOKUP(CONCATENATE($H$10,"I",$A71),Matemáticas!$A:$H,7,FALSE),VLOOKUP(CONCATENATE($H$13,"I",$I$10,$H$10,$G$4,$H$4,$I$4),Captura!$D:$CR,42,FALSE))</f>
        <v>#N/A</v>
      </c>
      <c r="M71" s="1" t="e">
        <f>EXACT(VLOOKUP(CONCATENATE($H$10,"II",$A71),Matemáticas!$A:$H,7,FALSE),VLOOKUP(CONCATENATE($H$13,"II",$I$10,$H$10,$G$4,$H$4,$I$4),Captura!$D:$CR,42,FALSE))</f>
        <v>#N/A</v>
      </c>
      <c r="N71" s="1" t="e">
        <f>EXACT(VLOOKUP(CONCATENATE($H$10,"III",$A71),Matemáticas!$A:$H,7,FALSE),VLOOKUP(CONCATENATE($H$13,"III",$I$10,$H$10,$G$4,$H$4,$I$4),Captura!$D:$CR,42,FALSE))</f>
        <v>#N/A</v>
      </c>
      <c r="O71" s="1" t="e">
        <f>EXACT(VLOOKUP(CONCATENATE($H$10,"IV",$A71),Matemáticas!$A:$H,7,FALSE),VLOOKUP(CONCATENATE($H$13,"IV",$I$10,$H$10,$G$4,$H$4,$I$4),Captura!$D:$CR,42,FALSE))</f>
        <v>#N/A</v>
      </c>
      <c r="P71" s="1" t="e">
        <f>EXACT(VLOOKUP(CONCATENATE($H$10,"V",$A71),Matemáticas!$A:$H,7,FALSE),VLOOKUP(CONCATENATE($H$13,"V",$I$10,$H$10,$G$4,$H$4,$I$4),Captura!$D:$CR,42,FALSE))</f>
        <v>#N/A</v>
      </c>
    </row>
    <row r="72" spans="1:16" ht="24.95" customHeight="1" x14ac:dyDescent="0.15">
      <c r="A72" s="30">
        <v>5</v>
      </c>
      <c r="B72" s="104" t="e">
        <f t="shared" si="7"/>
        <v>#N/A</v>
      </c>
      <c r="C72" s="92" t="e">
        <f>VLOOKUP(CONCATENATE($H$13,$H$15,$I$10,$H$10,$G$4,$H$4,$I$4),Captura!D:CR,43,FALSE)</f>
        <v>#N/A</v>
      </c>
      <c r="D72" s="181" t="str">
        <f>IF(VLOOKUP(CONCATENATE($H$10,$H$15,$A72),Matemáticas!A:H,4,FALSE)=0,D71,VLOOKUP(CONCATENATE($H$10,$H$15,$A72),Matemáticas!A:H,4,FALSE))</f>
        <v>Explica el tipo de transformación (reflexión, rotación o traslación) que se aplica a una figura para obtener  la figura transformada. Identifica las propiedades que se conservan.</v>
      </c>
      <c r="E72" s="182"/>
      <c r="F72" s="183"/>
      <c r="G72" s="181" t="str">
        <f>IF(VLOOKUP(CONCATENATE($H$10,$H$15,$A72),Matemáticas!A:H,5,FALSE)=0,G71,VLOOKUP(CONCATENATE($H$10,$H$15,$A72),Matemáticas!A:H,5,FALSE))</f>
        <v>Análisis de las propiedades de la rotación y la traslación de figuras.</v>
      </c>
      <c r="H72" s="182"/>
      <c r="I72" s="183"/>
      <c r="J72" s="92" t="str">
        <f>VLOOKUP(CONCATENATE($H$10,$H$15,$A72),Matemáticas!A:H,8,FALSE)</f>
        <v>Aplic. procedimientos</v>
      </c>
      <c r="K72" s="2" t="str">
        <f>VLOOKUP(CONCATENATE($H$10,$H$15,$A72),Matemáticas!A:H,7,FALSE)</f>
        <v>C</v>
      </c>
      <c r="L72" s="1" t="e">
        <f>EXACT(VLOOKUP(CONCATENATE($H$10,"I",$A72),Matemáticas!$A:$H,7,FALSE),VLOOKUP(CONCATENATE($H$13,"I",$I$10,$H$10,$G$4,$H$4,$I$4),Captura!$D:$CR,43,FALSE))</f>
        <v>#N/A</v>
      </c>
      <c r="M72" s="1" t="e">
        <f>EXACT(VLOOKUP(CONCATENATE($H$10,"II",$A72),Matemáticas!$A:$H,7,FALSE),VLOOKUP(CONCATENATE($H$13,"II",$I$10,$H$10,$G$4,$H$4,$I$4),Captura!$D:$CR,43,FALSE))</f>
        <v>#N/A</v>
      </c>
      <c r="N72" s="1" t="e">
        <f>EXACT(VLOOKUP(CONCATENATE($H$10,"III",$A72),Matemáticas!$A:$H,7,FALSE),VLOOKUP(CONCATENATE($H$13,"III",$I$10,$H$10,$G$4,$H$4,$I$4),Captura!$D:$CR,43,FALSE))</f>
        <v>#N/A</v>
      </c>
      <c r="O72" s="1" t="e">
        <f>EXACT(VLOOKUP(CONCATENATE($H$10,"IV",$A72),Matemáticas!$A:$H,7,FALSE),VLOOKUP(CONCATENATE($H$13,"IV",$I$10,$H$10,$G$4,$H$4,$I$4),Captura!$D:$CR,43,FALSE))</f>
        <v>#N/A</v>
      </c>
      <c r="P72" s="1" t="e">
        <f>EXACT(VLOOKUP(CONCATENATE($H$10,"V",$A72),Matemáticas!$A:$H,7,FALSE),VLOOKUP(CONCATENATE($H$13,"V",$I$10,$H$10,$G$4,$H$4,$I$4),Captura!$D:$CR,43,FALSE))</f>
        <v>#N/A</v>
      </c>
    </row>
    <row r="73" spans="1:16" ht="24.95" customHeight="1" x14ac:dyDescent="0.15">
      <c r="A73" s="30">
        <v>6</v>
      </c>
      <c r="B73" s="104" t="e">
        <f t="shared" si="7"/>
        <v>#N/A</v>
      </c>
      <c r="C73" s="92" t="e">
        <f>VLOOKUP(CONCATENATE($H$13,$H$15,$I$10,$H$10,$G$4,$H$4,$I$4),Captura!D:CR,44,FALSE)</f>
        <v>#N/A</v>
      </c>
      <c r="D73" s="181" t="str">
        <f>IF(VLOOKUP(CONCATENATE($H$10,$H$15,$A73),Matemáticas!A:H,4,FALSE)=0,D72,VLOOKUP(CONCATENATE($H$10,$H$15,$A73),Matemáticas!A:H,4,FALSE))</f>
        <v>Explica el tipo de transformación (reflexión, rotación o traslación) que se aplica a una figura para obtener  la figura transformada. Identifica las propiedades que se conservan.</v>
      </c>
      <c r="E73" s="182"/>
      <c r="F73" s="183"/>
      <c r="G73" s="181" t="str">
        <f>IF(VLOOKUP(CONCATENATE($H$10,$H$15,$A73),Matemáticas!A:H,5,FALSE)=0,G72,VLOOKUP(CONCATENATE($H$10,$H$15,$A73),Matemáticas!A:H,5,FALSE))</f>
        <v>Análisis de las propiedades de la rotación y la traslación de figuras.</v>
      </c>
      <c r="H73" s="182"/>
      <c r="I73" s="183"/>
      <c r="J73" s="92" t="str">
        <f>VLOOKUP(CONCATENATE($H$10,$H$15,$A73),Matemáticas!A:H,8,FALSE)</f>
        <v>Aplic. procedimientos</v>
      </c>
      <c r="K73" s="2" t="str">
        <f>VLOOKUP(CONCATENATE($H$10,$H$15,$A73),Matemáticas!A:H,7,FALSE)</f>
        <v>A</v>
      </c>
      <c r="L73" s="1" t="e">
        <f>EXACT(VLOOKUP(CONCATENATE($H$10,"I",$A73),Matemáticas!$A:$H,7,FALSE),VLOOKUP(CONCATENATE($H$13,"I",$I$10,$H$10,$G$4,$H$4,$I$4),Captura!$D:$CR,44,FALSE))</f>
        <v>#N/A</v>
      </c>
      <c r="M73" s="1" t="e">
        <f>EXACT(VLOOKUP(CONCATENATE($H$10,"II",$A73),Matemáticas!$A:$H,7,FALSE),VLOOKUP(CONCATENATE($H$13,"II",$I$10,$H$10,$G$4,$H$4,$I$4),Captura!$D:$CR,44,FALSE))</f>
        <v>#N/A</v>
      </c>
      <c r="N73" s="1" t="e">
        <f>EXACT(VLOOKUP(CONCATENATE($H$10,"III",$A73),Matemáticas!$A:$H,7,FALSE),VLOOKUP(CONCATENATE($H$13,"III",$I$10,$H$10,$G$4,$H$4,$I$4),Captura!$D:$CR,44,FALSE))</f>
        <v>#N/A</v>
      </c>
      <c r="O73" s="1" t="e">
        <f>EXACT(VLOOKUP(CONCATENATE($H$10,"IV",$A73),Matemáticas!$A:$H,7,FALSE),VLOOKUP(CONCATENATE($H$13,"IV",$I$10,$H$10,$G$4,$H$4,$I$4),Captura!$D:$CR,44,FALSE))</f>
        <v>#N/A</v>
      </c>
      <c r="P73" s="1" t="e">
        <f>EXACT(VLOOKUP(CONCATENATE($H$10,"V",$A73),Matemáticas!$A:$H,7,FALSE),VLOOKUP(CONCATENATE($H$13,"V",$I$10,$H$10,$G$4,$H$4,$I$4),Captura!$D:$CR,44,FALSE))</f>
        <v>#N/A</v>
      </c>
    </row>
    <row r="74" spans="1:16" ht="24.95" customHeight="1" x14ac:dyDescent="0.15">
      <c r="A74" s="30">
        <v>7</v>
      </c>
      <c r="B74" s="104" t="e">
        <f t="shared" si="7"/>
        <v>#N/A</v>
      </c>
      <c r="C74" s="92" t="e">
        <f>VLOOKUP(CONCATENATE($H$13,$H$15,$I$10,$H$10,$G$4,$H$4,$I$4),Captura!D:CR,45,FALSE)</f>
        <v>#N/A</v>
      </c>
      <c r="D74" s="181" t="str">
        <f>IF(VLOOKUP(CONCATENATE($H$10,$H$15,$A74),Matemáticas!A:H,4,FALSE)=0,D73,VLOOKUP(CONCATENATE($H$10,$H$15,$A74),Matemáticas!A:H,4,FALSE))</f>
        <v>Explica el tipo de transformación (reflexión, rotación o traslación) que se aplica a una figura para obtener  la figura transformada. Identifica las propiedades que se conservan.</v>
      </c>
      <c r="E74" s="182"/>
      <c r="F74" s="183"/>
      <c r="G74" s="181" t="str">
        <f>IF(VLOOKUP(CONCATENATE($H$10,$H$15,$A74),Matemáticas!A:H,5,FALSE)=0,G73,VLOOKUP(CONCATENATE($H$10,$H$15,$A74),Matemáticas!A:H,5,FALSE))</f>
        <v>Construcción de diseños que combinan la simetría axial y central , la rotación y la traslación de figuras.</v>
      </c>
      <c r="H74" s="182"/>
      <c r="I74" s="183"/>
      <c r="J74" s="92" t="str">
        <f>VLOOKUP(CONCATENATE($H$10,$H$15,$A74),Matemáticas!A:H,8,FALSE)</f>
        <v>Aplic. procedimientos</v>
      </c>
      <c r="K74" s="2" t="str">
        <f>VLOOKUP(CONCATENATE($H$10,$H$15,$A74),Matemáticas!A:H,7,FALSE)</f>
        <v>D</v>
      </c>
      <c r="L74" s="1" t="e">
        <f>EXACT(VLOOKUP(CONCATENATE($H$10,"I",$A74),Matemáticas!$A:$H,7,FALSE),VLOOKUP(CONCATENATE($H$13,"I",$I$10,$H$10,$G$4,$H$4,$I$4),Captura!$D:$CR,45,FALSE))</f>
        <v>#N/A</v>
      </c>
      <c r="M74" s="1" t="e">
        <f>EXACT(VLOOKUP(CONCATENATE($H$10,"II",$A74),Matemáticas!$A:$H,7,FALSE),VLOOKUP(CONCATENATE($H$13,"II",$I$10,$H$10,$G$4,$H$4,$I$4),Captura!$D:$CR,45,FALSE))</f>
        <v>#N/A</v>
      </c>
      <c r="N74" s="1" t="e">
        <f>EXACT(VLOOKUP(CONCATENATE($H$10,"III",$A74),Matemáticas!$A:$H,7,FALSE),VLOOKUP(CONCATENATE($H$13,"III",$I$10,$H$10,$G$4,$H$4,$I$4),Captura!$D:$CR,45,FALSE))</f>
        <v>#N/A</v>
      </c>
      <c r="O74" s="1" t="e">
        <f>EXACT(VLOOKUP(CONCATENATE($H$10,"IV",$A74),Matemáticas!$A:$H,7,FALSE),VLOOKUP(CONCATENATE($H$13,"IV",$I$10,$H$10,$G$4,$H$4,$I$4),Captura!$D:$CR,45,FALSE))</f>
        <v>#N/A</v>
      </c>
      <c r="P74" s="1" t="e">
        <f>EXACT(VLOOKUP(CONCATENATE($H$10,"V",$A74),Matemáticas!$A:$H,7,FALSE),VLOOKUP(CONCATENATE($H$13,"V",$I$10,$H$10,$G$4,$H$4,$I$4),Captura!$D:$CR,45,FALSE))</f>
        <v>#N/A</v>
      </c>
    </row>
    <row r="75" spans="1:16" ht="24.95" customHeight="1" x14ac:dyDescent="0.15">
      <c r="A75" s="30">
        <v>8</v>
      </c>
      <c r="B75" s="104" t="e">
        <f t="shared" si="7"/>
        <v>#N/A</v>
      </c>
      <c r="C75" s="92" t="e">
        <f>VLOOKUP(CONCATENATE($H$13,$H$15,$I$10,$H$10,$G$4,$H$4,$I$4),Captura!D:CR,46,FALSE)</f>
        <v>#N/A</v>
      </c>
      <c r="D75" s="181" t="str">
        <f>IF(VLOOKUP(CONCATENATE($H$10,$H$15,$A75),Matemáticas!A:H,4,FALSE)=0,D74,VLOOKUP(CONCATENATE($H$10,$H$15,$A75),Matemáticas!A:H,4,FALSE))</f>
        <v>Explica el tipo de transformación (reflexión, rotación o traslación) que se aplica a una figura para obtener  la figura transformada. Identifica las propiedades que se conservan.</v>
      </c>
      <c r="E75" s="182"/>
      <c r="F75" s="183"/>
      <c r="G75" s="181" t="str">
        <f>IF(VLOOKUP(CONCATENATE($H$10,$H$15,$A75),Matemáticas!A:H,5,FALSE)=0,G74,VLOOKUP(CONCATENATE($H$10,$H$15,$A75),Matemáticas!A:H,5,FALSE))</f>
        <v>Construcción de diseños que combinan la simetría axial y central , la rotación y la traslación de figuras.</v>
      </c>
      <c r="H75" s="182"/>
      <c r="I75" s="183"/>
      <c r="J75" s="92" t="str">
        <f>VLOOKUP(CONCATENATE($H$10,$H$15,$A75),Matemáticas!A:H,8,FALSE)</f>
        <v>Aplic. procedimientos</v>
      </c>
      <c r="K75" s="2" t="str">
        <f>VLOOKUP(CONCATENATE($H$10,$H$15,$A75),Matemáticas!A:H,7,FALSE)</f>
        <v>B</v>
      </c>
      <c r="L75" s="1" t="e">
        <f>EXACT(VLOOKUP(CONCATENATE($H$10,"I",$A75),Matemáticas!$A:$H,7,FALSE),VLOOKUP(CONCATENATE($H$13,"I",$I$10,$H$10,$G$4,$H$4,$I$4),Captura!$D:$CR,46,FALSE))</f>
        <v>#N/A</v>
      </c>
      <c r="M75" s="1" t="e">
        <f>EXACT(VLOOKUP(CONCATENATE($H$10,"II",$A75),Matemáticas!$A:$H,7,FALSE),VLOOKUP(CONCATENATE($H$13,"II",$I$10,$H$10,$G$4,$H$4,$I$4),Captura!$D:$CR,46,FALSE))</f>
        <v>#N/A</v>
      </c>
      <c r="N75" s="1" t="e">
        <f>EXACT(VLOOKUP(CONCATENATE($H$10,"III",$A75),Matemáticas!$A:$H,7,FALSE),VLOOKUP(CONCATENATE($H$13,"III",$I$10,$H$10,$G$4,$H$4,$I$4),Captura!$D:$CR,46,FALSE))</f>
        <v>#N/A</v>
      </c>
      <c r="O75" s="1" t="e">
        <f>EXACT(VLOOKUP(CONCATENATE($H$10,"IV",$A75),Matemáticas!$A:$H,7,FALSE),VLOOKUP(CONCATENATE($H$13,"IV",$I$10,$H$10,$G$4,$H$4,$I$4),Captura!$D:$CR,46,FALSE))</f>
        <v>#N/A</v>
      </c>
      <c r="P75" s="1" t="e">
        <f>EXACT(VLOOKUP(CONCATENATE($H$10,"V",$A75),Matemáticas!$A:$H,7,FALSE),VLOOKUP(CONCATENATE($H$13,"V",$I$10,$H$10,$G$4,$H$4,$I$4),Captura!$D:$CR,46,FALSE))</f>
        <v>#N/A</v>
      </c>
    </row>
    <row r="76" spans="1:16" ht="24.95" customHeight="1" x14ac:dyDescent="0.15">
      <c r="A76" s="30">
        <v>9</v>
      </c>
      <c r="B76" s="104" t="e">
        <f t="shared" si="7"/>
        <v>#N/A</v>
      </c>
      <c r="C76" s="92" t="e">
        <f>VLOOKUP(CONCATENATE($H$13,$H$15,$I$10,$H$10,$G$4,$H$4,$I$4),Captura!D:CR,47,FALSE)</f>
        <v>#N/A</v>
      </c>
      <c r="D76" s="181" t="str">
        <f>IF(VLOOKUP(CONCATENATE($H$10,$H$15,$A76),Matemáticas!A:H,4,FALSE)=0,D75,VLOOKUP(CONCATENATE($H$10,$H$15,$A76),Matemáticas!A:H,4,FALSE))</f>
        <v>Explica el tipo de transformación (reflexión, rotación o traslación) que se aplica a una figura para obtener  la figura transformada. Identifica las propiedades que se conservan.</v>
      </c>
      <c r="E76" s="182"/>
      <c r="F76" s="183"/>
      <c r="G76" s="181" t="str">
        <f>IF(VLOOKUP(CONCATENATE($H$10,$H$15,$A76),Matemáticas!A:H,5,FALSE)=0,G75,VLOOKUP(CONCATENATE($H$10,$H$15,$A76),Matemáticas!A:H,5,FALSE))</f>
        <v>Construcción de diseños que combinan la simetría axial y central , la rotación y la traslación de figuras.</v>
      </c>
      <c r="H76" s="182"/>
      <c r="I76" s="183"/>
      <c r="J76" s="92" t="str">
        <f>VLOOKUP(CONCATENATE($H$10,$H$15,$A76),Matemáticas!A:H,8,FALSE)</f>
        <v>Aplic. procedimientos</v>
      </c>
      <c r="K76" s="2" t="str">
        <f>VLOOKUP(CONCATENATE($H$10,$H$15,$A76),Matemáticas!A:H,7,FALSE)</f>
        <v>D</v>
      </c>
      <c r="L76" s="1" t="e">
        <f>EXACT(VLOOKUP(CONCATENATE($H$10,"I",$A76),Matemáticas!$A:$H,7,FALSE),VLOOKUP(CONCATENATE($H$13,"I",$I$10,$H$10,$G$4,$H$4,$I$4),Captura!$D:$CR,47,FALSE))</f>
        <v>#N/A</v>
      </c>
      <c r="M76" s="1" t="e">
        <f>EXACT(VLOOKUP(CONCATENATE($H$10,"II",$A76),Matemáticas!$A:$H,7,FALSE),VLOOKUP(CONCATENATE($H$13,"II",$I$10,$H$10,$G$4,$H$4,$I$4),Captura!$D:$CR,47,FALSE))</f>
        <v>#N/A</v>
      </c>
      <c r="N76" s="1" t="e">
        <f>EXACT(VLOOKUP(CONCATENATE($H$10,"III",$A76),Matemáticas!$A:$H,7,FALSE),VLOOKUP(CONCATENATE($H$13,"III",$I$10,$H$10,$G$4,$H$4,$I$4),Captura!$D:$CR,47,FALSE))</f>
        <v>#N/A</v>
      </c>
      <c r="O76" s="1" t="e">
        <f>EXACT(VLOOKUP(CONCATENATE($H$10,"IV",$A76),Matemáticas!$A:$H,7,FALSE),VLOOKUP(CONCATENATE($H$13,"IV",$I$10,$H$10,$G$4,$H$4,$I$4),Captura!$D:$CR,47,FALSE))</f>
        <v>#N/A</v>
      </c>
      <c r="P76" s="1" t="e">
        <f>EXACT(VLOOKUP(CONCATENATE($H$10,"V",$A76),Matemáticas!$A:$H,7,FALSE),VLOOKUP(CONCATENATE($H$13,"V",$I$10,$H$10,$G$4,$H$4,$I$4),Captura!$D:$CR,47,FALSE))</f>
        <v>#N/A</v>
      </c>
    </row>
    <row r="77" spans="1:16" ht="24.95" customHeight="1" x14ac:dyDescent="0.15">
      <c r="A77" s="30">
        <v>10</v>
      </c>
      <c r="B77" s="104" t="e">
        <f t="shared" si="7"/>
        <v>#N/A</v>
      </c>
      <c r="C77" s="92" t="e">
        <f>VLOOKUP(CONCATENATE($H$13,$H$15,$I$10,$H$10,$G$4,$H$4,$I$4),Captura!D:CR,48,FALSE)</f>
        <v>#N/A</v>
      </c>
      <c r="D77" s="181" t="str">
        <f>IF(VLOOKUP(CONCATENATE($H$10,$H$15,$A77),Matemáticas!A:H,4,FALSE)=0,D76,VLOOKUP(CONCATENATE($H$10,$H$15,$A77),Matemáticas!A:H,4,FALSE))</f>
        <v>Explica el tipo de transformación (reflexión, rotación o traslación) que se aplica a una figura para obtener  la figura transformada. Identifica las propiedades que se conservan.</v>
      </c>
      <c r="E77" s="182"/>
      <c r="F77" s="183"/>
      <c r="G77" s="181" t="str">
        <f>IF(VLOOKUP(CONCATENATE($H$10,$H$15,$A77),Matemáticas!A:H,5,FALSE)=0,G76,VLOOKUP(CONCATENATE($H$10,$H$15,$A77),Matemáticas!A:H,5,FALSE))</f>
        <v>Construcción de diseños que combinan la simetría axial y central , la rotación y la traslación de figuras.</v>
      </c>
      <c r="H77" s="182"/>
      <c r="I77" s="183"/>
      <c r="J77" s="92" t="str">
        <f>VLOOKUP(CONCATENATE($H$10,$H$15,$A77),Matemáticas!A:H,8,FALSE)</f>
        <v>Aplic. procedimientos</v>
      </c>
      <c r="K77" s="2" t="str">
        <f>VLOOKUP(CONCATENATE($H$10,$H$15,$A77),Matemáticas!A:H,7,FALSE)</f>
        <v>B</v>
      </c>
      <c r="L77" s="1" t="e">
        <f>EXACT(VLOOKUP(CONCATENATE($H$10,"I",$A77),Matemáticas!$A:$H,7,FALSE),VLOOKUP(CONCATENATE($H$13,"I",$I$10,$H$10,$G$4,$H$4,$I$4),Captura!$D:$CR,48,FALSE))</f>
        <v>#N/A</v>
      </c>
      <c r="M77" s="1" t="e">
        <f>EXACT(VLOOKUP(CONCATENATE($H$10,"II",$A77),Matemáticas!$A:$H,7,FALSE),VLOOKUP(CONCATENATE($H$13,"II",$I$10,$H$10,$G$4,$H$4,$I$4),Captura!$D:$CR,48,FALSE))</f>
        <v>#N/A</v>
      </c>
      <c r="N77" s="1" t="e">
        <f>EXACT(VLOOKUP(CONCATENATE($H$10,"III",$A77),Matemáticas!$A:$H,7,FALSE),VLOOKUP(CONCATENATE($H$13,"III",$I$10,$H$10,$G$4,$H$4,$I$4),Captura!$D:$CR,48,FALSE))</f>
        <v>#N/A</v>
      </c>
      <c r="O77" s="1" t="e">
        <f>EXACT(VLOOKUP(CONCATENATE($H$10,"IV",$A77),Matemáticas!$A:$H,7,FALSE),VLOOKUP(CONCATENATE($H$13,"IV",$I$10,$H$10,$G$4,$H$4,$I$4),Captura!$D:$CR,48,FALSE))</f>
        <v>#N/A</v>
      </c>
      <c r="P77" s="1" t="e">
        <f>EXACT(VLOOKUP(CONCATENATE($H$10,"V",$A77),Matemáticas!$A:$H,7,FALSE),VLOOKUP(CONCATENATE($H$13,"V",$I$10,$H$10,$G$4,$H$4,$I$4),Captura!$D:$CR,48,FALSE))</f>
        <v>#N/A</v>
      </c>
    </row>
    <row r="78" spans="1:16" ht="24.95" customHeight="1" x14ac:dyDescent="0.15">
      <c r="A78" s="30">
        <v>11</v>
      </c>
      <c r="B78" s="104" t="e">
        <f t="shared" si="7"/>
        <v>#N/A</v>
      </c>
      <c r="C78" s="92" t="e">
        <f>VLOOKUP(CONCATENATE($H$13,$H$15,$I$10,$H$10,$G$4,$H$4,$I$4),Captura!D:CR,49,FALSE)</f>
        <v>#N/A</v>
      </c>
      <c r="D78" s="181" t="str">
        <f>IF(VLOOKUP(CONCATENATE($H$10,$H$15,$A78),Matemáticas!A:H,4,FALSE)=0,D77,VLOOKUP(CONCATENATE($H$10,$H$15,$A78),Matemáticas!A:H,4,FALSE))</f>
        <v>Resuelve problemas que implican el uso del Teorema de Pitágoras.</v>
      </c>
      <c r="E78" s="182"/>
      <c r="F78" s="183"/>
      <c r="G78" s="181" t="str">
        <f>IF(VLOOKUP(CONCATENATE($H$10,$H$15,$A78),Matemáticas!A:H,5,FALSE)=0,G77,VLOOKUP(CONCATENATE($H$10,$H$15,$A78),Matemáticas!A:H,5,FALSE))</f>
        <v>Análisis de las relaciones entre las áreas de los cuadrados que se construyen sobre los lados de un triángulo rectángulo.</v>
      </c>
      <c r="H78" s="182"/>
      <c r="I78" s="183"/>
      <c r="J78" s="92" t="str">
        <f>VLOOKUP(CONCATENATE($H$10,$H$15,$A78),Matemáticas!A:H,8,FALSE)</f>
        <v>Principios</v>
      </c>
      <c r="K78" s="2" t="str">
        <f>VLOOKUP(CONCATENATE($H$10,$H$15,$A78),Matemáticas!A:H,7,FALSE)</f>
        <v>B</v>
      </c>
      <c r="L78" s="1" t="e">
        <f>EXACT(VLOOKUP(CONCATENATE($H$10,"I",$A78),Matemáticas!$A:$H,7,FALSE),VLOOKUP(CONCATENATE($H$13,"I",$I$10,$H$10,$G$4,$H$4,$I$4),Captura!$D:$CR,49,FALSE))</f>
        <v>#N/A</v>
      </c>
      <c r="M78" s="1" t="e">
        <f>EXACT(VLOOKUP(CONCATENATE($H$10,"II",$A78),Matemáticas!$A:$H,7,FALSE),VLOOKUP(CONCATENATE($H$13,"II",$I$10,$H$10,$G$4,$H$4,$I$4),Captura!$D:$CR,49,FALSE))</f>
        <v>#N/A</v>
      </c>
      <c r="N78" s="1" t="e">
        <f>EXACT(VLOOKUP(CONCATENATE($H$10,"III",$A78),Matemáticas!$A:$H,7,FALSE),VLOOKUP(CONCATENATE($H$13,"III",$I$10,$H$10,$G$4,$H$4,$I$4),Captura!$D:$CR,49,FALSE))</f>
        <v>#N/A</v>
      </c>
      <c r="O78" s="1" t="e">
        <f>EXACT(VLOOKUP(CONCATENATE($H$10,"IV",$A78),Matemáticas!$A:$H,7,FALSE),VLOOKUP(CONCATENATE($H$13,"IV",$I$10,$H$10,$G$4,$H$4,$I$4),Captura!$D:$CR,49,FALSE))</f>
        <v>#N/A</v>
      </c>
      <c r="P78" s="1" t="e">
        <f>EXACT(VLOOKUP(CONCATENATE($H$10,"V",$A78),Matemáticas!$A:$H,7,FALSE),VLOOKUP(CONCATENATE($H$13,"V",$I$10,$H$10,$G$4,$H$4,$I$4),Captura!$D:$CR,49,FALSE))</f>
        <v>#N/A</v>
      </c>
    </row>
    <row r="79" spans="1:16" ht="24.95" customHeight="1" x14ac:dyDescent="0.15">
      <c r="A79" s="30">
        <v>12</v>
      </c>
      <c r="B79" s="104" t="e">
        <f t="shared" si="7"/>
        <v>#N/A</v>
      </c>
      <c r="C79" s="92" t="e">
        <f>VLOOKUP(CONCATENATE($H$13,$H$15,$I$10,$H$10,$G$4,$H$4,$I$4),Captura!D:CR,50,FALSE)</f>
        <v>#N/A</v>
      </c>
      <c r="D79" s="181" t="str">
        <f>IF(VLOOKUP(CONCATENATE($H$10,$H$15,$A79),Matemáticas!A:H,4,FALSE)=0,D78,VLOOKUP(CONCATENATE($H$10,$H$15,$A79),Matemáticas!A:H,4,FALSE))</f>
        <v>Resuelve problemas que implican el uso del Teorema de Pitágoras.</v>
      </c>
      <c r="E79" s="182"/>
      <c r="F79" s="183"/>
      <c r="G79" s="181" t="str">
        <f>IF(VLOOKUP(CONCATENATE($H$10,$H$15,$A79),Matemáticas!A:H,5,FALSE)=0,G78,VLOOKUP(CONCATENATE($H$10,$H$15,$A79),Matemáticas!A:H,5,FALSE))</f>
        <v>Análisis de las relaciones entre las áreas de los cuadrados que se construyen sobre los lados de un triángulo rectángulo.</v>
      </c>
      <c r="H79" s="182"/>
      <c r="I79" s="183"/>
      <c r="J79" s="92" t="str">
        <f>VLOOKUP(CONCATENATE($H$10,$H$15,$A79),Matemáticas!A:H,8,FALSE)</f>
        <v>Principios</v>
      </c>
      <c r="K79" s="2" t="str">
        <f>VLOOKUP(CONCATENATE($H$10,$H$15,$A79),Matemáticas!A:H,7,FALSE)</f>
        <v>A</v>
      </c>
      <c r="L79" s="1" t="e">
        <f>EXACT(VLOOKUP(CONCATENATE($H$10,"I",$A79),Matemáticas!$A:$H,7,FALSE),VLOOKUP(CONCATENATE($H$13,"I",$I$10,$H$10,$G$4,$H$4,$I$4),Captura!$D:$CR,50,FALSE))</f>
        <v>#N/A</v>
      </c>
      <c r="M79" s="1" t="e">
        <f>EXACT(VLOOKUP(CONCATENATE($H$10,"II",$A79),Matemáticas!$A:$H,7,FALSE),VLOOKUP(CONCATENATE($H$13,"II",$I$10,$H$10,$G$4,$H$4,$I$4),Captura!$D:$CR,50,FALSE))</f>
        <v>#N/A</v>
      </c>
      <c r="N79" s="1" t="e">
        <f>EXACT(VLOOKUP(CONCATENATE($H$10,"III",$A79),Matemáticas!$A:$H,7,FALSE),VLOOKUP(CONCATENATE($H$13,"III",$I$10,$H$10,$G$4,$H$4,$I$4),Captura!$D:$CR,50,FALSE))</f>
        <v>#N/A</v>
      </c>
      <c r="O79" s="1" t="e">
        <f>EXACT(VLOOKUP(CONCATENATE($H$10,"IV",$A79),Matemáticas!$A:$H,7,FALSE),VLOOKUP(CONCATENATE($H$13,"IV",$I$10,$H$10,$G$4,$H$4,$I$4),Captura!$D:$CR,50,FALSE))</f>
        <v>#N/A</v>
      </c>
      <c r="P79" s="1" t="e">
        <f>EXACT(VLOOKUP(CONCATENATE($H$10,"V",$A79),Matemáticas!$A:$H,7,FALSE),VLOOKUP(CONCATENATE($H$13,"V",$I$10,$H$10,$G$4,$H$4,$I$4),Captura!$D:$CR,50,FALSE))</f>
        <v>#N/A</v>
      </c>
    </row>
    <row r="80" spans="1:16" ht="24.95" customHeight="1" x14ac:dyDescent="0.15">
      <c r="A80" s="30">
        <v>13</v>
      </c>
      <c r="B80" s="104" t="e">
        <f t="shared" si="7"/>
        <v>#N/A</v>
      </c>
      <c r="C80" s="92" t="e">
        <f>VLOOKUP(CONCATENATE($H$13,$H$15,$I$10,$H$10,$G$4,$H$4,$I$4),Captura!D:CR,51,FALSE)</f>
        <v>#N/A</v>
      </c>
      <c r="D80" s="181" t="str">
        <f>IF(VLOOKUP(CONCATENATE($H$10,$H$15,$A80),Matemáticas!A:H,4,FALSE)=0,D79,VLOOKUP(CONCATENATE($H$10,$H$15,$A80),Matemáticas!A:H,4,FALSE))</f>
        <v>Resuelve problemas que implican el uso del Teorema de Pitágoras.</v>
      </c>
      <c r="E80" s="182"/>
      <c r="F80" s="183"/>
      <c r="G80" s="181" t="str">
        <f>IF(VLOOKUP(CONCATENATE($H$10,$H$15,$A80),Matemáticas!A:H,5,FALSE)=0,G79,VLOOKUP(CONCATENATE($H$10,$H$15,$A80),Matemáticas!A:H,5,FALSE))</f>
        <v>Explicación y uso del Teorema de Pitágoras.</v>
      </c>
      <c r="H80" s="182"/>
      <c r="I80" s="183"/>
      <c r="J80" s="92" t="str">
        <f>VLOOKUP(CONCATENATE($H$10,$H$15,$A80),Matemáticas!A:H,8,FALSE)</f>
        <v>Aplic .procedimientos</v>
      </c>
      <c r="K80" s="2" t="str">
        <f>VLOOKUP(CONCATENATE($H$10,$H$15,$A80),Matemáticas!A:H,7,FALSE)</f>
        <v>B</v>
      </c>
      <c r="L80" s="1" t="e">
        <f>EXACT(VLOOKUP(CONCATENATE($H$10,"I",$A80),Matemáticas!$A:$H,7,FALSE),VLOOKUP(CONCATENATE($H$13,"I",$I$10,$H$10,$G$4,$H$4,$I$4),Captura!$D:$CR,51,FALSE))</f>
        <v>#N/A</v>
      </c>
      <c r="M80" s="1" t="e">
        <f>EXACT(VLOOKUP(CONCATENATE($H$10,"II",$A80),Matemáticas!$A:$H,7,FALSE),VLOOKUP(CONCATENATE($H$13,"II",$I$10,$H$10,$G$4,$H$4,$I$4),Captura!$D:$CR,51,FALSE))</f>
        <v>#N/A</v>
      </c>
      <c r="N80" s="1" t="e">
        <f>EXACT(VLOOKUP(CONCATENATE($H$10,"III",$A80),Matemáticas!$A:$H,7,FALSE),VLOOKUP(CONCATENATE($H$13,"III",$I$10,$H$10,$G$4,$H$4,$I$4),Captura!$D:$CR,51,FALSE))</f>
        <v>#N/A</v>
      </c>
      <c r="O80" s="1" t="e">
        <f>EXACT(VLOOKUP(CONCATENATE($H$10,"IV",$A80),Matemáticas!$A:$H,7,FALSE),VLOOKUP(CONCATENATE($H$13,"IV",$I$10,$H$10,$G$4,$H$4,$I$4),Captura!$D:$CR,51,FALSE))</f>
        <v>#N/A</v>
      </c>
      <c r="P80" s="1" t="e">
        <f>EXACT(VLOOKUP(CONCATENATE($H$10,"V",$A80),Matemáticas!$A:$H,7,FALSE),VLOOKUP(CONCATENATE($H$13,"V",$I$10,$H$10,$G$4,$H$4,$I$4),Captura!$D:$CR,51,FALSE))</f>
        <v>#N/A</v>
      </c>
    </row>
    <row r="81" spans="1:16" ht="24.95" customHeight="1" x14ac:dyDescent="0.15">
      <c r="A81" s="30">
        <v>14</v>
      </c>
      <c r="B81" s="104" t="e">
        <f t="shared" si="7"/>
        <v>#N/A</v>
      </c>
      <c r="C81" s="92" t="e">
        <f>VLOOKUP(CONCATENATE($H$13,$H$15,$I$10,$H$10,$G$4,$H$4,$I$4),Captura!D:CR,52,FALSE)</f>
        <v>#N/A</v>
      </c>
      <c r="D81" s="181" t="str">
        <f>IF(VLOOKUP(CONCATENATE($H$10,$H$15,$A81),Matemáticas!A:H,4,FALSE)=0,D80,VLOOKUP(CONCATENATE($H$10,$H$15,$A81),Matemáticas!A:H,4,FALSE))</f>
        <v>Resuelve problemas que implican el uso del Teorema de Pitágoras.</v>
      </c>
      <c r="E81" s="182"/>
      <c r="F81" s="183"/>
      <c r="G81" s="181" t="str">
        <f>IF(VLOOKUP(CONCATENATE($H$10,$H$15,$A81),Matemáticas!A:H,5,FALSE)=0,G80,VLOOKUP(CONCATENATE($H$10,$H$15,$A81),Matemáticas!A:H,5,FALSE))</f>
        <v>Explicación y uso del Teorema de Pitágoras.</v>
      </c>
      <c r="H81" s="182"/>
      <c r="I81" s="183"/>
      <c r="J81" s="92" t="str">
        <f>VLOOKUP(CONCATENATE($H$10,$H$15,$A81),Matemáticas!A:H,8,FALSE)</f>
        <v>Resol.  problemas</v>
      </c>
      <c r="K81" s="2" t="str">
        <f>VLOOKUP(CONCATENATE($H$10,$H$15,$A81),Matemáticas!A:H,7,FALSE)</f>
        <v>C</v>
      </c>
      <c r="L81" s="1" t="e">
        <f>EXACT(VLOOKUP(CONCATENATE($H$10,"I",$A81),Matemáticas!$A:$H,7,FALSE),VLOOKUP(CONCATENATE($H$13,"I",$I$10,$H$10,$G$4,$H$4,$I$4),Captura!$D:$CR,52,FALSE))</f>
        <v>#N/A</v>
      </c>
      <c r="M81" s="1" t="e">
        <f>EXACT(VLOOKUP(CONCATENATE($H$10,"II",$A81),Matemáticas!$A:$H,7,FALSE),VLOOKUP(CONCATENATE($H$13,"II",$I$10,$H$10,$G$4,$H$4,$I$4),Captura!$D:$CR,52,FALSE))</f>
        <v>#N/A</v>
      </c>
      <c r="N81" s="1" t="e">
        <f>EXACT(VLOOKUP(CONCATENATE($H$10,"III",$A81),Matemáticas!$A:$H,7,FALSE),VLOOKUP(CONCATENATE($H$13,"III",$I$10,$H$10,$G$4,$H$4,$I$4),Captura!$D:$CR,52,FALSE))</f>
        <v>#N/A</v>
      </c>
      <c r="O81" s="1" t="e">
        <f>EXACT(VLOOKUP(CONCATENATE($H$10,"IV",$A81),Matemáticas!$A:$H,7,FALSE),VLOOKUP(CONCATENATE($H$13,"IV",$I$10,$H$10,$G$4,$H$4,$I$4),Captura!$D:$CR,52,FALSE))</f>
        <v>#N/A</v>
      </c>
      <c r="P81" s="1" t="e">
        <f>EXACT(VLOOKUP(CONCATENATE($H$10,"V",$A81),Matemáticas!$A:$H,7,FALSE),VLOOKUP(CONCATENATE($H$13,"V",$I$10,$H$10,$G$4,$H$4,$I$4),Captura!$D:$CR,52,FALSE))</f>
        <v>#N/A</v>
      </c>
    </row>
    <row r="82" spans="1:16" ht="24.95" customHeight="1" x14ac:dyDescent="0.15">
      <c r="A82" s="30">
        <v>15</v>
      </c>
      <c r="B82" s="104" t="e">
        <f t="shared" si="7"/>
        <v>#N/A</v>
      </c>
      <c r="C82" s="92" t="e">
        <f>VLOOKUP(CONCATENATE($H$13,$H$15,$I$10,$H$10,$G$4,$H$4,$I$4),Captura!D:CR,53,FALSE)</f>
        <v>#N/A</v>
      </c>
      <c r="D82" s="181" t="str">
        <f>IF(VLOOKUP(CONCATENATE($H$10,$H$15,$A82),Matemáticas!A:H,4,FALSE)=0,D81,VLOOKUP(CONCATENATE($H$10,$H$15,$A82),Matemáticas!A:H,4,FALSE))</f>
        <v>Resuelve problemas que implican el uso del Teorema de Pitágoras.</v>
      </c>
      <c r="E82" s="182"/>
      <c r="F82" s="183"/>
      <c r="G82" s="181" t="str">
        <f>IF(VLOOKUP(CONCATENATE($H$10,$H$15,$A82),Matemáticas!A:H,5,FALSE)=0,G81,VLOOKUP(CONCATENATE($H$10,$H$15,$A82),Matemáticas!A:H,5,FALSE))</f>
        <v>Explicación y uso del Teorema de Pitágoras.</v>
      </c>
      <c r="H82" s="182"/>
      <c r="I82" s="183"/>
      <c r="J82" s="92" t="str">
        <f>VLOOKUP(CONCATENATE($H$10,$H$15,$A82),Matemáticas!A:H,8,FALSE)</f>
        <v>Resol.  problemas</v>
      </c>
      <c r="K82" s="2" t="str">
        <f>VLOOKUP(CONCATENATE($H$10,$H$15,$A82),Matemáticas!A:H,7,FALSE)</f>
        <v>B</v>
      </c>
      <c r="L82" s="1" t="e">
        <f>EXACT(VLOOKUP(CONCATENATE($H$10,"I",$A82),Matemáticas!$A:$H,7,FALSE),VLOOKUP(CONCATENATE($H$13,"I",$I$10,$H$10,$G$4,$H$4,$I$4),Captura!$D:$CR,53,FALSE))</f>
        <v>#N/A</v>
      </c>
      <c r="M82" s="1" t="e">
        <f>EXACT(VLOOKUP(CONCATENATE($H$10,"II",$A82),Matemáticas!$A:$H,7,FALSE),VLOOKUP(CONCATENATE($H$13,"II",$I$10,$H$10,$G$4,$H$4,$I$4),Captura!$D:$CR,53,FALSE))</f>
        <v>#N/A</v>
      </c>
      <c r="N82" s="1" t="e">
        <f>EXACT(VLOOKUP(CONCATENATE($H$10,"III",$A82),Matemáticas!$A:$H,7,FALSE),VLOOKUP(CONCATENATE($H$13,"III",$I$10,$H$10,$G$4,$H$4,$I$4),Captura!$D:$CR,53,FALSE))</f>
        <v>#N/A</v>
      </c>
      <c r="O82" s="1" t="e">
        <f>EXACT(VLOOKUP(CONCATENATE($H$10,"IV",$A82),Matemáticas!$A:$H,7,FALSE),VLOOKUP(CONCATENATE($H$13,"IV",$I$10,$H$10,$G$4,$H$4,$I$4),Captura!$D:$CR,53,FALSE))</f>
        <v>#N/A</v>
      </c>
      <c r="P82" s="1" t="e">
        <f>EXACT(VLOOKUP(CONCATENATE($H$10,"V",$A82),Matemáticas!$A:$H,7,FALSE),VLOOKUP(CONCATENATE($H$13,"V",$I$10,$H$10,$G$4,$H$4,$I$4),Captura!$D:$CR,53,FALSE))</f>
        <v>#N/A</v>
      </c>
    </row>
    <row r="83" spans="1:16" ht="24.95" customHeight="1" x14ac:dyDescent="0.15">
      <c r="A83" s="30">
        <v>16</v>
      </c>
      <c r="B83" s="104" t="e">
        <f t="shared" si="7"/>
        <v>#N/A</v>
      </c>
      <c r="C83" s="92" t="e">
        <f>VLOOKUP(CONCATENATE($H$13,$H$15,$I$10,$H$10,$G$4,$H$4,$I$4),Captura!D:CR,54,FALSE)</f>
        <v>#N/A</v>
      </c>
      <c r="D83" s="181" t="str">
        <f>IF(VLOOKUP(CONCATENATE($H$10,$H$15,$A83),Matemáticas!A:H,4,FALSE)=0,D82,VLOOKUP(CONCATENATE($H$10,$H$15,$A83),Matemáticas!A:H,4,FALSE))</f>
        <v>Resuelve problemas que implican el uso del Teorema de Pitágoras.</v>
      </c>
      <c r="E83" s="182"/>
      <c r="F83" s="183"/>
      <c r="G83" s="181" t="str">
        <f>IF(VLOOKUP(CONCATENATE($H$10,$H$15,$A83),Matemáticas!A:H,5,FALSE)=0,G82,VLOOKUP(CONCATENATE($H$10,$H$15,$A83),Matemáticas!A:H,5,FALSE))</f>
        <v>Explicación y uso del Teorema de Pitágoras.</v>
      </c>
      <c r="H83" s="182"/>
      <c r="I83" s="183"/>
      <c r="J83" s="92" t="str">
        <f>VLOOKUP(CONCATENATE($H$10,$H$15,$A83),Matemáticas!A:H,8,FALSE)</f>
        <v>Resol.  problemas</v>
      </c>
      <c r="K83" s="2" t="str">
        <f>VLOOKUP(CONCATENATE($H$10,$H$15,$A83),Matemáticas!A:H,7,FALSE)</f>
        <v>A</v>
      </c>
      <c r="L83" s="1" t="e">
        <f>EXACT(VLOOKUP(CONCATENATE($H$10,"I",$A83),Matemáticas!$A:$H,7,FALSE),VLOOKUP(CONCATENATE($H$13,"I",$I$10,$H$10,$G$4,$H$4,$I$4),Captura!$D:$CR,54,FALSE))</f>
        <v>#N/A</v>
      </c>
      <c r="M83" s="1" t="e">
        <f>EXACT(VLOOKUP(CONCATENATE($H$10,"II",$A83),Matemáticas!$A:$H,7,FALSE),VLOOKUP(CONCATENATE($H$13,"II",$I$10,$H$10,$G$4,$H$4,$I$4),Captura!$D:$CR,54,FALSE))</f>
        <v>#N/A</v>
      </c>
      <c r="N83" s="1" t="e">
        <f>EXACT(VLOOKUP(CONCATENATE($H$10,"III",$A83),Matemáticas!$A:$H,7,FALSE),VLOOKUP(CONCATENATE($H$13,"III",$I$10,$H$10,$G$4,$H$4,$I$4),Captura!$D:$CR,54,FALSE))</f>
        <v>#N/A</v>
      </c>
      <c r="O83" s="1" t="e">
        <f>EXACT(VLOOKUP(CONCATENATE($H$10,"IV",$A83),Matemáticas!$A:$H,7,FALSE),VLOOKUP(CONCATENATE($H$13,"IV",$I$10,$H$10,$G$4,$H$4,$I$4),Captura!$D:$CR,54,FALSE))</f>
        <v>#N/A</v>
      </c>
      <c r="P83" s="1" t="e">
        <f>EXACT(VLOOKUP(CONCATENATE($H$10,"V",$A83),Matemáticas!$A:$H,7,FALSE),VLOOKUP(CONCATENATE($H$13,"V",$I$10,$H$10,$G$4,$H$4,$I$4),Captura!$D:$CR,54,FALSE))</f>
        <v>#N/A</v>
      </c>
    </row>
    <row r="84" spans="1:16" ht="24.95" customHeight="1" x14ac:dyDescent="0.15">
      <c r="A84" s="30">
        <v>17</v>
      </c>
      <c r="B84" s="104" t="e">
        <f t="shared" si="7"/>
        <v>#N/A</v>
      </c>
      <c r="C84" s="92" t="e">
        <f>VLOOKUP(CONCATENATE($H$13,$H$15,$I$10,$H$10,$G$4,$H$4,$I$4),Captura!D:CR,55,FALSE)</f>
        <v>#N/A</v>
      </c>
      <c r="D84" s="181" t="str">
        <f>IF(VLOOKUP(CONCATENATE($H$10,$H$15,$A84),Matemáticas!A:H,4,FALSE)=0,D83,VLOOKUP(CONCATENATE($H$10,$H$15,$A84),Matemáticas!A:H,4,FALSE))</f>
        <v xml:space="preserve"> </v>
      </c>
      <c r="E84" s="182"/>
      <c r="F84" s="183"/>
      <c r="G84" s="181" t="str">
        <f>IF(VLOOKUP(CONCATENATE($H$10,$H$15,$A84),Matemáticas!A:H,5,FALSE)=0,G83,VLOOKUP(CONCATENATE($H$10,$H$15,$A84),Matemáticas!A:H,5,FALSE))</f>
        <v>Cálculo de la probabilidad de ocurrencia de dos eventos mutuamente excluyentes y de eventos complementarios (regla de la suma).</v>
      </c>
      <c r="H84" s="182"/>
      <c r="I84" s="183"/>
      <c r="J84" s="92" t="str">
        <f>VLOOKUP(CONCATENATE($H$10,$H$15,$A84),Matemáticas!A:H,8,FALSE)</f>
        <v>Aplic. procedimientos</v>
      </c>
      <c r="K84" s="2" t="str">
        <f>VLOOKUP(CONCATENATE($H$10,$H$15,$A84),Matemáticas!A:H,7,FALSE)</f>
        <v>A</v>
      </c>
      <c r="L84" s="1" t="e">
        <f>EXACT(VLOOKUP(CONCATENATE($H$10,"I",$A84),Matemáticas!$A:$H,7,FALSE),VLOOKUP(CONCATENATE($H$13,"I",$I$10,$H$10,$G$4,$H$4,$I$4),Captura!$D:$CR,55,FALSE))</f>
        <v>#N/A</v>
      </c>
      <c r="M84" s="1" t="e">
        <f>EXACT(VLOOKUP(CONCATENATE($H$10,"II",$A84),Matemáticas!$A:$H,7,FALSE),VLOOKUP(CONCATENATE($H$13,"II",$I$10,$H$10,$G$4,$H$4,$I$4),Captura!$D:$CR,55,FALSE))</f>
        <v>#N/A</v>
      </c>
      <c r="N84" s="1" t="e">
        <f>EXACT(VLOOKUP(CONCATENATE($H$10,"III",$A84),Matemáticas!$A:$H,7,FALSE),VLOOKUP(CONCATENATE($H$13,"III",$I$10,$H$10,$G$4,$H$4,$I$4),Captura!$D:$CR,55,FALSE))</f>
        <v>#N/A</v>
      </c>
      <c r="O84" s="1" t="e">
        <f>EXACT(VLOOKUP(CONCATENATE($H$10,"IV",$A84),Matemáticas!$A:$H,7,FALSE),VLOOKUP(CONCATENATE($H$13,"IV",$I$10,$H$10,$G$4,$H$4,$I$4),Captura!$D:$CR,55,FALSE))</f>
        <v>#N/A</v>
      </c>
      <c r="P84" s="1" t="e">
        <f>EXACT(VLOOKUP(CONCATENATE($H$10,"V",$A84),Matemáticas!$A:$H,7,FALSE),VLOOKUP(CONCATENATE($H$13,"V",$I$10,$H$10,$G$4,$H$4,$I$4),Captura!$D:$CR,55,FALSE))</f>
        <v>#N/A</v>
      </c>
    </row>
    <row r="85" spans="1:16" ht="24.95" customHeight="1" x14ac:dyDescent="0.15">
      <c r="A85" s="30">
        <v>18</v>
      </c>
      <c r="B85" s="104" t="e">
        <f t="shared" si="7"/>
        <v>#N/A</v>
      </c>
      <c r="C85" s="92" t="e">
        <f>VLOOKUP(CONCATENATE($H$13,$H$15,$I$10,$H$10,$G$4,$H$4,$I$4),Captura!D:CR,56,FALSE)</f>
        <v>#N/A</v>
      </c>
      <c r="D85" s="181" t="str">
        <f>IF(VLOOKUP(CONCATENATE($H$10,$H$15,$A85),Matemáticas!A:H,4,FALSE)=0,D84,VLOOKUP(CONCATENATE($H$10,$H$15,$A85),Matemáticas!A:H,4,FALSE))</f>
        <v xml:space="preserve"> </v>
      </c>
      <c r="E85" s="182"/>
      <c r="F85" s="183"/>
      <c r="G85" s="181" t="str">
        <f>IF(VLOOKUP(CONCATENATE($H$10,$H$15,$A85),Matemáticas!A:H,5,FALSE)=0,G84,VLOOKUP(CONCATENATE($H$10,$H$15,$A85),Matemáticas!A:H,5,FALSE))</f>
        <v>Cálculo de la probabilidad de ocurrencia de dos eventos mutuamente excluyentes y de eventos complementarios (regla de la suma).</v>
      </c>
      <c r="H85" s="182"/>
      <c r="I85" s="183"/>
      <c r="J85" s="92" t="str">
        <f>VLOOKUP(CONCATENATE($H$10,$H$15,$A85),Matemáticas!A:H,8,FALSE)</f>
        <v>Aplic. procedimientos</v>
      </c>
      <c r="K85" s="2" t="str">
        <f>VLOOKUP(CONCATENATE($H$10,$H$15,$A85),Matemáticas!A:H,7,FALSE)</f>
        <v>D</v>
      </c>
      <c r="L85" s="1" t="e">
        <f>EXACT(VLOOKUP(CONCATENATE($H$10,"I",$A85),Matemáticas!$A:$H,7,FALSE),VLOOKUP(CONCATENATE($H$13,"I",$I$10,$H$10,$G$4,$H$4,$I$4),Captura!$D:$CR,56,FALSE))</f>
        <v>#N/A</v>
      </c>
      <c r="M85" s="1" t="e">
        <f>EXACT(VLOOKUP(CONCATENATE($H$10,"II",$A85),Matemáticas!$A:$H,7,FALSE),VLOOKUP(CONCATENATE($H$13,"II",$I$10,$H$10,$G$4,$H$4,$I$4),Captura!$D:$CR,56,FALSE))</f>
        <v>#N/A</v>
      </c>
      <c r="N85" s="1" t="e">
        <f>EXACT(VLOOKUP(CONCATENATE($H$10,"III",$A85),Matemáticas!$A:$H,7,FALSE),VLOOKUP(CONCATENATE($H$13,"III",$I$10,$H$10,$G$4,$H$4,$I$4),Captura!$D:$CR,56,FALSE))</f>
        <v>#N/A</v>
      </c>
      <c r="O85" s="1" t="e">
        <f>EXACT(VLOOKUP(CONCATENATE($H$10,"IV",$A85),Matemáticas!$A:$H,7,FALSE),VLOOKUP(CONCATENATE($H$13,"IV",$I$10,$H$10,$G$4,$H$4,$I$4),Captura!$D:$CR,56,FALSE))</f>
        <v>#N/A</v>
      </c>
      <c r="P85" s="1" t="e">
        <f>EXACT(VLOOKUP(CONCATENATE($H$10,"V",$A85),Matemáticas!$A:$H,7,FALSE),VLOOKUP(CONCATENATE($H$13,"V",$I$10,$H$10,$G$4,$H$4,$I$4),Captura!$D:$CR,56,FALSE))</f>
        <v>#N/A</v>
      </c>
    </row>
    <row r="86" spans="1:16" ht="24.95" customHeight="1" x14ac:dyDescent="0.15">
      <c r="A86" s="30">
        <v>19</v>
      </c>
      <c r="B86" s="104" t="e">
        <f t="shared" si="7"/>
        <v>#N/A</v>
      </c>
      <c r="C86" s="92" t="e">
        <f>VLOOKUP(CONCATENATE($H$13,$H$15,$I$10,$H$10,$G$4,$H$4,$I$4),Captura!D:CR,57,FALSE)</f>
        <v>#N/A</v>
      </c>
      <c r="D86" s="181" t="str">
        <f>IF(VLOOKUP(CONCATENATE($H$10,$H$15,$A86),Matemáticas!A:H,4,FALSE)=0,D85,VLOOKUP(CONCATENATE($H$10,$H$15,$A86),Matemáticas!A:H,4,FALSE))</f>
        <v xml:space="preserve"> </v>
      </c>
      <c r="E86" s="182"/>
      <c r="F86" s="183"/>
      <c r="G86" s="181" t="str">
        <f>IF(VLOOKUP(CONCATENATE($H$10,$H$15,$A86),Matemáticas!A:H,5,FALSE)=0,G85,VLOOKUP(CONCATENATE($H$10,$H$15,$A86),Matemáticas!A:H,5,FALSE))</f>
        <v>Cálculo de la probabilidad de ocurrencia de dos eventos mutuamente excluyentes y de eventos complementarios (regla de la suma).</v>
      </c>
      <c r="H86" s="182"/>
      <c r="I86" s="183"/>
      <c r="J86" s="92" t="str">
        <f>VLOOKUP(CONCATENATE($H$10,$H$15,$A86),Matemáticas!A:H,8,FALSE)</f>
        <v>Aplic .procedimientos</v>
      </c>
      <c r="K86" s="2" t="str">
        <f>VLOOKUP(CONCATENATE($H$10,$H$15,$A86),Matemáticas!A:H,7,FALSE)</f>
        <v>C</v>
      </c>
      <c r="L86" s="1" t="e">
        <f>EXACT(VLOOKUP(CONCATENATE($H$10,"I",$A86),Matemáticas!$A:$H,7,FALSE),VLOOKUP(CONCATENATE($H$13,"I",$I$10,$H$10,$G$4,$H$4,$I$4),Captura!$D:$CR,57,FALSE))</f>
        <v>#N/A</v>
      </c>
      <c r="M86" s="1" t="e">
        <f>EXACT(VLOOKUP(CONCATENATE($H$10,"II",$A86),Matemáticas!$A:$H,7,FALSE),VLOOKUP(CONCATENATE($H$13,"II",$I$10,$H$10,$G$4,$H$4,$I$4),Captura!$D:$CR,57,FALSE))</f>
        <v>#N/A</v>
      </c>
      <c r="N86" s="1" t="e">
        <f>EXACT(VLOOKUP(CONCATENATE($H$10,"III",$A86),Matemáticas!$A:$H,7,FALSE),VLOOKUP(CONCATENATE($H$13,"III",$I$10,$H$10,$G$4,$H$4,$I$4),Captura!$D:$CR,57,FALSE))</f>
        <v>#N/A</v>
      </c>
      <c r="O86" s="1" t="e">
        <f>EXACT(VLOOKUP(CONCATENATE($H$10,"IV",$A86),Matemáticas!$A:$H,7,FALSE),VLOOKUP(CONCATENATE($H$13,"IV",$I$10,$H$10,$G$4,$H$4,$I$4),Captura!$D:$CR,57,FALSE))</f>
        <v>#N/A</v>
      </c>
      <c r="P86" s="1" t="e">
        <f>EXACT(VLOOKUP(CONCATENATE($H$10,"V",$A86),Matemáticas!$A:$H,7,FALSE),VLOOKUP(CONCATENATE($H$13,"V",$I$10,$H$10,$G$4,$H$4,$I$4),Captura!$D:$CR,57,FALSE))</f>
        <v>#N/A</v>
      </c>
    </row>
    <row r="87" spans="1:16" ht="24.95" customHeight="1" x14ac:dyDescent="0.15">
      <c r="A87" s="30">
        <v>20</v>
      </c>
      <c r="B87" s="104" t="e">
        <f t="shared" si="7"/>
        <v>#N/A</v>
      </c>
      <c r="C87" s="92" t="e">
        <f>VLOOKUP(CONCATENATE($H$13,$H$15,$I$10,$H$10,$G$4,$H$4,$I$4),Captura!D:CR,58,FALSE)</f>
        <v>#N/A</v>
      </c>
      <c r="D87" s="181" t="str">
        <f>IF(VLOOKUP(CONCATENATE($H$10,$H$15,$A87),Matemáticas!A:H,4,FALSE)=0,D86,VLOOKUP(CONCATENATE($H$10,$H$15,$A87),Matemáticas!A:H,4,FALSE))</f>
        <v xml:space="preserve"> </v>
      </c>
      <c r="E87" s="182"/>
      <c r="F87" s="183"/>
      <c r="G87" s="181" t="str">
        <f>IF(VLOOKUP(CONCATENATE($H$10,$H$15,$A87),Matemáticas!A:H,5,FALSE)=0,G86,VLOOKUP(CONCATENATE($H$10,$H$15,$A87),Matemáticas!A:H,5,FALSE))</f>
        <v>Cálculo de la probabilidad de ocurrencia de dos eventos mutuamente excluyentes y de eventos complementarios (regla de la suma).</v>
      </c>
      <c r="H87" s="182"/>
      <c r="I87" s="183"/>
      <c r="J87" s="92" t="str">
        <f>VLOOKUP(CONCATENATE($H$10,$H$15,$A87),Matemáticas!A:H,8,FALSE)</f>
        <v>Aplic. procedimientos</v>
      </c>
      <c r="K87" s="2" t="str">
        <f>VLOOKUP(CONCATENATE($H$10,$H$15,$A87),Matemáticas!A:H,7,FALSE)</f>
        <v>B</v>
      </c>
      <c r="L87" s="1" t="e">
        <f>EXACT(VLOOKUP(CONCATENATE($H$10,"I",$A87),Matemáticas!$A:$H,7,FALSE),VLOOKUP(CONCATENATE($H$13,"I",$I$10,$H$10,$G$4,$H$4,$I$4),Captura!$D:$CR,58,FALSE))</f>
        <v>#N/A</v>
      </c>
      <c r="M87" s="1" t="e">
        <f>EXACT(VLOOKUP(CONCATENATE($H$10,"II",$A87),Matemáticas!$A:$H,7,FALSE),VLOOKUP(CONCATENATE($H$13,"II",$I$10,$H$10,$G$4,$H$4,$I$4),Captura!$D:$CR,58,FALSE))</f>
        <v>#N/A</v>
      </c>
      <c r="N87" s="1" t="e">
        <f>EXACT(VLOOKUP(CONCATENATE($H$10,"III",$A87),Matemáticas!$A:$H,7,FALSE),VLOOKUP(CONCATENATE($H$13,"III",$I$10,$H$10,$G$4,$H$4,$I$4),Captura!$D:$CR,58,FALSE))</f>
        <v>#N/A</v>
      </c>
      <c r="O87" s="1" t="e">
        <f>EXACT(VLOOKUP(CONCATENATE($H$10,"IV",$A87),Matemáticas!$A:$H,7,FALSE),VLOOKUP(CONCATENATE($H$13,"IV",$I$10,$H$10,$G$4,$H$4,$I$4),Captura!$D:$CR,58,FALSE))</f>
        <v>#N/A</v>
      </c>
      <c r="P87" s="1" t="e">
        <f>EXACT(VLOOKUP(CONCATENATE($H$10,"V",$A87),Matemáticas!$A:$H,7,FALSE),VLOOKUP(CONCATENATE($H$13,"V",$I$10,$H$10,$G$4,$H$4,$I$4),Captura!$D:$CR,58,FALSE))</f>
        <v>#N/A</v>
      </c>
    </row>
    <row r="88" spans="1:16" x14ac:dyDescent="0.15">
      <c r="A88" s="66"/>
      <c r="B88" s="66"/>
      <c r="D88" s="2"/>
      <c r="E88" s="2"/>
      <c r="F88" s="2"/>
      <c r="G88" s="2"/>
      <c r="H88" s="2"/>
      <c r="L88" s="1"/>
    </row>
    <row r="89" spans="1:16" x14ac:dyDescent="0.15">
      <c r="A89" s="189" t="str">
        <f>IF(H10=1,"Ciencias I (Énfasis en Biología)",IF(H10=2,"Ciencias II (Énfasis en Física)",IF(H10=3,"Ciencias III (Énfasis en Química)")))</f>
        <v>Ciencias III (Énfasis en Química)</v>
      </c>
      <c r="B89" s="189"/>
      <c r="C89" s="189"/>
      <c r="D89" s="189"/>
      <c r="E89" s="189"/>
      <c r="F89" s="189"/>
      <c r="G89" s="189"/>
      <c r="H89" s="189"/>
      <c r="I89" s="189"/>
      <c r="J89" s="189"/>
      <c r="L89" s="1"/>
    </row>
    <row r="90" spans="1:16" ht="21" x14ac:dyDescent="0.15">
      <c r="A90" s="74" t="s">
        <v>6125</v>
      </c>
      <c r="B90" s="103"/>
      <c r="C90" s="74" t="s">
        <v>6123</v>
      </c>
      <c r="D90" s="187" t="s">
        <v>6365</v>
      </c>
      <c r="E90" s="187"/>
      <c r="F90" s="187"/>
      <c r="G90" s="187" t="s">
        <v>6366</v>
      </c>
      <c r="H90" s="187"/>
      <c r="I90" s="187"/>
      <c r="J90" s="85" t="s">
        <v>6377</v>
      </c>
      <c r="L90" s="1"/>
    </row>
    <row r="91" spans="1:16" ht="24.95" customHeight="1" x14ac:dyDescent="0.15">
      <c r="A91" s="30">
        <v>1</v>
      </c>
      <c r="B91" s="104" t="e">
        <f>IF(K91&lt;&gt;C91,-1,1)</f>
        <v>#N/A</v>
      </c>
      <c r="C91" s="3" t="e">
        <f>VLOOKUP(CONCATENATE($H$13,$H$15,$I$10,$H$10,$G$4,$H$4,$I$4),Captura!D:CR,59,FALSE)</f>
        <v>#N/A</v>
      </c>
      <c r="D91" s="181" t="str">
        <f>IF(VLOOKUP(CONCATENATE($H$10,$H$15,$A91),Ciencias!A:H,4,FALSE)=0,D90,VLOOKUP(CONCATENATE($H$10,$H$15,$A91),Ciencias!A:H,4,FALSE))</f>
        <v>Establece criterios para clasificar materiales cotidianos en mezclas, compuestos y elementos considerando su composición y pureza.</v>
      </c>
      <c r="E91" s="182"/>
      <c r="F91" s="183"/>
      <c r="G91" s="181" t="str">
        <f>IF(VLOOKUP(CONCATENATE($H$10,$H$15,$A91),Ciencias!A:H,5,FALSE)=0,G90,VLOOKUP(CONCATENATE($H$10,$H$15,$A91),Ciencias!A:H,5,FALSE))</f>
        <v>Mezclas y sustancias puras: compuestos y elementos.</v>
      </c>
      <c r="H91" s="182"/>
      <c r="I91" s="183"/>
      <c r="J91" s="3" t="str">
        <f>VLOOKUP(CONCATENATE($H$10,$H$15,$A91),Ciencias!A:H,8,FALSE)</f>
        <v>Hechos</v>
      </c>
      <c r="K91" s="2" t="str">
        <f>VLOOKUP(CONCATENATE($H$10,$H$15,$A91),Ciencias!A:H,7,FALSE)</f>
        <v>B</v>
      </c>
      <c r="L91" s="1" t="e">
        <f>EXACT(VLOOKUP(CONCATENATE($H$10,"I",$A91),Ciencias!$A:$H,7,FALSE),VLOOKUP(CONCATENATE($H$13,"I",$I$10,$H$10,$G$4,$H$4,$I$4),Captura!$D:$CR,59,FALSE))</f>
        <v>#N/A</v>
      </c>
      <c r="M91" s="1" t="e">
        <f>EXACT(VLOOKUP(CONCATENATE($H$10,"II",$A91),Ciencias!$A:$H,7,FALSE),VLOOKUP(CONCATENATE($H$13,"II",$I$10,$H$10,$G$4,$H$4,$I$4),Captura!$D:$CR,59,FALSE))</f>
        <v>#N/A</v>
      </c>
      <c r="N91" s="1" t="e">
        <f>EXACT(VLOOKUP(CONCATENATE($H$10,"III",$A91),Ciencias!$A:$H,7,FALSE),VLOOKUP(CONCATENATE($H$13,"III",$I$10,$H$10,$G$4,$H$4,$I$4),Captura!$D:$CR,59,FALSE))</f>
        <v>#N/A</v>
      </c>
      <c r="O91" s="1" t="e">
        <f>EXACT(VLOOKUP(CONCATENATE($H$10,"IV",$A91),Ciencias!$A:$H,7,FALSE),VLOOKUP(CONCATENATE($H$13,"IV",$I$10,$H$10,$G$4,$H$4,$I$4),Captura!$D:$CR,59,FALSE))</f>
        <v>#N/A</v>
      </c>
      <c r="P91" s="1" t="e">
        <f>EXACT(VLOOKUP(CONCATENATE($H$10,"V",$A91),Ciencias!$A:$H,7,FALSE),VLOOKUP(CONCATENATE($H$13,"V",$I$10,$H$10,$G$4,$H$4,$I$4),Captura!$D:$CR,59,FALSE))</f>
        <v>#N/A</v>
      </c>
    </row>
    <row r="92" spans="1:16" ht="24.95" customHeight="1" x14ac:dyDescent="0.15">
      <c r="A92" s="30">
        <v>2</v>
      </c>
      <c r="B92" s="104" t="e">
        <f t="shared" ref="B92:B110" si="8">IF(K92&lt;&gt;C92,-1,1)</f>
        <v>#N/A</v>
      </c>
      <c r="C92" s="92" t="e">
        <f>VLOOKUP(CONCATENATE($H$13,$H$15,$I$10,$H$10,$G$4,$H$4,$I$4),Captura!D:CR,60,FALSE)</f>
        <v>#N/A</v>
      </c>
      <c r="D92" s="181" t="str">
        <f>IF(VLOOKUP(CONCATENATE($H$10,$H$15,$A92),Ciencias!A:H,4,FALSE)=0,D91,VLOOKUP(CONCATENATE($H$10,$H$15,$A92),Ciencias!A:H,4,FALSE))</f>
        <v>Representa y diferencia mezclas, compuestos y elementos con base en el modelo corpuscular.</v>
      </c>
      <c r="E92" s="182"/>
      <c r="F92" s="183"/>
      <c r="G92" s="181" t="str">
        <f>IF(VLOOKUP(CONCATENATE($H$10,$H$15,$A92),Ciencias!A:H,5,FALSE)=0,G91,VLOOKUP(CONCATENATE($H$10,$H$15,$A92),Ciencias!A:H,5,FALSE))</f>
        <v>Mezclas y sustancias puras: compuestos y elementos.</v>
      </c>
      <c r="H92" s="182"/>
      <c r="I92" s="183"/>
      <c r="J92" s="92" t="str">
        <f>VLOOKUP(CONCATENATE($H$10,$H$15,$A92),Ciencias!A:H,8,FALSE)</f>
        <v>Hechos</v>
      </c>
      <c r="K92" s="2" t="str">
        <f>VLOOKUP(CONCATENATE($H$10,$H$15,$A92),Ciencias!A:H,7,FALSE)</f>
        <v>C</v>
      </c>
      <c r="L92" s="1" t="e">
        <f>EXACT(VLOOKUP(CONCATENATE($H$10,"I",$A92),Ciencias!$A:$H,7,FALSE),VLOOKUP(CONCATENATE($H$13,"I",$I$10,$H$10,$G$4,$H$4,$I$4),Captura!$D:$CR,60,FALSE))</f>
        <v>#N/A</v>
      </c>
      <c r="M92" s="1" t="e">
        <f>EXACT(VLOOKUP(CONCATENATE($H$10,"II",$A92),Ciencias!$A:$H,7,FALSE),VLOOKUP(CONCATENATE($H$13,"II",$I$10,$H$10,$G$4,$H$4,$I$4),Captura!$D:$CR,60,FALSE))</f>
        <v>#N/A</v>
      </c>
      <c r="N92" s="1" t="e">
        <f>EXACT(VLOOKUP(CONCATENATE($H$10,"III",$A92),Ciencias!$A:$H,7,FALSE),VLOOKUP(CONCATENATE($H$13,"III",$I$10,$H$10,$G$4,$H$4,$I$4),Captura!$D:$CR,60,FALSE))</f>
        <v>#N/A</v>
      </c>
      <c r="O92" s="1" t="e">
        <f>EXACT(VLOOKUP(CONCATENATE($H$10,"IV",$A92),Ciencias!$A:$H,7,FALSE),VLOOKUP(CONCATENATE($H$13,"IV",$I$10,$H$10,$G$4,$H$4,$I$4),Captura!$D:$CR,60,FALSE))</f>
        <v>#N/A</v>
      </c>
      <c r="P92" s="1" t="e">
        <f>EXACT(VLOOKUP(CONCATENATE($H$10,"V",$A92),Ciencias!$A:$H,7,FALSE),VLOOKUP(CONCATENATE($H$13,"V",$I$10,$H$10,$G$4,$H$4,$I$4),Captura!$D:$CR,60,FALSE))</f>
        <v>#N/A</v>
      </c>
    </row>
    <row r="93" spans="1:16" ht="24.95" customHeight="1" x14ac:dyDescent="0.15">
      <c r="A93" s="30">
        <v>3</v>
      </c>
      <c r="B93" s="104" t="e">
        <f t="shared" si="8"/>
        <v>#N/A</v>
      </c>
      <c r="C93" s="92" t="e">
        <f>VLOOKUP(CONCATENATE($H$13,$H$15,$I$10,$H$10,$G$4,$H$4,$I$4),Captura!D:CR,61,FALSE)</f>
        <v>#N/A</v>
      </c>
      <c r="D93" s="181" t="str">
        <f>IF(VLOOKUP(CONCATENATE($H$10,$H$15,$A93),Ciencias!A:H,4,FALSE)=0,D92,VLOOKUP(CONCATENATE($H$10,$H$15,$A93),Ciencias!A:H,4,FALSE))</f>
        <v>Identifica los componentes del modelo atómico de Bohr (protones, neutrones y electrones), así como la función de los electrones de valencia para comprender la estructura de los materiales.</v>
      </c>
      <c r="E93" s="182"/>
      <c r="F93" s="183"/>
      <c r="G93" s="181" t="str">
        <f>IF(VLOOKUP(CONCATENATE($H$10,$H$15,$A93),Ciencias!A:H,5,FALSE)=0,G92,VLOOKUP(CONCATENATE($H$10,$H$15,$A93),Ciencias!A:H,5,FALSE))</f>
        <v xml:space="preserve">Modelo atómico de Bohr .   Enlace químico.                                         </v>
      </c>
      <c r="H93" s="182"/>
      <c r="I93" s="183"/>
      <c r="J93" s="92" t="str">
        <f>VLOOKUP(CONCATENATE($H$10,$H$15,$A93),Ciencias!A:H,8,FALSE)</f>
        <v>Hechos</v>
      </c>
      <c r="K93" s="2" t="str">
        <f>VLOOKUP(CONCATENATE($H$10,$H$15,$A93),Ciencias!A:H,7,FALSE)</f>
        <v>B</v>
      </c>
      <c r="L93" s="1" t="e">
        <f>EXACT(VLOOKUP(CONCATENATE($H$10,"I",$A93),Ciencias!$A:$H,7,FALSE),VLOOKUP(CONCATENATE($H$13,"I",$I$10,$H$10,$G$4,$H$4,$I$4),Captura!$D:$CR,61,FALSE))</f>
        <v>#N/A</v>
      </c>
      <c r="M93" s="1" t="e">
        <f>EXACT(VLOOKUP(CONCATENATE($H$10,"II",$A93),Ciencias!$A:$H,7,FALSE),VLOOKUP(CONCATENATE($H$13,"II",$I$10,$H$10,$G$4,$H$4,$I$4),Captura!$D:$CR,61,FALSE))</f>
        <v>#N/A</v>
      </c>
      <c r="N93" s="1" t="e">
        <f>EXACT(VLOOKUP(CONCATENATE($H$10,"III",$A93),Ciencias!$A:$H,7,FALSE),VLOOKUP(CONCATENATE($H$13,"III",$I$10,$H$10,$G$4,$H$4,$I$4),Captura!$D:$CR,61,FALSE))</f>
        <v>#N/A</v>
      </c>
      <c r="O93" s="1" t="e">
        <f>EXACT(VLOOKUP(CONCATENATE($H$10,"IV",$A93),Ciencias!$A:$H,7,FALSE),VLOOKUP(CONCATENATE($H$13,"IV",$I$10,$H$10,$G$4,$H$4,$I$4),Captura!$D:$CR,61,FALSE))</f>
        <v>#N/A</v>
      </c>
      <c r="P93" s="1" t="e">
        <f>EXACT(VLOOKUP(CONCATENATE($H$10,"V",$A93),Ciencias!$A:$H,7,FALSE),VLOOKUP(CONCATENATE($H$13,"V",$I$10,$H$10,$G$4,$H$4,$I$4),Captura!$D:$CR,61,FALSE))</f>
        <v>#N/A</v>
      </c>
    </row>
    <row r="94" spans="1:16" ht="24.95" customHeight="1" x14ac:dyDescent="0.15">
      <c r="A94" s="30">
        <v>4</v>
      </c>
      <c r="B94" s="104" t="e">
        <f t="shared" si="8"/>
        <v>#N/A</v>
      </c>
      <c r="C94" s="92" t="e">
        <f>VLOOKUP(CONCATENATE($H$13,$H$15,$I$10,$H$10,$G$4,$H$4,$I$4),Captura!D:CR,62,FALSE)</f>
        <v>#N/A</v>
      </c>
      <c r="D94" s="181" t="str">
        <f>IF(VLOOKUP(CONCATENATE($H$10,$H$15,$A94),Ciencias!A:H,4,FALSE)=0,D93,VLOOKUP(CONCATENATE($H$10,$H$15,$A94),Ciencias!A:H,4,FALSE))</f>
        <v>Identifica los componentes del modelo atómico de Bohr (protones, neutrones y electrones), así como la función de los electrones de valencia para comprender la estructura de los materiales.</v>
      </c>
      <c r="E94" s="182"/>
      <c r="F94" s="183"/>
      <c r="G94" s="181" t="str">
        <f>IF(VLOOKUP(CONCATENATE($H$10,$H$15,$A94),Ciencias!A:H,5,FALSE)=0,G93,VLOOKUP(CONCATENATE($H$10,$H$15,$A94),Ciencias!A:H,5,FALSE))</f>
        <v xml:space="preserve">Modelo atómico de Bohr .   Enlace químico.                                         </v>
      </c>
      <c r="H94" s="182"/>
      <c r="I94" s="183"/>
      <c r="J94" s="92" t="str">
        <f>VLOOKUP(CONCATENATE($H$10,$H$15,$A94),Ciencias!A:H,8,FALSE)</f>
        <v>Aplicación de procedimientos</v>
      </c>
      <c r="K94" s="2" t="str">
        <f>VLOOKUP(CONCATENATE($H$10,$H$15,$A94),Ciencias!A:H,7,FALSE)</f>
        <v>A</v>
      </c>
      <c r="L94" s="1" t="e">
        <f>EXACT(VLOOKUP(CONCATENATE($H$10,"I",$A94),Ciencias!$A:$H,7,FALSE),VLOOKUP(CONCATENATE($H$13,"I",$I$10,$H$10,$G$4,$H$4,$I$4),Captura!$D:$CR,62,FALSE))</f>
        <v>#N/A</v>
      </c>
      <c r="M94" s="1" t="e">
        <f>EXACT(VLOOKUP(CONCATENATE($H$10,"II",$A94),Ciencias!$A:$H,7,FALSE),VLOOKUP(CONCATENATE($H$13,"II",$I$10,$H$10,$G$4,$H$4,$I$4),Captura!$D:$CR,62,FALSE))</f>
        <v>#N/A</v>
      </c>
      <c r="N94" s="1" t="e">
        <f>EXACT(VLOOKUP(CONCATENATE($H$10,"III",$A94),Ciencias!$A:$H,7,FALSE),VLOOKUP(CONCATENATE($H$13,"III",$I$10,$H$10,$G$4,$H$4,$I$4),Captura!$D:$CR,62,FALSE))</f>
        <v>#N/A</v>
      </c>
      <c r="O94" s="1" t="e">
        <f>EXACT(VLOOKUP(CONCATENATE($H$10,"IV",$A94),Ciencias!$A:$H,7,FALSE),VLOOKUP(CONCATENATE($H$13,"IV",$I$10,$H$10,$G$4,$H$4,$I$4),Captura!$D:$CR,62,FALSE))</f>
        <v>#N/A</v>
      </c>
      <c r="P94" s="1" t="e">
        <f>EXACT(VLOOKUP(CONCATENATE($H$10,"V",$A94),Ciencias!$A:$H,7,FALSE),VLOOKUP(CONCATENATE($H$13,"V",$I$10,$H$10,$G$4,$H$4,$I$4),Captura!$D:$CR,62,FALSE))</f>
        <v>#N/A</v>
      </c>
    </row>
    <row r="95" spans="1:16" ht="24.95" customHeight="1" x14ac:dyDescent="0.15">
      <c r="A95" s="30">
        <v>5</v>
      </c>
      <c r="B95" s="104" t="e">
        <f t="shared" si="8"/>
        <v>#N/A</v>
      </c>
      <c r="C95" s="92" t="e">
        <f>VLOOKUP(CONCATENATE($H$13,$H$15,$I$10,$H$10,$G$4,$H$4,$I$4),Captura!D:CR,63,FALSE)</f>
        <v>#N/A</v>
      </c>
      <c r="D95" s="181" t="str">
        <f>IF(VLOOKUP(CONCATENATE($H$10,$H$15,$A95),Ciencias!A:H,4,FALSE)=0,D94,VLOOKUP(CONCATENATE($H$10,$H$15,$A95),Ciencias!A:H,4,FALSE))</f>
        <v>Representa el enlace químico mediante los electrones de valencia a partir de la estructura de Lewis.</v>
      </c>
      <c r="E95" s="182"/>
      <c r="F95" s="183"/>
      <c r="G95" s="181" t="str">
        <f>IF(VLOOKUP(CONCATENATE($H$10,$H$15,$A95),Ciencias!A:H,5,FALSE)=0,G94,VLOOKUP(CONCATENATE($H$10,$H$15,$A95),Ciencias!A:H,5,FALSE))</f>
        <v xml:space="preserve">Modelo atómico de Bohr .   Enlace químico.                                         </v>
      </c>
      <c r="H95" s="182"/>
      <c r="I95" s="183"/>
      <c r="J95" s="92" t="str">
        <f>VLOOKUP(CONCATENATE($H$10,$H$15,$A95),Ciencias!A:H,8,FALSE)</f>
        <v>Coceptos</v>
      </c>
      <c r="K95" s="2" t="str">
        <f>VLOOKUP(CONCATENATE($H$10,$H$15,$A95),Ciencias!A:H,7,FALSE)</f>
        <v>C</v>
      </c>
      <c r="L95" s="1" t="e">
        <f>EXACT(VLOOKUP(CONCATENATE($H$10,"I",$A95),Ciencias!$A:$H,7,FALSE),VLOOKUP(CONCATENATE($H$13,"I",$I$10,$H$10,$G$4,$H$4,$I$4),Captura!$D:$CR,63,FALSE))</f>
        <v>#N/A</v>
      </c>
      <c r="M95" s="1" t="e">
        <f>EXACT(VLOOKUP(CONCATENATE($H$10,"II",$A95),Ciencias!$A:$H,7,FALSE),VLOOKUP(CONCATENATE($H$13,"II",$I$10,$H$10,$G$4,$H$4,$I$4),Captura!$D:$CR,63,FALSE))</f>
        <v>#N/A</v>
      </c>
      <c r="N95" s="1" t="e">
        <f>EXACT(VLOOKUP(CONCATENATE($H$10,"III",$A95),Ciencias!$A:$H,7,FALSE),VLOOKUP(CONCATENATE($H$13,"III",$I$10,$H$10,$G$4,$H$4,$I$4),Captura!$D:$CR,63,FALSE))</f>
        <v>#N/A</v>
      </c>
      <c r="O95" s="1" t="e">
        <f>EXACT(VLOOKUP(CONCATENATE($H$10,"IV",$A95),Ciencias!$A:$H,7,FALSE),VLOOKUP(CONCATENATE($H$13,"IV",$I$10,$H$10,$G$4,$H$4,$I$4),Captura!$D:$CR,63,FALSE))</f>
        <v>#N/A</v>
      </c>
      <c r="P95" s="1" t="e">
        <f>EXACT(VLOOKUP(CONCATENATE($H$10,"V",$A95),Ciencias!$A:$H,7,FALSE),VLOOKUP(CONCATENATE($H$13,"V",$I$10,$H$10,$G$4,$H$4,$I$4),Captura!$D:$CR,63,FALSE))</f>
        <v>#N/A</v>
      </c>
    </row>
    <row r="96" spans="1:16" ht="24.95" customHeight="1" x14ac:dyDescent="0.15">
      <c r="A96" s="30">
        <v>6</v>
      </c>
      <c r="B96" s="104" t="e">
        <f t="shared" si="8"/>
        <v>#N/A</v>
      </c>
      <c r="C96" s="92" t="e">
        <f>VLOOKUP(CONCATENATE($H$13,$H$15,$I$10,$H$10,$G$4,$H$4,$I$4),Captura!D:CR,64,FALSE)</f>
        <v>#N/A</v>
      </c>
      <c r="D96" s="181" t="str">
        <f>IF(VLOOKUP(CONCATENATE($H$10,$H$15,$A96),Ciencias!A:H,4,FALSE)=0,D95,VLOOKUP(CONCATENATE($H$10,$H$15,$A96),Ciencias!A:H,4,FALSE))</f>
        <v>Representa el enlace químico mediante los electrones de valencia a partir de la estructura de Lewis.</v>
      </c>
      <c r="E96" s="182"/>
      <c r="F96" s="183"/>
      <c r="G96" s="181" t="str">
        <f>IF(VLOOKUP(CONCATENATE($H$10,$H$15,$A96),Ciencias!A:H,5,FALSE)=0,G95,VLOOKUP(CONCATENATE($H$10,$H$15,$A96),Ciencias!A:H,5,FALSE))</f>
        <v xml:space="preserve">Modelo atómico de Bohr .   Enlace químico.                                         </v>
      </c>
      <c r="H96" s="182"/>
      <c r="I96" s="183"/>
      <c r="J96" s="92" t="str">
        <f>VLOOKUP(CONCATENATE($H$10,$H$15,$A96),Ciencias!A:H,8,FALSE)</f>
        <v>Principios</v>
      </c>
      <c r="K96" s="2" t="str">
        <f>VLOOKUP(CONCATENATE($H$10,$H$15,$A96),Ciencias!A:H,7,FALSE)</f>
        <v>B</v>
      </c>
      <c r="L96" s="1" t="e">
        <f>EXACT(VLOOKUP(CONCATENATE($H$10,"I",$A96),Ciencias!$A:$H,7,FALSE),VLOOKUP(CONCATENATE($H$13,"I",$I$10,$H$10,$G$4,$H$4,$I$4),Captura!$D:$CR,64,FALSE))</f>
        <v>#N/A</v>
      </c>
      <c r="M96" s="1" t="e">
        <f>EXACT(VLOOKUP(CONCATENATE($H$10,"II",$A96),Ciencias!$A:$H,7,FALSE),VLOOKUP(CONCATENATE($H$13,"II",$I$10,$H$10,$G$4,$H$4,$I$4),Captura!$D:$CR,64,FALSE))</f>
        <v>#N/A</v>
      </c>
      <c r="N96" s="1" t="e">
        <f>EXACT(VLOOKUP(CONCATENATE($H$10,"III",$A96),Ciencias!$A:$H,7,FALSE),VLOOKUP(CONCATENATE($H$13,"III",$I$10,$H$10,$G$4,$H$4,$I$4),Captura!$D:$CR,64,FALSE))</f>
        <v>#N/A</v>
      </c>
      <c r="O96" s="1" t="e">
        <f>EXACT(VLOOKUP(CONCATENATE($H$10,"IV",$A96),Ciencias!$A:$H,7,FALSE),VLOOKUP(CONCATENATE($H$13,"IV",$I$10,$H$10,$G$4,$H$4,$I$4),Captura!$D:$CR,64,FALSE))</f>
        <v>#N/A</v>
      </c>
      <c r="P96" s="1" t="e">
        <f>EXACT(VLOOKUP(CONCATENATE($H$10,"V",$A96),Ciencias!$A:$H,7,FALSE),VLOOKUP(CONCATENATE($H$13,"V",$I$10,$H$10,$G$4,$H$4,$I$4),Captura!$D:$CR,64,FALSE))</f>
        <v>#N/A</v>
      </c>
    </row>
    <row r="97" spans="1:16" ht="24.95" customHeight="1" x14ac:dyDescent="0.15">
      <c r="A97" s="30">
        <v>7</v>
      </c>
      <c r="B97" s="104" t="e">
        <f t="shared" si="8"/>
        <v>#N/A</v>
      </c>
      <c r="C97" s="92" t="e">
        <f>VLOOKUP(CONCATENATE($H$13,$H$15,$I$10,$H$10,$G$4,$H$4,$I$4),Captura!D:CR,65,FALSE)</f>
        <v>#N/A</v>
      </c>
      <c r="D97" s="181" t="str">
        <f>IF(VLOOKUP(CONCATENATE($H$10,$H$15,$A97),Ciencias!A:H,4,FALSE)=0,D96,VLOOKUP(CONCATENATE($H$10,$H$15,$A97),Ciencias!A:H,4,FALSE))</f>
        <v>Representa mediante la simbología química elementos, moléculas, átomos, iones (aniones y cationes).</v>
      </c>
      <c r="E97" s="182"/>
      <c r="F97" s="183"/>
      <c r="G97" s="181" t="str">
        <f>IF(VLOOKUP(CONCATENATE($H$10,$H$15,$A97),Ciencias!A:H,5,FALSE)=0,G96,VLOOKUP(CONCATENATE($H$10,$H$15,$A97),Ciencias!A:H,5,FALSE))</f>
        <v xml:space="preserve">Modelo atómico de Bohr .   Enlace químico.                                         </v>
      </c>
      <c r="H97" s="182"/>
      <c r="I97" s="183"/>
      <c r="J97" s="92" t="str">
        <f>VLOOKUP(CONCATENATE($H$10,$H$15,$A97),Ciencias!A:H,8,FALSE)</f>
        <v>Principios</v>
      </c>
      <c r="K97" s="2" t="str">
        <f>VLOOKUP(CONCATENATE($H$10,$H$15,$A97),Ciencias!A:H,7,FALSE)</f>
        <v>C</v>
      </c>
      <c r="L97" s="1" t="e">
        <f>EXACT(VLOOKUP(CONCATENATE($H$10,"I",$A97),Ciencias!$A:$H,7,FALSE),VLOOKUP(CONCATENATE($H$13,"I",$I$10,$H$10,$G$4,$H$4,$I$4),Captura!$D:$CR,65,FALSE))</f>
        <v>#N/A</v>
      </c>
      <c r="M97" s="1" t="e">
        <f>EXACT(VLOOKUP(CONCATENATE($H$10,"II",$A97),Ciencias!$A:$H,7,FALSE),VLOOKUP(CONCATENATE($H$13,"II",$I$10,$H$10,$G$4,$H$4,$I$4),Captura!$D:$CR,65,FALSE))</f>
        <v>#N/A</v>
      </c>
      <c r="N97" s="1" t="e">
        <f>EXACT(VLOOKUP(CONCATENATE($H$10,"III",$A97),Ciencias!$A:$H,7,FALSE),VLOOKUP(CONCATENATE($H$13,"III",$I$10,$H$10,$G$4,$H$4,$I$4),Captura!$D:$CR,65,FALSE))</f>
        <v>#N/A</v>
      </c>
      <c r="O97" s="1" t="e">
        <f>EXACT(VLOOKUP(CONCATENATE($H$10,"IV",$A97),Ciencias!$A:$H,7,FALSE),VLOOKUP(CONCATENATE($H$13,"IV",$I$10,$H$10,$G$4,$H$4,$I$4),Captura!$D:$CR,65,FALSE))</f>
        <v>#N/A</v>
      </c>
      <c r="P97" s="1" t="e">
        <f>EXACT(VLOOKUP(CONCATENATE($H$10,"V",$A97),Ciencias!$A:$H,7,FALSE),VLOOKUP(CONCATENATE($H$13,"V",$I$10,$H$10,$G$4,$H$4,$I$4),Captura!$D:$CR,65,FALSE))</f>
        <v>#N/A</v>
      </c>
    </row>
    <row r="98" spans="1:16" ht="24.95" customHeight="1" x14ac:dyDescent="0.15">
      <c r="A98" s="30">
        <v>8</v>
      </c>
      <c r="B98" s="104" t="e">
        <f t="shared" si="8"/>
        <v>#N/A</v>
      </c>
      <c r="C98" s="92" t="e">
        <f>VLOOKUP(CONCATENATE($H$13,$H$15,$I$10,$H$10,$G$4,$H$4,$I$4),Captura!D:CR,66,FALSE)</f>
        <v>#N/A</v>
      </c>
      <c r="D98" s="181" t="str">
        <f>IF(VLOOKUP(CONCATENATE($H$10,$H$15,$A98),Ciencias!A:H,4,FALSE)=0,D97,VLOOKUP(CONCATENATE($H$10,$H$15,$A98),Ciencias!A:H,4,FALSE))</f>
        <v>Representa mediante la simbología química elementos, moléculas, átomos, iones (aniones y cationes).</v>
      </c>
      <c r="E98" s="182"/>
      <c r="F98" s="183"/>
      <c r="G98" s="181" t="str">
        <f>IF(VLOOKUP(CONCATENATE($H$10,$H$15,$A98),Ciencias!A:H,5,FALSE)=0,G97,VLOOKUP(CONCATENATE($H$10,$H$15,$A98),Ciencias!A:H,5,FALSE))</f>
        <v xml:space="preserve">Modelo atómico de Bohr .   Enlace químico.                                         </v>
      </c>
      <c r="H98" s="182"/>
      <c r="I98" s="183"/>
      <c r="J98" s="92" t="str">
        <f>VLOOKUP(CONCATENATE($H$10,$H$15,$A98),Ciencias!A:H,8,FALSE)</f>
        <v>Principios</v>
      </c>
      <c r="K98" s="2" t="str">
        <f>VLOOKUP(CONCATENATE($H$10,$H$15,$A98),Ciencias!A:H,7,FALSE)</f>
        <v>D</v>
      </c>
      <c r="L98" s="1" t="e">
        <f>EXACT(VLOOKUP(CONCATENATE($H$10,"I",$A98),Ciencias!$A:$H,7,FALSE),VLOOKUP(CONCATENATE($H$13,"I",$I$10,$H$10,$G$4,$H$4,$I$4),Captura!$D:$CR,66,FALSE))</f>
        <v>#N/A</v>
      </c>
      <c r="M98" s="1" t="e">
        <f>EXACT(VLOOKUP(CONCATENATE($H$10,"II",$A98),Ciencias!$A:$H,7,FALSE),VLOOKUP(CONCATENATE($H$13,"II",$I$10,$H$10,$G$4,$H$4,$I$4),Captura!$D:$CR,66,FALSE))</f>
        <v>#N/A</v>
      </c>
      <c r="N98" s="1" t="e">
        <f>EXACT(VLOOKUP(CONCATENATE($H$10,"III",$A98),Ciencias!$A:$H,7,FALSE),VLOOKUP(CONCATENATE($H$13,"III",$I$10,$H$10,$G$4,$H$4,$I$4),Captura!$D:$CR,66,FALSE))</f>
        <v>#N/A</v>
      </c>
      <c r="O98" s="1" t="e">
        <f>EXACT(VLOOKUP(CONCATENATE($H$10,"IV",$A98),Ciencias!$A:$H,7,FALSE),VLOOKUP(CONCATENATE($H$13,"IV",$I$10,$H$10,$G$4,$H$4,$I$4),Captura!$D:$CR,66,FALSE))</f>
        <v>#N/A</v>
      </c>
      <c r="P98" s="1" t="e">
        <f>EXACT(VLOOKUP(CONCATENATE($H$10,"V",$A98),Ciencias!$A:$H,7,FALSE),VLOOKUP(CONCATENATE($H$13,"V",$I$10,$H$10,$G$4,$H$4,$I$4),Captura!$D:$CR,66,FALSE))</f>
        <v>#N/A</v>
      </c>
    </row>
    <row r="99" spans="1:16" ht="24.95" customHeight="1" x14ac:dyDescent="0.15">
      <c r="A99" s="30">
        <v>9</v>
      </c>
      <c r="B99" s="104" t="e">
        <f t="shared" si="8"/>
        <v>#N/A</v>
      </c>
      <c r="C99" s="92" t="e">
        <f>VLOOKUP(CONCATENATE($H$13,$H$15,$I$10,$H$10,$G$4,$H$4,$I$4),Captura!D:CR,67,FALSE)</f>
        <v>#N/A</v>
      </c>
      <c r="D99" s="181" t="str">
        <f>IF(VLOOKUP(CONCATENATE($H$10,$H$15,$A99),Ciencias!A:H,4,FALSE)=0,D98,VLOOKUP(CONCATENATE($H$10,$H$15,$A99),Ciencias!A:H,4,FALSE))</f>
        <v>Identifica algunas propiedades de los metales (maleabilidad, ductilidad, brillo, conductividad térmica y eléctrica) y las relaciona con diferentes aplicaciones tecnológicas.</v>
      </c>
      <c r="E99" s="182"/>
      <c r="F99" s="183"/>
      <c r="G99" s="181" t="str">
        <f>IF(VLOOKUP(CONCATENATE($H$10,$H$15,$A99),Ciencias!A:H,5,FALSE)=0,G98,VLOOKUP(CONCATENATE($H$10,$H$15,$A99),Ciencias!A:H,5,FALSE))</f>
        <v>Propiedades de los metales, toma de decisiones relacionada con: rechazo, reducción, reuso y reciclado de metales.</v>
      </c>
      <c r="H99" s="182"/>
      <c r="I99" s="183"/>
      <c r="J99" s="92" t="str">
        <f>VLOOKUP(CONCATENATE($H$10,$H$15,$A99),Ciencias!A:H,8,FALSE)</f>
        <v>Hechos</v>
      </c>
      <c r="K99" s="2" t="str">
        <f>VLOOKUP(CONCATENATE($H$10,$H$15,$A99),Ciencias!A:H,7,FALSE)</f>
        <v>C</v>
      </c>
      <c r="L99" s="1" t="e">
        <f>EXACT(VLOOKUP(CONCATENATE($H$10,"I",$A99),Ciencias!$A:$H,7,FALSE),VLOOKUP(CONCATENATE($H$13,"I",$I$10,$H$10,$G$4,$H$4,$I$4),Captura!$D:$CR,67,FALSE))</f>
        <v>#N/A</v>
      </c>
      <c r="M99" s="1" t="e">
        <f>EXACT(VLOOKUP(CONCATENATE($H$10,"II",$A99),Ciencias!$A:$H,7,FALSE),VLOOKUP(CONCATENATE($H$13,"II",$I$10,$H$10,$G$4,$H$4,$I$4),Captura!$D:$CR,67,FALSE))</f>
        <v>#N/A</v>
      </c>
      <c r="N99" s="1" t="e">
        <f>EXACT(VLOOKUP(CONCATENATE($H$10,"III",$A99),Ciencias!$A:$H,7,FALSE),VLOOKUP(CONCATENATE($H$13,"III",$I$10,$H$10,$G$4,$H$4,$I$4),Captura!$D:$CR,67,FALSE))</f>
        <v>#N/A</v>
      </c>
      <c r="O99" s="1" t="e">
        <f>EXACT(VLOOKUP(CONCATENATE($H$10,"IV",$A99),Ciencias!$A:$H,7,FALSE),VLOOKUP(CONCATENATE($H$13,"IV",$I$10,$H$10,$G$4,$H$4,$I$4),Captura!$D:$CR,67,FALSE))</f>
        <v>#N/A</v>
      </c>
      <c r="P99" s="1" t="e">
        <f>EXACT(VLOOKUP(CONCATENATE($H$10,"V",$A99),Ciencias!$A:$H,7,FALSE),VLOOKUP(CONCATENATE($H$13,"V",$I$10,$H$10,$G$4,$H$4,$I$4),Captura!$D:$CR,67,FALSE))</f>
        <v>#N/A</v>
      </c>
    </row>
    <row r="100" spans="1:16" ht="24.95" customHeight="1" x14ac:dyDescent="0.15">
      <c r="A100" s="30">
        <v>10</v>
      </c>
      <c r="B100" s="104" t="e">
        <f t="shared" si="8"/>
        <v>#N/A</v>
      </c>
      <c r="C100" s="92" t="e">
        <f>VLOOKUP(CONCATENATE($H$13,$H$15,$I$10,$H$10,$G$4,$H$4,$I$4),Captura!D:CR,68,FALSE)</f>
        <v>#N/A</v>
      </c>
      <c r="D100" s="181" t="str">
        <f>IF(VLOOKUP(CONCATENATE($H$10,$H$15,$A100),Ciencias!A:H,4,FALSE)=0,D99,VLOOKUP(CONCATENATE($H$10,$H$15,$A100),Ciencias!A:H,4,FALSE))</f>
        <v>Identifica algunas propiedades de los metales (maleabilidad, ductilidad, brillo, conductividad térmica y eléctrica) y las relaciona con diferentes aplicaciones tecnológicas.</v>
      </c>
      <c r="E100" s="182"/>
      <c r="F100" s="183"/>
      <c r="G100" s="181" t="str">
        <f>IF(VLOOKUP(CONCATENATE($H$10,$H$15,$A100),Ciencias!A:H,5,FALSE)=0,G99,VLOOKUP(CONCATENATE($H$10,$H$15,$A100),Ciencias!A:H,5,FALSE))</f>
        <v>Propiedades de los metales, toma de decisiones relacionada con: rechazo, reducción, reuso y reciclado de metales.</v>
      </c>
      <c r="H100" s="182"/>
      <c r="I100" s="183"/>
      <c r="J100" s="92" t="str">
        <f>VLOOKUP(CONCATENATE($H$10,$H$15,$A100),Ciencias!A:H,8,FALSE)</f>
        <v>Hechos</v>
      </c>
      <c r="K100" s="2" t="str">
        <f>VLOOKUP(CONCATENATE($H$10,$H$15,$A100),Ciencias!A:H,7,FALSE)</f>
        <v>B</v>
      </c>
      <c r="L100" s="1" t="e">
        <f>EXACT(VLOOKUP(CONCATENATE($H$10,"I",$A100),Ciencias!$A:$H,7,FALSE),VLOOKUP(CONCATENATE($H$13,"I",$I$10,$H$10,$G$4,$H$4,$I$4),Captura!$D:$CR,68,FALSE))</f>
        <v>#N/A</v>
      </c>
      <c r="M100" s="1" t="e">
        <f>EXACT(VLOOKUP(CONCATENATE($H$10,"II",$A100),Ciencias!$A:$H,7,FALSE),VLOOKUP(CONCATENATE($H$13,"II",$I$10,$H$10,$G$4,$H$4,$I$4),Captura!$D:$CR,68,FALSE))</f>
        <v>#N/A</v>
      </c>
      <c r="N100" s="1" t="e">
        <f>EXACT(VLOOKUP(CONCATENATE($H$10,"III",$A100),Ciencias!$A:$H,7,FALSE),VLOOKUP(CONCATENATE($H$13,"III",$I$10,$H$10,$G$4,$H$4,$I$4),Captura!$D:$CR,68,FALSE))</f>
        <v>#N/A</v>
      </c>
      <c r="O100" s="1" t="e">
        <f>EXACT(VLOOKUP(CONCATENATE($H$10,"IV",$A100),Ciencias!$A:$H,7,FALSE),VLOOKUP(CONCATENATE($H$13,"IV",$I$10,$H$10,$G$4,$H$4,$I$4),Captura!$D:$CR,68,FALSE))</f>
        <v>#N/A</v>
      </c>
      <c r="P100" s="1" t="e">
        <f>EXACT(VLOOKUP(CONCATENATE($H$10,"V",$A100),Ciencias!$A:$H,7,FALSE),VLOOKUP(CONCATENATE($H$13,"V",$I$10,$H$10,$G$4,$H$4,$I$4),Captura!$D:$CR,68,FALSE))</f>
        <v>#N/A</v>
      </c>
    </row>
    <row r="101" spans="1:16" ht="24.95" customHeight="1" x14ac:dyDescent="0.15">
      <c r="A101" s="30">
        <v>11</v>
      </c>
      <c r="B101" s="104" t="e">
        <f t="shared" si="8"/>
        <v>#N/A</v>
      </c>
      <c r="C101" s="92" t="e">
        <f>VLOOKUP(CONCATENATE($H$13,$H$15,$I$10,$H$10,$G$4,$H$4,$I$4),Captura!D:CR,69,FALSE)</f>
        <v>#N/A</v>
      </c>
      <c r="D101" s="181" t="str">
        <f>IF(VLOOKUP(CONCATENATE($H$10,$H$15,$A101),Ciencias!A:H,4,FALSE)=0,D100,VLOOKUP(CONCATENATE($H$10,$H$15,$A101),Ciencias!A:H,4,FALSE))</f>
        <v>Identifica algunas propiedades de los metales (maleabilidad, ductilidad, brillo, conductividad térmica y eléctrica) y las relaciona con diferentes aplicaciones tecnológicas.</v>
      </c>
      <c r="E101" s="182"/>
      <c r="F101" s="183"/>
      <c r="G101" s="181" t="str">
        <f>IF(VLOOKUP(CONCATENATE($H$10,$H$15,$A101),Ciencias!A:H,5,FALSE)=0,G100,VLOOKUP(CONCATENATE($H$10,$H$15,$A101),Ciencias!A:H,5,FALSE))</f>
        <v>Propiedades de los metales, toma de decisiones relacionada con: rechazo, reducción, reuso y reciclado de metales.</v>
      </c>
      <c r="H101" s="182"/>
      <c r="I101" s="183"/>
      <c r="J101" s="92" t="str">
        <f>VLOOKUP(CONCATENATE($H$10,$H$15,$A101),Ciencias!A:H,8,FALSE)</f>
        <v>Hechos</v>
      </c>
      <c r="K101" s="2" t="str">
        <f>VLOOKUP(CONCATENATE($H$10,$H$15,$A101),Ciencias!A:H,7,FALSE)</f>
        <v>D</v>
      </c>
      <c r="L101" s="1" t="e">
        <f>EXACT(VLOOKUP(CONCATENATE($H$10,"I",$A101),Ciencias!$A:$H,7,FALSE),VLOOKUP(CONCATENATE($H$13,"I",$I$10,$H$10,$G$4,$H$4,$I$4),Captura!$D:$CR,69,FALSE))</f>
        <v>#N/A</v>
      </c>
      <c r="M101" s="1" t="e">
        <f>EXACT(VLOOKUP(CONCATENATE($H$10,"II",$A101),Ciencias!$A:$H,7,FALSE),VLOOKUP(CONCATENATE($H$13,"II",$I$10,$H$10,$G$4,$H$4,$I$4),Captura!$D:$CR,69,FALSE))</f>
        <v>#N/A</v>
      </c>
      <c r="N101" s="1" t="e">
        <f>EXACT(VLOOKUP(CONCATENATE($H$10,"III",$A101),Ciencias!$A:$H,7,FALSE),VLOOKUP(CONCATENATE($H$13,"III",$I$10,$H$10,$G$4,$H$4,$I$4),Captura!$D:$CR,69,FALSE))</f>
        <v>#N/A</v>
      </c>
      <c r="O101" s="1" t="e">
        <f>EXACT(VLOOKUP(CONCATENATE($H$10,"IV",$A101),Ciencias!$A:$H,7,FALSE),VLOOKUP(CONCATENATE($H$13,"IV",$I$10,$H$10,$G$4,$H$4,$I$4),Captura!$D:$CR,69,FALSE))</f>
        <v>#N/A</v>
      </c>
      <c r="P101" s="1" t="e">
        <f>EXACT(VLOOKUP(CONCATENATE($H$10,"V",$A101),Ciencias!$A:$H,7,FALSE),VLOOKUP(CONCATENATE($H$13,"V",$I$10,$H$10,$G$4,$H$4,$I$4),Captura!$D:$CR,69,FALSE))</f>
        <v>#N/A</v>
      </c>
    </row>
    <row r="102" spans="1:16" ht="24.95" customHeight="1" x14ac:dyDescent="0.15">
      <c r="A102" s="30">
        <v>12</v>
      </c>
      <c r="B102" s="104" t="e">
        <f t="shared" si="8"/>
        <v>#N/A</v>
      </c>
      <c r="C102" s="92" t="e">
        <f>VLOOKUP(CONCATENATE($H$13,$H$15,$I$10,$H$10,$G$4,$H$4,$I$4),Captura!D:CR,70,FALSE)</f>
        <v>#N/A</v>
      </c>
      <c r="D102" s="181" t="str">
        <f>IF(VLOOKUP(CONCATENATE($H$10,$H$15,$A102),Ciencias!A:H,4,FALSE)=0,D101,VLOOKUP(CONCATENATE($H$10,$H$15,$A102),Ciencias!A:H,4,FALSE))</f>
        <v>Identifica algunas propiedades de los metales (maleabilidad, ductilidad, brillo, conductividad térmica y eléctrica) y las relaciona con diferentes aplicaciones tecnológicas.</v>
      </c>
      <c r="E102" s="182"/>
      <c r="F102" s="183"/>
      <c r="G102" s="181" t="str">
        <f>IF(VLOOKUP(CONCATENATE($H$10,$H$15,$A102),Ciencias!A:H,5,FALSE)=0,G101,VLOOKUP(CONCATENATE($H$10,$H$15,$A102),Ciencias!A:H,5,FALSE))</f>
        <v>Propiedades de los metales, toma de decisiones relacionada con: rechazo, reducción, reuso y reciclado de metales.</v>
      </c>
      <c r="H102" s="182"/>
      <c r="I102" s="183"/>
      <c r="J102" s="92" t="str">
        <f>VLOOKUP(CONCATENATE($H$10,$H$15,$A102),Ciencias!A:H,8,FALSE)</f>
        <v>Hechos</v>
      </c>
      <c r="K102" s="2" t="str">
        <f>VLOOKUP(CONCATENATE($H$10,$H$15,$A102),Ciencias!A:H,7,FALSE)</f>
        <v>B</v>
      </c>
      <c r="L102" s="1" t="e">
        <f>EXACT(VLOOKUP(CONCATENATE($H$10,"I",$A102),Ciencias!$A:$H,7,FALSE),VLOOKUP(CONCATENATE($H$13,"I",$I$10,$H$10,$G$4,$H$4,$I$4),Captura!$D:$CR,70,FALSE))</f>
        <v>#N/A</v>
      </c>
      <c r="M102" s="1" t="e">
        <f>EXACT(VLOOKUP(CONCATENATE($H$10,"II",$A102),Ciencias!$A:$H,7,FALSE),VLOOKUP(CONCATENATE($H$13,"II",$I$10,$H$10,$G$4,$H$4,$I$4),Captura!$D:$CR,70,FALSE))</f>
        <v>#N/A</v>
      </c>
      <c r="N102" s="1" t="e">
        <f>EXACT(VLOOKUP(CONCATENATE($H$10,"III",$A102),Ciencias!$A:$H,7,FALSE),VLOOKUP(CONCATENATE($H$13,"III",$I$10,$H$10,$G$4,$H$4,$I$4),Captura!$D:$CR,70,FALSE))</f>
        <v>#N/A</v>
      </c>
      <c r="O102" s="1" t="e">
        <f>EXACT(VLOOKUP(CONCATENATE($H$10,"IV",$A102),Ciencias!$A:$H,7,FALSE),VLOOKUP(CONCATENATE($H$13,"IV",$I$10,$H$10,$G$4,$H$4,$I$4),Captura!$D:$CR,70,FALSE))</f>
        <v>#N/A</v>
      </c>
      <c r="P102" s="1" t="e">
        <f>EXACT(VLOOKUP(CONCATENATE($H$10,"V",$A102),Ciencias!$A:$H,7,FALSE),VLOOKUP(CONCATENATE($H$13,"V",$I$10,$H$10,$G$4,$H$4,$I$4),Captura!$D:$CR,70,FALSE))</f>
        <v>#N/A</v>
      </c>
    </row>
    <row r="103" spans="1:16" ht="24.95" customHeight="1" x14ac:dyDescent="0.15">
      <c r="A103" s="30">
        <v>13</v>
      </c>
      <c r="B103" s="104" t="e">
        <f t="shared" si="8"/>
        <v>#N/A</v>
      </c>
      <c r="C103" s="92" t="e">
        <f>VLOOKUP(CONCATENATE($H$13,$H$15,$I$10,$H$10,$G$4,$H$4,$I$4),Captura!D:CR,71,FALSE)</f>
        <v>#N/A</v>
      </c>
      <c r="D103" s="181" t="str">
        <f>IF(VLOOKUP(CONCATENATE($H$10,$H$15,$A103),Ciencias!A:H,4,FALSE)=0,D102,VLOOKUP(CONCATENATE($H$10,$H$15,$A103),Ciencias!A:H,4,FALSE))</f>
        <v>Identifica el análisis y la sistematización de resultados como características del trabajo científico realizado por Cannizzaro, al establecer la distinción entre masa molecular y masa atómica.</v>
      </c>
      <c r="E103" s="182"/>
      <c r="F103" s="183"/>
      <c r="G103" s="181" t="str">
        <f>IF(VLOOKUP(CONCATENATE($H$10,$H$15,$A103),Ciencias!A:H,5,FALSE)=0,G102,VLOOKUP(CONCATENATE($H$10,$H$15,$A103),Ciencias!A:H,5,FALSE))</f>
        <v>El orden en la diversidad de las sustancias: aportaciones del trabajo de Cannizzaro y Mendeleiev.</v>
      </c>
      <c r="H103" s="182"/>
      <c r="I103" s="183"/>
      <c r="J103" s="92" t="str">
        <f>VLOOKUP(CONCATENATE($H$10,$H$15,$A103),Ciencias!A:H,8,FALSE)</f>
        <v>Conceptos</v>
      </c>
      <c r="K103" s="2" t="str">
        <f>VLOOKUP(CONCATENATE($H$10,$H$15,$A103),Ciencias!A:H,7,FALSE)</f>
        <v>B</v>
      </c>
      <c r="L103" s="1" t="e">
        <f>EXACT(VLOOKUP(CONCATENATE($H$10,"I",$A103),Ciencias!$A:$H,7,FALSE),VLOOKUP(CONCATENATE($H$13,"I",$I$10,$H$10,$G$4,$H$4,$I$4),Captura!$D:$CR,71,FALSE))</f>
        <v>#N/A</v>
      </c>
      <c r="M103" s="1" t="e">
        <f>EXACT(VLOOKUP(CONCATENATE($H$10,"II",$A103),Ciencias!$A:$H,7,FALSE),VLOOKUP(CONCATENATE($H$13,"II",$I$10,$H$10,$G$4,$H$4,$I$4),Captura!$D:$CR,71,FALSE))</f>
        <v>#N/A</v>
      </c>
      <c r="N103" s="1" t="e">
        <f>EXACT(VLOOKUP(CONCATENATE($H$10,"III",$A103),Ciencias!$A:$H,7,FALSE),VLOOKUP(CONCATENATE($H$13,"III",$I$10,$H$10,$G$4,$H$4,$I$4),Captura!$D:$CR,71,FALSE))</f>
        <v>#N/A</v>
      </c>
      <c r="O103" s="1" t="e">
        <f>EXACT(VLOOKUP(CONCATENATE($H$10,"IV",$A103),Ciencias!$A:$H,7,FALSE),VLOOKUP(CONCATENATE($H$13,"IV",$I$10,$H$10,$G$4,$H$4,$I$4),Captura!$D:$CR,71,FALSE))</f>
        <v>#N/A</v>
      </c>
      <c r="P103" s="1" t="e">
        <f>EXACT(VLOOKUP(CONCATENATE($H$10,"V",$A103),Ciencias!$A:$H,7,FALSE),VLOOKUP(CONCATENATE($H$13,"V",$I$10,$H$10,$G$4,$H$4,$I$4),Captura!$D:$CR,71,FALSE))</f>
        <v>#N/A</v>
      </c>
    </row>
    <row r="104" spans="1:16" ht="24.95" customHeight="1" x14ac:dyDescent="0.15">
      <c r="A104" s="30">
        <v>14</v>
      </c>
      <c r="B104" s="104" t="e">
        <f t="shared" si="8"/>
        <v>#N/A</v>
      </c>
      <c r="C104" s="92" t="e">
        <f>VLOOKUP(CONCATENATE($H$13,$H$15,$I$10,$H$10,$G$4,$H$4,$I$4),Captura!D:CR,72,FALSE)</f>
        <v>#N/A</v>
      </c>
      <c r="D104" s="181" t="str">
        <f>IF(VLOOKUP(CONCATENATE($H$10,$H$15,$A104),Ciencias!A:H,4,FALSE)=0,D103,VLOOKUP(CONCATENATE($H$10,$H$15,$A104),Ciencias!A:H,4,FALSE))</f>
        <v>Identifica la importancia de la organización y sistematización de elementos con base en su masa atómica, en la tabla periodica de Mendeleiev, que lo llevó a la predicción de algunos elementos aún desconocidos.</v>
      </c>
      <c r="E104" s="182"/>
      <c r="F104" s="183"/>
      <c r="G104" s="181" t="str">
        <f>IF(VLOOKUP(CONCATENATE($H$10,$H$15,$A104),Ciencias!A:H,5,FALSE)=0,G103,VLOOKUP(CONCATENATE($H$10,$H$15,$A104),Ciencias!A:H,5,FALSE))</f>
        <v>El orden en la diversidad de las sustancias: aportaciones del trabajo de Cannizzaro y Mendeleiev.</v>
      </c>
      <c r="H104" s="182"/>
      <c r="I104" s="183"/>
      <c r="J104" s="92" t="str">
        <f>VLOOKUP(CONCATENATE($H$10,$H$15,$A104),Ciencias!A:H,8,FALSE)</f>
        <v>Conceptos</v>
      </c>
      <c r="K104" s="2" t="str">
        <f>VLOOKUP(CONCATENATE($H$10,$H$15,$A104),Ciencias!A:H,7,FALSE)</f>
        <v>C</v>
      </c>
      <c r="L104" s="1" t="e">
        <f>EXACT(VLOOKUP(CONCATENATE($H$10,"I",$A104),Ciencias!$A:$H,7,FALSE),VLOOKUP(CONCATENATE($H$13,"I",$I$10,$H$10,$G$4,$H$4,$I$4),Captura!$D:$CR,72,FALSE))</f>
        <v>#N/A</v>
      </c>
      <c r="M104" s="1" t="e">
        <f>EXACT(VLOOKUP(CONCATENATE($H$10,"II",$A104),Ciencias!$A:$H,7,FALSE),VLOOKUP(CONCATENATE($H$13,"II",$I$10,$H$10,$G$4,$H$4,$I$4),Captura!$D:$CR,72,FALSE))</f>
        <v>#N/A</v>
      </c>
      <c r="N104" s="1" t="e">
        <f>EXACT(VLOOKUP(CONCATENATE($H$10,"III",$A104),Ciencias!$A:$H,7,FALSE),VLOOKUP(CONCATENATE($H$13,"III",$I$10,$H$10,$G$4,$H$4,$I$4),Captura!$D:$CR,72,FALSE))</f>
        <v>#N/A</v>
      </c>
      <c r="O104" s="1" t="e">
        <f>EXACT(VLOOKUP(CONCATENATE($H$10,"IV",$A104),Ciencias!$A:$H,7,FALSE),VLOOKUP(CONCATENATE($H$13,"IV",$I$10,$H$10,$G$4,$H$4,$I$4),Captura!$D:$CR,72,FALSE))</f>
        <v>#N/A</v>
      </c>
      <c r="P104" s="1" t="e">
        <f>EXACT(VLOOKUP(CONCATENATE($H$10,"V",$A104),Ciencias!$A:$H,7,FALSE),VLOOKUP(CONCATENATE($H$13,"V",$I$10,$H$10,$G$4,$H$4,$I$4),Captura!$D:$CR,72,FALSE))</f>
        <v>#N/A</v>
      </c>
    </row>
    <row r="105" spans="1:16" ht="24.95" customHeight="1" x14ac:dyDescent="0.15">
      <c r="A105" s="30">
        <v>15</v>
      </c>
      <c r="B105" s="104" t="e">
        <f t="shared" si="8"/>
        <v>#N/A</v>
      </c>
      <c r="C105" s="92" t="e">
        <f>VLOOKUP(CONCATENATE($H$13,$H$15,$I$10,$H$10,$G$4,$H$4,$I$4),Captura!D:CR,73,FALSE)</f>
        <v>#N/A</v>
      </c>
      <c r="D105" s="181" t="str">
        <f>IF(VLOOKUP(CONCATENATE($H$10,$H$15,$A105),Ciencias!A:H,4,FALSE)=0,D104,VLOOKUP(CONCATENATE($H$10,$H$15,$A105),Ciencias!A:H,4,FALSE))</f>
        <v>Identifica la información de la tabla periódica, analiza sus irregularidades y su importancia en la organización de los elementos químicos.</v>
      </c>
      <c r="E105" s="182"/>
      <c r="F105" s="183"/>
      <c r="G105" s="181" t="str">
        <f>IF(VLOOKUP(CONCATENATE($H$10,$H$15,$A105),Ciencias!A:H,5,FALSE)=0,G104,VLOOKUP(CONCATENATE($H$10,$H$15,$A105),Ciencias!A:H,5,FALSE))</f>
        <v>Regularidades en la Tabla Periódica de los Elementos químicos representativos. Carácter metálico, valencia, número y masa atómica. Importancia de los elementos químicos para los seres vivos.</v>
      </c>
      <c r="H105" s="182"/>
      <c r="I105" s="183"/>
      <c r="J105" s="92" t="str">
        <f>VLOOKUP(CONCATENATE($H$10,$H$15,$A105),Ciencias!A:H,8,FALSE)</f>
        <v>Aplicación de procedimientos</v>
      </c>
      <c r="K105" s="2" t="str">
        <f>VLOOKUP(CONCATENATE($H$10,$H$15,$A105),Ciencias!A:H,7,FALSE)</f>
        <v>C</v>
      </c>
      <c r="L105" s="1" t="e">
        <f>EXACT(VLOOKUP(CONCATENATE($H$10,"I",$A105),Ciencias!$A:$H,7,FALSE),VLOOKUP(CONCATENATE($H$13,"I",$I$10,$H$10,$G$4,$H$4,$I$4),Captura!$D:$CR,73,FALSE))</f>
        <v>#N/A</v>
      </c>
      <c r="M105" s="1" t="e">
        <f>EXACT(VLOOKUP(CONCATENATE($H$10,"II",$A105),Ciencias!$A:$H,7,FALSE),VLOOKUP(CONCATENATE($H$13,"II",$I$10,$H$10,$G$4,$H$4,$I$4),Captura!$D:$CR,73,FALSE))</f>
        <v>#N/A</v>
      </c>
      <c r="N105" s="1" t="e">
        <f>EXACT(VLOOKUP(CONCATENATE($H$10,"III",$A105),Ciencias!$A:$H,7,FALSE),VLOOKUP(CONCATENATE($H$13,"III",$I$10,$H$10,$G$4,$H$4,$I$4),Captura!$D:$CR,73,FALSE))</f>
        <v>#N/A</v>
      </c>
      <c r="O105" s="1" t="e">
        <f>EXACT(VLOOKUP(CONCATENATE($H$10,"IV",$A105),Ciencias!$A:$H,7,FALSE),VLOOKUP(CONCATENATE($H$13,"IV",$I$10,$H$10,$G$4,$H$4,$I$4),Captura!$D:$CR,73,FALSE))</f>
        <v>#N/A</v>
      </c>
      <c r="P105" s="1" t="e">
        <f>EXACT(VLOOKUP(CONCATENATE($H$10,"V",$A105),Ciencias!$A:$H,7,FALSE),VLOOKUP(CONCATENATE($H$13,"V",$I$10,$H$10,$G$4,$H$4,$I$4),Captura!$D:$CR,73,FALSE))</f>
        <v>#N/A</v>
      </c>
    </row>
    <row r="106" spans="1:16" ht="24.95" customHeight="1" x14ac:dyDescent="0.15">
      <c r="A106" s="30">
        <v>16</v>
      </c>
      <c r="B106" s="104" t="e">
        <f t="shared" si="8"/>
        <v>#N/A</v>
      </c>
      <c r="C106" s="92" t="e">
        <f>VLOOKUP(CONCATENATE($H$13,$H$15,$I$10,$H$10,$G$4,$H$4,$I$4),Captura!D:CR,74,FALSE)</f>
        <v>#N/A</v>
      </c>
      <c r="D106" s="181" t="str">
        <f>IF(VLOOKUP(CONCATENATE($H$10,$H$15,$A106),Ciencias!A:H,4,FALSE)=0,D105,VLOOKUP(CONCATENATE($H$10,$H$15,$A106),Ciencias!A:H,4,FALSE))</f>
        <v>Identifica la información de la tabla periódica, analiza sus irregularidades y su importancia en la organización de los elementos químicos.</v>
      </c>
      <c r="E106" s="182"/>
      <c r="F106" s="183"/>
      <c r="G106" s="181" t="str">
        <f>IF(VLOOKUP(CONCATENATE($H$10,$H$15,$A106),Ciencias!A:H,5,FALSE)=0,G105,VLOOKUP(CONCATENATE($H$10,$H$15,$A106),Ciencias!A:H,5,FALSE))</f>
        <v>Regularidades en la Tabla Periódica de los Elementos químicos representativos. Carácter metálico, valencia, número y masa atómica. Importancia de los elementos químicos para los seres vivos.</v>
      </c>
      <c r="H106" s="182"/>
      <c r="I106" s="183"/>
      <c r="J106" s="92" t="str">
        <f>VLOOKUP(CONCATENATE($H$10,$H$15,$A106),Ciencias!A:H,8,FALSE)</f>
        <v>Aplicación de procedimientos</v>
      </c>
      <c r="K106" s="2" t="str">
        <f>VLOOKUP(CONCATENATE($H$10,$H$15,$A106),Ciencias!A:H,7,FALSE)</f>
        <v>B</v>
      </c>
      <c r="L106" s="1" t="e">
        <f>EXACT(VLOOKUP(CONCATENATE($H$10,"I",$A106),Ciencias!$A:$H,7,FALSE),VLOOKUP(CONCATENATE($H$13,"I",$I$10,$H$10,$G$4,$H$4,$I$4),Captura!$D:$CR,74,FALSE))</f>
        <v>#N/A</v>
      </c>
      <c r="M106" s="1" t="e">
        <f>EXACT(VLOOKUP(CONCATENATE($H$10,"II",$A106),Ciencias!$A:$H,7,FALSE),VLOOKUP(CONCATENATE($H$13,"II",$I$10,$H$10,$G$4,$H$4,$I$4),Captura!$D:$CR,74,FALSE))</f>
        <v>#N/A</v>
      </c>
      <c r="N106" s="1" t="e">
        <f>EXACT(VLOOKUP(CONCATENATE($H$10,"III",$A106),Ciencias!$A:$H,7,FALSE),VLOOKUP(CONCATENATE($H$13,"III",$I$10,$H$10,$G$4,$H$4,$I$4),Captura!$D:$CR,74,FALSE))</f>
        <v>#N/A</v>
      </c>
      <c r="O106" s="1" t="e">
        <f>EXACT(VLOOKUP(CONCATENATE($H$10,"IV",$A106),Ciencias!$A:$H,7,FALSE),VLOOKUP(CONCATENATE($H$13,"IV",$I$10,$H$10,$G$4,$H$4,$I$4),Captura!$D:$CR,74,FALSE))</f>
        <v>#N/A</v>
      </c>
      <c r="P106" s="1" t="e">
        <f>EXACT(VLOOKUP(CONCATENATE($H$10,"V",$A106),Ciencias!$A:$H,7,FALSE),VLOOKUP(CONCATENATE($H$13,"V",$I$10,$H$10,$G$4,$H$4,$I$4),Captura!$D:$CR,74,FALSE))</f>
        <v>#N/A</v>
      </c>
    </row>
    <row r="107" spans="1:16" ht="24.95" customHeight="1" x14ac:dyDescent="0.15">
      <c r="A107" s="30">
        <v>17</v>
      </c>
      <c r="B107" s="104" t="e">
        <f t="shared" si="8"/>
        <v>#N/A</v>
      </c>
      <c r="C107" s="92" t="e">
        <f>VLOOKUP(CONCATENATE($H$13,$H$15,$I$10,$H$10,$G$4,$H$4,$I$4),Captura!D:CR,75,FALSE)</f>
        <v>#N/A</v>
      </c>
      <c r="D107" s="181" t="str">
        <f>IF(VLOOKUP(CONCATENATE($H$10,$H$15,$A107),Ciencias!A:H,4,FALSE)=0,D106,VLOOKUP(CONCATENATE($H$10,$H$15,$A107),Ciencias!A:H,4,FALSE))</f>
        <v>Identifica la información de la tabla periódica, analiza sus irregularidades y su importancia en la organización de los elementos químicos.</v>
      </c>
      <c r="E107" s="182"/>
      <c r="F107" s="183"/>
      <c r="G107" s="181" t="str">
        <f>IF(VLOOKUP(CONCATENATE($H$10,$H$15,$A107),Ciencias!A:H,5,FALSE)=0,G106,VLOOKUP(CONCATENATE($H$10,$H$15,$A107),Ciencias!A:H,5,FALSE))</f>
        <v>Regularidades en la Tabla Periódica de los Elementos químicos representativos. Carácter metálico, valencia, número y masa atómica. Importancia de los elementos químicos para los seres vivos.</v>
      </c>
      <c r="H107" s="182"/>
      <c r="I107" s="183"/>
      <c r="J107" s="92" t="str">
        <f>VLOOKUP(CONCATENATE($H$10,$H$15,$A107),Ciencias!A:H,8,FALSE)</f>
        <v>Aplicación de procedimientos</v>
      </c>
      <c r="K107" s="2" t="str">
        <f>VLOOKUP(CONCATENATE($H$10,$H$15,$A107),Ciencias!A:H,7,FALSE)</f>
        <v>B</v>
      </c>
      <c r="L107" s="1" t="e">
        <f>EXACT(VLOOKUP(CONCATENATE($H$10,"I",$A107),Ciencias!$A:$H,7,FALSE),VLOOKUP(CONCATENATE($H$13,"I",$I$10,$H$10,$G$4,$H$4,$I$4),Captura!$D:$CR,75,FALSE))</f>
        <v>#N/A</v>
      </c>
      <c r="M107" s="1" t="e">
        <f>EXACT(VLOOKUP(CONCATENATE($H$10,"II",$A107),Ciencias!$A:$H,7,FALSE),VLOOKUP(CONCATENATE($H$13,"II",$I$10,$H$10,$G$4,$H$4,$I$4),Captura!$D:$CR,75,FALSE))</f>
        <v>#N/A</v>
      </c>
      <c r="N107" s="1" t="e">
        <f>EXACT(VLOOKUP(CONCATENATE($H$10,"III",$A107),Ciencias!$A:$H,7,FALSE),VLOOKUP(CONCATENATE($H$13,"III",$I$10,$H$10,$G$4,$H$4,$I$4),Captura!$D:$CR,75,FALSE))</f>
        <v>#N/A</v>
      </c>
      <c r="O107" s="1" t="e">
        <f>EXACT(VLOOKUP(CONCATENATE($H$10,"IV",$A107),Ciencias!$A:$H,7,FALSE),VLOOKUP(CONCATENATE($H$13,"IV",$I$10,$H$10,$G$4,$H$4,$I$4),Captura!$D:$CR,75,FALSE))</f>
        <v>#N/A</v>
      </c>
      <c r="P107" s="1" t="e">
        <f>EXACT(VLOOKUP(CONCATENATE($H$10,"V",$A107),Ciencias!$A:$H,7,FALSE),VLOOKUP(CONCATENATE($H$13,"V",$I$10,$H$10,$G$4,$H$4,$I$4),Captura!$D:$CR,75,FALSE))</f>
        <v>#N/A</v>
      </c>
    </row>
    <row r="108" spans="1:16" ht="24.95" customHeight="1" x14ac:dyDescent="0.15">
      <c r="A108" s="30">
        <v>18</v>
      </c>
      <c r="B108" s="104" t="e">
        <f t="shared" si="8"/>
        <v>#N/A</v>
      </c>
      <c r="C108" s="92" t="e">
        <f>VLOOKUP(CONCATENATE($H$13,$H$15,$I$10,$H$10,$G$4,$H$4,$I$4),Captura!D:CR,76,FALSE)</f>
        <v>#N/A</v>
      </c>
      <c r="D108" s="181" t="str">
        <f>IF(VLOOKUP(CONCATENATE($H$10,$H$15,$A108),Ciencias!A:H,4,FALSE)=0,D107,VLOOKUP(CONCATENATE($H$10,$H$15,$A108),Ciencias!A:H,4,FALSE))</f>
        <v>Relaciona la abundancia de elementos ( C, H, O, N, P, S ) con su importancia para los seres vivos.</v>
      </c>
      <c r="E108" s="182"/>
      <c r="F108" s="183"/>
      <c r="G108" s="181" t="str">
        <f>IF(VLOOKUP(CONCATENATE($H$10,$H$15,$A108),Ciencias!A:H,5,FALSE)=0,G107,VLOOKUP(CONCATENATE($H$10,$H$15,$A108),Ciencias!A:H,5,FALSE))</f>
        <v>Regularidades en la Tabla Periódica de los Elementos químicos representativos. Carácter metálico, valencia, número y masa atómica. Importancia de los elementos químicos para los seres vivos.</v>
      </c>
      <c r="H108" s="182"/>
      <c r="I108" s="183"/>
      <c r="J108" s="92" t="str">
        <f>VLOOKUP(CONCATENATE($H$10,$H$15,$A108),Ciencias!A:H,8,FALSE)</f>
        <v>Hechos</v>
      </c>
      <c r="K108" s="2" t="str">
        <f>VLOOKUP(CONCATENATE($H$10,$H$15,$A108),Ciencias!A:H,7,FALSE)</f>
        <v xml:space="preserve">D          </v>
      </c>
      <c r="L108" s="1" t="e">
        <f>EXACT(VLOOKUP(CONCATENATE($H$10,"I",$A108),Ciencias!$A:$H,7,FALSE),VLOOKUP(CONCATENATE($H$13,"I",$I$10,$H$10,$G$4,$H$4,$I$4),Captura!$D:$CR,76,FALSE))</f>
        <v>#N/A</v>
      </c>
      <c r="M108" s="1" t="e">
        <f>EXACT(VLOOKUP(CONCATENATE($H$10,"II",$A108),Ciencias!$A:$H,7,FALSE),VLOOKUP(CONCATENATE($H$13,"II",$I$10,$H$10,$G$4,$H$4,$I$4),Captura!$D:$CR,76,FALSE))</f>
        <v>#N/A</v>
      </c>
      <c r="N108" s="1" t="e">
        <f>EXACT(VLOOKUP(CONCATENATE($H$10,"III",$A108),Ciencias!$A:$H,7,FALSE),VLOOKUP(CONCATENATE($H$13,"III",$I$10,$H$10,$G$4,$H$4,$I$4),Captura!$D:$CR,76,FALSE))</f>
        <v>#N/A</v>
      </c>
      <c r="O108" s="1" t="e">
        <f>EXACT(VLOOKUP(CONCATENATE($H$10,"IV",$A108),Ciencias!$A:$H,7,FALSE),VLOOKUP(CONCATENATE($H$13,"IV",$I$10,$H$10,$G$4,$H$4,$I$4),Captura!$D:$CR,76,FALSE))</f>
        <v>#N/A</v>
      </c>
      <c r="P108" s="1" t="e">
        <f>EXACT(VLOOKUP(CONCATENATE($H$10,"V",$A108),Ciencias!$A:$H,7,FALSE),VLOOKUP(CONCATENATE($H$13,"V",$I$10,$H$10,$G$4,$H$4,$I$4),Captura!$D:$CR,76,FALSE))</f>
        <v>#N/A</v>
      </c>
    </row>
    <row r="109" spans="1:16" ht="24.95" customHeight="1" x14ac:dyDescent="0.15">
      <c r="A109" s="30">
        <v>19</v>
      </c>
      <c r="B109" s="104" t="e">
        <f t="shared" si="8"/>
        <v>#N/A</v>
      </c>
      <c r="C109" s="92" t="e">
        <f>VLOOKUP(CONCATENATE($H$13,$H$15,$I$10,$H$10,$G$4,$H$4,$I$4),Captura!D:CR,77,FALSE)</f>
        <v>#N/A</v>
      </c>
      <c r="D109" s="181" t="str">
        <f>IF(VLOOKUP(CONCATENATE($H$10,$H$15,$A109),Ciencias!A:H,4,FALSE)=0,D108,VLOOKUP(CONCATENATE($H$10,$H$15,$A109),Ciencias!A:H,4,FALSE))</f>
        <v>Explica las características de los enlaces químicos a partir del modelo de compartición (covalente) y de transferencia de electrones (iónico).</v>
      </c>
      <c r="E109" s="182"/>
      <c r="F109" s="183"/>
      <c r="G109" s="181" t="str">
        <f>IF(VLOOKUP(CONCATENATE($H$10,$H$15,$A109),Ciencias!A:H,5,FALSE)=0,G108,VLOOKUP(CONCATENATE($H$10,$H$15,$A109),Ciencias!A:H,5,FALSE))</f>
        <v>Modelos de enlace: covalente e iónico. Relación entre las propiedades de las sustancias con el modelo de enlace: covalente e iónico.</v>
      </c>
      <c r="H109" s="182"/>
      <c r="I109" s="183"/>
      <c r="J109" s="92" t="str">
        <f>VLOOKUP(CONCATENATE($H$10,$H$15,$A109),Ciencias!A:H,8,FALSE)</f>
        <v>Hechos</v>
      </c>
      <c r="K109" s="2" t="str">
        <f>VLOOKUP(CONCATENATE($H$10,$H$15,$A109),Ciencias!A:H,7,FALSE)</f>
        <v>A</v>
      </c>
      <c r="L109" s="1" t="e">
        <f>EXACT(VLOOKUP(CONCATENATE($H$10,"I",$A109),Ciencias!$A:$H,7,FALSE),VLOOKUP(CONCATENATE($H$13,"I",$I$10,$H$10,$G$4,$H$4,$I$4),Captura!$D:$CR,77,FALSE))</f>
        <v>#N/A</v>
      </c>
      <c r="M109" s="1" t="e">
        <f>EXACT(VLOOKUP(CONCATENATE($H$10,"II",$A109),Ciencias!$A:$H,7,FALSE),VLOOKUP(CONCATENATE($H$13,"II",$I$10,$H$10,$G$4,$H$4,$I$4),Captura!$D:$CR,77,FALSE))</f>
        <v>#N/A</v>
      </c>
      <c r="N109" s="1" t="e">
        <f>EXACT(VLOOKUP(CONCATENATE($H$10,"III",$A109),Ciencias!$A:$H,7,FALSE),VLOOKUP(CONCATENATE($H$13,"III",$I$10,$H$10,$G$4,$H$4,$I$4),Captura!$D:$CR,77,FALSE))</f>
        <v>#N/A</v>
      </c>
      <c r="O109" s="1" t="e">
        <f>EXACT(VLOOKUP(CONCATENATE($H$10,"IV",$A109),Ciencias!$A:$H,7,FALSE),VLOOKUP(CONCATENATE($H$13,"IV",$I$10,$H$10,$G$4,$H$4,$I$4),Captura!$D:$CR,77,FALSE))</f>
        <v>#N/A</v>
      </c>
      <c r="P109" s="1" t="e">
        <f>EXACT(VLOOKUP(CONCATENATE($H$10,"V",$A109),Ciencias!$A:$H,7,FALSE),VLOOKUP(CONCATENATE($H$13,"V",$I$10,$H$10,$G$4,$H$4,$I$4),Captura!$D:$CR,77,FALSE))</f>
        <v>#N/A</v>
      </c>
    </row>
    <row r="110" spans="1:16" ht="24.95" customHeight="1" x14ac:dyDescent="0.15">
      <c r="A110" s="30">
        <v>20</v>
      </c>
      <c r="B110" s="104" t="e">
        <f t="shared" si="8"/>
        <v>#N/A</v>
      </c>
      <c r="C110" s="92" t="e">
        <f>VLOOKUP(CONCATENATE($H$13,$H$15,$I$10,$H$10,$G$4,$H$4,$I$4),Captura!D:CR,78,FALSE)</f>
        <v>#N/A</v>
      </c>
      <c r="D110" s="181" t="str">
        <f>IF(VLOOKUP(CONCATENATE($H$10,$H$15,$A110),Ciencias!A:H,4,FALSE)=0,D109,VLOOKUP(CONCATENATE($H$10,$H$15,$A110),Ciencias!A:H,4,FALSE))</f>
        <v>Identifica que las propiedades de los materiales se explican a través de su estructura (atómica, molecular).</v>
      </c>
      <c r="E110" s="182"/>
      <c r="F110" s="183"/>
      <c r="G110" s="181" t="str">
        <f>IF(VLOOKUP(CONCATENATE($H$10,$H$15,$A110),Ciencias!A:H,5,FALSE)=0,G109,VLOOKUP(CONCATENATE($H$10,$H$15,$A110),Ciencias!A:H,5,FALSE))</f>
        <v>Modelos de enlace: covalente e iónico. Relación entre las propiedades de las sustancias con el modelo de enlace: covalente e iónico.</v>
      </c>
      <c r="H110" s="182"/>
      <c r="I110" s="183"/>
      <c r="J110" s="92" t="str">
        <f>VLOOKUP(CONCATENATE($H$10,$H$15,$A110),Ciencias!A:H,8,FALSE)</f>
        <v>Aplicación de procedimientos</v>
      </c>
      <c r="K110" s="2" t="str">
        <f>VLOOKUP(CONCATENATE($H$10,$H$15,$A110),Ciencias!A:H,7,FALSE)</f>
        <v>C</v>
      </c>
      <c r="L110" s="1" t="e">
        <f>EXACT(VLOOKUP(CONCATENATE($H$10,"I",$A110),Ciencias!$A:$H,7,FALSE),VLOOKUP(CONCATENATE($H$13,"I",$I$10,$H$10,$G$4,$H$4,$I$4),Captura!$D:$CR,78,FALSE))</f>
        <v>#N/A</v>
      </c>
      <c r="M110" s="1" t="e">
        <f>EXACT(VLOOKUP(CONCATENATE($H$10,"II",$A110),Ciencias!$A:$H,7,FALSE),VLOOKUP(CONCATENATE($H$13,"II",$I$10,$H$10,$G$4,$H$4,$I$4),Captura!$D:$CR,78,FALSE))</f>
        <v>#N/A</v>
      </c>
      <c r="N110" s="1" t="e">
        <f>EXACT(VLOOKUP(CONCATENATE($H$10,"III",$A110),Ciencias!$A:$H,7,FALSE),VLOOKUP(CONCATENATE($H$13,"III",$I$10,$H$10,$G$4,$H$4,$I$4),Captura!$D:$CR,78,FALSE))</f>
        <v>#N/A</v>
      </c>
      <c r="O110" s="1" t="e">
        <f>EXACT(VLOOKUP(CONCATENATE($H$10,"IV",$A110),Ciencias!$A:$H,7,FALSE),VLOOKUP(CONCATENATE($H$13,"IV",$I$10,$H$10,$G$4,$H$4,$I$4),Captura!$D:$CR,78,FALSE))</f>
        <v>#N/A</v>
      </c>
      <c r="P110" s="1" t="e">
        <f>EXACT(VLOOKUP(CONCATENATE($H$10,"V",$A110),Ciencias!$A:$H,7,FALSE),VLOOKUP(CONCATENATE($H$13,"V",$I$10,$H$10,$G$4,$H$4,$I$4),Captura!$D:$CR,78,FALSE))</f>
        <v>#N/A</v>
      </c>
    </row>
    <row r="111" spans="1:16" ht="10.5" customHeight="1" x14ac:dyDescent="0.15">
      <c r="D111" s="2"/>
      <c r="E111" s="2"/>
      <c r="G111" s="1"/>
      <c r="H111" s="1"/>
      <c r="L111" s="1"/>
    </row>
    <row r="112" spans="1:16" ht="10.5" customHeight="1" x14ac:dyDescent="0.15">
      <c r="A112" s="189" t="str">
        <f>IF(H10=1,"Geografía de México y del Mundo",IF(H10=2,"Historia I",IF(H10=3,"Historia II")))</f>
        <v>Historia II</v>
      </c>
      <c r="B112" s="189"/>
      <c r="C112" s="189"/>
      <c r="D112" s="189"/>
      <c r="E112" s="189"/>
      <c r="F112" s="189"/>
      <c r="G112" s="189"/>
      <c r="H112" s="189"/>
      <c r="I112" s="189"/>
      <c r="J112" s="189"/>
      <c r="L112" s="1"/>
    </row>
    <row r="113" spans="1:16" ht="10.5" customHeight="1" x14ac:dyDescent="0.15">
      <c r="A113" s="74" t="s">
        <v>6125</v>
      </c>
      <c r="B113" s="103"/>
      <c r="C113" s="74" t="s">
        <v>6123</v>
      </c>
      <c r="D113" s="187" t="s">
        <v>6365</v>
      </c>
      <c r="E113" s="187"/>
      <c r="F113" s="187"/>
      <c r="G113" s="187" t="s">
        <v>6366</v>
      </c>
      <c r="H113" s="187"/>
      <c r="I113" s="187"/>
      <c r="J113" s="85" t="s">
        <v>6377</v>
      </c>
      <c r="L113" s="1"/>
    </row>
    <row r="114" spans="1:16" ht="24.95" customHeight="1" x14ac:dyDescent="0.15">
      <c r="A114" s="30">
        <v>1</v>
      </c>
      <c r="B114" s="104">
        <f>IF(K114&lt;&gt;C114,-1,1)</f>
        <v>-1</v>
      </c>
      <c r="C114" s="3" t="str">
        <f>IFERROR(VLOOKUP(CONCATENATE($H$13,$H$15,$I$10,$H$10,$G$4,$H$4,$I$4),Captura!D:CR,79,FALSE),"")</f>
        <v/>
      </c>
      <c r="D114" s="181" t="str">
        <f>IF(VLOOKUP(CONCATENATE($H$10,$H$15,$A114),GeoHis!A:H,4,FALSE)=0,D113,VLOOKUP(CONCATENATE($H$10,$H$15,$A114),GeoHis!A:H,4,FALSE))</f>
        <v>Ordena secuencialmente hechos y procesos relacionados con las reformas borbónicas y la Independencia de México, utilizando términos como siglo, década y año.                              Señala las transformaciones del territorio novohispano en el siglo XVIII y las zonas de influencia de los insurgentes.</v>
      </c>
      <c r="E114" s="182"/>
      <c r="F114" s="183"/>
      <c r="G114" s="181" t="str">
        <f>IF(VLOOKUP(CONCATENATE($H$10,$H$15,$A114),GeoHis!A:H,5,FALSE)=0,G113,VLOOKUP(CONCATENATE($H$10,$H$15,$A114),GeoHis!A:H,5,FALSE))</f>
        <v>PANORAMA DEL PERIODO                             UBICACIÓN TEMPORAL Y ESPACIAL DEL MOVIMIENTO DE ILUSTRACIÓN, LAS REFORMAS BORBÓNICAS Y EL PROCESO DE INDEPENDENCIA.</v>
      </c>
      <c r="H114" s="182"/>
      <c r="I114" s="183"/>
      <c r="J114" s="3" t="str">
        <f>VLOOKUP(CONCATENATE($H$10,$H$15,$A114),GeoHis!A:H,8,FALSE)</f>
        <v>Aplicación de procedimientos</v>
      </c>
      <c r="K114" s="2" t="str">
        <f>VLOOKUP(CONCATENATE($H$10,$H$15,$A114),GeoHis!A:H,7,FALSE)</f>
        <v>A</v>
      </c>
      <c r="L114" s="1" t="e">
        <f>EXACT(VLOOKUP(CONCATENATE($H$10,"I",$A114),GeoHis!$A:$H,7,FALSE),VLOOKUP(CONCATENATE($H$13,"I",$I$10,$H$10,$G$4,$H$4,$I$4),Captura!$D:$CR,79,FALSE))</f>
        <v>#N/A</v>
      </c>
      <c r="M114" s="1" t="e">
        <f>EXACT(VLOOKUP(CONCATENATE($H$10,"II",$A114),GeoHis!$A:$H,7,FALSE),VLOOKUP(CONCATENATE($H$13,"II",$I$10,$H$10,$G$4,$H$4,$I$4),Captura!$D:$CR,79,FALSE))</f>
        <v>#N/A</v>
      </c>
      <c r="N114" s="1" t="e">
        <f>EXACT(VLOOKUP(CONCATENATE($H$10,"III",$A114),GeoHis!$A:$H,7,FALSE),VLOOKUP(CONCATENATE($H$13,"III",$I$10,$H$10,$G$4,$H$4,$I$4),Captura!$D:$CR,79,FALSE))</f>
        <v>#N/A</v>
      </c>
      <c r="O114" s="1" t="e">
        <f>EXACT(VLOOKUP(CONCATENATE($H$10,"IV",$A114),GeoHis!$A:$H,7,FALSE),VLOOKUP(CONCATENATE($H$13,"IV",$I$10,$H$10,$G$4,$H$4,$I$4),Captura!$D:$CR,79,FALSE))</f>
        <v>#N/A</v>
      </c>
      <c r="P114" s="1" t="e">
        <f>EXACT(VLOOKUP(CONCATENATE($H$10,"V",$A114),GeoHis!$A:$H,7,FALSE),VLOOKUP(CONCATENATE($H$13,"V",$I$10,$H$10,$G$4,$H$4,$I$4),Captura!$D:$CR,79,FALSE))</f>
        <v>#N/A</v>
      </c>
    </row>
    <row r="115" spans="1:16" s="1" customFormat="1" ht="24.95" customHeight="1" x14ac:dyDescent="0.15">
      <c r="A115" s="30">
        <v>2</v>
      </c>
      <c r="B115" s="104">
        <f t="shared" ref="B115:B123" si="9">IF(K115&lt;&gt;C115,-1,1)</f>
        <v>-1</v>
      </c>
      <c r="C115" s="92" t="str">
        <f>IFERROR(VLOOKUP(CONCATENATE($H$13,$H$15,$I$10,$H$10,$G$4,$H$4,$I$4),Captura!D:CR,80,FALSE),"")</f>
        <v/>
      </c>
      <c r="D115" s="181" t="str">
        <f>IF(VLOOKUP(CONCATENATE($H$10,$H$15,$A115),GeoHis!A:H,4,FALSE)=0,D114,VLOOKUP(CONCATENATE($H$10,$H$15,$A115),GeoHis!A:H,4,FALSE))</f>
        <v>Ordena secuencialmente hechos y procesos relacionados con las reformas borbónicas y la Independencia de México, utilizando términos como siglo, década y año.                              Señala las transformaciones del territorio novohispano en el siglo XVIII y las zonas de influencia de los insurgentes.</v>
      </c>
      <c r="E115" s="182"/>
      <c r="F115" s="183"/>
      <c r="G115" s="181" t="str">
        <f>IF(VLOOKUP(CONCATENATE($H$10,$H$15,$A115),GeoHis!A:H,5,FALSE)=0,G114,VLOOKUP(CONCATENATE($H$10,$H$15,$A115),GeoHis!A:H,5,FALSE))</f>
        <v>PANORAMA DEL PERIODO                             UBICACIÓN TEMPORAL Y ESPACIAL DEL MOVIMIENTO DE ILUSTRACIÓN, LAS REFORMAS BORBÓNICAS Y EL PROCESO DE INDEPENDENCIA.</v>
      </c>
      <c r="H115" s="182"/>
      <c r="I115" s="183"/>
      <c r="J115" s="92" t="str">
        <f>VLOOKUP(CONCATENATE($H$10,$H$15,$A115),GeoHis!A:H,8,FALSE)</f>
        <v>Hechos</v>
      </c>
      <c r="K115" s="2" t="str">
        <f>VLOOKUP(CONCATENATE($H$10,$H$15,$A115),GeoHis!A:H,7,FALSE)</f>
        <v>B</v>
      </c>
      <c r="L115" s="1" t="e">
        <f>EXACT(VLOOKUP(CONCATENATE($H$10,"I",$A115),GeoHis!$A:$H,7,FALSE),VLOOKUP(CONCATENATE($H$13,"I",$I$10,$H$10,$G$4,$H$4,$I$4),Captura!$D:$CR,80,FALSE))</f>
        <v>#N/A</v>
      </c>
      <c r="M115" s="1" t="e">
        <f>EXACT(VLOOKUP(CONCATENATE($H$10,"II",$A115),GeoHis!$A:$H,7,FALSE),VLOOKUP(CONCATENATE($H$13,"II",$I$10,$H$10,$G$4,$H$4,$I$4),Captura!$D:$CR,80,FALSE))</f>
        <v>#N/A</v>
      </c>
      <c r="N115" s="1" t="e">
        <f>EXACT(VLOOKUP(CONCATENATE($H$10,"III",$A115),GeoHis!$A:$H,7,FALSE),VLOOKUP(CONCATENATE($H$13,"III",$I$10,$H$10,$G$4,$H$4,$I$4),Captura!$D:$CR,80,FALSE))</f>
        <v>#N/A</v>
      </c>
      <c r="O115" s="1" t="e">
        <f>EXACT(VLOOKUP(CONCATENATE($H$10,"IV",$A115),GeoHis!$A:$H,7,FALSE),VLOOKUP(CONCATENATE($H$13,"IV",$I$10,$H$10,$G$4,$H$4,$I$4),Captura!$D:$CR,80,FALSE))</f>
        <v>#N/A</v>
      </c>
      <c r="P115" s="1" t="e">
        <f>EXACT(VLOOKUP(CONCATENATE($H$10,"V",$A115),GeoHis!$A:$H,7,FALSE),VLOOKUP(CONCATENATE($H$13,"V",$I$10,$H$10,$G$4,$H$4,$I$4),Captura!$D:$CR,80,FALSE))</f>
        <v>#N/A</v>
      </c>
    </row>
    <row r="116" spans="1:16" s="1" customFormat="1" ht="24.95" customHeight="1" x14ac:dyDescent="0.15">
      <c r="A116" s="30">
        <v>3</v>
      </c>
      <c r="B116" s="104">
        <f t="shared" si="9"/>
        <v>-1</v>
      </c>
      <c r="C116" s="92" t="str">
        <f>IFERROR(VLOOKUP(CONCATENATE($H$13,$H$15,$I$10,$H$10,$G$4,$H$4,$I$4),Captura!D:CR,81,FALSE),"")</f>
        <v/>
      </c>
      <c r="D116" s="181" t="str">
        <f>IF(VLOOKUP(CONCATENATE($H$10,$H$15,$A116),GeoHis!A:H,4,FALSE)=0,D115,VLOOKUP(CONCATENATE($H$10,$H$15,$A116),GeoHis!A:H,4,FALSE))</f>
        <v>Reconoce las causas y consecuencias del crecimiento económico novohispano en el siglo XVIII.</v>
      </c>
      <c r="E116" s="182"/>
      <c r="F116" s="183"/>
      <c r="G116" s="181" t="str">
        <f>IF(VLOOKUP(CONCATENATE($H$10,$H$15,$A116),GeoHis!A:H,5,FALSE)=0,G115,VLOOKUP(CONCATENATE($H$10,$H$15,$A116),GeoHis!A:H,5,FALSE))</f>
        <v>TEMAS PARA COMPRENDER EL PERIODO                                                      ¿Cómo afectó la crisis de la Corona española a Nueva España?                            EL AUGE DE LA ECONOMÍA NOVOHISPANA: Crecimiento de la población y florecimiento de las ciudades. Desarrollo de las redes comerciales internas. El papel económico de la Iglesia y las grandes fortunas mineras y comerciales. Las innovaciones agropecuarias, la tecnología minera e inicios de la actividad industrial.</v>
      </c>
      <c r="H116" s="182"/>
      <c r="I116" s="183"/>
      <c r="J116" s="92" t="str">
        <f>VLOOKUP(CONCATENATE($H$10,$H$15,$A116),GeoHis!A:H,8,FALSE)</f>
        <v>Hechos</v>
      </c>
      <c r="K116" s="2" t="str">
        <f>VLOOKUP(CONCATENATE($H$10,$H$15,$A116),GeoHis!A:H,7,FALSE)</f>
        <v>B</v>
      </c>
      <c r="L116" s="1" t="e">
        <f>EXACT(VLOOKUP(CONCATENATE($H$10,"I",$A116),GeoHis!$A:$H,7,FALSE),VLOOKUP(CONCATENATE($H$13,"I",$I$10,$H$10,$G$4,$H$4,$I$4),Captura!$D:$CR,81,FALSE))</f>
        <v>#N/A</v>
      </c>
      <c r="M116" s="1" t="e">
        <f>EXACT(VLOOKUP(CONCATENATE($H$10,"II",$A116),GeoHis!$A:$H,7,FALSE),VLOOKUP(CONCATENATE($H$13,"II",$I$10,$H$10,$G$4,$H$4,$I$4),Captura!$D:$CR,81,FALSE))</f>
        <v>#N/A</v>
      </c>
      <c r="N116" s="1" t="e">
        <f>EXACT(VLOOKUP(CONCATENATE($H$10,"III",$A116),GeoHis!$A:$H,7,FALSE),VLOOKUP(CONCATENATE($H$13,"III",$I$10,$H$10,$G$4,$H$4,$I$4),Captura!$D:$CR,81,FALSE))</f>
        <v>#N/A</v>
      </c>
      <c r="O116" s="1" t="e">
        <f>EXACT(VLOOKUP(CONCATENATE($H$10,"IV",$A116),GeoHis!$A:$H,7,FALSE),VLOOKUP(CONCATENATE($H$13,"IV",$I$10,$H$10,$G$4,$H$4,$I$4),Captura!$D:$CR,81,FALSE))</f>
        <v>#N/A</v>
      </c>
      <c r="P116" s="1" t="e">
        <f>EXACT(VLOOKUP(CONCATENATE($H$10,"V",$A116),GeoHis!$A:$H,7,FALSE),VLOOKUP(CONCATENATE($H$13,"V",$I$10,$H$10,$G$4,$H$4,$I$4),Captura!$D:$CR,81,FALSE))</f>
        <v>#N/A</v>
      </c>
    </row>
    <row r="117" spans="1:16" s="1" customFormat="1" ht="24.95" customHeight="1" x14ac:dyDescent="0.15">
      <c r="A117" s="30">
        <v>4</v>
      </c>
      <c r="B117" s="104">
        <f t="shared" si="9"/>
        <v>-1</v>
      </c>
      <c r="C117" s="92" t="str">
        <f>IFERROR(VLOOKUP(CONCATENATE($H$13,$H$15,$I$10,$H$10,$G$4,$H$4,$I$4),Captura!D:CR,82,FALSE),"")</f>
        <v/>
      </c>
      <c r="D117" s="181" t="str">
        <f>IF(VLOOKUP(CONCATENATE($H$10,$H$15,$A117),GeoHis!A:H,4,FALSE)=0,D116,VLOOKUP(CONCATENATE($H$10,$H$15,$A117),GeoHis!A:H,4,FALSE))</f>
        <v>Explica las causas y consecuencias de las reformas borbónicas.</v>
      </c>
      <c r="E117" s="182"/>
      <c r="F117" s="183"/>
      <c r="G117" s="181" t="str">
        <f>IF(VLOOKUP(CONCATENATE($H$10,$H$15,$A117),GeoHis!A:H,5,FALSE)=0,G116,VLOOKUP(CONCATENATE($H$10,$H$15,$A117),GeoHis!A:H,5,FALSE))</f>
        <v>LA TRANSFORMACIÓN DE LA MONARQUÍA ESPAÑOLA Y LAS REFORMAS DE NUEVA ESPAÑA: La decadencia del poderío naval español y las reformas borbónicas. Las reformas en Nueva España: nuevo estilo de gobierno, división política, establecimiento del ejército y la apertura del comercio libre.</v>
      </c>
      <c r="H117" s="182"/>
      <c r="I117" s="183"/>
      <c r="J117" s="92" t="str">
        <f>VLOOKUP(CONCATENATE($H$10,$H$15,$A117),GeoHis!A:H,8,FALSE)</f>
        <v>Hechos</v>
      </c>
      <c r="K117" s="2" t="str">
        <f>VLOOKUP(CONCATENATE($H$10,$H$15,$A117),GeoHis!A:H,7,FALSE)</f>
        <v>B</v>
      </c>
      <c r="L117" s="1" t="e">
        <f>EXACT(VLOOKUP(CONCATENATE($H$10,"I",$A117),GeoHis!$A:$H,7,FALSE),VLOOKUP(CONCATENATE($H$13,"I",$I$10,$H$10,$G$4,$H$4,$I$4),Captura!$D:$CR,82,FALSE))</f>
        <v>#N/A</v>
      </c>
      <c r="M117" s="1" t="e">
        <f>EXACT(VLOOKUP(CONCATENATE($H$10,"II",$A117),GeoHis!$A:$H,7,FALSE),VLOOKUP(CONCATENATE($H$13,"II",$I$10,$H$10,$G$4,$H$4,$I$4),Captura!$D:$CR,82,FALSE))</f>
        <v>#N/A</v>
      </c>
      <c r="N117" s="1" t="e">
        <f>EXACT(VLOOKUP(CONCATENATE($H$10,"III",$A117),GeoHis!$A:$H,7,FALSE),VLOOKUP(CONCATENATE($H$13,"III",$I$10,$H$10,$G$4,$H$4,$I$4),Captura!$D:$CR,82,FALSE))</f>
        <v>#N/A</v>
      </c>
      <c r="O117" s="1" t="e">
        <f>EXACT(VLOOKUP(CONCATENATE($H$10,"IV",$A117),GeoHis!$A:$H,7,FALSE),VLOOKUP(CONCATENATE($H$13,"IV",$I$10,$H$10,$G$4,$H$4,$I$4),Captura!$D:$CR,82,FALSE))</f>
        <v>#N/A</v>
      </c>
      <c r="P117" s="1" t="e">
        <f>EXACT(VLOOKUP(CONCATENATE($H$10,"V",$A117),GeoHis!$A:$H,7,FALSE),VLOOKUP(CONCATENATE($H$13,"V",$I$10,$H$10,$G$4,$H$4,$I$4),Captura!$D:$CR,82,FALSE))</f>
        <v>#N/A</v>
      </c>
    </row>
    <row r="118" spans="1:16" s="1" customFormat="1" ht="24.95" customHeight="1" x14ac:dyDescent="0.15">
      <c r="A118" s="30">
        <v>5</v>
      </c>
      <c r="B118" s="104">
        <f t="shared" si="9"/>
        <v>-1</v>
      </c>
      <c r="C118" s="92" t="str">
        <f>IFERROR(VLOOKUP(CONCATENATE($H$13,$H$15,$I$10,$H$10,$G$4,$H$4,$I$4),Captura!D:CR,83,FALSE),"")</f>
        <v/>
      </c>
      <c r="D118" s="181" t="str">
        <f>IF(VLOOKUP(CONCATENATE($H$10,$H$15,$A118),GeoHis!A:H,4,FALSE)=0,D117,VLOOKUP(CONCATENATE($H$10,$H$15,$A118),GeoHis!A:H,4,FALSE))</f>
        <v>Explica las causas y consecuencias de las reformas borbónicas.</v>
      </c>
      <c r="E118" s="182"/>
      <c r="F118" s="183"/>
      <c r="G118" s="181" t="str">
        <f>IF(VLOOKUP(CONCATENATE($H$10,$H$15,$A118),GeoHis!A:H,5,FALSE)=0,G117,VLOOKUP(CONCATENATE($H$10,$H$15,$A118),GeoHis!A:H,5,FALSE))</f>
        <v>LA TRANSFORMACIÓN DE LA MONARQUÍA ESPAÑOLA Y LAS REFORMAS DE NUEVA ESPAÑA: La decadencia del poderío naval español y las reformas borbónicas. Las reformas en Nueva España: nuevo estilo de gobierno, división política, establecimiento del ejército y la apertura del comercio libre.</v>
      </c>
      <c r="H118" s="182"/>
      <c r="I118" s="183"/>
      <c r="J118" s="92" t="str">
        <f>VLOOKUP(CONCATENATE($H$10,$H$15,$A118),GeoHis!A:H,8,FALSE)</f>
        <v xml:space="preserve">  Hechos</v>
      </c>
      <c r="K118" s="2" t="str">
        <f>VLOOKUP(CONCATENATE($H$10,$H$15,$A118),GeoHis!A:H,7,FALSE)</f>
        <v>C</v>
      </c>
      <c r="L118" s="1" t="e">
        <f>EXACT(VLOOKUP(CONCATENATE($H$10,"I",$A118),GeoHis!$A:$H,7,FALSE),VLOOKUP(CONCATENATE($H$13,"I",$I$10,$H$10,$G$4,$H$4,$I$4),Captura!$D:$CR,83,FALSE))</f>
        <v>#N/A</v>
      </c>
      <c r="M118" s="1" t="e">
        <f>EXACT(VLOOKUP(CONCATENATE($H$10,"II",$A118),GeoHis!$A:$H,7,FALSE),VLOOKUP(CONCATENATE($H$13,"II",$I$10,$H$10,$G$4,$H$4,$I$4),Captura!$D:$CR,83,FALSE))</f>
        <v>#N/A</v>
      </c>
      <c r="N118" s="1" t="e">
        <f>EXACT(VLOOKUP(CONCATENATE($H$10,"III",$A118),GeoHis!$A:$H,7,FALSE),VLOOKUP(CONCATENATE($H$13,"III",$I$10,$H$10,$G$4,$H$4,$I$4),Captura!$D:$CR,83,FALSE))</f>
        <v>#N/A</v>
      </c>
      <c r="O118" s="1" t="e">
        <f>EXACT(VLOOKUP(CONCATENATE($H$10,"IV",$A118),GeoHis!$A:$H,7,FALSE),VLOOKUP(CONCATENATE($H$13,"IV",$I$10,$H$10,$G$4,$H$4,$I$4),Captura!$D:$CR,83,FALSE))</f>
        <v>#N/A</v>
      </c>
      <c r="P118" s="1" t="e">
        <f>EXACT(VLOOKUP(CONCATENATE($H$10,"V",$A118),GeoHis!$A:$H,7,FALSE),VLOOKUP(CONCATENATE($H$13,"V",$I$10,$H$10,$G$4,$H$4,$I$4),Captura!$D:$CR,83,FALSE))</f>
        <v>#N/A</v>
      </c>
    </row>
    <row r="119" spans="1:16" s="1" customFormat="1" ht="24.95" customHeight="1" x14ac:dyDescent="0.15">
      <c r="A119" s="30">
        <v>6</v>
      </c>
      <c r="B119" s="104">
        <f t="shared" si="9"/>
        <v>-1</v>
      </c>
      <c r="C119" s="92" t="str">
        <f>IFERROR(VLOOKUP(CONCATENATE($H$13,$H$15,$I$10,$H$10,$G$4,$H$4,$I$4),Captura!D:CR,84,FALSE),"")</f>
        <v/>
      </c>
      <c r="D119" s="181" t="str">
        <f>IF(VLOOKUP(CONCATENATE($H$10,$H$15,$A119),GeoHis!A:H,4,FALSE)=0,D118,VLOOKUP(CONCATENATE($H$10,$H$15,$A119),GeoHis!A:H,4,FALSE))</f>
        <v>Explica la desigualdad social y política entre los distintos grupos de la Nueva España.</v>
      </c>
      <c r="E119" s="182"/>
      <c r="F119" s="183"/>
      <c r="G119" s="181" t="str">
        <f>IF(VLOOKUP(CONCATENATE($H$10,$H$15,$A119),GeoHis!A:H,5,FALSE)=0,G118,VLOOKUP(CONCATENATE($H$10,$H$15,$A119),GeoHis!A:H,5,FALSE))</f>
        <v>DESIGUALDAD SOCIAL: Corporaciones y fueros. Las tensiones sociales de la ciudad. El crecimiento de las haciendas y los conflictos rurales.</v>
      </c>
      <c r="H119" s="182"/>
      <c r="I119" s="183"/>
      <c r="J119" s="92" t="str">
        <f>VLOOKUP(CONCATENATE($H$10,$H$15,$A119),GeoHis!A:H,8,FALSE)</f>
        <v>Conceptos</v>
      </c>
      <c r="K119" s="2" t="str">
        <f>VLOOKUP(CONCATENATE($H$10,$H$15,$A119),GeoHis!A:H,7,FALSE)</f>
        <v>D</v>
      </c>
      <c r="L119" s="1" t="e">
        <f>EXACT(VLOOKUP(CONCATENATE($H$10,"I",$A119),GeoHis!$A:$H,7,FALSE),VLOOKUP(CONCATENATE($H$13,"I",$I$10,$H$10,$G$4,$H$4,$I$4),Captura!$D:$CR,84,FALSE))</f>
        <v>#N/A</v>
      </c>
      <c r="M119" s="1" t="e">
        <f>EXACT(VLOOKUP(CONCATENATE($H$10,"II",$A119),GeoHis!$A:$H,7,FALSE),VLOOKUP(CONCATENATE($H$13,"II",$I$10,$H$10,$G$4,$H$4,$I$4),Captura!$D:$CR,84,FALSE))</f>
        <v>#N/A</v>
      </c>
      <c r="N119" s="1" t="e">
        <f>EXACT(VLOOKUP(CONCATENATE($H$10,"III",$A119),GeoHis!$A:$H,7,FALSE),VLOOKUP(CONCATENATE($H$13,"III",$I$10,$H$10,$G$4,$H$4,$I$4),Captura!$D:$CR,84,FALSE))</f>
        <v>#N/A</v>
      </c>
      <c r="O119" s="1" t="e">
        <f>EXACT(VLOOKUP(CONCATENATE($H$10,"IV",$A119),GeoHis!$A:$H,7,FALSE),VLOOKUP(CONCATENATE($H$13,"IV",$I$10,$H$10,$G$4,$H$4,$I$4),Captura!$D:$CR,84,FALSE))</f>
        <v>#N/A</v>
      </c>
      <c r="P119" s="1" t="e">
        <f>EXACT(VLOOKUP(CONCATENATE($H$10,"V",$A119),GeoHis!$A:$H,7,FALSE),VLOOKUP(CONCATENATE($H$13,"V",$I$10,$H$10,$G$4,$H$4,$I$4),Captura!$D:$CR,84,FALSE))</f>
        <v>#N/A</v>
      </c>
    </row>
    <row r="120" spans="1:16" ht="24.95" customHeight="1" x14ac:dyDescent="0.15">
      <c r="A120" s="30">
        <v>7</v>
      </c>
      <c r="B120" s="104">
        <f t="shared" si="9"/>
        <v>-1</v>
      </c>
      <c r="C120" s="92" t="str">
        <f>IFERROR(VLOOKUP(CONCATENATE($H$13,$H$15,$I$10,$H$10,$G$4,$H$4,$I$4),Captura!D:CR,85,FALSE),"")</f>
        <v/>
      </c>
      <c r="D120" s="181" t="str">
        <f>IF(VLOOKUP(CONCATENATE($H$10,$H$15,$A120),GeoHis!A:H,4,FALSE)=0,D119,VLOOKUP(CONCATENATE($H$10,$H$15,$A120),GeoHis!A:H,4,FALSE))</f>
        <v>Reconoce la multicausalidad de la crisis política en Nueva España y del inicio de la Guerra de Independencia.</v>
      </c>
      <c r="E120" s="182"/>
      <c r="F120" s="183"/>
      <c r="G120" s="181" t="str">
        <f>IF(VLOOKUP(CONCATENATE($H$10,$H$15,$A120),GeoHis!A:H,5,FALSE)=0,G119,VLOOKUP(CONCATENATE($H$10,$H$15,$A120),GeoHis!A:H,5,FALSE))</f>
        <v>LA CRISIS POLÍTICA: Ideas ilustradas en las posesiones españolas en América. La invasión francesa de España. El criollismo y el anhelo de autonomía. El golpe de Estado de los peninsulares. Conspiraciones e insurrección de 1810.</v>
      </c>
      <c r="H120" s="182"/>
      <c r="I120" s="183"/>
      <c r="J120" s="92" t="str">
        <f>VLOOKUP(CONCATENATE($H$10,$H$15,$A120),GeoHis!A:H,8,FALSE)</f>
        <v xml:space="preserve">Aplicación de procedimientos          </v>
      </c>
      <c r="K120" s="2" t="str">
        <f>VLOOKUP(CONCATENATE($H$10,$H$15,$A120),GeoHis!A:H,7,FALSE)</f>
        <v>A</v>
      </c>
      <c r="L120" s="1" t="e">
        <f>EXACT(VLOOKUP(CONCATENATE($H$10,"I",$A120),GeoHis!$A:$H,7,FALSE),VLOOKUP(CONCATENATE($H$13,"I",$I$10,$H$10,$G$4,$H$4,$I$4),Captura!$D:$CR,85,FALSE))</f>
        <v>#N/A</v>
      </c>
      <c r="M120" s="1" t="e">
        <f>EXACT(VLOOKUP(CONCATENATE($H$10,"II",$A120),GeoHis!$A:$H,7,FALSE),VLOOKUP(CONCATENATE($H$13,"II",$I$10,$H$10,$G$4,$H$4,$I$4),Captura!$D:$CR,85,FALSE))</f>
        <v>#N/A</v>
      </c>
      <c r="N120" s="1" t="e">
        <f>EXACT(VLOOKUP(CONCATENATE($H$10,"III",$A120),GeoHis!$A:$H,7,FALSE),VLOOKUP(CONCATENATE($H$13,"III",$I$10,$H$10,$G$4,$H$4,$I$4),Captura!$D:$CR,85,FALSE))</f>
        <v>#N/A</v>
      </c>
      <c r="O120" s="1" t="e">
        <f>EXACT(VLOOKUP(CONCATENATE($H$10,"IV",$A120),GeoHis!$A:$H,7,FALSE),VLOOKUP(CONCATENATE($H$13,"IV",$I$10,$H$10,$G$4,$H$4,$I$4),Captura!$D:$CR,85,FALSE))</f>
        <v>#N/A</v>
      </c>
      <c r="P120" s="1" t="e">
        <f>EXACT(VLOOKUP(CONCATENATE($H$10,"V",$A120),GeoHis!$A:$H,7,FALSE),VLOOKUP(CONCATENATE($H$13,"V",$I$10,$H$10,$G$4,$H$4,$I$4),Captura!$D:$CR,85,FALSE))</f>
        <v>#N/A</v>
      </c>
    </row>
    <row r="121" spans="1:16" ht="24.95" customHeight="1" x14ac:dyDescent="0.15">
      <c r="A121" s="30">
        <v>8</v>
      </c>
      <c r="B121" s="104">
        <f t="shared" si="9"/>
        <v>-1</v>
      </c>
      <c r="C121" s="92" t="str">
        <f>IFERROR(VLOOKUP(CONCATENATE($H$13,$H$15,$I$10,$H$10,$G$4,$H$4,$I$4),Captura!D:CR,86,FALSE),"")</f>
        <v/>
      </c>
      <c r="D121" s="181" t="str">
        <f>IF(VLOOKUP(CONCATENATE($H$10,$H$15,$A121),GeoHis!A:H,4,FALSE)=0,D120,VLOOKUP(CONCATENATE($H$10,$H$15,$A121),GeoHis!A:H,4,FALSE))</f>
        <v>Explica el proceso de Independencia y la influencia del liberalismo.</v>
      </c>
      <c r="E121" s="182"/>
      <c r="F121" s="183"/>
      <c r="G121" s="181" t="str">
        <f>IF(VLOOKUP(CONCATENATE($H$10,$H$15,$A121),GeoHis!A:H,5,FALSE)=0,G120,VLOOKUP(CONCATENATE($H$10,$H$15,$A121),GeoHis!A:H,5,FALSE))</f>
        <v>HACIA LA INDEPENDENCIA: Insurgentes y realistas en el movimiento de independencia. El pensamiento social de los insurgentes. El liberalismo español y la Constitución de Cádiz de 1812. Resistencia y guerra de guerrillas. La consumación de la Independencia.</v>
      </c>
      <c r="H121" s="182"/>
      <c r="I121" s="183"/>
      <c r="J121" s="92" t="str">
        <f>VLOOKUP(CONCATENATE($H$10,$H$15,$A121),GeoHis!A:H,8,FALSE)</f>
        <v>Conceptos</v>
      </c>
      <c r="K121" s="2" t="str">
        <f>VLOOKUP(CONCATENATE($H$10,$H$15,$A121),GeoHis!A:H,7,FALSE)</f>
        <v>C</v>
      </c>
      <c r="L121" s="1" t="e">
        <f>EXACT(VLOOKUP(CONCATENATE($H$10,"I",$A121),GeoHis!$A:$H,7,FALSE),VLOOKUP(CONCATENATE($H$13,"I",$I$10,$H$10,$G$4,$H$4,$I$4),Captura!$D:$CR,86,FALSE))</f>
        <v>#N/A</v>
      </c>
      <c r="M121" s="1" t="e">
        <f>EXACT(VLOOKUP(CONCATENATE($H$10,"II",$A121),GeoHis!$A:$H,7,FALSE),VLOOKUP(CONCATENATE($H$13,"II",$I$10,$H$10,$G$4,$H$4,$I$4),Captura!$D:$CR,86,FALSE))</f>
        <v>#N/A</v>
      </c>
      <c r="N121" s="1" t="e">
        <f>EXACT(VLOOKUP(CONCATENATE($H$10,"III",$A121),GeoHis!$A:$H,7,FALSE),VLOOKUP(CONCATENATE($H$13,"III",$I$10,$H$10,$G$4,$H$4,$I$4),Captura!$D:$CR,86,FALSE))</f>
        <v>#N/A</v>
      </c>
      <c r="O121" s="1" t="e">
        <f>EXACT(VLOOKUP(CONCATENATE($H$10,"IV",$A121),GeoHis!$A:$H,7,FALSE),VLOOKUP(CONCATENATE($H$13,"IV",$I$10,$H$10,$G$4,$H$4,$I$4),Captura!$D:$CR,86,FALSE))</f>
        <v>#N/A</v>
      </c>
      <c r="P121" s="1" t="e">
        <f>EXACT(VLOOKUP(CONCATENATE($H$10,"V",$A121),GeoHis!$A:$H,7,FALSE),VLOOKUP(CONCATENATE($H$13,"V",$I$10,$H$10,$G$4,$H$4,$I$4),Captura!$D:$CR,86,FALSE))</f>
        <v>#N/A</v>
      </c>
    </row>
    <row r="122" spans="1:16" ht="24.95" customHeight="1" x14ac:dyDescent="0.15">
      <c r="A122" s="30">
        <v>9</v>
      </c>
      <c r="B122" s="104">
        <f t="shared" si="9"/>
        <v>-1</v>
      </c>
      <c r="C122" s="92" t="str">
        <f>IFERROR(VLOOKUP(CONCATENATE($H$13,$H$15,$I$10,$H$10,$G$4,$H$4,$I$4),Captura!D:CR,87,FALSE),"")</f>
        <v/>
      </c>
      <c r="D122" s="181" t="str">
        <f>IF(VLOOKUP(CONCATENATE($H$10,$H$15,$A122),GeoHis!A:H,4,FALSE)=0,D121,VLOOKUP(CONCATENATE($H$10,$H$15,$A122),GeoHis!A:H,4,FALSE))</f>
        <v>Explica el proceso de Independencia y la influencia del liberalismo.</v>
      </c>
      <c r="E122" s="182"/>
      <c r="F122" s="183"/>
      <c r="G122" s="181" t="str">
        <f>IF(VLOOKUP(CONCATENATE($H$10,$H$15,$A122),GeoHis!A:H,5,FALSE)=0,G121,VLOOKUP(CONCATENATE($H$10,$H$15,$A122),GeoHis!A:H,5,FALSE))</f>
        <v>HACIA LA INDEPENDENCIA: Insurgentes y realistas en el movimiento de independencia. El pensamiento social de los insurgentes. El liberalismo español y la Constitución de Cádiz de 1812. Resistencia y guerra de guerrillas. La consumación de la Independencia.</v>
      </c>
      <c r="H122" s="182"/>
      <c r="I122" s="183"/>
      <c r="J122" s="92" t="str">
        <f>VLOOKUP(CONCATENATE($H$10,$H$15,$A122),GeoHis!A:H,8,FALSE)</f>
        <v xml:space="preserve">Conceptos       </v>
      </c>
      <c r="K122" s="2" t="str">
        <f>VLOOKUP(CONCATENATE($H$10,$H$15,$A122),GeoHis!A:H,7,FALSE)</f>
        <v>C</v>
      </c>
      <c r="L122" s="1" t="e">
        <f>EXACT(VLOOKUP(CONCATENATE($H$10,"I",$A122),GeoHis!$A:$H,7,FALSE),VLOOKUP(CONCATENATE($H$13,"I",$I$10,$H$10,$G$4,$H$4,$I$4),Captura!$D:$CR,87,FALSE))</f>
        <v>#N/A</v>
      </c>
      <c r="M122" s="1" t="e">
        <f>EXACT(VLOOKUP(CONCATENATE($H$10,"II",$A122),GeoHis!$A:$H,7,FALSE),VLOOKUP(CONCATENATE($H$13,"II",$I$10,$H$10,$G$4,$H$4,$I$4),Captura!$D:$CR,87,FALSE))</f>
        <v>#N/A</v>
      </c>
      <c r="N122" s="1" t="e">
        <f>EXACT(VLOOKUP(CONCATENATE($H$10,"III",$A122),GeoHis!$A:$H,7,FALSE),VLOOKUP(CONCATENATE($H$13,"III",$I$10,$H$10,$G$4,$H$4,$I$4),Captura!$D:$CR,87,FALSE))</f>
        <v>#N/A</v>
      </c>
      <c r="O122" s="1" t="e">
        <f>EXACT(VLOOKUP(CONCATENATE($H$10,"IV",$A122),GeoHis!$A:$H,7,FALSE),VLOOKUP(CONCATENATE($H$13,"IV",$I$10,$H$10,$G$4,$H$4,$I$4),Captura!$D:$CR,87,FALSE))</f>
        <v>#N/A</v>
      </c>
      <c r="P122" s="1" t="e">
        <f>EXACT(VLOOKUP(CONCATENATE($H$10,"V",$A122),GeoHis!$A:$H,7,FALSE),VLOOKUP(CONCATENATE($H$13,"V",$I$10,$H$10,$G$4,$H$4,$I$4),Captura!$D:$CR,87,FALSE))</f>
        <v>#N/A</v>
      </c>
    </row>
    <row r="123" spans="1:16" ht="24.95" customHeight="1" x14ac:dyDescent="0.15">
      <c r="A123" s="30">
        <v>10</v>
      </c>
      <c r="B123" s="104">
        <f t="shared" si="9"/>
        <v>-1</v>
      </c>
      <c r="C123" s="114" t="str">
        <f>IFERROR(VLOOKUP(CONCATENATE($H$13,$H$15,$I$10,$H$10,$G$4,$H$4,$I$4),Captura!D:CR,88,FALSE),"")</f>
        <v/>
      </c>
      <c r="D123" s="190" t="str">
        <f>IF(VLOOKUP(CONCATENATE($H$10,$H$15,$A123),GeoHis!A:H,4,FALSE)=0,D122,VLOOKUP(CONCATENATE($H$10,$H$15,$A123),GeoHis!A:H,4,FALSE))</f>
        <v>Reconoce las características del neoclásico y la influencia de la ilustración en la creación de nuevas instituciones científicas y académicas.</v>
      </c>
      <c r="E123" s="190"/>
      <c r="F123" s="190"/>
      <c r="G123" s="190" t="str">
        <f>IF(VLOOKUP(CONCATENATE($H$10,$H$15,$A123),GeoHis!A:H,5,FALSE)=0,G122,VLOOKUP(CONCATENATE($H$10,$H$15,$A123),GeoHis!A:H,5,FALSE))</f>
        <v>ARTE Y CULTURA: Del barroco al neoclásico. Nuevas instituciones académicas y modernización de los estudios y la ciencia.</v>
      </c>
      <c r="H123" s="190"/>
      <c r="I123" s="190"/>
      <c r="J123" s="114" t="str">
        <f>VLOOKUP(CONCATENATE($H$10,$H$15,$A123),GeoHis!A:H,8,FALSE)</f>
        <v>Conceptos</v>
      </c>
      <c r="K123" s="2" t="str">
        <f>VLOOKUP(CONCATENATE($H$10,$H$15,$A123),GeoHis!A:H,7,FALSE)</f>
        <v>D</v>
      </c>
      <c r="L123" s="1" t="e">
        <f>EXACT(VLOOKUP(CONCATENATE($H$10,"I",$A123),GeoHis!$A:$H,7,FALSE),VLOOKUP(CONCATENATE($H$13,"I",$I$10,$H$10,$G$4,$H$4,$I$4),Captura!$D:$CR,88,FALSE))</f>
        <v>#N/A</v>
      </c>
      <c r="M123" s="1" t="e">
        <f>EXACT(VLOOKUP(CONCATENATE($H$10,"II",$A123),GeoHis!$A:$H,7,FALSE),VLOOKUP(CONCATENATE($H$13,"II",$I$10,$H$10,$G$4,$H$4,$I$4),Captura!$D:$CR,88,FALSE))</f>
        <v>#N/A</v>
      </c>
      <c r="N123" s="1" t="e">
        <f>EXACT(VLOOKUP(CONCATENATE($H$10,"III",$A123),GeoHis!$A:$H,7,FALSE),VLOOKUP(CONCATENATE($H$13,"III",$I$10,$H$10,$G$4,$H$4,$I$4),Captura!$D:$CR,88,FALSE))</f>
        <v>#N/A</v>
      </c>
      <c r="O123" s="1" t="e">
        <f>EXACT(VLOOKUP(CONCATENATE($H$10,"IV",$A123),GeoHis!$A:$H,7,FALSE),VLOOKUP(CONCATENATE($H$13,"IV",$I$10,$H$10,$G$4,$H$4,$I$4),Captura!$D:$CR,88,FALSE))</f>
        <v>#N/A</v>
      </c>
      <c r="P123" s="1" t="e">
        <f>EXACT(VLOOKUP(CONCATENATE($H$10,"V",$A123),GeoHis!$A:$H,7,FALSE),VLOOKUP(CONCATENATE($H$13,"V",$I$10,$H$10,$G$4,$H$4,$I$4),Captura!$D:$CR,88,FALSE))</f>
        <v>#N/A</v>
      </c>
    </row>
    <row r="124" spans="1:16" ht="24.95" customHeight="1" x14ac:dyDescent="0.15">
      <c r="A124" s="30" t="str">
        <f>IF($H$10=1,11,"")</f>
        <v/>
      </c>
      <c r="B124" s="104" t="str">
        <f>IF(H10=1,IF(K124&lt;&gt;C124,-1,1),"")</f>
        <v/>
      </c>
      <c r="C124" s="92" t="str">
        <f>IF($H$10=1,VLOOKUP(CONCATENATE($H$13,$H$15,$I$10,$H$10,$G$4,$H$4,$I$4),Captura!D:CR,89,FALSE),"")</f>
        <v/>
      </c>
      <c r="D124" s="181" t="str">
        <f>IFERROR(IF(VLOOKUP(CONCATENATE($H$10,$H$15,$A124),GeoHis!A:H,4,FALSE)=0,D123,VLOOKUP(CONCATENATE($H$10,$H$15,$A124),GeoHis!A:H,4,FALSE)),"")</f>
        <v/>
      </c>
      <c r="E124" s="182"/>
      <c r="F124" s="183"/>
      <c r="G124" s="181" t="str">
        <f>IFERROR(IF(VLOOKUP(CONCATENATE($H$10,$H$15,$A124),GeoHis!A:H,5,FALSE)=0,G123,VLOOKUP(CONCATENATE($H$10,$H$15,$A124),GeoHis!A:H,5,FALSE)),"")</f>
        <v/>
      </c>
      <c r="H124" s="182"/>
      <c r="I124" s="183"/>
      <c r="J124" s="92" t="str">
        <f>IFERROR(VLOOKUP(CONCATENATE($H$10,$H$15,$A124),GeoHis!A:H,8,FALSE),"")</f>
        <v/>
      </c>
      <c r="K124" s="2" t="e">
        <f>VLOOKUP(CONCATENATE($H$10,$H$15,$A124),GeoHis!A:H,7,FALSE)</f>
        <v>#N/A</v>
      </c>
      <c r="L124" s="1" t="e">
        <f>EXACT(VLOOKUP(CONCATENATE($H$10,"I",$A124),GeoHis!$A:$H,7,FALSE),VLOOKUP(CONCATENATE($H$13,"I",$I$10,$H$10,$G$4,$H$4,$I$4),Captura!$D:$CR,89,FALSE))</f>
        <v>#N/A</v>
      </c>
      <c r="M124" s="1" t="e">
        <f>EXACT(VLOOKUP(CONCATENATE($H$10,"II",$A124),GeoHis!$A:$H,7,FALSE),VLOOKUP(CONCATENATE($H$13,"II",$I$10,$H$10,$G$4,$H$4,$I$4),Captura!$D:$CR,89,FALSE))</f>
        <v>#N/A</v>
      </c>
      <c r="N124" s="1" t="e">
        <f>EXACT(VLOOKUP(CONCATENATE($H$10,"III",$A124),GeoHis!$A:$H,7,FALSE),VLOOKUP(CONCATENATE($H$13,"III",$I$10,$H$10,$G$4,$H$4,$I$4),Captura!$D:$CR,89,FALSE))</f>
        <v>#N/A</v>
      </c>
      <c r="O124" s="1" t="e">
        <f>EXACT(VLOOKUP(CONCATENATE($H$10,"IV",$A124),GeoHis!$A:$H,7,FALSE),VLOOKUP(CONCATENATE($H$13,"IV",$I$10,$H$10,$G$4,$H$4,$I$4),Captura!$D:$CR,89,FALSE))</f>
        <v>#N/A</v>
      </c>
      <c r="P124" s="1" t="e">
        <f>EXACT(VLOOKUP(CONCATENATE($H$10,"V",$A124),GeoHis!$A:$H,7,FALSE),VLOOKUP(CONCATENATE($H$13,"V",$I$10,$H$10,$G$4,$H$4,$I$4),Captura!$D:$CR,89,FALSE))</f>
        <v>#N/A</v>
      </c>
    </row>
    <row r="125" spans="1:16" ht="24.95" customHeight="1" x14ac:dyDescent="0.15">
      <c r="A125" s="30" t="str">
        <f>IF($H$10=1,12,"")</f>
        <v/>
      </c>
      <c r="B125" s="104" t="str">
        <f>IF(H10=1,IF(K125&lt;&gt;C125,-1,1),"")</f>
        <v/>
      </c>
      <c r="C125" s="97" t="str">
        <f>IF($H$10=1,VLOOKUP(CONCATENATE($H$13,$H$15,$I$10,$H$10,$G$4,$H$4,$I$4),Captura!D:CR,90,FALSE),"")</f>
        <v/>
      </c>
      <c r="D125" s="181" t="str">
        <f>IFERROR(IF(VLOOKUP(CONCATENATE($H$10,$H$15,$A125),GeoHis!A:H,4,FALSE)=0,D124,VLOOKUP(CONCATENATE($H$10,$H$15,$A125),GeoHis!A:H,4,FALSE)),"")</f>
        <v/>
      </c>
      <c r="E125" s="182"/>
      <c r="F125" s="183"/>
      <c r="G125" s="181" t="str">
        <f>IFERROR(IF(VLOOKUP(CONCATENATE($H$10,$H$15,$A125),GeoHis!A:H,5,FALSE)=0,G124,VLOOKUP(CONCATENATE($H$10,$H$15,$A125),GeoHis!A:H,5,FALSE)),"")</f>
        <v/>
      </c>
      <c r="H125" s="182"/>
      <c r="I125" s="183"/>
      <c r="J125" s="92" t="str">
        <f>IFERROR(VLOOKUP(CONCATENATE($H$10,$H$15,$A125),GeoHis!A:H,8,FALSE),"")</f>
        <v/>
      </c>
      <c r="K125" s="2" t="e">
        <f>VLOOKUP(CONCATENATE($H$10,$H$15,$A125),GeoHis!A:H,7,FALSE)</f>
        <v>#N/A</v>
      </c>
      <c r="L125" s="1" t="e">
        <f>EXACT(VLOOKUP(CONCATENATE($H$10,"I",$A125),GeoHis!$A:$H,7,FALSE),VLOOKUP(CONCATENATE($H$13,"I",$I$10,$H$10,$G$4,$H$4,$I$4),Captura!$D:$CR,90,FALSE))</f>
        <v>#N/A</v>
      </c>
      <c r="M125" s="1" t="e">
        <f>EXACT(VLOOKUP(CONCATENATE($H$10,"II",$A125),GeoHis!$A:$H,7,FALSE),VLOOKUP(CONCATENATE($H$13,"II",$I$10,$H$10,$G$4,$H$4,$I$4),Captura!$D:$CR,90,FALSE))</f>
        <v>#N/A</v>
      </c>
      <c r="N125" s="1" t="e">
        <f>EXACT(VLOOKUP(CONCATENATE($H$10,"III",$A125),GeoHis!$A:$H,7,FALSE),VLOOKUP(CONCATENATE($H$13,"III",$I$10,$H$10,$G$4,$H$4,$I$4),Captura!$D:$CR,90,FALSE))</f>
        <v>#N/A</v>
      </c>
      <c r="O125" s="1" t="e">
        <f>EXACT(VLOOKUP(CONCATENATE($H$10,"IV",$A125),GeoHis!$A:$H,7,FALSE),VLOOKUP(CONCATENATE($H$13,"IV",$I$10,$H$10,$G$4,$H$4,$I$4),Captura!$D:$CR,90,FALSE))</f>
        <v>#N/A</v>
      </c>
      <c r="P125" s="1" t="e">
        <f>EXACT(VLOOKUP(CONCATENATE($H$10,"V",$A125),GeoHis!$A:$H,7,FALSE),VLOOKUP(CONCATENATE($H$13,"V",$I$10,$H$10,$G$4,$H$4,$I$4),Captura!$D:$CR,90,FALSE))</f>
        <v>#N/A</v>
      </c>
    </row>
    <row r="126" spans="1:16" ht="24.95" customHeight="1" x14ac:dyDescent="0.15">
      <c r="A126" s="30" t="str">
        <f>IF($H$10=1,13,"")</f>
        <v/>
      </c>
      <c r="B126" s="104" t="str">
        <f>IF(H10=1,IF(K126&lt;&gt;C126,-1,1),"")</f>
        <v/>
      </c>
      <c r="C126" s="97" t="str">
        <f>IF($H$10=1,VLOOKUP(CONCATENATE($H$13,$H$15,$I$10,$H$10,$G$4,$H$4,$I$4),Captura!D:CR,91,FALSE),"")</f>
        <v/>
      </c>
      <c r="D126" s="181" t="str">
        <f>IFERROR(IF(VLOOKUP(CONCATENATE($H$10,$H$15,$A126),GeoHis!A:H,4,FALSE)=0,D125,VLOOKUP(CONCATENATE($H$10,$H$15,$A126),GeoHis!A:H,4,FALSE)),"")</f>
        <v/>
      </c>
      <c r="E126" s="182"/>
      <c r="F126" s="183"/>
      <c r="G126" s="181" t="str">
        <f>IFERROR(IF(VLOOKUP(CONCATENATE($H$10,$H$15,$A126),GeoHis!A:H,5,FALSE)=0,G125,VLOOKUP(CONCATENATE($H$10,$H$15,$A126),GeoHis!A:H,5,FALSE)),"")</f>
        <v/>
      </c>
      <c r="H126" s="182"/>
      <c r="I126" s="183"/>
      <c r="J126" s="92" t="str">
        <f>IFERROR(VLOOKUP(CONCATENATE($H$10,$H$15,$A126),GeoHis!A:H,8,FALSE),"")</f>
        <v/>
      </c>
      <c r="K126" s="2" t="e">
        <f>VLOOKUP(CONCATENATE($H$10,$H$15,$A126),GeoHis!A:H,7,FALSE)</f>
        <v>#N/A</v>
      </c>
      <c r="L126" s="1" t="e">
        <f>EXACT(VLOOKUP(CONCATENATE($H$10,"I",$A126),GeoHis!$A:$H,7,FALSE),VLOOKUP(CONCATENATE($H$13,"I",$I$10,$H$10,$G$4,$H$4,$I$4),Captura!$D:$CR,91,FALSE))</f>
        <v>#N/A</v>
      </c>
      <c r="M126" s="1" t="e">
        <f>EXACT(VLOOKUP(CONCATENATE($H$10,"II",$A126),GeoHis!$A:$H,7,FALSE),VLOOKUP(CONCATENATE($H$13,"II",$I$10,$H$10,$G$4,$H$4,$I$4),Captura!$D:$CR,91,FALSE))</f>
        <v>#N/A</v>
      </c>
      <c r="N126" s="1" t="e">
        <f>EXACT(VLOOKUP(CONCATENATE($H$10,"III",$A126),GeoHis!$A:$H,7,FALSE),VLOOKUP(CONCATENATE($H$13,"III",$I$10,$H$10,$G$4,$H$4,$I$4),Captura!$D:$CR,91,FALSE))</f>
        <v>#N/A</v>
      </c>
      <c r="O126" s="1" t="e">
        <f>EXACT(VLOOKUP(CONCATENATE($H$10,"IV",$A126),GeoHis!$A:$H,7,FALSE),VLOOKUP(CONCATENATE($H$13,"IV",$I$10,$H$10,$G$4,$H$4,$I$4),Captura!$D:$CR,91,FALSE))</f>
        <v>#N/A</v>
      </c>
      <c r="P126" s="1" t="e">
        <f>EXACT(VLOOKUP(CONCATENATE($H$10,"V",$A126),GeoHis!$A:$H,7,FALSE),VLOOKUP(CONCATENATE($H$13,"V",$I$10,$H$10,$G$4,$H$4,$I$4),Captura!$D:$CR,91,FALSE))</f>
        <v>#N/A</v>
      </c>
    </row>
    <row r="127" spans="1:16" ht="24.95" customHeight="1" x14ac:dyDescent="0.15">
      <c r="A127" s="30" t="str">
        <f>IF($H$10=1,14,"")</f>
        <v/>
      </c>
      <c r="B127" s="104" t="str">
        <f>IF(H10=1,IF(K127&lt;&gt;C127,-1,1),"")</f>
        <v/>
      </c>
      <c r="C127" s="97" t="str">
        <f>IF($H$10=1,VLOOKUP(CONCATENATE($H$13,$H$15,$I$10,$H$10,$G$4,$H$4,$I$4),Captura!D:CR,92,FALSE),"")</f>
        <v/>
      </c>
      <c r="D127" s="181" t="str">
        <f>IFERROR(IF(VLOOKUP(CONCATENATE($H$10,$H$15,$A127),GeoHis!A:H,4,FALSE)=0,D126,VLOOKUP(CONCATENATE($H$10,$H$15,$A127),GeoHis!A:H,4,FALSE)),"")</f>
        <v/>
      </c>
      <c r="E127" s="182"/>
      <c r="F127" s="183"/>
      <c r="G127" s="181" t="str">
        <f>IFERROR(IF(VLOOKUP(CONCATENATE($H$10,$H$15,$A127),GeoHis!A:H,5,FALSE)=0,G126,VLOOKUP(CONCATENATE($H$10,$H$15,$A127),GeoHis!A:H,5,FALSE)),"")</f>
        <v/>
      </c>
      <c r="H127" s="182"/>
      <c r="I127" s="183"/>
      <c r="J127" s="92" t="str">
        <f>IFERROR(VLOOKUP(CONCATENATE($H$10,$H$15,$A127),GeoHis!A:H,8,FALSE),"")</f>
        <v/>
      </c>
      <c r="K127" s="2" t="e">
        <f>VLOOKUP(CONCATENATE($H$10,$H$15,$A127),GeoHis!A:H,7,FALSE)</f>
        <v>#N/A</v>
      </c>
      <c r="L127" s="1" t="e">
        <f>EXACT(VLOOKUP(CONCATENATE($H$10,"I",$A127),GeoHis!$A:$H,7,FALSE),VLOOKUP(CONCATENATE($H$13,"I",$I$10,$H$10,$G$4,$H$4,$I$4),Captura!$D:$CR,92,FALSE))</f>
        <v>#N/A</v>
      </c>
      <c r="M127" s="1" t="e">
        <f>EXACT(VLOOKUP(CONCATENATE($H$10,"II",$A127),GeoHis!$A:$H,7,FALSE),VLOOKUP(CONCATENATE($H$13,"II",$I$10,$H$10,$G$4,$H$4,$I$4),Captura!$D:$CR,92,FALSE))</f>
        <v>#N/A</v>
      </c>
      <c r="N127" s="1" t="e">
        <f>EXACT(VLOOKUP(CONCATENATE($H$10,"III",$A127),GeoHis!$A:$H,7,FALSE),VLOOKUP(CONCATENATE($H$13,"III",$I$10,$H$10,$G$4,$H$4,$I$4),Captura!$D:$CR,92,FALSE))</f>
        <v>#N/A</v>
      </c>
      <c r="O127" s="1" t="e">
        <f>EXACT(VLOOKUP(CONCATENATE($H$10,"IV",$A127),GeoHis!$A:$H,7,FALSE),VLOOKUP(CONCATENATE($H$13,"IV",$I$10,$H$10,$G$4,$H$4,$I$4),Captura!$D:$CR,92,FALSE))</f>
        <v>#N/A</v>
      </c>
      <c r="P127" s="1" t="e">
        <f>EXACT(VLOOKUP(CONCATENATE($H$10,"V",$A127),GeoHis!$A:$H,7,FALSE),VLOOKUP(CONCATENATE($H$13,"V",$I$10,$H$10,$G$4,$H$4,$I$4),Captura!$D:$CR,92,FALSE))</f>
        <v>#N/A</v>
      </c>
    </row>
    <row r="128" spans="1:16" ht="24.95" customHeight="1" x14ac:dyDescent="0.15">
      <c r="A128" s="30" t="str">
        <f>IF($H$10=1,15,"")</f>
        <v/>
      </c>
      <c r="B128" s="104" t="str">
        <f>IF(H10=1,IF(K128&lt;&gt;C128,-1,1),"")</f>
        <v/>
      </c>
      <c r="C128" s="97" t="str">
        <f>IF($H$10=1,VLOOKUP(CONCATENATE($H$13,$H$15,$I$10,$H$10,$G$4,$H$4,$I$4),Captura!D:CR,93,FALSE),"")</f>
        <v/>
      </c>
      <c r="D128" s="181" t="str">
        <f>IFERROR(IF(VLOOKUP(CONCATENATE($H$10,$H$15,$A128),GeoHis!A:H,4,FALSE)=0,D127,VLOOKUP(CONCATENATE($H$10,$H$15,$A128),GeoHis!A:H,4,FALSE)),"")</f>
        <v/>
      </c>
      <c r="E128" s="182"/>
      <c r="F128" s="183"/>
      <c r="G128" s="181" t="str">
        <f>IFERROR(IF(VLOOKUP(CONCATENATE($H$10,$H$15,$A128),GeoHis!A:H,5,FALSE)=0,G127,VLOOKUP(CONCATENATE($H$10,$H$15,$A128),GeoHis!A:H,5,FALSE)),"")</f>
        <v/>
      </c>
      <c r="H128" s="182"/>
      <c r="I128" s="183"/>
      <c r="J128" s="92" t="str">
        <f>IFERROR(VLOOKUP(CONCATENATE($H$10,$H$15,$A128),GeoHis!A:H,8,FALSE),"")</f>
        <v/>
      </c>
      <c r="K128" s="2" t="e">
        <f>VLOOKUP(CONCATENATE($H$10,$H$15,$A128),GeoHis!A:H,7,FALSE)</f>
        <v>#N/A</v>
      </c>
      <c r="L128" s="1" t="e">
        <f>EXACT(VLOOKUP(CONCATENATE($H$10,"I",$A128),GeoHis!$A:$H,7,FALSE),VLOOKUP(CONCATENATE($H$13,"I",$I$10,$H$10,$G$4,$H$4,$I$4),Captura!$D:$CR,93,FALSE))</f>
        <v>#N/A</v>
      </c>
      <c r="M128" s="1" t="e">
        <f>EXACT(VLOOKUP(CONCATENATE($H$10,"II",$A128),GeoHis!$A:$H,7,FALSE),VLOOKUP(CONCATENATE($H$13,"II",$I$10,$H$10,$G$4,$H$4,$I$4),Captura!$D:$CR,93,FALSE))</f>
        <v>#N/A</v>
      </c>
      <c r="N128" s="1" t="e">
        <f>EXACT(VLOOKUP(CONCATENATE($H$10,"III",$A128),GeoHis!$A:$H,7,FALSE),VLOOKUP(CONCATENATE($H$13,"III",$I$10,$H$10,$G$4,$H$4,$I$4),Captura!$D:$CR,93,FALSE))</f>
        <v>#N/A</v>
      </c>
      <c r="O128" s="1" t="e">
        <f>EXACT(VLOOKUP(CONCATENATE($H$10,"IV",$A128),GeoHis!$A:$H,7,FALSE),VLOOKUP(CONCATENATE($H$13,"IV",$I$10,$H$10,$G$4,$H$4,$I$4),Captura!$D:$CR,93,FALSE))</f>
        <v>#N/A</v>
      </c>
      <c r="P128" s="1" t="e">
        <f>EXACT(VLOOKUP(CONCATENATE($H$10,"V",$A128),GeoHis!$A:$H,7,FALSE),VLOOKUP(CONCATENATE($H$13,"V",$I$10,$H$10,$G$4,$H$4,$I$4),Captura!$D:$CR,93,FALSE))</f>
        <v>#N/A</v>
      </c>
    </row>
  </sheetData>
  <sheetProtection password="9F17" sheet="1" objects="1" scenarios="1" formatCells="0" formatColumns="0" formatRows="0"/>
  <protectedRanges>
    <protectedRange sqref="H13 H15" name="Datos"/>
    <protectedRange sqref="J19:J23" name="Reactivos"/>
  </protectedRanges>
  <mergeCells count="210">
    <mergeCell ref="D126:F126"/>
    <mergeCell ref="G126:I126"/>
    <mergeCell ref="D127:F127"/>
    <mergeCell ref="G127:I127"/>
    <mergeCell ref="D128:F128"/>
    <mergeCell ref="G128:I128"/>
    <mergeCell ref="D123:F123"/>
    <mergeCell ref="G123:I123"/>
    <mergeCell ref="D124:F124"/>
    <mergeCell ref="G124:I124"/>
    <mergeCell ref="D125:F125"/>
    <mergeCell ref="G125:I125"/>
    <mergeCell ref="D120:F120"/>
    <mergeCell ref="G120:I120"/>
    <mergeCell ref="D121:F121"/>
    <mergeCell ref="G121:I121"/>
    <mergeCell ref="D122:F122"/>
    <mergeCell ref="G122:I122"/>
    <mergeCell ref="D117:F117"/>
    <mergeCell ref="G117:I117"/>
    <mergeCell ref="D118:F118"/>
    <mergeCell ref="G118:I118"/>
    <mergeCell ref="D119:F119"/>
    <mergeCell ref="G119:I119"/>
    <mergeCell ref="D114:F114"/>
    <mergeCell ref="G114:I114"/>
    <mergeCell ref="D115:F115"/>
    <mergeCell ref="G115:I115"/>
    <mergeCell ref="D116:F116"/>
    <mergeCell ref="G116:I116"/>
    <mergeCell ref="D109:F109"/>
    <mergeCell ref="G109:I109"/>
    <mergeCell ref="D110:F110"/>
    <mergeCell ref="G110:I110"/>
    <mergeCell ref="A112:J112"/>
    <mergeCell ref="D113:F113"/>
    <mergeCell ref="G113:I113"/>
    <mergeCell ref="D106:F106"/>
    <mergeCell ref="G106:I106"/>
    <mergeCell ref="D107:F107"/>
    <mergeCell ref="G107:I107"/>
    <mergeCell ref="D108:F108"/>
    <mergeCell ref="G108:I108"/>
    <mergeCell ref="D103:F103"/>
    <mergeCell ref="G103:I103"/>
    <mergeCell ref="D104:F104"/>
    <mergeCell ref="G104:I104"/>
    <mergeCell ref="D105:F105"/>
    <mergeCell ref="G105:I105"/>
    <mergeCell ref="D100:F100"/>
    <mergeCell ref="G100:I100"/>
    <mergeCell ref="D101:F101"/>
    <mergeCell ref="G101:I101"/>
    <mergeCell ref="D102:F102"/>
    <mergeCell ref="G102:I102"/>
    <mergeCell ref="D97:F97"/>
    <mergeCell ref="G97:I97"/>
    <mergeCell ref="D98:F98"/>
    <mergeCell ref="G98:I98"/>
    <mergeCell ref="D99:F99"/>
    <mergeCell ref="G99:I99"/>
    <mergeCell ref="D94:F94"/>
    <mergeCell ref="G94:I94"/>
    <mergeCell ref="D95:F95"/>
    <mergeCell ref="G95:I95"/>
    <mergeCell ref="D96:F96"/>
    <mergeCell ref="G96:I96"/>
    <mergeCell ref="D91:F91"/>
    <mergeCell ref="G91:I91"/>
    <mergeCell ref="D92:F92"/>
    <mergeCell ref="G92:I92"/>
    <mergeCell ref="D93:F93"/>
    <mergeCell ref="G93:I93"/>
    <mergeCell ref="D86:F86"/>
    <mergeCell ref="G86:I86"/>
    <mergeCell ref="D87:F87"/>
    <mergeCell ref="G87:I87"/>
    <mergeCell ref="A89:J89"/>
    <mergeCell ref="D90:F90"/>
    <mergeCell ref="G90:I90"/>
    <mergeCell ref="D83:F83"/>
    <mergeCell ref="G83:I83"/>
    <mergeCell ref="D84:F84"/>
    <mergeCell ref="G84:I84"/>
    <mergeCell ref="D85:F85"/>
    <mergeCell ref="G85:I85"/>
    <mergeCell ref="D80:F80"/>
    <mergeCell ref="G80:I80"/>
    <mergeCell ref="D81:F81"/>
    <mergeCell ref="G81:I81"/>
    <mergeCell ref="D82:F82"/>
    <mergeCell ref="G82:I82"/>
    <mergeCell ref="D77:F77"/>
    <mergeCell ref="G77:I77"/>
    <mergeCell ref="D78:F78"/>
    <mergeCell ref="G78:I78"/>
    <mergeCell ref="D79:F79"/>
    <mergeCell ref="G79:I79"/>
    <mergeCell ref="D74:F74"/>
    <mergeCell ref="G74:I74"/>
    <mergeCell ref="D75:F75"/>
    <mergeCell ref="G75:I75"/>
    <mergeCell ref="D76:F76"/>
    <mergeCell ref="G76:I76"/>
    <mergeCell ref="D71:F71"/>
    <mergeCell ref="G71:I71"/>
    <mergeCell ref="D72:F72"/>
    <mergeCell ref="G72:I72"/>
    <mergeCell ref="D73:F73"/>
    <mergeCell ref="G73:I73"/>
    <mergeCell ref="D68:F68"/>
    <mergeCell ref="G68:I68"/>
    <mergeCell ref="D69:F69"/>
    <mergeCell ref="G69:I69"/>
    <mergeCell ref="D70:F70"/>
    <mergeCell ref="G70:I70"/>
    <mergeCell ref="A66:J66"/>
    <mergeCell ref="D67:F67"/>
    <mergeCell ref="G67:I67"/>
    <mergeCell ref="D64:F64"/>
    <mergeCell ref="G64:I64"/>
    <mergeCell ref="D61:F61"/>
    <mergeCell ref="G61:I61"/>
    <mergeCell ref="D62:F62"/>
    <mergeCell ref="G62:I62"/>
    <mergeCell ref="D63:F63"/>
    <mergeCell ref="G63:I63"/>
    <mergeCell ref="D58:F58"/>
    <mergeCell ref="G58:I58"/>
    <mergeCell ref="D59:F59"/>
    <mergeCell ref="G59:I59"/>
    <mergeCell ref="D60:F60"/>
    <mergeCell ref="G60:I60"/>
    <mergeCell ref="D55:F55"/>
    <mergeCell ref="G55:I55"/>
    <mergeCell ref="D56:F56"/>
    <mergeCell ref="G56:I56"/>
    <mergeCell ref="D57:F57"/>
    <mergeCell ref="G57:I57"/>
    <mergeCell ref="G49:I49"/>
    <mergeCell ref="G50:I50"/>
    <mergeCell ref="G51:I51"/>
    <mergeCell ref="A53:J53"/>
    <mergeCell ref="D54:F54"/>
    <mergeCell ref="G54:I54"/>
    <mergeCell ref="G45:I45"/>
    <mergeCell ref="G46:I46"/>
    <mergeCell ref="G47:I47"/>
    <mergeCell ref="G48:I48"/>
    <mergeCell ref="G37:I37"/>
    <mergeCell ref="G38:I38"/>
    <mergeCell ref="G39:I39"/>
    <mergeCell ref="G40:I40"/>
    <mergeCell ref="G41:I41"/>
    <mergeCell ref="G42:I42"/>
    <mergeCell ref="D47:F47"/>
    <mergeCell ref="D48:F48"/>
    <mergeCell ref="D49:F49"/>
    <mergeCell ref="D50:F50"/>
    <mergeCell ref="D51:F51"/>
    <mergeCell ref="G32:I32"/>
    <mergeCell ref="G33:I33"/>
    <mergeCell ref="G34:I34"/>
    <mergeCell ref="G35:I35"/>
    <mergeCell ref="G36:I36"/>
    <mergeCell ref="D41:F41"/>
    <mergeCell ref="D42:F42"/>
    <mergeCell ref="D43:F43"/>
    <mergeCell ref="D44:F44"/>
    <mergeCell ref="D45:F45"/>
    <mergeCell ref="D46:F46"/>
    <mergeCell ref="D35:F35"/>
    <mergeCell ref="D36:F36"/>
    <mergeCell ref="D37:F37"/>
    <mergeCell ref="D38:F38"/>
    <mergeCell ref="D39:F39"/>
    <mergeCell ref="D40:F40"/>
    <mergeCell ref="G43:I43"/>
    <mergeCell ref="G44:I44"/>
    <mergeCell ref="A30:J30"/>
    <mergeCell ref="D31:F31"/>
    <mergeCell ref="G31:I31"/>
    <mergeCell ref="D32:F32"/>
    <mergeCell ref="D33:F33"/>
    <mergeCell ref="D34:F34"/>
    <mergeCell ref="H13:I13"/>
    <mergeCell ref="D6:F6"/>
    <mergeCell ref="D7:F7"/>
    <mergeCell ref="G6:I6"/>
    <mergeCell ref="G7:I7"/>
    <mergeCell ref="A23:D23"/>
    <mergeCell ref="H14:I14"/>
    <mergeCell ref="H15:I15"/>
    <mergeCell ref="J17:J18"/>
    <mergeCell ref="A18:D18"/>
    <mergeCell ref="A17:I17"/>
    <mergeCell ref="A19:D19"/>
    <mergeCell ref="A20:D20"/>
    <mergeCell ref="A21:D21"/>
    <mergeCell ref="A22:D22"/>
    <mergeCell ref="B31:C31"/>
    <mergeCell ref="D3:F3"/>
    <mergeCell ref="D4:F4"/>
    <mergeCell ref="D10:G10"/>
    <mergeCell ref="D12:G12"/>
    <mergeCell ref="D13:G13"/>
    <mergeCell ref="D9:G9"/>
    <mergeCell ref="H12:I12"/>
    <mergeCell ref="D2:G2"/>
    <mergeCell ref="D1:I1"/>
  </mergeCells>
  <conditionalFormatting sqref="Q124:XFD128 A124:K128">
    <cfRule type="expression" dxfId="11" priority="33">
      <formula>OR($H$10=2,$H$10=3)</formula>
    </cfRule>
  </conditionalFormatting>
  <conditionalFormatting sqref="E19:I23">
    <cfRule type="cellIs" dxfId="10" priority="28" operator="equal">
      <formula>0</formula>
    </cfRule>
    <cfRule type="cellIs" dxfId="9" priority="29" operator="between">
      <formula>0.8</formula>
      <formula>1</formula>
    </cfRule>
    <cfRule type="cellIs" dxfId="8" priority="30" operator="between">
      <formula>0.6</formula>
      <formula>0.8</formula>
    </cfRule>
    <cfRule type="cellIs" dxfId="7" priority="31" operator="between">
      <formula>0.4</formula>
      <formula>0.6</formula>
    </cfRule>
    <cfRule type="cellIs" dxfId="6" priority="32" operator="between">
      <formula>0</formula>
      <formula>0.4</formula>
    </cfRule>
  </conditionalFormatting>
  <conditionalFormatting sqref="B32:B51">
    <cfRule type="iconSet" priority="23">
      <iconSet iconSet="3Symbols2" showValue="0">
        <cfvo type="percent" val="0"/>
        <cfvo type="num" val="0" gte="0"/>
        <cfvo type="num" val="0" gte="0"/>
      </iconSet>
    </cfRule>
    <cfRule type="iconSet" priority="25">
      <iconSet iconSet="3Symbols2">
        <cfvo type="percent" val="0"/>
        <cfvo type="percent" val="33"/>
        <cfvo type="percent" val="67"/>
      </iconSet>
    </cfRule>
  </conditionalFormatting>
  <conditionalFormatting sqref="B35">
    <cfRule type="iconSet" priority="24">
      <iconSet iconSet="3Symbols2">
        <cfvo type="percent" val="0"/>
        <cfvo type="percent" val="33"/>
        <cfvo type="percent" val="67"/>
      </iconSet>
    </cfRule>
  </conditionalFormatting>
  <conditionalFormatting sqref="B55:B64">
    <cfRule type="iconSet" priority="21">
      <iconSet iconSet="3Symbols2" showValue="0">
        <cfvo type="percent" val="0"/>
        <cfvo type="num" val="0" gte="0"/>
        <cfvo type="num" val="0" gte="0"/>
      </iconSet>
    </cfRule>
    <cfRule type="iconSet" priority="22">
      <iconSet iconSet="3Symbols2">
        <cfvo type="percent" val="0"/>
        <cfvo type="percent" val="33"/>
        <cfvo type="percent" val="67"/>
      </iconSet>
    </cfRule>
  </conditionalFormatting>
  <conditionalFormatting sqref="B68:B87">
    <cfRule type="iconSet" priority="19">
      <iconSet iconSet="3Symbols2" showValue="0">
        <cfvo type="percent" val="0"/>
        <cfvo type="num" val="0" gte="0"/>
        <cfvo type="num" val="0" gte="0"/>
      </iconSet>
    </cfRule>
    <cfRule type="iconSet" priority="20">
      <iconSet iconSet="3Symbols2">
        <cfvo type="percent" val="0"/>
        <cfvo type="percent" val="33"/>
        <cfvo type="percent" val="67"/>
      </iconSet>
    </cfRule>
  </conditionalFormatting>
  <conditionalFormatting sqref="B68:B87">
    <cfRule type="iconSet" priority="17">
      <iconSet iconSet="3Symbols2" showValue="0">
        <cfvo type="percent" val="0"/>
        <cfvo type="num" val="0" gte="0"/>
        <cfvo type="num" val="0" gte="0"/>
      </iconSet>
    </cfRule>
    <cfRule type="iconSet" priority="18">
      <iconSet iconSet="3Symbols2">
        <cfvo type="percent" val="0"/>
        <cfvo type="percent" val="33"/>
        <cfvo type="percent" val="67"/>
      </iconSet>
    </cfRule>
  </conditionalFormatting>
  <conditionalFormatting sqref="B91:B110">
    <cfRule type="iconSet" priority="15">
      <iconSet iconSet="3Symbols2" showValue="0">
        <cfvo type="percent" val="0"/>
        <cfvo type="num" val="0" gte="0"/>
        <cfvo type="num" val="0" gte="0"/>
      </iconSet>
    </cfRule>
    <cfRule type="iconSet" priority="16">
      <iconSet iconSet="3Symbols2">
        <cfvo type="percent" val="0"/>
        <cfvo type="percent" val="33"/>
        <cfvo type="percent" val="67"/>
      </iconSet>
    </cfRule>
  </conditionalFormatting>
  <conditionalFormatting sqref="B91:B110">
    <cfRule type="iconSet" priority="13">
      <iconSet iconSet="3Symbols2" showValue="0">
        <cfvo type="percent" val="0"/>
        <cfvo type="num" val="0" gte="0"/>
        <cfvo type="num" val="0" gte="0"/>
      </iconSet>
    </cfRule>
    <cfRule type="iconSet" priority="14">
      <iconSet iconSet="3Symbols2">
        <cfvo type="percent" val="0"/>
        <cfvo type="percent" val="33"/>
        <cfvo type="percent" val="67"/>
      </iconSet>
    </cfRule>
  </conditionalFormatting>
  <conditionalFormatting sqref="B91:B110">
    <cfRule type="iconSet" priority="11">
      <iconSet iconSet="3Symbols2" showValue="0">
        <cfvo type="percent" val="0"/>
        <cfvo type="num" val="0" gte="0"/>
        <cfvo type="num" val="0" gte="0"/>
      </iconSet>
    </cfRule>
    <cfRule type="iconSet" priority="12">
      <iconSet iconSet="3Symbols2">
        <cfvo type="percent" val="0"/>
        <cfvo type="percent" val="33"/>
        <cfvo type="percent" val="67"/>
      </iconSet>
    </cfRule>
  </conditionalFormatting>
  <conditionalFormatting sqref="B91:B110">
    <cfRule type="iconSet" priority="9">
      <iconSet iconSet="3Symbols2" showValue="0">
        <cfvo type="percent" val="0"/>
        <cfvo type="num" val="0" gte="0"/>
        <cfvo type="num" val="0" gte="0"/>
      </iconSet>
    </cfRule>
    <cfRule type="iconSet" priority="10">
      <iconSet iconSet="3Symbols2">
        <cfvo type="percent" val="0"/>
        <cfvo type="percent" val="33"/>
        <cfvo type="percent" val="67"/>
      </iconSet>
    </cfRule>
  </conditionalFormatting>
  <conditionalFormatting sqref="B114:B128">
    <cfRule type="iconSet" priority="7">
      <iconSet iconSet="3Symbols2" showValue="0">
        <cfvo type="percent" val="0"/>
        <cfvo type="num" val="0" gte="0"/>
        <cfvo type="num" val="0" gte="0"/>
      </iconSet>
    </cfRule>
    <cfRule type="iconSet" priority="8">
      <iconSet iconSet="3Symbols2">
        <cfvo type="percent" val="0"/>
        <cfvo type="percent" val="33"/>
        <cfvo type="percent" val="67"/>
      </iconSet>
    </cfRule>
  </conditionalFormatting>
  <conditionalFormatting sqref="B114:B128">
    <cfRule type="iconSet" priority="5">
      <iconSet iconSet="3Symbols2" showValue="0">
        <cfvo type="percent" val="0"/>
        <cfvo type="num" val="0" gte="0"/>
        <cfvo type="num" val="0" gte="0"/>
      </iconSet>
    </cfRule>
    <cfRule type="iconSet" priority="6">
      <iconSet iconSet="3Symbols2">
        <cfvo type="percent" val="0"/>
        <cfvo type="percent" val="33"/>
        <cfvo type="percent" val="67"/>
      </iconSet>
    </cfRule>
  </conditionalFormatting>
  <conditionalFormatting sqref="B114:B128">
    <cfRule type="iconSet" priority="3">
      <iconSet iconSet="3Symbols2" showValue="0">
        <cfvo type="percent" val="0"/>
        <cfvo type="num" val="0" gte="0"/>
        <cfvo type="num" val="0" gte="0"/>
      </iconSet>
    </cfRule>
    <cfRule type="iconSet" priority="4">
      <iconSet iconSet="3Symbols2">
        <cfvo type="percent" val="0"/>
        <cfvo type="percent" val="33"/>
        <cfvo type="percent" val="67"/>
      </iconSet>
    </cfRule>
  </conditionalFormatting>
  <conditionalFormatting sqref="B114:B128">
    <cfRule type="iconSet" priority="1">
      <iconSet iconSet="3Symbols2" showValue="0">
        <cfvo type="percent" val="0"/>
        <cfvo type="num" val="0" gte="0"/>
        <cfvo type="num" val="0" gte="0"/>
      </iconSet>
    </cfRule>
    <cfRule type="iconSet" priority="2">
      <iconSet iconSet="3Symbols2">
        <cfvo type="percent" val="0"/>
        <cfvo type="percent" val="33"/>
        <cfvo type="percent" val="67"/>
      </iconSet>
    </cfRule>
  </conditionalFormatting>
  <printOptions horizontalCentered="1"/>
  <pageMargins left="0.23622047244094491" right="0.23622047244094491" top="1.1417322834645669" bottom="0.74803149606299213" header="0.31496062992125984" footer="0.31496062992125984"/>
  <pageSetup scale="99" orientation="portrait" verticalDpi="4" r:id="rId1"/>
  <headerFooter>
    <oddHeader>&amp;L&amp;G&amp;C&amp;"Arial,Normal"&amp;14Resultado por Alumno</oddHeader>
  </headerFooter>
  <rowBreaks count="5" manualBreakCount="5">
    <brk id="29" max="16383" man="1"/>
    <brk id="52" max="16383" man="1"/>
    <brk id="65" max="16383" man="1"/>
    <brk id="88" max="16383" man="1"/>
    <brk id="111"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1"/>
  <sheetViews>
    <sheetView zoomScaleNormal="100" zoomScalePageLayoutView="30" workbookViewId="0">
      <selection activeCell="AE21" sqref="AE21"/>
    </sheetView>
  </sheetViews>
  <sheetFormatPr baseColWidth="10" defaultRowHeight="10.5" x14ac:dyDescent="0.15"/>
  <cols>
    <col min="1" max="1" width="3" style="65" bestFit="1" customWidth="1"/>
    <col min="2" max="2" width="8.28515625" style="2" bestFit="1" customWidth="1"/>
    <col min="3" max="3" width="12.7109375" style="11" customWidth="1"/>
    <col min="4" max="4" width="3.7109375" style="11" customWidth="1"/>
    <col min="5" max="5" width="5.28515625" style="11" customWidth="1"/>
    <col min="6" max="14" width="3.7109375" style="11" customWidth="1"/>
    <col min="15" max="16" width="3.7109375" style="1" customWidth="1"/>
    <col min="17" max="25" width="3.7109375" style="70" customWidth="1"/>
    <col min="26" max="27" width="3.7109375" style="69" customWidth="1"/>
    <col min="28" max="28" width="3.7109375" style="2" customWidth="1"/>
    <col min="29" max="29" width="11.28515625" style="2" customWidth="1"/>
    <col min="30" max="35" width="11.42578125" style="2" customWidth="1"/>
    <col min="36" max="16384" width="11.42578125" style="2"/>
  </cols>
  <sheetData>
    <row r="1" spans="1:35" ht="12.75" x14ac:dyDescent="0.15">
      <c r="A1" s="72"/>
      <c r="C1" s="177" t="str">
        <f>'Datos Generales'!A3</f>
        <v>Ciclo Escolar 2013-2014</v>
      </c>
      <c r="D1" s="177"/>
      <c r="E1" s="177"/>
      <c r="F1" s="177"/>
      <c r="G1" s="177"/>
      <c r="H1" s="177"/>
      <c r="I1" s="177"/>
      <c r="J1" s="177"/>
      <c r="K1" s="177"/>
      <c r="L1" s="177"/>
      <c r="M1" s="177"/>
      <c r="N1" s="177"/>
      <c r="O1" s="177"/>
      <c r="P1" s="177"/>
      <c r="Q1" s="177"/>
      <c r="R1" s="177"/>
      <c r="S1" s="177"/>
      <c r="T1" s="177"/>
      <c r="U1" s="177"/>
      <c r="V1" s="177"/>
      <c r="W1" s="177"/>
      <c r="X1" s="177"/>
      <c r="Y1" s="177"/>
      <c r="Z1" s="177"/>
      <c r="AA1" s="177"/>
      <c r="AB1" s="177"/>
    </row>
    <row r="2" spans="1:35" x14ac:dyDescent="0.15">
      <c r="A2" s="29"/>
      <c r="C2" s="176"/>
      <c r="D2" s="176"/>
      <c r="E2" s="176"/>
      <c r="F2" s="176"/>
      <c r="G2" s="176"/>
      <c r="H2" s="176"/>
      <c r="I2" s="176"/>
      <c r="J2" s="176"/>
      <c r="K2" s="176"/>
      <c r="L2" s="176"/>
      <c r="M2" s="176"/>
      <c r="N2" s="176"/>
      <c r="O2" s="176"/>
      <c r="P2" s="176"/>
      <c r="Q2" s="176"/>
      <c r="R2" s="101"/>
      <c r="S2" s="101"/>
      <c r="T2" s="101"/>
      <c r="U2" s="101"/>
      <c r="V2" s="101"/>
      <c r="W2" s="101"/>
      <c r="X2" s="101"/>
      <c r="Y2" s="98"/>
      <c r="Z2" s="98"/>
      <c r="AA2" s="98"/>
      <c r="AB2" s="12"/>
    </row>
    <row r="3" spans="1:35" x14ac:dyDescent="0.15">
      <c r="A3" s="29"/>
      <c r="C3" s="164" t="s">
        <v>7</v>
      </c>
      <c r="D3" s="164"/>
      <c r="E3" s="164"/>
      <c r="F3" s="164"/>
      <c r="G3" s="164"/>
      <c r="H3" s="164"/>
      <c r="I3" s="164"/>
      <c r="J3" s="164"/>
      <c r="K3" s="164"/>
      <c r="L3" s="164"/>
      <c r="M3" s="164"/>
      <c r="N3" s="164"/>
      <c r="O3" s="164"/>
      <c r="P3" s="164" t="s">
        <v>8</v>
      </c>
      <c r="Q3" s="164"/>
      <c r="R3" s="164"/>
      <c r="S3" s="164"/>
      <c r="T3" s="164"/>
      <c r="U3" s="164" t="s">
        <v>3</v>
      </c>
      <c r="V3" s="164"/>
      <c r="W3" s="164"/>
      <c r="X3" s="164"/>
      <c r="Y3" s="164" t="s">
        <v>1</v>
      </c>
      <c r="Z3" s="164"/>
      <c r="AA3" s="164"/>
      <c r="AB3" s="164"/>
    </row>
    <row r="4" spans="1:35" x14ac:dyDescent="0.15">
      <c r="A4" s="72"/>
      <c r="C4" s="165" t="str">
        <f>'Datos Generales'!D7</f>
        <v/>
      </c>
      <c r="D4" s="165"/>
      <c r="E4" s="165"/>
      <c r="F4" s="165"/>
      <c r="G4" s="165"/>
      <c r="H4" s="165"/>
      <c r="I4" s="165"/>
      <c r="J4" s="165"/>
      <c r="K4" s="165"/>
      <c r="L4" s="165"/>
      <c r="M4" s="165"/>
      <c r="N4" s="165"/>
      <c r="O4" s="165"/>
      <c r="P4" s="194">
        <f>'Datos Generales'!A7</f>
        <v>0</v>
      </c>
      <c r="Q4" s="194"/>
      <c r="R4" s="194"/>
      <c r="S4" s="194"/>
      <c r="T4" s="194"/>
      <c r="U4" s="165" t="str">
        <f>'Datos Generales'!A13</f>
        <v/>
      </c>
      <c r="V4" s="165"/>
      <c r="W4" s="165"/>
      <c r="X4" s="165"/>
      <c r="Y4" s="165" t="str">
        <f>'Datos Generales'!A10</f>
        <v/>
      </c>
      <c r="Z4" s="165"/>
      <c r="AA4" s="165"/>
      <c r="AB4" s="165"/>
    </row>
    <row r="5" spans="1:35" x14ac:dyDescent="0.15">
      <c r="A5" s="72"/>
      <c r="C5" s="12"/>
      <c r="D5" s="12"/>
      <c r="E5" s="12"/>
      <c r="F5" s="12"/>
      <c r="G5" s="12"/>
      <c r="H5" s="12"/>
      <c r="I5" s="12"/>
      <c r="J5" s="12"/>
      <c r="K5" s="12"/>
      <c r="L5" s="12"/>
      <c r="M5" s="75"/>
      <c r="N5" s="75"/>
      <c r="O5" s="12"/>
      <c r="P5" s="12"/>
      <c r="Q5" s="98"/>
      <c r="R5" s="101"/>
      <c r="S5" s="101"/>
      <c r="T5" s="101"/>
      <c r="U5" s="101"/>
      <c r="V5" s="101"/>
      <c r="W5" s="101"/>
      <c r="X5" s="101"/>
      <c r="Y5" s="98"/>
      <c r="Z5" s="98"/>
      <c r="AA5" s="98"/>
      <c r="AB5" s="12"/>
    </row>
    <row r="6" spans="1:35" x14ac:dyDescent="0.15">
      <c r="A6" s="72"/>
      <c r="C6" s="164" t="s">
        <v>5</v>
      </c>
      <c r="D6" s="164"/>
      <c r="E6" s="164"/>
      <c r="F6" s="164"/>
      <c r="G6" s="164"/>
      <c r="H6" s="164"/>
      <c r="I6" s="164"/>
      <c r="J6" s="164"/>
      <c r="K6" s="164"/>
      <c r="L6" s="164"/>
      <c r="M6" s="164"/>
      <c r="N6" s="164"/>
      <c r="O6" s="164"/>
      <c r="P6" s="171" t="s">
        <v>6</v>
      </c>
      <c r="Q6" s="172"/>
      <c r="R6" s="172"/>
      <c r="S6" s="172"/>
      <c r="T6" s="172"/>
      <c r="U6" s="172"/>
      <c r="V6" s="172"/>
      <c r="W6" s="172"/>
      <c r="X6" s="172"/>
      <c r="Y6" s="172"/>
      <c r="Z6" s="172"/>
      <c r="AA6" s="172"/>
      <c r="AB6" s="173"/>
    </row>
    <row r="7" spans="1:35" x14ac:dyDescent="0.15">
      <c r="A7" s="72"/>
      <c r="C7" s="165" t="str">
        <f>'Datos Generales'!A16</f>
        <v/>
      </c>
      <c r="D7" s="165"/>
      <c r="E7" s="165"/>
      <c r="F7" s="165"/>
      <c r="G7" s="165"/>
      <c r="H7" s="165"/>
      <c r="I7" s="165"/>
      <c r="J7" s="165"/>
      <c r="K7" s="165"/>
      <c r="L7" s="165"/>
      <c r="M7" s="165"/>
      <c r="N7" s="165"/>
      <c r="O7" s="165"/>
      <c r="P7" s="166" t="str">
        <f>'Datos Generales'!D16</f>
        <v/>
      </c>
      <c r="Q7" s="167"/>
      <c r="R7" s="167"/>
      <c r="S7" s="167"/>
      <c r="T7" s="167"/>
      <c r="U7" s="167"/>
      <c r="V7" s="167"/>
      <c r="W7" s="167"/>
      <c r="X7" s="167"/>
      <c r="Y7" s="167"/>
      <c r="Z7" s="167"/>
      <c r="AA7" s="167"/>
      <c r="AB7" s="168"/>
    </row>
    <row r="8" spans="1:35" x14ac:dyDescent="0.15">
      <c r="A8" s="72"/>
      <c r="C8" s="12"/>
      <c r="D8" s="12"/>
      <c r="E8" s="12"/>
      <c r="F8" s="12"/>
      <c r="G8" s="12"/>
      <c r="H8" s="12"/>
      <c r="I8" s="12"/>
      <c r="J8" s="12"/>
      <c r="K8" s="12"/>
      <c r="L8" s="12"/>
      <c r="M8" s="12"/>
      <c r="N8" s="12"/>
      <c r="O8" s="12"/>
      <c r="P8" s="12"/>
      <c r="Q8" s="68"/>
      <c r="R8" s="68"/>
      <c r="S8" s="68"/>
      <c r="T8" s="68"/>
      <c r="U8" s="68"/>
      <c r="V8" s="68"/>
      <c r="W8" s="68"/>
      <c r="X8" s="68"/>
      <c r="Y8" s="68"/>
      <c r="Z8" s="70"/>
      <c r="AA8" s="70"/>
      <c r="AB8" s="12"/>
    </row>
    <row r="9" spans="1:35" ht="10.5" customHeight="1" x14ac:dyDescent="0.15">
      <c r="A9" s="72"/>
      <c r="C9" s="164" t="s">
        <v>9</v>
      </c>
      <c r="D9" s="164"/>
      <c r="E9" s="164"/>
      <c r="F9" s="164"/>
      <c r="G9" s="164"/>
      <c r="H9" s="164"/>
      <c r="I9" s="164"/>
      <c r="J9" s="164"/>
      <c r="K9" s="164"/>
      <c r="L9" s="164"/>
      <c r="M9" s="164"/>
      <c r="N9" s="164"/>
      <c r="O9" s="164"/>
      <c r="P9" s="164" t="s">
        <v>14</v>
      </c>
      <c r="Q9" s="164"/>
      <c r="R9" s="164"/>
      <c r="S9" s="164"/>
      <c r="T9" s="164"/>
      <c r="U9" s="171" t="s">
        <v>10</v>
      </c>
      <c r="V9" s="172"/>
      <c r="W9" s="172"/>
      <c r="X9" s="173"/>
      <c r="Y9" s="169" t="s">
        <v>6121</v>
      </c>
      <c r="Z9" s="169"/>
      <c r="AA9" s="169"/>
      <c r="AB9" s="169"/>
    </row>
    <row r="10" spans="1:35" x14ac:dyDescent="0.15">
      <c r="A10" s="72"/>
      <c r="C10" s="165">
        <f>'Datos Generales'!A25</f>
        <v>0</v>
      </c>
      <c r="D10" s="165"/>
      <c r="E10" s="165"/>
      <c r="F10" s="165"/>
      <c r="G10" s="165"/>
      <c r="H10" s="165"/>
      <c r="I10" s="165"/>
      <c r="J10" s="165"/>
      <c r="K10" s="165"/>
      <c r="L10" s="165"/>
      <c r="M10" s="165"/>
      <c r="N10" s="165"/>
      <c r="O10" s="165"/>
      <c r="P10" s="165">
        <f>'Datos Generales'!A19</f>
        <v>3</v>
      </c>
      <c r="Q10" s="165"/>
      <c r="R10" s="165"/>
      <c r="S10" s="165"/>
      <c r="T10" s="165"/>
      <c r="U10" s="165" t="str">
        <f>'Datos Generales'!D19</f>
        <v>A</v>
      </c>
      <c r="V10" s="165"/>
      <c r="W10" s="165"/>
      <c r="X10" s="165"/>
      <c r="Y10" s="186" t="s">
        <v>6384</v>
      </c>
      <c r="Z10" s="186"/>
      <c r="AA10" s="186"/>
      <c r="AB10" s="186"/>
    </row>
    <row r="11" spans="1:35" ht="15" customHeight="1" x14ac:dyDescent="0.15">
      <c r="A11" s="72"/>
      <c r="C11" s="76"/>
      <c r="D11" s="76"/>
      <c r="E11" s="76"/>
      <c r="F11" s="76"/>
      <c r="G11" s="76"/>
      <c r="H11" s="76"/>
      <c r="I11" s="76"/>
      <c r="J11" s="76"/>
      <c r="K11" s="76"/>
      <c r="L11" s="76"/>
      <c r="M11" s="76"/>
      <c r="N11" s="76"/>
      <c r="O11" s="10"/>
      <c r="P11" s="10"/>
      <c r="Q11" s="10"/>
      <c r="R11" s="10"/>
      <c r="S11" s="10"/>
      <c r="T11" s="10"/>
      <c r="U11" s="10"/>
      <c r="V11" s="10"/>
      <c r="W11" s="10"/>
      <c r="X11" s="10"/>
      <c r="Y11" s="10"/>
      <c r="Z11" s="70"/>
      <c r="AA11" s="70"/>
      <c r="AB11" s="12"/>
    </row>
    <row r="12" spans="1:35" ht="10.5" customHeight="1" x14ac:dyDescent="0.15">
      <c r="A12" s="188" t="s">
        <v>6389</v>
      </c>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91" t="s">
        <v>6378</v>
      </c>
    </row>
    <row r="13" spans="1:35" ht="15" customHeight="1" x14ac:dyDescent="0.15">
      <c r="A13" s="187" t="s">
        <v>6124</v>
      </c>
      <c r="B13" s="187"/>
      <c r="C13" s="187"/>
      <c r="D13" s="188" t="s">
        <v>6127</v>
      </c>
      <c r="E13" s="188"/>
      <c r="F13" s="188"/>
      <c r="G13" s="188"/>
      <c r="H13" s="188"/>
      <c r="I13" s="187" t="s">
        <v>6367</v>
      </c>
      <c r="J13" s="187"/>
      <c r="K13" s="187"/>
      <c r="L13" s="187"/>
      <c r="M13" s="187"/>
      <c r="N13" s="187" t="s">
        <v>6368</v>
      </c>
      <c r="O13" s="187"/>
      <c r="P13" s="187"/>
      <c r="Q13" s="187"/>
      <c r="R13" s="187"/>
      <c r="S13" s="187" t="s">
        <v>6369</v>
      </c>
      <c r="T13" s="187"/>
      <c r="U13" s="187"/>
      <c r="V13" s="187"/>
      <c r="W13" s="187"/>
      <c r="X13" s="187" t="s">
        <v>6370</v>
      </c>
      <c r="Y13" s="187"/>
      <c r="Z13" s="187"/>
      <c r="AA13" s="187"/>
      <c r="AB13" s="187"/>
      <c r="AC13" s="192"/>
      <c r="AE13" s="200" t="s">
        <v>6127</v>
      </c>
      <c r="AF13" s="200"/>
      <c r="AG13" s="200"/>
      <c r="AH13" s="200"/>
      <c r="AI13" s="200"/>
    </row>
    <row r="14" spans="1:35" x14ac:dyDescent="0.15">
      <c r="A14" s="187"/>
      <c r="B14" s="187"/>
      <c r="C14" s="187"/>
      <c r="D14" s="109" t="s">
        <v>6388</v>
      </c>
      <c r="E14" s="109" t="s">
        <v>6372</v>
      </c>
      <c r="F14" s="109" t="s">
        <v>6373</v>
      </c>
      <c r="G14" s="109" t="s">
        <v>6374</v>
      </c>
      <c r="H14" s="109" t="s">
        <v>6375</v>
      </c>
      <c r="I14" s="109" t="s">
        <v>6388</v>
      </c>
      <c r="J14" s="109" t="s">
        <v>6372</v>
      </c>
      <c r="K14" s="109" t="s">
        <v>6373</v>
      </c>
      <c r="L14" s="109" t="s">
        <v>6374</v>
      </c>
      <c r="M14" s="109" t="s">
        <v>6375</v>
      </c>
      <c r="N14" s="109" t="s">
        <v>6388</v>
      </c>
      <c r="O14" s="109" t="s">
        <v>6372</v>
      </c>
      <c r="P14" s="109" t="s">
        <v>6373</v>
      </c>
      <c r="Q14" s="109" t="s">
        <v>6374</v>
      </c>
      <c r="R14" s="109" t="s">
        <v>6375</v>
      </c>
      <c r="S14" s="109" t="s">
        <v>6388</v>
      </c>
      <c r="T14" s="109" t="s">
        <v>6372</v>
      </c>
      <c r="U14" s="109" t="s">
        <v>6373</v>
      </c>
      <c r="V14" s="109" t="s">
        <v>6374</v>
      </c>
      <c r="W14" s="109" t="s">
        <v>6375</v>
      </c>
      <c r="X14" s="109" t="s">
        <v>6388</v>
      </c>
      <c r="Y14" s="109" t="s">
        <v>6372</v>
      </c>
      <c r="Z14" s="109" t="s">
        <v>6373</v>
      </c>
      <c r="AA14" s="109" t="s">
        <v>6374</v>
      </c>
      <c r="AB14" s="109" t="s">
        <v>6375</v>
      </c>
      <c r="AC14" s="193"/>
      <c r="AE14" s="120" t="s">
        <v>6388</v>
      </c>
      <c r="AF14" s="120" t="s">
        <v>6372</v>
      </c>
      <c r="AG14" s="120" t="s">
        <v>6373</v>
      </c>
      <c r="AH14" s="120" t="s">
        <v>6374</v>
      </c>
      <c r="AI14" s="120" t="s">
        <v>6375</v>
      </c>
    </row>
    <row r="15" spans="1:35" x14ac:dyDescent="0.15">
      <c r="A15" s="186" t="str">
        <f>IF(P10=1,"Español I",IF(P10=2,"Español II",IF(P10=3,"Español III")))</f>
        <v>Español III</v>
      </c>
      <c r="B15" s="186"/>
      <c r="C15" s="186"/>
      <c r="D15" s="102">
        <f>COUNTIF(Captura!$F:$F,"I")</f>
        <v>0</v>
      </c>
      <c r="E15" s="102">
        <f>COUNTIFS(Captura!$CS:$CS,"&lt;.4",Captura!$F:$F,"I")</f>
        <v>0</v>
      </c>
      <c r="F15" s="102">
        <f>D15-E15-G15-H15</f>
        <v>0</v>
      </c>
      <c r="G15" s="110">
        <f>COUNTIFS(Captura!$CS:$CS,"&gt;=.6",Captura!$F:$F,"I")-H15</f>
        <v>0</v>
      </c>
      <c r="H15" s="110">
        <f>COUNTIFS(Captura!$CS:$CS,"&gt;=.8",Captura!$F:$F,"I")</f>
        <v>0</v>
      </c>
      <c r="I15" s="110">
        <f>COUNTIF(Captura!$F:$F,"II")</f>
        <v>0</v>
      </c>
      <c r="J15" s="110">
        <f>COUNTIFS(Captura!$CS:$CS,"&lt;.4",Captura!$F:$F,"II")</f>
        <v>0</v>
      </c>
      <c r="K15" s="110">
        <f>I15-J15-L15-M15</f>
        <v>0</v>
      </c>
      <c r="L15" s="110">
        <f>COUNTIFS(Captura!$CS:$CS,"&gt;=.6",Captura!$F:$F,"II")-M15</f>
        <v>0</v>
      </c>
      <c r="M15" s="110">
        <f>COUNTIFS(Captura!$CS:$CS,"&gt;=.8",Captura!$F:$F,"II")</f>
        <v>0</v>
      </c>
      <c r="N15" s="110">
        <f>COUNTIF(Captura!$F:$F,"III")</f>
        <v>0</v>
      </c>
      <c r="O15" s="110">
        <f>COUNTIFS(Captura!$CS:$CS,"&lt;.4",Captura!$F:$F,"III")</f>
        <v>0</v>
      </c>
      <c r="P15" s="110">
        <f>N15-O15-Q15-R15</f>
        <v>0</v>
      </c>
      <c r="Q15" s="110">
        <f>COUNTIFS(Captura!$CS:$CS,"&gt;=.6",Captura!$F:$F,"III")-R15</f>
        <v>0</v>
      </c>
      <c r="R15" s="110">
        <f>COUNTIFS(Captura!$CS:$CS,"&gt;=.8",Captura!$F:$F,"III")</f>
        <v>0</v>
      </c>
      <c r="S15" s="110">
        <f>COUNTIF(Captura!$F:$F,"IV")</f>
        <v>0</v>
      </c>
      <c r="T15" s="110">
        <f>COUNTIFS(Captura!$CS:$CS,"&lt;.4",Captura!$F:$F,"IV")</f>
        <v>0</v>
      </c>
      <c r="U15" s="110">
        <f>S15-T15-V15-W15</f>
        <v>0</v>
      </c>
      <c r="V15" s="110">
        <f>COUNTIFS(Captura!$CS:$CS,"&gt;=.6",Captura!$F:$F,"IV")-W15</f>
        <v>0</v>
      </c>
      <c r="W15" s="110">
        <f>COUNTIFS(Captura!$CS:$CS,"&gt;=.8",Captura!$F:$F,"IV")</f>
        <v>0</v>
      </c>
      <c r="X15" s="110">
        <f>COUNTIF(Captura!$F:$F,"V")</f>
        <v>0</v>
      </c>
      <c r="Y15" s="110">
        <f>COUNTIFS(Captura!$CS:$CS,"&lt;.4",Captura!$F:$F,"V")</f>
        <v>0</v>
      </c>
      <c r="Z15" s="110">
        <f>X15-Y15-AA15-AB15</f>
        <v>0</v>
      </c>
      <c r="AA15" s="110">
        <f>COUNTIFS(Captura!$CS:$CS,"&gt;=.6",Captura!$F:$F,"V")-AB15</f>
        <v>0</v>
      </c>
      <c r="AB15" s="110">
        <f>COUNTIFS(Captura!$CS:$CS,"&gt;=.8",Captura!$F:$F,"V")</f>
        <v>0</v>
      </c>
      <c r="AC15" s="100">
        <v>20</v>
      </c>
      <c r="AE15" s="121">
        <f>IF($Y$10="I",D15,IF($Y$10="II",I15,IF($Y$10="III",N15,IF($Y$10=IV,S15,IF($Y$10="V",X15,"")))))</f>
        <v>0</v>
      </c>
      <c r="AF15" s="121">
        <f>IF($Y$10="I",E15,IF($Y$10="II",J15,IF($Y$10="III",O15,IF($Y$10=IV,T15,IF($Y$10="V",Y15,"")))))</f>
        <v>0</v>
      </c>
      <c r="AG15" s="121">
        <f>IF($Y$10="I",F15,IF($Y$10="II",K15,IF($Y$10="III",P15,IF($Y$10=IV,U15,IF($Y$10="V",Z15,"")))))</f>
        <v>0</v>
      </c>
      <c r="AH15" s="121">
        <f>IF($Y$10="I",G15,IF($Y$10="II",L15,IF($Y$10="III",Q15,IF($Y$10=IV,V15,IF($Y$10="V",AA15,"")))))</f>
        <v>0</v>
      </c>
      <c r="AI15" s="121">
        <f>IF($Y$10="I",H15,IF($Y$10="II",M15,IF($Y$10="III",R15,IF($Y$10=IV,W15,IF($Y$10="V",AB15,"")))))</f>
        <v>0</v>
      </c>
    </row>
    <row r="16" spans="1:35" x14ac:dyDescent="0.15">
      <c r="A16" s="186" t="str">
        <f>IF(P10=1,"Segunda Lengua: Inglés I",IF(P10=2,"Segunda Lengua: Inglés II",IF(P10=3,"Segunda Lengua: Inglés III")))</f>
        <v>Segunda Lengua: Inglés III</v>
      </c>
      <c r="B16" s="186"/>
      <c r="C16" s="186"/>
      <c r="D16" s="102">
        <f>D15</f>
        <v>0</v>
      </c>
      <c r="E16" s="102">
        <f>COUNTIFS(Captura!$CT:$CT,"&lt;.4",Captura!$F:$F,"I")</f>
        <v>0</v>
      </c>
      <c r="F16" s="102">
        <f t="shared" ref="F16:F19" si="0">D16-E16-G16-H16</f>
        <v>0</v>
      </c>
      <c r="G16" s="110">
        <f>COUNTIFS(Captura!$CT:$CT,"&gt;=.6",Captura!$F:$F,"I")-H16</f>
        <v>0</v>
      </c>
      <c r="H16" s="110">
        <f>COUNTIFS(Captura!$CT:$CT,"&gt;=.8",Captura!$F:$F,"I")</f>
        <v>0</v>
      </c>
      <c r="I16" s="110">
        <f>I15</f>
        <v>0</v>
      </c>
      <c r="J16" s="110">
        <f>COUNTIFS(Captura!$CT:$CT,"&lt;.4",Captura!$F:$F,"II")</f>
        <v>0</v>
      </c>
      <c r="K16" s="110">
        <f t="shared" ref="K16:K19" si="1">I16-J16-L16-M16</f>
        <v>0</v>
      </c>
      <c r="L16" s="110">
        <f>COUNTIFS(Captura!$CT:$CT,"&gt;=.6",Captura!$F:$F,"II")-M16</f>
        <v>0</v>
      </c>
      <c r="M16" s="110">
        <f>COUNTIFS(Captura!$CT:$CT,"&gt;=.8",Captura!$F:$F,"II")</f>
        <v>0</v>
      </c>
      <c r="N16" s="110">
        <f>N15</f>
        <v>0</v>
      </c>
      <c r="O16" s="110">
        <f>COUNTIFS(Captura!$CT:$CT,"&lt;.4",Captura!$F:$F,"III")</f>
        <v>0</v>
      </c>
      <c r="P16" s="110">
        <f t="shared" ref="P16:P19" si="2">N16-O16-Q16-R16</f>
        <v>0</v>
      </c>
      <c r="Q16" s="110">
        <f>COUNTIFS(Captura!$CT:$CT,"&gt;=.6",Captura!$F:$F,"III")-R16</f>
        <v>0</v>
      </c>
      <c r="R16" s="110">
        <f>COUNTIFS(Captura!$CT:$CT,"&gt;=.8",Captura!$F:$F,"III")</f>
        <v>0</v>
      </c>
      <c r="S16" s="110">
        <f>S15</f>
        <v>0</v>
      </c>
      <c r="T16" s="110">
        <f>COUNTIFS(Captura!$CT:$CT,"&lt;.4",Captura!$F:$F,"IV")</f>
        <v>0</v>
      </c>
      <c r="U16" s="110">
        <f t="shared" ref="U16:U19" si="3">S16-T16-V16-W16</f>
        <v>0</v>
      </c>
      <c r="V16" s="110">
        <f>COUNTIFS(Captura!$CT:$CT,"&gt;=.6",Captura!$F:$F,"IV")-W16</f>
        <v>0</v>
      </c>
      <c r="W16" s="110">
        <f>COUNTIFS(Captura!$CT:$CT,"&gt;=.8",Captura!$F:$F,"IV")</f>
        <v>0</v>
      </c>
      <c r="X16" s="110">
        <f>X15</f>
        <v>0</v>
      </c>
      <c r="Y16" s="110">
        <f>COUNTIFS(Captura!$CT:$CT,"&lt;.4",Captura!$F:$F,"V")</f>
        <v>0</v>
      </c>
      <c r="Z16" s="110">
        <f t="shared" ref="Z16:Z19" si="4">X16-Y16-AA16-AB16</f>
        <v>0</v>
      </c>
      <c r="AA16" s="110">
        <f>COUNTIFS(Captura!$CT:$CT,"&gt;=.6",Captura!$F:$F,"V")-AB16</f>
        <v>0</v>
      </c>
      <c r="AB16" s="110">
        <f>COUNTIFS(Captura!$CT:$CT,"&gt;=.8",Captura!$F:$F,"V")</f>
        <v>0</v>
      </c>
      <c r="AC16" s="100">
        <v>10</v>
      </c>
      <c r="AE16" s="121">
        <f>IF($Y$10="I",D16,IF($Y$10="II",I16,IF($Y$10="III",N16,IF($Y$10=IV,S16,IF($Y$10="V",X16,"")))))</f>
        <v>0</v>
      </c>
      <c r="AF16" s="121">
        <f>IF($Y$10="I",E16,IF($Y$10="II",J16,IF($Y$10="III",O16,IF($Y$10=IV,T16,IF($Y$10="V",Y16,"")))))</f>
        <v>0</v>
      </c>
      <c r="AG16" s="121">
        <f>IF($Y$10="I",F16,IF($Y$10="II",K16,IF($Y$10="III",P16,IF($Y$10=IV,U16,IF($Y$10="V",Z16,"")))))</f>
        <v>0</v>
      </c>
      <c r="AH16" s="121">
        <f>IF($Y$10="I",G16,IF($Y$10="II",L16,IF($Y$10="III",Q16,IF($Y$10=IV,V16,IF($Y$10="V",AA16,"")))))</f>
        <v>0</v>
      </c>
      <c r="AI16" s="121">
        <f>IF($Y$10="I",H16,IF($Y$10="II",M16,IF($Y$10="III",R16,IF($Y$10=IV,W16,IF($Y$10="V",AB16,"")))))</f>
        <v>0</v>
      </c>
    </row>
    <row r="17" spans="1:35" x14ac:dyDescent="0.15">
      <c r="A17" s="186" t="str">
        <f>IF(P10=1,"Matemáticas I",IF(P10=2,"Matemáticas II",IF(P10=3,"Matemáticas III")))</f>
        <v>Matemáticas III</v>
      </c>
      <c r="B17" s="186"/>
      <c r="C17" s="186"/>
      <c r="D17" s="102">
        <f t="shared" ref="D17:D19" si="5">D16</f>
        <v>0</v>
      </c>
      <c r="E17" s="102">
        <f>COUNTIFS(Captura!$CU:$CU,"&lt;.4",Captura!$F:$F,"I")</f>
        <v>0</v>
      </c>
      <c r="F17" s="102">
        <f t="shared" si="0"/>
        <v>0</v>
      </c>
      <c r="G17" s="110">
        <f>COUNTIFS(Captura!$CU:$CU,"&gt;=.6",Captura!$F:$F,"I")-H17</f>
        <v>0</v>
      </c>
      <c r="H17" s="110">
        <f>COUNTIFS(Captura!$CU:$CU,"&gt;=.8",Captura!$F:$F,"I")</f>
        <v>0</v>
      </c>
      <c r="I17" s="110">
        <f t="shared" ref="I17:I19" si="6">I16</f>
        <v>0</v>
      </c>
      <c r="J17" s="110">
        <f>COUNTIFS(Captura!$CU:$CU,"&lt;.4",Captura!$F:$F,"II")</f>
        <v>0</v>
      </c>
      <c r="K17" s="110">
        <f t="shared" si="1"/>
        <v>0</v>
      </c>
      <c r="L17" s="110">
        <f>COUNTIFS(Captura!$CU:$CU,"&gt;=.6",Captura!$F:$F,"II")-M17</f>
        <v>0</v>
      </c>
      <c r="M17" s="110">
        <f>COUNTIFS(Captura!$CU:$CU,"&gt;=.8",Captura!$F:$F,"II")</f>
        <v>0</v>
      </c>
      <c r="N17" s="110">
        <f t="shared" ref="N17:N19" si="7">N16</f>
        <v>0</v>
      </c>
      <c r="O17" s="110">
        <f>COUNTIFS(Captura!$CU:$CU,"&lt;.4",Captura!$F:$F,"III")</f>
        <v>0</v>
      </c>
      <c r="P17" s="110">
        <f t="shared" si="2"/>
        <v>0</v>
      </c>
      <c r="Q17" s="110">
        <f>COUNTIFS(Captura!$CU:$CU,"&gt;=.6",Captura!$F:$F,"III")-R17</f>
        <v>0</v>
      </c>
      <c r="R17" s="110">
        <f>COUNTIFS(Captura!$CU:$CU,"&gt;=.8",Captura!$F:$F,"III")</f>
        <v>0</v>
      </c>
      <c r="S17" s="110">
        <f t="shared" ref="S17:S19" si="8">S16</f>
        <v>0</v>
      </c>
      <c r="T17" s="110">
        <f>COUNTIFS(Captura!$CU:$CU,"&lt;.4",Captura!$F:$F,"IV")</f>
        <v>0</v>
      </c>
      <c r="U17" s="110">
        <f t="shared" si="3"/>
        <v>0</v>
      </c>
      <c r="V17" s="110">
        <f>COUNTIFS(Captura!$CU:$CU,"&gt;=.6",Captura!$F:$F,"IV")-W17</f>
        <v>0</v>
      </c>
      <c r="W17" s="110">
        <f>COUNTIFS(Captura!$CU:$CU,"&gt;=.8",Captura!$F:$F,"IV")</f>
        <v>0</v>
      </c>
      <c r="X17" s="110">
        <f t="shared" ref="X17:X19" si="9">X16</f>
        <v>0</v>
      </c>
      <c r="Y17" s="110">
        <f>COUNTIFS(Captura!$CU:$CU,"&lt;.4",Captura!$F:$F,"V")</f>
        <v>0</v>
      </c>
      <c r="Z17" s="110">
        <f t="shared" si="4"/>
        <v>0</v>
      </c>
      <c r="AA17" s="110">
        <f>COUNTIFS(Captura!$CU:$CU,"&gt;=.6",Captura!$F:$F,"V")-AB17</f>
        <v>0</v>
      </c>
      <c r="AB17" s="110">
        <f>COUNTIFS(Captura!$CU:$CU,"&gt;=.8",Captura!$F:$F,"V")</f>
        <v>0</v>
      </c>
      <c r="AC17" s="100">
        <v>20</v>
      </c>
      <c r="AE17" s="121">
        <f>IF($Y$10="I",D17,IF($Y$10="II",I17,IF($Y$10="III",N17,IF($Y$10=IV,S17,IF($Y$10="V",X17,"")))))</f>
        <v>0</v>
      </c>
      <c r="AF17" s="121">
        <f>IF($Y$10="I",E17,IF($Y$10="II",J17,IF($Y$10="III",O17,IF($Y$10=IV,T17,IF($Y$10="V",Y17,"")))))</f>
        <v>0</v>
      </c>
      <c r="AG17" s="121">
        <f>IF($Y$10="I",F17,IF($Y$10="II",K17,IF($Y$10="III",P17,IF($Y$10=IV,U17,IF($Y$10="V",Z17,"")))))</f>
        <v>0</v>
      </c>
      <c r="AH17" s="121">
        <f>IF($Y$10="I",G17,IF($Y$10="II",L17,IF($Y$10="III",Q17,IF($Y$10=IV,V17,IF($Y$10="V",AA17,"")))))</f>
        <v>0</v>
      </c>
      <c r="AI17" s="121">
        <f>IF($Y$10="I",H17,IF($Y$10="II",M17,IF($Y$10="III",R17,IF($Y$10=IV,W17,IF($Y$10="V",AB17,"")))))</f>
        <v>0</v>
      </c>
    </row>
    <row r="18" spans="1:35" x14ac:dyDescent="0.15">
      <c r="A18" s="186" t="str">
        <f>IF(P10=1,"Ciencias I (Énfasis en Biología)",IF(P10=2,"Ciencias II (Énfasis en Física)",IF(P10=3,"Ciencias III (Énfasis en Química)")))</f>
        <v>Ciencias III (Énfasis en Química)</v>
      </c>
      <c r="B18" s="186"/>
      <c r="C18" s="186"/>
      <c r="D18" s="102">
        <f t="shared" si="5"/>
        <v>0</v>
      </c>
      <c r="E18" s="102">
        <f>COUNTIFS(Captura!$CV:$CV,"&lt;.4",Captura!$F:$F,"I")</f>
        <v>0</v>
      </c>
      <c r="F18" s="102">
        <f t="shared" si="0"/>
        <v>0</v>
      </c>
      <c r="G18" s="110">
        <f>COUNTIFS(Captura!$CV:$CV,"&gt;=.6",Captura!$F:$F,"I")-H18</f>
        <v>0</v>
      </c>
      <c r="H18" s="110">
        <f>COUNTIFS(Captura!$CV:$CV,"&gt;=.8",Captura!$F:$F,"I")</f>
        <v>0</v>
      </c>
      <c r="I18" s="110">
        <f t="shared" si="6"/>
        <v>0</v>
      </c>
      <c r="J18" s="110">
        <f>COUNTIFS(Captura!$CV:$CV,"&lt;.4",Captura!$F:$F,"II")</f>
        <v>0</v>
      </c>
      <c r="K18" s="110">
        <f t="shared" si="1"/>
        <v>0</v>
      </c>
      <c r="L18" s="110">
        <f>COUNTIFS(Captura!$CV:$CV,"&gt;=.6",Captura!$F:$F,"II")-M18</f>
        <v>0</v>
      </c>
      <c r="M18" s="110">
        <f>COUNTIFS(Captura!$CV:$CV,"&gt;=.8",Captura!$F:$F,"II")</f>
        <v>0</v>
      </c>
      <c r="N18" s="110">
        <f t="shared" si="7"/>
        <v>0</v>
      </c>
      <c r="O18" s="110">
        <f>COUNTIFS(Captura!$CV:$CV,"&lt;.4",Captura!$F:$F,"III")</f>
        <v>0</v>
      </c>
      <c r="P18" s="110">
        <f t="shared" si="2"/>
        <v>0</v>
      </c>
      <c r="Q18" s="110">
        <f>COUNTIFS(Captura!$CV:$CV,"&gt;=.6",Captura!$F:$F,"III")-R18</f>
        <v>0</v>
      </c>
      <c r="R18" s="110">
        <f>COUNTIFS(Captura!$CV:$CV,"&gt;=.8",Captura!$F:$F,"III")</f>
        <v>0</v>
      </c>
      <c r="S18" s="110">
        <f t="shared" si="8"/>
        <v>0</v>
      </c>
      <c r="T18" s="110">
        <f>COUNTIFS(Captura!$CV:$CV,"&lt;.4",Captura!$F:$F,"IV")</f>
        <v>0</v>
      </c>
      <c r="U18" s="110">
        <f t="shared" si="3"/>
        <v>0</v>
      </c>
      <c r="V18" s="110">
        <f>COUNTIFS(Captura!$CV:$CV,"&gt;=.6",Captura!$F:$F,"IV")-W18</f>
        <v>0</v>
      </c>
      <c r="W18" s="110">
        <f>COUNTIFS(Captura!$CV:$CV,"&gt;=.8",Captura!$F:$F,"IV")</f>
        <v>0</v>
      </c>
      <c r="X18" s="110">
        <f t="shared" si="9"/>
        <v>0</v>
      </c>
      <c r="Y18" s="110">
        <f>COUNTIFS(Captura!$CV:$CV,"&lt;.4",Captura!$F:$F,"V")</f>
        <v>0</v>
      </c>
      <c r="Z18" s="110">
        <f t="shared" si="4"/>
        <v>0</v>
      </c>
      <c r="AA18" s="110">
        <f>COUNTIFS(Captura!$CV:$CV,"&gt;=.6",Captura!$F:$F,"V")-AB18</f>
        <v>0</v>
      </c>
      <c r="AB18" s="110">
        <f>COUNTIFS(Captura!$CV:$CV,"&gt;=.8",Captura!$F:$F,"V")</f>
        <v>0</v>
      </c>
      <c r="AC18" s="100">
        <v>20</v>
      </c>
      <c r="AE18" s="121">
        <f>IF($Y$10="I",D18,IF($Y$10="II",I18,IF($Y$10="III",N18,IF($Y$10=IV,S18,IF($Y$10="V",X18,"")))))</f>
        <v>0</v>
      </c>
      <c r="AF18" s="121">
        <f>IF($Y$10="I",E18,IF($Y$10="II",J18,IF($Y$10="III",O18,IF($Y$10=IV,T18,IF($Y$10="V",Y18,"")))))</f>
        <v>0</v>
      </c>
      <c r="AG18" s="121">
        <f>IF($Y$10="I",F18,IF($Y$10="II",K18,IF($Y$10="III",P18,IF($Y$10=IV,U18,IF($Y$10="V",Z18,"")))))</f>
        <v>0</v>
      </c>
      <c r="AH18" s="121">
        <f>IF($Y$10="I",G18,IF($Y$10="II",L18,IF($Y$10="III",Q18,IF($Y$10=IV,V18,IF($Y$10="V",AA18,"")))))</f>
        <v>0</v>
      </c>
      <c r="AI18" s="121">
        <f>IF($Y$10="I",H18,IF($Y$10="II",M18,IF($Y$10="III",R18,IF($Y$10=IV,W18,IF($Y$10="V",AB18,"")))))</f>
        <v>0</v>
      </c>
    </row>
    <row r="19" spans="1:35" x14ac:dyDescent="0.15">
      <c r="A19" s="186" t="str">
        <f>IF(P10=1,"Geografía de México y del Mundo",IF(P10=2,"Historia I",IF(P10=3,"Historia II")))</f>
        <v>Historia II</v>
      </c>
      <c r="B19" s="186"/>
      <c r="C19" s="186"/>
      <c r="D19" s="102">
        <f t="shared" si="5"/>
        <v>0</v>
      </c>
      <c r="E19" s="102">
        <f>COUNTIFS(Captura!$CW:$CW,"&lt;.4",Captura!$F:$F,"I")</f>
        <v>0</v>
      </c>
      <c r="F19" s="102">
        <f t="shared" si="0"/>
        <v>0</v>
      </c>
      <c r="G19" s="110">
        <f>COUNTIFS(Captura!$CW:$CW,"&gt;=.6",Captura!$F:$F,"I")-H19</f>
        <v>0</v>
      </c>
      <c r="H19" s="110">
        <f>COUNTIFS(Captura!$CW:$CW,"&gt;=.8",Captura!$F:$F,"I")</f>
        <v>0</v>
      </c>
      <c r="I19" s="110">
        <f t="shared" si="6"/>
        <v>0</v>
      </c>
      <c r="J19" s="110">
        <f>COUNTIFS(Captura!$CW:$CW,"&lt;.4",Captura!$F:$F,"II")</f>
        <v>0</v>
      </c>
      <c r="K19" s="110">
        <f t="shared" si="1"/>
        <v>0</v>
      </c>
      <c r="L19" s="110">
        <f>COUNTIFS(Captura!$CW:$CW,"&gt;=.6",Captura!$F:$F,"II")-M19</f>
        <v>0</v>
      </c>
      <c r="M19" s="110">
        <f>COUNTIFS(Captura!$CW:$CW,"&gt;=.8",Captura!$F:$F,"II")</f>
        <v>0</v>
      </c>
      <c r="N19" s="110">
        <f t="shared" si="7"/>
        <v>0</v>
      </c>
      <c r="O19" s="110">
        <f>COUNTIFS(Captura!$CW:$CW,"&lt;.4",Captura!$F:$F,"III")</f>
        <v>0</v>
      </c>
      <c r="P19" s="110">
        <f t="shared" si="2"/>
        <v>0</v>
      </c>
      <c r="Q19" s="110">
        <f>COUNTIFS(Captura!$CW:$CW,"&gt;=.6",Captura!$F:$F,"III")-R19</f>
        <v>0</v>
      </c>
      <c r="R19" s="110">
        <f>COUNTIFS(Captura!$CW:$CW,"&gt;=.8",Captura!$F:$F,"III")</f>
        <v>0</v>
      </c>
      <c r="S19" s="110">
        <f t="shared" si="8"/>
        <v>0</v>
      </c>
      <c r="T19" s="110">
        <f>COUNTIFS(Captura!$CW:$CW,"&lt;.4",Captura!$F:$F,"IV")</f>
        <v>0</v>
      </c>
      <c r="U19" s="110">
        <f t="shared" si="3"/>
        <v>0</v>
      </c>
      <c r="V19" s="110">
        <f>COUNTIFS(Captura!$CW:$CW,"&gt;=.6",Captura!$F:$F,"IV")-W19</f>
        <v>0</v>
      </c>
      <c r="W19" s="110">
        <f>COUNTIFS(Captura!$CW:$CW,"&gt;=.8",Captura!$F:$F,"IV")</f>
        <v>0</v>
      </c>
      <c r="X19" s="110">
        <f t="shared" si="9"/>
        <v>0</v>
      </c>
      <c r="Y19" s="110">
        <f>COUNTIFS(Captura!$CW:$CW,"&lt;.4",Captura!$F:$F,"V")</f>
        <v>0</v>
      </c>
      <c r="Z19" s="110">
        <f t="shared" si="4"/>
        <v>0</v>
      </c>
      <c r="AA19" s="110">
        <f>COUNTIFS(Captura!$CW:$CW,"&gt;=.6",Captura!$F:$F,"V")-AB19</f>
        <v>0</v>
      </c>
      <c r="AB19" s="110">
        <f>COUNTIFS(Captura!$CW:$CW,"&gt;=.8",Captura!$F:$F,"V")</f>
        <v>0</v>
      </c>
      <c r="AC19" s="100">
        <f>IF(P10=1,15,IF(P10=2,10,IF(P10=3,10)))</f>
        <v>10</v>
      </c>
      <c r="AE19" s="121">
        <f>IF($Y$10="I",D19,IF($Y$10="II",I19,IF($Y$10="III",N19,IF($Y$10=IV,S19,IF($Y$10="V",X19,"")))))</f>
        <v>0</v>
      </c>
      <c r="AF19" s="121">
        <f>IF($Y$10="I",E19,IF($Y$10="II",J19,IF($Y$10="III",O19,IF($Y$10=IV,T19,IF($Y$10="V",Y19,"")))))</f>
        <v>0</v>
      </c>
      <c r="AG19" s="121">
        <f>IF($Y$10="I",F19,IF($Y$10="II",K19,IF($Y$10="III",P19,IF($Y$10=IV,U19,IF($Y$10="V",Z19,"")))))</f>
        <v>0</v>
      </c>
      <c r="AH19" s="121">
        <f>IF($Y$10="I",G19,IF($Y$10="II",L19,IF($Y$10="III",Q19,IF($Y$10=IV,V19,IF($Y$10="V",AA19,"")))))</f>
        <v>0</v>
      </c>
      <c r="AI19" s="121">
        <f>IF($Y$10="I",H19,IF($Y$10="II",M19,IF($Y$10="III",R19,IF($Y$10=IV,W19,IF($Y$10="V",AB19,"")))))</f>
        <v>0</v>
      </c>
    </row>
    <row r="20" spans="1:35" x14ac:dyDescent="0.15">
      <c r="A20" s="76"/>
      <c r="B20" s="76"/>
      <c r="C20" s="76"/>
      <c r="D20" s="76"/>
      <c r="E20" s="76"/>
      <c r="F20" s="76"/>
      <c r="G20" s="76"/>
      <c r="H20" s="76"/>
      <c r="I20" s="76"/>
      <c r="J20" s="76"/>
      <c r="K20" s="76"/>
      <c r="L20" s="76"/>
      <c r="M20" s="106"/>
      <c r="N20" s="107"/>
      <c r="O20" s="107"/>
      <c r="P20" s="107"/>
      <c r="Q20" s="107"/>
      <c r="R20" s="107"/>
      <c r="S20" s="107"/>
      <c r="T20" s="107"/>
      <c r="U20" s="107"/>
      <c r="V20" s="107"/>
      <c r="W20" s="107"/>
      <c r="X20" s="107"/>
      <c r="Y20" s="107"/>
      <c r="Z20" s="106"/>
      <c r="AA20" s="106"/>
      <c r="AB20" s="108"/>
      <c r="AC20" s="10"/>
    </row>
    <row r="21" spans="1:35" ht="237.75" customHeight="1" x14ac:dyDescent="0.15">
      <c r="A21" s="72"/>
      <c r="C21" s="2"/>
      <c r="D21" s="2"/>
      <c r="E21" s="2"/>
      <c r="F21" s="2"/>
      <c r="G21" s="2"/>
      <c r="H21" s="2"/>
      <c r="I21" s="2"/>
      <c r="J21" s="2"/>
      <c r="K21" s="2"/>
      <c r="L21" s="2"/>
      <c r="M21" s="2"/>
      <c r="N21" s="2"/>
      <c r="O21" s="10"/>
      <c r="P21" s="10"/>
      <c r="Q21" s="69"/>
      <c r="R21" s="69"/>
      <c r="S21" s="69"/>
      <c r="T21" s="69"/>
      <c r="U21" s="69"/>
      <c r="V21" s="69"/>
      <c r="W21" s="69"/>
      <c r="X21" s="69"/>
      <c r="Y21" s="69"/>
      <c r="Z21" s="2"/>
      <c r="AA21" s="2"/>
      <c r="AB21" s="71"/>
    </row>
    <row r="22" spans="1:35" x14ac:dyDescent="0.15">
      <c r="A22" s="84"/>
      <c r="B22" s="83"/>
      <c r="C22" s="2"/>
      <c r="D22" s="2"/>
      <c r="E22" s="2"/>
      <c r="F22" s="2"/>
      <c r="G22" s="2"/>
      <c r="H22" s="2"/>
      <c r="I22" s="2"/>
      <c r="J22" s="2"/>
      <c r="K22" s="2"/>
      <c r="L22" s="2"/>
      <c r="M22" s="2"/>
      <c r="N22" s="2"/>
      <c r="O22" s="2"/>
      <c r="P22" s="2"/>
      <c r="Q22" s="2"/>
      <c r="R22" s="2"/>
      <c r="S22" s="2"/>
      <c r="T22" s="2"/>
      <c r="U22" s="2"/>
      <c r="V22" s="2"/>
      <c r="W22" s="2"/>
      <c r="X22" s="2"/>
      <c r="Y22" s="2"/>
      <c r="Z22" s="2"/>
      <c r="AA22" s="2"/>
      <c r="AB22" s="71"/>
    </row>
    <row r="23" spans="1:35" s="1" customFormat="1" ht="10.5" customHeight="1" x14ac:dyDescent="0.15">
      <c r="A23" s="178" t="str">
        <f>Alumno!A30</f>
        <v>Español III</v>
      </c>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80"/>
    </row>
    <row r="24" spans="1:35" s="1" customFormat="1" ht="21" x14ac:dyDescent="0.15">
      <c r="A24" s="96" t="s">
        <v>6125</v>
      </c>
      <c r="B24" s="96" t="s">
        <v>6376</v>
      </c>
      <c r="C24" s="169" t="s">
        <v>6365</v>
      </c>
      <c r="D24" s="169"/>
      <c r="E24" s="169"/>
      <c r="F24" s="169"/>
      <c r="G24" s="169"/>
      <c r="H24" s="169"/>
      <c r="I24" s="169"/>
      <c r="J24" s="169"/>
      <c r="K24" s="169"/>
      <c r="L24" s="169"/>
      <c r="M24" s="169"/>
      <c r="N24" s="169"/>
      <c r="O24" s="169"/>
      <c r="P24" s="174" t="s">
        <v>6366</v>
      </c>
      <c r="Q24" s="195"/>
      <c r="R24" s="195"/>
      <c r="S24" s="195"/>
      <c r="T24" s="195"/>
      <c r="U24" s="195"/>
      <c r="V24" s="195"/>
      <c r="W24" s="195"/>
      <c r="X24" s="195"/>
      <c r="Y24" s="195"/>
      <c r="Z24" s="195"/>
      <c r="AA24" s="195"/>
      <c r="AB24" s="175"/>
      <c r="AC24" s="85" t="s">
        <v>6377</v>
      </c>
    </row>
    <row r="25" spans="1:35" s="1" customFormat="1" ht="24.95" customHeight="1" x14ac:dyDescent="0.15">
      <c r="A25" s="30">
        <v>1</v>
      </c>
      <c r="B25" s="93" t="e">
        <f>SUMIFS(Captura!CX:CX,Captura!F:F,$Y$10)/$AE$15</f>
        <v>#DIV/0!</v>
      </c>
      <c r="C25" s="181" t="str">
        <f>IF(VLOOKUP(CONCATENATE($P$10,$Y$10,$A25),Español!A:H,4,FALSE)=0,C24,VLOOKUP(CONCATENATE($P$10,$Y$10,$A25),Español!A:H,4,FALSE))</f>
        <v>Identifica la diferencia  entre los argumentos basados en datos y los basados en opiniones personales.</v>
      </c>
      <c r="D25" s="182"/>
      <c r="E25" s="182"/>
      <c r="F25" s="182"/>
      <c r="G25" s="182"/>
      <c r="H25" s="182"/>
      <c r="I25" s="182"/>
      <c r="J25" s="182"/>
      <c r="K25" s="182"/>
      <c r="L25" s="182"/>
      <c r="M25" s="182"/>
      <c r="N25" s="182"/>
      <c r="O25" s="183"/>
      <c r="P25" s="181" t="str">
        <f>IF(VLOOKUP(CONCATENATE($P$10,$Y$10,$A25),Español!A:H,5,FALSE)=0,P24,VLOOKUP(CONCATENATE($P$10,$Y$10,$A25),Español!A:H,5,FALSE))</f>
        <v>Características del panel de discusión. Diferencia entre la información basada en datos y hechos. Formas de validar los argumentos.</v>
      </c>
      <c r="Q25" s="182"/>
      <c r="R25" s="182"/>
      <c r="S25" s="182"/>
      <c r="T25" s="182"/>
      <c r="U25" s="182"/>
      <c r="V25" s="182"/>
      <c r="W25" s="182"/>
      <c r="X25" s="182"/>
      <c r="Y25" s="182"/>
      <c r="Z25" s="182"/>
      <c r="AA25" s="182"/>
      <c r="AB25" s="183"/>
      <c r="AC25" s="97" t="str">
        <f>VLOOKUP(CONCATENATE($P$10,$Y$10,$A25),Español!A:H,8,FALSE)</f>
        <v>Conceptual</v>
      </c>
    </row>
    <row r="26" spans="1:35" s="1" customFormat="1" ht="24.95" customHeight="1" x14ac:dyDescent="0.15">
      <c r="A26" s="30">
        <v>2</v>
      </c>
      <c r="B26" s="93" t="e">
        <f>SUMIFS(Captura!CY:CY,Captura!F:F,$Y$10)/$AE$15</f>
        <v>#DIV/0!</v>
      </c>
      <c r="C26" s="181" t="str">
        <f>IF(VLOOKUP(CONCATENATE($P$10,$Y$10,$A26),Español!A:H,4,FALSE)=0,C25,VLOOKUP(CONCATENATE($P$10,$Y$10,$A26),Español!A:H,4,FALSE))</f>
        <v>Identifica la diferencia  entre los argumentos basados en datos y los basados en opiniones personales.</v>
      </c>
      <c r="D26" s="182"/>
      <c r="E26" s="182"/>
      <c r="F26" s="182"/>
      <c r="G26" s="182"/>
      <c r="H26" s="182"/>
      <c r="I26" s="182"/>
      <c r="J26" s="182"/>
      <c r="K26" s="182"/>
      <c r="L26" s="182"/>
      <c r="M26" s="182"/>
      <c r="N26" s="182"/>
      <c r="O26" s="183"/>
      <c r="P26" s="181" t="str">
        <f>IF(VLOOKUP(CONCATENATE($P$10,$Y$10,$A26),Español!A:H,5,FALSE)=0,P25,VLOOKUP(CONCATENATE($P$10,$Y$10,$A26),Español!A:H,5,FALSE))</f>
        <v>Características del panel de discusión. Diferencia entre la información basada en datos y hechos. Formas de validar los argumentos.</v>
      </c>
      <c r="Q26" s="182"/>
      <c r="R26" s="182"/>
      <c r="S26" s="182"/>
      <c r="T26" s="182"/>
      <c r="U26" s="182"/>
      <c r="V26" s="182"/>
      <c r="W26" s="182"/>
      <c r="X26" s="182"/>
      <c r="Y26" s="182"/>
      <c r="Z26" s="182"/>
      <c r="AA26" s="182"/>
      <c r="AB26" s="183"/>
      <c r="AC26" s="97" t="str">
        <f>VLOOKUP(CONCATENATE($P$10,$Y$10,$A26),Español!A:H,8,FALSE)</f>
        <v>Conceptual</v>
      </c>
    </row>
    <row r="27" spans="1:35" s="1" customFormat="1" ht="24.95" customHeight="1" x14ac:dyDescent="0.15">
      <c r="A27" s="30">
        <v>3</v>
      </c>
      <c r="B27" s="93" t="e">
        <f>SUMIFS(Captura!CZ:CZ,Captura!F:F,$Y$10)/$AE$15</f>
        <v>#DIV/0!</v>
      </c>
      <c r="C27" s="181" t="str">
        <f>IF(VLOOKUP(CONCATENATE($P$10,$Y$10,$A27),Español!A:H,4,FALSE)=0,C26,VLOOKUP(CONCATENATE($P$10,$Y$10,$A27),Español!A:H,4,FALSE))</f>
        <v>Identifica la diferencia  entre los argumentos basados en datos y los basados en opiniones personales.</v>
      </c>
      <c r="D27" s="182"/>
      <c r="E27" s="182"/>
      <c r="F27" s="182"/>
      <c r="G27" s="182"/>
      <c r="H27" s="182"/>
      <c r="I27" s="182"/>
      <c r="J27" s="182"/>
      <c r="K27" s="182"/>
      <c r="L27" s="182"/>
      <c r="M27" s="182"/>
      <c r="N27" s="182"/>
      <c r="O27" s="183"/>
      <c r="P27" s="181" t="str">
        <f>IF(VLOOKUP(CONCATENATE($P$10,$Y$10,$A27),Español!A:H,5,FALSE)=0,P26,VLOOKUP(CONCATENATE($P$10,$Y$10,$A27),Español!A:H,5,FALSE))</f>
        <v>Características del panel de discusión. Diferencia entre la información basada en datos y hechos. Formas de validar los argumentos.</v>
      </c>
      <c r="Q27" s="182"/>
      <c r="R27" s="182"/>
      <c r="S27" s="182"/>
      <c r="T27" s="182"/>
      <c r="U27" s="182"/>
      <c r="V27" s="182"/>
      <c r="W27" s="182"/>
      <c r="X27" s="182"/>
      <c r="Y27" s="182"/>
      <c r="Z27" s="182"/>
      <c r="AA27" s="182"/>
      <c r="AB27" s="183"/>
      <c r="AC27" s="97" t="str">
        <f>VLOOKUP(CONCATENATE($P$10,$Y$10,$A27),Español!A:H,8,FALSE)</f>
        <v>Conceptual</v>
      </c>
    </row>
    <row r="28" spans="1:35" s="1" customFormat="1" ht="24.95" customHeight="1" x14ac:dyDescent="0.15">
      <c r="A28" s="30">
        <v>4</v>
      </c>
      <c r="B28" s="93" t="e">
        <f>SUMIFS(Captura!DA:DA,Captura!F:F,$Y$10)/$AE$15</f>
        <v>#DIV/0!</v>
      </c>
      <c r="C28" s="181" t="str">
        <f>IF(VLOOKUP(CONCATENATE($P$10,$Y$10,$A28),Español!A:H,4,FALSE)=0,C27,VLOOKUP(CONCATENATE($P$10,$Y$10,$A28),Español!A:H,4,FALSE))</f>
        <v>Expresa de manera clara sus argumentos y los sustenta en información  analizada, al debatir sobre un tema.</v>
      </c>
      <c r="D28" s="182"/>
      <c r="E28" s="182"/>
      <c r="F28" s="182"/>
      <c r="G28" s="182"/>
      <c r="H28" s="182"/>
      <c r="I28" s="182"/>
      <c r="J28" s="182"/>
      <c r="K28" s="182"/>
      <c r="L28" s="182"/>
      <c r="M28" s="182"/>
      <c r="N28" s="182"/>
      <c r="O28" s="183"/>
      <c r="P28" s="181" t="str">
        <f>IF(VLOOKUP(CONCATENATE($P$10,$Y$10,$A28),Español!A:H,5,FALSE)=0,P27,VLOOKUP(CONCATENATE($P$10,$Y$10,$A28),Español!A:H,5,FALSE))</f>
        <v>Fichas de trabajo con información sobre el tema  por desarrollar (datos, ejemplos, citas, entre otros).</v>
      </c>
      <c r="Q28" s="182"/>
      <c r="R28" s="182"/>
      <c r="S28" s="182"/>
      <c r="T28" s="182"/>
      <c r="U28" s="182"/>
      <c r="V28" s="182"/>
      <c r="W28" s="182"/>
      <c r="X28" s="182"/>
      <c r="Y28" s="182"/>
      <c r="Z28" s="182"/>
      <c r="AA28" s="182"/>
      <c r="AB28" s="183"/>
      <c r="AC28" s="97" t="str">
        <f>VLOOKUP(CONCATENATE($P$10,$Y$10,$A28),Español!A:H,8,FALSE)</f>
        <v>Conceptual</v>
      </c>
    </row>
    <row r="29" spans="1:35" s="1" customFormat="1" ht="24.95" customHeight="1" x14ac:dyDescent="0.15">
      <c r="A29" s="30">
        <v>5</v>
      </c>
      <c r="B29" s="93" t="e">
        <f>SUMIFS(Captura!DB:DB,Captura!F:F,$Y$10)/$AE$15</f>
        <v>#DIV/0!</v>
      </c>
      <c r="C29" s="181" t="str">
        <f>IF(VLOOKUP(CONCATENATE($P$10,$Y$10,$A29),Español!A:H,4,FALSE)=0,C28,VLOOKUP(CONCATENATE($P$10,$Y$10,$A29),Español!A:H,4,FALSE))</f>
        <v>Utiliza recurso discursivos para persuadir  y defender   su posición en un panel  de discusión.</v>
      </c>
      <c r="D29" s="182"/>
      <c r="E29" s="182"/>
      <c r="F29" s="182"/>
      <c r="G29" s="182"/>
      <c r="H29" s="182"/>
      <c r="I29" s="182"/>
      <c r="J29" s="182"/>
      <c r="K29" s="182"/>
      <c r="L29" s="182"/>
      <c r="M29" s="182"/>
      <c r="N29" s="182"/>
      <c r="O29" s="183"/>
      <c r="P29" s="181" t="str">
        <f>IF(VLOOKUP(CONCATENATE($P$10,$Y$10,$A29),Español!A:H,5,FALSE)=0,P28,VLOOKUP(CONCATENATE($P$10,$Y$10,$A29),Español!A:H,5,FALSE))</f>
        <v>Estrategías discursivas para persuadir a la audiencia. Empleo del lenguaje formal e informal en función de la situación comunicativa. Características y función  de los textos argumentatitovs.</v>
      </c>
      <c r="Q29" s="182"/>
      <c r="R29" s="182"/>
      <c r="S29" s="182"/>
      <c r="T29" s="182"/>
      <c r="U29" s="182"/>
      <c r="V29" s="182"/>
      <c r="W29" s="182"/>
      <c r="X29" s="182"/>
      <c r="Y29" s="182"/>
      <c r="Z29" s="182"/>
      <c r="AA29" s="182"/>
      <c r="AB29" s="183"/>
      <c r="AC29" s="97" t="str">
        <f>VLOOKUP(CONCATENATE($P$10,$Y$10,$A29),Español!A:H,8,FALSE)</f>
        <v>Conceptual</v>
      </c>
    </row>
    <row r="30" spans="1:35" s="1" customFormat="1" ht="24.95" customHeight="1" x14ac:dyDescent="0.15">
      <c r="A30" s="30">
        <v>6</v>
      </c>
      <c r="B30" s="93" t="e">
        <f>SUMIFS(Captura!DC:DC,Captura!F:F,$Y$10)/$AE$15</f>
        <v>#DIV/0!</v>
      </c>
      <c r="C30" s="181" t="str">
        <f>IF(VLOOKUP(CONCATENATE($P$10,$Y$10,$A30),Español!A:H,4,FALSE)=0,C29,VLOOKUP(CONCATENATE($P$10,$Y$10,$A30),Español!A:H,4,FALSE))</f>
        <v>Utiliza recurso discursivos para persuadir  y defender   su posición en un panel  de discusión.</v>
      </c>
      <c r="D30" s="182"/>
      <c r="E30" s="182"/>
      <c r="F30" s="182"/>
      <c r="G30" s="182"/>
      <c r="H30" s="182"/>
      <c r="I30" s="182"/>
      <c r="J30" s="182"/>
      <c r="K30" s="182"/>
      <c r="L30" s="182"/>
      <c r="M30" s="182"/>
      <c r="N30" s="182"/>
      <c r="O30" s="183"/>
      <c r="P30" s="181" t="str">
        <f>IF(VLOOKUP(CONCATENATE($P$10,$Y$10,$A30),Español!A:H,5,FALSE)=0,P29,VLOOKUP(CONCATENATE($P$10,$Y$10,$A30),Español!A:H,5,FALSE))</f>
        <v>Estrategías discursivas para persuadir a la audiencia. Empleo del lenguaje formal e informal en función de la situación comunicativa. Características y función  de los textos argumentatitovs.</v>
      </c>
      <c r="Q30" s="182"/>
      <c r="R30" s="182"/>
      <c r="S30" s="182"/>
      <c r="T30" s="182"/>
      <c r="U30" s="182"/>
      <c r="V30" s="182"/>
      <c r="W30" s="182"/>
      <c r="X30" s="182"/>
      <c r="Y30" s="182"/>
      <c r="Z30" s="182"/>
      <c r="AA30" s="182"/>
      <c r="AB30" s="183"/>
      <c r="AC30" s="97" t="str">
        <f>VLOOKUP(CONCATENATE($P$10,$Y$10,$A30),Español!A:H,8,FALSE)</f>
        <v>Conceptual</v>
      </c>
    </row>
    <row r="31" spans="1:35" s="1" customFormat="1" ht="24.95" customHeight="1" x14ac:dyDescent="0.15">
      <c r="A31" s="30">
        <v>7</v>
      </c>
      <c r="B31" s="93" t="e">
        <f>SUMIFS(Captura!DD:DD,Captura!F:F,$Y$10)/$AE$15</f>
        <v>#DIV/0!</v>
      </c>
      <c r="C31" s="181" t="str">
        <f>IF(VLOOKUP(CONCATENATE($P$10,$Y$10,$A31),Español!A:H,4,FALSE)=0,C30,VLOOKUP(CONCATENATE($P$10,$Y$10,$A31),Español!A:H,4,FALSE))</f>
        <v>Utiliza recurso discursivos para persuadir  y defender   su posición en un panel  de discusión.</v>
      </c>
      <c r="D31" s="182"/>
      <c r="E31" s="182"/>
      <c r="F31" s="182"/>
      <c r="G31" s="182"/>
      <c r="H31" s="182"/>
      <c r="I31" s="182"/>
      <c r="J31" s="182"/>
      <c r="K31" s="182"/>
      <c r="L31" s="182"/>
      <c r="M31" s="182"/>
      <c r="N31" s="182"/>
      <c r="O31" s="183"/>
      <c r="P31" s="181" t="str">
        <f>IF(VLOOKUP(CONCATENATE($P$10,$Y$10,$A31),Español!A:H,5,FALSE)=0,P30,VLOOKUP(CONCATENATE($P$10,$Y$10,$A31),Español!A:H,5,FALSE))</f>
        <v>Estrategías discursivas para persuadir a la audiencia. Empleo del lenguaje formal e informal en función de la situación comunicativa. Características y función  de los textos argumentatitovs.</v>
      </c>
      <c r="Q31" s="182"/>
      <c r="R31" s="182"/>
      <c r="S31" s="182"/>
      <c r="T31" s="182"/>
      <c r="U31" s="182"/>
      <c r="V31" s="182"/>
      <c r="W31" s="182"/>
      <c r="X31" s="182"/>
      <c r="Y31" s="182"/>
      <c r="Z31" s="182"/>
      <c r="AA31" s="182"/>
      <c r="AB31" s="183"/>
      <c r="AC31" s="97" t="str">
        <f>VLOOKUP(CONCATENATE($P$10,$Y$10,$A31),Español!A:H,8,FALSE)</f>
        <v>Conceptual</v>
      </c>
    </row>
    <row r="32" spans="1:35" s="1" customFormat="1" ht="24.95" customHeight="1" x14ac:dyDescent="0.15">
      <c r="A32" s="30">
        <v>8</v>
      </c>
      <c r="B32" s="93" t="e">
        <f>SUMIFS(Captura!DE:DE,Captura!F:F,$Y$10)/$AE$15</f>
        <v>#DIV/0!</v>
      </c>
      <c r="C32" s="181" t="str">
        <f>IF(VLOOKUP(CONCATENATE($P$10,$Y$10,$A32),Español!A:H,4,FALSE)=0,C31,VLOOKUP(CONCATENATE($P$10,$Y$10,$A32),Español!A:H,4,FALSE))</f>
        <v>Reconoce y respeta los diferentes puntos de vista  y opiniones sobre un tema  y los turnos de particfipación  al llevar a cabo un panel de discusión.</v>
      </c>
      <c r="D32" s="182"/>
      <c r="E32" s="182"/>
      <c r="F32" s="182"/>
      <c r="G32" s="182"/>
      <c r="H32" s="182"/>
      <c r="I32" s="182"/>
      <c r="J32" s="182"/>
      <c r="K32" s="182"/>
      <c r="L32" s="182"/>
      <c r="M32" s="182"/>
      <c r="N32" s="182"/>
      <c r="O32" s="183"/>
      <c r="P32" s="181" t="str">
        <f>IF(VLOOKUP(CONCATENATE($P$10,$Y$10,$A32),Español!A:H,5,FALSE)=0,P31,VLOOKUP(CONCATENATE($P$10,$Y$10,$A32),Español!A:H,5,FALSE))</f>
        <v>Características del panel de discusión.</v>
      </c>
      <c r="Q32" s="182"/>
      <c r="R32" s="182"/>
      <c r="S32" s="182"/>
      <c r="T32" s="182"/>
      <c r="U32" s="182"/>
      <c r="V32" s="182"/>
      <c r="W32" s="182"/>
      <c r="X32" s="182"/>
      <c r="Y32" s="182"/>
      <c r="Z32" s="182"/>
      <c r="AA32" s="182"/>
      <c r="AB32" s="183"/>
      <c r="AC32" s="97" t="str">
        <f>VLOOKUP(CONCATENATE($P$10,$Y$10,$A32),Español!A:H,8,FALSE)</f>
        <v>Aplicación de procedimientos</v>
      </c>
    </row>
    <row r="33" spans="1:31" s="1" customFormat="1" ht="24.95" customHeight="1" x14ac:dyDescent="0.15">
      <c r="A33" s="30">
        <v>9</v>
      </c>
      <c r="B33" s="93" t="e">
        <f>SUMIFS(Captura!DF:DF,Captura!F:F,$Y$10)/$AE$15</f>
        <v>#DIV/0!</v>
      </c>
      <c r="C33" s="181" t="str">
        <f>IF(VLOOKUP(CONCATENATE($P$10,$Y$10,$A33),Español!A:H,4,FALSE)=0,C32,VLOOKUP(CONCATENATE($P$10,$Y$10,$A33),Español!A:H,4,FALSE))</f>
        <v>Analiza e identifica la información  presentada en textos introductorios: prólogos, reseñas, dedicatorias y presentaciones.</v>
      </c>
      <c r="D33" s="182"/>
      <c r="E33" s="182"/>
      <c r="F33" s="182"/>
      <c r="G33" s="182"/>
      <c r="H33" s="182"/>
      <c r="I33" s="182"/>
      <c r="J33" s="182"/>
      <c r="K33" s="182"/>
      <c r="L33" s="182"/>
      <c r="M33" s="182"/>
      <c r="N33" s="182"/>
      <c r="O33" s="183"/>
      <c r="P33" s="181" t="str">
        <f>IF(VLOOKUP(CONCATENATE($P$10,$Y$10,$A33),Español!A:H,5,FALSE)=0,P32,VLOOKUP(CONCATENATE($P$10,$Y$10,$A33),Español!A:H,5,FALSE))</f>
        <v>Diferencias y semejanzas entre textos introductorios: introducción, presentación, dedicatoria, advertencia y prólogo.</v>
      </c>
      <c r="Q33" s="182"/>
      <c r="R33" s="182"/>
      <c r="S33" s="182"/>
      <c r="T33" s="182"/>
      <c r="U33" s="182"/>
      <c r="V33" s="182"/>
      <c r="W33" s="182"/>
      <c r="X33" s="182"/>
      <c r="Y33" s="182"/>
      <c r="Z33" s="182"/>
      <c r="AA33" s="182"/>
      <c r="AB33" s="183"/>
      <c r="AC33" s="97" t="str">
        <f>VLOOKUP(CONCATENATE($P$10,$Y$10,$A33),Español!A:H,8,FALSE)</f>
        <v>Aplicación de procedimientos</v>
      </c>
    </row>
    <row r="34" spans="1:31" s="1" customFormat="1" ht="24.95" customHeight="1" x14ac:dyDescent="0.15">
      <c r="A34" s="30">
        <v>10</v>
      </c>
      <c r="B34" s="93" t="e">
        <f>SUMIFS(Captura!DG:DG,Captura!F:F,$Y$10)/$AE$15</f>
        <v>#DIV/0!</v>
      </c>
      <c r="C34" s="181" t="str">
        <f>IF(VLOOKUP(CONCATENATE($P$10,$Y$10,$A34),Español!A:H,4,FALSE)=0,C33,VLOOKUP(CONCATENATE($P$10,$Y$10,$A34),Español!A:H,4,FALSE))</f>
        <v>Analiza e identifica la información  presentada en textos introductorios: prólogos, reseñas, dedicatorias y presentaciones.</v>
      </c>
      <c r="D34" s="182"/>
      <c r="E34" s="182"/>
      <c r="F34" s="182"/>
      <c r="G34" s="182"/>
      <c r="H34" s="182"/>
      <c r="I34" s="182"/>
      <c r="J34" s="182"/>
      <c r="K34" s="182"/>
      <c r="L34" s="182"/>
      <c r="M34" s="182"/>
      <c r="N34" s="182"/>
      <c r="O34" s="183"/>
      <c r="P34" s="181" t="str">
        <f>IF(VLOOKUP(CONCATENATE($P$10,$Y$10,$A34),Español!A:H,5,FALSE)=0,P33,VLOOKUP(CONCATENATE($P$10,$Y$10,$A34),Español!A:H,5,FALSE))</f>
        <v>Diferencias y semejanzas entre textos introductorios: introducción, presentación, dedicatoria, advertencia y prólogo.</v>
      </c>
      <c r="Q34" s="182"/>
      <c r="R34" s="182"/>
      <c r="S34" s="182"/>
      <c r="T34" s="182"/>
      <c r="U34" s="182"/>
      <c r="V34" s="182"/>
      <c r="W34" s="182"/>
      <c r="X34" s="182"/>
      <c r="Y34" s="182"/>
      <c r="Z34" s="182"/>
      <c r="AA34" s="182"/>
      <c r="AB34" s="183"/>
      <c r="AC34" s="97" t="str">
        <f>VLOOKUP(CONCATENATE($P$10,$Y$10,$A34),Español!A:H,8,FALSE)</f>
        <v>Aplicación de procedimientos</v>
      </c>
    </row>
    <row r="35" spans="1:31" s="1" customFormat="1" ht="24.95" customHeight="1" x14ac:dyDescent="0.15">
      <c r="A35" s="30">
        <v>11</v>
      </c>
      <c r="B35" s="93" t="e">
        <f>SUMIFS(Captura!DH:DH,Captura!F:F,$Y$10)/$AE$15</f>
        <v>#DIV/0!</v>
      </c>
      <c r="C35" s="181" t="str">
        <f>IF(VLOOKUP(CONCATENATE($P$10,$Y$10,$A35),Español!A:H,4,FALSE)=0,C34,VLOOKUP(CONCATENATE($P$10,$Y$10,$A35),Español!A:H,4,FALSE))</f>
        <v>Analiza e identifica la información  presentada en textos introductorios: prólogos, reseñas, dedicatorias y presentaciones.</v>
      </c>
      <c r="D35" s="182"/>
      <c r="E35" s="182"/>
      <c r="F35" s="182"/>
      <c r="G35" s="182"/>
      <c r="H35" s="182"/>
      <c r="I35" s="182"/>
      <c r="J35" s="182"/>
      <c r="K35" s="182"/>
      <c r="L35" s="182"/>
      <c r="M35" s="182"/>
      <c r="N35" s="182"/>
      <c r="O35" s="183"/>
      <c r="P35" s="181" t="str">
        <f>IF(VLOOKUP(CONCATENATE($P$10,$Y$10,$A35),Español!A:H,5,FALSE)=0,P34,VLOOKUP(CONCATENATE($P$10,$Y$10,$A35),Español!A:H,5,FALSE))</f>
        <v>Diferencias y semejanzas entre textos introductorios: introducción, presentación, dedicatoria, advertencia y prólogo.</v>
      </c>
      <c r="Q35" s="182"/>
      <c r="R35" s="182"/>
      <c r="S35" s="182"/>
      <c r="T35" s="182"/>
      <c r="U35" s="182"/>
      <c r="V35" s="182"/>
      <c r="W35" s="182"/>
      <c r="X35" s="182"/>
      <c r="Y35" s="182"/>
      <c r="Z35" s="182"/>
      <c r="AA35" s="182"/>
      <c r="AB35" s="183"/>
      <c r="AC35" s="97" t="str">
        <f>VLOOKUP(CONCATENATE($P$10,$Y$10,$A35),Español!A:H,8,FALSE)</f>
        <v>Aplicación de procedimientos</v>
      </c>
    </row>
    <row r="36" spans="1:31" s="1" customFormat="1" ht="24.95" customHeight="1" x14ac:dyDescent="0.15">
      <c r="A36" s="30">
        <v>12</v>
      </c>
      <c r="B36" s="93" t="e">
        <f>SUMIFS(Captura!DI:DI,Captura!F:F,$Y$10)/$AE$15</f>
        <v>#DIV/0!</v>
      </c>
      <c r="C36" s="181" t="str">
        <f>IF(VLOOKUP(CONCATENATE($P$10,$Y$10,$A36),Español!A:H,4,FALSE)=0,C35,VLOOKUP(CONCATENATE($P$10,$Y$10,$A36),Español!A:H,4,FALSE))</f>
        <v>Analiza e identifica la información  presentada en textos introductorios: prólogos, reseñas, dedicatorias y presentaciones.</v>
      </c>
      <c r="D36" s="182"/>
      <c r="E36" s="182"/>
      <c r="F36" s="182"/>
      <c r="G36" s="182"/>
      <c r="H36" s="182"/>
      <c r="I36" s="182"/>
      <c r="J36" s="182"/>
      <c r="K36" s="182"/>
      <c r="L36" s="182"/>
      <c r="M36" s="182"/>
      <c r="N36" s="182"/>
      <c r="O36" s="183"/>
      <c r="P36" s="181" t="str">
        <f>IF(VLOOKUP(CONCATENATE($P$10,$Y$10,$A36),Español!A:H,5,FALSE)=0,P35,VLOOKUP(CONCATENATE($P$10,$Y$10,$A36),Español!A:H,5,FALSE))</f>
        <v>Diferencias y semejanzas entre textos introductorios: introducción, presentación, dedicatoria, advertencia y prólogo.</v>
      </c>
      <c r="Q36" s="182"/>
      <c r="R36" s="182"/>
      <c r="S36" s="182"/>
      <c r="T36" s="182"/>
      <c r="U36" s="182"/>
      <c r="V36" s="182"/>
      <c r="W36" s="182"/>
      <c r="X36" s="182"/>
      <c r="Y36" s="182"/>
      <c r="Z36" s="182"/>
      <c r="AA36" s="182"/>
      <c r="AB36" s="183"/>
      <c r="AC36" s="97" t="str">
        <f>VLOOKUP(CONCATENATE($P$10,$Y$10,$A36),Español!A:H,8,FALSE)</f>
        <v>Aplicación de procedimientos</v>
      </c>
    </row>
    <row r="37" spans="1:31" s="1" customFormat="1" ht="24.95" customHeight="1" x14ac:dyDescent="0.15">
      <c r="A37" s="30">
        <v>13</v>
      </c>
      <c r="B37" s="93" t="e">
        <f>SUMIFS(Captura!DJ:DJ,Captura!F:F,$Y$10)/$AE$15</f>
        <v>#DIV/0!</v>
      </c>
      <c r="C37" s="181" t="str">
        <f>IF(VLOOKUP(CONCATENATE($P$10,$Y$10,$A37),Español!A:H,4,FALSE)=0,C36,VLOOKUP(CONCATENATE($P$10,$Y$10,$A37),Español!A:H,4,FALSE))</f>
        <v>Analiza e identifica la información  presentada en textos introductorios: prólogos, reseñas, dedicatorias y presentaciones.</v>
      </c>
      <c r="D37" s="182"/>
      <c r="E37" s="182"/>
      <c r="F37" s="182"/>
      <c r="G37" s="182"/>
      <c r="H37" s="182"/>
      <c r="I37" s="182"/>
      <c r="J37" s="182"/>
      <c r="K37" s="182"/>
      <c r="L37" s="182"/>
      <c r="M37" s="182"/>
      <c r="N37" s="182"/>
      <c r="O37" s="183"/>
      <c r="P37" s="181" t="str">
        <f>IF(VLOOKUP(CONCATENATE($P$10,$Y$10,$A37),Español!A:H,5,FALSE)=0,P36,VLOOKUP(CONCATENATE($P$10,$Y$10,$A37),Español!A:H,5,FALSE))</f>
        <v>Diferencias y semejanzas entre textos introductorios: introducción, presentación, dedicatoria, advertencia y prólogo.</v>
      </c>
      <c r="Q37" s="182"/>
      <c r="R37" s="182"/>
      <c r="S37" s="182"/>
      <c r="T37" s="182"/>
      <c r="U37" s="182"/>
      <c r="V37" s="182"/>
      <c r="W37" s="182"/>
      <c r="X37" s="182"/>
      <c r="Y37" s="182"/>
      <c r="Z37" s="182"/>
      <c r="AA37" s="182"/>
      <c r="AB37" s="183"/>
      <c r="AC37" s="97" t="str">
        <f>VLOOKUP(CONCATENATE($P$10,$Y$10,$A37),Español!A:H,8,FALSE)</f>
        <v>Aplicación de procedimientos</v>
      </c>
    </row>
    <row r="38" spans="1:31" s="1" customFormat="1" ht="24.95" customHeight="1" x14ac:dyDescent="0.15">
      <c r="A38" s="30">
        <v>14</v>
      </c>
      <c r="B38" s="93" t="e">
        <f>SUMIFS(Captura!DK:DK,Captura!F:F,$Y$10)/$AE$15</f>
        <v>#DIV/0!</v>
      </c>
      <c r="C38" s="181" t="str">
        <f>IF(VLOOKUP(CONCATENATE($P$10,$Y$10,$A38),Español!A:H,4,FALSE)=0,C37,VLOOKUP(CONCATENATE($P$10,$Y$10,$A38),Español!A:H,4,FALSE))</f>
        <v>Utiliza la información de un prólogo para anticipar el contenido, los propósitos y características de una obra literaria o una antología.</v>
      </c>
      <c r="D38" s="182"/>
      <c r="E38" s="182"/>
      <c r="F38" s="182"/>
      <c r="G38" s="182"/>
      <c r="H38" s="182"/>
      <c r="I38" s="182"/>
      <c r="J38" s="182"/>
      <c r="K38" s="182"/>
      <c r="L38" s="182"/>
      <c r="M38" s="182"/>
      <c r="N38" s="182"/>
      <c r="O38" s="183"/>
      <c r="P38" s="181" t="str">
        <f>IF(VLOOKUP(CONCATENATE($P$10,$Y$10,$A38),Español!A:H,5,FALSE)=0,P37,VLOOKUP(CONCATENATE($P$10,$Y$10,$A38),Español!A:H,5,FALSE))</f>
        <v>Características  y función de las  obras literarias.  Características y función de las antologías literarias. Ortografia y puntuación convencionales.</v>
      </c>
      <c r="Q38" s="182"/>
      <c r="R38" s="182"/>
      <c r="S38" s="182"/>
      <c r="T38" s="182"/>
      <c r="U38" s="182"/>
      <c r="V38" s="182"/>
      <c r="W38" s="182"/>
      <c r="X38" s="182"/>
      <c r="Y38" s="182"/>
      <c r="Z38" s="182"/>
      <c r="AA38" s="182"/>
      <c r="AB38" s="183"/>
      <c r="AC38" s="97" t="str">
        <f>VLOOKUP(CONCATENATE($P$10,$Y$10,$A38),Español!A:H,8,FALSE)</f>
        <v>Conceptual</v>
      </c>
    </row>
    <row r="39" spans="1:31" s="1" customFormat="1" ht="24.95" customHeight="1" x14ac:dyDescent="0.15">
      <c r="A39" s="30">
        <v>15</v>
      </c>
      <c r="B39" s="93" t="e">
        <f>SUMIFS(Captura!DL:DL,Captura!F:F,$Y$10)/$AE$15</f>
        <v>#DIV/0!</v>
      </c>
      <c r="C39" s="181" t="str">
        <f>IF(VLOOKUP(CONCATENATE($P$10,$Y$10,$A39),Español!A:H,4,FALSE)=0,C38,VLOOKUP(CONCATENATE($P$10,$Y$10,$A39),Español!A:H,4,FALSE))</f>
        <v>Utiliza la información de un prólogo para anticipar el contenido, los propósitos y características de una obra literaria o una antología.</v>
      </c>
      <c r="D39" s="182"/>
      <c r="E39" s="182"/>
      <c r="F39" s="182"/>
      <c r="G39" s="182"/>
      <c r="H39" s="182"/>
      <c r="I39" s="182"/>
      <c r="J39" s="182"/>
      <c r="K39" s="182"/>
      <c r="L39" s="182"/>
      <c r="M39" s="182"/>
      <c r="N39" s="182"/>
      <c r="O39" s="183"/>
      <c r="P39" s="181" t="str">
        <f>IF(VLOOKUP(CONCATENATE($P$10,$Y$10,$A39),Español!A:H,5,FALSE)=0,P38,VLOOKUP(CONCATENATE($P$10,$Y$10,$A39),Español!A:H,5,FALSE))</f>
        <v>Características  y función de las  obras literarias.  Características y función de las antologías literarias. Ortografia y puntuación convencionales.</v>
      </c>
      <c r="Q39" s="182"/>
      <c r="R39" s="182"/>
      <c r="S39" s="182"/>
      <c r="T39" s="182"/>
      <c r="U39" s="182"/>
      <c r="V39" s="182"/>
      <c r="W39" s="182"/>
      <c r="X39" s="182"/>
      <c r="Y39" s="182"/>
      <c r="Z39" s="182"/>
      <c r="AA39" s="182"/>
      <c r="AB39" s="183"/>
      <c r="AC39" s="97" t="str">
        <f>VLOOKUP(CONCATENATE($P$10,$Y$10,$A39),Español!A:H,8,FALSE)</f>
        <v>Conceptual</v>
      </c>
    </row>
    <row r="40" spans="1:31" s="1" customFormat="1" ht="24.95" customHeight="1" x14ac:dyDescent="0.15">
      <c r="A40" s="30">
        <v>16</v>
      </c>
      <c r="B40" s="93" t="e">
        <f>SUMIFS(Captura!DM:DM,Captura!F:F,$Y$10)/$AE$15</f>
        <v>#DIV/0!</v>
      </c>
      <c r="C40" s="181" t="str">
        <f>IF(VLOOKUP(CONCATENATE($P$10,$Y$10,$A40),Español!A:H,4,FALSE)=0,C39,VLOOKUP(CONCATENATE($P$10,$Y$10,$A40),Español!A:H,4,FALSE))</f>
        <v>Utiliza la información de un prólogo para anticipar el contenido, los propósitos y características de una obra literaria o una antología.</v>
      </c>
      <c r="D40" s="182"/>
      <c r="E40" s="182"/>
      <c r="F40" s="182"/>
      <c r="G40" s="182"/>
      <c r="H40" s="182"/>
      <c r="I40" s="182"/>
      <c r="J40" s="182"/>
      <c r="K40" s="182"/>
      <c r="L40" s="182"/>
      <c r="M40" s="182"/>
      <c r="N40" s="182"/>
      <c r="O40" s="183"/>
      <c r="P40" s="181" t="str">
        <f>IF(VLOOKUP(CONCATENATE($P$10,$Y$10,$A40),Español!A:H,5,FALSE)=0,P39,VLOOKUP(CONCATENATE($P$10,$Y$10,$A40),Español!A:H,5,FALSE))</f>
        <v>Características  y función de las  obras literarias.  Características y función de las antologías literarias. Ortografia y puntuación convencionales.</v>
      </c>
      <c r="Q40" s="182"/>
      <c r="R40" s="182"/>
      <c r="S40" s="182"/>
      <c r="T40" s="182"/>
      <c r="U40" s="182"/>
      <c r="V40" s="182"/>
      <c r="W40" s="182"/>
      <c r="X40" s="182"/>
      <c r="Y40" s="182"/>
      <c r="Z40" s="182"/>
      <c r="AA40" s="182"/>
      <c r="AB40" s="183"/>
      <c r="AC40" s="97" t="str">
        <f>VLOOKUP(CONCATENATE($P$10,$Y$10,$A40),Español!A:H,8,FALSE)</f>
        <v>Conceptual</v>
      </c>
    </row>
    <row r="41" spans="1:31" s="1" customFormat="1" ht="24.95" customHeight="1" x14ac:dyDescent="0.15">
      <c r="A41" s="30">
        <v>17</v>
      </c>
      <c r="B41" s="93" t="e">
        <f>SUMIFS(Captura!DN:DN,Captura!F:F,$Y$10)/$AE$15</f>
        <v>#DIV/0!</v>
      </c>
      <c r="C41" s="181" t="str">
        <f>IF(VLOOKUP(CONCATENATE($P$10,$Y$10,$A41),Español!A:H,4,FALSE)=0,C40,VLOOKUP(CONCATENATE($P$10,$Y$10,$A41),Español!A:H,4,FALSE))</f>
        <v>Emplea información contenida en documentos oficiales para el llenado de formularios.</v>
      </c>
      <c r="D41" s="182"/>
      <c r="E41" s="182"/>
      <c r="F41" s="182"/>
      <c r="G41" s="182"/>
      <c r="H41" s="182"/>
      <c r="I41" s="182"/>
      <c r="J41" s="182"/>
      <c r="K41" s="182"/>
      <c r="L41" s="182"/>
      <c r="M41" s="182"/>
      <c r="N41" s="182"/>
      <c r="O41" s="183"/>
      <c r="P41" s="181" t="str">
        <f>IF(VLOOKUP(CONCATENATE($P$10,$Y$10,$A41),Español!A:H,5,FALSE)=0,P40,VLOOKUP(CONCATENATE($P$10,$Y$10,$A41),Español!A:H,5,FALSE))</f>
        <v>Características y función  de los formatos y formularios electrónicos.</v>
      </c>
      <c r="Q41" s="182"/>
      <c r="R41" s="182"/>
      <c r="S41" s="182"/>
      <c r="T41" s="182"/>
      <c r="U41" s="182"/>
      <c r="V41" s="182"/>
      <c r="W41" s="182"/>
      <c r="X41" s="182"/>
      <c r="Y41" s="182"/>
      <c r="Z41" s="182"/>
      <c r="AA41" s="182"/>
      <c r="AB41" s="183"/>
      <c r="AC41" s="97" t="str">
        <f>VLOOKUP(CONCATENATE($P$10,$Y$10,$A41),Español!A:H,8,FALSE)</f>
        <v>Conceptual</v>
      </c>
    </row>
    <row r="42" spans="1:31" s="1" customFormat="1" ht="24.95" customHeight="1" x14ac:dyDescent="0.15">
      <c r="A42" s="30">
        <v>18</v>
      </c>
      <c r="B42" s="93" t="e">
        <f>SUMIFS(Captura!DO:DO,Captura!F:F,$Y$10)/$AE$15</f>
        <v>#DIV/0!</v>
      </c>
      <c r="C42" s="181" t="str">
        <f>IF(VLOOKUP(CONCATENATE($P$10,$Y$10,$A42),Español!A:H,4,FALSE)=0,C41,VLOOKUP(CONCATENATE($P$10,$Y$10,$A42),Español!A:H,4,FALSE))</f>
        <v>Emplea información contenida en documentos oficiales para el llenado de formularios.</v>
      </c>
      <c r="D42" s="182"/>
      <c r="E42" s="182"/>
      <c r="F42" s="182"/>
      <c r="G42" s="182"/>
      <c r="H42" s="182"/>
      <c r="I42" s="182"/>
      <c r="J42" s="182"/>
      <c r="K42" s="182"/>
      <c r="L42" s="182"/>
      <c r="M42" s="182"/>
      <c r="N42" s="182"/>
      <c r="O42" s="183"/>
      <c r="P42" s="181" t="str">
        <f>IF(VLOOKUP(CONCATENATE($P$10,$Y$10,$A42),Español!A:H,5,FALSE)=0,P41,VLOOKUP(CONCATENATE($P$10,$Y$10,$A42),Español!A:H,5,FALSE))</f>
        <v>Características y función  de los formatos y formularios electrónicos.</v>
      </c>
      <c r="Q42" s="182"/>
      <c r="R42" s="182"/>
      <c r="S42" s="182"/>
      <c r="T42" s="182"/>
      <c r="U42" s="182"/>
      <c r="V42" s="182"/>
      <c r="W42" s="182"/>
      <c r="X42" s="182"/>
      <c r="Y42" s="182"/>
      <c r="Z42" s="182"/>
      <c r="AA42" s="182"/>
      <c r="AB42" s="183"/>
      <c r="AC42" s="97" t="str">
        <f>VLOOKUP(CONCATENATE($P$10,$Y$10,$A42),Español!A:H,8,FALSE)</f>
        <v>Conceptual</v>
      </c>
    </row>
    <row r="43" spans="1:31" s="1" customFormat="1" ht="24.95" customHeight="1" x14ac:dyDescent="0.15">
      <c r="A43" s="30">
        <v>19</v>
      </c>
      <c r="B43" s="93" t="e">
        <f>SUMIFS(Captura!DP:DP,Captura!F:F,$Y$10)/$AE$15</f>
        <v>#DIV/0!</v>
      </c>
      <c r="C43" s="181" t="str">
        <f>IF(VLOOKUP(CONCATENATE($P$10,$Y$10,$A43),Español!A:H,4,FALSE)=0,C42,VLOOKUP(CONCATENATE($P$10,$Y$10,$A43),Español!A:H,4,FALSE))</f>
        <v>Emplea información contenida en documentos oficiales para el llenado de formularios.</v>
      </c>
      <c r="D43" s="182"/>
      <c r="E43" s="182"/>
      <c r="F43" s="182"/>
      <c r="G43" s="182"/>
      <c r="H43" s="182"/>
      <c r="I43" s="182"/>
      <c r="J43" s="182"/>
      <c r="K43" s="182"/>
      <c r="L43" s="182"/>
      <c r="M43" s="182"/>
      <c r="N43" s="182"/>
      <c r="O43" s="183"/>
      <c r="P43" s="181" t="str">
        <f>IF(VLOOKUP(CONCATENATE($P$10,$Y$10,$A43),Español!A:H,5,FALSE)=0,P42,VLOOKUP(CONCATENATE($P$10,$Y$10,$A43),Español!A:H,5,FALSE))</f>
        <v>Características y función  de los formatos y formularios electrónicos.</v>
      </c>
      <c r="Q43" s="182"/>
      <c r="R43" s="182"/>
      <c r="S43" s="182"/>
      <c r="T43" s="182"/>
      <c r="U43" s="182"/>
      <c r="V43" s="182"/>
      <c r="W43" s="182"/>
      <c r="X43" s="182"/>
      <c r="Y43" s="182"/>
      <c r="Z43" s="182"/>
      <c r="AA43" s="182"/>
      <c r="AB43" s="183"/>
      <c r="AC43" s="97" t="str">
        <f>VLOOKUP(CONCATENATE($P$10,$Y$10,$A43),Español!A:H,8,FALSE)</f>
        <v>Aplicación de procedimientos</v>
      </c>
    </row>
    <row r="44" spans="1:31" s="1" customFormat="1" ht="24.95" customHeight="1" x14ac:dyDescent="0.15">
      <c r="A44" s="30">
        <v>20</v>
      </c>
      <c r="B44" s="93" t="e">
        <f>SUMIFS(Captura!DQ:DQ,Captura!F:F,$Y$10)/$AE$15</f>
        <v>#DIV/0!</v>
      </c>
      <c r="C44" s="181" t="str">
        <f>IF(VLOOKUP(CONCATENATE($P$10,$Y$10,$A44),Español!A:H,4,FALSE)=0,C43,VLOOKUP(CONCATENATE($P$10,$Y$10,$A44),Español!A:H,4,FALSE))</f>
        <v>Emplea información contenida en documentos oficiales para el llenado de formularios.</v>
      </c>
      <c r="D44" s="182"/>
      <c r="E44" s="182"/>
      <c r="F44" s="182"/>
      <c r="G44" s="182"/>
      <c r="H44" s="182"/>
      <c r="I44" s="182"/>
      <c r="J44" s="182"/>
      <c r="K44" s="182"/>
      <c r="L44" s="182"/>
      <c r="M44" s="182"/>
      <c r="N44" s="182"/>
      <c r="O44" s="183"/>
      <c r="P44" s="181" t="str">
        <f>IF(VLOOKUP(CONCATENATE($P$10,$Y$10,$A44),Español!A:H,5,FALSE)=0,P43,VLOOKUP(CONCATENATE($P$10,$Y$10,$A44),Español!A:H,5,FALSE))</f>
        <v>Características y función  de los formatos y formularios electrónicos.</v>
      </c>
      <c r="Q44" s="182"/>
      <c r="R44" s="182"/>
      <c r="S44" s="182"/>
      <c r="T44" s="182"/>
      <c r="U44" s="182"/>
      <c r="V44" s="182"/>
      <c r="W44" s="182"/>
      <c r="X44" s="182"/>
      <c r="Y44" s="182"/>
      <c r="Z44" s="182"/>
      <c r="AA44" s="182"/>
      <c r="AB44" s="183"/>
      <c r="AC44" s="97" t="str">
        <f>VLOOKUP(CONCATENATE($P$10,$Y$10,$A44),Español!A:H,8,FALSE)</f>
        <v>Aplicación de procedimientos</v>
      </c>
    </row>
    <row r="45" spans="1:31" x14ac:dyDescent="0.15">
      <c r="C45" s="2"/>
      <c r="D45" s="2"/>
      <c r="E45" s="2"/>
      <c r="F45" s="2"/>
      <c r="G45" s="2"/>
      <c r="H45" s="2"/>
      <c r="I45" s="2"/>
      <c r="J45" s="2"/>
      <c r="K45" s="2"/>
      <c r="L45" s="2"/>
      <c r="M45" s="2"/>
      <c r="N45" s="2"/>
      <c r="O45" s="2"/>
      <c r="P45" s="2"/>
      <c r="Q45" s="2"/>
      <c r="R45" s="2"/>
      <c r="S45" s="2"/>
      <c r="T45" s="2"/>
      <c r="U45" s="2"/>
      <c r="V45" s="2"/>
      <c r="W45" s="2"/>
      <c r="X45" s="2"/>
      <c r="Y45" s="2"/>
      <c r="Z45" s="2"/>
      <c r="AA45" s="2"/>
      <c r="AE45" s="1"/>
    </row>
    <row r="46" spans="1:31" x14ac:dyDescent="0.15">
      <c r="A46" s="189" t="str">
        <f>IF(P10=1,"Segunda Lengua: Inglés I",IF(P10=2,"Segunda Lengua: Inglés II",IF(P10=3,"Segunda Lengua: Inglés III")))</f>
        <v>Segunda Lengua: Inglés III</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E46" s="1"/>
    </row>
    <row r="47" spans="1:31" ht="21" x14ac:dyDescent="0.15">
      <c r="A47" s="95" t="s">
        <v>6125</v>
      </c>
      <c r="B47" s="96" t="s">
        <v>6376</v>
      </c>
      <c r="C47" s="187" t="s">
        <v>6365</v>
      </c>
      <c r="D47" s="187"/>
      <c r="E47" s="187"/>
      <c r="F47" s="187"/>
      <c r="G47" s="187"/>
      <c r="H47" s="187"/>
      <c r="I47" s="187"/>
      <c r="J47" s="187"/>
      <c r="K47" s="187"/>
      <c r="L47" s="187"/>
      <c r="M47" s="187"/>
      <c r="N47" s="187"/>
      <c r="O47" s="187"/>
      <c r="P47" s="196" t="s">
        <v>6366</v>
      </c>
      <c r="Q47" s="197"/>
      <c r="R47" s="197"/>
      <c r="S47" s="197"/>
      <c r="T47" s="197"/>
      <c r="U47" s="197"/>
      <c r="V47" s="197"/>
      <c r="W47" s="197"/>
      <c r="X47" s="197"/>
      <c r="Y47" s="197"/>
      <c r="Z47" s="197"/>
      <c r="AA47" s="197"/>
      <c r="AB47" s="198"/>
      <c r="AC47" s="85" t="s">
        <v>6377</v>
      </c>
      <c r="AE47" s="1"/>
    </row>
    <row r="48" spans="1:31" ht="24.95" customHeight="1" x14ac:dyDescent="0.15">
      <c r="A48" s="30">
        <v>1</v>
      </c>
      <c r="B48" s="93" t="e">
        <f>SUMIFS(Captura!DR:DR,Captura!F:F,$Y$10)/$AE$16</f>
        <v>#DIV/0!</v>
      </c>
      <c r="C48" s="181" t="str">
        <f>IF(VLOOKUP(CONCATENATE($P$10,$Y$10,$A48),Inglés!A:H,4,FALSE)=0,C47,VLOOKUP(CONCATENATE($P$10,$Y$10,$A48),Inglés!A:H,4,FALSE))</f>
        <v>Lesson 40:Identificar que "have to/has to" se usan para indicar obligación.</v>
      </c>
      <c r="D48" s="182"/>
      <c r="E48" s="182"/>
      <c r="F48" s="182"/>
      <c r="G48" s="182"/>
      <c r="H48" s="182"/>
      <c r="I48" s="182"/>
      <c r="J48" s="182"/>
      <c r="K48" s="182"/>
      <c r="L48" s="182"/>
      <c r="M48" s="182"/>
      <c r="N48" s="182"/>
      <c r="O48" s="183"/>
      <c r="P48" s="181" t="str">
        <f>IF(VLOOKUP(CONCATENATE($P$10,$Y$10,$A48),Inglés!A:H,5,FALSE)=0,P47,VLOOKUP(CONCATENATE($P$10,$Y$10,$A48),Inglés!A:H,5,FALSE))</f>
        <v>Uso del verbo "have to/has to" para indicar obligación.</v>
      </c>
      <c r="Q48" s="182"/>
      <c r="R48" s="182"/>
      <c r="S48" s="182"/>
      <c r="T48" s="182"/>
      <c r="U48" s="182"/>
      <c r="V48" s="182"/>
      <c r="W48" s="182"/>
      <c r="X48" s="182"/>
      <c r="Y48" s="182"/>
      <c r="Z48" s="182"/>
      <c r="AA48" s="182"/>
      <c r="AB48" s="183"/>
      <c r="AC48" s="97" t="str">
        <f>VLOOKUP(CONCATENATE($P$10,$Y$10,$A48),Inglés!A:H,8,FALSE)</f>
        <v>Aplicación de procedimientos</v>
      </c>
      <c r="AE48" s="1"/>
    </row>
    <row r="49" spans="1:31" ht="24.95" customHeight="1" x14ac:dyDescent="0.15">
      <c r="A49" s="30">
        <v>2</v>
      </c>
      <c r="B49" s="93" t="e">
        <f>SUMIFS(Captura!DS:DS,Captura!F:F,$Y$10)/$AE$16</f>
        <v>#DIV/0!</v>
      </c>
      <c r="C49" s="181" t="str">
        <f>IF(VLOOKUP(CONCATENATE($P$10,$Y$10,$A49),Inglés!A:H,4,FALSE)=0,C48,VLOOKUP(CONCATENATE($P$10,$Y$10,$A49),Inglés!A:H,4,FALSE))</f>
        <v>Lesson 44: Identificar que must tiene una forma regular para todas las personas.</v>
      </c>
      <c r="D49" s="182"/>
      <c r="E49" s="182"/>
      <c r="F49" s="182"/>
      <c r="G49" s="182"/>
      <c r="H49" s="182"/>
      <c r="I49" s="182"/>
      <c r="J49" s="182"/>
      <c r="K49" s="182"/>
      <c r="L49" s="182"/>
      <c r="M49" s="182"/>
      <c r="N49" s="182"/>
      <c r="O49" s="183"/>
      <c r="P49" s="181" t="str">
        <f>IF(VLOOKUP(CONCATENATE($P$10,$Y$10,$A49),Inglés!A:H,5,FALSE)=0,P48,VLOOKUP(CONCATENATE($P$10,$Y$10,$A49),Inglés!A:H,5,FALSE))</f>
        <v xml:space="preserve">Uso de la forma negativa "mustn't" </v>
      </c>
      <c r="Q49" s="182"/>
      <c r="R49" s="182"/>
      <c r="S49" s="182"/>
      <c r="T49" s="182"/>
      <c r="U49" s="182"/>
      <c r="V49" s="182"/>
      <c r="W49" s="182"/>
      <c r="X49" s="182"/>
      <c r="Y49" s="182"/>
      <c r="Z49" s="182"/>
      <c r="AA49" s="182"/>
      <c r="AB49" s="183"/>
      <c r="AC49" s="97" t="str">
        <f>VLOOKUP(CONCATENATE($P$10,$Y$10,$A49),Inglés!A:H,8,FALSE)</f>
        <v>Aplicación de procedimientos</v>
      </c>
      <c r="AE49" s="1"/>
    </row>
    <row r="50" spans="1:31" ht="24.95" customHeight="1" x14ac:dyDescent="0.15">
      <c r="A50" s="30">
        <v>3</v>
      </c>
      <c r="B50" s="93" t="e">
        <f>SUMIFS(Captura!DT:DT,Captura!F:F,$Y$10)/$AE$16</f>
        <v>#DIV/0!</v>
      </c>
      <c r="C50" s="181" t="str">
        <f>IF(VLOOKUP(CONCATENATE($P$10,$Y$10,$A50),Inglés!A:H,4,FALSE)=0,C49,VLOOKUP(CONCATENATE($P$10,$Y$10,$A50),Inglés!A:H,4,FALSE))</f>
        <v>Lesson 35: Dar consejos y sugerencias a ciertas situaciones.</v>
      </c>
      <c r="D50" s="182"/>
      <c r="E50" s="182"/>
      <c r="F50" s="182"/>
      <c r="G50" s="182"/>
      <c r="H50" s="182"/>
      <c r="I50" s="182"/>
      <c r="J50" s="182"/>
      <c r="K50" s="182"/>
      <c r="L50" s="182"/>
      <c r="M50" s="182"/>
      <c r="N50" s="182"/>
      <c r="O50" s="183"/>
      <c r="P50" s="181" t="str">
        <f>IF(VLOOKUP(CONCATENATE($P$10,$Y$10,$A50),Inglés!A:H,5,FALSE)=0,P49,VLOOKUP(CONCATENATE($P$10,$Y$10,$A50),Inglés!A:H,5,FALSE))</f>
        <v>Uso de "should" para dar consejos.</v>
      </c>
      <c r="Q50" s="182"/>
      <c r="R50" s="182"/>
      <c r="S50" s="182"/>
      <c r="T50" s="182"/>
      <c r="U50" s="182"/>
      <c r="V50" s="182"/>
      <c r="W50" s="182"/>
      <c r="X50" s="182"/>
      <c r="Y50" s="182"/>
      <c r="Z50" s="182"/>
      <c r="AA50" s="182"/>
      <c r="AB50" s="183"/>
      <c r="AC50" s="97" t="str">
        <f>VLOOKUP(CONCATENATE($P$10,$Y$10,$A50),Inglés!A:H,8,FALSE)</f>
        <v>Aplicación de procedimientos</v>
      </c>
      <c r="AE50" s="1"/>
    </row>
    <row r="51" spans="1:31" ht="24.95" customHeight="1" x14ac:dyDescent="0.15">
      <c r="A51" s="30">
        <v>4</v>
      </c>
      <c r="B51" s="93" t="e">
        <f>SUMIFS(Captura!DU:DU,Captura!F:F,$Y$10)/$AE$16</f>
        <v>#DIV/0!</v>
      </c>
      <c r="C51" s="181" t="str">
        <f>IF(VLOOKUP(CONCATENATE($P$10,$Y$10,$A51),Inglés!A:H,4,FALSE)=0,C50,VLOOKUP(CONCATENATE($P$10,$Y$10,$A51),Inglés!A:H,4,FALSE))</f>
        <v>Lesson 40: Identificar que "have to/has to" se usan para indicar obligación.</v>
      </c>
      <c r="D51" s="182"/>
      <c r="E51" s="182"/>
      <c r="F51" s="182"/>
      <c r="G51" s="182"/>
      <c r="H51" s="182"/>
      <c r="I51" s="182"/>
      <c r="J51" s="182"/>
      <c r="K51" s="182"/>
      <c r="L51" s="182"/>
      <c r="M51" s="182"/>
      <c r="N51" s="182"/>
      <c r="O51" s="183"/>
      <c r="P51" s="181" t="str">
        <f>IF(VLOOKUP(CONCATENATE($P$10,$Y$10,$A51),Inglés!A:H,5,FALSE)=0,P50,VLOOKUP(CONCATENATE($P$10,$Y$10,$A51),Inglés!A:H,5,FALSE))</f>
        <v>Uso del verbo "have to/has to" para indicar obligación.</v>
      </c>
      <c r="Q51" s="182"/>
      <c r="R51" s="182"/>
      <c r="S51" s="182"/>
      <c r="T51" s="182"/>
      <c r="U51" s="182"/>
      <c r="V51" s="182"/>
      <c r="W51" s="182"/>
      <c r="X51" s="182"/>
      <c r="Y51" s="182"/>
      <c r="Z51" s="182"/>
      <c r="AA51" s="182"/>
      <c r="AB51" s="183"/>
      <c r="AC51" s="97" t="str">
        <f>VLOOKUP(CONCATENATE($P$10,$Y$10,$A51),Inglés!A:H,8,FALSE)</f>
        <v>Aplicación de procedimientos</v>
      </c>
      <c r="AE51" s="1"/>
    </row>
    <row r="52" spans="1:31" ht="24.95" customHeight="1" x14ac:dyDescent="0.15">
      <c r="A52" s="30">
        <v>5</v>
      </c>
      <c r="B52" s="93" t="e">
        <f>SUMIFS(Captura!DV:DV,Captura!F:F,$Y$10)/$AE$16</f>
        <v>#DIV/0!</v>
      </c>
      <c r="C52" s="181" t="str">
        <f>IF(VLOOKUP(CONCATENATE($P$10,$Y$10,$A52),Inglés!A:H,4,FALSE)=0,C51,VLOOKUP(CONCATENATE($P$10,$Y$10,$A52),Inglés!A:H,4,FALSE))</f>
        <v>Lesson 32: Identificar que la forma imperativa se usa para hacer advertencias.</v>
      </c>
      <c r="D52" s="182"/>
      <c r="E52" s="182"/>
      <c r="F52" s="182"/>
      <c r="G52" s="182"/>
      <c r="H52" s="182"/>
      <c r="I52" s="182"/>
      <c r="J52" s="182"/>
      <c r="K52" s="182"/>
      <c r="L52" s="182"/>
      <c r="M52" s="182"/>
      <c r="N52" s="182"/>
      <c r="O52" s="183"/>
      <c r="P52" s="181" t="str">
        <f>IF(VLOOKUP(CONCATENATE($P$10,$Y$10,$A52),Inglés!A:H,5,FALSE)=0,P51,VLOOKUP(CONCATENATE($P$10,$Y$10,$A52),Inglés!A:H,5,FALSE))</f>
        <v>Uso de la forma imperativa en su forma negativa para hacer advertencias.</v>
      </c>
      <c r="Q52" s="182"/>
      <c r="R52" s="182"/>
      <c r="S52" s="182"/>
      <c r="T52" s="182"/>
      <c r="U52" s="182"/>
      <c r="V52" s="182"/>
      <c r="W52" s="182"/>
      <c r="X52" s="182"/>
      <c r="Y52" s="182"/>
      <c r="Z52" s="182"/>
      <c r="AA52" s="182"/>
      <c r="AB52" s="183"/>
      <c r="AC52" s="97" t="str">
        <f>VLOOKUP(CONCATENATE($P$10,$Y$10,$A52),Inglés!A:H,8,FALSE)</f>
        <v>Aplicación de procedimientos</v>
      </c>
      <c r="AE52" s="1"/>
    </row>
    <row r="53" spans="1:31" ht="24.95" customHeight="1" x14ac:dyDescent="0.15">
      <c r="A53" s="30">
        <v>6</v>
      </c>
      <c r="B53" s="93" t="e">
        <f>SUMIFS(Captura!DW:DW,Captura!F:F,$Y$10)/$AE$16</f>
        <v>#DIV/0!</v>
      </c>
      <c r="C53" s="181" t="str">
        <f>IF(VLOOKUP(CONCATENATE($P$10,$Y$10,$A53),Inglés!A:H,4,FALSE)=0,C52,VLOOKUP(CONCATENATE($P$10,$Y$10,$A53),Inglés!A:H,4,FALSE))</f>
        <v>Lesson 31:Identificar e interpretar señales que indican precaución.</v>
      </c>
      <c r="D53" s="182"/>
      <c r="E53" s="182"/>
      <c r="F53" s="182"/>
      <c r="G53" s="182"/>
      <c r="H53" s="182"/>
      <c r="I53" s="182"/>
      <c r="J53" s="182"/>
      <c r="K53" s="182"/>
      <c r="L53" s="182"/>
      <c r="M53" s="182"/>
      <c r="N53" s="182"/>
      <c r="O53" s="183"/>
      <c r="P53" s="181" t="str">
        <f>IF(VLOOKUP(CONCATENATE($P$10,$Y$10,$A53),Inglés!A:H,5,FALSE)=0,P52,VLOOKUP(CONCATENATE($P$10,$Y$10,$A53),Inglés!A:H,5,FALSE))</f>
        <v>Identicicación de advertencias.</v>
      </c>
      <c r="Q53" s="182"/>
      <c r="R53" s="182"/>
      <c r="S53" s="182"/>
      <c r="T53" s="182"/>
      <c r="U53" s="182"/>
      <c r="V53" s="182"/>
      <c r="W53" s="182"/>
      <c r="X53" s="182"/>
      <c r="Y53" s="182"/>
      <c r="Z53" s="182"/>
      <c r="AA53" s="182"/>
      <c r="AB53" s="183"/>
      <c r="AC53" s="97" t="str">
        <f>VLOOKUP(CONCATENATE($P$10,$Y$10,$A53),Inglés!A:H,8,FALSE)</f>
        <v>Aplicación de procedimientos</v>
      </c>
      <c r="AE53" s="1"/>
    </row>
    <row r="54" spans="1:31" ht="24.95" customHeight="1" x14ac:dyDescent="0.15">
      <c r="A54" s="30">
        <v>7</v>
      </c>
      <c r="B54" s="93" t="e">
        <f>SUMIFS(Captura!DX:DX,Captura!F:F,$Y$10)/$AE$16</f>
        <v>#DIV/0!</v>
      </c>
      <c r="C54" s="181" t="str">
        <f>IF(VLOOKUP(CONCATENATE($P$10,$Y$10,$A54),Inglés!A:H,4,FALSE)=0,C53,VLOOKUP(CONCATENATE($P$10,$Y$10,$A54),Inglés!A:H,4,FALSE))</f>
        <v>Lesson 41: Identificar que "must" también se usa para indicar obligación.</v>
      </c>
      <c r="D54" s="182"/>
      <c r="E54" s="182"/>
      <c r="F54" s="182"/>
      <c r="G54" s="182"/>
      <c r="H54" s="182"/>
      <c r="I54" s="182"/>
      <c r="J54" s="182"/>
      <c r="K54" s="182"/>
      <c r="L54" s="182"/>
      <c r="M54" s="182"/>
      <c r="N54" s="182"/>
      <c r="O54" s="183"/>
      <c r="P54" s="181" t="str">
        <f>IF(VLOOKUP(CONCATENATE($P$10,$Y$10,$A54),Inglés!A:H,5,FALSE)=0,P53,VLOOKUP(CONCATENATE($P$10,$Y$10,$A54),Inglés!A:H,5,FALSE))</f>
        <v>Uso del verbo "must" para indicar obligación.</v>
      </c>
      <c r="Q54" s="182"/>
      <c r="R54" s="182"/>
      <c r="S54" s="182"/>
      <c r="T54" s="182"/>
      <c r="U54" s="182"/>
      <c r="V54" s="182"/>
      <c r="W54" s="182"/>
      <c r="X54" s="182"/>
      <c r="Y54" s="182"/>
      <c r="Z54" s="182"/>
      <c r="AA54" s="182"/>
      <c r="AB54" s="183"/>
      <c r="AC54" s="97" t="str">
        <f>VLOOKUP(CONCATENATE($P$10,$Y$10,$A54),Inglés!A:H,8,FALSE)</f>
        <v>Aplicación de procedimientos</v>
      </c>
      <c r="AE54" s="1"/>
    </row>
    <row r="55" spans="1:31" ht="24.95" customHeight="1" x14ac:dyDescent="0.15">
      <c r="A55" s="30">
        <v>8</v>
      </c>
      <c r="B55" s="93" t="e">
        <f>SUMIFS(Captura!DY:DY,Captura!F:F,$Y$10)/$AE$16</f>
        <v>#DIV/0!</v>
      </c>
      <c r="C55" s="181" t="str">
        <f>IF(VLOOKUP(CONCATENATE($P$10,$Y$10,$A55),Inglés!A:H,4,FALSE)=0,C54,VLOOKUP(CONCATENATE($P$10,$Y$10,$A55),Inglés!A:H,4,FALSE))</f>
        <v>Lesson 43: Usar "have to/has to" para indicar obligación.</v>
      </c>
      <c r="D55" s="182"/>
      <c r="E55" s="182"/>
      <c r="F55" s="182"/>
      <c r="G55" s="182"/>
      <c r="H55" s="182"/>
      <c r="I55" s="182"/>
      <c r="J55" s="182"/>
      <c r="K55" s="182"/>
      <c r="L55" s="182"/>
      <c r="M55" s="182"/>
      <c r="N55" s="182"/>
      <c r="O55" s="183"/>
      <c r="P55" s="181" t="str">
        <f>IF(VLOOKUP(CONCATENATE($P$10,$Y$10,$A55),Inglés!A:H,5,FALSE)=0,P54,VLOOKUP(CONCATENATE($P$10,$Y$10,$A55),Inglés!A:H,5,FALSE))</f>
        <v>Uso del verbo "have to/has to" para indicar obligación.</v>
      </c>
      <c r="Q55" s="182"/>
      <c r="R55" s="182"/>
      <c r="S55" s="182"/>
      <c r="T55" s="182"/>
      <c r="U55" s="182"/>
      <c r="V55" s="182"/>
      <c r="W55" s="182"/>
      <c r="X55" s="182"/>
      <c r="Y55" s="182"/>
      <c r="Z55" s="182"/>
      <c r="AA55" s="182"/>
      <c r="AB55" s="183"/>
      <c r="AC55" s="97" t="str">
        <f>VLOOKUP(CONCATENATE($P$10,$Y$10,$A55),Inglés!A:H,8,FALSE)</f>
        <v>Aplicación de procedimientos</v>
      </c>
      <c r="AE55" s="1"/>
    </row>
    <row r="56" spans="1:31" ht="24.95" customHeight="1" x14ac:dyDescent="0.15">
      <c r="A56" s="30">
        <v>9</v>
      </c>
      <c r="B56" s="93" t="e">
        <f>SUMIFS(Captura!DZ:DZ,Captura!F:F,$Y$10)/$AE$16</f>
        <v>#DIV/0!</v>
      </c>
      <c r="C56" s="181" t="str">
        <f>IF(VLOOKUP(CONCATENATE($P$10,$Y$10,$A56),Inglés!A:H,4,FALSE)=0,C55,VLOOKUP(CONCATENATE($P$10,$Y$10,$A56),Inglés!A:H,4,FALSE))</f>
        <v>Lesson 38: Interpretar instrucciones de seguridad.</v>
      </c>
      <c r="D56" s="182"/>
      <c r="E56" s="182"/>
      <c r="F56" s="182"/>
      <c r="G56" s="182"/>
      <c r="H56" s="182"/>
      <c r="I56" s="182"/>
      <c r="J56" s="182"/>
      <c r="K56" s="182"/>
      <c r="L56" s="182"/>
      <c r="M56" s="182"/>
      <c r="N56" s="182"/>
      <c r="O56" s="183"/>
      <c r="P56" s="181" t="str">
        <f>IF(VLOOKUP(CONCATENATE($P$10,$Y$10,$A56),Inglés!A:H,5,FALSE)=0,P55,VLOOKUP(CONCATENATE($P$10,$Y$10,$A56),Inglés!A:H,5,FALSE))</f>
        <v>Identicicación de instrucciones a seguir.</v>
      </c>
      <c r="Q56" s="182"/>
      <c r="R56" s="182"/>
      <c r="S56" s="182"/>
      <c r="T56" s="182"/>
      <c r="U56" s="182"/>
      <c r="V56" s="182"/>
      <c r="W56" s="182"/>
      <c r="X56" s="182"/>
      <c r="Y56" s="182"/>
      <c r="Z56" s="182"/>
      <c r="AA56" s="182"/>
      <c r="AB56" s="183"/>
      <c r="AC56" s="97" t="str">
        <f>VLOOKUP(CONCATENATE($P$10,$Y$10,$A56),Inglés!A:H,8,FALSE)</f>
        <v>Aplicación de procedimientos</v>
      </c>
      <c r="AE56" s="1"/>
    </row>
    <row r="57" spans="1:31" ht="24.95" customHeight="1" x14ac:dyDescent="0.15">
      <c r="A57" s="30">
        <v>10</v>
      </c>
      <c r="B57" s="93" t="e">
        <f>SUMIFS(Captura!EA:EA,Captura!F:F,$Y$10)/$AE$16</f>
        <v>#DIV/0!</v>
      </c>
      <c r="C57" s="181" t="str">
        <f>IF(VLOOKUP(CONCATENATE($P$10,$Y$10,$A57),Inglés!A:H,4,FALSE)=0,C56,VLOOKUP(CONCATENATE($P$10,$Y$10,$A57),Inglés!A:H,4,FALSE))</f>
        <v>Lesson 36: Identificar las señales de precaución.</v>
      </c>
      <c r="D57" s="182"/>
      <c r="E57" s="182"/>
      <c r="F57" s="182"/>
      <c r="G57" s="182"/>
      <c r="H57" s="182"/>
      <c r="I57" s="182"/>
      <c r="J57" s="182"/>
      <c r="K57" s="182"/>
      <c r="L57" s="182"/>
      <c r="M57" s="182"/>
      <c r="N57" s="182"/>
      <c r="O57" s="183"/>
      <c r="P57" s="181" t="str">
        <f>IF(VLOOKUP(CONCATENATE($P$10,$Y$10,$A57),Inglés!A:H,5,FALSE)=0,P56,VLOOKUP(CONCATENATE($P$10,$Y$10,$A57),Inglés!A:H,5,FALSE))</f>
        <v>Identicicación de precacuciones en señales.</v>
      </c>
      <c r="Q57" s="182"/>
      <c r="R57" s="182"/>
      <c r="S57" s="182"/>
      <c r="T57" s="182"/>
      <c r="U57" s="182"/>
      <c r="V57" s="182"/>
      <c r="W57" s="182"/>
      <c r="X57" s="182"/>
      <c r="Y57" s="182"/>
      <c r="Z57" s="182"/>
      <c r="AA57" s="182"/>
      <c r="AB57" s="183"/>
      <c r="AC57" s="97" t="str">
        <f>VLOOKUP(CONCATENATE($P$10,$Y$10,$A57),Inglés!A:H,8,FALSE)</f>
        <v>Aplicación de procedimientos</v>
      </c>
      <c r="AE57" s="1"/>
    </row>
    <row r="58" spans="1:3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66"/>
      <c r="AE58" s="1"/>
    </row>
    <row r="59" spans="1:31" x14ac:dyDescent="0.15">
      <c r="A59" s="189" t="str">
        <f>IF(P10=1,"Matemáticas I",IF(P10=2,"Matemáticas II",IF(P10=3,"Matemáticas III")))</f>
        <v>Matemáticas III</v>
      </c>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E59" s="1"/>
    </row>
    <row r="60" spans="1:31" ht="21" x14ac:dyDescent="0.15">
      <c r="A60" s="95" t="s">
        <v>6125</v>
      </c>
      <c r="B60" s="96" t="s">
        <v>6376</v>
      </c>
      <c r="C60" s="187" t="s">
        <v>6365</v>
      </c>
      <c r="D60" s="187"/>
      <c r="E60" s="187"/>
      <c r="F60" s="187"/>
      <c r="G60" s="187"/>
      <c r="H60" s="187"/>
      <c r="I60" s="187"/>
      <c r="J60" s="187"/>
      <c r="K60" s="187"/>
      <c r="L60" s="187"/>
      <c r="M60" s="187"/>
      <c r="N60" s="187"/>
      <c r="O60" s="187"/>
      <c r="P60" s="196" t="s">
        <v>6366</v>
      </c>
      <c r="Q60" s="197"/>
      <c r="R60" s="197"/>
      <c r="S60" s="197"/>
      <c r="T60" s="197"/>
      <c r="U60" s="197"/>
      <c r="V60" s="197"/>
      <c r="W60" s="197"/>
      <c r="X60" s="197"/>
      <c r="Y60" s="197"/>
      <c r="Z60" s="197"/>
      <c r="AA60" s="197"/>
      <c r="AB60" s="198"/>
      <c r="AC60" s="85" t="s">
        <v>6377</v>
      </c>
      <c r="AE60" s="1"/>
    </row>
    <row r="61" spans="1:31" ht="24.95" customHeight="1" x14ac:dyDescent="0.15">
      <c r="A61" s="30">
        <v>1</v>
      </c>
      <c r="B61" s="93" t="e">
        <f>SUMIFS(Captura!EB:EB,Captura!F:F,$Y$10)/$AE$17</f>
        <v>#DIV/0!</v>
      </c>
      <c r="C61" s="181" t="str">
        <f>IF(VLOOKUP(CONCATENATE($P$10,$Y$10,$A61),Matemáticas!A:H,4,FALSE)=0,C60,VLOOKUP(CONCATENATE($P$10,$Y$10,$A61),Matemáticas!A:H,4,FALSE))</f>
        <v xml:space="preserve"> </v>
      </c>
      <c r="D61" s="182"/>
      <c r="E61" s="182"/>
      <c r="F61" s="182"/>
      <c r="G61" s="182"/>
      <c r="H61" s="182"/>
      <c r="I61" s="182"/>
      <c r="J61" s="182"/>
      <c r="K61" s="182"/>
      <c r="L61" s="182"/>
      <c r="M61" s="182"/>
      <c r="N61" s="182"/>
      <c r="O61" s="183"/>
      <c r="P61" s="181" t="str">
        <f>IF(VLOOKUP(CONCATENATE($P$10,$Y$10,$A61),Matemáticas!A:H,5,FALSE)=0,P60,VLOOKUP(CONCATENATE($P$10,$Y$10,$A61),Matemáticas!A:H,5,FALSE))</f>
        <v>Uso de ecuaciones cuadráticas para modelar situaciones y resolverlas usando la factorización.</v>
      </c>
      <c r="Q61" s="182"/>
      <c r="R61" s="182"/>
      <c r="S61" s="182"/>
      <c r="T61" s="182"/>
      <c r="U61" s="182"/>
      <c r="V61" s="182"/>
      <c r="W61" s="182"/>
      <c r="X61" s="182"/>
      <c r="Y61" s="182"/>
      <c r="Z61" s="182"/>
      <c r="AA61" s="182"/>
      <c r="AB61" s="183"/>
      <c r="AC61" s="97" t="str">
        <f>VLOOKUP(CONCATENATE($P$10,$Y$10,$A61),Matemáticas!A:H,8,FALSE)</f>
        <v>Resol.  problemas</v>
      </c>
      <c r="AE61" s="1"/>
    </row>
    <row r="62" spans="1:31" ht="24.95" customHeight="1" x14ac:dyDescent="0.15">
      <c r="A62" s="30">
        <v>2</v>
      </c>
      <c r="B62" s="93" t="e">
        <f>SUMIFS(Captura!EC:EC,Captura!F:F,$Y$10)/$AE$17</f>
        <v>#DIV/0!</v>
      </c>
      <c r="C62" s="181" t="str">
        <f>IF(VLOOKUP(CONCATENATE($P$10,$Y$10,$A62),Matemáticas!A:H,4,FALSE)=0,C61,VLOOKUP(CONCATENATE($P$10,$Y$10,$A62),Matemáticas!A:H,4,FALSE))</f>
        <v xml:space="preserve"> </v>
      </c>
      <c r="D62" s="182"/>
      <c r="E62" s="182"/>
      <c r="F62" s="182"/>
      <c r="G62" s="182"/>
      <c r="H62" s="182"/>
      <c r="I62" s="182"/>
      <c r="J62" s="182"/>
      <c r="K62" s="182"/>
      <c r="L62" s="182"/>
      <c r="M62" s="182"/>
      <c r="N62" s="182"/>
      <c r="O62" s="183"/>
      <c r="P62" s="181" t="str">
        <f>IF(VLOOKUP(CONCATENATE($P$10,$Y$10,$A62),Matemáticas!A:H,5,FALSE)=0,P61,VLOOKUP(CONCATENATE($P$10,$Y$10,$A62),Matemáticas!A:H,5,FALSE))</f>
        <v>Uso de ecuaciones cuadráticas para modelar situaciones y resolverlas usando la factorización.</v>
      </c>
      <c r="Q62" s="182"/>
      <c r="R62" s="182"/>
      <c r="S62" s="182"/>
      <c r="T62" s="182"/>
      <c r="U62" s="182"/>
      <c r="V62" s="182"/>
      <c r="W62" s="182"/>
      <c r="X62" s="182"/>
      <c r="Y62" s="182"/>
      <c r="Z62" s="182"/>
      <c r="AA62" s="182"/>
      <c r="AB62" s="183"/>
      <c r="AC62" s="97" t="str">
        <f>VLOOKUP(CONCATENATE($P$10,$Y$10,$A62),Matemáticas!A:H,8,FALSE)</f>
        <v>Aplic. Procedimientos</v>
      </c>
      <c r="AE62" s="1"/>
    </row>
    <row r="63" spans="1:31" ht="24.95" customHeight="1" x14ac:dyDescent="0.15">
      <c r="A63" s="30">
        <v>3</v>
      </c>
      <c r="B63" s="93" t="e">
        <f>SUMIFS(Captura!ED:ED,Captura!F:F,$Y$10)/$AE$17</f>
        <v>#DIV/0!</v>
      </c>
      <c r="C63" s="181" t="str">
        <f>IF(VLOOKUP(CONCATENATE($P$10,$Y$10,$A63),Matemáticas!A:H,4,FALSE)=0,C62,VLOOKUP(CONCATENATE($P$10,$Y$10,$A63),Matemáticas!A:H,4,FALSE))</f>
        <v xml:space="preserve"> </v>
      </c>
      <c r="D63" s="182"/>
      <c r="E63" s="182"/>
      <c r="F63" s="182"/>
      <c r="G63" s="182"/>
      <c r="H63" s="182"/>
      <c r="I63" s="182"/>
      <c r="J63" s="182"/>
      <c r="K63" s="182"/>
      <c r="L63" s="182"/>
      <c r="M63" s="182"/>
      <c r="N63" s="182"/>
      <c r="O63" s="183"/>
      <c r="P63" s="181" t="str">
        <f>IF(VLOOKUP(CONCATENATE($P$10,$Y$10,$A63),Matemáticas!A:H,5,FALSE)=0,P62,VLOOKUP(CONCATENATE($P$10,$Y$10,$A63),Matemáticas!A:H,5,FALSE))</f>
        <v>Uso de ecuaciones cuadráticas para modelar situaciones y resolverlas usando la factorización.</v>
      </c>
      <c r="Q63" s="182"/>
      <c r="R63" s="182"/>
      <c r="S63" s="182"/>
      <c r="T63" s="182"/>
      <c r="U63" s="182"/>
      <c r="V63" s="182"/>
      <c r="W63" s="182"/>
      <c r="X63" s="182"/>
      <c r="Y63" s="182"/>
      <c r="Z63" s="182"/>
      <c r="AA63" s="182"/>
      <c r="AB63" s="183"/>
      <c r="AC63" s="97" t="str">
        <f>VLOOKUP(CONCATENATE($P$10,$Y$10,$A63),Matemáticas!A:H,8,FALSE)</f>
        <v>Resol.  problemas</v>
      </c>
      <c r="AE63" s="1"/>
    </row>
    <row r="64" spans="1:31" ht="24.95" customHeight="1" x14ac:dyDescent="0.15">
      <c r="A64" s="30">
        <v>4</v>
      </c>
      <c r="B64" s="93" t="e">
        <f>SUMIFS(Captura!EE:EE,Captura!F:F,$Y$10)/$AE$17</f>
        <v>#DIV/0!</v>
      </c>
      <c r="C64" s="181" t="str">
        <f>IF(VLOOKUP(CONCATENATE($P$10,$Y$10,$A64),Matemáticas!A:H,4,FALSE)=0,C63,VLOOKUP(CONCATENATE($P$10,$Y$10,$A64),Matemáticas!A:H,4,FALSE))</f>
        <v xml:space="preserve"> </v>
      </c>
      <c r="D64" s="182"/>
      <c r="E64" s="182"/>
      <c r="F64" s="182"/>
      <c r="G64" s="182"/>
      <c r="H64" s="182"/>
      <c r="I64" s="182"/>
      <c r="J64" s="182"/>
      <c r="K64" s="182"/>
      <c r="L64" s="182"/>
      <c r="M64" s="182"/>
      <c r="N64" s="182"/>
      <c r="O64" s="183"/>
      <c r="P64" s="181" t="str">
        <f>IF(VLOOKUP(CONCATENATE($P$10,$Y$10,$A64),Matemáticas!A:H,5,FALSE)=0,P63,VLOOKUP(CONCATENATE($P$10,$Y$10,$A64),Matemáticas!A:H,5,FALSE))</f>
        <v>Uso de ecuaciones cuadráticas para modelar situaciones y resolverlas usando la factorización.</v>
      </c>
      <c r="Q64" s="182"/>
      <c r="R64" s="182"/>
      <c r="S64" s="182"/>
      <c r="T64" s="182"/>
      <c r="U64" s="182"/>
      <c r="V64" s="182"/>
      <c r="W64" s="182"/>
      <c r="X64" s="182"/>
      <c r="Y64" s="182"/>
      <c r="Z64" s="182"/>
      <c r="AA64" s="182"/>
      <c r="AB64" s="183"/>
      <c r="AC64" s="97" t="str">
        <f>VLOOKUP(CONCATENATE($P$10,$Y$10,$A64),Matemáticas!A:H,8,FALSE)</f>
        <v>Resol.  problemas</v>
      </c>
      <c r="AE64" s="1"/>
    </row>
    <row r="65" spans="1:31" ht="24.95" customHeight="1" x14ac:dyDescent="0.15">
      <c r="A65" s="30">
        <v>5</v>
      </c>
      <c r="B65" s="93" t="e">
        <f>SUMIFS(Captura!EF:EF,Captura!F:F,$Y$10)/$AE$17</f>
        <v>#DIV/0!</v>
      </c>
      <c r="C65" s="181" t="str">
        <f>IF(VLOOKUP(CONCATENATE($P$10,$Y$10,$A65),Matemáticas!A:H,4,FALSE)=0,C64,VLOOKUP(CONCATENATE($P$10,$Y$10,$A65),Matemáticas!A:H,4,FALSE))</f>
        <v>Explica el tipo de transformación (reflexión, rotación o traslación) que se aplica a una figura para obtener  la figura transformada. Identifica las propiedades que se conservan.</v>
      </c>
      <c r="D65" s="182"/>
      <c r="E65" s="182"/>
      <c r="F65" s="182"/>
      <c r="G65" s="182"/>
      <c r="H65" s="182"/>
      <c r="I65" s="182"/>
      <c r="J65" s="182"/>
      <c r="K65" s="182"/>
      <c r="L65" s="182"/>
      <c r="M65" s="182"/>
      <c r="N65" s="182"/>
      <c r="O65" s="183"/>
      <c r="P65" s="181" t="str">
        <f>IF(VLOOKUP(CONCATENATE($P$10,$Y$10,$A65),Matemáticas!A:H,5,FALSE)=0,P64,VLOOKUP(CONCATENATE($P$10,$Y$10,$A65),Matemáticas!A:H,5,FALSE))</f>
        <v>Análisis de las propiedades de la rotación y la traslación de figuras.</v>
      </c>
      <c r="Q65" s="182"/>
      <c r="R65" s="182"/>
      <c r="S65" s="182"/>
      <c r="T65" s="182"/>
      <c r="U65" s="182"/>
      <c r="V65" s="182"/>
      <c r="W65" s="182"/>
      <c r="X65" s="182"/>
      <c r="Y65" s="182"/>
      <c r="Z65" s="182"/>
      <c r="AA65" s="182"/>
      <c r="AB65" s="183"/>
      <c r="AC65" s="97" t="str">
        <f>VLOOKUP(CONCATENATE($P$10,$Y$10,$A65),Matemáticas!A:H,8,FALSE)</f>
        <v>Aplic. procedimientos</v>
      </c>
      <c r="AE65" s="1"/>
    </row>
    <row r="66" spans="1:31" ht="24.95" customHeight="1" x14ac:dyDescent="0.15">
      <c r="A66" s="30">
        <v>6</v>
      </c>
      <c r="B66" s="93" t="e">
        <f>SUMIFS(Captura!EG:EG,Captura!F:F,$Y$10)/$AE$17</f>
        <v>#DIV/0!</v>
      </c>
      <c r="C66" s="181" t="str">
        <f>IF(VLOOKUP(CONCATENATE($P$10,$Y$10,$A66),Matemáticas!A:H,4,FALSE)=0,C65,VLOOKUP(CONCATENATE($P$10,$Y$10,$A66),Matemáticas!A:H,4,FALSE))</f>
        <v>Explica el tipo de transformación (reflexión, rotación o traslación) que se aplica a una figura para obtener  la figura transformada. Identifica las propiedades que se conservan.</v>
      </c>
      <c r="D66" s="182"/>
      <c r="E66" s="182"/>
      <c r="F66" s="182"/>
      <c r="G66" s="182"/>
      <c r="H66" s="182"/>
      <c r="I66" s="182"/>
      <c r="J66" s="182"/>
      <c r="K66" s="182"/>
      <c r="L66" s="182"/>
      <c r="M66" s="182"/>
      <c r="N66" s="182"/>
      <c r="O66" s="183"/>
      <c r="P66" s="181" t="str">
        <f>IF(VLOOKUP(CONCATENATE($P$10,$Y$10,$A66),Matemáticas!A:H,5,FALSE)=0,P65,VLOOKUP(CONCATENATE($P$10,$Y$10,$A66),Matemáticas!A:H,5,FALSE))</f>
        <v>Análisis de las propiedades de la rotación y la traslación de figuras.</v>
      </c>
      <c r="Q66" s="182"/>
      <c r="R66" s="182"/>
      <c r="S66" s="182"/>
      <c r="T66" s="182"/>
      <c r="U66" s="182"/>
      <c r="V66" s="182"/>
      <c r="W66" s="182"/>
      <c r="X66" s="182"/>
      <c r="Y66" s="182"/>
      <c r="Z66" s="182"/>
      <c r="AA66" s="182"/>
      <c r="AB66" s="183"/>
      <c r="AC66" s="97" t="str">
        <f>VLOOKUP(CONCATENATE($P$10,$Y$10,$A66),Matemáticas!A:H,8,FALSE)</f>
        <v>Aplic. procedimientos</v>
      </c>
      <c r="AE66" s="1"/>
    </row>
    <row r="67" spans="1:31" ht="24.95" customHeight="1" x14ac:dyDescent="0.15">
      <c r="A67" s="30">
        <v>7</v>
      </c>
      <c r="B67" s="93" t="e">
        <f>SUMIFS(Captura!EH:EH,Captura!F:F,$Y$10)/$AE$17</f>
        <v>#DIV/0!</v>
      </c>
      <c r="C67" s="181" t="str">
        <f>IF(VLOOKUP(CONCATENATE($P$10,$Y$10,$A67),Matemáticas!A:H,4,FALSE)=0,C66,VLOOKUP(CONCATENATE($P$10,$Y$10,$A67),Matemáticas!A:H,4,FALSE))</f>
        <v>Explica el tipo de transformación (reflexión, rotación o traslación) que se aplica a una figura para obtener  la figura transformada. Identifica las propiedades que se conservan.</v>
      </c>
      <c r="D67" s="182"/>
      <c r="E67" s="182"/>
      <c r="F67" s="182"/>
      <c r="G67" s="182"/>
      <c r="H67" s="182"/>
      <c r="I67" s="182"/>
      <c r="J67" s="182"/>
      <c r="K67" s="182"/>
      <c r="L67" s="182"/>
      <c r="M67" s="182"/>
      <c r="N67" s="182"/>
      <c r="O67" s="183"/>
      <c r="P67" s="181" t="str">
        <f>IF(VLOOKUP(CONCATENATE($P$10,$Y$10,$A67),Matemáticas!A:H,5,FALSE)=0,P66,VLOOKUP(CONCATENATE($P$10,$Y$10,$A67),Matemáticas!A:H,5,FALSE))</f>
        <v>Construcción de diseños que combinan la simetría axial y central , la rotación y la traslación de figuras.</v>
      </c>
      <c r="Q67" s="182"/>
      <c r="R67" s="182"/>
      <c r="S67" s="182"/>
      <c r="T67" s="182"/>
      <c r="U67" s="182"/>
      <c r="V67" s="182"/>
      <c r="W67" s="182"/>
      <c r="X67" s="182"/>
      <c r="Y67" s="182"/>
      <c r="Z67" s="182"/>
      <c r="AA67" s="182"/>
      <c r="AB67" s="183"/>
      <c r="AC67" s="97" t="str">
        <f>VLOOKUP(CONCATENATE($P$10,$Y$10,$A67),Matemáticas!A:H,8,FALSE)</f>
        <v>Aplic. procedimientos</v>
      </c>
      <c r="AE67" s="1"/>
    </row>
    <row r="68" spans="1:31" ht="24.95" customHeight="1" x14ac:dyDescent="0.15">
      <c r="A68" s="30">
        <v>8</v>
      </c>
      <c r="B68" s="93" t="e">
        <f>SUMIFS(Captura!EI:EI,Captura!F:F,$Y$10)/$AE$17</f>
        <v>#DIV/0!</v>
      </c>
      <c r="C68" s="181" t="str">
        <f>IF(VLOOKUP(CONCATENATE($P$10,$Y$10,$A68),Matemáticas!A:H,4,FALSE)=0,C67,VLOOKUP(CONCATENATE($P$10,$Y$10,$A68),Matemáticas!A:H,4,FALSE))</f>
        <v>Explica el tipo de transformación (reflexión, rotación o traslación) que se aplica a una figura para obtener  la figura transformada. Identifica las propiedades que se conservan.</v>
      </c>
      <c r="D68" s="182"/>
      <c r="E68" s="182"/>
      <c r="F68" s="182"/>
      <c r="G68" s="182"/>
      <c r="H68" s="182"/>
      <c r="I68" s="182"/>
      <c r="J68" s="182"/>
      <c r="K68" s="182"/>
      <c r="L68" s="182"/>
      <c r="M68" s="182"/>
      <c r="N68" s="182"/>
      <c r="O68" s="183"/>
      <c r="P68" s="181" t="str">
        <f>IF(VLOOKUP(CONCATENATE($P$10,$Y$10,$A68),Matemáticas!A:H,5,FALSE)=0,P67,VLOOKUP(CONCATENATE($P$10,$Y$10,$A68),Matemáticas!A:H,5,FALSE))</f>
        <v>Construcción de diseños que combinan la simetría axial y central , la rotación y la traslación de figuras.</v>
      </c>
      <c r="Q68" s="182"/>
      <c r="R68" s="182"/>
      <c r="S68" s="182"/>
      <c r="T68" s="182"/>
      <c r="U68" s="182"/>
      <c r="V68" s="182"/>
      <c r="W68" s="182"/>
      <c r="X68" s="182"/>
      <c r="Y68" s="182"/>
      <c r="Z68" s="182"/>
      <c r="AA68" s="182"/>
      <c r="AB68" s="183"/>
      <c r="AC68" s="97" t="str">
        <f>VLOOKUP(CONCATENATE($P$10,$Y$10,$A68),Matemáticas!A:H,8,FALSE)</f>
        <v>Aplic. procedimientos</v>
      </c>
      <c r="AE68" s="1"/>
    </row>
    <row r="69" spans="1:31" ht="24.95" customHeight="1" x14ac:dyDescent="0.15">
      <c r="A69" s="30">
        <v>9</v>
      </c>
      <c r="B69" s="93" t="e">
        <f>SUMIFS(Captura!EJ:EJ,Captura!F:F,$Y$10)/$AE$17</f>
        <v>#DIV/0!</v>
      </c>
      <c r="C69" s="181" t="str">
        <f>IF(VLOOKUP(CONCATENATE($P$10,$Y$10,$A69),Matemáticas!A:H,4,FALSE)=0,C68,VLOOKUP(CONCATENATE($P$10,$Y$10,$A69),Matemáticas!A:H,4,FALSE))</f>
        <v>Explica el tipo de transformación (reflexión, rotación o traslación) que se aplica a una figura para obtener  la figura transformada. Identifica las propiedades que se conservan.</v>
      </c>
      <c r="D69" s="182"/>
      <c r="E69" s="182"/>
      <c r="F69" s="182"/>
      <c r="G69" s="182"/>
      <c r="H69" s="182"/>
      <c r="I69" s="182"/>
      <c r="J69" s="182"/>
      <c r="K69" s="182"/>
      <c r="L69" s="182"/>
      <c r="M69" s="182"/>
      <c r="N69" s="182"/>
      <c r="O69" s="183"/>
      <c r="P69" s="181" t="str">
        <f>IF(VLOOKUP(CONCATENATE($P$10,$Y$10,$A69),Matemáticas!A:H,5,FALSE)=0,P68,VLOOKUP(CONCATENATE($P$10,$Y$10,$A69),Matemáticas!A:H,5,FALSE))</f>
        <v>Construcción de diseños que combinan la simetría axial y central , la rotación y la traslación de figuras.</v>
      </c>
      <c r="Q69" s="182"/>
      <c r="R69" s="182"/>
      <c r="S69" s="182"/>
      <c r="T69" s="182"/>
      <c r="U69" s="182"/>
      <c r="V69" s="182"/>
      <c r="W69" s="182"/>
      <c r="X69" s="182"/>
      <c r="Y69" s="182"/>
      <c r="Z69" s="182"/>
      <c r="AA69" s="182"/>
      <c r="AB69" s="183"/>
      <c r="AC69" s="97" t="str">
        <f>VLOOKUP(CONCATENATE($P$10,$Y$10,$A69),Matemáticas!A:H,8,FALSE)</f>
        <v>Aplic. procedimientos</v>
      </c>
      <c r="AE69" s="1"/>
    </row>
    <row r="70" spans="1:31" ht="24.95" customHeight="1" x14ac:dyDescent="0.15">
      <c r="A70" s="30">
        <v>10</v>
      </c>
      <c r="B70" s="93" t="e">
        <f>SUMIFS(Captura!EK:EK,Captura!F:F,$Y$10)/$AE$17</f>
        <v>#DIV/0!</v>
      </c>
      <c r="C70" s="181" t="str">
        <f>IF(VLOOKUP(CONCATENATE($P$10,$Y$10,$A70),Matemáticas!A:H,4,FALSE)=0,C69,VLOOKUP(CONCATENATE($P$10,$Y$10,$A70),Matemáticas!A:H,4,FALSE))</f>
        <v>Explica el tipo de transformación (reflexión, rotación o traslación) que se aplica a una figura para obtener  la figura transformada. Identifica las propiedades que se conservan.</v>
      </c>
      <c r="D70" s="182"/>
      <c r="E70" s="182"/>
      <c r="F70" s="182"/>
      <c r="G70" s="182"/>
      <c r="H70" s="182"/>
      <c r="I70" s="182"/>
      <c r="J70" s="182"/>
      <c r="K70" s="182"/>
      <c r="L70" s="182"/>
      <c r="M70" s="182"/>
      <c r="N70" s="182"/>
      <c r="O70" s="183"/>
      <c r="P70" s="181" t="str">
        <f>IF(VLOOKUP(CONCATENATE($P$10,$Y$10,$A70),Matemáticas!A:H,5,FALSE)=0,P69,VLOOKUP(CONCATENATE($P$10,$Y$10,$A70),Matemáticas!A:H,5,FALSE))</f>
        <v>Construcción de diseños que combinan la simetría axial y central , la rotación y la traslación de figuras.</v>
      </c>
      <c r="Q70" s="182"/>
      <c r="R70" s="182"/>
      <c r="S70" s="182"/>
      <c r="T70" s="182"/>
      <c r="U70" s="182"/>
      <c r="V70" s="182"/>
      <c r="W70" s="182"/>
      <c r="X70" s="182"/>
      <c r="Y70" s="182"/>
      <c r="Z70" s="182"/>
      <c r="AA70" s="182"/>
      <c r="AB70" s="183"/>
      <c r="AC70" s="97" t="str">
        <f>VLOOKUP(CONCATENATE($P$10,$Y$10,$A70),Matemáticas!A:H,8,FALSE)</f>
        <v>Aplic. procedimientos</v>
      </c>
      <c r="AE70" s="1"/>
    </row>
    <row r="71" spans="1:31" ht="24.95" customHeight="1" x14ac:dyDescent="0.15">
      <c r="A71" s="30">
        <v>11</v>
      </c>
      <c r="B71" s="93" t="e">
        <f>SUMIFS(Captura!EL:EL,Captura!F:F,$Y$10)/$AE$17</f>
        <v>#DIV/0!</v>
      </c>
      <c r="C71" s="181" t="str">
        <f>IF(VLOOKUP(CONCATENATE($P$10,$Y$10,$A71),Matemáticas!A:H,4,FALSE)=0,C70,VLOOKUP(CONCATENATE($P$10,$Y$10,$A71),Matemáticas!A:H,4,FALSE))</f>
        <v>Resuelve problemas que implican el uso del Teorema de Pitágoras.</v>
      </c>
      <c r="D71" s="182"/>
      <c r="E71" s="182"/>
      <c r="F71" s="182"/>
      <c r="G71" s="182"/>
      <c r="H71" s="182"/>
      <c r="I71" s="182"/>
      <c r="J71" s="182"/>
      <c r="K71" s="182"/>
      <c r="L71" s="182"/>
      <c r="M71" s="182"/>
      <c r="N71" s="182"/>
      <c r="O71" s="183"/>
      <c r="P71" s="181" t="str">
        <f>IF(VLOOKUP(CONCATENATE($P$10,$Y$10,$A71),Matemáticas!A:H,5,FALSE)=0,P70,VLOOKUP(CONCATENATE($P$10,$Y$10,$A71),Matemáticas!A:H,5,FALSE))</f>
        <v>Análisis de las relaciones entre las áreas de los cuadrados que se construyen sobre los lados de un triángulo rectángulo.</v>
      </c>
      <c r="Q71" s="182"/>
      <c r="R71" s="182"/>
      <c r="S71" s="182"/>
      <c r="T71" s="182"/>
      <c r="U71" s="182"/>
      <c r="V71" s="182"/>
      <c r="W71" s="182"/>
      <c r="X71" s="182"/>
      <c r="Y71" s="182"/>
      <c r="Z71" s="182"/>
      <c r="AA71" s="182"/>
      <c r="AB71" s="183"/>
      <c r="AC71" s="97" t="str">
        <f>VLOOKUP(CONCATENATE($P$10,$Y$10,$A71),Matemáticas!A:H,8,FALSE)</f>
        <v>Principios</v>
      </c>
      <c r="AE71" s="1"/>
    </row>
    <row r="72" spans="1:31" ht="24.95" customHeight="1" x14ac:dyDescent="0.15">
      <c r="A72" s="30">
        <v>12</v>
      </c>
      <c r="B72" s="93" t="e">
        <f>SUMIFS(Captura!EM:EM,Captura!F:F,$Y$10)/$AE$17</f>
        <v>#DIV/0!</v>
      </c>
      <c r="C72" s="181" t="str">
        <f>IF(VLOOKUP(CONCATENATE($P$10,$Y$10,$A72),Matemáticas!A:H,4,FALSE)=0,C71,VLOOKUP(CONCATENATE($P$10,$Y$10,$A72),Matemáticas!A:H,4,FALSE))</f>
        <v>Resuelve problemas que implican el uso del Teorema de Pitágoras.</v>
      </c>
      <c r="D72" s="182"/>
      <c r="E72" s="182"/>
      <c r="F72" s="182"/>
      <c r="G72" s="182"/>
      <c r="H72" s="182"/>
      <c r="I72" s="182"/>
      <c r="J72" s="182"/>
      <c r="K72" s="182"/>
      <c r="L72" s="182"/>
      <c r="M72" s="182"/>
      <c r="N72" s="182"/>
      <c r="O72" s="183"/>
      <c r="P72" s="181" t="str">
        <f>IF(VLOOKUP(CONCATENATE($P$10,$Y$10,$A72),Matemáticas!A:H,5,FALSE)=0,P71,VLOOKUP(CONCATENATE($P$10,$Y$10,$A72),Matemáticas!A:H,5,FALSE))</f>
        <v>Análisis de las relaciones entre las áreas de los cuadrados que se construyen sobre los lados de un triángulo rectángulo.</v>
      </c>
      <c r="Q72" s="182"/>
      <c r="R72" s="182"/>
      <c r="S72" s="182"/>
      <c r="T72" s="182"/>
      <c r="U72" s="182"/>
      <c r="V72" s="182"/>
      <c r="W72" s="182"/>
      <c r="X72" s="182"/>
      <c r="Y72" s="182"/>
      <c r="Z72" s="182"/>
      <c r="AA72" s="182"/>
      <c r="AB72" s="183"/>
      <c r="AC72" s="97" t="str">
        <f>VLOOKUP(CONCATENATE($P$10,$Y$10,$A72),Matemáticas!A:H,8,FALSE)</f>
        <v>Principios</v>
      </c>
      <c r="AE72" s="1"/>
    </row>
    <row r="73" spans="1:31" ht="24.95" customHeight="1" x14ac:dyDescent="0.15">
      <c r="A73" s="30">
        <v>13</v>
      </c>
      <c r="B73" s="93" t="e">
        <f>SUMIFS(Captura!EN:EN,Captura!F:F,$Y$10)/$AE$17</f>
        <v>#DIV/0!</v>
      </c>
      <c r="C73" s="181" t="str">
        <f>IF(VLOOKUP(CONCATENATE($P$10,$Y$10,$A73),Matemáticas!A:H,4,FALSE)=0,C72,VLOOKUP(CONCATENATE($P$10,$Y$10,$A73),Matemáticas!A:H,4,FALSE))</f>
        <v>Resuelve problemas que implican el uso del Teorema de Pitágoras.</v>
      </c>
      <c r="D73" s="182"/>
      <c r="E73" s="182"/>
      <c r="F73" s="182"/>
      <c r="G73" s="182"/>
      <c r="H73" s="182"/>
      <c r="I73" s="182"/>
      <c r="J73" s="182"/>
      <c r="K73" s="182"/>
      <c r="L73" s="182"/>
      <c r="M73" s="182"/>
      <c r="N73" s="182"/>
      <c r="O73" s="183"/>
      <c r="P73" s="181" t="str">
        <f>IF(VLOOKUP(CONCATENATE($P$10,$Y$10,$A73),Matemáticas!A:H,5,FALSE)=0,P72,VLOOKUP(CONCATENATE($P$10,$Y$10,$A73),Matemáticas!A:H,5,FALSE))</f>
        <v>Explicación y uso del Teorema de Pitágoras.</v>
      </c>
      <c r="Q73" s="182"/>
      <c r="R73" s="182"/>
      <c r="S73" s="182"/>
      <c r="T73" s="182"/>
      <c r="U73" s="182"/>
      <c r="V73" s="182"/>
      <c r="W73" s="182"/>
      <c r="X73" s="182"/>
      <c r="Y73" s="182"/>
      <c r="Z73" s="182"/>
      <c r="AA73" s="182"/>
      <c r="AB73" s="183"/>
      <c r="AC73" s="97" t="str">
        <f>VLOOKUP(CONCATENATE($P$10,$Y$10,$A73),Matemáticas!A:H,8,FALSE)</f>
        <v>Aplic .procedimientos</v>
      </c>
      <c r="AE73" s="1"/>
    </row>
    <row r="74" spans="1:31" ht="24.95" customHeight="1" x14ac:dyDescent="0.15">
      <c r="A74" s="30">
        <v>14</v>
      </c>
      <c r="B74" s="93" t="e">
        <f>SUMIFS(Captura!EO:EO,Captura!F:F,$Y$10)/$AE$17</f>
        <v>#DIV/0!</v>
      </c>
      <c r="C74" s="181" t="str">
        <f>IF(VLOOKUP(CONCATENATE($P$10,$Y$10,$A74),Matemáticas!A:H,4,FALSE)=0,C73,VLOOKUP(CONCATENATE($P$10,$Y$10,$A74),Matemáticas!A:H,4,FALSE))</f>
        <v>Resuelve problemas que implican el uso del Teorema de Pitágoras.</v>
      </c>
      <c r="D74" s="182"/>
      <c r="E74" s="182"/>
      <c r="F74" s="182"/>
      <c r="G74" s="182"/>
      <c r="H74" s="182"/>
      <c r="I74" s="182"/>
      <c r="J74" s="182"/>
      <c r="K74" s="182"/>
      <c r="L74" s="182"/>
      <c r="M74" s="182"/>
      <c r="N74" s="182"/>
      <c r="O74" s="183"/>
      <c r="P74" s="181" t="str">
        <f>IF(VLOOKUP(CONCATENATE($P$10,$Y$10,$A74),Matemáticas!A:H,5,FALSE)=0,P73,VLOOKUP(CONCATENATE($P$10,$Y$10,$A74),Matemáticas!A:H,5,FALSE))</f>
        <v>Explicación y uso del Teorema de Pitágoras.</v>
      </c>
      <c r="Q74" s="182"/>
      <c r="R74" s="182"/>
      <c r="S74" s="182"/>
      <c r="T74" s="182"/>
      <c r="U74" s="182"/>
      <c r="V74" s="182"/>
      <c r="W74" s="182"/>
      <c r="X74" s="182"/>
      <c r="Y74" s="182"/>
      <c r="Z74" s="182"/>
      <c r="AA74" s="182"/>
      <c r="AB74" s="183"/>
      <c r="AC74" s="97" t="str">
        <f>VLOOKUP(CONCATENATE($P$10,$Y$10,$A74),Matemáticas!A:H,8,FALSE)</f>
        <v>Resol.  problemas</v>
      </c>
      <c r="AE74" s="1"/>
    </row>
    <row r="75" spans="1:31" ht="24.95" customHeight="1" x14ac:dyDescent="0.15">
      <c r="A75" s="30">
        <v>15</v>
      </c>
      <c r="B75" s="93" t="e">
        <f>SUMIFS(Captura!EP:EP,Captura!F:F,$Y$10)/$AE$17</f>
        <v>#DIV/0!</v>
      </c>
      <c r="C75" s="181" t="str">
        <f>IF(VLOOKUP(CONCATENATE($P$10,$Y$10,$A75),Matemáticas!A:H,4,FALSE)=0,C74,VLOOKUP(CONCATENATE($P$10,$Y$10,$A75),Matemáticas!A:H,4,FALSE))</f>
        <v>Resuelve problemas que implican el uso del Teorema de Pitágoras.</v>
      </c>
      <c r="D75" s="182"/>
      <c r="E75" s="182"/>
      <c r="F75" s="182"/>
      <c r="G75" s="182"/>
      <c r="H75" s="182"/>
      <c r="I75" s="182"/>
      <c r="J75" s="182"/>
      <c r="K75" s="182"/>
      <c r="L75" s="182"/>
      <c r="M75" s="182"/>
      <c r="N75" s="182"/>
      <c r="O75" s="183"/>
      <c r="P75" s="181" t="str">
        <f>IF(VLOOKUP(CONCATENATE($P$10,$Y$10,$A75),Matemáticas!A:H,5,FALSE)=0,P74,VLOOKUP(CONCATENATE($P$10,$Y$10,$A75),Matemáticas!A:H,5,FALSE))</f>
        <v>Explicación y uso del Teorema de Pitágoras.</v>
      </c>
      <c r="Q75" s="182"/>
      <c r="R75" s="182"/>
      <c r="S75" s="182"/>
      <c r="T75" s="182"/>
      <c r="U75" s="182"/>
      <c r="V75" s="182"/>
      <c r="W75" s="182"/>
      <c r="X75" s="182"/>
      <c r="Y75" s="182"/>
      <c r="Z75" s="182"/>
      <c r="AA75" s="182"/>
      <c r="AB75" s="183"/>
      <c r="AC75" s="97" t="str">
        <f>VLOOKUP(CONCATENATE($P$10,$Y$10,$A75),Matemáticas!A:H,8,FALSE)</f>
        <v>Resol.  problemas</v>
      </c>
      <c r="AE75" s="1"/>
    </row>
    <row r="76" spans="1:31" ht="24.95" customHeight="1" x14ac:dyDescent="0.15">
      <c r="A76" s="30">
        <v>16</v>
      </c>
      <c r="B76" s="93" t="e">
        <f>SUMIFS(Captura!EQ:EQ,Captura!F:F,$Y$10)/$AE$17</f>
        <v>#DIV/0!</v>
      </c>
      <c r="C76" s="181" t="str">
        <f>IF(VLOOKUP(CONCATENATE($P$10,$Y$10,$A76),Matemáticas!A:H,4,FALSE)=0,C75,VLOOKUP(CONCATENATE($P$10,$Y$10,$A76),Matemáticas!A:H,4,FALSE))</f>
        <v>Resuelve problemas que implican el uso del Teorema de Pitágoras.</v>
      </c>
      <c r="D76" s="182"/>
      <c r="E76" s="182"/>
      <c r="F76" s="182"/>
      <c r="G76" s="182"/>
      <c r="H76" s="182"/>
      <c r="I76" s="182"/>
      <c r="J76" s="182"/>
      <c r="K76" s="182"/>
      <c r="L76" s="182"/>
      <c r="M76" s="182"/>
      <c r="N76" s="182"/>
      <c r="O76" s="183"/>
      <c r="P76" s="181" t="str">
        <f>IF(VLOOKUP(CONCATENATE($P$10,$Y$10,$A76),Matemáticas!A:H,5,FALSE)=0,P75,VLOOKUP(CONCATENATE($P$10,$Y$10,$A76),Matemáticas!A:H,5,FALSE))</f>
        <v>Explicación y uso del Teorema de Pitágoras.</v>
      </c>
      <c r="Q76" s="182"/>
      <c r="R76" s="182"/>
      <c r="S76" s="182"/>
      <c r="T76" s="182"/>
      <c r="U76" s="182"/>
      <c r="V76" s="182"/>
      <c r="W76" s="182"/>
      <c r="X76" s="182"/>
      <c r="Y76" s="182"/>
      <c r="Z76" s="182"/>
      <c r="AA76" s="182"/>
      <c r="AB76" s="183"/>
      <c r="AC76" s="97" t="str">
        <f>VLOOKUP(CONCATENATE($P$10,$Y$10,$A76),Matemáticas!A:H,8,FALSE)</f>
        <v>Resol.  problemas</v>
      </c>
      <c r="AE76" s="1"/>
    </row>
    <row r="77" spans="1:31" ht="24.95" customHeight="1" x14ac:dyDescent="0.15">
      <c r="A77" s="30">
        <v>17</v>
      </c>
      <c r="B77" s="93" t="e">
        <f>SUMIFS(Captura!ER:ER,Captura!F:F,$Y$10)/$AE$17</f>
        <v>#DIV/0!</v>
      </c>
      <c r="C77" s="181" t="str">
        <f>IF(VLOOKUP(CONCATENATE($P$10,$Y$10,$A77),Matemáticas!A:H,4,FALSE)=0,C76,VLOOKUP(CONCATENATE($P$10,$Y$10,$A77),Matemáticas!A:H,4,FALSE))</f>
        <v xml:space="preserve"> </v>
      </c>
      <c r="D77" s="182"/>
      <c r="E77" s="182"/>
      <c r="F77" s="182"/>
      <c r="G77" s="182"/>
      <c r="H77" s="182"/>
      <c r="I77" s="182"/>
      <c r="J77" s="182"/>
      <c r="K77" s="182"/>
      <c r="L77" s="182"/>
      <c r="M77" s="182"/>
      <c r="N77" s="182"/>
      <c r="O77" s="183"/>
      <c r="P77" s="181" t="str">
        <f>IF(VLOOKUP(CONCATENATE($P$10,$Y$10,$A77),Matemáticas!A:H,5,FALSE)=0,P76,VLOOKUP(CONCATENATE($P$10,$Y$10,$A77),Matemáticas!A:H,5,FALSE))</f>
        <v>Cálculo de la probabilidad de ocurrencia de dos eventos mutuamente excluyentes y de eventos complementarios (regla de la suma).</v>
      </c>
      <c r="Q77" s="182"/>
      <c r="R77" s="182"/>
      <c r="S77" s="182"/>
      <c r="T77" s="182"/>
      <c r="U77" s="182"/>
      <c r="V77" s="182"/>
      <c r="W77" s="182"/>
      <c r="X77" s="182"/>
      <c r="Y77" s="182"/>
      <c r="Z77" s="182"/>
      <c r="AA77" s="182"/>
      <c r="AB77" s="183"/>
      <c r="AC77" s="97" t="str">
        <f>VLOOKUP(CONCATENATE($P$10,$Y$10,$A77),Matemáticas!A:H,8,FALSE)</f>
        <v>Aplic. procedimientos</v>
      </c>
      <c r="AE77" s="1"/>
    </row>
    <row r="78" spans="1:31" ht="24.95" customHeight="1" x14ac:dyDescent="0.15">
      <c r="A78" s="30">
        <v>18</v>
      </c>
      <c r="B78" s="93" t="e">
        <f>SUMIFS(Captura!ES:ES,Captura!F:F,$Y$10)/$AE$17</f>
        <v>#DIV/0!</v>
      </c>
      <c r="C78" s="181" t="str">
        <f>IF(VLOOKUP(CONCATENATE($P$10,$Y$10,$A78),Matemáticas!A:H,4,FALSE)=0,C77,VLOOKUP(CONCATENATE($P$10,$Y$10,$A78),Matemáticas!A:H,4,FALSE))</f>
        <v xml:space="preserve"> </v>
      </c>
      <c r="D78" s="182"/>
      <c r="E78" s="182"/>
      <c r="F78" s="182"/>
      <c r="G78" s="182"/>
      <c r="H78" s="182"/>
      <c r="I78" s="182"/>
      <c r="J78" s="182"/>
      <c r="K78" s="182"/>
      <c r="L78" s="182"/>
      <c r="M78" s="182"/>
      <c r="N78" s="182"/>
      <c r="O78" s="183"/>
      <c r="P78" s="181" t="str">
        <f>IF(VLOOKUP(CONCATENATE($P$10,$Y$10,$A78),Matemáticas!A:H,5,FALSE)=0,P77,VLOOKUP(CONCATENATE($P$10,$Y$10,$A78),Matemáticas!A:H,5,FALSE))</f>
        <v>Cálculo de la probabilidad de ocurrencia de dos eventos mutuamente excluyentes y de eventos complementarios (regla de la suma).</v>
      </c>
      <c r="Q78" s="182"/>
      <c r="R78" s="182"/>
      <c r="S78" s="182"/>
      <c r="T78" s="182"/>
      <c r="U78" s="182"/>
      <c r="V78" s="182"/>
      <c r="W78" s="182"/>
      <c r="X78" s="182"/>
      <c r="Y78" s="182"/>
      <c r="Z78" s="182"/>
      <c r="AA78" s="182"/>
      <c r="AB78" s="183"/>
      <c r="AC78" s="97" t="str">
        <f>VLOOKUP(CONCATENATE($P$10,$Y$10,$A78),Matemáticas!A:H,8,FALSE)</f>
        <v>Aplic. procedimientos</v>
      </c>
      <c r="AE78" s="1"/>
    </row>
    <row r="79" spans="1:31" ht="24.95" customHeight="1" x14ac:dyDescent="0.15">
      <c r="A79" s="30">
        <v>19</v>
      </c>
      <c r="B79" s="93" t="e">
        <f>SUMIFS(Captura!ET:ET,Captura!F:F,$Y$10)/$AE$17</f>
        <v>#DIV/0!</v>
      </c>
      <c r="C79" s="181" t="str">
        <f>IF(VLOOKUP(CONCATENATE($P$10,$Y$10,$A79),Matemáticas!A:H,4,FALSE)=0,C78,VLOOKUP(CONCATENATE($P$10,$Y$10,$A79),Matemáticas!A:H,4,FALSE))</f>
        <v xml:space="preserve"> </v>
      </c>
      <c r="D79" s="182"/>
      <c r="E79" s="182"/>
      <c r="F79" s="182"/>
      <c r="G79" s="182"/>
      <c r="H79" s="182"/>
      <c r="I79" s="182"/>
      <c r="J79" s="182"/>
      <c r="K79" s="182"/>
      <c r="L79" s="182"/>
      <c r="M79" s="182"/>
      <c r="N79" s="182"/>
      <c r="O79" s="183"/>
      <c r="P79" s="181" t="str">
        <f>IF(VLOOKUP(CONCATENATE($P$10,$Y$10,$A79),Matemáticas!A:H,5,FALSE)=0,P78,VLOOKUP(CONCATENATE($P$10,$Y$10,$A79),Matemáticas!A:H,5,FALSE))</f>
        <v>Cálculo de la probabilidad de ocurrencia de dos eventos mutuamente excluyentes y de eventos complementarios (regla de la suma).</v>
      </c>
      <c r="Q79" s="182"/>
      <c r="R79" s="182"/>
      <c r="S79" s="182"/>
      <c r="T79" s="182"/>
      <c r="U79" s="182"/>
      <c r="V79" s="182"/>
      <c r="W79" s="182"/>
      <c r="X79" s="182"/>
      <c r="Y79" s="182"/>
      <c r="Z79" s="182"/>
      <c r="AA79" s="182"/>
      <c r="AB79" s="183"/>
      <c r="AC79" s="97" t="str">
        <f>VLOOKUP(CONCATENATE($P$10,$Y$10,$A79),Matemáticas!A:H,8,FALSE)</f>
        <v>Aplic .procedimientos</v>
      </c>
      <c r="AE79" s="1"/>
    </row>
    <row r="80" spans="1:31" ht="24.95" customHeight="1" x14ac:dyDescent="0.15">
      <c r="A80" s="30">
        <v>20</v>
      </c>
      <c r="B80" s="93" t="e">
        <f>SUMIFS(Captura!EU:EU,Captura!F:F,$Y$10)/$AE$17</f>
        <v>#DIV/0!</v>
      </c>
      <c r="C80" s="181" t="str">
        <f>IF(VLOOKUP(CONCATENATE($P$10,$Y$10,$A80),Matemáticas!A:H,4,FALSE)=0,C79,VLOOKUP(CONCATENATE($P$10,$Y$10,$A80),Matemáticas!A:H,4,FALSE))</f>
        <v xml:space="preserve"> </v>
      </c>
      <c r="D80" s="182"/>
      <c r="E80" s="182"/>
      <c r="F80" s="182"/>
      <c r="G80" s="182"/>
      <c r="H80" s="182"/>
      <c r="I80" s="182"/>
      <c r="J80" s="182"/>
      <c r="K80" s="182"/>
      <c r="L80" s="182"/>
      <c r="M80" s="182"/>
      <c r="N80" s="182"/>
      <c r="O80" s="183"/>
      <c r="P80" s="181" t="str">
        <f>IF(VLOOKUP(CONCATENATE($P$10,$Y$10,$A80),Matemáticas!A:H,5,FALSE)=0,P79,VLOOKUP(CONCATENATE($P$10,$Y$10,$A80),Matemáticas!A:H,5,FALSE))</f>
        <v>Cálculo de la probabilidad de ocurrencia de dos eventos mutuamente excluyentes y de eventos complementarios (regla de la suma).</v>
      </c>
      <c r="Q80" s="182"/>
      <c r="R80" s="182"/>
      <c r="S80" s="182"/>
      <c r="T80" s="182"/>
      <c r="U80" s="182"/>
      <c r="V80" s="182"/>
      <c r="W80" s="182"/>
      <c r="X80" s="182"/>
      <c r="Y80" s="182"/>
      <c r="Z80" s="182"/>
      <c r="AA80" s="182"/>
      <c r="AB80" s="183"/>
      <c r="AC80" s="97" t="str">
        <f>VLOOKUP(CONCATENATE($P$10,$Y$10,$A80),Matemáticas!A:H,8,FALSE)</f>
        <v>Aplic. procedimientos</v>
      </c>
      <c r="AE80" s="1"/>
    </row>
    <row r="81" spans="1:31" x14ac:dyDescent="0.15">
      <c r="A81" s="66"/>
      <c r="C81" s="2"/>
      <c r="D81" s="2"/>
      <c r="E81" s="2"/>
      <c r="F81" s="2"/>
      <c r="G81" s="2"/>
      <c r="H81" s="2"/>
      <c r="I81" s="2"/>
      <c r="J81" s="2"/>
      <c r="K81" s="2"/>
      <c r="L81" s="2"/>
      <c r="M81" s="2"/>
      <c r="N81" s="2"/>
      <c r="O81" s="2"/>
      <c r="P81" s="2"/>
      <c r="Q81" s="2"/>
      <c r="R81" s="2"/>
      <c r="S81" s="2"/>
      <c r="T81" s="2"/>
      <c r="U81" s="2"/>
      <c r="V81" s="2"/>
      <c r="W81" s="2"/>
      <c r="X81" s="2"/>
      <c r="Y81" s="2"/>
      <c r="Z81" s="2"/>
      <c r="AA81" s="2"/>
      <c r="AE81" s="1"/>
    </row>
    <row r="82" spans="1:31" x14ac:dyDescent="0.15">
      <c r="A82" s="189" t="str">
        <f>IF(P10=1,"Ciencias I (Énfasis en Biología)",IF(P10=2,"Ciencias II (Énfasis en Física)",IF(P10=3,"Ciencias III (Énfasis en Química)")))</f>
        <v>Ciencias III (Énfasis en Química)</v>
      </c>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E82" s="1"/>
    </row>
    <row r="83" spans="1:31" ht="21" x14ac:dyDescent="0.15">
      <c r="A83" s="95" t="s">
        <v>6125</v>
      </c>
      <c r="B83" s="96" t="s">
        <v>6376</v>
      </c>
      <c r="C83" s="187" t="s">
        <v>6365</v>
      </c>
      <c r="D83" s="187"/>
      <c r="E83" s="187"/>
      <c r="F83" s="187"/>
      <c r="G83" s="187"/>
      <c r="H83" s="187"/>
      <c r="I83" s="187"/>
      <c r="J83" s="187"/>
      <c r="K83" s="187"/>
      <c r="L83" s="187"/>
      <c r="M83" s="187"/>
      <c r="N83" s="187"/>
      <c r="O83" s="187"/>
      <c r="P83" s="196" t="s">
        <v>6366</v>
      </c>
      <c r="Q83" s="197"/>
      <c r="R83" s="197"/>
      <c r="S83" s="197"/>
      <c r="T83" s="197"/>
      <c r="U83" s="197"/>
      <c r="V83" s="197"/>
      <c r="W83" s="197"/>
      <c r="X83" s="197"/>
      <c r="Y83" s="197"/>
      <c r="Z83" s="197"/>
      <c r="AA83" s="197"/>
      <c r="AB83" s="198"/>
      <c r="AC83" s="85" t="s">
        <v>6377</v>
      </c>
      <c r="AE83" s="1"/>
    </row>
    <row r="84" spans="1:31" ht="24.95" customHeight="1" x14ac:dyDescent="0.15">
      <c r="A84" s="30">
        <v>1</v>
      </c>
      <c r="B84" s="93" t="e">
        <f>SUMIFS(Captura!EV:EV,Captura!F:F,$Y$10)/$AE$18</f>
        <v>#DIV/0!</v>
      </c>
      <c r="C84" s="181" t="str">
        <f>IF(VLOOKUP(CONCATENATE($P$10,$Y$10,$A84),Ciencias!A:H,4,FALSE)=0,C83,VLOOKUP(CONCATENATE($P$10,$Y$10,$A84),Ciencias!A:H,4,FALSE))</f>
        <v>Establece criterios para clasificar materiales cotidianos en mezclas, compuestos y elementos considerando su composición y pureza.</v>
      </c>
      <c r="D84" s="182"/>
      <c r="E84" s="182"/>
      <c r="F84" s="182"/>
      <c r="G84" s="182"/>
      <c r="H84" s="182"/>
      <c r="I84" s="182"/>
      <c r="J84" s="182"/>
      <c r="K84" s="182"/>
      <c r="L84" s="182"/>
      <c r="M84" s="182"/>
      <c r="N84" s="182"/>
      <c r="O84" s="183"/>
      <c r="P84" s="181" t="str">
        <f>IF(VLOOKUP(CONCATENATE($P$10,$Y$10,$A84),Ciencias!A:H,5,FALSE)=0,P83,VLOOKUP(CONCATENATE($P$10,$Y$10,$A84),Ciencias!A:H,5,FALSE))</f>
        <v>Mezclas y sustancias puras: compuestos y elementos.</v>
      </c>
      <c r="Q84" s="182"/>
      <c r="R84" s="182"/>
      <c r="S84" s="182"/>
      <c r="T84" s="182"/>
      <c r="U84" s="182"/>
      <c r="V84" s="182"/>
      <c r="W84" s="182"/>
      <c r="X84" s="182"/>
      <c r="Y84" s="182"/>
      <c r="Z84" s="182"/>
      <c r="AA84" s="182"/>
      <c r="AB84" s="183"/>
      <c r="AC84" s="97" t="str">
        <f>VLOOKUP(CONCATENATE($P$10,$Y$10,$A84),Ciencias!A:H,8,FALSE)</f>
        <v>Hechos</v>
      </c>
      <c r="AE84" s="1"/>
    </row>
    <row r="85" spans="1:31" ht="24.95" customHeight="1" x14ac:dyDescent="0.15">
      <c r="A85" s="30">
        <v>2</v>
      </c>
      <c r="B85" s="93" t="e">
        <f>SUMIFS(Captura!EW:EW,Captura!F:F,$Y$10)/$AE$18</f>
        <v>#DIV/0!</v>
      </c>
      <c r="C85" s="181" t="str">
        <f>IF(VLOOKUP(CONCATENATE($P$10,$Y$10,$A85),Ciencias!A:H,4,FALSE)=0,C84,VLOOKUP(CONCATENATE($P$10,$Y$10,$A85),Ciencias!A:H,4,FALSE))</f>
        <v>Representa y diferencia mezclas, compuestos y elementos con base en el modelo corpuscular.</v>
      </c>
      <c r="D85" s="182"/>
      <c r="E85" s="182"/>
      <c r="F85" s="182"/>
      <c r="G85" s="182"/>
      <c r="H85" s="182"/>
      <c r="I85" s="182"/>
      <c r="J85" s="182"/>
      <c r="K85" s="182"/>
      <c r="L85" s="182"/>
      <c r="M85" s="182"/>
      <c r="N85" s="182"/>
      <c r="O85" s="183"/>
      <c r="P85" s="181" t="str">
        <f>IF(VLOOKUP(CONCATENATE($P$10,$Y$10,$A85),Ciencias!A:H,5,FALSE)=0,P84,VLOOKUP(CONCATENATE($P$10,$Y$10,$A85),Ciencias!A:H,5,FALSE))</f>
        <v>Mezclas y sustancias puras: compuestos y elementos.</v>
      </c>
      <c r="Q85" s="182"/>
      <c r="R85" s="182"/>
      <c r="S85" s="182"/>
      <c r="T85" s="182"/>
      <c r="U85" s="182"/>
      <c r="V85" s="182"/>
      <c r="W85" s="182"/>
      <c r="X85" s="182"/>
      <c r="Y85" s="182"/>
      <c r="Z85" s="182"/>
      <c r="AA85" s="182"/>
      <c r="AB85" s="183"/>
      <c r="AC85" s="97" t="str">
        <f>VLOOKUP(CONCATENATE($P$10,$Y$10,$A85),Ciencias!A:H,8,FALSE)</f>
        <v>Hechos</v>
      </c>
      <c r="AE85" s="1"/>
    </row>
    <row r="86" spans="1:31" ht="24.95" customHeight="1" x14ac:dyDescent="0.15">
      <c r="A86" s="30">
        <v>3</v>
      </c>
      <c r="B86" s="93" t="e">
        <f>SUMIFS(Captura!EX:EX,Captura!F:F,$Y$10)/$AE$18</f>
        <v>#DIV/0!</v>
      </c>
      <c r="C86" s="181" t="str">
        <f>IF(VLOOKUP(CONCATENATE($P$10,$Y$10,$A86),Ciencias!A:H,4,FALSE)=0,C85,VLOOKUP(CONCATENATE($P$10,$Y$10,$A86),Ciencias!A:H,4,FALSE))</f>
        <v>Identifica los componentes del modelo atómico de Bohr (protones, neutrones y electrones), así como la función de los electrones de valencia para comprender la estructura de los materiales.</v>
      </c>
      <c r="D86" s="182"/>
      <c r="E86" s="182"/>
      <c r="F86" s="182"/>
      <c r="G86" s="182"/>
      <c r="H86" s="182"/>
      <c r="I86" s="182"/>
      <c r="J86" s="182"/>
      <c r="K86" s="182"/>
      <c r="L86" s="182"/>
      <c r="M86" s="182"/>
      <c r="N86" s="182"/>
      <c r="O86" s="183"/>
      <c r="P86" s="181" t="str">
        <f>IF(VLOOKUP(CONCATENATE($P$10,$Y$10,$A86),Ciencias!A:H,5,FALSE)=0,P85,VLOOKUP(CONCATENATE($P$10,$Y$10,$A86),Ciencias!A:H,5,FALSE))</f>
        <v xml:space="preserve">Modelo atómico de Bohr .   Enlace químico.                                         </v>
      </c>
      <c r="Q86" s="182"/>
      <c r="R86" s="182"/>
      <c r="S86" s="182"/>
      <c r="T86" s="182"/>
      <c r="U86" s="182"/>
      <c r="V86" s="182"/>
      <c r="W86" s="182"/>
      <c r="X86" s="182"/>
      <c r="Y86" s="182"/>
      <c r="Z86" s="182"/>
      <c r="AA86" s="182"/>
      <c r="AB86" s="183"/>
      <c r="AC86" s="97" t="str">
        <f>VLOOKUP(CONCATENATE($P$10,$Y$10,$A86),Ciencias!A:H,8,FALSE)</f>
        <v>Hechos</v>
      </c>
      <c r="AE86" s="1"/>
    </row>
    <row r="87" spans="1:31" ht="24.95" customHeight="1" x14ac:dyDescent="0.15">
      <c r="A87" s="30">
        <v>4</v>
      </c>
      <c r="B87" s="93" t="e">
        <f>SUMIFS(Captura!EY:EY,Captura!F:F,$Y$10)/$AE$18</f>
        <v>#DIV/0!</v>
      </c>
      <c r="C87" s="181" t="str">
        <f>IF(VLOOKUP(CONCATENATE($P$10,$Y$10,$A87),Ciencias!A:H,4,FALSE)=0,C86,VLOOKUP(CONCATENATE($P$10,$Y$10,$A87),Ciencias!A:H,4,FALSE))</f>
        <v>Identifica los componentes del modelo atómico de Bohr (protones, neutrones y electrones), así como la función de los electrones de valencia para comprender la estructura de los materiales.</v>
      </c>
      <c r="D87" s="182"/>
      <c r="E87" s="182"/>
      <c r="F87" s="182"/>
      <c r="G87" s="182"/>
      <c r="H87" s="182"/>
      <c r="I87" s="182"/>
      <c r="J87" s="182"/>
      <c r="K87" s="182"/>
      <c r="L87" s="182"/>
      <c r="M87" s="182"/>
      <c r="N87" s="182"/>
      <c r="O87" s="183"/>
      <c r="P87" s="181" t="str">
        <f>IF(VLOOKUP(CONCATENATE($P$10,$Y$10,$A87),Ciencias!A:H,5,FALSE)=0,P86,VLOOKUP(CONCATENATE($P$10,$Y$10,$A87),Ciencias!A:H,5,FALSE))</f>
        <v xml:space="preserve">Modelo atómico de Bohr .   Enlace químico.                                         </v>
      </c>
      <c r="Q87" s="182"/>
      <c r="R87" s="182"/>
      <c r="S87" s="182"/>
      <c r="T87" s="182"/>
      <c r="U87" s="182"/>
      <c r="V87" s="182"/>
      <c r="W87" s="182"/>
      <c r="X87" s="182"/>
      <c r="Y87" s="182"/>
      <c r="Z87" s="182"/>
      <c r="AA87" s="182"/>
      <c r="AB87" s="183"/>
      <c r="AC87" s="97" t="str">
        <f>VLOOKUP(CONCATENATE($P$10,$Y$10,$A87),Ciencias!A:H,8,FALSE)</f>
        <v>Aplicación de procedimientos</v>
      </c>
      <c r="AE87" s="1"/>
    </row>
    <row r="88" spans="1:31" ht="24.95" customHeight="1" x14ac:dyDescent="0.15">
      <c r="A88" s="30">
        <v>5</v>
      </c>
      <c r="B88" s="93" t="e">
        <f>SUMIFS(Captura!EZ:EZ,Captura!F:F,$Y$10)/$AE$18</f>
        <v>#DIV/0!</v>
      </c>
      <c r="C88" s="181" t="str">
        <f>IF(VLOOKUP(CONCATENATE($P$10,$Y$10,$A88),Ciencias!A:H,4,FALSE)=0,C87,VLOOKUP(CONCATENATE($P$10,$Y$10,$A88),Ciencias!A:H,4,FALSE))</f>
        <v>Representa el enlace químico mediante los electrones de valencia a partir de la estructura de Lewis.</v>
      </c>
      <c r="D88" s="182"/>
      <c r="E88" s="182"/>
      <c r="F88" s="182"/>
      <c r="G88" s="182"/>
      <c r="H88" s="182"/>
      <c r="I88" s="182"/>
      <c r="J88" s="182"/>
      <c r="K88" s="182"/>
      <c r="L88" s="182"/>
      <c r="M88" s="182"/>
      <c r="N88" s="182"/>
      <c r="O88" s="183"/>
      <c r="P88" s="181" t="str">
        <f>IF(VLOOKUP(CONCATENATE($P$10,$Y$10,$A88),Ciencias!A:H,5,FALSE)=0,P87,VLOOKUP(CONCATENATE($P$10,$Y$10,$A88),Ciencias!A:H,5,FALSE))</f>
        <v xml:space="preserve">Modelo atómico de Bohr .   Enlace químico.                                         </v>
      </c>
      <c r="Q88" s="182"/>
      <c r="R88" s="182"/>
      <c r="S88" s="182"/>
      <c r="T88" s="182"/>
      <c r="U88" s="182"/>
      <c r="V88" s="182"/>
      <c r="W88" s="182"/>
      <c r="X88" s="182"/>
      <c r="Y88" s="182"/>
      <c r="Z88" s="182"/>
      <c r="AA88" s="182"/>
      <c r="AB88" s="183"/>
      <c r="AC88" s="97" t="str">
        <f>VLOOKUP(CONCATENATE($P$10,$Y$10,$A88),Ciencias!A:H,8,FALSE)</f>
        <v>Coceptos</v>
      </c>
      <c r="AE88" s="1"/>
    </row>
    <row r="89" spans="1:31" ht="24.95" customHeight="1" x14ac:dyDescent="0.15">
      <c r="A89" s="30">
        <v>6</v>
      </c>
      <c r="B89" s="93" t="e">
        <f>SUMIFS(Captura!FA:FA,Captura!F:F,$Y$10)/$AE$18</f>
        <v>#DIV/0!</v>
      </c>
      <c r="C89" s="181" t="str">
        <f>IF(VLOOKUP(CONCATENATE($P$10,$Y$10,$A89),Ciencias!A:H,4,FALSE)=0,C88,VLOOKUP(CONCATENATE($P$10,$Y$10,$A89),Ciencias!A:H,4,FALSE))</f>
        <v>Representa el enlace químico mediante los electrones de valencia a partir de la estructura de Lewis.</v>
      </c>
      <c r="D89" s="182"/>
      <c r="E89" s="182"/>
      <c r="F89" s="182"/>
      <c r="G89" s="182"/>
      <c r="H89" s="182"/>
      <c r="I89" s="182"/>
      <c r="J89" s="182"/>
      <c r="K89" s="182"/>
      <c r="L89" s="182"/>
      <c r="M89" s="182"/>
      <c r="N89" s="182"/>
      <c r="O89" s="183"/>
      <c r="P89" s="181" t="str">
        <f>IF(VLOOKUP(CONCATENATE($P$10,$Y$10,$A89),Ciencias!A:H,5,FALSE)=0,P88,VLOOKUP(CONCATENATE($P$10,$Y$10,$A89),Ciencias!A:H,5,FALSE))</f>
        <v xml:space="preserve">Modelo atómico de Bohr .   Enlace químico.                                         </v>
      </c>
      <c r="Q89" s="182"/>
      <c r="R89" s="182"/>
      <c r="S89" s="182"/>
      <c r="T89" s="182"/>
      <c r="U89" s="182"/>
      <c r="V89" s="182"/>
      <c r="W89" s="182"/>
      <c r="X89" s="182"/>
      <c r="Y89" s="182"/>
      <c r="Z89" s="182"/>
      <c r="AA89" s="182"/>
      <c r="AB89" s="183"/>
      <c r="AC89" s="97" t="str">
        <f>VLOOKUP(CONCATENATE($P$10,$Y$10,$A89),Ciencias!A:H,8,FALSE)</f>
        <v>Principios</v>
      </c>
      <c r="AE89" s="1"/>
    </row>
    <row r="90" spans="1:31" ht="24.95" customHeight="1" x14ac:dyDescent="0.15">
      <c r="A90" s="30">
        <v>7</v>
      </c>
      <c r="B90" s="93" t="e">
        <f>SUMIFS(Captura!FB:FB,Captura!F:F,$Y$10)/$AE$18</f>
        <v>#DIV/0!</v>
      </c>
      <c r="C90" s="181" t="str">
        <f>IF(VLOOKUP(CONCATENATE($P$10,$Y$10,$A90),Ciencias!A:H,4,FALSE)=0,C89,VLOOKUP(CONCATENATE($P$10,$Y$10,$A90),Ciencias!A:H,4,FALSE))</f>
        <v>Representa mediante la simbología química elementos, moléculas, átomos, iones (aniones y cationes).</v>
      </c>
      <c r="D90" s="182"/>
      <c r="E90" s="182"/>
      <c r="F90" s="182"/>
      <c r="G90" s="182"/>
      <c r="H90" s="182"/>
      <c r="I90" s="182"/>
      <c r="J90" s="182"/>
      <c r="K90" s="182"/>
      <c r="L90" s="182"/>
      <c r="M90" s="182"/>
      <c r="N90" s="182"/>
      <c r="O90" s="183"/>
      <c r="P90" s="181" t="str">
        <f>IF(VLOOKUP(CONCATENATE($P$10,$Y$10,$A90),Ciencias!A:H,5,FALSE)=0,P89,VLOOKUP(CONCATENATE($P$10,$Y$10,$A90),Ciencias!A:H,5,FALSE))</f>
        <v xml:space="preserve">Modelo atómico de Bohr .   Enlace químico.                                         </v>
      </c>
      <c r="Q90" s="182"/>
      <c r="R90" s="182"/>
      <c r="S90" s="182"/>
      <c r="T90" s="182"/>
      <c r="U90" s="182"/>
      <c r="V90" s="182"/>
      <c r="W90" s="182"/>
      <c r="X90" s="182"/>
      <c r="Y90" s="182"/>
      <c r="Z90" s="182"/>
      <c r="AA90" s="182"/>
      <c r="AB90" s="183"/>
      <c r="AC90" s="97" t="str">
        <f>VLOOKUP(CONCATENATE($P$10,$Y$10,$A90),Ciencias!A:H,8,FALSE)</f>
        <v>Principios</v>
      </c>
      <c r="AE90" s="1"/>
    </row>
    <row r="91" spans="1:31" ht="24.95" customHeight="1" x14ac:dyDescent="0.15">
      <c r="A91" s="30">
        <v>8</v>
      </c>
      <c r="B91" s="93" t="e">
        <f>SUMIFS(Captura!FC:FC,Captura!F:F,$Y$10)/$AE$18</f>
        <v>#DIV/0!</v>
      </c>
      <c r="C91" s="181" t="str">
        <f>IF(VLOOKUP(CONCATENATE($P$10,$Y$10,$A91),Ciencias!A:H,4,FALSE)=0,C90,VLOOKUP(CONCATENATE($P$10,$Y$10,$A91),Ciencias!A:H,4,FALSE))</f>
        <v>Representa mediante la simbología química elementos, moléculas, átomos, iones (aniones y cationes).</v>
      </c>
      <c r="D91" s="182"/>
      <c r="E91" s="182"/>
      <c r="F91" s="182"/>
      <c r="G91" s="182"/>
      <c r="H91" s="182"/>
      <c r="I91" s="182"/>
      <c r="J91" s="182"/>
      <c r="K91" s="182"/>
      <c r="L91" s="182"/>
      <c r="M91" s="182"/>
      <c r="N91" s="182"/>
      <c r="O91" s="183"/>
      <c r="P91" s="181" t="str">
        <f>IF(VLOOKUP(CONCATENATE($P$10,$Y$10,$A91),Ciencias!A:H,5,FALSE)=0,P90,VLOOKUP(CONCATENATE($P$10,$Y$10,$A91),Ciencias!A:H,5,FALSE))</f>
        <v xml:space="preserve">Modelo atómico de Bohr .   Enlace químico.                                         </v>
      </c>
      <c r="Q91" s="182"/>
      <c r="R91" s="182"/>
      <c r="S91" s="182"/>
      <c r="T91" s="182"/>
      <c r="U91" s="182"/>
      <c r="V91" s="182"/>
      <c r="W91" s="182"/>
      <c r="X91" s="182"/>
      <c r="Y91" s="182"/>
      <c r="Z91" s="182"/>
      <c r="AA91" s="182"/>
      <c r="AB91" s="183"/>
      <c r="AC91" s="97" t="str">
        <f>VLOOKUP(CONCATENATE($P$10,$Y$10,$A91),Ciencias!A:H,8,FALSE)</f>
        <v>Principios</v>
      </c>
      <c r="AE91" s="1"/>
    </row>
    <row r="92" spans="1:31" ht="24.95" customHeight="1" x14ac:dyDescent="0.15">
      <c r="A92" s="30">
        <v>9</v>
      </c>
      <c r="B92" s="93" t="e">
        <f>SUMIFS(Captura!FD:FD,Captura!F:F,$Y$10)/$AE$18</f>
        <v>#DIV/0!</v>
      </c>
      <c r="C92" s="181" t="str">
        <f>IF(VLOOKUP(CONCATENATE($P$10,$Y$10,$A92),Ciencias!A:H,4,FALSE)=0,C91,VLOOKUP(CONCATENATE($P$10,$Y$10,$A92),Ciencias!A:H,4,FALSE))</f>
        <v>Identifica algunas propiedades de los metales (maleabilidad, ductilidad, brillo, conductividad térmica y eléctrica) y las relaciona con diferentes aplicaciones tecnológicas.</v>
      </c>
      <c r="D92" s="182"/>
      <c r="E92" s="182"/>
      <c r="F92" s="182"/>
      <c r="G92" s="182"/>
      <c r="H92" s="182"/>
      <c r="I92" s="182"/>
      <c r="J92" s="182"/>
      <c r="K92" s="182"/>
      <c r="L92" s="182"/>
      <c r="M92" s="182"/>
      <c r="N92" s="182"/>
      <c r="O92" s="183"/>
      <c r="P92" s="181" t="str">
        <f>IF(VLOOKUP(CONCATENATE($P$10,$Y$10,$A92),Ciencias!A:H,5,FALSE)=0,P91,VLOOKUP(CONCATENATE($P$10,$Y$10,$A92),Ciencias!A:H,5,FALSE))</f>
        <v>Propiedades de los metales, toma de decisiones relacionada con: rechazo, reducción, reuso y reciclado de metales.</v>
      </c>
      <c r="Q92" s="182"/>
      <c r="R92" s="182"/>
      <c r="S92" s="182"/>
      <c r="T92" s="182"/>
      <c r="U92" s="182"/>
      <c r="V92" s="182"/>
      <c r="W92" s="182"/>
      <c r="X92" s="182"/>
      <c r="Y92" s="182"/>
      <c r="Z92" s="182"/>
      <c r="AA92" s="182"/>
      <c r="AB92" s="183"/>
      <c r="AC92" s="97" t="str">
        <f>VLOOKUP(CONCATENATE($P$10,$Y$10,$A92),Ciencias!A:H,8,FALSE)</f>
        <v>Hechos</v>
      </c>
      <c r="AE92" s="1"/>
    </row>
    <row r="93" spans="1:31" ht="24.95" customHeight="1" x14ac:dyDescent="0.15">
      <c r="A93" s="30">
        <v>10</v>
      </c>
      <c r="B93" s="93" t="e">
        <f>SUMIFS(Captura!FE:FE,Captura!F:F,$Y$10)/$AE$18</f>
        <v>#DIV/0!</v>
      </c>
      <c r="C93" s="181" t="str">
        <f>IF(VLOOKUP(CONCATENATE($P$10,$Y$10,$A93),Ciencias!A:H,4,FALSE)=0,C92,VLOOKUP(CONCATENATE($P$10,$Y$10,$A93),Ciencias!A:H,4,FALSE))</f>
        <v>Identifica algunas propiedades de los metales (maleabilidad, ductilidad, brillo, conductividad térmica y eléctrica) y las relaciona con diferentes aplicaciones tecnológicas.</v>
      </c>
      <c r="D93" s="182"/>
      <c r="E93" s="182"/>
      <c r="F93" s="182"/>
      <c r="G93" s="182"/>
      <c r="H93" s="182"/>
      <c r="I93" s="182"/>
      <c r="J93" s="182"/>
      <c r="K93" s="182"/>
      <c r="L93" s="182"/>
      <c r="M93" s="182"/>
      <c r="N93" s="182"/>
      <c r="O93" s="183"/>
      <c r="P93" s="181" t="str">
        <f>IF(VLOOKUP(CONCATENATE($P$10,$Y$10,$A93),Ciencias!A:H,5,FALSE)=0,P92,VLOOKUP(CONCATENATE($P$10,$Y$10,$A93),Ciencias!A:H,5,FALSE))</f>
        <v>Propiedades de los metales, toma de decisiones relacionada con: rechazo, reducción, reuso y reciclado de metales.</v>
      </c>
      <c r="Q93" s="182"/>
      <c r="R93" s="182"/>
      <c r="S93" s="182"/>
      <c r="T93" s="182"/>
      <c r="U93" s="182"/>
      <c r="V93" s="182"/>
      <c r="W93" s="182"/>
      <c r="X93" s="182"/>
      <c r="Y93" s="182"/>
      <c r="Z93" s="182"/>
      <c r="AA93" s="182"/>
      <c r="AB93" s="183"/>
      <c r="AC93" s="97" t="str">
        <f>VLOOKUP(CONCATENATE($P$10,$Y$10,$A93),Ciencias!A:H,8,FALSE)</f>
        <v>Hechos</v>
      </c>
      <c r="AE93" s="1"/>
    </row>
    <row r="94" spans="1:31" ht="24.95" customHeight="1" x14ac:dyDescent="0.15">
      <c r="A94" s="30">
        <v>11</v>
      </c>
      <c r="B94" s="93" t="e">
        <f>SUMIFS(Captura!FF:FF,Captura!F:F,$Y$10)/$AE$18</f>
        <v>#DIV/0!</v>
      </c>
      <c r="C94" s="181" t="str">
        <f>IF(VLOOKUP(CONCATENATE($P$10,$Y$10,$A94),Ciencias!A:H,4,FALSE)=0,C93,VLOOKUP(CONCATENATE($P$10,$Y$10,$A94),Ciencias!A:H,4,FALSE))</f>
        <v>Identifica algunas propiedades de los metales (maleabilidad, ductilidad, brillo, conductividad térmica y eléctrica) y las relaciona con diferentes aplicaciones tecnológicas.</v>
      </c>
      <c r="D94" s="182"/>
      <c r="E94" s="182"/>
      <c r="F94" s="182"/>
      <c r="G94" s="182"/>
      <c r="H94" s="182"/>
      <c r="I94" s="182"/>
      <c r="J94" s="182"/>
      <c r="K94" s="182"/>
      <c r="L94" s="182"/>
      <c r="M94" s="182"/>
      <c r="N94" s="182"/>
      <c r="O94" s="183"/>
      <c r="P94" s="181" t="str">
        <f>IF(VLOOKUP(CONCATENATE($P$10,$Y$10,$A94),Ciencias!A:H,5,FALSE)=0,P93,VLOOKUP(CONCATENATE($P$10,$Y$10,$A94),Ciencias!A:H,5,FALSE))</f>
        <v>Propiedades de los metales, toma de decisiones relacionada con: rechazo, reducción, reuso y reciclado de metales.</v>
      </c>
      <c r="Q94" s="182"/>
      <c r="R94" s="182"/>
      <c r="S94" s="182"/>
      <c r="T94" s="182"/>
      <c r="U94" s="182"/>
      <c r="V94" s="182"/>
      <c r="W94" s="182"/>
      <c r="X94" s="182"/>
      <c r="Y94" s="182"/>
      <c r="Z94" s="182"/>
      <c r="AA94" s="182"/>
      <c r="AB94" s="183"/>
      <c r="AC94" s="97" t="str">
        <f>VLOOKUP(CONCATENATE($P$10,$Y$10,$A94),Ciencias!A:H,8,FALSE)</f>
        <v>Hechos</v>
      </c>
      <c r="AE94" s="1"/>
    </row>
    <row r="95" spans="1:31" ht="24.95" customHeight="1" x14ac:dyDescent="0.15">
      <c r="A95" s="30">
        <v>12</v>
      </c>
      <c r="B95" s="93" t="e">
        <f>SUMIFS(Captura!FG:FG,Captura!F:F,$Y$10)/$AE$18</f>
        <v>#DIV/0!</v>
      </c>
      <c r="C95" s="181" t="str">
        <f>IF(VLOOKUP(CONCATENATE($P$10,$Y$10,$A95),Ciencias!A:H,4,FALSE)=0,C94,VLOOKUP(CONCATENATE($P$10,$Y$10,$A95),Ciencias!A:H,4,FALSE))</f>
        <v>Identifica algunas propiedades de los metales (maleabilidad, ductilidad, brillo, conductividad térmica y eléctrica) y las relaciona con diferentes aplicaciones tecnológicas.</v>
      </c>
      <c r="D95" s="182"/>
      <c r="E95" s="182"/>
      <c r="F95" s="182"/>
      <c r="G95" s="182"/>
      <c r="H95" s="182"/>
      <c r="I95" s="182"/>
      <c r="J95" s="182"/>
      <c r="K95" s="182"/>
      <c r="L95" s="182"/>
      <c r="M95" s="182"/>
      <c r="N95" s="182"/>
      <c r="O95" s="183"/>
      <c r="P95" s="181" t="str">
        <f>IF(VLOOKUP(CONCATENATE($P$10,$Y$10,$A95),Ciencias!A:H,5,FALSE)=0,P94,VLOOKUP(CONCATENATE($P$10,$Y$10,$A95),Ciencias!A:H,5,FALSE))</f>
        <v>Propiedades de los metales, toma de decisiones relacionada con: rechazo, reducción, reuso y reciclado de metales.</v>
      </c>
      <c r="Q95" s="182"/>
      <c r="R95" s="182"/>
      <c r="S95" s="182"/>
      <c r="T95" s="182"/>
      <c r="U95" s="182"/>
      <c r="V95" s="182"/>
      <c r="W95" s="182"/>
      <c r="X95" s="182"/>
      <c r="Y95" s="182"/>
      <c r="Z95" s="182"/>
      <c r="AA95" s="182"/>
      <c r="AB95" s="183"/>
      <c r="AC95" s="97" t="str">
        <f>VLOOKUP(CONCATENATE($P$10,$Y$10,$A95),Ciencias!A:H,8,FALSE)</f>
        <v>Hechos</v>
      </c>
      <c r="AE95" s="1"/>
    </row>
    <row r="96" spans="1:31" ht="24.95" customHeight="1" x14ac:dyDescent="0.15">
      <c r="A96" s="30">
        <v>13</v>
      </c>
      <c r="B96" s="93" t="e">
        <f>SUMIFS(Captura!FH:FH,Captura!F:F,$Y$10)/$AE$18</f>
        <v>#DIV/0!</v>
      </c>
      <c r="C96" s="181" t="str">
        <f>IF(VLOOKUP(CONCATENATE($P$10,$Y$10,$A96),Ciencias!A:H,4,FALSE)=0,C95,VLOOKUP(CONCATENATE($P$10,$Y$10,$A96),Ciencias!A:H,4,FALSE))</f>
        <v>Identifica el análisis y la sistematización de resultados como características del trabajo científico realizado por Cannizzaro, al establecer la distinción entre masa molecular y masa atómica.</v>
      </c>
      <c r="D96" s="182"/>
      <c r="E96" s="182"/>
      <c r="F96" s="182"/>
      <c r="G96" s="182"/>
      <c r="H96" s="182"/>
      <c r="I96" s="182"/>
      <c r="J96" s="182"/>
      <c r="K96" s="182"/>
      <c r="L96" s="182"/>
      <c r="M96" s="182"/>
      <c r="N96" s="182"/>
      <c r="O96" s="183"/>
      <c r="P96" s="181" t="str">
        <f>IF(VLOOKUP(CONCATENATE($P$10,$Y$10,$A96),Ciencias!A:H,5,FALSE)=0,P95,VLOOKUP(CONCATENATE($P$10,$Y$10,$A96),Ciencias!A:H,5,FALSE))</f>
        <v>El orden en la diversidad de las sustancias: aportaciones del trabajo de Cannizzaro y Mendeleiev.</v>
      </c>
      <c r="Q96" s="182"/>
      <c r="R96" s="182"/>
      <c r="S96" s="182"/>
      <c r="T96" s="182"/>
      <c r="U96" s="182"/>
      <c r="V96" s="182"/>
      <c r="W96" s="182"/>
      <c r="X96" s="182"/>
      <c r="Y96" s="182"/>
      <c r="Z96" s="182"/>
      <c r="AA96" s="182"/>
      <c r="AB96" s="183"/>
      <c r="AC96" s="97" t="str">
        <f>VLOOKUP(CONCATENATE($P$10,$Y$10,$A96),Ciencias!A:H,8,FALSE)</f>
        <v>Conceptos</v>
      </c>
      <c r="AE96" s="1"/>
    </row>
    <row r="97" spans="1:31" ht="24.95" customHeight="1" x14ac:dyDescent="0.15">
      <c r="A97" s="30">
        <v>14</v>
      </c>
      <c r="B97" s="93" t="e">
        <f>SUMIFS(Captura!FI:FI,Captura!F:F,$Y$10)/$AE$18</f>
        <v>#DIV/0!</v>
      </c>
      <c r="C97" s="181" t="str">
        <f>IF(VLOOKUP(CONCATENATE($P$10,$Y$10,$A97),Ciencias!A:H,4,FALSE)=0,C96,VLOOKUP(CONCATENATE($P$10,$Y$10,$A97),Ciencias!A:H,4,FALSE))</f>
        <v>Identifica la importancia de la organización y sistematización de elementos con base en su masa atómica, en la tabla periodica de Mendeleiev, que lo llevó a la predicción de algunos elementos aún desconocidos.</v>
      </c>
      <c r="D97" s="182"/>
      <c r="E97" s="182"/>
      <c r="F97" s="182"/>
      <c r="G97" s="182"/>
      <c r="H97" s="182"/>
      <c r="I97" s="182"/>
      <c r="J97" s="182"/>
      <c r="K97" s="182"/>
      <c r="L97" s="182"/>
      <c r="M97" s="182"/>
      <c r="N97" s="182"/>
      <c r="O97" s="183"/>
      <c r="P97" s="181" t="str">
        <f>IF(VLOOKUP(CONCATENATE($P$10,$Y$10,$A97),Ciencias!A:H,5,FALSE)=0,P96,VLOOKUP(CONCATENATE($P$10,$Y$10,$A97),Ciencias!A:H,5,FALSE))</f>
        <v>El orden en la diversidad de las sustancias: aportaciones del trabajo de Cannizzaro y Mendeleiev.</v>
      </c>
      <c r="Q97" s="182"/>
      <c r="R97" s="182"/>
      <c r="S97" s="182"/>
      <c r="T97" s="182"/>
      <c r="U97" s="182"/>
      <c r="V97" s="182"/>
      <c r="W97" s="182"/>
      <c r="X97" s="182"/>
      <c r="Y97" s="182"/>
      <c r="Z97" s="182"/>
      <c r="AA97" s="182"/>
      <c r="AB97" s="183"/>
      <c r="AC97" s="97" t="str">
        <f>VLOOKUP(CONCATENATE($P$10,$Y$10,$A97),Ciencias!A:H,8,FALSE)</f>
        <v>Conceptos</v>
      </c>
      <c r="AE97" s="1"/>
    </row>
    <row r="98" spans="1:31" ht="24.95" customHeight="1" x14ac:dyDescent="0.15">
      <c r="A98" s="30">
        <v>15</v>
      </c>
      <c r="B98" s="93" t="e">
        <f>SUMIFS(Captura!FJ:FJ,Captura!F:F,$Y$10)/$AE$18</f>
        <v>#DIV/0!</v>
      </c>
      <c r="C98" s="181" t="str">
        <f>IF(VLOOKUP(CONCATENATE($P$10,$Y$10,$A98),Ciencias!A:H,4,FALSE)=0,C97,VLOOKUP(CONCATENATE($P$10,$Y$10,$A98),Ciencias!A:H,4,FALSE))</f>
        <v>Identifica la información de la tabla periódica, analiza sus irregularidades y su importancia en la organización de los elementos químicos.</v>
      </c>
      <c r="D98" s="182"/>
      <c r="E98" s="182"/>
      <c r="F98" s="182"/>
      <c r="G98" s="182"/>
      <c r="H98" s="182"/>
      <c r="I98" s="182"/>
      <c r="J98" s="182"/>
      <c r="K98" s="182"/>
      <c r="L98" s="182"/>
      <c r="M98" s="182"/>
      <c r="N98" s="182"/>
      <c r="O98" s="183"/>
      <c r="P98" s="181" t="str">
        <f>IF(VLOOKUP(CONCATENATE($P$10,$Y$10,$A98),Ciencias!A:H,5,FALSE)=0,P97,VLOOKUP(CONCATENATE($P$10,$Y$10,$A98),Ciencias!A:H,5,FALSE))</f>
        <v>Regularidades en la Tabla Periódica de los Elementos químicos representativos. Carácter metálico, valencia, número y masa atómica. Importancia de los elementos químicos para los seres vivos.</v>
      </c>
      <c r="Q98" s="182"/>
      <c r="R98" s="182"/>
      <c r="S98" s="182"/>
      <c r="T98" s="182"/>
      <c r="U98" s="182"/>
      <c r="V98" s="182"/>
      <c r="W98" s="182"/>
      <c r="X98" s="182"/>
      <c r="Y98" s="182"/>
      <c r="Z98" s="182"/>
      <c r="AA98" s="182"/>
      <c r="AB98" s="183"/>
      <c r="AC98" s="97" t="str">
        <f>VLOOKUP(CONCATENATE($P$10,$Y$10,$A98),Ciencias!A:H,8,FALSE)</f>
        <v>Aplicación de procedimientos</v>
      </c>
      <c r="AE98" s="1"/>
    </row>
    <row r="99" spans="1:31" ht="24.95" customHeight="1" x14ac:dyDescent="0.15">
      <c r="A99" s="30">
        <v>16</v>
      </c>
      <c r="B99" s="93" t="e">
        <f>SUMIFS(Captura!FK:FK,Captura!F:F,$Y$10)/$AE$18</f>
        <v>#DIV/0!</v>
      </c>
      <c r="C99" s="181" t="str">
        <f>IF(VLOOKUP(CONCATENATE($P$10,$Y$10,$A99),Ciencias!A:H,4,FALSE)=0,C98,VLOOKUP(CONCATENATE($P$10,$Y$10,$A99),Ciencias!A:H,4,FALSE))</f>
        <v>Identifica la información de la tabla periódica, analiza sus irregularidades y su importancia en la organización de los elementos químicos.</v>
      </c>
      <c r="D99" s="182"/>
      <c r="E99" s="182"/>
      <c r="F99" s="182"/>
      <c r="G99" s="182"/>
      <c r="H99" s="182"/>
      <c r="I99" s="182"/>
      <c r="J99" s="182"/>
      <c r="K99" s="182"/>
      <c r="L99" s="182"/>
      <c r="M99" s="182"/>
      <c r="N99" s="182"/>
      <c r="O99" s="183"/>
      <c r="P99" s="181" t="str">
        <f>IF(VLOOKUP(CONCATENATE($P$10,$Y$10,$A99),Ciencias!A:H,5,FALSE)=0,P98,VLOOKUP(CONCATENATE($P$10,$Y$10,$A99),Ciencias!A:H,5,FALSE))</f>
        <v>Regularidades en la Tabla Periódica de los Elementos químicos representativos. Carácter metálico, valencia, número y masa atómica. Importancia de los elementos químicos para los seres vivos.</v>
      </c>
      <c r="Q99" s="182"/>
      <c r="R99" s="182"/>
      <c r="S99" s="182"/>
      <c r="T99" s="182"/>
      <c r="U99" s="182"/>
      <c r="V99" s="182"/>
      <c r="W99" s="182"/>
      <c r="X99" s="182"/>
      <c r="Y99" s="182"/>
      <c r="Z99" s="182"/>
      <c r="AA99" s="182"/>
      <c r="AB99" s="183"/>
      <c r="AC99" s="97" t="str">
        <f>VLOOKUP(CONCATENATE($P$10,$Y$10,$A99),Ciencias!A:H,8,FALSE)</f>
        <v>Aplicación de procedimientos</v>
      </c>
      <c r="AE99" s="1"/>
    </row>
    <row r="100" spans="1:31" ht="24.95" customHeight="1" x14ac:dyDescent="0.15">
      <c r="A100" s="30">
        <v>17</v>
      </c>
      <c r="B100" s="93" t="e">
        <f>SUMIFS(Captura!FL:FL,Captura!F:F,$Y$10)/$AE$18</f>
        <v>#DIV/0!</v>
      </c>
      <c r="C100" s="181" t="str">
        <f>IF(VLOOKUP(CONCATENATE($P$10,$Y$10,$A100),Ciencias!A:H,4,FALSE)=0,C99,VLOOKUP(CONCATENATE($P$10,$Y$10,$A100),Ciencias!A:H,4,FALSE))</f>
        <v>Identifica la información de la tabla periódica, analiza sus irregularidades y su importancia en la organización de los elementos químicos.</v>
      </c>
      <c r="D100" s="182"/>
      <c r="E100" s="182"/>
      <c r="F100" s="182"/>
      <c r="G100" s="182"/>
      <c r="H100" s="182"/>
      <c r="I100" s="182"/>
      <c r="J100" s="182"/>
      <c r="K100" s="182"/>
      <c r="L100" s="182"/>
      <c r="M100" s="182"/>
      <c r="N100" s="182"/>
      <c r="O100" s="183"/>
      <c r="P100" s="181" t="str">
        <f>IF(VLOOKUP(CONCATENATE($P$10,$Y$10,$A100),Ciencias!A:H,5,FALSE)=0,P99,VLOOKUP(CONCATENATE($P$10,$Y$10,$A100),Ciencias!A:H,5,FALSE))</f>
        <v>Regularidades en la Tabla Periódica de los Elementos químicos representativos. Carácter metálico, valencia, número y masa atómica. Importancia de los elementos químicos para los seres vivos.</v>
      </c>
      <c r="Q100" s="182"/>
      <c r="R100" s="182"/>
      <c r="S100" s="182"/>
      <c r="T100" s="182"/>
      <c r="U100" s="182"/>
      <c r="V100" s="182"/>
      <c r="W100" s="182"/>
      <c r="X100" s="182"/>
      <c r="Y100" s="182"/>
      <c r="Z100" s="182"/>
      <c r="AA100" s="182"/>
      <c r="AB100" s="183"/>
      <c r="AC100" s="97" t="str">
        <f>VLOOKUP(CONCATENATE($P$10,$Y$10,$A100),Ciencias!A:H,8,FALSE)</f>
        <v>Aplicación de procedimientos</v>
      </c>
      <c r="AE100" s="1"/>
    </row>
    <row r="101" spans="1:31" ht="24.95" customHeight="1" x14ac:dyDescent="0.15">
      <c r="A101" s="30">
        <v>18</v>
      </c>
      <c r="B101" s="93" t="e">
        <f>SUMIFS(Captura!FM:FM,Captura!F:F,$Y$10)/$AE$18</f>
        <v>#DIV/0!</v>
      </c>
      <c r="C101" s="181" t="str">
        <f>IF(VLOOKUP(CONCATENATE($P$10,$Y$10,$A101),Ciencias!A:H,4,FALSE)=0,C100,VLOOKUP(CONCATENATE($P$10,$Y$10,$A101),Ciencias!A:H,4,FALSE))</f>
        <v>Relaciona la abundancia de elementos ( C, H, O, N, P, S ) con su importancia para los seres vivos.</v>
      </c>
      <c r="D101" s="182"/>
      <c r="E101" s="182"/>
      <c r="F101" s="182"/>
      <c r="G101" s="182"/>
      <c r="H101" s="182"/>
      <c r="I101" s="182"/>
      <c r="J101" s="182"/>
      <c r="K101" s="182"/>
      <c r="L101" s="182"/>
      <c r="M101" s="182"/>
      <c r="N101" s="182"/>
      <c r="O101" s="183"/>
      <c r="P101" s="181" t="str">
        <f>IF(VLOOKUP(CONCATENATE($P$10,$Y$10,$A101),Ciencias!A:H,5,FALSE)=0,P100,VLOOKUP(CONCATENATE($P$10,$Y$10,$A101),Ciencias!A:H,5,FALSE))</f>
        <v>Regularidades en la Tabla Periódica de los Elementos químicos representativos. Carácter metálico, valencia, número y masa atómica. Importancia de los elementos químicos para los seres vivos.</v>
      </c>
      <c r="Q101" s="182"/>
      <c r="R101" s="182"/>
      <c r="S101" s="182"/>
      <c r="T101" s="182"/>
      <c r="U101" s="182"/>
      <c r="V101" s="182"/>
      <c r="W101" s="182"/>
      <c r="X101" s="182"/>
      <c r="Y101" s="182"/>
      <c r="Z101" s="182"/>
      <c r="AA101" s="182"/>
      <c r="AB101" s="183"/>
      <c r="AC101" s="97" t="str">
        <f>VLOOKUP(CONCATENATE($P$10,$Y$10,$A101),Ciencias!A:H,8,FALSE)</f>
        <v>Hechos</v>
      </c>
      <c r="AE101" s="1"/>
    </row>
    <row r="102" spans="1:31" ht="24.95" customHeight="1" x14ac:dyDescent="0.15">
      <c r="A102" s="30">
        <v>19</v>
      </c>
      <c r="B102" s="93" t="e">
        <f>SUMIFS(Captura!FN:FN,Captura!F:F,$Y$10)/$AE$18</f>
        <v>#DIV/0!</v>
      </c>
      <c r="C102" s="181" t="str">
        <f>IF(VLOOKUP(CONCATENATE($P$10,$Y$10,$A102),Ciencias!A:H,4,FALSE)=0,C101,VLOOKUP(CONCATENATE($P$10,$Y$10,$A102),Ciencias!A:H,4,FALSE))</f>
        <v>Explica las características de los enlaces químicos a partir del modelo de compartición (covalente) y de transferencia de electrones (iónico).</v>
      </c>
      <c r="D102" s="182"/>
      <c r="E102" s="182"/>
      <c r="F102" s="182"/>
      <c r="G102" s="182"/>
      <c r="H102" s="182"/>
      <c r="I102" s="182"/>
      <c r="J102" s="182"/>
      <c r="K102" s="182"/>
      <c r="L102" s="182"/>
      <c r="M102" s="182"/>
      <c r="N102" s="182"/>
      <c r="O102" s="183"/>
      <c r="P102" s="181" t="str">
        <f>IF(VLOOKUP(CONCATENATE($P$10,$Y$10,$A102),Ciencias!A:H,5,FALSE)=0,P101,VLOOKUP(CONCATENATE($P$10,$Y$10,$A102),Ciencias!A:H,5,FALSE))</f>
        <v>Modelos de enlace: covalente e iónico. Relación entre las propiedades de las sustancias con el modelo de enlace: covalente e iónico.</v>
      </c>
      <c r="Q102" s="182"/>
      <c r="R102" s="182"/>
      <c r="S102" s="182"/>
      <c r="T102" s="182"/>
      <c r="U102" s="182"/>
      <c r="V102" s="182"/>
      <c r="W102" s="182"/>
      <c r="X102" s="182"/>
      <c r="Y102" s="182"/>
      <c r="Z102" s="182"/>
      <c r="AA102" s="182"/>
      <c r="AB102" s="183"/>
      <c r="AC102" s="97" t="str">
        <f>VLOOKUP(CONCATENATE($P$10,$Y$10,$A102),Ciencias!A:H,8,FALSE)</f>
        <v>Hechos</v>
      </c>
      <c r="AE102" s="1"/>
    </row>
    <row r="103" spans="1:31" ht="24.95" customHeight="1" x14ac:dyDescent="0.15">
      <c r="A103" s="30">
        <v>20</v>
      </c>
      <c r="B103" s="93" t="e">
        <f>SUMIFS(Captura!FO:FO,Captura!F:F,$Y$10)/$AE$18</f>
        <v>#DIV/0!</v>
      </c>
      <c r="C103" s="181" t="str">
        <f>IF(VLOOKUP(CONCATENATE($P$10,$Y$10,$A103),Ciencias!A:H,4,FALSE)=0,C102,VLOOKUP(CONCATENATE($P$10,$Y$10,$A103),Ciencias!A:H,4,FALSE))</f>
        <v>Identifica que las propiedades de los materiales se explican a través de su estructura (atómica, molecular).</v>
      </c>
      <c r="D103" s="182"/>
      <c r="E103" s="182"/>
      <c r="F103" s="182"/>
      <c r="G103" s="182"/>
      <c r="H103" s="182"/>
      <c r="I103" s="182"/>
      <c r="J103" s="182"/>
      <c r="K103" s="182"/>
      <c r="L103" s="182"/>
      <c r="M103" s="182"/>
      <c r="N103" s="182"/>
      <c r="O103" s="183"/>
      <c r="P103" s="181" t="str">
        <f>IF(VLOOKUP(CONCATENATE($P$10,$Y$10,$A103),Ciencias!A:H,5,FALSE)=0,P102,VLOOKUP(CONCATENATE($P$10,$Y$10,$A103),Ciencias!A:H,5,FALSE))</f>
        <v>Modelos de enlace: covalente e iónico. Relación entre las propiedades de las sustancias con el modelo de enlace: covalente e iónico.</v>
      </c>
      <c r="Q103" s="182"/>
      <c r="R103" s="182"/>
      <c r="S103" s="182"/>
      <c r="T103" s="182"/>
      <c r="U103" s="182"/>
      <c r="V103" s="182"/>
      <c r="W103" s="182"/>
      <c r="X103" s="182"/>
      <c r="Y103" s="182"/>
      <c r="Z103" s="182"/>
      <c r="AA103" s="182"/>
      <c r="AB103" s="183"/>
      <c r="AC103" s="97" t="str">
        <f>VLOOKUP(CONCATENATE($P$10,$Y$10,$A103),Ciencias!A:H,8,FALSE)</f>
        <v>Aplicación de procedimientos</v>
      </c>
      <c r="AE103" s="1"/>
    </row>
    <row r="104" spans="1:31" ht="10.5" customHeight="1" x14ac:dyDescent="0.15">
      <c r="C104" s="2"/>
      <c r="D104" s="2"/>
      <c r="E104" s="2"/>
      <c r="F104" s="2"/>
      <c r="G104" s="2"/>
      <c r="H104" s="2"/>
      <c r="I104" s="2"/>
      <c r="J104" s="2"/>
      <c r="K104" s="2"/>
      <c r="L104" s="2"/>
      <c r="M104" s="2"/>
      <c r="N104" s="2"/>
      <c r="Q104" s="1"/>
      <c r="R104" s="1"/>
      <c r="S104" s="1"/>
      <c r="T104" s="1"/>
      <c r="U104" s="1"/>
      <c r="V104" s="1"/>
      <c r="W104" s="1"/>
      <c r="X104" s="1"/>
      <c r="Y104" s="1"/>
      <c r="Z104" s="1"/>
      <c r="AA104" s="1"/>
      <c r="AE104" s="1"/>
    </row>
    <row r="105" spans="1:31" ht="10.5" customHeight="1" x14ac:dyDescent="0.15">
      <c r="A105" s="189" t="str">
        <f>IF(P10=1,"Geografía de México y del Mundo",IF(P10=2,"Historia I",IF(P10=3,"Historia II")))</f>
        <v>Historia II</v>
      </c>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E105" s="1"/>
    </row>
    <row r="106" spans="1:31" ht="21" x14ac:dyDescent="0.15">
      <c r="A106" s="95" t="s">
        <v>6125</v>
      </c>
      <c r="B106" s="96" t="s">
        <v>6376</v>
      </c>
      <c r="C106" s="187" t="s">
        <v>6365</v>
      </c>
      <c r="D106" s="187"/>
      <c r="E106" s="187"/>
      <c r="F106" s="187"/>
      <c r="G106" s="187"/>
      <c r="H106" s="187"/>
      <c r="I106" s="187"/>
      <c r="J106" s="187"/>
      <c r="K106" s="187"/>
      <c r="L106" s="187"/>
      <c r="M106" s="187"/>
      <c r="N106" s="187"/>
      <c r="O106" s="187"/>
      <c r="P106" s="196" t="s">
        <v>6366</v>
      </c>
      <c r="Q106" s="197"/>
      <c r="R106" s="197"/>
      <c r="S106" s="197"/>
      <c r="T106" s="197"/>
      <c r="U106" s="197"/>
      <c r="V106" s="197"/>
      <c r="W106" s="197"/>
      <c r="X106" s="197"/>
      <c r="Y106" s="197"/>
      <c r="Z106" s="197"/>
      <c r="AA106" s="197"/>
      <c r="AB106" s="198"/>
      <c r="AC106" s="85" t="s">
        <v>6377</v>
      </c>
      <c r="AE106" s="1"/>
    </row>
    <row r="107" spans="1:31" ht="24.95" customHeight="1" x14ac:dyDescent="0.15">
      <c r="A107" s="30">
        <v>1</v>
      </c>
      <c r="B107" s="93" t="e">
        <f>SUMIFS(Captura!FP:FP,Captura!F:F,$Y$10)/$AE$19</f>
        <v>#DIV/0!</v>
      </c>
      <c r="C107" s="181" t="str">
        <f>IF(VLOOKUP(CONCATENATE($P$10,$Y$10,$A107),GeoHis!A:H,4,FALSE)=0,C106,VLOOKUP(CONCATENATE($P$10,$Y$10,$A107),GeoHis!A:H,4,FALSE))</f>
        <v>Ordena secuencialmente hechos y procesos relacionados con las reformas borbónicas y la Independencia de México, utilizando términos como siglo, década y año.                              Señala las transformaciones del territorio novohispano en el siglo XVIII y las zonas de influencia de los insurgentes.</v>
      </c>
      <c r="D107" s="182"/>
      <c r="E107" s="182"/>
      <c r="F107" s="182"/>
      <c r="G107" s="182"/>
      <c r="H107" s="182"/>
      <c r="I107" s="182"/>
      <c r="J107" s="182"/>
      <c r="K107" s="182"/>
      <c r="L107" s="182"/>
      <c r="M107" s="182"/>
      <c r="N107" s="182"/>
      <c r="O107" s="183"/>
      <c r="P107" s="201" t="str">
        <f>IF(VLOOKUP(CONCATENATE($P$10,$Y$10,$A107),GeoHis!A:H,5,FALSE)=0,P106,VLOOKUP(CONCATENATE($P$10,$Y$10,$A107),GeoHis!A:H,5,FALSE))</f>
        <v>PANORAMA DEL PERIODO                             UBICACIÓN TEMPORAL Y ESPACIAL DEL MOVIMIENTO DE ILUSTRACIÓN, LAS REFORMAS BORBÓNICAS Y EL PROCESO DE INDEPENDENCIA.</v>
      </c>
      <c r="Q107" s="202"/>
      <c r="R107" s="202"/>
      <c r="S107" s="202"/>
      <c r="T107" s="202"/>
      <c r="U107" s="202"/>
      <c r="V107" s="202"/>
      <c r="W107" s="202"/>
      <c r="X107" s="202"/>
      <c r="Y107" s="202"/>
      <c r="Z107" s="202"/>
      <c r="AA107" s="202"/>
      <c r="AB107" s="203"/>
      <c r="AC107" s="97" t="str">
        <f>VLOOKUP(CONCATENATE($P$10,$Y$10,$A107),GeoHis!A:H,8,FALSE)</f>
        <v>Aplicación de procedimientos</v>
      </c>
      <c r="AE107" s="1"/>
    </row>
    <row r="108" spans="1:31" s="1" customFormat="1" ht="24.95" customHeight="1" x14ac:dyDescent="0.15">
      <c r="A108" s="30">
        <v>2</v>
      </c>
      <c r="B108" s="93" t="e">
        <f>SUMIFS(Captura!FQ:FQ,Captura!F:F,$Y$10)/$AE$19</f>
        <v>#DIV/0!</v>
      </c>
      <c r="C108" s="181" t="str">
        <f>IF(VLOOKUP(CONCATENATE($P$10,$Y$10,$A108),GeoHis!A:H,4,FALSE)=0,C107,VLOOKUP(CONCATENATE($P$10,$Y$10,$A108),GeoHis!A:H,4,FALSE))</f>
        <v>Ordena secuencialmente hechos y procesos relacionados con las reformas borbónicas y la Independencia de México, utilizando términos como siglo, década y año.                              Señala las transformaciones del territorio novohispano en el siglo XVIII y las zonas de influencia de los insurgentes.</v>
      </c>
      <c r="D108" s="182"/>
      <c r="E108" s="182"/>
      <c r="F108" s="182"/>
      <c r="G108" s="182"/>
      <c r="H108" s="182"/>
      <c r="I108" s="182"/>
      <c r="J108" s="182"/>
      <c r="K108" s="182"/>
      <c r="L108" s="182"/>
      <c r="M108" s="182"/>
      <c r="N108" s="182"/>
      <c r="O108" s="183"/>
      <c r="P108" s="201" t="str">
        <f>IF(VLOOKUP(CONCATENATE($P$10,$Y$10,$A108),GeoHis!A:H,5,FALSE)=0,P107,VLOOKUP(CONCATENATE($P$10,$Y$10,$A108),GeoHis!A:H,5,FALSE))</f>
        <v>PANORAMA DEL PERIODO                             UBICACIÓN TEMPORAL Y ESPACIAL DEL MOVIMIENTO DE ILUSTRACIÓN, LAS REFORMAS BORBÓNICAS Y EL PROCESO DE INDEPENDENCIA.</v>
      </c>
      <c r="Q108" s="202"/>
      <c r="R108" s="202"/>
      <c r="S108" s="202"/>
      <c r="T108" s="202"/>
      <c r="U108" s="202"/>
      <c r="V108" s="202"/>
      <c r="W108" s="202"/>
      <c r="X108" s="202"/>
      <c r="Y108" s="202"/>
      <c r="Z108" s="202"/>
      <c r="AA108" s="202"/>
      <c r="AB108" s="203"/>
      <c r="AC108" s="97" t="str">
        <f>VLOOKUP(CONCATENATE($P$10,$Y$10,$A108),GeoHis!A:H,8,FALSE)</f>
        <v>Hechos</v>
      </c>
      <c r="AD108" s="2"/>
    </row>
    <row r="109" spans="1:31" s="1" customFormat="1" ht="24.95" customHeight="1" x14ac:dyDescent="0.15">
      <c r="A109" s="30">
        <v>3</v>
      </c>
      <c r="B109" s="93" t="e">
        <f>SUMIFS(Captura!FR:FR,Captura!F:F,$Y$10)/$AE$19</f>
        <v>#DIV/0!</v>
      </c>
      <c r="C109" s="181" t="str">
        <f>IF(VLOOKUP(CONCATENATE($P$10,$Y$10,$A109),GeoHis!A:H,4,FALSE)=0,C108,VLOOKUP(CONCATENATE($P$10,$Y$10,$A109),GeoHis!A:H,4,FALSE))</f>
        <v>Reconoce las causas y consecuencias del crecimiento económico novohispano en el siglo XVIII.</v>
      </c>
      <c r="D109" s="182"/>
      <c r="E109" s="182"/>
      <c r="F109" s="182"/>
      <c r="G109" s="182"/>
      <c r="H109" s="182"/>
      <c r="I109" s="182"/>
      <c r="J109" s="182"/>
      <c r="K109" s="182"/>
      <c r="L109" s="182"/>
      <c r="M109" s="182"/>
      <c r="N109" s="182"/>
      <c r="O109" s="183"/>
      <c r="P109" s="201" t="str">
        <f>IF(VLOOKUP(CONCATENATE($P$10,$Y$10,$A109),GeoHis!A:H,5,FALSE)=0,P108,VLOOKUP(CONCATENATE($P$10,$Y$10,$A109),GeoHis!A:H,5,FALSE))</f>
        <v>TEMAS PARA COMPRENDER EL PERIODO                                                      ¿Cómo afectó la crisis de la Corona española a Nueva España?                            EL AUGE DE LA ECONOMÍA NOVOHISPANA: Crecimiento de la población y florecimiento de las ciudades. Desarrollo de las redes comerciales internas. El papel económico de la Iglesia y las grandes fortunas mineras y comerciales. Las innovaciones agropecuarias, la tecnología minera e inicios de la actividad industrial.</v>
      </c>
      <c r="Q109" s="202"/>
      <c r="R109" s="202"/>
      <c r="S109" s="202"/>
      <c r="T109" s="202"/>
      <c r="U109" s="202"/>
      <c r="V109" s="202"/>
      <c r="W109" s="202"/>
      <c r="X109" s="202"/>
      <c r="Y109" s="202"/>
      <c r="Z109" s="202"/>
      <c r="AA109" s="202"/>
      <c r="AB109" s="203"/>
      <c r="AC109" s="97" t="str">
        <f>VLOOKUP(CONCATENATE($P$10,$Y$10,$A109),GeoHis!A:H,8,FALSE)</f>
        <v>Hechos</v>
      </c>
      <c r="AD109" s="2"/>
    </row>
    <row r="110" spans="1:31" s="1" customFormat="1" ht="24.95" customHeight="1" x14ac:dyDescent="0.15">
      <c r="A110" s="30">
        <v>4</v>
      </c>
      <c r="B110" s="93" t="e">
        <f>SUMIFS(Captura!FS:FS,Captura!F:F,$Y$10)/$AE$19</f>
        <v>#DIV/0!</v>
      </c>
      <c r="C110" s="181" t="str">
        <f>IF(VLOOKUP(CONCATENATE($P$10,$Y$10,$A110),GeoHis!A:H,4,FALSE)=0,C109,VLOOKUP(CONCATENATE($P$10,$Y$10,$A110),GeoHis!A:H,4,FALSE))</f>
        <v>Explica las causas y consecuencias de las reformas borbónicas.</v>
      </c>
      <c r="D110" s="182"/>
      <c r="E110" s="182"/>
      <c r="F110" s="182"/>
      <c r="G110" s="182"/>
      <c r="H110" s="182"/>
      <c r="I110" s="182"/>
      <c r="J110" s="182"/>
      <c r="K110" s="182"/>
      <c r="L110" s="182"/>
      <c r="M110" s="182"/>
      <c r="N110" s="182"/>
      <c r="O110" s="183"/>
      <c r="P110" s="201" t="str">
        <f>IF(VLOOKUP(CONCATENATE($P$10,$Y$10,$A110),GeoHis!A:H,5,FALSE)=0,P109,VLOOKUP(CONCATENATE($P$10,$Y$10,$A110),GeoHis!A:H,5,FALSE))</f>
        <v>LA TRANSFORMACIÓN DE LA MONARQUÍA ESPAÑOLA Y LAS REFORMAS DE NUEVA ESPAÑA: La decadencia del poderío naval español y las reformas borbónicas. Las reformas en Nueva España: nuevo estilo de gobierno, división política, establecimiento del ejército y la apertura del comercio libre.</v>
      </c>
      <c r="Q110" s="202"/>
      <c r="R110" s="202"/>
      <c r="S110" s="202"/>
      <c r="T110" s="202"/>
      <c r="U110" s="202"/>
      <c r="V110" s="202"/>
      <c r="W110" s="202"/>
      <c r="X110" s="202"/>
      <c r="Y110" s="202"/>
      <c r="Z110" s="202"/>
      <c r="AA110" s="202"/>
      <c r="AB110" s="203"/>
      <c r="AC110" s="97" t="str">
        <f>VLOOKUP(CONCATENATE($P$10,$Y$10,$A110),GeoHis!A:H,8,FALSE)</f>
        <v>Hechos</v>
      </c>
      <c r="AD110" s="2"/>
    </row>
    <row r="111" spans="1:31" s="1" customFormat="1" ht="24.95" customHeight="1" x14ac:dyDescent="0.15">
      <c r="A111" s="30">
        <v>5</v>
      </c>
      <c r="B111" s="93" t="e">
        <f>SUMIFS(Captura!FT:FT,Captura!F:F,$Y$10)/$AE$19</f>
        <v>#DIV/0!</v>
      </c>
      <c r="C111" s="181" t="str">
        <f>IF(VLOOKUP(CONCATENATE($P$10,$Y$10,$A111),GeoHis!A:H,4,FALSE)=0,C110,VLOOKUP(CONCATENATE($P$10,$Y$10,$A111),GeoHis!A:H,4,FALSE))</f>
        <v>Explica las causas y consecuencias de las reformas borbónicas.</v>
      </c>
      <c r="D111" s="182"/>
      <c r="E111" s="182"/>
      <c r="F111" s="182"/>
      <c r="G111" s="182"/>
      <c r="H111" s="182"/>
      <c r="I111" s="182"/>
      <c r="J111" s="182"/>
      <c r="K111" s="182"/>
      <c r="L111" s="182"/>
      <c r="M111" s="182"/>
      <c r="N111" s="182"/>
      <c r="O111" s="183"/>
      <c r="P111" s="201" t="str">
        <f>IF(VLOOKUP(CONCATENATE($P$10,$Y$10,$A111),GeoHis!A:H,5,FALSE)=0,P110,VLOOKUP(CONCATENATE($P$10,$Y$10,$A111),GeoHis!A:H,5,FALSE))</f>
        <v>LA TRANSFORMACIÓN DE LA MONARQUÍA ESPAÑOLA Y LAS REFORMAS DE NUEVA ESPAÑA: La decadencia del poderío naval español y las reformas borbónicas. Las reformas en Nueva España: nuevo estilo de gobierno, división política, establecimiento del ejército y la apertura del comercio libre.</v>
      </c>
      <c r="Q111" s="202"/>
      <c r="R111" s="202"/>
      <c r="S111" s="202"/>
      <c r="T111" s="202"/>
      <c r="U111" s="202"/>
      <c r="V111" s="202"/>
      <c r="W111" s="202"/>
      <c r="X111" s="202"/>
      <c r="Y111" s="202"/>
      <c r="Z111" s="202"/>
      <c r="AA111" s="202"/>
      <c r="AB111" s="203"/>
      <c r="AC111" s="97" t="str">
        <f>VLOOKUP(CONCATENATE($P$10,$Y$10,$A111),GeoHis!A:H,8,FALSE)</f>
        <v xml:space="preserve">  Hechos</v>
      </c>
      <c r="AD111" s="2"/>
    </row>
    <row r="112" spans="1:31" s="1" customFormat="1" ht="24.95" customHeight="1" x14ac:dyDescent="0.15">
      <c r="A112" s="30">
        <v>6</v>
      </c>
      <c r="B112" s="93" t="e">
        <f>SUMIFS(Captura!FU:FU,Captura!F:F,$Y$10)/$AE$19</f>
        <v>#DIV/0!</v>
      </c>
      <c r="C112" s="181" t="str">
        <f>IF(VLOOKUP(CONCATENATE($P$10,$Y$10,$A112),GeoHis!A:H,4,FALSE)=0,C111,VLOOKUP(CONCATENATE($P$10,$Y$10,$A112),GeoHis!A:H,4,FALSE))</f>
        <v>Explica la desigualdad social y política entre los distintos grupos de la Nueva España.</v>
      </c>
      <c r="D112" s="182"/>
      <c r="E112" s="182"/>
      <c r="F112" s="182"/>
      <c r="G112" s="182"/>
      <c r="H112" s="182"/>
      <c r="I112" s="182"/>
      <c r="J112" s="182"/>
      <c r="K112" s="182"/>
      <c r="L112" s="182"/>
      <c r="M112" s="182"/>
      <c r="N112" s="182"/>
      <c r="O112" s="183"/>
      <c r="P112" s="201" t="str">
        <f>IF(VLOOKUP(CONCATENATE($P$10,$Y$10,$A112),GeoHis!A:H,5,FALSE)=0,P111,VLOOKUP(CONCATENATE($P$10,$Y$10,$A112),GeoHis!A:H,5,FALSE))</f>
        <v>DESIGUALDAD SOCIAL: Corporaciones y fueros. Las tensiones sociales de la ciudad. El crecimiento de las haciendas y los conflictos rurales.</v>
      </c>
      <c r="Q112" s="202"/>
      <c r="R112" s="202"/>
      <c r="S112" s="202"/>
      <c r="T112" s="202"/>
      <c r="U112" s="202"/>
      <c r="V112" s="202"/>
      <c r="W112" s="202"/>
      <c r="X112" s="202"/>
      <c r="Y112" s="202"/>
      <c r="Z112" s="202"/>
      <c r="AA112" s="202"/>
      <c r="AB112" s="203"/>
      <c r="AC112" s="97" t="str">
        <f>VLOOKUP(CONCATENATE($P$10,$Y$10,$A112),GeoHis!A:H,8,FALSE)</f>
        <v>Conceptos</v>
      </c>
      <c r="AD112" s="2"/>
    </row>
    <row r="113" spans="1:31" ht="24.95" customHeight="1" x14ac:dyDescent="0.15">
      <c r="A113" s="30">
        <v>7</v>
      </c>
      <c r="B113" s="93" t="e">
        <f>SUMIFS(Captura!FV:FV,Captura!F:F,$Y$10)/$AE$19</f>
        <v>#DIV/0!</v>
      </c>
      <c r="C113" s="181" t="str">
        <f>IF(VLOOKUP(CONCATENATE($P$10,$Y$10,$A113),GeoHis!A:H,4,FALSE)=0,C112,VLOOKUP(CONCATENATE($P$10,$Y$10,$A113),GeoHis!A:H,4,FALSE))</f>
        <v>Reconoce la multicausalidad de la crisis política en Nueva España y del inicio de la Guerra de Independencia.</v>
      </c>
      <c r="D113" s="182"/>
      <c r="E113" s="182"/>
      <c r="F113" s="182"/>
      <c r="G113" s="182"/>
      <c r="H113" s="182"/>
      <c r="I113" s="182"/>
      <c r="J113" s="182"/>
      <c r="K113" s="182"/>
      <c r="L113" s="182"/>
      <c r="M113" s="182"/>
      <c r="N113" s="182"/>
      <c r="O113" s="183"/>
      <c r="P113" s="201" t="str">
        <f>IF(VLOOKUP(CONCATENATE($P$10,$Y$10,$A113),GeoHis!A:H,5,FALSE)=0,P112,VLOOKUP(CONCATENATE($P$10,$Y$10,$A113),GeoHis!A:H,5,FALSE))</f>
        <v>LA CRISIS POLÍTICA: Ideas ilustradas en las posesiones españolas en América. La invasión francesa de España. El criollismo y el anhelo de autonomía. El golpe de Estado de los peninsulares. Conspiraciones e insurrección de 1810.</v>
      </c>
      <c r="Q113" s="202"/>
      <c r="R113" s="202"/>
      <c r="S113" s="202"/>
      <c r="T113" s="202"/>
      <c r="U113" s="202"/>
      <c r="V113" s="202"/>
      <c r="W113" s="202"/>
      <c r="X113" s="202"/>
      <c r="Y113" s="202"/>
      <c r="Z113" s="202"/>
      <c r="AA113" s="202"/>
      <c r="AB113" s="203"/>
      <c r="AC113" s="97" t="str">
        <f>VLOOKUP(CONCATENATE($P$10,$Y$10,$A113),GeoHis!A:H,8,FALSE)</f>
        <v xml:space="preserve">Aplicación de procedimientos          </v>
      </c>
      <c r="AE113" s="1"/>
    </row>
    <row r="114" spans="1:31" ht="24.95" customHeight="1" x14ac:dyDescent="0.15">
      <c r="A114" s="30">
        <v>8</v>
      </c>
      <c r="B114" s="93" t="e">
        <f>SUMIFS(Captura!FW:FW,Captura!F:F,$Y$10)/$AE$19</f>
        <v>#DIV/0!</v>
      </c>
      <c r="C114" s="181" t="str">
        <f>IF(VLOOKUP(CONCATENATE($P$10,$Y$10,$A114),GeoHis!A:H,4,FALSE)=0,C113,VLOOKUP(CONCATENATE($P$10,$Y$10,$A114),GeoHis!A:H,4,FALSE))</f>
        <v>Explica el proceso de Independencia y la influencia del liberalismo.</v>
      </c>
      <c r="D114" s="182"/>
      <c r="E114" s="182"/>
      <c r="F114" s="182"/>
      <c r="G114" s="182"/>
      <c r="H114" s="182"/>
      <c r="I114" s="182"/>
      <c r="J114" s="182"/>
      <c r="K114" s="182"/>
      <c r="L114" s="182"/>
      <c r="M114" s="182"/>
      <c r="N114" s="182"/>
      <c r="O114" s="183"/>
      <c r="P114" s="201" t="str">
        <f>IF(VLOOKUP(CONCATENATE($P$10,$Y$10,$A114),GeoHis!A:H,5,FALSE)=0,P113,VLOOKUP(CONCATENATE($P$10,$Y$10,$A114),GeoHis!A:H,5,FALSE))</f>
        <v>HACIA LA INDEPENDENCIA: Insurgentes y realistas en el movimiento de independencia. El pensamiento social de los insurgentes. El liberalismo español y la Constitución de Cádiz de 1812. Resistencia y guerra de guerrillas. La consumación de la Independencia.</v>
      </c>
      <c r="Q114" s="202"/>
      <c r="R114" s="202"/>
      <c r="S114" s="202"/>
      <c r="T114" s="202"/>
      <c r="U114" s="202"/>
      <c r="V114" s="202"/>
      <c r="W114" s="202"/>
      <c r="X114" s="202"/>
      <c r="Y114" s="202"/>
      <c r="Z114" s="202"/>
      <c r="AA114" s="202"/>
      <c r="AB114" s="203"/>
      <c r="AC114" s="97" t="str">
        <f>VLOOKUP(CONCATENATE($P$10,$Y$10,$A114),GeoHis!A:H,8,FALSE)</f>
        <v>Conceptos</v>
      </c>
      <c r="AE114" s="1"/>
    </row>
    <row r="115" spans="1:31" ht="24.95" customHeight="1" x14ac:dyDescent="0.15">
      <c r="A115" s="30">
        <v>9</v>
      </c>
      <c r="B115" s="93" t="e">
        <f>SUMIFS(Captura!FX:FX,Captura!F:F,$Y$10)/$AE$19</f>
        <v>#DIV/0!</v>
      </c>
      <c r="C115" s="181" t="str">
        <f>IF(VLOOKUP(CONCATENATE($P$10,$Y$10,$A115),GeoHis!A:H,4,FALSE)=0,C114,VLOOKUP(CONCATENATE($P$10,$Y$10,$A115),GeoHis!A:H,4,FALSE))</f>
        <v>Explica el proceso de Independencia y la influencia del liberalismo.</v>
      </c>
      <c r="D115" s="182"/>
      <c r="E115" s="182"/>
      <c r="F115" s="182"/>
      <c r="G115" s="182"/>
      <c r="H115" s="182"/>
      <c r="I115" s="182"/>
      <c r="J115" s="182"/>
      <c r="K115" s="182"/>
      <c r="L115" s="182"/>
      <c r="M115" s="182"/>
      <c r="N115" s="182"/>
      <c r="O115" s="183"/>
      <c r="P115" s="201" t="str">
        <f>IF(VLOOKUP(CONCATENATE($P$10,$Y$10,$A115),GeoHis!A:H,5,FALSE)=0,P114,VLOOKUP(CONCATENATE($P$10,$Y$10,$A115),GeoHis!A:H,5,FALSE))</f>
        <v>HACIA LA INDEPENDENCIA: Insurgentes y realistas en el movimiento de independencia. El pensamiento social de los insurgentes. El liberalismo español y la Constitución de Cádiz de 1812. Resistencia y guerra de guerrillas. La consumación de la Independencia.</v>
      </c>
      <c r="Q115" s="202"/>
      <c r="R115" s="202"/>
      <c r="S115" s="202"/>
      <c r="T115" s="202"/>
      <c r="U115" s="202"/>
      <c r="V115" s="202"/>
      <c r="W115" s="202"/>
      <c r="X115" s="202"/>
      <c r="Y115" s="202"/>
      <c r="Z115" s="202"/>
      <c r="AA115" s="202"/>
      <c r="AB115" s="203"/>
      <c r="AC115" s="97" t="str">
        <f>VLOOKUP(CONCATENATE($P$10,$Y$10,$A115),GeoHis!A:H,8,FALSE)</f>
        <v xml:space="preserve">Conceptos       </v>
      </c>
      <c r="AE115" s="1"/>
    </row>
    <row r="116" spans="1:31" ht="24.95" customHeight="1" x14ac:dyDescent="0.15">
      <c r="A116" s="30">
        <v>10</v>
      </c>
      <c r="B116" s="93" t="e">
        <f>SUMIFS(Captura!FY:FY,Captura!F:F,$Y$10)/$AE$19</f>
        <v>#DIV/0!</v>
      </c>
      <c r="C116" s="181" t="str">
        <f>IF(VLOOKUP(CONCATENATE($P$10,$Y$10,$A116),GeoHis!A:H,4,FALSE)=0,C115,VLOOKUP(CONCATENATE($P$10,$Y$10,$A116),GeoHis!A:H,4,FALSE))</f>
        <v>Reconoce las características del neoclásico y la influencia de la ilustración en la creación de nuevas instituciones científicas y académicas.</v>
      </c>
      <c r="D116" s="182"/>
      <c r="E116" s="182"/>
      <c r="F116" s="182"/>
      <c r="G116" s="182"/>
      <c r="H116" s="182"/>
      <c r="I116" s="182"/>
      <c r="J116" s="182"/>
      <c r="K116" s="182"/>
      <c r="L116" s="182"/>
      <c r="M116" s="182"/>
      <c r="N116" s="182"/>
      <c r="O116" s="183"/>
      <c r="P116" s="199" t="str">
        <f>IF(VLOOKUP(CONCATENATE($P$10,$Y$10,$A116),GeoHis!A:H,5,FALSE)=0,P115,VLOOKUP(CONCATENATE($P$10,$Y$10,$A116),GeoHis!A:H,5,FALSE))</f>
        <v>ARTE Y CULTURA: Del barroco al neoclásico. Nuevas instituciones académicas y modernización de los estudios y la ciencia.</v>
      </c>
      <c r="Q116" s="199"/>
      <c r="R116" s="199"/>
      <c r="S116" s="199"/>
      <c r="T116" s="199"/>
      <c r="U116" s="199"/>
      <c r="V116" s="199"/>
      <c r="W116" s="199"/>
      <c r="X116" s="199"/>
      <c r="Y116" s="199"/>
      <c r="Z116" s="199"/>
      <c r="AA116" s="199"/>
      <c r="AB116" s="199"/>
      <c r="AC116" s="97" t="str">
        <f>VLOOKUP(CONCATENATE($P$10,$Y$10,$A116),GeoHis!A:H,8,FALSE)</f>
        <v>Conceptos</v>
      </c>
      <c r="AE116" s="1"/>
    </row>
    <row r="117" spans="1:31" ht="24.95" customHeight="1" x14ac:dyDescent="0.15">
      <c r="A117" s="30" t="str">
        <f>IF($P$10=1,11,"")</f>
        <v/>
      </c>
      <c r="B117" s="93" t="e">
        <f>SUMIFS(Captura!FZ:FZ,Captura!F:F,$Y$10)/$AE$19</f>
        <v>#DIV/0!</v>
      </c>
      <c r="C117" s="190" t="str">
        <f>IFERROR(IF(VLOOKUP(CONCATENATE($P$10,$Y$10,$A117),GeoHis!A:H,4,FALSE)=0,C116,VLOOKUP(CONCATENATE($P$10,$Y$10,$A117),GeoHis!A:H,4,FALSE)),"")</f>
        <v/>
      </c>
      <c r="D117" s="190"/>
      <c r="E117" s="190"/>
      <c r="F117" s="190"/>
      <c r="G117" s="190"/>
      <c r="H117" s="190"/>
      <c r="I117" s="190"/>
      <c r="J117" s="190"/>
      <c r="K117" s="190"/>
      <c r="L117" s="190"/>
      <c r="M117" s="190"/>
      <c r="N117" s="190"/>
      <c r="O117" s="190"/>
      <c r="P117" s="199" t="str">
        <f>IFERROR(IF(VLOOKUP(CONCATENATE($P$10,$Y$10,$A117),GeoHis!A:H,5,FALSE)=0,P116,VLOOKUP(CONCATENATE($P$10,$Y$10,$A117),GeoHis!A:H,5,FALSE)),"")</f>
        <v/>
      </c>
      <c r="Q117" s="199"/>
      <c r="R117" s="199"/>
      <c r="S117" s="199"/>
      <c r="T117" s="199"/>
      <c r="U117" s="199"/>
      <c r="V117" s="199"/>
      <c r="W117" s="199"/>
      <c r="X117" s="199"/>
      <c r="Y117" s="199"/>
      <c r="Z117" s="199"/>
      <c r="AA117" s="199"/>
      <c r="AB117" s="199"/>
      <c r="AC117" s="97" t="str">
        <f>IFERROR(VLOOKUP(CONCATENATE($P$10,$Y$10,$A117),GeoHis!A:H,8,FALSE),"")</f>
        <v/>
      </c>
      <c r="AE117" s="1"/>
    </row>
    <row r="118" spans="1:31" ht="24.95" customHeight="1" x14ac:dyDescent="0.15">
      <c r="A118" s="30" t="str">
        <f>IF($P$10=1,12,"")</f>
        <v/>
      </c>
      <c r="B118" s="93" t="e">
        <f>SUMIFS(Captura!GA:GA,Captura!F:F,$Y$10)/$AE$19</f>
        <v>#DIV/0!</v>
      </c>
      <c r="C118" s="190" t="str">
        <f>IFERROR(IF(VLOOKUP(CONCATENATE($P$10,$Y$10,$A118),GeoHis!A:H,4,FALSE)=0,C117,VLOOKUP(CONCATENATE($P$10,$Y$10,$A118),GeoHis!A:H,4,FALSE)),"")</f>
        <v/>
      </c>
      <c r="D118" s="190"/>
      <c r="E118" s="190"/>
      <c r="F118" s="190"/>
      <c r="G118" s="190"/>
      <c r="H118" s="190"/>
      <c r="I118" s="190"/>
      <c r="J118" s="190"/>
      <c r="K118" s="190"/>
      <c r="L118" s="190"/>
      <c r="M118" s="190"/>
      <c r="N118" s="190"/>
      <c r="O118" s="190"/>
      <c r="P118" s="199" t="str">
        <f>IFERROR(IF(VLOOKUP(CONCATENATE($P$10,$Y$10,$A118),GeoHis!A:H,5,FALSE)=0,P117,VLOOKUP(CONCATENATE($P$10,$Y$10,$A118),GeoHis!A:H,5,FALSE)),"")</f>
        <v/>
      </c>
      <c r="Q118" s="199"/>
      <c r="R118" s="199"/>
      <c r="S118" s="199"/>
      <c r="T118" s="199"/>
      <c r="U118" s="199"/>
      <c r="V118" s="199"/>
      <c r="W118" s="199"/>
      <c r="X118" s="199"/>
      <c r="Y118" s="199"/>
      <c r="Z118" s="199"/>
      <c r="AA118" s="199"/>
      <c r="AB118" s="199"/>
      <c r="AC118" s="97" t="str">
        <f>IFERROR(VLOOKUP(CONCATENATE($P$10,$Y$10,$A118),GeoHis!A:H,8,FALSE),"")</f>
        <v/>
      </c>
      <c r="AE118" s="1"/>
    </row>
    <row r="119" spans="1:31" ht="24.95" customHeight="1" x14ac:dyDescent="0.15">
      <c r="A119" s="30" t="str">
        <f>IF($P$10=1,13,"")</f>
        <v/>
      </c>
      <c r="B119" s="93" t="e">
        <f>SUMIFS(Captura!GB:GB,Captura!F:F,$Y$10)/$AE$19</f>
        <v>#DIV/0!</v>
      </c>
      <c r="C119" s="190" t="str">
        <f>IFERROR(IF(VLOOKUP(CONCATENATE($P$10,$Y$10,$A119),GeoHis!A:H,4,FALSE)=0,C118,VLOOKUP(CONCATENATE($P$10,$Y$10,$A119),GeoHis!A:H,4,FALSE)),"")</f>
        <v/>
      </c>
      <c r="D119" s="190"/>
      <c r="E119" s="190"/>
      <c r="F119" s="190"/>
      <c r="G119" s="190"/>
      <c r="H119" s="190"/>
      <c r="I119" s="190"/>
      <c r="J119" s="190"/>
      <c r="K119" s="190"/>
      <c r="L119" s="190"/>
      <c r="M119" s="190"/>
      <c r="N119" s="190"/>
      <c r="O119" s="190"/>
      <c r="P119" s="199" t="str">
        <f>IFERROR(IF(VLOOKUP(CONCATENATE($P$10,$Y$10,$A119),GeoHis!A:H,5,FALSE)=0,P118,VLOOKUP(CONCATENATE($P$10,$Y$10,$A119),GeoHis!A:H,5,FALSE)),"")</f>
        <v/>
      </c>
      <c r="Q119" s="199"/>
      <c r="R119" s="199"/>
      <c r="S119" s="199"/>
      <c r="T119" s="199"/>
      <c r="U119" s="199"/>
      <c r="V119" s="199"/>
      <c r="W119" s="199"/>
      <c r="X119" s="199"/>
      <c r="Y119" s="199"/>
      <c r="Z119" s="199"/>
      <c r="AA119" s="199"/>
      <c r="AB119" s="199"/>
      <c r="AC119" s="97" t="str">
        <f>IFERROR(VLOOKUP(CONCATENATE($P$10,$Y$10,$A119),GeoHis!A:H,8,FALSE),"")</f>
        <v/>
      </c>
      <c r="AE119" s="1"/>
    </row>
    <row r="120" spans="1:31" ht="24.95" customHeight="1" x14ac:dyDescent="0.15">
      <c r="A120" s="30" t="str">
        <f>IF($P$10=1,14,"")</f>
        <v/>
      </c>
      <c r="B120" s="93" t="e">
        <f>SUMIFS(Captura!GC:GC,Captura!F:F,$Y$10)/$AE$19</f>
        <v>#DIV/0!</v>
      </c>
      <c r="C120" s="190" t="str">
        <f>IFERROR(IF(VLOOKUP(CONCATENATE($P$10,$Y$10,$A120),GeoHis!A:H,4,FALSE)=0,C119,VLOOKUP(CONCATENATE($P$10,$Y$10,$A120),GeoHis!A:H,4,FALSE)),"")</f>
        <v/>
      </c>
      <c r="D120" s="190"/>
      <c r="E120" s="190"/>
      <c r="F120" s="190"/>
      <c r="G120" s="190"/>
      <c r="H120" s="190"/>
      <c r="I120" s="190"/>
      <c r="J120" s="190"/>
      <c r="K120" s="190"/>
      <c r="L120" s="190"/>
      <c r="M120" s="190"/>
      <c r="N120" s="190"/>
      <c r="O120" s="190"/>
      <c r="P120" s="199" t="str">
        <f>IFERROR(IF(VLOOKUP(CONCATENATE($P$10,$Y$10,$A120),GeoHis!A:H,5,FALSE)=0,P119,VLOOKUP(CONCATENATE($P$10,$Y$10,$A120),GeoHis!A:H,5,FALSE)),"")</f>
        <v/>
      </c>
      <c r="Q120" s="199"/>
      <c r="R120" s="199"/>
      <c r="S120" s="199"/>
      <c r="T120" s="199"/>
      <c r="U120" s="199"/>
      <c r="V120" s="199"/>
      <c r="W120" s="199"/>
      <c r="X120" s="199"/>
      <c r="Y120" s="199"/>
      <c r="Z120" s="199"/>
      <c r="AA120" s="199"/>
      <c r="AB120" s="199"/>
      <c r="AC120" s="97" t="str">
        <f>IFERROR(VLOOKUP(CONCATENATE($P$10,$Y$10,$A120),GeoHis!A:H,8,FALSE),"")</f>
        <v/>
      </c>
      <c r="AE120" s="1"/>
    </row>
    <row r="121" spans="1:31" ht="24.95" customHeight="1" x14ac:dyDescent="0.15">
      <c r="A121" s="30" t="str">
        <f>IF($P$10=1,15,"")</f>
        <v/>
      </c>
      <c r="B121" s="93" t="e">
        <f>SUMIFS(Captura!GD:GD,Captura!F:F,$Y$10)/$AE$19</f>
        <v>#DIV/0!</v>
      </c>
      <c r="C121" s="190" t="str">
        <f>IFERROR(IF(VLOOKUP(CONCATENATE($P$10,$Y$10,$A121),GeoHis!A:H,4,FALSE)=0,C120,VLOOKUP(CONCATENATE($P$10,$Y$10,$A121),GeoHis!A:H,4,FALSE)),"")</f>
        <v/>
      </c>
      <c r="D121" s="190"/>
      <c r="E121" s="190"/>
      <c r="F121" s="190"/>
      <c r="G121" s="190"/>
      <c r="H121" s="190"/>
      <c r="I121" s="190"/>
      <c r="J121" s="190"/>
      <c r="K121" s="190"/>
      <c r="L121" s="190"/>
      <c r="M121" s="190"/>
      <c r="N121" s="190"/>
      <c r="O121" s="190"/>
      <c r="P121" s="199" t="str">
        <f>IFERROR(IF(VLOOKUP(CONCATENATE($P$10,$Y$10,$A121),GeoHis!A:H,5,FALSE)=0,P120,VLOOKUP(CONCATENATE($P$10,$Y$10,$A121),GeoHis!A:H,5,FALSE)),"")</f>
        <v/>
      </c>
      <c r="Q121" s="199"/>
      <c r="R121" s="199"/>
      <c r="S121" s="199"/>
      <c r="T121" s="199"/>
      <c r="U121" s="199"/>
      <c r="V121" s="199"/>
      <c r="W121" s="199"/>
      <c r="X121" s="199"/>
      <c r="Y121" s="199"/>
      <c r="Z121" s="199"/>
      <c r="AA121" s="199"/>
      <c r="AB121" s="199"/>
      <c r="AC121" s="97" t="str">
        <f>IFERROR(VLOOKUP(CONCATENATE($P$10,$Y$10,$A121),GeoHis!A:H,8,FALSE),"")</f>
        <v/>
      </c>
      <c r="AE121" s="1"/>
    </row>
  </sheetData>
  <sheetProtection password="9F17" sheet="1" objects="1" scenarios="1" formatCells="0" formatColumns="0" formatRows="0"/>
  <protectedRanges>
    <protectedRange sqref="Y10" name="Bloque"/>
    <protectedRange sqref="AC15:AC19" name="Reactivos"/>
  </protectedRanges>
  <mergeCells count="221">
    <mergeCell ref="AE13:AI13"/>
    <mergeCell ref="C113:O113"/>
    <mergeCell ref="C114:O114"/>
    <mergeCell ref="C115:O115"/>
    <mergeCell ref="P113:AB113"/>
    <mergeCell ref="P114:AB114"/>
    <mergeCell ref="P115:AB115"/>
    <mergeCell ref="C110:O110"/>
    <mergeCell ref="C111:O111"/>
    <mergeCell ref="C112:O112"/>
    <mergeCell ref="P110:AB110"/>
    <mergeCell ref="P111:AB111"/>
    <mergeCell ref="P112:AB112"/>
    <mergeCell ref="P107:AB107"/>
    <mergeCell ref="P108:AB108"/>
    <mergeCell ref="P109:AB109"/>
    <mergeCell ref="C102:O102"/>
    <mergeCell ref="C103:O103"/>
    <mergeCell ref="A105:AC105"/>
    <mergeCell ref="C106:O106"/>
    <mergeCell ref="P102:AB102"/>
    <mergeCell ref="P103:AB103"/>
    <mergeCell ref="P106:AB106"/>
    <mergeCell ref="C107:O107"/>
    <mergeCell ref="C120:O120"/>
    <mergeCell ref="C121:O121"/>
    <mergeCell ref="P119:AB119"/>
    <mergeCell ref="P120:AB120"/>
    <mergeCell ref="P121:AB121"/>
    <mergeCell ref="C116:O116"/>
    <mergeCell ref="C117:O117"/>
    <mergeCell ref="C118:O118"/>
    <mergeCell ref="P116:AB116"/>
    <mergeCell ref="P117:AB117"/>
    <mergeCell ref="P118:AB118"/>
    <mergeCell ref="C119:O119"/>
    <mergeCell ref="C108:O108"/>
    <mergeCell ref="C109:O109"/>
    <mergeCell ref="C99:O99"/>
    <mergeCell ref="C100:O100"/>
    <mergeCell ref="C101:O101"/>
    <mergeCell ref="P99:AB99"/>
    <mergeCell ref="P100:AB100"/>
    <mergeCell ref="P101:AB101"/>
    <mergeCell ref="C96:O96"/>
    <mergeCell ref="C97:O97"/>
    <mergeCell ref="C98:O98"/>
    <mergeCell ref="P96:AB96"/>
    <mergeCell ref="P97:AB97"/>
    <mergeCell ref="P98:AB98"/>
    <mergeCell ref="C93:O93"/>
    <mergeCell ref="C94:O94"/>
    <mergeCell ref="C95:O95"/>
    <mergeCell ref="P93:AB93"/>
    <mergeCell ref="P94:AB94"/>
    <mergeCell ref="P95:AB95"/>
    <mergeCell ref="C90:O90"/>
    <mergeCell ref="C91:O91"/>
    <mergeCell ref="C92:O92"/>
    <mergeCell ref="P90:AB90"/>
    <mergeCell ref="P91:AB91"/>
    <mergeCell ref="P92:AB92"/>
    <mergeCell ref="C87:O87"/>
    <mergeCell ref="C88:O88"/>
    <mergeCell ref="C89:O89"/>
    <mergeCell ref="P87:AB87"/>
    <mergeCell ref="P88:AB88"/>
    <mergeCell ref="P89:AB89"/>
    <mergeCell ref="C84:O84"/>
    <mergeCell ref="C85:O85"/>
    <mergeCell ref="C86:O86"/>
    <mergeCell ref="P84:AB84"/>
    <mergeCell ref="P85:AB85"/>
    <mergeCell ref="P86:AB86"/>
    <mergeCell ref="C79:O79"/>
    <mergeCell ref="C80:O80"/>
    <mergeCell ref="A82:AC82"/>
    <mergeCell ref="C83:O83"/>
    <mergeCell ref="P79:AB79"/>
    <mergeCell ref="P80:AB80"/>
    <mergeCell ref="P83:AB83"/>
    <mergeCell ref="C76:O76"/>
    <mergeCell ref="C77:O77"/>
    <mergeCell ref="C78:O78"/>
    <mergeCell ref="P76:AB76"/>
    <mergeCell ref="P77:AB77"/>
    <mergeCell ref="P78:AB78"/>
    <mergeCell ref="C73:O73"/>
    <mergeCell ref="C74:O74"/>
    <mergeCell ref="C75:O75"/>
    <mergeCell ref="P73:AB73"/>
    <mergeCell ref="P74:AB74"/>
    <mergeCell ref="P75:AB75"/>
    <mergeCell ref="C70:O70"/>
    <mergeCell ref="C71:O71"/>
    <mergeCell ref="C72:O72"/>
    <mergeCell ref="P70:AB70"/>
    <mergeCell ref="P71:AB71"/>
    <mergeCell ref="P72:AB72"/>
    <mergeCell ref="C67:O67"/>
    <mergeCell ref="C68:O68"/>
    <mergeCell ref="C69:O69"/>
    <mergeCell ref="P67:AB67"/>
    <mergeCell ref="P68:AB68"/>
    <mergeCell ref="P69:AB69"/>
    <mergeCell ref="C64:O64"/>
    <mergeCell ref="C65:O65"/>
    <mergeCell ref="C66:O66"/>
    <mergeCell ref="P64:AB64"/>
    <mergeCell ref="P65:AB65"/>
    <mergeCell ref="P66:AB66"/>
    <mergeCell ref="C61:O61"/>
    <mergeCell ref="C62:O62"/>
    <mergeCell ref="C63:O63"/>
    <mergeCell ref="P61:AB61"/>
    <mergeCell ref="P62:AB62"/>
    <mergeCell ref="P63:AB63"/>
    <mergeCell ref="C56:O56"/>
    <mergeCell ref="C57:O57"/>
    <mergeCell ref="A59:AC59"/>
    <mergeCell ref="C60:O60"/>
    <mergeCell ref="P56:AB56"/>
    <mergeCell ref="P57:AB57"/>
    <mergeCell ref="P60:AB60"/>
    <mergeCell ref="C53:O53"/>
    <mergeCell ref="C54:O54"/>
    <mergeCell ref="C55:O55"/>
    <mergeCell ref="P53:AB53"/>
    <mergeCell ref="P54:AB54"/>
    <mergeCell ref="P55:AB55"/>
    <mergeCell ref="C50:O50"/>
    <mergeCell ref="C51:O51"/>
    <mergeCell ref="C52:O52"/>
    <mergeCell ref="P50:AB50"/>
    <mergeCell ref="P51:AB51"/>
    <mergeCell ref="P52:AB52"/>
    <mergeCell ref="A46:AC46"/>
    <mergeCell ref="C47:O47"/>
    <mergeCell ref="C48:O48"/>
    <mergeCell ref="C49:O49"/>
    <mergeCell ref="P48:AB48"/>
    <mergeCell ref="P49:AB49"/>
    <mergeCell ref="P47:AB47"/>
    <mergeCell ref="C42:O42"/>
    <mergeCell ref="C43:O43"/>
    <mergeCell ref="C44:O44"/>
    <mergeCell ref="P42:AB42"/>
    <mergeCell ref="P43:AB43"/>
    <mergeCell ref="P44:AB44"/>
    <mergeCell ref="C39:O39"/>
    <mergeCell ref="C40:O40"/>
    <mergeCell ref="C41:O41"/>
    <mergeCell ref="P39:AB39"/>
    <mergeCell ref="P40:AB40"/>
    <mergeCell ref="P41:AB41"/>
    <mergeCell ref="C36:O36"/>
    <mergeCell ref="C37:O37"/>
    <mergeCell ref="C38:O38"/>
    <mergeCell ref="P36:AB36"/>
    <mergeCell ref="P37:AB37"/>
    <mergeCell ref="P38:AB38"/>
    <mergeCell ref="C33:O33"/>
    <mergeCell ref="C34:O34"/>
    <mergeCell ref="C35:O35"/>
    <mergeCell ref="P33:AB33"/>
    <mergeCell ref="P34:AB34"/>
    <mergeCell ref="P35:AB35"/>
    <mergeCell ref="C30:O30"/>
    <mergeCell ref="C31:O31"/>
    <mergeCell ref="C32:O32"/>
    <mergeCell ref="P30:AB30"/>
    <mergeCell ref="P31:AB31"/>
    <mergeCell ref="P32:AB32"/>
    <mergeCell ref="C27:O27"/>
    <mergeCell ref="C28:O28"/>
    <mergeCell ref="C29:O29"/>
    <mergeCell ref="P27:AB27"/>
    <mergeCell ref="P28:AB28"/>
    <mergeCell ref="P29:AB29"/>
    <mergeCell ref="C24:O24"/>
    <mergeCell ref="C25:O25"/>
    <mergeCell ref="C26:O26"/>
    <mergeCell ref="P24:AB24"/>
    <mergeCell ref="P25:AB25"/>
    <mergeCell ref="P26:AB26"/>
    <mergeCell ref="A15:C15"/>
    <mergeCell ref="A16:C16"/>
    <mergeCell ref="A17:C17"/>
    <mergeCell ref="A18:C18"/>
    <mergeCell ref="A19:C19"/>
    <mergeCell ref="A23:AC23"/>
    <mergeCell ref="A12:AB12"/>
    <mergeCell ref="A13:C14"/>
    <mergeCell ref="D13:H13"/>
    <mergeCell ref="I13:M13"/>
    <mergeCell ref="N13:R13"/>
    <mergeCell ref="S13:W13"/>
    <mergeCell ref="X13:AB13"/>
    <mergeCell ref="U10:X10"/>
    <mergeCell ref="Y9:AB9"/>
    <mergeCell ref="Y10:AB10"/>
    <mergeCell ref="U9:X9"/>
    <mergeCell ref="AC12:AC14"/>
    <mergeCell ref="C7:O7"/>
    <mergeCell ref="C1:AB1"/>
    <mergeCell ref="C2:Q2"/>
    <mergeCell ref="C3:O3"/>
    <mergeCell ref="C4:O4"/>
    <mergeCell ref="C6:O6"/>
    <mergeCell ref="Y3:AB3"/>
    <mergeCell ref="Y4:AB4"/>
    <mergeCell ref="U3:X3"/>
    <mergeCell ref="U4:X4"/>
    <mergeCell ref="P3:T3"/>
    <mergeCell ref="P4:T4"/>
    <mergeCell ref="C9:O9"/>
    <mergeCell ref="C10:O10"/>
    <mergeCell ref="P9:T9"/>
    <mergeCell ref="P10:T10"/>
    <mergeCell ref="P6:AB6"/>
    <mergeCell ref="P7:AB7"/>
  </mergeCells>
  <conditionalFormatting sqref="M20:AB20 B25:B44 B48:B57 B61:B80 B84:B103 B107:B121">
    <cfRule type="cellIs" dxfId="5" priority="101" operator="equal">
      <formula>0</formula>
    </cfRule>
    <cfRule type="cellIs" dxfId="4" priority="102" operator="between">
      <formula>0.8</formula>
      <formula>1</formula>
    </cfRule>
    <cfRule type="cellIs" dxfId="3" priority="103" operator="between">
      <formula>0.6</formula>
      <formula>0.8</formula>
    </cfRule>
    <cfRule type="cellIs" dxfId="2" priority="104" operator="between">
      <formula>0.4</formula>
      <formula>0.6</formula>
    </cfRule>
    <cfRule type="cellIs" dxfId="1" priority="105" operator="between">
      <formula>0</formula>
      <formula>0.4</formula>
    </cfRule>
  </conditionalFormatting>
  <conditionalFormatting sqref="A117:XFD121">
    <cfRule type="expression" dxfId="0" priority="257">
      <formula>OR($P$10=2,$P$10=3)</formula>
    </cfRule>
  </conditionalFormatting>
  <printOptions horizontalCentered="1"/>
  <pageMargins left="0.23622047244094491" right="0.23622047244094491" top="1.1417322834645669" bottom="0.74803149606299213" header="0.31496062992125984" footer="0.31496062992125984"/>
  <pageSetup scale="99" orientation="landscape" verticalDpi="4" r:id="rId1"/>
  <headerFooter>
    <oddHeader>&amp;L&amp;G&amp;C&amp;"Arial,Normal"&amp;14Resultado del Grupo</oddHeader>
  </headerFooter>
  <rowBreaks count="5" manualBreakCount="5">
    <brk id="22" max="16383" man="1"/>
    <brk id="45" max="16383" man="1"/>
    <brk id="58" max="16383" man="1"/>
    <brk id="81" max="16383" man="1"/>
    <brk id="104"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8"/>
  <sheetViews>
    <sheetView topLeftCell="A112" zoomScaleSheetLayoutView="90" workbookViewId="0">
      <selection activeCell="G102" sqref="G102:G121"/>
    </sheetView>
  </sheetViews>
  <sheetFormatPr baseColWidth="10" defaultRowHeight="15" x14ac:dyDescent="0.2"/>
  <cols>
    <col min="1" max="1" width="11.42578125" style="34"/>
    <col min="2" max="2" width="7.5703125" style="34" bestFit="1" customWidth="1"/>
    <col min="3" max="3" width="8.28515625" style="34" bestFit="1" customWidth="1"/>
    <col min="4" max="4" width="37.7109375" style="41" customWidth="1"/>
    <col min="5" max="5" width="60.42578125" style="41" customWidth="1"/>
    <col min="6" max="6" width="5.5703125" style="41" bestFit="1" customWidth="1"/>
    <col min="7" max="7" width="9.42578125" style="41" customWidth="1"/>
    <col min="8" max="8" width="17.85546875" style="34" customWidth="1"/>
    <col min="9" max="16384" width="11.42578125" style="34"/>
  </cols>
  <sheetData>
    <row r="1" spans="1:8" ht="30" customHeight="1" x14ac:dyDescent="0.2">
      <c r="A1" s="34" t="s">
        <v>6379</v>
      </c>
      <c r="B1" s="42" t="s">
        <v>14</v>
      </c>
      <c r="C1" s="42" t="s">
        <v>6121</v>
      </c>
      <c r="D1" s="35" t="s">
        <v>6128</v>
      </c>
      <c r="E1" s="35" t="s">
        <v>6129</v>
      </c>
      <c r="F1" s="35" t="s">
        <v>12</v>
      </c>
      <c r="G1" s="35" t="s">
        <v>8</v>
      </c>
      <c r="H1" s="35" t="s">
        <v>6130</v>
      </c>
    </row>
    <row r="2" spans="1:8" ht="45" x14ac:dyDescent="0.2">
      <c r="A2" s="34" t="str">
        <f>CONCATENATE(B2,C2,F2)</f>
        <v>1I1</v>
      </c>
      <c r="B2" s="42">
        <v>1</v>
      </c>
      <c r="C2" s="42" t="s">
        <v>6122</v>
      </c>
      <c r="D2" s="204" t="s">
        <v>6131</v>
      </c>
      <c r="E2" s="36" t="s">
        <v>6132</v>
      </c>
      <c r="F2" s="35">
        <v>1</v>
      </c>
      <c r="G2" s="35" t="s">
        <v>6133</v>
      </c>
      <c r="H2" s="35" t="s">
        <v>6134</v>
      </c>
    </row>
    <row r="3" spans="1:8" x14ac:dyDescent="0.2">
      <c r="A3" s="34" t="str">
        <f t="shared" ref="A3:A66" si="0">CONCATENATE(B3,C3,F3)</f>
        <v>1I2</v>
      </c>
      <c r="B3" s="42">
        <v>1</v>
      </c>
      <c r="C3" s="42" t="s">
        <v>6122</v>
      </c>
      <c r="D3" s="205"/>
      <c r="E3" s="36" t="s">
        <v>6135</v>
      </c>
      <c r="F3" s="35">
        <v>2</v>
      </c>
      <c r="G3" s="35" t="s">
        <v>6136</v>
      </c>
      <c r="H3" s="35" t="s">
        <v>6137</v>
      </c>
    </row>
    <row r="4" spans="1:8" ht="21" customHeight="1" x14ac:dyDescent="0.2">
      <c r="A4" s="34" t="str">
        <f t="shared" si="0"/>
        <v>1I3</v>
      </c>
      <c r="B4" s="42">
        <v>1</v>
      </c>
      <c r="C4" s="42" t="s">
        <v>6122</v>
      </c>
      <c r="D4" s="204" t="s">
        <v>6138</v>
      </c>
      <c r="E4" s="36" t="s">
        <v>6139</v>
      </c>
      <c r="F4" s="35">
        <v>3</v>
      </c>
      <c r="G4" s="35" t="s">
        <v>6140</v>
      </c>
      <c r="H4" s="35" t="s">
        <v>6137</v>
      </c>
    </row>
    <row r="5" spans="1:8" ht="30" x14ac:dyDescent="0.2">
      <c r="A5" s="34" t="str">
        <f t="shared" si="0"/>
        <v>1I4</v>
      </c>
      <c r="B5" s="42">
        <v>1</v>
      </c>
      <c r="C5" s="42" t="s">
        <v>6122</v>
      </c>
      <c r="D5" s="205"/>
      <c r="E5" s="36" t="s">
        <v>6141</v>
      </c>
      <c r="F5" s="35">
        <v>4</v>
      </c>
      <c r="G5" s="35" t="s">
        <v>6133</v>
      </c>
      <c r="H5" s="35" t="s">
        <v>6137</v>
      </c>
    </row>
    <row r="6" spans="1:8" ht="45.75" customHeight="1" x14ac:dyDescent="0.2">
      <c r="A6" s="34" t="str">
        <f t="shared" si="0"/>
        <v>1I5</v>
      </c>
      <c r="B6" s="42">
        <v>1</v>
      </c>
      <c r="C6" s="42" t="s">
        <v>6122</v>
      </c>
      <c r="D6" s="204" t="s">
        <v>6142</v>
      </c>
      <c r="E6" s="37" t="s">
        <v>6143</v>
      </c>
      <c r="F6" s="35">
        <v>5</v>
      </c>
      <c r="G6" s="35" t="s">
        <v>6136</v>
      </c>
      <c r="H6" s="35" t="s">
        <v>6134</v>
      </c>
    </row>
    <row r="7" spans="1:8" x14ac:dyDescent="0.2">
      <c r="A7" s="34" t="str">
        <f t="shared" si="0"/>
        <v>1I6</v>
      </c>
      <c r="B7" s="42">
        <v>1</v>
      </c>
      <c r="C7" s="42" t="s">
        <v>6122</v>
      </c>
      <c r="D7" s="205"/>
      <c r="E7" s="36" t="s">
        <v>6144</v>
      </c>
      <c r="F7" s="35">
        <v>6</v>
      </c>
      <c r="G7" s="35" t="s">
        <v>6133</v>
      </c>
      <c r="H7" s="35" t="s">
        <v>6137</v>
      </c>
    </row>
    <row r="8" spans="1:8" ht="30" x14ac:dyDescent="0.2">
      <c r="A8" s="34" t="str">
        <f t="shared" si="0"/>
        <v>1I7</v>
      </c>
      <c r="B8" s="42">
        <v>1</v>
      </c>
      <c r="C8" s="42" t="s">
        <v>6122</v>
      </c>
      <c r="D8" s="204" t="s">
        <v>6145</v>
      </c>
      <c r="E8" s="36" t="s">
        <v>6146</v>
      </c>
      <c r="F8" s="35">
        <v>7</v>
      </c>
      <c r="G8" s="35" t="s">
        <v>6140</v>
      </c>
      <c r="H8" s="35" t="s">
        <v>6134</v>
      </c>
    </row>
    <row r="9" spans="1:8" ht="30" x14ac:dyDescent="0.2">
      <c r="A9" s="34" t="str">
        <f t="shared" si="0"/>
        <v>1I8</v>
      </c>
      <c r="B9" s="42">
        <v>1</v>
      </c>
      <c r="C9" s="42" t="s">
        <v>6122</v>
      </c>
      <c r="D9" s="208"/>
      <c r="E9" s="36" t="s">
        <v>6147</v>
      </c>
      <c r="F9" s="35">
        <v>8</v>
      </c>
      <c r="G9" s="35" t="s">
        <v>6140</v>
      </c>
      <c r="H9" s="35" t="s">
        <v>6134</v>
      </c>
    </row>
    <row r="10" spans="1:8" x14ac:dyDescent="0.2">
      <c r="A10" s="34" t="str">
        <f t="shared" si="0"/>
        <v>1I9</v>
      </c>
      <c r="B10" s="42">
        <v>1</v>
      </c>
      <c r="C10" s="42" t="s">
        <v>6122</v>
      </c>
      <c r="D10" s="205"/>
      <c r="E10" s="36" t="s">
        <v>6148</v>
      </c>
      <c r="F10" s="35">
        <v>9</v>
      </c>
      <c r="G10" s="35" t="s">
        <v>6140</v>
      </c>
      <c r="H10" s="35" t="s">
        <v>6137</v>
      </c>
    </row>
    <row r="11" spans="1:8" x14ac:dyDescent="0.2">
      <c r="A11" s="34" t="str">
        <f t="shared" si="0"/>
        <v>1I10</v>
      </c>
      <c r="B11" s="42">
        <v>1</v>
      </c>
      <c r="C11" s="42" t="s">
        <v>6122</v>
      </c>
      <c r="D11" s="204" t="s">
        <v>6149</v>
      </c>
      <c r="E11" s="36" t="s">
        <v>6150</v>
      </c>
      <c r="F11" s="35">
        <v>10</v>
      </c>
      <c r="G11" s="35" t="s">
        <v>6116</v>
      </c>
      <c r="H11" s="35" t="s">
        <v>6137</v>
      </c>
    </row>
    <row r="12" spans="1:8" ht="30" x14ac:dyDescent="0.2">
      <c r="A12" s="34" t="str">
        <f t="shared" si="0"/>
        <v>1I11</v>
      </c>
      <c r="B12" s="42">
        <v>1</v>
      </c>
      <c r="C12" s="42" t="s">
        <v>6122</v>
      </c>
      <c r="D12" s="208"/>
      <c r="E12" s="36" t="s">
        <v>6151</v>
      </c>
      <c r="F12" s="35">
        <v>11</v>
      </c>
      <c r="G12" s="35" t="s">
        <v>6116</v>
      </c>
      <c r="H12" s="35" t="s">
        <v>6137</v>
      </c>
    </row>
    <row r="13" spans="1:8" ht="30" x14ac:dyDescent="0.2">
      <c r="A13" s="34" t="str">
        <f t="shared" si="0"/>
        <v>1I12</v>
      </c>
      <c r="B13" s="42">
        <v>1</v>
      </c>
      <c r="C13" s="42" t="s">
        <v>6122</v>
      </c>
      <c r="D13" s="208"/>
      <c r="E13" s="36" t="s">
        <v>6152</v>
      </c>
      <c r="F13" s="35">
        <v>12</v>
      </c>
      <c r="G13" s="35" t="s">
        <v>6140</v>
      </c>
      <c r="H13" s="35" t="s">
        <v>6137</v>
      </c>
    </row>
    <row r="14" spans="1:8" x14ac:dyDescent="0.2">
      <c r="A14" s="34" t="str">
        <f t="shared" si="0"/>
        <v>1I13</v>
      </c>
      <c r="B14" s="42">
        <v>1</v>
      </c>
      <c r="C14" s="42" t="s">
        <v>6122</v>
      </c>
      <c r="D14" s="205"/>
      <c r="E14" s="36" t="s">
        <v>6153</v>
      </c>
      <c r="F14" s="35">
        <v>13</v>
      </c>
      <c r="G14" s="35" t="s">
        <v>6116</v>
      </c>
      <c r="H14" s="38" t="s">
        <v>6154</v>
      </c>
    </row>
    <row r="15" spans="1:8" ht="45" x14ac:dyDescent="0.2">
      <c r="A15" s="34" t="str">
        <f t="shared" si="0"/>
        <v>1I14</v>
      </c>
      <c r="B15" s="42">
        <v>1</v>
      </c>
      <c r="C15" s="42" t="s">
        <v>6122</v>
      </c>
      <c r="D15" s="39" t="s">
        <v>6155</v>
      </c>
      <c r="E15" s="36" t="s">
        <v>6156</v>
      </c>
      <c r="F15" s="35">
        <v>14</v>
      </c>
      <c r="G15" s="35" t="s">
        <v>6116</v>
      </c>
      <c r="H15" s="35" t="s">
        <v>6137</v>
      </c>
    </row>
    <row r="16" spans="1:8" ht="24.75" customHeight="1" x14ac:dyDescent="0.2">
      <c r="A16" s="34" t="str">
        <f t="shared" si="0"/>
        <v>1I15</v>
      </c>
      <c r="B16" s="42">
        <v>1</v>
      </c>
      <c r="C16" s="42" t="s">
        <v>6122</v>
      </c>
      <c r="D16" s="204" t="s">
        <v>6157</v>
      </c>
      <c r="E16" s="36" t="s">
        <v>6158</v>
      </c>
      <c r="F16" s="35">
        <v>15</v>
      </c>
      <c r="G16" s="35" t="s">
        <v>6136</v>
      </c>
      <c r="H16" s="35" t="s">
        <v>6154</v>
      </c>
    </row>
    <row r="17" spans="1:8" ht="25.5" customHeight="1" x14ac:dyDescent="0.2">
      <c r="A17" s="34" t="str">
        <f t="shared" si="0"/>
        <v>1I16</v>
      </c>
      <c r="B17" s="42">
        <v>1</v>
      </c>
      <c r="C17" s="42" t="s">
        <v>6122</v>
      </c>
      <c r="D17" s="205"/>
      <c r="E17" s="36" t="s">
        <v>6159</v>
      </c>
      <c r="F17" s="35">
        <v>16</v>
      </c>
      <c r="G17" s="35" t="s">
        <v>6116</v>
      </c>
      <c r="H17" s="35" t="s">
        <v>6154</v>
      </c>
    </row>
    <row r="18" spans="1:8" ht="60" x14ac:dyDescent="0.2">
      <c r="A18" s="34" t="str">
        <f t="shared" si="0"/>
        <v>1I17</v>
      </c>
      <c r="B18" s="42">
        <v>1</v>
      </c>
      <c r="C18" s="42" t="s">
        <v>6122</v>
      </c>
      <c r="D18" s="39" t="s">
        <v>6160</v>
      </c>
      <c r="E18" s="36" t="s">
        <v>6161</v>
      </c>
      <c r="F18" s="35">
        <v>17</v>
      </c>
      <c r="G18" s="35" t="s">
        <v>6133</v>
      </c>
      <c r="H18" s="35" t="s">
        <v>6134</v>
      </c>
    </row>
    <row r="19" spans="1:8" ht="45" x14ac:dyDescent="0.2">
      <c r="A19" s="34" t="str">
        <f t="shared" si="0"/>
        <v>1I18</v>
      </c>
      <c r="B19" s="42">
        <v>1</v>
      </c>
      <c r="C19" s="42" t="s">
        <v>6122</v>
      </c>
      <c r="D19" s="39" t="s">
        <v>6162</v>
      </c>
      <c r="E19" s="36" t="s">
        <v>6163</v>
      </c>
      <c r="F19" s="35">
        <v>18</v>
      </c>
      <c r="G19" s="35" t="s">
        <v>6136</v>
      </c>
      <c r="H19" s="40" t="s">
        <v>6154</v>
      </c>
    </row>
    <row r="20" spans="1:8" ht="60" x14ac:dyDescent="0.2">
      <c r="A20" s="34" t="str">
        <f t="shared" si="0"/>
        <v>1I19</v>
      </c>
      <c r="B20" s="42">
        <v>1</v>
      </c>
      <c r="C20" s="42" t="s">
        <v>6122</v>
      </c>
      <c r="D20" s="204" t="s">
        <v>6164</v>
      </c>
      <c r="E20" s="36" t="s">
        <v>6165</v>
      </c>
      <c r="F20" s="35">
        <v>19</v>
      </c>
      <c r="G20" s="35" t="s">
        <v>6116</v>
      </c>
      <c r="H20" s="40" t="s">
        <v>6134</v>
      </c>
    </row>
    <row r="21" spans="1:8" ht="30" x14ac:dyDescent="0.2">
      <c r="A21" s="34" t="str">
        <f t="shared" si="0"/>
        <v>1I20</v>
      </c>
      <c r="B21" s="42">
        <v>1</v>
      </c>
      <c r="C21" s="42" t="s">
        <v>6122</v>
      </c>
      <c r="D21" s="205"/>
      <c r="E21" s="36" t="s">
        <v>6166</v>
      </c>
      <c r="F21" s="35">
        <v>20</v>
      </c>
      <c r="G21" s="35" t="s">
        <v>6140</v>
      </c>
      <c r="H21" s="40" t="s">
        <v>6154</v>
      </c>
    </row>
    <row r="22" spans="1:8" ht="30" x14ac:dyDescent="0.2">
      <c r="A22" s="34" t="str">
        <f t="shared" si="0"/>
        <v>2I1</v>
      </c>
      <c r="B22" s="42">
        <v>2</v>
      </c>
      <c r="C22" s="42" t="s">
        <v>6122</v>
      </c>
      <c r="D22" s="209" t="s">
        <v>6222</v>
      </c>
      <c r="E22" s="36" t="s">
        <v>6223</v>
      </c>
      <c r="F22" s="35">
        <v>1</v>
      </c>
      <c r="G22" s="35" t="s">
        <v>6136</v>
      </c>
      <c r="H22" s="35" t="s">
        <v>6134</v>
      </c>
    </row>
    <row r="23" spans="1:8" ht="30" x14ac:dyDescent="0.2">
      <c r="A23" s="34" t="str">
        <f t="shared" si="0"/>
        <v>2I2</v>
      </c>
      <c r="B23" s="42">
        <v>2</v>
      </c>
      <c r="C23" s="42" t="s">
        <v>6122</v>
      </c>
      <c r="D23" s="210"/>
      <c r="E23" s="36" t="s">
        <v>6224</v>
      </c>
      <c r="F23" s="35">
        <v>2</v>
      </c>
      <c r="G23" s="35" t="s">
        <v>6116</v>
      </c>
      <c r="H23" s="35" t="s">
        <v>6134</v>
      </c>
    </row>
    <row r="24" spans="1:8" ht="30" x14ac:dyDescent="0.2">
      <c r="A24" s="34" t="str">
        <f t="shared" si="0"/>
        <v>2I3</v>
      </c>
      <c r="B24" s="42">
        <v>2</v>
      </c>
      <c r="C24" s="42" t="s">
        <v>6122</v>
      </c>
      <c r="D24" s="206" t="s">
        <v>6225</v>
      </c>
      <c r="E24" s="46" t="s">
        <v>6226</v>
      </c>
      <c r="F24" s="35">
        <v>3</v>
      </c>
      <c r="G24" s="35" t="s">
        <v>6116</v>
      </c>
      <c r="H24" s="35" t="s">
        <v>6154</v>
      </c>
    </row>
    <row r="25" spans="1:8" x14ac:dyDescent="0.2">
      <c r="A25" s="34" t="str">
        <f t="shared" si="0"/>
        <v>2I4</v>
      </c>
      <c r="B25" s="42">
        <v>2</v>
      </c>
      <c r="C25" s="42" t="s">
        <v>6122</v>
      </c>
      <c r="D25" s="207"/>
      <c r="E25" s="46" t="s">
        <v>6227</v>
      </c>
      <c r="F25" s="35">
        <v>4</v>
      </c>
      <c r="G25" s="35" t="s">
        <v>6136</v>
      </c>
      <c r="H25" s="35" t="s">
        <v>6154</v>
      </c>
    </row>
    <row r="26" spans="1:8" ht="45" x14ac:dyDescent="0.2">
      <c r="A26" s="34" t="str">
        <f t="shared" si="0"/>
        <v>2I5</v>
      </c>
      <c r="B26" s="42">
        <v>2</v>
      </c>
      <c r="C26" s="42" t="s">
        <v>6122</v>
      </c>
      <c r="D26" s="206" t="s">
        <v>6228</v>
      </c>
      <c r="E26" s="36" t="s">
        <v>6229</v>
      </c>
      <c r="F26" s="35">
        <v>5</v>
      </c>
      <c r="G26" s="35" t="s">
        <v>6136</v>
      </c>
      <c r="H26" s="38" t="s">
        <v>6154</v>
      </c>
    </row>
    <row r="27" spans="1:8" ht="30" x14ac:dyDescent="0.2">
      <c r="A27" s="34" t="str">
        <f t="shared" si="0"/>
        <v>2I6</v>
      </c>
      <c r="B27" s="42">
        <v>2</v>
      </c>
      <c r="C27" s="42" t="s">
        <v>6122</v>
      </c>
      <c r="D27" s="211"/>
      <c r="E27" s="47" t="s">
        <v>6230</v>
      </c>
      <c r="F27" s="35">
        <v>6</v>
      </c>
      <c r="G27" s="35" t="s">
        <v>6133</v>
      </c>
      <c r="H27" s="42" t="s">
        <v>6154</v>
      </c>
    </row>
    <row r="28" spans="1:8" x14ac:dyDescent="0.2">
      <c r="A28" s="34" t="str">
        <f t="shared" si="0"/>
        <v>2I7</v>
      </c>
      <c r="B28" s="42">
        <v>2</v>
      </c>
      <c r="C28" s="42" t="s">
        <v>6122</v>
      </c>
      <c r="D28" s="207"/>
      <c r="E28" s="47" t="s">
        <v>6231</v>
      </c>
      <c r="F28" s="35">
        <v>7</v>
      </c>
      <c r="G28" s="35" t="s">
        <v>6136</v>
      </c>
      <c r="H28" s="42" t="s">
        <v>6154</v>
      </c>
    </row>
    <row r="29" spans="1:8" x14ac:dyDescent="0.2">
      <c r="A29" s="34" t="str">
        <f t="shared" si="0"/>
        <v>2I8</v>
      </c>
      <c r="B29" s="42">
        <v>2</v>
      </c>
      <c r="C29" s="42" t="s">
        <v>6122</v>
      </c>
      <c r="D29" s="206" t="s">
        <v>6232</v>
      </c>
      <c r="E29" s="212" t="s">
        <v>6233</v>
      </c>
      <c r="F29" s="35">
        <v>8</v>
      </c>
      <c r="G29" s="35" t="s">
        <v>6140</v>
      </c>
      <c r="H29" s="42" t="s">
        <v>6154</v>
      </c>
    </row>
    <row r="30" spans="1:8" x14ac:dyDescent="0.2">
      <c r="A30" s="34" t="str">
        <f t="shared" si="0"/>
        <v>2I9</v>
      </c>
      <c r="B30" s="42">
        <v>2</v>
      </c>
      <c r="C30" s="42" t="s">
        <v>6122</v>
      </c>
      <c r="D30" s="211"/>
      <c r="E30" s="213"/>
      <c r="F30" s="35">
        <v>9</v>
      </c>
      <c r="G30" s="35" t="s">
        <v>6136</v>
      </c>
      <c r="H30" s="42" t="s">
        <v>6184</v>
      </c>
    </row>
    <row r="31" spans="1:8" x14ac:dyDescent="0.2">
      <c r="A31" s="34" t="str">
        <f t="shared" si="0"/>
        <v>2I10</v>
      </c>
      <c r="B31" s="42">
        <v>2</v>
      </c>
      <c r="C31" s="42" t="s">
        <v>6122</v>
      </c>
      <c r="D31" s="211"/>
      <c r="E31" s="213"/>
      <c r="F31" s="35">
        <v>10</v>
      </c>
      <c r="G31" s="35" t="s">
        <v>6140</v>
      </c>
      <c r="H31" s="42" t="s">
        <v>6184</v>
      </c>
    </row>
    <row r="32" spans="1:8" x14ac:dyDescent="0.2">
      <c r="A32" s="34" t="str">
        <f t="shared" si="0"/>
        <v>2I11</v>
      </c>
      <c r="B32" s="42">
        <v>2</v>
      </c>
      <c r="C32" s="42" t="s">
        <v>6122</v>
      </c>
      <c r="D32" s="211"/>
      <c r="E32" s="213"/>
      <c r="F32" s="35">
        <v>11</v>
      </c>
      <c r="G32" s="35" t="s">
        <v>6133</v>
      </c>
      <c r="H32" s="42" t="s">
        <v>6154</v>
      </c>
    </row>
    <row r="33" spans="1:8" x14ac:dyDescent="0.2">
      <c r="A33" s="34" t="str">
        <f t="shared" si="0"/>
        <v>2I12</v>
      </c>
      <c r="B33" s="42">
        <v>2</v>
      </c>
      <c r="C33" s="42" t="s">
        <v>6122</v>
      </c>
      <c r="D33" s="207"/>
      <c r="E33" s="214"/>
      <c r="F33" s="35">
        <v>12</v>
      </c>
      <c r="G33" s="35" t="s">
        <v>6133</v>
      </c>
      <c r="H33" s="42" t="s">
        <v>6154</v>
      </c>
    </row>
    <row r="34" spans="1:8" ht="45" x14ac:dyDescent="0.2">
      <c r="A34" s="34" t="str">
        <f t="shared" si="0"/>
        <v>2I13</v>
      </c>
      <c r="B34" s="42">
        <v>2</v>
      </c>
      <c r="C34" s="42" t="s">
        <v>6122</v>
      </c>
      <c r="D34" s="206" t="s">
        <v>6234</v>
      </c>
      <c r="E34" s="48" t="s">
        <v>6235</v>
      </c>
      <c r="F34" s="49">
        <v>13</v>
      </c>
      <c r="G34" s="49" t="s">
        <v>6136</v>
      </c>
      <c r="H34" s="50" t="s">
        <v>6154</v>
      </c>
    </row>
    <row r="35" spans="1:8" ht="30" x14ac:dyDescent="0.2">
      <c r="A35" s="34" t="str">
        <f t="shared" si="0"/>
        <v>2I14</v>
      </c>
      <c r="B35" s="42">
        <v>2</v>
      </c>
      <c r="C35" s="42" t="s">
        <v>6122</v>
      </c>
      <c r="D35" s="207"/>
      <c r="E35" s="36" t="s">
        <v>6236</v>
      </c>
      <c r="F35" s="35">
        <v>14</v>
      </c>
      <c r="G35" s="35" t="s">
        <v>6116</v>
      </c>
      <c r="H35" s="42" t="s">
        <v>6154</v>
      </c>
    </row>
    <row r="36" spans="1:8" ht="75" x14ac:dyDescent="0.2">
      <c r="A36" s="34" t="str">
        <f t="shared" si="0"/>
        <v>2I15</v>
      </c>
      <c r="B36" s="42">
        <v>2</v>
      </c>
      <c r="C36" s="42" t="s">
        <v>6122</v>
      </c>
      <c r="D36" s="51" t="s">
        <v>6237</v>
      </c>
      <c r="E36" s="52" t="s">
        <v>6238</v>
      </c>
      <c r="F36" s="49">
        <v>15</v>
      </c>
      <c r="G36" s="49" t="s">
        <v>6136</v>
      </c>
      <c r="H36" s="50" t="s">
        <v>6154</v>
      </c>
    </row>
    <row r="37" spans="1:8" ht="45" x14ac:dyDescent="0.2">
      <c r="A37" s="34" t="str">
        <f t="shared" si="0"/>
        <v>2I16</v>
      </c>
      <c r="B37" s="42">
        <v>2</v>
      </c>
      <c r="C37" s="42" t="s">
        <v>6122</v>
      </c>
      <c r="D37" s="53" t="s">
        <v>6239</v>
      </c>
      <c r="E37" s="48" t="s">
        <v>6235</v>
      </c>
      <c r="F37" s="49">
        <v>16</v>
      </c>
      <c r="G37" s="49" t="s">
        <v>6116</v>
      </c>
      <c r="H37" s="50" t="s">
        <v>6184</v>
      </c>
    </row>
    <row r="38" spans="1:8" ht="75" x14ac:dyDescent="0.2">
      <c r="A38" s="34" t="str">
        <f t="shared" si="0"/>
        <v>2I17</v>
      </c>
      <c r="B38" s="42">
        <v>2</v>
      </c>
      <c r="C38" s="42" t="s">
        <v>6122</v>
      </c>
      <c r="D38" s="53" t="s">
        <v>6237</v>
      </c>
      <c r="E38" s="54" t="s">
        <v>6240</v>
      </c>
      <c r="F38" s="49">
        <v>17</v>
      </c>
      <c r="G38" s="49" t="s">
        <v>6140</v>
      </c>
      <c r="H38" s="50" t="s">
        <v>6154</v>
      </c>
    </row>
    <row r="39" spans="1:8" x14ac:dyDescent="0.2">
      <c r="A39" s="34" t="str">
        <f t="shared" si="0"/>
        <v>2I18</v>
      </c>
      <c r="B39" s="42">
        <v>2</v>
      </c>
      <c r="C39" s="42" t="s">
        <v>6122</v>
      </c>
      <c r="D39" s="206" t="s">
        <v>6239</v>
      </c>
      <c r="E39" s="221" t="s">
        <v>6241</v>
      </c>
      <c r="F39" s="49">
        <v>18</v>
      </c>
      <c r="G39" s="49" t="s">
        <v>6133</v>
      </c>
      <c r="H39" s="50" t="s">
        <v>6184</v>
      </c>
    </row>
    <row r="40" spans="1:8" x14ac:dyDescent="0.2">
      <c r="A40" s="34" t="str">
        <f t="shared" si="0"/>
        <v>2I19</v>
      </c>
      <c r="B40" s="42">
        <v>2</v>
      </c>
      <c r="C40" s="42" t="s">
        <v>6122</v>
      </c>
      <c r="D40" s="211"/>
      <c r="E40" s="224"/>
      <c r="F40" s="49">
        <v>19</v>
      </c>
      <c r="G40" s="49" t="s">
        <v>6140</v>
      </c>
      <c r="H40" s="50" t="s">
        <v>6154</v>
      </c>
    </row>
    <row r="41" spans="1:8" x14ac:dyDescent="0.2">
      <c r="A41" s="34" t="str">
        <f t="shared" si="0"/>
        <v>2I20</v>
      </c>
      <c r="B41" s="42">
        <v>2</v>
      </c>
      <c r="C41" s="42" t="s">
        <v>6122</v>
      </c>
      <c r="D41" s="207"/>
      <c r="E41" s="225"/>
      <c r="F41" s="35">
        <v>20</v>
      </c>
      <c r="G41" s="35" t="s">
        <v>6136</v>
      </c>
      <c r="H41" s="42" t="s">
        <v>6154</v>
      </c>
    </row>
    <row r="42" spans="1:8" x14ac:dyDescent="0.2">
      <c r="A42" s="34" t="str">
        <f t="shared" si="0"/>
        <v>3I1</v>
      </c>
      <c r="B42" s="42">
        <v>3</v>
      </c>
      <c r="C42" s="42" t="s">
        <v>6122</v>
      </c>
      <c r="D42" s="215" t="s">
        <v>6300</v>
      </c>
      <c r="E42" s="217" t="s">
        <v>6301</v>
      </c>
      <c r="F42" s="35">
        <v>1</v>
      </c>
      <c r="G42" s="35" t="s">
        <v>6136</v>
      </c>
      <c r="H42" s="35" t="s">
        <v>6154</v>
      </c>
    </row>
    <row r="43" spans="1:8" x14ac:dyDescent="0.2">
      <c r="A43" s="34" t="str">
        <f t="shared" si="0"/>
        <v>3I2</v>
      </c>
      <c r="B43" s="42">
        <v>3</v>
      </c>
      <c r="C43" s="42" t="s">
        <v>6122</v>
      </c>
      <c r="D43" s="216"/>
      <c r="E43" s="218"/>
      <c r="F43" s="35">
        <v>2</v>
      </c>
      <c r="G43" s="35" t="s">
        <v>6140</v>
      </c>
      <c r="H43" s="35" t="s">
        <v>6154</v>
      </c>
    </row>
    <row r="44" spans="1:8" x14ac:dyDescent="0.2">
      <c r="A44" s="34" t="str">
        <f t="shared" si="0"/>
        <v>3I3</v>
      </c>
      <c r="B44" s="42">
        <v>3</v>
      </c>
      <c r="C44" s="42" t="s">
        <v>6122</v>
      </c>
      <c r="D44" s="216"/>
      <c r="E44" s="218"/>
      <c r="F44" s="35">
        <v>3</v>
      </c>
      <c r="G44" s="35" t="s">
        <v>6133</v>
      </c>
      <c r="H44" s="35" t="s">
        <v>6154</v>
      </c>
    </row>
    <row r="45" spans="1:8" x14ac:dyDescent="0.2">
      <c r="A45" s="34" t="str">
        <f t="shared" si="0"/>
        <v>3I4</v>
      </c>
      <c r="B45" s="42">
        <v>3</v>
      </c>
      <c r="C45" s="42" t="s">
        <v>6122</v>
      </c>
      <c r="D45" s="216"/>
      <c r="E45" s="218"/>
      <c r="F45" s="35">
        <v>4</v>
      </c>
      <c r="G45" s="35" t="s">
        <v>6116</v>
      </c>
      <c r="H45" s="35" t="s">
        <v>6154</v>
      </c>
    </row>
    <row r="46" spans="1:8" ht="45" x14ac:dyDescent="0.2">
      <c r="A46" s="34" t="str">
        <f t="shared" si="0"/>
        <v>3I5</v>
      </c>
      <c r="B46" s="42">
        <v>3</v>
      </c>
      <c r="C46" s="42" t="s">
        <v>6122</v>
      </c>
      <c r="D46" s="209" t="s">
        <v>6302</v>
      </c>
      <c r="E46" s="36" t="s">
        <v>6303</v>
      </c>
      <c r="F46" s="35">
        <v>5</v>
      </c>
      <c r="G46" s="35" t="s">
        <v>6136</v>
      </c>
      <c r="H46" s="38" t="s">
        <v>6134</v>
      </c>
    </row>
    <row r="47" spans="1:8" ht="30" x14ac:dyDescent="0.2">
      <c r="A47" s="34" t="str">
        <f t="shared" si="0"/>
        <v>3I6</v>
      </c>
      <c r="B47" s="42">
        <v>3</v>
      </c>
      <c r="C47" s="42" t="s">
        <v>6122</v>
      </c>
      <c r="D47" s="219"/>
      <c r="E47" s="36" t="s">
        <v>6304</v>
      </c>
      <c r="F47" s="35">
        <v>6</v>
      </c>
      <c r="G47" s="35" t="s">
        <v>6116</v>
      </c>
      <c r="H47" s="35" t="s">
        <v>6134</v>
      </c>
    </row>
    <row r="48" spans="1:8" ht="30" x14ac:dyDescent="0.2">
      <c r="A48" s="34" t="str">
        <f t="shared" si="0"/>
        <v>3I7</v>
      </c>
      <c r="B48" s="42">
        <v>3</v>
      </c>
      <c r="C48" s="42" t="s">
        <v>6122</v>
      </c>
      <c r="D48" s="219"/>
      <c r="E48" s="36" t="s">
        <v>6305</v>
      </c>
      <c r="F48" s="35">
        <v>7</v>
      </c>
      <c r="G48" s="35" t="s">
        <v>6133</v>
      </c>
      <c r="H48" s="35" t="s">
        <v>6134</v>
      </c>
    </row>
    <row r="49" spans="1:8" ht="30" x14ac:dyDescent="0.2">
      <c r="A49" s="34" t="str">
        <f t="shared" si="0"/>
        <v>3I8</v>
      </c>
      <c r="B49" s="42">
        <v>3</v>
      </c>
      <c r="C49" s="42" t="s">
        <v>6122</v>
      </c>
      <c r="D49" s="220"/>
      <c r="E49" s="36" t="s">
        <v>6306</v>
      </c>
      <c r="F49" s="35">
        <v>8</v>
      </c>
      <c r="G49" s="35" t="s">
        <v>6140</v>
      </c>
      <c r="H49" s="35" t="s">
        <v>6134</v>
      </c>
    </row>
    <row r="50" spans="1:8" ht="30" x14ac:dyDescent="0.2">
      <c r="A50" s="34" t="str">
        <f t="shared" si="0"/>
        <v>3I9</v>
      </c>
      <c r="B50" s="42">
        <v>3</v>
      </c>
      <c r="C50" s="42" t="s">
        <v>6122</v>
      </c>
      <c r="D50" s="215" t="s">
        <v>6307</v>
      </c>
      <c r="E50" s="217" t="s">
        <v>6308</v>
      </c>
      <c r="F50" s="35">
        <v>9</v>
      </c>
      <c r="G50" s="35" t="s">
        <v>6140</v>
      </c>
      <c r="H50" s="35" t="s">
        <v>6134</v>
      </c>
    </row>
    <row r="51" spans="1:8" ht="30" x14ac:dyDescent="0.2">
      <c r="A51" s="34" t="str">
        <f t="shared" si="0"/>
        <v>3I10</v>
      </c>
      <c r="B51" s="42">
        <v>3</v>
      </c>
      <c r="C51" s="42" t="s">
        <v>6122</v>
      </c>
      <c r="D51" s="216"/>
      <c r="E51" s="218"/>
      <c r="F51" s="35">
        <v>10</v>
      </c>
      <c r="G51" s="35" t="s">
        <v>6136</v>
      </c>
      <c r="H51" s="35" t="s">
        <v>6134</v>
      </c>
    </row>
    <row r="52" spans="1:8" ht="30" x14ac:dyDescent="0.2">
      <c r="A52" s="34" t="str">
        <f t="shared" si="0"/>
        <v>3I11</v>
      </c>
      <c r="B52" s="42">
        <v>3</v>
      </c>
      <c r="C52" s="42" t="s">
        <v>6122</v>
      </c>
      <c r="D52" s="216"/>
      <c r="E52" s="218"/>
      <c r="F52" s="35">
        <v>11</v>
      </c>
      <c r="G52" s="35" t="s">
        <v>6140</v>
      </c>
      <c r="H52" s="35" t="s">
        <v>6134</v>
      </c>
    </row>
    <row r="53" spans="1:8" ht="30" x14ac:dyDescent="0.2">
      <c r="A53" s="34" t="str">
        <f t="shared" si="0"/>
        <v>3I12</v>
      </c>
      <c r="B53" s="42">
        <v>3</v>
      </c>
      <c r="C53" s="42" t="s">
        <v>6122</v>
      </c>
      <c r="D53" s="216"/>
      <c r="E53" s="218"/>
      <c r="F53" s="35">
        <v>12</v>
      </c>
      <c r="G53" s="35" t="s">
        <v>6116</v>
      </c>
      <c r="H53" s="35" t="s">
        <v>6134</v>
      </c>
    </row>
    <row r="54" spans="1:8" ht="30" x14ac:dyDescent="0.2">
      <c r="A54" s="34" t="str">
        <f t="shared" si="0"/>
        <v>3I13</v>
      </c>
      <c r="B54" s="42">
        <v>3</v>
      </c>
      <c r="C54" s="42" t="s">
        <v>6122</v>
      </c>
      <c r="D54" s="215" t="s">
        <v>6309</v>
      </c>
      <c r="E54" s="217" t="s">
        <v>6310</v>
      </c>
      <c r="F54" s="35">
        <v>13</v>
      </c>
      <c r="G54" s="35" t="s">
        <v>6133</v>
      </c>
      <c r="H54" s="35" t="s">
        <v>6134</v>
      </c>
    </row>
    <row r="55" spans="1:8" ht="30" x14ac:dyDescent="0.2">
      <c r="A55" s="34" t="str">
        <f t="shared" si="0"/>
        <v>3I14</v>
      </c>
      <c r="B55" s="42">
        <v>3</v>
      </c>
      <c r="C55" s="42" t="s">
        <v>6122</v>
      </c>
      <c r="D55" s="216"/>
      <c r="E55" s="218"/>
      <c r="F55" s="35">
        <v>14</v>
      </c>
      <c r="G55" s="35" t="s">
        <v>6136</v>
      </c>
      <c r="H55" s="35" t="s">
        <v>6134</v>
      </c>
    </row>
    <row r="56" spans="1:8" ht="30" x14ac:dyDescent="0.2">
      <c r="A56" s="34" t="str">
        <f t="shared" si="0"/>
        <v>3I15</v>
      </c>
      <c r="B56" s="42">
        <v>3</v>
      </c>
      <c r="C56" s="42" t="s">
        <v>6122</v>
      </c>
      <c r="D56" s="216"/>
      <c r="E56" s="218"/>
      <c r="F56" s="35">
        <v>15</v>
      </c>
      <c r="G56" s="35" t="s">
        <v>6136</v>
      </c>
      <c r="H56" s="35" t="s">
        <v>6134</v>
      </c>
    </row>
    <row r="57" spans="1:8" ht="30" x14ac:dyDescent="0.2">
      <c r="A57" s="34" t="str">
        <f t="shared" si="0"/>
        <v>3I16</v>
      </c>
      <c r="B57" s="42">
        <v>3</v>
      </c>
      <c r="C57" s="42" t="s">
        <v>6122</v>
      </c>
      <c r="D57" s="209" t="s">
        <v>6311</v>
      </c>
      <c r="E57" s="221" t="s">
        <v>6312</v>
      </c>
      <c r="F57" s="35">
        <v>16</v>
      </c>
      <c r="G57" s="35" t="s">
        <v>6116</v>
      </c>
      <c r="H57" s="35" t="s">
        <v>6134</v>
      </c>
    </row>
    <row r="58" spans="1:8" ht="30" x14ac:dyDescent="0.2">
      <c r="A58" s="34" t="str">
        <f t="shared" si="0"/>
        <v>3I17</v>
      </c>
      <c r="B58" s="42">
        <v>3</v>
      </c>
      <c r="C58" s="42" t="s">
        <v>6122</v>
      </c>
      <c r="D58" s="219"/>
      <c r="E58" s="222"/>
      <c r="F58" s="35">
        <v>17</v>
      </c>
      <c r="G58" s="35" t="s">
        <v>6136</v>
      </c>
      <c r="H58" s="35" t="s">
        <v>6134</v>
      </c>
    </row>
    <row r="59" spans="1:8" ht="30" x14ac:dyDescent="0.2">
      <c r="A59" s="34" t="str">
        <f t="shared" si="0"/>
        <v>3I18</v>
      </c>
      <c r="B59" s="42">
        <v>3</v>
      </c>
      <c r="C59" s="42" t="s">
        <v>6122</v>
      </c>
      <c r="D59" s="219"/>
      <c r="E59" s="222"/>
      <c r="F59" s="35">
        <v>18</v>
      </c>
      <c r="G59" s="35" t="s">
        <v>6133</v>
      </c>
      <c r="H59" s="35" t="s">
        <v>6134</v>
      </c>
    </row>
    <row r="60" spans="1:8" ht="30" x14ac:dyDescent="0.2">
      <c r="A60" s="34" t="str">
        <f t="shared" si="0"/>
        <v>3I19</v>
      </c>
      <c r="B60" s="42">
        <v>3</v>
      </c>
      <c r="C60" s="42" t="s">
        <v>6122</v>
      </c>
      <c r="D60" s="219"/>
      <c r="E60" s="222"/>
      <c r="F60" s="35">
        <v>19</v>
      </c>
      <c r="G60" s="35" t="s">
        <v>6133</v>
      </c>
      <c r="H60" s="35" t="s">
        <v>6134</v>
      </c>
    </row>
    <row r="61" spans="1:8" ht="30" x14ac:dyDescent="0.2">
      <c r="A61" s="34" t="str">
        <f t="shared" si="0"/>
        <v>3I20</v>
      </c>
      <c r="B61" s="42">
        <v>3</v>
      </c>
      <c r="C61" s="42" t="s">
        <v>6122</v>
      </c>
      <c r="D61" s="220"/>
      <c r="E61" s="223"/>
      <c r="F61" s="35">
        <v>20</v>
      </c>
      <c r="G61" s="35" t="s">
        <v>6116</v>
      </c>
      <c r="H61" s="35" t="s">
        <v>6134</v>
      </c>
    </row>
    <row r="62" spans="1:8" x14ac:dyDescent="0.2">
      <c r="A62" s="34" t="str">
        <f t="shared" si="0"/>
        <v>1II1</v>
      </c>
      <c r="B62" s="34">
        <v>1</v>
      </c>
      <c r="C62" s="34" t="s">
        <v>6384</v>
      </c>
      <c r="D62" s="217" t="s">
        <v>6393</v>
      </c>
      <c r="E62" s="112" t="s">
        <v>6394</v>
      </c>
      <c r="F62" s="111">
        <v>1</v>
      </c>
      <c r="G62" s="111" t="s">
        <v>6133</v>
      </c>
      <c r="H62" s="111" t="s">
        <v>6395</v>
      </c>
    </row>
    <row r="63" spans="1:8" ht="30" x14ac:dyDescent="0.2">
      <c r="A63" s="34" t="str">
        <f t="shared" si="0"/>
        <v>1II2</v>
      </c>
      <c r="B63" s="34">
        <v>1</v>
      </c>
      <c r="C63" s="34" t="s">
        <v>6384</v>
      </c>
      <c r="D63" s="217"/>
      <c r="E63" s="217" t="s">
        <v>6396</v>
      </c>
      <c r="F63" s="111">
        <v>2</v>
      </c>
      <c r="G63" s="111" t="s">
        <v>6136</v>
      </c>
      <c r="H63" s="111" t="s">
        <v>6216</v>
      </c>
    </row>
    <row r="64" spans="1:8" ht="30" x14ac:dyDescent="0.2">
      <c r="A64" s="34" t="str">
        <f t="shared" si="0"/>
        <v>1II3</v>
      </c>
      <c r="B64" s="34">
        <v>1</v>
      </c>
      <c r="C64" s="34" t="s">
        <v>6384</v>
      </c>
      <c r="D64" s="217"/>
      <c r="E64" s="217"/>
      <c r="F64" s="111">
        <v>3</v>
      </c>
      <c r="G64" s="111" t="s">
        <v>6116</v>
      </c>
      <c r="H64" s="111" t="s">
        <v>6216</v>
      </c>
    </row>
    <row r="65" spans="1:8" ht="30" x14ac:dyDescent="0.2">
      <c r="A65" s="34" t="str">
        <f t="shared" si="0"/>
        <v>1II4</v>
      </c>
      <c r="B65" s="34">
        <v>1</v>
      </c>
      <c r="C65" s="34" t="s">
        <v>6384</v>
      </c>
      <c r="D65" s="217" t="s">
        <v>6397</v>
      </c>
      <c r="E65" s="217" t="s">
        <v>6398</v>
      </c>
      <c r="F65" s="111">
        <v>4</v>
      </c>
      <c r="G65" s="111" t="s">
        <v>6133</v>
      </c>
      <c r="H65" s="111" t="s">
        <v>6216</v>
      </c>
    </row>
    <row r="66" spans="1:8" x14ac:dyDescent="0.2">
      <c r="A66" s="34" t="str">
        <f t="shared" si="0"/>
        <v>1II5</v>
      </c>
      <c r="B66" s="34">
        <v>1</v>
      </c>
      <c r="C66" s="34" t="s">
        <v>6384</v>
      </c>
      <c r="D66" s="217"/>
      <c r="E66" s="217"/>
      <c r="F66" s="111">
        <v>5</v>
      </c>
      <c r="G66" s="111" t="s">
        <v>6140</v>
      </c>
      <c r="H66" s="111" t="s">
        <v>6395</v>
      </c>
    </row>
    <row r="67" spans="1:8" ht="30" x14ac:dyDescent="0.2">
      <c r="A67" s="34" t="str">
        <f t="shared" ref="A67:A130" si="1">CONCATENATE(B67,C67,F67)</f>
        <v>1II6</v>
      </c>
      <c r="B67" s="34">
        <v>1</v>
      </c>
      <c r="C67" s="34" t="s">
        <v>6384</v>
      </c>
      <c r="D67" s="217" t="s">
        <v>6399</v>
      </c>
      <c r="E67" s="112" t="s">
        <v>6400</v>
      </c>
      <c r="F67" s="111">
        <v>6</v>
      </c>
      <c r="G67" s="111" t="s">
        <v>6136</v>
      </c>
      <c r="H67" s="111" t="s">
        <v>6216</v>
      </c>
    </row>
    <row r="68" spans="1:8" ht="30" x14ac:dyDescent="0.2">
      <c r="A68" s="34" t="str">
        <f t="shared" si="1"/>
        <v>1II7</v>
      </c>
      <c r="B68" s="34">
        <v>1</v>
      </c>
      <c r="C68" s="34" t="s">
        <v>6384</v>
      </c>
      <c r="D68" s="217"/>
      <c r="E68" s="112" t="s">
        <v>6401</v>
      </c>
      <c r="F68" s="111">
        <v>7</v>
      </c>
      <c r="G68" s="111" t="s">
        <v>6140</v>
      </c>
      <c r="H68" s="111" t="s">
        <v>6216</v>
      </c>
    </row>
    <row r="69" spans="1:8" ht="30" x14ac:dyDescent="0.2">
      <c r="A69" s="34" t="str">
        <f t="shared" si="1"/>
        <v>1II8</v>
      </c>
      <c r="B69" s="34">
        <v>1</v>
      </c>
      <c r="C69" s="34" t="s">
        <v>6384</v>
      </c>
      <c r="D69" s="217"/>
      <c r="E69" s="112" t="s">
        <v>6402</v>
      </c>
      <c r="F69" s="111">
        <v>8</v>
      </c>
      <c r="G69" s="111" t="s">
        <v>6133</v>
      </c>
      <c r="H69" s="111" t="s">
        <v>6216</v>
      </c>
    </row>
    <row r="70" spans="1:8" ht="30" x14ac:dyDescent="0.2">
      <c r="A70" s="34" t="str">
        <f t="shared" si="1"/>
        <v>1II9</v>
      </c>
      <c r="B70" s="34">
        <v>1</v>
      </c>
      <c r="C70" s="34" t="s">
        <v>6384</v>
      </c>
      <c r="D70" s="217" t="s">
        <v>6403</v>
      </c>
      <c r="E70" s="112" t="s">
        <v>6404</v>
      </c>
      <c r="F70" s="111">
        <v>9</v>
      </c>
      <c r="G70" s="111" t="s">
        <v>6133</v>
      </c>
      <c r="H70" s="111" t="s">
        <v>6216</v>
      </c>
    </row>
    <row r="71" spans="1:8" ht="30" x14ac:dyDescent="0.2">
      <c r="A71" s="34" t="str">
        <f t="shared" si="1"/>
        <v>1II10</v>
      </c>
      <c r="B71" s="34">
        <v>1</v>
      </c>
      <c r="C71" s="34" t="s">
        <v>6384</v>
      </c>
      <c r="D71" s="217"/>
      <c r="E71" s="217" t="s">
        <v>6405</v>
      </c>
      <c r="F71" s="111">
        <v>10</v>
      </c>
      <c r="G71" s="111" t="s">
        <v>6140</v>
      </c>
      <c r="H71" s="111" t="s">
        <v>6216</v>
      </c>
    </row>
    <row r="72" spans="1:8" ht="30" x14ac:dyDescent="0.2">
      <c r="A72" s="34" t="str">
        <f t="shared" si="1"/>
        <v>1II11</v>
      </c>
      <c r="B72" s="34">
        <v>1</v>
      </c>
      <c r="C72" s="34" t="s">
        <v>6384</v>
      </c>
      <c r="D72" s="217"/>
      <c r="E72" s="217"/>
      <c r="F72" s="111">
        <v>11</v>
      </c>
      <c r="G72" s="111" t="s">
        <v>6116</v>
      </c>
      <c r="H72" s="111" t="s">
        <v>6216</v>
      </c>
    </row>
    <row r="73" spans="1:8" x14ac:dyDescent="0.2">
      <c r="A73" s="34" t="str">
        <f t="shared" si="1"/>
        <v>1II12</v>
      </c>
      <c r="B73" s="34">
        <v>1</v>
      </c>
      <c r="C73" s="34" t="s">
        <v>6384</v>
      </c>
      <c r="D73" s="217" t="s">
        <v>6406</v>
      </c>
      <c r="E73" s="112" t="s">
        <v>6407</v>
      </c>
      <c r="F73" s="111">
        <v>12</v>
      </c>
      <c r="G73" s="111" t="s">
        <v>6140</v>
      </c>
      <c r="H73" s="111" t="s">
        <v>6395</v>
      </c>
    </row>
    <row r="74" spans="1:8" ht="30" x14ac:dyDescent="0.2">
      <c r="A74" s="34" t="str">
        <f t="shared" si="1"/>
        <v>1II13</v>
      </c>
      <c r="B74" s="34">
        <v>1</v>
      </c>
      <c r="C74" s="34" t="s">
        <v>6384</v>
      </c>
      <c r="D74" s="217"/>
      <c r="E74" s="112" t="s">
        <v>6408</v>
      </c>
      <c r="F74" s="111">
        <v>13</v>
      </c>
      <c r="G74" s="111" t="s">
        <v>6140</v>
      </c>
      <c r="H74" s="38" t="s">
        <v>6216</v>
      </c>
    </row>
    <row r="75" spans="1:8" ht="30" x14ac:dyDescent="0.2">
      <c r="A75" s="34" t="str">
        <f t="shared" si="1"/>
        <v>1II14</v>
      </c>
      <c r="B75" s="34">
        <v>1</v>
      </c>
      <c r="C75" s="34" t="s">
        <v>6384</v>
      </c>
      <c r="D75" s="217"/>
      <c r="E75" s="112" t="s">
        <v>6409</v>
      </c>
      <c r="F75" s="111">
        <v>14</v>
      </c>
      <c r="G75" s="111" t="s">
        <v>6136</v>
      </c>
      <c r="H75" s="111" t="s">
        <v>6395</v>
      </c>
    </row>
    <row r="76" spans="1:8" ht="30" x14ac:dyDescent="0.2">
      <c r="A76" s="34" t="str">
        <f t="shared" si="1"/>
        <v>1II15</v>
      </c>
      <c r="B76" s="34">
        <v>1</v>
      </c>
      <c r="C76" s="34" t="s">
        <v>6384</v>
      </c>
      <c r="D76" s="217"/>
      <c r="E76" s="112" t="s">
        <v>6410</v>
      </c>
      <c r="F76" s="111">
        <v>15</v>
      </c>
      <c r="G76" s="111" t="s">
        <v>6140</v>
      </c>
      <c r="H76" s="111" t="s">
        <v>6216</v>
      </c>
    </row>
    <row r="77" spans="1:8" ht="45" x14ac:dyDescent="0.2">
      <c r="A77" s="34" t="str">
        <f t="shared" si="1"/>
        <v>1II16</v>
      </c>
      <c r="B77" s="34">
        <v>1</v>
      </c>
      <c r="C77" s="34" t="s">
        <v>6384</v>
      </c>
      <c r="D77" s="112" t="s">
        <v>6411</v>
      </c>
      <c r="E77" s="112" t="s">
        <v>6412</v>
      </c>
      <c r="F77" s="111">
        <v>16</v>
      </c>
      <c r="G77" s="111" t="s">
        <v>6133</v>
      </c>
      <c r="H77" s="111" t="s">
        <v>6216</v>
      </c>
    </row>
    <row r="78" spans="1:8" ht="30" x14ac:dyDescent="0.2">
      <c r="A78" s="34" t="str">
        <f t="shared" si="1"/>
        <v>1II17</v>
      </c>
      <c r="B78" s="34">
        <v>1</v>
      </c>
      <c r="C78" s="34" t="s">
        <v>6384</v>
      </c>
      <c r="D78" s="217" t="s">
        <v>6413</v>
      </c>
      <c r="E78" s="112" t="s">
        <v>6414</v>
      </c>
      <c r="F78" s="111">
        <v>17</v>
      </c>
      <c r="G78" s="111" t="s">
        <v>6140</v>
      </c>
      <c r="H78" s="111" t="s">
        <v>6395</v>
      </c>
    </row>
    <row r="79" spans="1:8" ht="30" x14ac:dyDescent="0.2">
      <c r="A79" s="34" t="str">
        <f t="shared" si="1"/>
        <v>1II18</v>
      </c>
      <c r="B79" s="34">
        <v>1</v>
      </c>
      <c r="C79" s="34" t="s">
        <v>6384</v>
      </c>
      <c r="D79" s="217"/>
      <c r="E79" s="112" t="s">
        <v>6415</v>
      </c>
      <c r="F79" s="111">
        <v>18</v>
      </c>
      <c r="G79" s="111" t="s">
        <v>6140</v>
      </c>
      <c r="H79" s="40" t="s">
        <v>6216</v>
      </c>
    </row>
    <row r="80" spans="1:8" ht="30" x14ac:dyDescent="0.2">
      <c r="A80" s="34" t="str">
        <f t="shared" si="1"/>
        <v>1II19</v>
      </c>
      <c r="B80" s="34">
        <v>1</v>
      </c>
      <c r="C80" s="34" t="s">
        <v>6384</v>
      </c>
      <c r="D80" s="217"/>
      <c r="E80" s="112" t="s">
        <v>6416</v>
      </c>
      <c r="F80" s="111">
        <v>19</v>
      </c>
      <c r="G80" s="111" t="s">
        <v>6136</v>
      </c>
      <c r="H80" s="40" t="s">
        <v>6216</v>
      </c>
    </row>
    <row r="81" spans="1:8" ht="30" x14ac:dyDescent="0.2">
      <c r="A81" s="34" t="str">
        <f t="shared" si="1"/>
        <v>1II20</v>
      </c>
      <c r="B81" s="34">
        <v>1</v>
      </c>
      <c r="C81" s="34" t="s">
        <v>6384</v>
      </c>
      <c r="D81" s="217"/>
      <c r="E81" s="112" t="s">
        <v>6417</v>
      </c>
      <c r="F81" s="39">
        <v>20</v>
      </c>
      <c r="G81" s="111" t="s">
        <v>6133</v>
      </c>
      <c r="H81" s="40" t="s">
        <v>6216</v>
      </c>
    </row>
    <row r="82" spans="1:8" x14ac:dyDescent="0.2">
      <c r="A82" s="34" t="str">
        <f t="shared" si="1"/>
        <v>2II1</v>
      </c>
      <c r="B82" s="34">
        <v>2</v>
      </c>
      <c r="C82" s="34" t="s">
        <v>6384</v>
      </c>
      <c r="D82" s="217" t="s">
        <v>6473</v>
      </c>
      <c r="E82" s="217" t="s">
        <v>6474</v>
      </c>
      <c r="F82" s="111">
        <v>1</v>
      </c>
      <c r="G82" s="111" t="s">
        <v>6116</v>
      </c>
      <c r="H82" s="111" t="s">
        <v>6154</v>
      </c>
    </row>
    <row r="83" spans="1:8" x14ac:dyDescent="0.2">
      <c r="A83" s="34" t="str">
        <f t="shared" si="1"/>
        <v>2II2</v>
      </c>
      <c r="B83" s="34">
        <v>2</v>
      </c>
      <c r="C83" s="34" t="s">
        <v>6384</v>
      </c>
      <c r="D83" s="217"/>
      <c r="E83" s="217"/>
      <c r="F83" s="111">
        <v>2</v>
      </c>
      <c r="G83" s="111" t="s">
        <v>6140</v>
      </c>
      <c r="H83" s="111" t="s">
        <v>6154</v>
      </c>
    </row>
    <row r="84" spans="1:8" x14ac:dyDescent="0.2">
      <c r="A84" s="34" t="str">
        <f t="shared" si="1"/>
        <v>2II3</v>
      </c>
      <c r="B84" s="34">
        <v>2</v>
      </c>
      <c r="C84" s="34" t="s">
        <v>6384</v>
      </c>
      <c r="D84" s="217"/>
      <c r="E84" s="217"/>
      <c r="F84" s="111">
        <v>3</v>
      </c>
      <c r="G84" s="111" t="s">
        <v>6140</v>
      </c>
      <c r="H84" s="111" t="s">
        <v>6154</v>
      </c>
    </row>
    <row r="85" spans="1:8" x14ac:dyDescent="0.2">
      <c r="A85" s="34" t="str">
        <f t="shared" si="1"/>
        <v>2II4</v>
      </c>
      <c r="B85" s="34">
        <v>2</v>
      </c>
      <c r="C85" s="34" t="s">
        <v>6384</v>
      </c>
      <c r="D85" s="217" t="s">
        <v>6475</v>
      </c>
      <c r="E85" s="217" t="s">
        <v>6476</v>
      </c>
      <c r="F85" s="111">
        <v>4</v>
      </c>
      <c r="G85" s="111" t="s">
        <v>6136</v>
      </c>
      <c r="H85" s="111" t="s">
        <v>6154</v>
      </c>
    </row>
    <row r="86" spans="1:8" x14ac:dyDescent="0.2">
      <c r="A86" s="34" t="str">
        <f t="shared" si="1"/>
        <v>2II5</v>
      </c>
      <c r="B86" s="34">
        <v>2</v>
      </c>
      <c r="C86" s="34" t="s">
        <v>6384</v>
      </c>
      <c r="D86" s="217"/>
      <c r="E86" s="217"/>
      <c r="F86" s="111">
        <v>5</v>
      </c>
      <c r="G86" s="111" t="s">
        <v>6116</v>
      </c>
      <c r="H86" s="111" t="s">
        <v>6184</v>
      </c>
    </row>
    <row r="87" spans="1:8" x14ac:dyDescent="0.2">
      <c r="A87" s="34" t="str">
        <f t="shared" si="1"/>
        <v>2II6</v>
      </c>
      <c r="B87" s="34">
        <v>2</v>
      </c>
      <c r="C87" s="34" t="s">
        <v>6384</v>
      </c>
      <c r="D87" s="217"/>
      <c r="E87" s="217"/>
      <c r="F87" s="111">
        <v>6</v>
      </c>
      <c r="G87" s="111" t="s">
        <v>6136</v>
      </c>
      <c r="H87" s="111" t="s">
        <v>6154</v>
      </c>
    </row>
    <row r="88" spans="1:8" ht="60" x14ac:dyDescent="0.2">
      <c r="A88" s="34" t="str">
        <f t="shared" si="1"/>
        <v>2II7</v>
      </c>
      <c r="B88" s="34">
        <v>2</v>
      </c>
      <c r="C88" s="34" t="s">
        <v>6384</v>
      </c>
      <c r="D88" s="112" t="s">
        <v>6473</v>
      </c>
      <c r="E88" s="112" t="s">
        <v>6477</v>
      </c>
      <c r="F88" s="111">
        <v>7</v>
      </c>
      <c r="G88" s="111" t="s">
        <v>6133</v>
      </c>
      <c r="H88" s="111" t="s">
        <v>6134</v>
      </c>
    </row>
    <row r="89" spans="1:8" ht="45" x14ac:dyDescent="0.2">
      <c r="A89" s="34" t="str">
        <f t="shared" si="1"/>
        <v>2II8</v>
      </c>
      <c r="B89" s="34">
        <v>2</v>
      </c>
      <c r="C89" s="34" t="s">
        <v>6384</v>
      </c>
      <c r="D89" s="112" t="s">
        <v>6478</v>
      </c>
      <c r="E89" s="112" t="s">
        <v>6479</v>
      </c>
      <c r="F89" s="111">
        <v>8</v>
      </c>
      <c r="G89" s="111" t="s">
        <v>6116</v>
      </c>
      <c r="H89" s="111" t="s">
        <v>6137</v>
      </c>
    </row>
    <row r="90" spans="1:8" ht="30" x14ac:dyDescent="0.2">
      <c r="A90" s="34" t="str">
        <f t="shared" si="1"/>
        <v>2II9</v>
      </c>
      <c r="B90" s="34">
        <v>2</v>
      </c>
      <c r="C90" s="34" t="s">
        <v>6384</v>
      </c>
      <c r="D90" s="217" t="s">
        <v>6480</v>
      </c>
      <c r="E90" s="217" t="s">
        <v>6481</v>
      </c>
      <c r="F90" s="111">
        <v>9</v>
      </c>
      <c r="G90" s="111" t="s">
        <v>6133</v>
      </c>
      <c r="H90" s="111" t="s">
        <v>6134</v>
      </c>
    </row>
    <row r="91" spans="1:8" ht="30" x14ac:dyDescent="0.2">
      <c r="A91" s="34" t="str">
        <f t="shared" si="1"/>
        <v>2II10</v>
      </c>
      <c r="B91" s="34">
        <v>2</v>
      </c>
      <c r="C91" s="34" t="s">
        <v>6384</v>
      </c>
      <c r="D91" s="217"/>
      <c r="E91" s="217"/>
      <c r="F91" s="111">
        <v>10</v>
      </c>
      <c r="G91" s="111" t="s">
        <v>6116</v>
      </c>
      <c r="H91" s="38" t="s">
        <v>6134</v>
      </c>
    </row>
    <row r="92" spans="1:8" ht="30" x14ac:dyDescent="0.2">
      <c r="A92" s="34" t="str">
        <f t="shared" si="1"/>
        <v>2II11</v>
      </c>
      <c r="B92" s="34">
        <v>2</v>
      </c>
      <c r="C92" s="34" t="s">
        <v>6384</v>
      </c>
      <c r="D92" s="217" t="s">
        <v>6482</v>
      </c>
      <c r="E92" s="112" t="s">
        <v>6483</v>
      </c>
      <c r="F92" s="111">
        <v>11</v>
      </c>
      <c r="G92" s="111" t="s">
        <v>6136</v>
      </c>
      <c r="H92" s="111" t="s">
        <v>6184</v>
      </c>
    </row>
    <row r="93" spans="1:8" ht="30" x14ac:dyDescent="0.2">
      <c r="A93" s="34" t="str">
        <f t="shared" si="1"/>
        <v>2II12</v>
      </c>
      <c r="B93" s="34">
        <v>2</v>
      </c>
      <c r="C93" s="34" t="s">
        <v>6384</v>
      </c>
      <c r="D93" s="217"/>
      <c r="E93" s="112" t="s">
        <v>6484</v>
      </c>
      <c r="F93" s="111">
        <v>12</v>
      </c>
      <c r="G93" s="111" t="s">
        <v>6116</v>
      </c>
      <c r="H93" s="111" t="s">
        <v>6137</v>
      </c>
    </row>
    <row r="94" spans="1:8" ht="30" x14ac:dyDescent="0.2">
      <c r="A94" s="34" t="str">
        <f t="shared" si="1"/>
        <v>2II13</v>
      </c>
      <c r="B94" s="34">
        <v>2</v>
      </c>
      <c r="C94" s="34" t="s">
        <v>6384</v>
      </c>
      <c r="D94" s="217" t="s">
        <v>6485</v>
      </c>
      <c r="E94" s="217" t="s">
        <v>6486</v>
      </c>
      <c r="F94" s="111">
        <v>13</v>
      </c>
      <c r="G94" s="111" t="s">
        <v>6136</v>
      </c>
      <c r="H94" s="111" t="s">
        <v>6134</v>
      </c>
    </row>
    <row r="95" spans="1:8" ht="30" x14ac:dyDescent="0.2">
      <c r="A95" s="34" t="str">
        <f t="shared" si="1"/>
        <v>2II14</v>
      </c>
      <c r="B95" s="34">
        <v>2</v>
      </c>
      <c r="C95" s="34" t="s">
        <v>6384</v>
      </c>
      <c r="D95" s="217"/>
      <c r="E95" s="217"/>
      <c r="F95" s="111">
        <v>14</v>
      </c>
      <c r="G95" s="111" t="s">
        <v>6133</v>
      </c>
      <c r="H95" s="111" t="s">
        <v>6134</v>
      </c>
    </row>
    <row r="96" spans="1:8" x14ac:dyDescent="0.2">
      <c r="A96" s="34" t="str">
        <f t="shared" si="1"/>
        <v>2II15</v>
      </c>
      <c r="B96" s="34">
        <v>2</v>
      </c>
      <c r="C96" s="34" t="s">
        <v>6384</v>
      </c>
      <c r="D96" s="217" t="s">
        <v>6487</v>
      </c>
      <c r="E96" s="217" t="s">
        <v>6488</v>
      </c>
      <c r="F96" s="111">
        <v>15</v>
      </c>
      <c r="G96" s="111" t="s">
        <v>6136</v>
      </c>
      <c r="H96" s="40" t="s">
        <v>6184</v>
      </c>
    </row>
    <row r="97" spans="1:8" x14ac:dyDescent="0.2">
      <c r="A97" s="34" t="str">
        <f t="shared" si="1"/>
        <v>2II16</v>
      </c>
      <c r="B97" s="34">
        <v>2</v>
      </c>
      <c r="C97" s="34" t="s">
        <v>6384</v>
      </c>
      <c r="D97" s="217"/>
      <c r="E97" s="217"/>
      <c r="F97" s="111">
        <v>16</v>
      </c>
      <c r="G97" s="111" t="s">
        <v>6133</v>
      </c>
      <c r="H97" s="40" t="s">
        <v>6184</v>
      </c>
    </row>
    <row r="98" spans="1:8" ht="45" x14ac:dyDescent="0.2">
      <c r="A98" s="34" t="str">
        <f t="shared" si="1"/>
        <v>2II17</v>
      </c>
      <c r="B98" s="34">
        <v>2</v>
      </c>
      <c r="C98" s="34" t="s">
        <v>6384</v>
      </c>
      <c r="D98" s="112" t="s">
        <v>6489</v>
      </c>
      <c r="E98" s="112" t="s">
        <v>6490</v>
      </c>
      <c r="F98" s="40">
        <v>17</v>
      </c>
      <c r="G98" s="40" t="s">
        <v>6140</v>
      </c>
      <c r="H98" s="91" t="s">
        <v>6184</v>
      </c>
    </row>
    <row r="99" spans="1:8" x14ac:dyDescent="0.2">
      <c r="A99" s="34" t="str">
        <f t="shared" si="1"/>
        <v>2II18</v>
      </c>
      <c r="B99" s="34">
        <v>2</v>
      </c>
      <c r="C99" s="34" t="s">
        <v>6384</v>
      </c>
      <c r="D99" s="217" t="s">
        <v>6491</v>
      </c>
      <c r="E99" s="217" t="s">
        <v>6492</v>
      </c>
      <c r="F99" s="40">
        <v>18</v>
      </c>
      <c r="G99" s="40" t="s">
        <v>6116</v>
      </c>
      <c r="H99" s="91" t="s">
        <v>6184</v>
      </c>
    </row>
    <row r="100" spans="1:8" x14ac:dyDescent="0.2">
      <c r="A100" s="34" t="str">
        <f t="shared" si="1"/>
        <v>2II19</v>
      </c>
      <c r="B100" s="34">
        <v>2</v>
      </c>
      <c r="C100" s="34" t="s">
        <v>6384</v>
      </c>
      <c r="D100" s="217"/>
      <c r="E100" s="217"/>
      <c r="F100" s="40">
        <v>19</v>
      </c>
      <c r="G100" s="40" t="s">
        <v>6116</v>
      </c>
      <c r="H100" s="91" t="s">
        <v>6137</v>
      </c>
    </row>
    <row r="101" spans="1:8" x14ac:dyDescent="0.2">
      <c r="A101" s="34" t="str">
        <f t="shared" si="1"/>
        <v>2II20</v>
      </c>
      <c r="B101" s="34">
        <v>2</v>
      </c>
      <c r="C101" s="34" t="s">
        <v>6384</v>
      </c>
      <c r="D101" s="217"/>
      <c r="E101" s="112" t="s">
        <v>6493</v>
      </c>
      <c r="F101" s="40">
        <v>20</v>
      </c>
      <c r="G101" s="40" t="s">
        <v>6140</v>
      </c>
      <c r="H101" s="91" t="s">
        <v>6154</v>
      </c>
    </row>
    <row r="102" spans="1:8" x14ac:dyDescent="0.2">
      <c r="A102" s="34" t="str">
        <f t="shared" si="1"/>
        <v>3II1</v>
      </c>
      <c r="B102" s="34">
        <v>3</v>
      </c>
      <c r="C102" s="34" t="s">
        <v>6384</v>
      </c>
      <c r="D102" s="221" t="s">
        <v>6539</v>
      </c>
      <c r="E102" s="221" t="s">
        <v>6540</v>
      </c>
      <c r="F102" s="111">
        <v>1</v>
      </c>
      <c r="G102" s="111" t="s">
        <v>6136</v>
      </c>
      <c r="H102" s="38" t="s">
        <v>6469</v>
      </c>
    </row>
    <row r="103" spans="1:8" x14ac:dyDescent="0.2">
      <c r="A103" s="34" t="str">
        <f t="shared" si="1"/>
        <v>3II2</v>
      </c>
      <c r="B103" s="34">
        <v>3</v>
      </c>
      <c r="C103" s="34" t="s">
        <v>6384</v>
      </c>
      <c r="D103" s="224"/>
      <c r="E103" s="224"/>
      <c r="F103" s="111">
        <v>2</v>
      </c>
      <c r="G103" s="111" t="s">
        <v>6140</v>
      </c>
      <c r="H103" s="38" t="s">
        <v>6469</v>
      </c>
    </row>
    <row r="104" spans="1:8" x14ac:dyDescent="0.2">
      <c r="A104" s="34" t="str">
        <f t="shared" si="1"/>
        <v>3II3</v>
      </c>
      <c r="B104" s="34">
        <v>3</v>
      </c>
      <c r="C104" s="34" t="s">
        <v>6384</v>
      </c>
      <c r="D104" s="225"/>
      <c r="E104" s="225"/>
      <c r="F104" s="111">
        <v>3</v>
      </c>
      <c r="G104" s="111" t="s">
        <v>6140</v>
      </c>
      <c r="H104" s="38" t="s">
        <v>6469</v>
      </c>
    </row>
    <row r="105" spans="1:8" ht="60" x14ac:dyDescent="0.2">
      <c r="A105" s="34" t="str">
        <f t="shared" si="1"/>
        <v>3II4</v>
      </c>
      <c r="B105" s="34">
        <v>3</v>
      </c>
      <c r="C105" s="34" t="s">
        <v>6384</v>
      </c>
      <c r="D105" s="112" t="s">
        <v>6541</v>
      </c>
      <c r="E105" s="112" t="s">
        <v>6542</v>
      </c>
      <c r="F105" s="111">
        <v>4</v>
      </c>
      <c r="G105" s="111" t="s">
        <v>6133</v>
      </c>
      <c r="H105" s="38" t="s">
        <v>6469</v>
      </c>
    </row>
    <row r="106" spans="1:8" x14ac:dyDescent="0.2">
      <c r="A106" s="34" t="str">
        <f t="shared" si="1"/>
        <v>3II5</v>
      </c>
      <c r="B106" s="34">
        <v>3</v>
      </c>
      <c r="C106" s="34" t="s">
        <v>6384</v>
      </c>
      <c r="D106" s="221" t="s">
        <v>6543</v>
      </c>
      <c r="E106" s="221" t="s">
        <v>6544</v>
      </c>
      <c r="F106" s="111">
        <v>5</v>
      </c>
      <c r="G106" s="111" t="s">
        <v>6136</v>
      </c>
      <c r="H106" s="38" t="s">
        <v>6469</v>
      </c>
    </row>
    <row r="107" spans="1:8" x14ac:dyDescent="0.2">
      <c r="A107" s="34" t="str">
        <f t="shared" si="1"/>
        <v>3II6</v>
      </c>
      <c r="B107" s="34">
        <v>3</v>
      </c>
      <c r="C107" s="34" t="s">
        <v>6384</v>
      </c>
      <c r="D107" s="224"/>
      <c r="E107" s="224"/>
      <c r="F107" s="111">
        <v>6</v>
      </c>
      <c r="G107" s="111" t="s">
        <v>6133</v>
      </c>
      <c r="H107" s="38" t="s">
        <v>6469</v>
      </c>
    </row>
    <row r="108" spans="1:8" x14ac:dyDescent="0.2">
      <c r="A108" s="34" t="str">
        <f t="shared" si="1"/>
        <v>3II7</v>
      </c>
      <c r="B108" s="34">
        <v>3</v>
      </c>
      <c r="C108" s="34" t="s">
        <v>6384</v>
      </c>
      <c r="D108" s="225"/>
      <c r="E108" s="225"/>
      <c r="F108" s="111">
        <v>7</v>
      </c>
      <c r="G108" s="111" t="s">
        <v>6133</v>
      </c>
      <c r="H108" s="38" t="s">
        <v>6469</v>
      </c>
    </row>
    <row r="109" spans="1:8" ht="75" x14ac:dyDescent="0.2">
      <c r="A109" s="34" t="str">
        <f t="shared" si="1"/>
        <v>3II8</v>
      </c>
      <c r="B109" s="34">
        <v>3</v>
      </c>
      <c r="C109" s="34" t="s">
        <v>6384</v>
      </c>
      <c r="D109" s="112" t="s">
        <v>6545</v>
      </c>
      <c r="E109" s="112" t="s">
        <v>6546</v>
      </c>
      <c r="F109" s="111">
        <v>8</v>
      </c>
      <c r="G109" s="111" t="s">
        <v>6136</v>
      </c>
      <c r="H109" s="38" t="s">
        <v>6134</v>
      </c>
    </row>
    <row r="110" spans="1:8" ht="30" x14ac:dyDescent="0.2">
      <c r="A110" s="34" t="str">
        <f t="shared" si="1"/>
        <v>3II9</v>
      </c>
      <c r="B110" s="34">
        <v>3</v>
      </c>
      <c r="C110" s="34" t="s">
        <v>6384</v>
      </c>
      <c r="D110" s="221" t="s">
        <v>6547</v>
      </c>
      <c r="E110" s="221" t="s">
        <v>6548</v>
      </c>
      <c r="F110" s="62">
        <v>9</v>
      </c>
      <c r="G110" s="111" t="s">
        <v>6136</v>
      </c>
      <c r="H110" s="38" t="s">
        <v>6134</v>
      </c>
    </row>
    <row r="111" spans="1:8" ht="30" x14ac:dyDescent="0.2">
      <c r="A111" s="34" t="str">
        <f t="shared" si="1"/>
        <v>3II10</v>
      </c>
      <c r="B111" s="34">
        <v>3</v>
      </c>
      <c r="C111" s="34" t="s">
        <v>6384</v>
      </c>
      <c r="D111" s="224"/>
      <c r="E111" s="224"/>
      <c r="F111" s="62">
        <v>10</v>
      </c>
      <c r="G111" s="111" t="s">
        <v>6140</v>
      </c>
      <c r="H111" s="38" t="s">
        <v>6134</v>
      </c>
    </row>
    <row r="112" spans="1:8" ht="30" x14ac:dyDescent="0.2">
      <c r="A112" s="34" t="str">
        <f t="shared" si="1"/>
        <v>3II11</v>
      </c>
      <c r="B112" s="34">
        <v>3</v>
      </c>
      <c r="C112" s="34" t="s">
        <v>6384</v>
      </c>
      <c r="D112" s="224"/>
      <c r="E112" s="224"/>
      <c r="F112" s="62">
        <v>11</v>
      </c>
      <c r="G112" s="62" t="s">
        <v>6116</v>
      </c>
      <c r="H112" s="111" t="s">
        <v>6134</v>
      </c>
    </row>
    <row r="113" spans="1:8" ht="30" x14ac:dyDescent="0.2">
      <c r="A113" s="34" t="str">
        <f t="shared" si="1"/>
        <v>3II12</v>
      </c>
      <c r="B113" s="34">
        <v>3</v>
      </c>
      <c r="C113" s="34" t="s">
        <v>6384</v>
      </c>
      <c r="D113" s="224"/>
      <c r="E113" s="224"/>
      <c r="F113" s="62">
        <v>12</v>
      </c>
      <c r="G113" s="62" t="s">
        <v>6133</v>
      </c>
      <c r="H113" s="111" t="s">
        <v>6134</v>
      </c>
    </row>
    <row r="114" spans="1:8" ht="30" x14ac:dyDescent="0.2">
      <c r="A114" s="34" t="str">
        <f t="shared" si="1"/>
        <v>3II13</v>
      </c>
      <c r="B114" s="34">
        <v>3</v>
      </c>
      <c r="C114" s="34" t="s">
        <v>6384</v>
      </c>
      <c r="D114" s="225"/>
      <c r="E114" s="225"/>
      <c r="F114" s="62">
        <v>13</v>
      </c>
      <c r="G114" s="62" t="s">
        <v>6140</v>
      </c>
      <c r="H114" s="111" t="s">
        <v>6134</v>
      </c>
    </row>
    <row r="115" spans="1:8" x14ac:dyDescent="0.2">
      <c r="A115" s="34" t="str">
        <f t="shared" si="1"/>
        <v>3II14</v>
      </c>
      <c r="B115" s="34">
        <v>3</v>
      </c>
      <c r="C115" s="34" t="s">
        <v>6384</v>
      </c>
      <c r="D115" s="221" t="s">
        <v>6549</v>
      </c>
      <c r="E115" s="221" t="s">
        <v>6550</v>
      </c>
      <c r="F115" s="62">
        <v>14</v>
      </c>
      <c r="G115" s="62" t="s">
        <v>6136</v>
      </c>
      <c r="H115" s="111" t="s">
        <v>6469</v>
      </c>
    </row>
    <row r="116" spans="1:8" x14ac:dyDescent="0.2">
      <c r="A116" s="34" t="str">
        <f t="shared" si="1"/>
        <v>3II15</v>
      </c>
      <c r="B116" s="34">
        <v>3</v>
      </c>
      <c r="C116" s="34" t="s">
        <v>6384</v>
      </c>
      <c r="D116" s="224"/>
      <c r="E116" s="224"/>
      <c r="F116" s="62">
        <v>15</v>
      </c>
      <c r="G116" s="62" t="s">
        <v>6116</v>
      </c>
      <c r="H116" s="111" t="s">
        <v>6469</v>
      </c>
    </row>
    <row r="117" spans="1:8" x14ac:dyDescent="0.2">
      <c r="A117" s="34" t="str">
        <f t="shared" si="1"/>
        <v>3II16</v>
      </c>
      <c r="B117" s="34">
        <v>3</v>
      </c>
      <c r="C117" s="34" t="s">
        <v>6384</v>
      </c>
      <c r="D117" s="225"/>
      <c r="E117" s="225"/>
      <c r="F117" s="62">
        <v>16</v>
      </c>
      <c r="G117" s="62" t="s">
        <v>6136</v>
      </c>
      <c r="H117" s="111" t="s">
        <v>6469</v>
      </c>
    </row>
    <row r="118" spans="1:8" x14ac:dyDescent="0.2">
      <c r="A118" s="34" t="str">
        <f t="shared" si="1"/>
        <v>3II17</v>
      </c>
      <c r="B118" s="34">
        <v>3</v>
      </c>
      <c r="C118" s="34" t="s">
        <v>6384</v>
      </c>
      <c r="D118" s="221" t="s">
        <v>6551</v>
      </c>
      <c r="E118" s="221" t="s">
        <v>6552</v>
      </c>
      <c r="F118" s="62">
        <v>17</v>
      </c>
      <c r="G118" s="62" t="s">
        <v>6136</v>
      </c>
      <c r="H118" s="111" t="s">
        <v>6469</v>
      </c>
    </row>
    <row r="119" spans="1:8" x14ac:dyDescent="0.2">
      <c r="A119" s="34" t="str">
        <f t="shared" si="1"/>
        <v>3II18</v>
      </c>
      <c r="B119" s="34">
        <v>3</v>
      </c>
      <c r="C119" s="34" t="s">
        <v>6384</v>
      </c>
      <c r="D119" s="224"/>
      <c r="E119" s="224"/>
      <c r="F119" s="62">
        <v>18</v>
      </c>
      <c r="G119" s="62" t="s">
        <v>6140</v>
      </c>
      <c r="H119" s="111" t="s">
        <v>6469</v>
      </c>
    </row>
    <row r="120" spans="1:8" ht="30" x14ac:dyDescent="0.2">
      <c r="A120" s="34" t="str">
        <f t="shared" si="1"/>
        <v>3II19</v>
      </c>
      <c r="B120" s="34">
        <v>3</v>
      </c>
      <c r="C120" s="34" t="s">
        <v>6384</v>
      </c>
      <c r="D120" s="224"/>
      <c r="E120" s="224"/>
      <c r="F120" s="62">
        <v>19</v>
      </c>
      <c r="G120" s="62" t="s">
        <v>6116</v>
      </c>
      <c r="H120" s="111" t="s">
        <v>6134</v>
      </c>
    </row>
    <row r="121" spans="1:8" ht="30" x14ac:dyDescent="0.2">
      <c r="A121" s="34" t="str">
        <f t="shared" si="1"/>
        <v>3II20</v>
      </c>
      <c r="B121" s="34">
        <v>3</v>
      </c>
      <c r="C121" s="34" t="s">
        <v>6384</v>
      </c>
      <c r="D121" s="225"/>
      <c r="E121" s="225"/>
      <c r="F121" s="62">
        <v>20</v>
      </c>
      <c r="G121" s="62" t="s">
        <v>6136</v>
      </c>
      <c r="H121" s="111" t="s">
        <v>6134</v>
      </c>
    </row>
    <row r="122" spans="1:8" x14ac:dyDescent="0.2">
      <c r="A122" s="34" t="str">
        <f t="shared" si="1"/>
        <v/>
      </c>
    </row>
    <row r="123" spans="1:8" x14ac:dyDescent="0.2">
      <c r="A123" s="34" t="str">
        <f t="shared" si="1"/>
        <v/>
      </c>
    </row>
    <row r="124" spans="1:8" x14ac:dyDescent="0.2">
      <c r="A124" s="34" t="str">
        <f t="shared" si="1"/>
        <v/>
      </c>
    </row>
    <row r="125" spans="1:8" x14ac:dyDescent="0.2">
      <c r="A125" s="34" t="str">
        <f t="shared" si="1"/>
        <v/>
      </c>
    </row>
    <row r="126" spans="1:8" x14ac:dyDescent="0.2">
      <c r="A126" s="34" t="str">
        <f t="shared" si="1"/>
        <v/>
      </c>
    </row>
    <row r="127" spans="1:8" x14ac:dyDescent="0.2">
      <c r="A127" s="34" t="str">
        <f t="shared" si="1"/>
        <v/>
      </c>
    </row>
    <row r="128" spans="1:8" x14ac:dyDescent="0.2">
      <c r="A128" s="34" t="str">
        <f t="shared" si="1"/>
        <v/>
      </c>
    </row>
    <row r="129" spans="1:1" x14ac:dyDescent="0.2">
      <c r="A129" s="34" t="str">
        <f t="shared" si="1"/>
        <v/>
      </c>
    </row>
    <row r="130" spans="1:1" x14ac:dyDescent="0.2">
      <c r="A130" s="34" t="str">
        <f t="shared" si="1"/>
        <v/>
      </c>
    </row>
    <row r="131" spans="1:1" x14ac:dyDescent="0.2">
      <c r="A131" s="34" t="str">
        <f t="shared" ref="A131:A194" si="2">CONCATENATE(B131,C131,F131)</f>
        <v/>
      </c>
    </row>
    <row r="132" spans="1:1" x14ac:dyDescent="0.2">
      <c r="A132" s="34" t="str">
        <f t="shared" si="2"/>
        <v/>
      </c>
    </row>
    <row r="133" spans="1:1" x14ac:dyDescent="0.2">
      <c r="A133" s="34" t="str">
        <f t="shared" si="2"/>
        <v/>
      </c>
    </row>
    <row r="134" spans="1:1" x14ac:dyDescent="0.2">
      <c r="A134" s="34" t="str">
        <f t="shared" si="2"/>
        <v/>
      </c>
    </row>
    <row r="135" spans="1:1" x14ac:dyDescent="0.2">
      <c r="A135" s="34" t="str">
        <f t="shared" si="2"/>
        <v/>
      </c>
    </row>
    <row r="136" spans="1:1" x14ac:dyDescent="0.2">
      <c r="A136" s="34" t="str">
        <f t="shared" si="2"/>
        <v/>
      </c>
    </row>
    <row r="137" spans="1:1" x14ac:dyDescent="0.2">
      <c r="A137" s="34" t="str">
        <f t="shared" si="2"/>
        <v/>
      </c>
    </row>
    <row r="138" spans="1:1" x14ac:dyDescent="0.2">
      <c r="A138" s="34" t="str">
        <f t="shared" si="2"/>
        <v/>
      </c>
    </row>
    <row r="139" spans="1:1" x14ac:dyDescent="0.2">
      <c r="A139" s="34" t="str">
        <f t="shared" si="2"/>
        <v/>
      </c>
    </row>
    <row r="140" spans="1:1" x14ac:dyDescent="0.2">
      <c r="A140" s="34" t="str">
        <f t="shared" si="2"/>
        <v/>
      </c>
    </row>
    <row r="141" spans="1:1" x14ac:dyDescent="0.2">
      <c r="A141" s="34" t="str">
        <f t="shared" si="2"/>
        <v/>
      </c>
    </row>
    <row r="142" spans="1:1" x14ac:dyDescent="0.2">
      <c r="A142" s="34" t="str">
        <f t="shared" si="2"/>
        <v/>
      </c>
    </row>
    <row r="143" spans="1:1" x14ac:dyDescent="0.2">
      <c r="A143" s="34" t="str">
        <f t="shared" si="2"/>
        <v/>
      </c>
    </row>
    <row r="144" spans="1:1" x14ac:dyDescent="0.2">
      <c r="A144" s="34" t="str">
        <f t="shared" si="2"/>
        <v/>
      </c>
    </row>
    <row r="145" spans="1:1" x14ac:dyDescent="0.2">
      <c r="A145" s="34" t="str">
        <f t="shared" si="2"/>
        <v/>
      </c>
    </row>
    <row r="146" spans="1:1" x14ac:dyDescent="0.2">
      <c r="A146" s="34" t="str">
        <f t="shared" si="2"/>
        <v/>
      </c>
    </row>
    <row r="147" spans="1:1" x14ac:dyDescent="0.2">
      <c r="A147" s="34" t="str">
        <f t="shared" si="2"/>
        <v/>
      </c>
    </row>
    <row r="148" spans="1:1" x14ac:dyDescent="0.2">
      <c r="A148" s="34" t="str">
        <f t="shared" si="2"/>
        <v/>
      </c>
    </row>
    <row r="149" spans="1:1" x14ac:dyDescent="0.2">
      <c r="A149" s="34" t="str">
        <f t="shared" si="2"/>
        <v/>
      </c>
    </row>
    <row r="150" spans="1:1" x14ac:dyDescent="0.2">
      <c r="A150" s="34" t="str">
        <f t="shared" si="2"/>
        <v/>
      </c>
    </row>
    <row r="151" spans="1:1" x14ac:dyDescent="0.2">
      <c r="A151" s="34" t="str">
        <f t="shared" si="2"/>
        <v/>
      </c>
    </row>
    <row r="152" spans="1:1" x14ac:dyDescent="0.2">
      <c r="A152" s="34" t="str">
        <f t="shared" si="2"/>
        <v/>
      </c>
    </row>
    <row r="153" spans="1:1" x14ac:dyDescent="0.2">
      <c r="A153" s="34" t="str">
        <f t="shared" si="2"/>
        <v/>
      </c>
    </row>
    <row r="154" spans="1:1" x14ac:dyDescent="0.2">
      <c r="A154" s="34" t="str">
        <f t="shared" si="2"/>
        <v/>
      </c>
    </row>
    <row r="155" spans="1:1" x14ac:dyDescent="0.2">
      <c r="A155" s="34" t="str">
        <f t="shared" si="2"/>
        <v/>
      </c>
    </row>
    <row r="156" spans="1:1" x14ac:dyDescent="0.2">
      <c r="A156" s="34" t="str">
        <f t="shared" si="2"/>
        <v/>
      </c>
    </row>
    <row r="157" spans="1:1" x14ac:dyDescent="0.2">
      <c r="A157" s="34" t="str">
        <f t="shared" si="2"/>
        <v/>
      </c>
    </row>
    <row r="158" spans="1:1" x14ac:dyDescent="0.2">
      <c r="A158" s="34" t="str">
        <f t="shared" si="2"/>
        <v/>
      </c>
    </row>
    <row r="159" spans="1:1" x14ac:dyDescent="0.2">
      <c r="A159" s="34" t="str">
        <f t="shared" si="2"/>
        <v/>
      </c>
    </row>
    <row r="160" spans="1:1" x14ac:dyDescent="0.2">
      <c r="A160" s="34" t="str">
        <f t="shared" si="2"/>
        <v/>
      </c>
    </row>
    <row r="161" spans="1:1" x14ac:dyDescent="0.2">
      <c r="A161" s="34" t="str">
        <f t="shared" si="2"/>
        <v/>
      </c>
    </row>
    <row r="162" spans="1:1" x14ac:dyDescent="0.2">
      <c r="A162" s="34" t="str">
        <f t="shared" si="2"/>
        <v/>
      </c>
    </row>
    <row r="163" spans="1:1" x14ac:dyDescent="0.2">
      <c r="A163" s="34" t="str">
        <f t="shared" si="2"/>
        <v/>
      </c>
    </row>
    <row r="164" spans="1:1" x14ac:dyDescent="0.2">
      <c r="A164" s="34" t="str">
        <f t="shared" si="2"/>
        <v/>
      </c>
    </row>
    <row r="165" spans="1:1" x14ac:dyDescent="0.2">
      <c r="A165" s="34" t="str">
        <f t="shared" si="2"/>
        <v/>
      </c>
    </row>
    <row r="166" spans="1:1" x14ac:dyDescent="0.2">
      <c r="A166" s="34" t="str">
        <f t="shared" si="2"/>
        <v/>
      </c>
    </row>
    <row r="167" spans="1:1" x14ac:dyDescent="0.2">
      <c r="A167" s="34" t="str">
        <f t="shared" si="2"/>
        <v/>
      </c>
    </row>
    <row r="168" spans="1:1" x14ac:dyDescent="0.2">
      <c r="A168" s="34" t="str">
        <f t="shared" si="2"/>
        <v/>
      </c>
    </row>
    <row r="169" spans="1:1" x14ac:dyDescent="0.2">
      <c r="A169" s="34" t="str">
        <f t="shared" si="2"/>
        <v/>
      </c>
    </row>
    <row r="170" spans="1:1" x14ac:dyDescent="0.2">
      <c r="A170" s="34" t="str">
        <f t="shared" si="2"/>
        <v/>
      </c>
    </row>
    <row r="171" spans="1:1" x14ac:dyDescent="0.2">
      <c r="A171" s="34" t="str">
        <f t="shared" si="2"/>
        <v/>
      </c>
    </row>
    <row r="172" spans="1:1" x14ac:dyDescent="0.2">
      <c r="A172" s="34" t="str">
        <f t="shared" si="2"/>
        <v/>
      </c>
    </row>
    <row r="173" spans="1:1" x14ac:dyDescent="0.2">
      <c r="A173" s="34" t="str">
        <f t="shared" si="2"/>
        <v/>
      </c>
    </row>
    <row r="174" spans="1:1" x14ac:dyDescent="0.2">
      <c r="A174" s="34" t="str">
        <f t="shared" si="2"/>
        <v/>
      </c>
    </row>
    <row r="175" spans="1:1" x14ac:dyDescent="0.2">
      <c r="A175" s="34" t="str">
        <f t="shared" si="2"/>
        <v/>
      </c>
    </row>
    <row r="176" spans="1:1" x14ac:dyDescent="0.2">
      <c r="A176" s="34" t="str">
        <f t="shared" si="2"/>
        <v/>
      </c>
    </row>
    <row r="177" spans="1:1" x14ac:dyDescent="0.2">
      <c r="A177" s="34" t="str">
        <f t="shared" si="2"/>
        <v/>
      </c>
    </row>
    <row r="178" spans="1:1" x14ac:dyDescent="0.2">
      <c r="A178" s="34" t="str">
        <f t="shared" si="2"/>
        <v/>
      </c>
    </row>
    <row r="179" spans="1:1" x14ac:dyDescent="0.2">
      <c r="A179" s="34" t="str">
        <f t="shared" si="2"/>
        <v/>
      </c>
    </row>
    <row r="180" spans="1:1" x14ac:dyDescent="0.2">
      <c r="A180" s="34" t="str">
        <f t="shared" si="2"/>
        <v/>
      </c>
    </row>
    <row r="181" spans="1:1" x14ac:dyDescent="0.2">
      <c r="A181" s="34" t="str">
        <f t="shared" si="2"/>
        <v/>
      </c>
    </row>
    <row r="182" spans="1:1" x14ac:dyDescent="0.2">
      <c r="A182" s="34" t="str">
        <f t="shared" si="2"/>
        <v/>
      </c>
    </row>
    <row r="183" spans="1:1" x14ac:dyDescent="0.2">
      <c r="A183" s="34" t="str">
        <f t="shared" si="2"/>
        <v/>
      </c>
    </row>
    <row r="184" spans="1:1" x14ac:dyDescent="0.2">
      <c r="A184" s="34" t="str">
        <f t="shared" si="2"/>
        <v/>
      </c>
    </row>
    <row r="185" spans="1:1" x14ac:dyDescent="0.2">
      <c r="A185" s="34" t="str">
        <f t="shared" si="2"/>
        <v/>
      </c>
    </row>
    <row r="186" spans="1:1" x14ac:dyDescent="0.2">
      <c r="A186" s="34" t="str">
        <f t="shared" si="2"/>
        <v/>
      </c>
    </row>
    <row r="187" spans="1:1" x14ac:dyDescent="0.2">
      <c r="A187" s="34" t="str">
        <f t="shared" si="2"/>
        <v/>
      </c>
    </row>
    <row r="188" spans="1:1" x14ac:dyDescent="0.2">
      <c r="A188" s="34" t="str">
        <f t="shared" si="2"/>
        <v/>
      </c>
    </row>
    <row r="189" spans="1:1" x14ac:dyDescent="0.2">
      <c r="A189" s="34" t="str">
        <f t="shared" si="2"/>
        <v/>
      </c>
    </row>
    <row r="190" spans="1:1" x14ac:dyDescent="0.2">
      <c r="A190" s="34" t="str">
        <f t="shared" si="2"/>
        <v/>
      </c>
    </row>
    <row r="191" spans="1:1" x14ac:dyDescent="0.2">
      <c r="A191" s="34" t="str">
        <f t="shared" si="2"/>
        <v/>
      </c>
    </row>
    <row r="192" spans="1:1" x14ac:dyDescent="0.2">
      <c r="A192" s="34" t="str">
        <f t="shared" si="2"/>
        <v/>
      </c>
    </row>
    <row r="193" spans="1:1" x14ac:dyDescent="0.2">
      <c r="A193" s="34" t="str">
        <f t="shared" si="2"/>
        <v/>
      </c>
    </row>
    <row r="194" spans="1:1" x14ac:dyDescent="0.2">
      <c r="A194" s="34" t="str">
        <f t="shared" si="2"/>
        <v/>
      </c>
    </row>
    <row r="195" spans="1:1" x14ac:dyDescent="0.2">
      <c r="A195" s="34" t="str">
        <f t="shared" ref="A195:A258" si="3">CONCATENATE(B195,C195,F195)</f>
        <v/>
      </c>
    </row>
    <row r="196" spans="1:1" x14ac:dyDescent="0.2">
      <c r="A196" s="34" t="str">
        <f t="shared" si="3"/>
        <v/>
      </c>
    </row>
    <row r="197" spans="1:1" x14ac:dyDescent="0.2">
      <c r="A197" s="34" t="str">
        <f t="shared" si="3"/>
        <v/>
      </c>
    </row>
    <row r="198" spans="1:1" x14ac:dyDescent="0.2">
      <c r="A198" s="34" t="str">
        <f t="shared" si="3"/>
        <v/>
      </c>
    </row>
    <row r="199" spans="1:1" x14ac:dyDescent="0.2">
      <c r="A199" s="34" t="str">
        <f t="shared" si="3"/>
        <v/>
      </c>
    </row>
    <row r="200" spans="1:1" x14ac:dyDescent="0.2">
      <c r="A200" s="34" t="str">
        <f t="shared" si="3"/>
        <v/>
      </c>
    </row>
    <row r="201" spans="1:1" x14ac:dyDescent="0.2">
      <c r="A201" s="34" t="str">
        <f t="shared" si="3"/>
        <v/>
      </c>
    </row>
    <row r="202" spans="1:1" x14ac:dyDescent="0.2">
      <c r="A202" s="34" t="str">
        <f t="shared" si="3"/>
        <v/>
      </c>
    </row>
    <row r="203" spans="1:1" x14ac:dyDescent="0.2">
      <c r="A203" s="34" t="str">
        <f t="shared" si="3"/>
        <v/>
      </c>
    </row>
    <row r="204" spans="1:1" x14ac:dyDescent="0.2">
      <c r="A204" s="34" t="str">
        <f t="shared" si="3"/>
        <v/>
      </c>
    </row>
    <row r="205" spans="1:1" x14ac:dyDescent="0.2">
      <c r="A205" s="34" t="str">
        <f t="shared" si="3"/>
        <v/>
      </c>
    </row>
    <row r="206" spans="1:1" x14ac:dyDescent="0.2">
      <c r="A206" s="34" t="str">
        <f t="shared" si="3"/>
        <v/>
      </c>
    </row>
    <row r="207" spans="1:1" x14ac:dyDescent="0.2">
      <c r="A207" s="34" t="str">
        <f t="shared" si="3"/>
        <v/>
      </c>
    </row>
    <row r="208" spans="1:1" x14ac:dyDescent="0.2">
      <c r="A208" s="34" t="str">
        <f t="shared" si="3"/>
        <v/>
      </c>
    </row>
    <row r="209" spans="1:1" x14ac:dyDescent="0.2">
      <c r="A209" s="34" t="str">
        <f t="shared" si="3"/>
        <v/>
      </c>
    </row>
    <row r="210" spans="1:1" x14ac:dyDescent="0.2">
      <c r="A210" s="34" t="str">
        <f t="shared" si="3"/>
        <v/>
      </c>
    </row>
    <row r="211" spans="1:1" x14ac:dyDescent="0.2">
      <c r="A211" s="34" t="str">
        <f t="shared" si="3"/>
        <v/>
      </c>
    </row>
    <row r="212" spans="1:1" x14ac:dyDescent="0.2">
      <c r="A212" s="34" t="str">
        <f t="shared" si="3"/>
        <v/>
      </c>
    </row>
    <row r="213" spans="1:1" x14ac:dyDescent="0.2">
      <c r="A213" s="34" t="str">
        <f t="shared" si="3"/>
        <v/>
      </c>
    </row>
    <row r="214" spans="1:1" x14ac:dyDescent="0.2">
      <c r="A214" s="34" t="str">
        <f t="shared" si="3"/>
        <v/>
      </c>
    </row>
    <row r="215" spans="1:1" x14ac:dyDescent="0.2">
      <c r="A215" s="34" t="str">
        <f t="shared" si="3"/>
        <v/>
      </c>
    </row>
    <row r="216" spans="1:1" x14ac:dyDescent="0.2">
      <c r="A216" s="34" t="str">
        <f t="shared" si="3"/>
        <v/>
      </c>
    </row>
    <row r="217" spans="1:1" x14ac:dyDescent="0.2">
      <c r="A217" s="34" t="str">
        <f t="shared" si="3"/>
        <v/>
      </c>
    </row>
    <row r="218" spans="1:1" x14ac:dyDescent="0.2">
      <c r="A218" s="34" t="str">
        <f t="shared" si="3"/>
        <v/>
      </c>
    </row>
    <row r="219" spans="1:1" x14ac:dyDescent="0.2">
      <c r="A219" s="34" t="str">
        <f t="shared" si="3"/>
        <v/>
      </c>
    </row>
    <row r="220" spans="1:1" x14ac:dyDescent="0.2">
      <c r="A220" s="34" t="str">
        <f t="shared" si="3"/>
        <v/>
      </c>
    </row>
    <row r="221" spans="1:1" x14ac:dyDescent="0.2">
      <c r="A221" s="34" t="str">
        <f t="shared" si="3"/>
        <v/>
      </c>
    </row>
    <row r="222" spans="1:1" x14ac:dyDescent="0.2">
      <c r="A222" s="34" t="str">
        <f t="shared" si="3"/>
        <v/>
      </c>
    </row>
    <row r="223" spans="1:1" x14ac:dyDescent="0.2">
      <c r="A223" s="34" t="str">
        <f t="shared" si="3"/>
        <v/>
      </c>
    </row>
    <row r="224" spans="1:1" x14ac:dyDescent="0.2">
      <c r="A224" s="34" t="str">
        <f t="shared" si="3"/>
        <v/>
      </c>
    </row>
    <row r="225" spans="1:1" x14ac:dyDescent="0.2">
      <c r="A225" s="34" t="str">
        <f t="shared" si="3"/>
        <v/>
      </c>
    </row>
    <row r="226" spans="1:1" x14ac:dyDescent="0.2">
      <c r="A226" s="34" t="str">
        <f t="shared" si="3"/>
        <v/>
      </c>
    </row>
    <row r="227" spans="1:1" x14ac:dyDescent="0.2">
      <c r="A227" s="34" t="str">
        <f t="shared" si="3"/>
        <v/>
      </c>
    </row>
    <row r="228" spans="1:1" x14ac:dyDescent="0.2">
      <c r="A228" s="34" t="str">
        <f t="shared" si="3"/>
        <v/>
      </c>
    </row>
    <row r="229" spans="1:1" x14ac:dyDescent="0.2">
      <c r="A229" s="34" t="str">
        <f t="shared" si="3"/>
        <v/>
      </c>
    </row>
    <row r="230" spans="1:1" x14ac:dyDescent="0.2">
      <c r="A230" s="34" t="str">
        <f t="shared" si="3"/>
        <v/>
      </c>
    </row>
    <row r="231" spans="1:1" x14ac:dyDescent="0.2">
      <c r="A231" s="34" t="str">
        <f t="shared" si="3"/>
        <v/>
      </c>
    </row>
    <row r="232" spans="1:1" x14ac:dyDescent="0.2">
      <c r="A232" s="34" t="str">
        <f t="shared" si="3"/>
        <v/>
      </c>
    </row>
    <row r="233" spans="1:1" x14ac:dyDescent="0.2">
      <c r="A233" s="34" t="str">
        <f t="shared" si="3"/>
        <v/>
      </c>
    </row>
    <row r="234" spans="1:1" x14ac:dyDescent="0.2">
      <c r="A234" s="34" t="str">
        <f t="shared" si="3"/>
        <v/>
      </c>
    </row>
    <row r="235" spans="1:1" x14ac:dyDescent="0.2">
      <c r="A235" s="34" t="str">
        <f t="shared" si="3"/>
        <v/>
      </c>
    </row>
    <row r="236" spans="1:1" x14ac:dyDescent="0.2">
      <c r="A236" s="34" t="str">
        <f t="shared" si="3"/>
        <v/>
      </c>
    </row>
    <row r="237" spans="1:1" x14ac:dyDescent="0.2">
      <c r="A237" s="34" t="str">
        <f t="shared" si="3"/>
        <v/>
      </c>
    </row>
    <row r="238" spans="1:1" x14ac:dyDescent="0.2">
      <c r="A238" s="34" t="str">
        <f t="shared" si="3"/>
        <v/>
      </c>
    </row>
    <row r="239" spans="1:1" x14ac:dyDescent="0.2">
      <c r="A239" s="34" t="str">
        <f t="shared" si="3"/>
        <v/>
      </c>
    </row>
    <row r="240" spans="1:1" x14ac:dyDescent="0.2">
      <c r="A240" s="34" t="str">
        <f t="shared" si="3"/>
        <v/>
      </c>
    </row>
    <row r="241" spans="1:1" x14ac:dyDescent="0.2">
      <c r="A241" s="34" t="str">
        <f t="shared" si="3"/>
        <v/>
      </c>
    </row>
    <row r="242" spans="1:1" x14ac:dyDescent="0.2">
      <c r="A242" s="34" t="str">
        <f t="shared" si="3"/>
        <v/>
      </c>
    </row>
    <row r="243" spans="1:1" x14ac:dyDescent="0.2">
      <c r="A243" s="34" t="str">
        <f t="shared" si="3"/>
        <v/>
      </c>
    </row>
    <row r="244" spans="1:1" x14ac:dyDescent="0.2">
      <c r="A244" s="34" t="str">
        <f t="shared" si="3"/>
        <v/>
      </c>
    </row>
    <row r="245" spans="1:1" x14ac:dyDescent="0.2">
      <c r="A245" s="34" t="str">
        <f t="shared" si="3"/>
        <v/>
      </c>
    </row>
    <row r="246" spans="1:1" x14ac:dyDescent="0.2">
      <c r="A246" s="34" t="str">
        <f t="shared" si="3"/>
        <v/>
      </c>
    </row>
    <row r="247" spans="1:1" x14ac:dyDescent="0.2">
      <c r="A247" s="34" t="str">
        <f t="shared" si="3"/>
        <v/>
      </c>
    </row>
    <row r="248" spans="1:1" x14ac:dyDescent="0.2">
      <c r="A248" s="34" t="str">
        <f t="shared" si="3"/>
        <v/>
      </c>
    </row>
    <row r="249" spans="1:1" x14ac:dyDescent="0.2">
      <c r="A249" s="34" t="str">
        <f t="shared" si="3"/>
        <v/>
      </c>
    </row>
    <row r="250" spans="1:1" x14ac:dyDescent="0.2">
      <c r="A250" s="34" t="str">
        <f t="shared" si="3"/>
        <v/>
      </c>
    </row>
    <row r="251" spans="1:1" x14ac:dyDescent="0.2">
      <c r="A251" s="34" t="str">
        <f t="shared" si="3"/>
        <v/>
      </c>
    </row>
    <row r="252" spans="1:1" x14ac:dyDescent="0.2">
      <c r="A252" s="34" t="str">
        <f t="shared" si="3"/>
        <v/>
      </c>
    </row>
    <row r="253" spans="1:1" x14ac:dyDescent="0.2">
      <c r="A253" s="34" t="str">
        <f t="shared" si="3"/>
        <v/>
      </c>
    </row>
    <row r="254" spans="1:1" x14ac:dyDescent="0.2">
      <c r="A254" s="34" t="str">
        <f t="shared" si="3"/>
        <v/>
      </c>
    </row>
    <row r="255" spans="1:1" x14ac:dyDescent="0.2">
      <c r="A255" s="34" t="str">
        <f t="shared" si="3"/>
        <v/>
      </c>
    </row>
    <row r="256" spans="1:1" x14ac:dyDescent="0.2">
      <c r="A256" s="34" t="str">
        <f t="shared" si="3"/>
        <v/>
      </c>
    </row>
    <row r="257" spans="1:1" x14ac:dyDescent="0.2">
      <c r="A257" s="34" t="str">
        <f t="shared" si="3"/>
        <v/>
      </c>
    </row>
    <row r="258" spans="1:1" x14ac:dyDescent="0.2">
      <c r="A258" s="34" t="str">
        <f t="shared" si="3"/>
        <v/>
      </c>
    </row>
    <row r="259" spans="1:1" x14ac:dyDescent="0.2">
      <c r="A259" s="34" t="str">
        <f t="shared" ref="A259:A322" si="4">CONCATENATE(B259,C259,F259)</f>
        <v/>
      </c>
    </row>
    <row r="260" spans="1:1" x14ac:dyDescent="0.2">
      <c r="A260" s="34" t="str">
        <f t="shared" si="4"/>
        <v/>
      </c>
    </row>
    <row r="261" spans="1:1" x14ac:dyDescent="0.2">
      <c r="A261" s="34" t="str">
        <f t="shared" si="4"/>
        <v/>
      </c>
    </row>
    <row r="262" spans="1:1" x14ac:dyDescent="0.2">
      <c r="A262" s="34" t="str">
        <f t="shared" si="4"/>
        <v/>
      </c>
    </row>
    <row r="263" spans="1:1" x14ac:dyDescent="0.2">
      <c r="A263" s="34" t="str">
        <f t="shared" si="4"/>
        <v/>
      </c>
    </row>
    <row r="264" spans="1:1" x14ac:dyDescent="0.2">
      <c r="A264" s="34" t="str">
        <f t="shared" si="4"/>
        <v/>
      </c>
    </row>
    <row r="265" spans="1:1" x14ac:dyDescent="0.2">
      <c r="A265" s="34" t="str">
        <f t="shared" si="4"/>
        <v/>
      </c>
    </row>
    <row r="266" spans="1:1" x14ac:dyDescent="0.2">
      <c r="A266" s="34" t="str">
        <f t="shared" si="4"/>
        <v/>
      </c>
    </row>
    <row r="267" spans="1:1" x14ac:dyDescent="0.2">
      <c r="A267" s="34" t="str">
        <f t="shared" si="4"/>
        <v/>
      </c>
    </row>
    <row r="268" spans="1:1" x14ac:dyDescent="0.2">
      <c r="A268" s="34" t="str">
        <f t="shared" si="4"/>
        <v/>
      </c>
    </row>
    <row r="269" spans="1:1" x14ac:dyDescent="0.2">
      <c r="A269" s="34" t="str">
        <f t="shared" si="4"/>
        <v/>
      </c>
    </row>
    <row r="270" spans="1:1" x14ac:dyDescent="0.2">
      <c r="A270" s="34" t="str">
        <f t="shared" si="4"/>
        <v/>
      </c>
    </row>
    <row r="271" spans="1:1" x14ac:dyDescent="0.2">
      <c r="A271" s="34" t="str">
        <f t="shared" si="4"/>
        <v/>
      </c>
    </row>
    <row r="272" spans="1:1" x14ac:dyDescent="0.2">
      <c r="A272" s="34" t="str">
        <f t="shared" si="4"/>
        <v/>
      </c>
    </row>
    <row r="273" spans="1:1" x14ac:dyDescent="0.2">
      <c r="A273" s="34" t="str">
        <f t="shared" si="4"/>
        <v/>
      </c>
    </row>
    <row r="274" spans="1:1" x14ac:dyDescent="0.2">
      <c r="A274" s="34" t="str">
        <f t="shared" si="4"/>
        <v/>
      </c>
    </row>
    <row r="275" spans="1:1" x14ac:dyDescent="0.2">
      <c r="A275" s="34" t="str">
        <f t="shared" si="4"/>
        <v/>
      </c>
    </row>
    <row r="276" spans="1:1" x14ac:dyDescent="0.2">
      <c r="A276" s="34" t="str">
        <f t="shared" si="4"/>
        <v/>
      </c>
    </row>
    <row r="277" spans="1:1" x14ac:dyDescent="0.2">
      <c r="A277" s="34" t="str">
        <f t="shared" si="4"/>
        <v/>
      </c>
    </row>
    <row r="278" spans="1:1" x14ac:dyDescent="0.2">
      <c r="A278" s="34" t="str">
        <f t="shared" si="4"/>
        <v/>
      </c>
    </row>
    <row r="279" spans="1:1" x14ac:dyDescent="0.2">
      <c r="A279" s="34" t="str">
        <f t="shared" si="4"/>
        <v/>
      </c>
    </row>
    <row r="280" spans="1:1" x14ac:dyDescent="0.2">
      <c r="A280" s="34" t="str">
        <f t="shared" si="4"/>
        <v/>
      </c>
    </row>
    <row r="281" spans="1:1" x14ac:dyDescent="0.2">
      <c r="A281" s="34" t="str">
        <f t="shared" si="4"/>
        <v/>
      </c>
    </row>
    <row r="282" spans="1:1" x14ac:dyDescent="0.2">
      <c r="A282" s="34" t="str">
        <f t="shared" si="4"/>
        <v/>
      </c>
    </row>
    <row r="283" spans="1:1" x14ac:dyDescent="0.2">
      <c r="A283" s="34" t="str">
        <f t="shared" si="4"/>
        <v/>
      </c>
    </row>
    <row r="284" spans="1:1" x14ac:dyDescent="0.2">
      <c r="A284" s="34" t="str">
        <f t="shared" si="4"/>
        <v/>
      </c>
    </row>
    <row r="285" spans="1:1" x14ac:dyDescent="0.2">
      <c r="A285" s="34" t="str">
        <f t="shared" si="4"/>
        <v/>
      </c>
    </row>
    <row r="286" spans="1:1" x14ac:dyDescent="0.2">
      <c r="A286" s="34" t="str">
        <f t="shared" si="4"/>
        <v/>
      </c>
    </row>
    <row r="287" spans="1:1" x14ac:dyDescent="0.2">
      <c r="A287" s="34" t="str">
        <f t="shared" si="4"/>
        <v/>
      </c>
    </row>
    <row r="288" spans="1:1" x14ac:dyDescent="0.2">
      <c r="A288" s="34" t="str">
        <f t="shared" si="4"/>
        <v/>
      </c>
    </row>
    <row r="289" spans="1:1" x14ac:dyDescent="0.2">
      <c r="A289" s="34" t="str">
        <f t="shared" si="4"/>
        <v/>
      </c>
    </row>
    <row r="290" spans="1:1" x14ac:dyDescent="0.2">
      <c r="A290" s="34" t="str">
        <f t="shared" si="4"/>
        <v/>
      </c>
    </row>
    <row r="291" spans="1:1" x14ac:dyDescent="0.2">
      <c r="A291" s="34" t="str">
        <f t="shared" si="4"/>
        <v/>
      </c>
    </row>
    <row r="292" spans="1:1" x14ac:dyDescent="0.2">
      <c r="A292" s="34" t="str">
        <f t="shared" si="4"/>
        <v/>
      </c>
    </row>
    <row r="293" spans="1:1" x14ac:dyDescent="0.2">
      <c r="A293" s="34" t="str">
        <f t="shared" si="4"/>
        <v/>
      </c>
    </row>
    <row r="294" spans="1:1" x14ac:dyDescent="0.2">
      <c r="A294" s="34" t="str">
        <f t="shared" si="4"/>
        <v/>
      </c>
    </row>
    <row r="295" spans="1:1" x14ac:dyDescent="0.2">
      <c r="A295" s="34" t="str">
        <f t="shared" si="4"/>
        <v/>
      </c>
    </row>
    <row r="296" spans="1:1" x14ac:dyDescent="0.2">
      <c r="A296" s="34" t="str">
        <f t="shared" si="4"/>
        <v/>
      </c>
    </row>
    <row r="297" spans="1:1" x14ac:dyDescent="0.2">
      <c r="A297" s="34" t="str">
        <f t="shared" si="4"/>
        <v/>
      </c>
    </row>
    <row r="298" spans="1:1" x14ac:dyDescent="0.2">
      <c r="A298" s="34" t="str">
        <f t="shared" si="4"/>
        <v/>
      </c>
    </row>
    <row r="299" spans="1:1" x14ac:dyDescent="0.2">
      <c r="A299" s="34" t="str">
        <f t="shared" si="4"/>
        <v/>
      </c>
    </row>
    <row r="300" spans="1:1" x14ac:dyDescent="0.2">
      <c r="A300" s="34" t="str">
        <f t="shared" si="4"/>
        <v/>
      </c>
    </row>
    <row r="301" spans="1:1" x14ac:dyDescent="0.2">
      <c r="A301" s="34" t="str">
        <f t="shared" si="4"/>
        <v/>
      </c>
    </row>
    <row r="302" spans="1:1" x14ac:dyDescent="0.2">
      <c r="A302" s="34" t="str">
        <f t="shared" si="4"/>
        <v/>
      </c>
    </row>
    <row r="303" spans="1:1" x14ac:dyDescent="0.2">
      <c r="A303" s="34" t="str">
        <f t="shared" si="4"/>
        <v/>
      </c>
    </row>
    <row r="304" spans="1:1" x14ac:dyDescent="0.2">
      <c r="A304" s="34" t="str">
        <f t="shared" si="4"/>
        <v/>
      </c>
    </row>
    <row r="305" spans="1:1" x14ac:dyDescent="0.2">
      <c r="A305" s="34" t="str">
        <f t="shared" si="4"/>
        <v/>
      </c>
    </row>
    <row r="306" spans="1:1" x14ac:dyDescent="0.2">
      <c r="A306" s="34" t="str">
        <f t="shared" si="4"/>
        <v/>
      </c>
    </row>
    <row r="307" spans="1:1" x14ac:dyDescent="0.2">
      <c r="A307" s="34" t="str">
        <f t="shared" si="4"/>
        <v/>
      </c>
    </row>
    <row r="308" spans="1:1" x14ac:dyDescent="0.2">
      <c r="A308" s="34" t="str">
        <f t="shared" si="4"/>
        <v/>
      </c>
    </row>
    <row r="309" spans="1:1" x14ac:dyDescent="0.2">
      <c r="A309" s="34" t="str">
        <f t="shared" si="4"/>
        <v/>
      </c>
    </row>
    <row r="310" spans="1:1" x14ac:dyDescent="0.2">
      <c r="A310" s="34" t="str">
        <f t="shared" si="4"/>
        <v/>
      </c>
    </row>
    <row r="311" spans="1:1" x14ac:dyDescent="0.2">
      <c r="A311" s="34" t="str">
        <f t="shared" si="4"/>
        <v/>
      </c>
    </row>
    <row r="312" spans="1:1" x14ac:dyDescent="0.2">
      <c r="A312" s="34" t="str">
        <f t="shared" si="4"/>
        <v/>
      </c>
    </row>
    <row r="313" spans="1:1" x14ac:dyDescent="0.2">
      <c r="A313" s="34" t="str">
        <f t="shared" si="4"/>
        <v/>
      </c>
    </row>
    <row r="314" spans="1:1" x14ac:dyDescent="0.2">
      <c r="A314" s="34" t="str">
        <f t="shared" si="4"/>
        <v/>
      </c>
    </row>
    <row r="315" spans="1:1" x14ac:dyDescent="0.2">
      <c r="A315" s="34" t="str">
        <f t="shared" si="4"/>
        <v/>
      </c>
    </row>
    <row r="316" spans="1:1" x14ac:dyDescent="0.2">
      <c r="A316" s="34" t="str">
        <f t="shared" si="4"/>
        <v/>
      </c>
    </row>
    <row r="317" spans="1:1" x14ac:dyDescent="0.2">
      <c r="A317" s="34" t="str">
        <f t="shared" si="4"/>
        <v/>
      </c>
    </row>
    <row r="318" spans="1:1" x14ac:dyDescent="0.2">
      <c r="A318" s="34" t="str">
        <f t="shared" si="4"/>
        <v/>
      </c>
    </row>
    <row r="319" spans="1:1" x14ac:dyDescent="0.2">
      <c r="A319" s="34" t="str">
        <f t="shared" si="4"/>
        <v/>
      </c>
    </row>
    <row r="320" spans="1:1" x14ac:dyDescent="0.2">
      <c r="A320" s="34" t="str">
        <f t="shared" si="4"/>
        <v/>
      </c>
    </row>
    <row r="321" spans="1:1" x14ac:dyDescent="0.2">
      <c r="A321" s="34" t="str">
        <f t="shared" si="4"/>
        <v/>
      </c>
    </row>
    <row r="322" spans="1:1" x14ac:dyDescent="0.2">
      <c r="A322" s="34" t="str">
        <f t="shared" si="4"/>
        <v/>
      </c>
    </row>
    <row r="323" spans="1:1" x14ac:dyDescent="0.2">
      <c r="A323" s="34" t="str">
        <f t="shared" ref="A323:A386" si="5">CONCATENATE(B323,C323,F323)</f>
        <v/>
      </c>
    </row>
    <row r="324" spans="1:1" x14ac:dyDescent="0.2">
      <c r="A324" s="34" t="str">
        <f t="shared" si="5"/>
        <v/>
      </c>
    </row>
    <row r="325" spans="1:1" x14ac:dyDescent="0.2">
      <c r="A325" s="34" t="str">
        <f t="shared" si="5"/>
        <v/>
      </c>
    </row>
    <row r="326" spans="1:1" x14ac:dyDescent="0.2">
      <c r="A326" s="34" t="str">
        <f t="shared" si="5"/>
        <v/>
      </c>
    </row>
    <row r="327" spans="1:1" x14ac:dyDescent="0.2">
      <c r="A327" s="34" t="str">
        <f t="shared" si="5"/>
        <v/>
      </c>
    </row>
    <row r="328" spans="1:1" x14ac:dyDescent="0.2">
      <c r="A328" s="34" t="str">
        <f t="shared" si="5"/>
        <v/>
      </c>
    </row>
    <row r="329" spans="1:1" x14ac:dyDescent="0.2">
      <c r="A329" s="34" t="str">
        <f t="shared" si="5"/>
        <v/>
      </c>
    </row>
    <row r="330" spans="1:1" x14ac:dyDescent="0.2">
      <c r="A330" s="34" t="str">
        <f t="shared" si="5"/>
        <v/>
      </c>
    </row>
    <row r="331" spans="1:1" x14ac:dyDescent="0.2">
      <c r="A331" s="34" t="str">
        <f t="shared" si="5"/>
        <v/>
      </c>
    </row>
    <row r="332" spans="1:1" x14ac:dyDescent="0.2">
      <c r="A332" s="34" t="str">
        <f t="shared" si="5"/>
        <v/>
      </c>
    </row>
    <row r="333" spans="1:1" x14ac:dyDescent="0.2">
      <c r="A333" s="34" t="str">
        <f t="shared" si="5"/>
        <v/>
      </c>
    </row>
    <row r="334" spans="1:1" x14ac:dyDescent="0.2">
      <c r="A334" s="34" t="str">
        <f t="shared" si="5"/>
        <v/>
      </c>
    </row>
    <row r="335" spans="1:1" x14ac:dyDescent="0.2">
      <c r="A335" s="34" t="str">
        <f t="shared" si="5"/>
        <v/>
      </c>
    </row>
    <row r="336" spans="1:1" x14ac:dyDescent="0.2">
      <c r="A336" s="34" t="str">
        <f t="shared" si="5"/>
        <v/>
      </c>
    </row>
    <row r="337" spans="1:1" x14ac:dyDescent="0.2">
      <c r="A337" s="34" t="str">
        <f t="shared" si="5"/>
        <v/>
      </c>
    </row>
    <row r="338" spans="1:1" x14ac:dyDescent="0.2">
      <c r="A338" s="34" t="str">
        <f t="shared" si="5"/>
        <v/>
      </c>
    </row>
    <row r="339" spans="1:1" x14ac:dyDescent="0.2">
      <c r="A339" s="34" t="str">
        <f t="shared" si="5"/>
        <v/>
      </c>
    </row>
    <row r="340" spans="1:1" x14ac:dyDescent="0.2">
      <c r="A340" s="34" t="str">
        <f t="shared" si="5"/>
        <v/>
      </c>
    </row>
    <row r="341" spans="1:1" x14ac:dyDescent="0.2">
      <c r="A341" s="34" t="str">
        <f t="shared" si="5"/>
        <v/>
      </c>
    </row>
    <row r="342" spans="1:1" x14ac:dyDescent="0.2">
      <c r="A342" s="34" t="str">
        <f t="shared" si="5"/>
        <v/>
      </c>
    </row>
    <row r="343" spans="1:1" x14ac:dyDescent="0.2">
      <c r="A343" s="34" t="str">
        <f t="shared" si="5"/>
        <v/>
      </c>
    </row>
    <row r="344" spans="1:1" x14ac:dyDescent="0.2">
      <c r="A344" s="34" t="str">
        <f t="shared" si="5"/>
        <v/>
      </c>
    </row>
    <row r="345" spans="1:1" x14ac:dyDescent="0.2">
      <c r="A345" s="34" t="str">
        <f t="shared" si="5"/>
        <v/>
      </c>
    </row>
    <row r="346" spans="1:1" x14ac:dyDescent="0.2">
      <c r="A346" s="34" t="str">
        <f t="shared" si="5"/>
        <v/>
      </c>
    </row>
    <row r="347" spans="1:1" x14ac:dyDescent="0.2">
      <c r="A347" s="34" t="str">
        <f t="shared" si="5"/>
        <v/>
      </c>
    </row>
    <row r="348" spans="1:1" x14ac:dyDescent="0.2">
      <c r="A348" s="34" t="str">
        <f t="shared" si="5"/>
        <v/>
      </c>
    </row>
    <row r="349" spans="1:1" x14ac:dyDescent="0.2">
      <c r="A349" s="34" t="str">
        <f t="shared" si="5"/>
        <v/>
      </c>
    </row>
    <row r="350" spans="1:1" x14ac:dyDescent="0.2">
      <c r="A350" s="34" t="str">
        <f t="shared" si="5"/>
        <v/>
      </c>
    </row>
    <row r="351" spans="1:1" x14ac:dyDescent="0.2">
      <c r="A351" s="34" t="str">
        <f t="shared" si="5"/>
        <v/>
      </c>
    </row>
    <row r="352" spans="1:1" x14ac:dyDescent="0.2">
      <c r="A352" s="34" t="str">
        <f t="shared" si="5"/>
        <v/>
      </c>
    </row>
    <row r="353" spans="1:1" x14ac:dyDescent="0.2">
      <c r="A353" s="34" t="str">
        <f t="shared" si="5"/>
        <v/>
      </c>
    </row>
    <row r="354" spans="1:1" x14ac:dyDescent="0.2">
      <c r="A354" s="34" t="str">
        <f t="shared" si="5"/>
        <v/>
      </c>
    </row>
    <row r="355" spans="1:1" x14ac:dyDescent="0.2">
      <c r="A355" s="34" t="str">
        <f t="shared" si="5"/>
        <v/>
      </c>
    </row>
    <row r="356" spans="1:1" x14ac:dyDescent="0.2">
      <c r="A356" s="34" t="str">
        <f t="shared" si="5"/>
        <v/>
      </c>
    </row>
    <row r="357" spans="1:1" x14ac:dyDescent="0.2">
      <c r="A357" s="34" t="str">
        <f t="shared" si="5"/>
        <v/>
      </c>
    </row>
    <row r="358" spans="1:1" x14ac:dyDescent="0.2">
      <c r="A358" s="34" t="str">
        <f t="shared" si="5"/>
        <v/>
      </c>
    </row>
    <row r="359" spans="1:1" x14ac:dyDescent="0.2">
      <c r="A359" s="34" t="str">
        <f t="shared" si="5"/>
        <v/>
      </c>
    </row>
    <row r="360" spans="1:1" x14ac:dyDescent="0.2">
      <c r="A360" s="34" t="str">
        <f t="shared" si="5"/>
        <v/>
      </c>
    </row>
    <row r="361" spans="1:1" x14ac:dyDescent="0.2">
      <c r="A361" s="34" t="str">
        <f t="shared" si="5"/>
        <v/>
      </c>
    </row>
    <row r="362" spans="1:1" x14ac:dyDescent="0.2">
      <c r="A362" s="34" t="str">
        <f t="shared" si="5"/>
        <v/>
      </c>
    </row>
    <row r="363" spans="1:1" x14ac:dyDescent="0.2">
      <c r="A363" s="34" t="str">
        <f t="shared" si="5"/>
        <v/>
      </c>
    </row>
    <row r="364" spans="1:1" x14ac:dyDescent="0.2">
      <c r="A364" s="34" t="str">
        <f t="shared" si="5"/>
        <v/>
      </c>
    </row>
    <row r="365" spans="1:1" x14ac:dyDescent="0.2">
      <c r="A365" s="34" t="str">
        <f t="shared" si="5"/>
        <v/>
      </c>
    </row>
    <row r="366" spans="1:1" x14ac:dyDescent="0.2">
      <c r="A366" s="34" t="str">
        <f t="shared" si="5"/>
        <v/>
      </c>
    </row>
    <row r="367" spans="1:1" x14ac:dyDescent="0.2">
      <c r="A367" s="34" t="str">
        <f t="shared" si="5"/>
        <v/>
      </c>
    </row>
    <row r="368" spans="1:1" x14ac:dyDescent="0.2">
      <c r="A368" s="34" t="str">
        <f t="shared" si="5"/>
        <v/>
      </c>
    </row>
    <row r="369" spans="1:1" x14ac:dyDescent="0.2">
      <c r="A369" s="34" t="str">
        <f t="shared" si="5"/>
        <v/>
      </c>
    </row>
    <row r="370" spans="1:1" x14ac:dyDescent="0.2">
      <c r="A370" s="34" t="str">
        <f t="shared" si="5"/>
        <v/>
      </c>
    </row>
    <row r="371" spans="1:1" x14ac:dyDescent="0.2">
      <c r="A371" s="34" t="str">
        <f t="shared" si="5"/>
        <v/>
      </c>
    </row>
    <row r="372" spans="1:1" x14ac:dyDescent="0.2">
      <c r="A372" s="34" t="str">
        <f t="shared" si="5"/>
        <v/>
      </c>
    </row>
    <row r="373" spans="1:1" x14ac:dyDescent="0.2">
      <c r="A373" s="34" t="str">
        <f t="shared" si="5"/>
        <v/>
      </c>
    </row>
    <row r="374" spans="1:1" x14ac:dyDescent="0.2">
      <c r="A374" s="34" t="str">
        <f t="shared" si="5"/>
        <v/>
      </c>
    </row>
    <row r="375" spans="1:1" x14ac:dyDescent="0.2">
      <c r="A375" s="34" t="str">
        <f t="shared" si="5"/>
        <v/>
      </c>
    </row>
    <row r="376" spans="1:1" x14ac:dyDescent="0.2">
      <c r="A376" s="34" t="str">
        <f t="shared" si="5"/>
        <v/>
      </c>
    </row>
    <row r="377" spans="1:1" x14ac:dyDescent="0.2">
      <c r="A377" s="34" t="str">
        <f t="shared" si="5"/>
        <v/>
      </c>
    </row>
    <row r="378" spans="1:1" x14ac:dyDescent="0.2">
      <c r="A378" s="34" t="str">
        <f t="shared" si="5"/>
        <v/>
      </c>
    </row>
    <row r="379" spans="1:1" x14ac:dyDescent="0.2">
      <c r="A379" s="34" t="str">
        <f t="shared" si="5"/>
        <v/>
      </c>
    </row>
    <row r="380" spans="1:1" x14ac:dyDescent="0.2">
      <c r="A380" s="34" t="str">
        <f t="shared" si="5"/>
        <v/>
      </c>
    </row>
    <row r="381" spans="1:1" x14ac:dyDescent="0.2">
      <c r="A381" s="34" t="str">
        <f t="shared" si="5"/>
        <v/>
      </c>
    </row>
    <row r="382" spans="1:1" x14ac:dyDescent="0.2">
      <c r="A382" s="34" t="str">
        <f t="shared" si="5"/>
        <v/>
      </c>
    </row>
    <row r="383" spans="1:1" x14ac:dyDescent="0.2">
      <c r="A383" s="34" t="str">
        <f t="shared" si="5"/>
        <v/>
      </c>
    </row>
    <row r="384" spans="1:1" x14ac:dyDescent="0.2">
      <c r="A384" s="34" t="str">
        <f t="shared" si="5"/>
        <v/>
      </c>
    </row>
    <row r="385" spans="1:1" x14ac:dyDescent="0.2">
      <c r="A385" s="34" t="str">
        <f t="shared" si="5"/>
        <v/>
      </c>
    </row>
    <row r="386" spans="1:1" x14ac:dyDescent="0.2">
      <c r="A386" s="34" t="str">
        <f t="shared" si="5"/>
        <v/>
      </c>
    </row>
    <row r="387" spans="1:1" x14ac:dyDescent="0.2">
      <c r="A387" s="34" t="str">
        <f t="shared" ref="A387:A450" si="6">CONCATENATE(B387,C387,F387)</f>
        <v/>
      </c>
    </row>
    <row r="388" spans="1:1" x14ac:dyDescent="0.2">
      <c r="A388" s="34" t="str">
        <f t="shared" si="6"/>
        <v/>
      </c>
    </row>
    <row r="389" spans="1:1" x14ac:dyDescent="0.2">
      <c r="A389" s="34" t="str">
        <f t="shared" si="6"/>
        <v/>
      </c>
    </row>
    <row r="390" spans="1:1" x14ac:dyDescent="0.2">
      <c r="A390" s="34" t="str">
        <f t="shared" si="6"/>
        <v/>
      </c>
    </row>
    <row r="391" spans="1:1" x14ac:dyDescent="0.2">
      <c r="A391" s="34" t="str">
        <f t="shared" si="6"/>
        <v/>
      </c>
    </row>
    <row r="392" spans="1:1" x14ac:dyDescent="0.2">
      <c r="A392" s="34" t="str">
        <f t="shared" si="6"/>
        <v/>
      </c>
    </row>
    <row r="393" spans="1:1" x14ac:dyDescent="0.2">
      <c r="A393" s="34" t="str">
        <f t="shared" si="6"/>
        <v/>
      </c>
    </row>
    <row r="394" spans="1:1" x14ac:dyDescent="0.2">
      <c r="A394" s="34" t="str">
        <f t="shared" si="6"/>
        <v/>
      </c>
    </row>
    <row r="395" spans="1:1" x14ac:dyDescent="0.2">
      <c r="A395" s="34" t="str">
        <f t="shared" si="6"/>
        <v/>
      </c>
    </row>
    <row r="396" spans="1:1" x14ac:dyDescent="0.2">
      <c r="A396" s="34" t="str">
        <f t="shared" si="6"/>
        <v/>
      </c>
    </row>
    <row r="397" spans="1:1" x14ac:dyDescent="0.2">
      <c r="A397" s="34" t="str">
        <f t="shared" si="6"/>
        <v/>
      </c>
    </row>
    <row r="398" spans="1:1" x14ac:dyDescent="0.2">
      <c r="A398" s="34" t="str">
        <f t="shared" si="6"/>
        <v/>
      </c>
    </row>
    <row r="399" spans="1:1" x14ac:dyDescent="0.2">
      <c r="A399" s="34" t="str">
        <f t="shared" si="6"/>
        <v/>
      </c>
    </row>
    <row r="400" spans="1:1" x14ac:dyDescent="0.2">
      <c r="A400" s="34" t="str">
        <f t="shared" si="6"/>
        <v/>
      </c>
    </row>
    <row r="401" spans="1:1" x14ac:dyDescent="0.2">
      <c r="A401" s="34" t="str">
        <f t="shared" si="6"/>
        <v/>
      </c>
    </row>
    <row r="402" spans="1:1" x14ac:dyDescent="0.2">
      <c r="A402" s="34" t="str">
        <f t="shared" si="6"/>
        <v/>
      </c>
    </row>
    <row r="403" spans="1:1" x14ac:dyDescent="0.2">
      <c r="A403" s="34" t="str">
        <f t="shared" si="6"/>
        <v/>
      </c>
    </row>
    <row r="404" spans="1:1" x14ac:dyDescent="0.2">
      <c r="A404" s="34" t="str">
        <f t="shared" si="6"/>
        <v/>
      </c>
    </row>
    <row r="405" spans="1:1" x14ac:dyDescent="0.2">
      <c r="A405" s="34" t="str">
        <f t="shared" si="6"/>
        <v/>
      </c>
    </row>
    <row r="406" spans="1:1" x14ac:dyDescent="0.2">
      <c r="A406" s="34" t="str">
        <f t="shared" si="6"/>
        <v/>
      </c>
    </row>
    <row r="407" spans="1:1" x14ac:dyDescent="0.2">
      <c r="A407" s="34" t="str">
        <f t="shared" si="6"/>
        <v/>
      </c>
    </row>
    <row r="408" spans="1:1" x14ac:dyDescent="0.2">
      <c r="A408" s="34" t="str">
        <f t="shared" si="6"/>
        <v/>
      </c>
    </row>
    <row r="409" spans="1:1" x14ac:dyDescent="0.2">
      <c r="A409" s="34" t="str">
        <f t="shared" si="6"/>
        <v/>
      </c>
    </row>
    <row r="410" spans="1:1" x14ac:dyDescent="0.2">
      <c r="A410" s="34" t="str">
        <f t="shared" si="6"/>
        <v/>
      </c>
    </row>
    <row r="411" spans="1:1" x14ac:dyDescent="0.2">
      <c r="A411" s="34" t="str">
        <f t="shared" si="6"/>
        <v/>
      </c>
    </row>
    <row r="412" spans="1:1" x14ac:dyDescent="0.2">
      <c r="A412" s="34" t="str">
        <f t="shared" si="6"/>
        <v/>
      </c>
    </row>
    <row r="413" spans="1:1" x14ac:dyDescent="0.2">
      <c r="A413" s="34" t="str">
        <f t="shared" si="6"/>
        <v/>
      </c>
    </row>
    <row r="414" spans="1:1" x14ac:dyDescent="0.2">
      <c r="A414" s="34" t="str">
        <f t="shared" si="6"/>
        <v/>
      </c>
    </row>
    <row r="415" spans="1:1" x14ac:dyDescent="0.2">
      <c r="A415" s="34" t="str">
        <f t="shared" si="6"/>
        <v/>
      </c>
    </row>
    <row r="416" spans="1:1" x14ac:dyDescent="0.2">
      <c r="A416" s="34" t="str">
        <f t="shared" si="6"/>
        <v/>
      </c>
    </row>
    <row r="417" spans="1:1" x14ac:dyDescent="0.2">
      <c r="A417" s="34" t="str">
        <f t="shared" si="6"/>
        <v/>
      </c>
    </row>
    <row r="418" spans="1:1" x14ac:dyDescent="0.2">
      <c r="A418" s="34" t="str">
        <f t="shared" si="6"/>
        <v/>
      </c>
    </row>
    <row r="419" spans="1:1" x14ac:dyDescent="0.2">
      <c r="A419" s="34" t="str">
        <f t="shared" si="6"/>
        <v/>
      </c>
    </row>
    <row r="420" spans="1:1" x14ac:dyDescent="0.2">
      <c r="A420" s="34" t="str">
        <f t="shared" si="6"/>
        <v/>
      </c>
    </row>
    <row r="421" spans="1:1" x14ac:dyDescent="0.2">
      <c r="A421" s="34" t="str">
        <f t="shared" si="6"/>
        <v/>
      </c>
    </row>
    <row r="422" spans="1:1" x14ac:dyDescent="0.2">
      <c r="A422" s="34" t="str">
        <f t="shared" si="6"/>
        <v/>
      </c>
    </row>
    <row r="423" spans="1:1" x14ac:dyDescent="0.2">
      <c r="A423" s="34" t="str">
        <f t="shared" si="6"/>
        <v/>
      </c>
    </row>
    <row r="424" spans="1:1" x14ac:dyDescent="0.2">
      <c r="A424" s="34" t="str">
        <f t="shared" si="6"/>
        <v/>
      </c>
    </row>
    <row r="425" spans="1:1" x14ac:dyDescent="0.2">
      <c r="A425" s="34" t="str">
        <f t="shared" si="6"/>
        <v/>
      </c>
    </row>
    <row r="426" spans="1:1" x14ac:dyDescent="0.2">
      <c r="A426" s="34" t="str">
        <f t="shared" si="6"/>
        <v/>
      </c>
    </row>
    <row r="427" spans="1:1" x14ac:dyDescent="0.2">
      <c r="A427" s="34" t="str">
        <f t="shared" si="6"/>
        <v/>
      </c>
    </row>
    <row r="428" spans="1:1" x14ac:dyDescent="0.2">
      <c r="A428" s="34" t="str">
        <f t="shared" si="6"/>
        <v/>
      </c>
    </row>
    <row r="429" spans="1:1" x14ac:dyDescent="0.2">
      <c r="A429" s="34" t="str">
        <f t="shared" si="6"/>
        <v/>
      </c>
    </row>
    <row r="430" spans="1:1" x14ac:dyDescent="0.2">
      <c r="A430" s="34" t="str">
        <f t="shared" si="6"/>
        <v/>
      </c>
    </row>
    <row r="431" spans="1:1" x14ac:dyDescent="0.2">
      <c r="A431" s="34" t="str">
        <f t="shared" si="6"/>
        <v/>
      </c>
    </row>
    <row r="432" spans="1:1" x14ac:dyDescent="0.2">
      <c r="A432" s="34" t="str">
        <f t="shared" si="6"/>
        <v/>
      </c>
    </row>
    <row r="433" spans="1:1" x14ac:dyDescent="0.2">
      <c r="A433" s="34" t="str">
        <f t="shared" si="6"/>
        <v/>
      </c>
    </row>
    <row r="434" spans="1:1" x14ac:dyDescent="0.2">
      <c r="A434" s="34" t="str">
        <f t="shared" si="6"/>
        <v/>
      </c>
    </row>
    <row r="435" spans="1:1" x14ac:dyDescent="0.2">
      <c r="A435" s="34" t="str">
        <f t="shared" si="6"/>
        <v/>
      </c>
    </row>
    <row r="436" spans="1:1" x14ac:dyDescent="0.2">
      <c r="A436" s="34" t="str">
        <f t="shared" si="6"/>
        <v/>
      </c>
    </row>
    <row r="437" spans="1:1" x14ac:dyDescent="0.2">
      <c r="A437" s="34" t="str">
        <f t="shared" si="6"/>
        <v/>
      </c>
    </row>
    <row r="438" spans="1:1" x14ac:dyDescent="0.2">
      <c r="A438" s="34" t="str">
        <f t="shared" si="6"/>
        <v/>
      </c>
    </row>
    <row r="439" spans="1:1" x14ac:dyDescent="0.2">
      <c r="A439" s="34" t="str">
        <f t="shared" si="6"/>
        <v/>
      </c>
    </row>
    <row r="440" spans="1:1" x14ac:dyDescent="0.2">
      <c r="A440" s="34" t="str">
        <f t="shared" si="6"/>
        <v/>
      </c>
    </row>
    <row r="441" spans="1:1" x14ac:dyDescent="0.2">
      <c r="A441" s="34" t="str">
        <f t="shared" si="6"/>
        <v/>
      </c>
    </row>
    <row r="442" spans="1:1" x14ac:dyDescent="0.2">
      <c r="A442" s="34" t="str">
        <f t="shared" si="6"/>
        <v/>
      </c>
    </row>
    <row r="443" spans="1:1" x14ac:dyDescent="0.2">
      <c r="A443" s="34" t="str">
        <f t="shared" si="6"/>
        <v/>
      </c>
    </row>
    <row r="444" spans="1:1" x14ac:dyDescent="0.2">
      <c r="A444" s="34" t="str">
        <f t="shared" si="6"/>
        <v/>
      </c>
    </row>
    <row r="445" spans="1:1" x14ac:dyDescent="0.2">
      <c r="A445" s="34" t="str">
        <f t="shared" si="6"/>
        <v/>
      </c>
    </row>
    <row r="446" spans="1:1" x14ac:dyDescent="0.2">
      <c r="A446" s="34" t="str">
        <f t="shared" si="6"/>
        <v/>
      </c>
    </row>
    <row r="447" spans="1:1" x14ac:dyDescent="0.2">
      <c r="A447" s="34" t="str">
        <f t="shared" si="6"/>
        <v/>
      </c>
    </row>
    <row r="448" spans="1:1" x14ac:dyDescent="0.2">
      <c r="A448" s="34" t="str">
        <f t="shared" si="6"/>
        <v/>
      </c>
    </row>
    <row r="449" spans="1:1" x14ac:dyDescent="0.2">
      <c r="A449" s="34" t="str">
        <f t="shared" si="6"/>
        <v/>
      </c>
    </row>
    <row r="450" spans="1:1" x14ac:dyDescent="0.2">
      <c r="A450" s="34" t="str">
        <f t="shared" si="6"/>
        <v/>
      </c>
    </row>
    <row r="451" spans="1:1" x14ac:dyDescent="0.2">
      <c r="A451" s="34" t="str">
        <f t="shared" ref="A451:A514" si="7">CONCATENATE(B451,C451,F451)</f>
        <v/>
      </c>
    </row>
    <row r="452" spans="1:1" x14ac:dyDescent="0.2">
      <c r="A452" s="34" t="str">
        <f t="shared" si="7"/>
        <v/>
      </c>
    </row>
    <row r="453" spans="1:1" x14ac:dyDescent="0.2">
      <c r="A453" s="34" t="str">
        <f t="shared" si="7"/>
        <v/>
      </c>
    </row>
    <row r="454" spans="1:1" x14ac:dyDescent="0.2">
      <c r="A454" s="34" t="str">
        <f t="shared" si="7"/>
        <v/>
      </c>
    </row>
    <row r="455" spans="1:1" x14ac:dyDescent="0.2">
      <c r="A455" s="34" t="str">
        <f t="shared" si="7"/>
        <v/>
      </c>
    </row>
    <row r="456" spans="1:1" x14ac:dyDescent="0.2">
      <c r="A456" s="34" t="str">
        <f t="shared" si="7"/>
        <v/>
      </c>
    </row>
    <row r="457" spans="1:1" x14ac:dyDescent="0.2">
      <c r="A457" s="34" t="str">
        <f t="shared" si="7"/>
        <v/>
      </c>
    </row>
    <row r="458" spans="1:1" x14ac:dyDescent="0.2">
      <c r="A458" s="34" t="str">
        <f t="shared" si="7"/>
        <v/>
      </c>
    </row>
    <row r="459" spans="1:1" x14ac:dyDescent="0.2">
      <c r="A459" s="34" t="str">
        <f t="shared" si="7"/>
        <v/>
      </c>
    </row>
    <row r="460" spans="1:1" x14ac:dyDescent="0.2">
      <c r="A460" s="34" t="str">
        <f t="shared" si="7"/>
        <v/>
      </c>
    </row>
    <row r="461" spans="1:1" x14ac:dyDescent="0.2">
      <c r="A461" s="34" t="str">
        <f t="shared" si="7"/>
        <v/>
      </c>
    </row>
    <row r="462" spans="1:1" x14ac:dyDescent="0.2">
      <c r="A462" s="34" t="str">
        <f t="shared" si="7"/>
        <v/>
      </c>
    </row>
    <row r="463" spans="1:1" x14ac:dyDescent="0.2">
      <c r="A463" s="34" t="str">
        <f t="shared" si="7"/>
        <v/>
      </c>
    </row>
    <row r="464" spans="1:1" x14ac:dyDescent="0.2">
      <c r="A464" s="34" t="str">
        <f t="shared" si="7"/>
        <v/>
      </c>
    </row>
    <row r="465" spans="1:1" x14ac:dyDescent="0.2">
      <c r="A465" s="34" t="str">
        <f t="shared" si="7"/>
        <v/>
      </c>
    </row>
    <row r="466" spans="1:1" x14ac:dyDescent="0.2">
      <c r="A466" s="34" t="str">
        <f t="shared" si="7"/>
        <v/>
      </c>
    </row>
    <row r="467" spans="1:1" x14ac:dyDescent="0.2">
      <c r="A467" s="34" t="str">
        <f t="shared" si="7"/>
        <v/>
      </c>
    </row>
    <row r="468" spans="1:1" x14ac:dyDescent="0.2">
      <c r="A468" s="34" t="str">
        <f t="shared" si="7"/>
        <v/>
      </c>
    </row>
    <row r="469" spans="1:1" x14ac:dyDescent="0.2">
      <c r="A469" s="34" t="str">
        <f t="shared" si="7"/>
        <v/>
      </c>
    </row>
    <row r="470" spans="1:1" x14ac:dyDescent="0.2">
      <c r="A470" s="34" t="str">
        <f t="shared" si="7"/>
        <v/>
      </c>
    </row>
    <row r="471" spans="1:1" x14ac:dyDescent="0.2">
      <c r="A471" s="34" t="str">
        <f t="shared" si="7"/>
        <v/>
      </c>
    </row>
    <row r="472" spans="1:1" x14ac:dyDescent="0.2">
      <c r="A472" s="34" t="str">
        <f t="shared" si="7"/>
        <v/>
      </c>
    </row>
    <row r="473" spans="1:1" x14ac:dyDescent="0.2">
      <c r="A473" s="34" t="str">
        <f t="shared" si="7"/>
        <v/>
      </c>
    </row>
    <row r="474" spans="1:1" x14ac:dyDescent="0.2">
      <c r="A474" s="34" t="str">
        <f t="shared" si="7"/>
        <v/>
      </c>
    </row>
    <row r="475" spans="1:1" x14ac:dyDescent="0.2">
      <c r="A475" s="34" t="str">
        <f t="shared" si="7"/>
        <v/>
      </c>
    </row>
    <row r="476" spans="1:1" x14ac:dyDescent="0.2">
      <c r="A476" s="34" t="str">
        <f t="shared" si="7"/>
        <v/>
      </c>
    </row>
    <row r="477" spans="1:1" x14ac:dyDescent="0.2">
      <c r="A477" s="34" t="str">
        <f t="shared" si="7"/>
        <v/>
      </c>
    </row>
    <row r="478" spans="1:1" x14ac:dyDescent="0.2">
      <c r="A478" s="34" t="str">
        <f t="shared" si="7"/>
        <v/>
      </c>
    </row>
    <row r="479" spans="1:1" x14ac:dyDescent="0.2">
      <c r="A479" s="34" t="str">
        <f t="shared" si="7"/>
        <v/>
      </c>
    </row>
    <row r="480" spans="1:1" x14ac:dyDescent="0.2">
      <c r="A480" s="34" t="str">
        <f t="shared" si="7"/>
        <v/>
      </c>
    </row>
    <row r="481" spans="1:1" x14ac:dyDescent="0.2">
      <c r="A481" s="34" t="str">
        <f t="shared" si="7"/>
        <v/>
      </c>
    </row>
    <row r="482" spans="1:1" x14ac:dyDescent="0.2">
      <c r="A482" s="34" t="str">
        <f t="shared" si="7"/>
        <v/>
      </c>
    </row>
    <row r="483" spans="1:1" x14ac:dyDescent="0.2">
      <c r="A483" s="34" t="str">
        <f t="shared" si="7"/>
        <v/>
      </c>
    </row>
    <row r="484" spans="1:1" x14ac:dyDescent="0.2">
      <c r="A484" s="34" t="str">
        <f t="shared" si="7"/>
        <v/>
      </c>
    </row>
    <row r="485" spans="1:1" x14ac:dyDescent="0.2">
      <c r="A485" s="34" t="str">
        <f t="shared" si="7"/>
        <v/>
      </c>
    </row>
    <row r="486" spans="1:1" x14ac:dyDescent="0.2">
      <c r="A486" s="34" t="str">
        <f t="shared" si="7"/>
        <v/>
      </c>
    </row>
    <row r="487" spans="1:1" x14ac:dyDescent="0.2">
      <c r="A487" s="34" t="str">
        <f t="shared" si="7"/>
        <v/>
      </c>
    </row>
    <row r="488" spans="1:1" x14ac:dyDescent="0.2">
      <c r="A488" s="34" t="str">
        <f t="shared" si="7"/>
        <v/>
      </c>
    </row>
    <row r="489" spans="1:1" x14ac:dyDescent="0.2">
      <c r="A489" s="34" t="str">
        <f t="shared" si="7"/>
        <v/>
      </c>
    </row>
    <row r="490" spans="1:1" x14ac:dyDescent="0.2">
      <c r="A490" s="34" t="str">
        <f t="shared" si="7"/>
        <v/>
      </c>
    </row>
    <row r="491" spans="1:1" x14ac:dyDescent="0.2">
      <c r="A491" s="34" t="str">
        <f t="shared" si="7"/>
        <v/>
      </c>
    </row>
    <row r="492" spans="1:1" x14ac:dyDescent="0.2">
      <c r="A492" s="34" t="str">
        <f t="shared" si="7"/>
        <v/>
      </c>
    </row>
    <row r="493" spans="1:1" x14ac:dyDescent="0.2">
      <c r="A493" s="34" t="str">
        <f t="shared" si="7"/>
        <v/>
      </c>
    </row>
    <row r="494" spans="1:1" x14ac:dyDescent="0.2">
      <c r="A494" s="34" t="str">
        <f t="shared" si="7"/>
        <v/>
      </c>
    </row>
    <row r="495" spans="1:1" x14ac:dyDescent="0.2">
      <c r="A495" s="34" t="str">
        <f t="shared" si="7"/>
        <v/>
      </c>
    </row>
    <row r="496" spans="1:1" x14ac:dyDescent="0.2">
      <c r="A496" s="34" t="str">
        <f t="shared" si="7"/>
        <v/>
      </c>
    </row>
    <row r="497" spans="1:1" x14ac:dyDescent="0.2">
      <c r="A497" s="34" t="str">
        <f t="shared" si="7"/>
        <v/>
      </c>
    </row>
    <row r="498" spans="1:1" x14ac:dyDescent="0.2">
      <c r="A498" s="34" t="str">
        <f t="shared" si="7"/>
        <v/>
      </c>
    </row>
    <row r="499" spans="1:1" x14ac:dyDescent="0.2">
      <c r="A499" s="34" t="str">
        <f t="shared" si="7"/>
        <v/>
      </c>
    </row>
    <row r="500" spans="1:1" x14ac:dyDescent="0.2">
      <c r="A500" s="34" t="str">
        <f t="shared" si="7"/>
        <v/>
      </c>
    </row>
    <row r="501" spans="1:1" x14ac:dyDescent="0.2">
      <c r="A501" s="34" t="str">
        <f t="shared" si="7"/>
        <v/>
      </c>
    </row>
    <row r="502" spans="1:1" x14ac:dyDescent="0.2">
      <c r="A502" s="34" t="str">
        <f t="shared" si="7"/>
        <v/>
      </c>
    </row>
    <row r="503" spans="1:1" x14ac:dyDescent="0.2">
      <c r="A503" s="34" t="str">
        <f t="shared" si="7"/>
        <v/>
      </c>
    </row>
    <row r="504" spans="1:1" x14ac:dyDescent="0.2">
      <c r="A504" s="34" t="str">
        <f t="shared" si="7"/>
        <v/>
      </c>
    </row>
    <row r="505" spans="1:1" x14ac:dyDescent="0.2">
      <c r="A505" s="34" t="str">
        <f t="shared" si="7"/>
        <v/>
      </c>
    </row>
    <row r="506" spans="1:1" x14ac:dyDescent="0.2">
      <c r="A506" s="34" t="str">
        <f t="shared" si="7"/>
        <v/>
      </c>
    </row>
    <row r="507" spans="1:1" x14ac:dyDescent="0.2">
      <c r="A507" s="34" t="str">
        <f t="shared" si="7"/>
        <v/>
      </c>
    </row>
    <row r="508" spans="1:1" x14ac:dyDescent="0.2">
      <c r="A508" s="34" t="str">
        <f t="shared" si="7"/>
        <v/>
      </c>
    </row>
    <row r="509" spans="1:1" x14ac:dyDescent="0.2">
      <c r="A509" s="34" t="str">
        <f t="shared" si="7"/>
        <v/>
      </c>
    </row>
    <row r="510" spans="1:1" x14ac:dyDescent="0.2">
      <c r="A510" s="34" t="str">
        <f t="shared" si="7"/>
        <v/>
      </c>
    </row>
    <row r="511" spans="1:1" x14ac:dyDescent="0.2">
      <c r="A511" s="34" t="str">
        <f t="shared" si="7"/>
        <v/>
      </c>
    </row>
    <row r="512" spans="1:1" x14ac:dyDescent="0.2">
      <c r="A512" s="34" t="str">
        <f t="shared" si="7"/>
        <v/>
      </c>
    </row>
    <row r="513" spans="1:1" x14ac:dyDescent="0.2">
      <c r="A513" s="34" t="str">
        <f t="shared" si="7"/>
        <v/>
      </c>
    </row>
    <row r="514" spans="1:1" x14ac:dyDescent="0.2">
      <c r="A514" s="34" t="str">
        <f t="shared" si="7"/>
        <v/>
      </c>
    </row>
    <row r="515" spans="1:1" x14ac:dyDescent="0.2">
      <c r="A515" s="34" t="str">
        <f t="shared" ref="A515:A578" si="8">CONCATENATE(B515,C515,F515)</f>
        <v/>
      </c>
    </row>
    <row r="516" spans="1:1" x14ac:dyDescent="0.2">
      <c r="A516" s="34" t="str">
        <f t="shared" si="8"/>
        <v/>
      </c>
    </row>
    <row r="517" spans="1:1" x14ac:dyDescent="0.2">
      <c r="A517" s="34" t="str">
        <f t="shared" si="8"/>
        <v/>
      </c>
    </row>
    <row r="518" spans="1:1" x14ac:dyDescent="0.2">
      <c r="A518" s="34" t="str">
        <f t="shared" si="8"/>
        <v/>
      </c>
    </row>
    <row r="519" spans="1:1" x14ac:dyDescent="0.2">
      <c r="A519" s="34" t="str">
        <f t="shared" si="8"/>
        <v/>
      </c>
    </row>
    <row r="520" spans="1:1" x14ac:dyDescent="0.2">
      <c r="A520" s="34" t="str">
        <f t="shared" si="8"/>
        <v/>
      </c>
    </row>
    <row r="521" spans="1:1" x14ac:dyDescent="0.2">
      <c r="A521" s="34" t="str">
        <f t="shared" si="8"/>
        <v/>
      </c>
    </row>
    <row r="522" spans="1:1" x14ac:dyDescent="0.2">
      <c r="A522" s="34" t="str">
        <f t="shared" si="8"/>
        <v/>
      </c>
    </row>
    <row r="523" spans="1:1" x14ac:dyDescent="0.2">
      <c r="A523" s="34" t="str">
        <f t="shared" si="8"/>
        <v/>
      </c>
    </row>
    <row r="524" spans="1:1" x14ac:dyDescent="0.2">
      <c r="A524" s="34" t="str">
        <f t="shared" si="8"/>
        <v/>
      </c>
    </row>
    <row r="525" spans="1:1" x14ac:dyDescent="0.2">
      <c r="A525" s="34" t="str">
        <f t="shared" si="8"/>
        <v/>
      </c>
    </row>
    <row r="526" spans="1:1" x14ac:dyDescent="0.2">
      <c r="A526" s="34" t="str">
        <f t="shared" si="8"/>
        <v/>
      </c>
    </row>
    <row r="527" spans="1:1" x14ac:dyDescent="0.2">
      <c r="A527" s="34" t="str">
        <f t="shared" si="8"/>
        <v/>
      </c>
    </row>
    <row r="528" spans="1:1" x14ac:dyDescent="0.2">
      <c r="A528" s="34" t="str">
        <f t="shared" si="8"/>
        <v/>
      </c>
    </row>
    <row r="529" spans="1:1" x14ac:dyDescent="0.2">
      <c r="A529" s="34" t="str">
        <f t="shared" si="8"/>
        <v/>
      </c>
    </row>
    <row r="530" spans="1:1" x14ac:dyDescent="0.2">
      <c r="A530" s="34" t="str">
        <f t="shared" si="8"/>
        <v/>
      </c>
    </row>
    <row r="531" spans="1:1" x14ac:dyDescent="0.2">
      <c r="A531" s="34" t="str">
        <f t="shared" si="8"/>
        <v/>
      </c>
    </row>
    <row r="532" spans="1:1" x14ac:dyDescent="0.2">
      <c r="A532" s="34" t="str">
        <f t="shared" si="8"/>
        <v/>
      </c>
    </row>
    <row r="533" spans="1:1" x14ac:dyDescent="0.2">
      <c r="A533" s="34" t="str">
        <f t="shared" si="8"/>
        <v/>
      </c>
    </row>
    <row r="534" spans="1:1" x14ac:dyDescent="0.2">
      <c r="A534" s="34" t="str">
        <f t="shared" si="8"/>
        <v/>
      </c>
    </row>
    <row r="535" spans="1:1" x14ac:dyDescent="0.2">
      <c r="A535" s="34" t="str">
        <f t="shared" si="8"/>
        <v/>
      </c>
    </row>
    <row r="536" spans="1:1" x14ac:dyDescent="0.2">
      <c r="A536" s="34" t="str">
        <f t="shared" si="8"/>
        <v/>
      </c>
    </row>
    <row r="537" spans="1:1" x14ac:dyDescent="0.2">
      <c r="A537" s="34" t="str">
        <f t="shared" si="8"/>
        <v/>
      </c>
    </row>
    <row r="538" spans="1:1" x14ac:dyDescent="0.2">
      <c r="A538" s="34" t="str">
        <f t="shared" si="8"/>
        <v/>
      </c>
    </row>
    <row r="539" spans="1:1" x14ac:dyDescent="0.2">
      <c r="A539" s="34" t="str">
        <f t="shared" si="8"/>
        <v/>
      </c>
    </row>
    <row r="540" spans="1:1" x14ac:dyDescent="0.2">
      <c r="A540" s="34" t="str">
        <f t="shared" si="8"/>
        <v/>
      </c>
    </row>
    <row r="541" spans="1:1" x14ac:dyDescent="0.2">
      <c r="A541" s="34" t="str">
        <f t="shared" si="8"/>
        <v/>
      </c>
    </row>
    <row r="542" spans="1:1" x14ac:dyDescent="0.2">
      <c r="A542" s="34" t="str">
        <f t="shared" si="8"/>
        <v/>
      </c>
    </row>
    <row r="543" spans="1:1" x14ac:dyDescent="0.2">
      <c r="A543" s="34" t="str">
        <f t="shared" si="8"/>
        <v/>
      </c>
    </row>
    <row r="544" spans="1:1" x14ac:dyDescent="0.2">
      <c r="A544" s="34" t="str">
        <f t="shared" si="8"/>
        <v/>
      </c>
    </row>
    <row r="545" spans="1:1" x14ac:dyDescent="0.2">
      <c r="A545" s="34" t="str">
        <f t="shared" si="8"/>
        <v/>
      </c>
    </row>
    <row r="546" spans="1:1" x14ac:dyDescent="0.2">
      <c r="A546" s="34" t="str">
        <f t="shared" si="8"/>
        <v/>
      </c>
    </row>
    <row r="547" spans="1:1" x14ac:dyDescent="0.2">
      <c r="A547" s="34" t="str">
        <f t="shared" si="8"/>
        <v/>
      </c>
    </row>
    <row r="548" spans="1:1" x14ac:dyDescent="0.2">
      <c r="A548" s="34" t="str">
        <f t="shared" si="8"/>
        <v/>
      </c>
    </row>
    <row r="549" spans="1:1" x14ac:dyDescent="0.2">
      <c r="A549" s="34" t="str">
        <f t="shared" si="8"/>
        <v/>
      </c>
    </row>
    <row r="550" spans="1:1" x14ac:dyDescent="0.2">
      <c r="A550" s="34" t="str">
        <f t="shared" si="8"/>
        <v/>
      </c>
    </row>
    <row r="551" spans="1:1" x14ac:dyDescent="0.2">
      <c r="A551" s="34" t="str">
        <f t="shared" si="8"/>
        <v/>
      </c>
    </row>
    <row r="552" spans="1:1" x14ac:dyDescent="0.2">
      <c r="A552" s="34" t="str">
        <f t="shared" si="8"/>
        <v/>
      </c>
    </row>
    <row r="553" spans="1:1" x14ac:dyDescent="0.2">
      <c r="A553" s="34" t="str">
        <f t="shared" si="8"/>
        <v/>
      </c>
    </row>
    <row r="554" spans="1:1" x14ac:dyDescent="0.2">
      <c r="A554" s="34" t="str">
        <f t="shared" si="8"/>
        <v/>
      </c>
    </row>
    <row r="555" spans="1:1" x14ac:dyDescent="0.2">
      <c r="A555" s="34" t="str">
        <f t="shared" si="8"/>
        <v/>
      </c>
    </row>
    <row r="556" spans="1:1" x14ac:dyDescent="0.2">
      <c r="A556" s="34" t="str">
        <f t="shared" si="8"/>
        <v/>
      </c>
    </row>
    <row r="557" spans="1:1" x14ac:dyDescent="0.2">
      <c r="A557" s="34" t="str">
        <f t="shared" si="8"/>
        <v/>
      </c>
    </row>
    <row r="558" spans="1:1" x14ac:dyDescent="0.2">
      <c r="A558" s="34" t="str">
        <f t="shared" si="8"/>
        <v/>
      </c>
    </row>
    <row r="559" spans="1:1" x14ac:dyDescent="0.2">
      <c r="A559" s="34" t="str">
        <f t="shared" si="8"/>
        <v/>
      </c>
    </row>
    <row r="560" spans="1:1" x14ac:dyDescent="0.2">
      <c r="A560" s="34" t="str">
        <f t="shared" si="8"/>
        <v/>
      </c>
    </row>
    <row r="561" spans="1:1" x14ac:dyDescent="0.2">
      <c r="A561" s="34" t="str">
        <f t="shared" si="8"/>
        <v/>
      </c>
    </row>
    <row r="562" spans="1:1" x14ac:dyDescent="0.2">
      <c r="A562" s="34" t="str">
        <f t="shared" si="8"/>
        <v/>
      </c>
    </row>
    <row r="563" spans="1:1" x14ac:dyDescent="0.2">
      <c r="A563" s="34" t="str">
        <f t="shared" si="8"/>
        <v/>
      </c>
    </row>
    <row r="564" spans="1:1" x14ac:dyDescent="0.2">
      <c r="A564" s="34" t="str">
        <f t="shared" si="8"/>
        <v/>
      </c>
    </row>
    <row r="565" spans="1:1" x14ac:dyDescent="0.2">
      <c r="A565" s="34" t="str">
        <f t="shared" si="8"/>
        <v/>
      </c>
    </row>
    <row r="566" spans="1:1" x14ac:dyDescent="0.2">
      <c r="A566" s="34" t="str">
        <f t="shared" si="8"/>
        <v/>
      </c>
    </row>
    <row r="567" spans="1:1" x14ac:dyDescent="0.2">
      <c r="A567" s="34" t="str">
        <f t="shared" si="8"/>
        <v/>
      </c>
    </row>
    <row r="568" spans="1:1" x14ac:dyDescent="0.2">
      <c r="A568" s="34" t="str">
        <f t="shared" si="8"/>
        <v/>
      </c>
    </row>
    <row r="569" spans="1:1" x14ac:dyDescent="0.2">
      <c r="A569" s="34" t="str">
        <f t="shared" si="8"/>
        <v/>
      </c>
    </row>
    <row r="570" spans="1:1" x14ac:dyDescent="0.2">
      <c r="A570" s="34" t="str">
        <f t="shared" si="8"/>
        <v/>
      </c>
    </row>
    <row r="571" spans="1:1" x14ac:dyDescent="0.2">
      <c r="A571" s="34" t="str">
        <f t="shared" si="8"/>
        <v/>
      </c>
    </row>
    <row r="572" spans="1:1" x14ac:dyDescent="0.2">
      <c r="A572" s="34" t="str">
        <f t="shared" si="8"/>
        <v/>
      </c>
    </row>
    <row r="573" spans="1:1" x14ac:dyDescent="0.2">
      <c r="A573" s="34" t="str">
        <f t="shared" si="8"/>
        <v/>
      </c>
    </row>
    <row r="574" spans="1:1" x14ac:dyDescent="0.2">
      <c r="A574" s="34" t="str">
        <f t="shared" si="8"/>
        <v/>
      </c>
    </row>
    <row r="575" spans="1:1" x14ac:dyDescent="0.2">
      <c r="A575" s="34" t="str">
        <f t="shared" si="8"/>
        <v/>
      </c>
    </row>
    <row r="576" spans="1:1" x14ac:dyDescent="0.2">
      <c r="A576" s="34" t="str">
        <f t="shared" si="8"/>
        <v/>
      </c>
    </row>
    <row r="577" spans="1:1" x14ac:dyDescent="0.2">
      <c r="A577" s="34" t="str">
        <f t="shared" si="8"/>
        <v/>
      </c>
    </row>
    <row r="578" spans="1:1" x14ac:dyDescent="0.2">
      <c r="A578" s="34" t="str">
        <f t="shared" si="8"/>
        <v/>
      </c>
    </row>
    <row r="579" spans="1:1" x14ac:dyDescent="0.2">
      <c r="A579" s="34" t="str">
        <f t="shared" ref="A579:A642" si="9">CONCATENATE(B579,C579,F579)</f>
        <v/>
      </c>
    </row>
    <row r="580" spans="1:1" x14ac:dyDescent="0.2">
      <c r="A580" s="34" t="str">
        <f t="shared" si="9"/>
        <v/>
      </c>
    </row>
    <row r="581" spans="1:1" x14ac:dyDescent="0.2">
      <c r="A581" s="34" t="str">
        <f t="shared" si="9"/>
        <v/>
      </c>
    </row>
    <row r="582" spans="1:1" x14ac:dyDescent="0.2">
      <c r="A582" s="34" t="str">
        <f t="shared" si="9"/>
        <v/>
      </c>
    </row>
    <row r="583" spans="1:1" x14ac:dyDescent="0.2">
      <c r="A583" s="34" t="str">
        <f t="shared" si="9"/>
        <v/>
      </c>
    </row>
    <row r="584" spans="1:1" x14ac:dyDescent="0.2">
      <c r="A584" s="34" t="str">
        <f t="shared" si="9"/>
        <v/>
      </c>
    </row>
    <row r="585" spans="1:1" x14ac:dyDescent="0.2">
      <c r="A585" s="34" t="str">
        <f t="shared" si="9"/>
        <v/>
      </c>
    </row>
    <row r="586" spans="1:1" x14ac:dyDescent="0.2">
      <c r="A586" s="34" t="str">
        <f t="shared" si="9"/>
        <v/>
      </c>
    </row>
    <row r="587" spans="1:1" x14ac:dyDescent="0.2">
      <c r="A587" s="34" t="str">
        <f t="shared" si="9"/>
        <v/>
      </c>
    </row>
    <row r="588" spans="1:1" x14ac:dyDescent="0.2">
      <c r="A588" s="34" t="str">
        <f t="shared" si="9"/>
        <v/>
      </c>
    </row>
    <row r="589" spans="1:1" x14ac:dyDescent="0.2">
      <c r="A589" s="34" t="str">
        <f t="shared" si="9"/>
        <v/>
      </c>
    </row>
    <row r="590" spans="1:1" x14ac:dyDescent="0.2">
      <c r="A590" s="34" t="str">
        <f t="shared" si="9"/>
        <v/>
      </c>
    </row>
    <row r="591" spans="1:1" x14ac:dyDescent="0.2">
      <c r="A591" s="34" t="str">
        <f t="shared" si="9"/>
        <v/>
      </c>
    </row>
    <row r="592" spans="1:1" x14ac:dyDescent="0.2">
      <c r="A592" s="34" t="str">
        <f t="shared" si="9"/>
        <v/>
      </c>
    </row>
    <row r="593" spans="1:1" x14ac:dyDescent="0.2">
      <c r="A593" s="34" t="str">
        <f t="shared" si="9"/>
        <v/>
      </c>
    </row>
    <row r="594" spans="1:1" x14ac:dyDescent="0.2">
      <c r="A594" s="34" t="str">
        <f t="shared" si="9"/>
        <v/>
      </c>
    </row>
    <row r="595" spans="1:1" x14ac:dyDescent="0.2">
      <c r="A595" s="34" t="str">
        <f t="shared" si="9"/>
        <v/>
      </c>
    </row>
    <row r="596" spans="1:1" x14ac:dyDescent="0.2">
      <c r="A596" s="34" t="str">
        <f t="shared" si="9"/>
        <v/>
      </c>
    </row>
    <row r="597" spans="1:1" x14ac:dyDescent="0.2">
      <c r="A597" s="34" t="str">
        <f t="shared" si="9"/>
        <v/>
      </c>
    </row>
    <row r="598" spans="1:1" x14ac:dyDescent="0.2">
      <c r="A598" s="34" t="str">
        <f t="shared" si="9"/>
        <v/>
      </c>
    </row>
    <row r="599" spans="1:1" x14ac:dyDescent="0.2">
      <c r="A599" s="34" t="str">
        <f t="shared" si="9"/>
        <v/>
      </c>
    </row>
    <row r="600" spans="1:1" x14ac:dyDescent="0.2">
      <c r="A600" s="34" t="str">
        <f t="shared" si="9"/>
        <v/>
      </c>
    </row>
    <row r="601" spans="1:1" x14ac:dyDescent="0.2">
      <c r="A601" s="34" t="str">
        <f t="shared" si="9"/>
        <v/>
      </c>
    </row>
    <row r="602" spans="1:1" x14ac:dyDescent="0.2">
      <c r="A602" s="34" t="str">
        <f t="shared" si="9"/>
        <v/>
      </c>
    </row>
    <row r="603" spans="1:1" x14ac:dyDescent="0.2">
      <c r="A603" s="34" t="str">
        <f t="shared" si="9"/>
        <v/>
      </c>
    </row>
    <row r="604" spans="1:1" x14ac:dyDescent="0.2">
      <c r="A604" s="34" t="str">
        <f t="shared" si="9"/>
        <v/>
      </c>
    </row>
    <row r="605" spans="1:1" x14ac:dyDescent="0.2">
      <c r="A605" s="34" t="str">
        <f t="shared" si="9"/>
        <v/>
      </c>
    </row>
    <row r="606" spans="1:1" x14ac:dyDescent="0.2">
      <c r="A606" s="34" t="str">
        <f t="shared" si="9"/>
        <v/>
      </c>
    </row>
    <row r="607" spans="1:1" x14ac:dyDescent="0.2">
      <c r="A607" s="34" t="str">
        <f t="shared" si="9"/>
        <v/>
      </c>
    </row>
    <row r="608" spans="1:1" x14ac:dyDescent="0.2">
      <c r="A608" s="34" t="str">
        <f t="shared" si="9"/>
        <v/>
      </c>
    </row>
    <row r="609" spans="1:1" x14ac:dyDescent="0.2">
      <c r="A609" s="34" t="str">
        <f t="shared" si="9"/>
        <v/>
      </c>
    </row>
    <row r="610" spans="1:1" x14ac:dyDescent="0.2">
      <c r="A610" s="34" t="str">
        <f t="shared" si="9"/>
        <v/>
      </c>
    </row>
    <row r="611" spans="1:1" x14ac:dyDescent="0.2">
      <c r="A611" s="34" t="str">
        <f t="shared" si="9"/>
        <v/>
      </c>
    </row>
    <row r="612" spans="1:1" x14ac:dyDescent="0.2">
      <c r="A612" s="34" t="str">
        <f t="shared" si="9"/>
        <v/>
      </c>
    </row>
    <row r="613" spans="1:1" x14ac:dyDescent="0.2">
      <c r="A613" s="34" t="str">
        <f t="shared" si="9"/>
        <v/>
      </c>
    </row>
    <row r="614" spans="1:1" x14ac:dyDescent="0.2">
      <c r="A614" s="34" t="str">
        <f t="shared" si="9"/>
        <v/>
      </c>
    </row>
    <row r="615" spans="1:1" x14ac:dyDescent="0.2">
      <c r="A615" s="34" t="str">
        <f t="shared" si="9"/>
        <v/>
      </c>
    </row>
    <row r="616" spans="1:1" x14ac:dyDescent="0.2">
      <c r="A616" s="34" t="str">
        <f t="shared" si="9"/>
        <v/>
      </c>
    </row>
    <row r="617" spans="1:1" x14ac:dyDescent="0.2">
      <c r="A617" s="34" t="str">
        <f t="shared" si="9"/>
        <v/>
      </c>
    </row>
    <row r="618" spans="1:1" x14ac:dyDescent="0.2">
      <c r="A618" s="34" t="str">
        <f t="shared" si="9"/>
        <v/>
      </c>
    </row>
    <row r="619" spans="1:1" x14ac:dyDescent="0.2">
      <c r="A619" s="34" t="str">
        <f t="shared" si="9"/>
        <v/>
      </c>
    </row>
    <row r="620" spans="1:1" x14ac:dyDescent="0.2">
      <c r="A620" s="34" t="str">
        <f t="shared" si="9"/>
        <v/>
      </c>
    </row>
    <row r="621" spans="1:1" x14ac:dyDescent="0.2">
      <c r="A621" s="34" t="str">
        <f t="shared" si="9"/>
        <v/>
      </c>
    </row>
    <row r="622" spans="1:1" x14ac:dyDescent="0.2">
      <c r="A622" s="34" t="str">
        <f t="shared" si="9"/>
        <v/>
      </c>
    </row>
    <row r="623" spans="1:1" x14ac:dyDescent="0.2">
      <c r="A623" s="34" t="str">
        <f t="shared" si="9"/>
        <v/>
      </c>
    </row>
    <row r="624" spans="1:1" x14ac:dyDescent="0.2">
      <c r="A624" s="34" t="str">
        <f t="shared" si="9"/>
        <v/>
      </c>
    </row>
    <row r="625" spans="1:1" x14ac:dyDescent="0.2">
      <c r="A625" s="34" t="str">
        <f t="shared" si="9"/>
        <v/>
      </c>
    </row>
    <row r="626" spans="1:1" x14ac:dyDescent="0.2">
      <c r="A626" s="34" t="str">
        <f t="shared" si="9"/>
        <v/>
      </c>
    </row>
    <row r="627" spans="1:1" x14ac:dyDescent="0.2">
      <c r="A627" s="34" t="str">
        <f t="shared" si="9"/>
        <v/>
      </c>
    </row>
    <row r="628" spans="1:1" x14ac:dyDescent="0.2">
      <c r="A628" s="34" t="str">
        <f t="shared" si="9"/>
        <v/>
      </c>
    </row>
    <row r="629" spans="1:1" x14ac:dyDescent="0.2">
      <c r="A629" s="34" t="str">
        <f t="shared" si="9"/>
        <v/>
      </c>
    </row>
    <row r="630" spans="1:1" x14ac:dyDescent="0.2">
      <c r="A630" s="34" t="str">
        <f t="shared" si="9"/>
        <v/>
      </c>
    </row>
    <row r="631" spans="1:1" x14ac:dyDescent="0.2">
      <c r="A631" s="34" t="str">
        <f t="shared" si="9"/>
        <v/>
      </c>
    </row>
    <row r="632" spans="1:1" x14ac:dyDescent="0.2">
      <c r="A632" s="34" t="str">
        <f t="shared" si="9"/>
        <v/>
      </c>
    </row>
    <row r="633" spans="1:1" x14ac:dyDescent="0.2">
      <c r="A633" s="34" t="str">
        <f t="shared" si="9"/>
        <v/>
      </c>
    </row>
    <row r="634" spans="1:1" x14ac:dyDescent="0.2">
      <c r="A634" s="34" t="str">
        <f t="shared" si="9"/>
        <v/>
      </c>
    </row>
    <row r="635" spans="1:1" x14ac:dyDescent="0.2">
      <c r="A635" s="34" t="str">
        <f t="shared" si="9"/>
        <v/>
      </c>
    </row>
    <row r="636" spans="1:1" x14ac:dyDescent="0.2">
      <c r="A636" s="34" t="str">
        <f t="shared" si="9"/>
        <v/>
      </c>
    </row>
    <row r="637" spans="1:1" x14ac:dyDescent="0.2">
      <c r="A637" s="34" t="str">
        <f t="shared" si="9"/>
        <v/>
      </c>
    </row>
    <row r="638" spans="1:1" x14ac:dyDescent="0.2">
      <c r="A638" s="34" t="str">
        <f t="shared" si="9"/>
        <v/>
      </c>
    </row>
    <row r="639" spans="1:1" x14ac:dyDescent="0.2">
      <c r="A639" s="34" t="str">
        <f t="shared" si="9"/>
        <v/>
      </c>
    </row>
    <row r="640" spans="1:1" x14ac:dyDescent="0.2">
      <c r="A640" s="34" t="str">
        <f t="shared" si="9"/>
        <v/>
      </c>
    </row>
    <row r="641" spans="1:1" x14ac:dyDescent="0.2">
      <c r="A641" s="34" t="str">
        <f t="shared" si="9"/>
        <v/>
      </c>
    </row>
    <row r="642" spans="1:1" x14ac:dyDescent="0.2">
      <c r="A642" s="34" t="str">
        <f t="shared" si="9"/>
        <v/>
      </c>
    </row>
    <row r="643" spans="1:1" x14ac:dyDescent="0.2">
      <c r="A643" s="34" t="str">
        <f t="shared" ref="A643:A706" si="10">CONCATENATE(B643,C643,F643)</f>
        <v/>
      </c>
    </row>
    <row r="644" spans="1:1" x14ac:dyDescent="0.2">
      <c r="A644" s="34" t="str">
        <f t="shared" si="10"/>
        <v/>
      </c>
    </row>
    <row r="645" spans="1:1" x14ac:dyDescent="0.2">
      <c r="A645" s="34" t="str">
        <f t="shared" si="10"/>
        <v/>
      </c>
    </row>
    <row r="646" spans="1:1" x14ac:dyDescent="0.2">
      <c r="A646" s="34" t="str">
        <f t="shared" si="10"/>
        <v/>
      </c>
    </row>
    <row r="647" spans="1:1" x14ac:dyDescent="0.2">
      <c r="A647" s="34" t="str">
        <f t="shared" si="10"/>
        <v/>
      </c>
    </row>
    <row r="648" spans="1:1" x14ac:dyDescent="0.2">
      <c r="A648" s="34" t="str">
        <f t="shared" si="10"/>
        <v/>
      </c>
    </row>
    <row r="649" spans="1:1" x14ac:dyDescent="0.2">
      <c r="A649" s="34" t="str">
        <f t="shared" si="10"/>
        <v/>
      </c>
    </row>
    <row r="650" spans="1:1" x14ac:dyDescent="0.2">
      <c r="A650" s="34" t="str">
        <f t="shared" si="10"/>
        <v/>
      </c>
    </row>
    <row r="651" spans="1:1" x14ac:dyDescent="0.2">
      <c r="A651" s="34" t="str">
        <f t="shared" si="10"/>
        <v/>
      </c>
    </row>
    <row r="652" spans="1:1" x14ac:dyDescent="0.2">
      <c r="A652" s="34" t="str">
        <f t="shared" si="10"/>
        <v/>
      </c>
    </row>
    <row r="653" spans="1:1" x14ac:dyDescent="0.2">
      <c r="A653" s="34" t="str">
        <f t="shared" si="10"/>
        <v/>
      </c>
    </row>
    <row r="654" spans="1:1" x14ac:dyDescent="0.2">
      <c r="A654" s="34" t="str">
        <f t="shared" si="10"/>
        <v/>
      </c>
    </row>
    <row r="655" spans="1:1" x14ac:dyDescent="0.2">
      <c r="A655" s="34" t="str">
        <f t="shared" si="10"/>
        <v/>
      </c>
    </row>
    <row r="656" spans="1:1" x14ac:dyDescent="0.2">
      <c r="A656" s="34" t="str">
        <f t="shared" si="10"/>
        <v/>
      </c>
    </row>
    <row r="657" spans="1:1" x14ac:dyDescent="0.2">
      <c r="A657" s="34" t="str">
        <f t="shared" si="10"/>
        <v/>
      </c>
    </row>
    <row r="658" spans="1:1" x14ac:dyDescent="0.2">
      <c r="A658" s="34" t="str">
        <f t="shared" si="10"/>
        <v/>
      </c>
    </row>
    <row r="659" spans="1:1" x14ac:dyDescent="0.2">
      <c r="A659" s="34" t="str">
        <f t="shared" si="10"/>
        <v/>
      </c>
    </row>
    <row r="660" spans="1:1" x14ac:dyDescent="0.2">
      <c r="A660" s="34" t="str">
        <f t="shared" si="10"/>
        <v/>
      </c>
    </row>
    <row r="661" spans="1:1" x14ac:dyDescent="0.2">
      <c r="A661" s="34" t="str">
        <f t="shared" si="10"/>
        <v/>
      </c>
    </row>
    <row r="662" spans="1:1" x14ac:dyDescent="0.2">
      <c r="A662" s="34" t="str">
        <f t="shared" si="10"/>
        <v/>
      </c>
    </row>
    <row r="663" spans="1:1" x14ac:dyDescent="0.2">
      <c r="A663" s="34" t="str">
        <f t="shared" si="10"/>
        <v/>
      </c>
    </row>
    <row r="664" spans="1:1" x14ac:dyDescent="0.2">
      <c r="A664" s="34" t="str">
        <f t="shared" si="10"/>
        <v/>
      </c>
    </row>
    <row r="665" spans="1:1" x14ac:dyDescent="0.2">
      <c r="A665" s="34" t="str">
        <f t="shared" si="10"/>
        <v/>
      </c>
    </row>
    <row r="666" spans="1:1" x14ac:dyDescent="0.2">
      <c r="A666" s="34" t="str">
        <f t="shared" si="10"/>
        <v/>
      </c>
    </row>
    <row r="667" spans="1:1" x14ac:dyDescent="0.2">
      <c r="A667" s="34" t="str">
        <f t="shared" si="10"/>
        <v/>
      </c>
    </row>
    <row r="668" spans="1:1" x14ac:dyDescent="0.2">
      <c r="A668" s="34" t="str">
        <f t="shared" si="10"/>
        <v/>
      </c>
    </row>
    <row r="669" spans="1:1" x14ac:dyDescent="0.2">
      <c r="A669" s="34" t="str">
        <f t="shared" si="10"/>
        <v/>
      </c>
    </row>
    <row r="670" spans="1:1" x14ac:dyDescent="0.2">
      <c r="A670" s="34" t="str">
        <f t="shared" si="10"/>
        <v/>
      </c>
    </row>
    <row r="671" spans="1:1" x14ac:dyDescent="0.2">
      <c r="A671" s="34" t="str">
        <f t="shared" si="10"/>
        <v/>
      </c>
    </row>
    <row r="672" spans="1:1" x14ac:dyDescent="0.2">
      <c r="A672" s="34" t="str">
        <f t="shared" si="10"/>
        <v/>
      </c>
    </row>
    <row r="673" spans="1:1" x14ac:dyDescent="0.2">
      <c r="A673" s="34" t="str">
        <f t="shared" si="10"/>
        <v/>
      </c>
    </row>
    <row r="674" spans="1:1" x14ac:dyDescent="0.2">
      <c r="A674" s="34" t="str">
        <f t="shared" si="10"/>
        <v/>
      </c>
    </row>
    <row r="675" spans="1:1" x14ac:dyDescent="0.2">
      <c r="A675" s="34" t="str">
        <f t="shared" si="10"/>
        <v/>
      </c>
    </row>
    <row r="676" spans="1:1" x14ac:dyDescent="0.2">
      <c r="A676" s="34" t="str">
        <f t="shared" si="10"/>
        <v/>
      </c>
    </row>
    <row r="677" spans="1:1" x14ac:dyDescent="0.2">
      <c r="A677" s="34" t="str">
        <f t="shared" si="10"/>
        <v/>
      </c>
    </row>
    <row r="678" spans="1:1" x14ac:dyDescent="0.2">
      <c r="A678" s="34" t="str">
        <f t="shared" si="10"/>
        <v/>
      </c>
    </row>
    <row r="679" spans="1:1" x14ac:dyDescent="0.2">
      <c r="A679" s="34" t="str">
        <f t="shared" si="10"/>
        <v/>
      </c>
    </row>
    <row r="680" spans="1:1" x14ac:dyDescent="0.2">
      <c r="A680" s="34" t="str">
        <f t="shared" si="10"/>
        <v/>
      </c>
    </row>
    <row r="681" spans="1:1" x14ac:dyDescent="0.2">
      <c r="A681" s="34" t="str">
        <f t="shared" si="10"/>
        <v/>
      </c>
    </row>
    <row r="682" spans="1:1" x14ac:dyDescent="0.2">
      <c r="A682" s="34" t="str">
        <f t="shared" si="10"/>
        <v/>
      </c>
    </row>
    <row r="683" spans="1:1" x14ac:dyDescent="0.2">
      <c r="A683" s="34" t="str">
        <f t="shared" si="10"/>
        <v/>
      </c>
    </row>
    <row r="684" spans="1:1" x14ac:dyDescent="0.2">
      <c r="A684" s="34" t="str">
        <f t="shared" si="10"/>
        <v/>
      </c>
    </row>
    <row r="685" spans="1:1" x14ac:dyDescent="0.2">
      <c r="A685" s="34" t="str">
        <f t="shared" si="10"/>
        <v/>
      </c>
    </row>
    <row r="686" spans="1:1" x14ac:dyDescent="0.2">
      <c r="A686" s="34" t="str">
        <f t="shared" si="10"/>
        <v/>
      </c>
    </row>
    <row r="687" spans="1:1" x14ac:dyDescent="0.2">
      <c r="A687" s="34" t="str">
        <f t="shared" si="10"/>
        <v/>
      </c>
    </row>
    <row r="688" spans="1:1" x14ac:dyDescent="0.2">
      <c r="A688" s="34" t="str">
        <f t="shared" si="10"/>
        <v/>
      </c>
    </row>
    <row r="689" spans="1:1" x14ac:dyDescent="0.2">
      <c r="A689" s="34" t="str">
        <f t="shared" si="10"/>
        <v/>
      </c>
    </row>
    <row r="690" spans="1:1" x14ac:dyDescent="0.2">
      <c r="A690" s="34" t="str">
        <f t="shared" si="10"/>
        <v/>
      </c>
    </row>
    <row r="691" spans="1:1" x14ac:dyDescent="0.2">
      <c r="A691" s="34" t="str">
        <f t="shared" si="10"/>
        <v/>
      </c>
    </row>
    <row r="692" spans="1:1" x14ac:dyDescent="0.2">
      <c r="A692" s="34" t="str">
        <f t="shared" si="10"/>
        <v/>
      </c>
    </row>
    <row r="693" spans="1:1" x14ac:dyDescent="0.2">
      <c r="A693" s="34" t="str">
        <f t="shared" si="10"/>
        <v/>
      </c>
    </row>
    <row r="694" spans="1:1" x14ac:dyDescent="0.2">
      <c r="A694" s="34" t="str">
        <f t="shared" si="10"/>
        <v/>
      </c>
    </row>
    <row r="695" spans="1:1" x14ac:dyDescent="0.2">
      <c r="A695" s="34" t="str">
        <f t="shared" si="10"/>
        <v/>
      </c>
    </row>
    <row r="696" spans="1:1" x14ac:dyDescent="0.2">
      <c r="A696" s="34" t="str">
        <f t="shared" si="10"/>
        <v/>
      </c>
    </row>
    <row r="697" spans="1:1" x14ac:dyDescent="0.2">
      <c r="A697" s="34" t="str">
        <f t="shared" si="10"/>
        <v/>
      </c>
    </row>
    <row r="698" spans="1:1" x14ac:dyDescent="0.2">
      <c r="A698" s="34" t="str">
        <f t="shared" si="10"/>
        <v/>
      </c>
    </row>
    <row r="699" spans="1:1" x14ac:dyDescent="0.2">
      <c r="A699" s="34" t="str">
        <f t="shared" si="10"/>
        <v/>
      </c>
    </row>
    <row r="700" spans="1:1" x14ac:dyDescent="0.2">
      <c r="A700" s="34" t="str">
        <f t="shared" si="10"/>
        <v/>
      </c>
    </row>
    <row r="701" spans="1:1" x14ac:dyDescent="0.2">
      <c r="A701" s="34" t="str">
        <f t="shared" si="10"/>
        <v/>
      </c>
    </row>
    <row r="702" spans="1:1" x14ac:dyDescent="0.2">
      <c r="A702" s="34" t="str">
        <f t="shared" si="10"/>
        <v/>
      </c>
    </row>
    <row r="703" spans="1:1" x14ac:dyDescent="0.2">
      <c r="A703" s="34" t="str">
        <f t="shared" si="10"/>
        <v/>
      </c>
    </row>
    <row r="704" spans="1:1" x14ac:dyDescent="0.2">
      <c r="A704" s="34" t="str">
        <f t="shared" si="10"/>
        <v/>
      </c>
    </row>
    <row r="705" spans="1:1" x14ac:dyDescent="0.2">
      <c r="A705" s="34" t="str">
        <f t="shared" si="10"/>
        <v/>
      </c>
    </row>
    <row r="706" spans="1:1" x14ac:dyDescent="0.2">
      <c r="A706" s="34" t="str">
        <f t="shared" si="10"/>
        <v/>
      </c>
    </row>
    <row r="707" spans="1:1" x14ac:dyDescent="0.2">
      <c r="A707" s="34" t="str">
        <f t="shared" ref="A707:A770" si="11">CONCATENATE(B707,C707,F707)</f>
        <v/>
      </c>
    </row>
    <row r="708" spans="1:1" x14ac:dyDescent="0.2">
      <c r="A708" s="34" t="str">
        <f t="shared" si="11"/>
        <v/>
      </c>
    </row>
    <row r="709" spans="1:1" x14ac:dyDescent="0.2">
      <c r="A709" s="34" t="str">
        <f t="shared" si="11"/>
        <v/>
      </c>
    </row>
    <row r="710" spans="1:1" x14ac:dyDescent="0.2">
      <c r="A710" s="34" t="str">
        <f t="shared" si="11"/>
        <v/>
      </c>
    </row>
    <row r="711" spans="1:1" x14ac:dyDescent="0.2">
      <c r="A711" s="34" t="str">
        <f t="shared" si="11"/>
        <v/>
      </c>
    </row>
    <row r="712" spans="1:1" x14ac:dyDescent="0.2">
      <c r="A712" s="34" t="str">
        <f t="shared" si="11"/>
        <v/>
      </c>
    </row>
    <row r="713" spans="1:1" x14ac:dyDescent="0.2">
      <c r="A713" s="34" t="str">
        <f t="shared" si="11"/>
        <v/>
      </c>
    </row>
    <row r="714" spans="1:1" x14ac:dyDescent="0.2">
      <c r="A714" s="34" t="str">
        <f t="shared" si="11"/>
        <v/>
      </c>
    </row>
    <row r="715" spans="1:1" x14ac:dyDescent="0.2">
      <c r="A715" s="34" t="str">
        <f t="shared" si="11"/>
        <v/>
      </c>
    </row>
    <row r="716" spans="1:1" x14ac:dyDescent="0.2">
      <c r="A716" s="34" t="str">
        <f t="shared" si="11"/>
        <v/>
      </c>
    </row>
    <row r="717" spans="1:1" x14ac:dyDescent="0.2">
      <c r="A717" s="34" t="str">
        <f t="shared" si="11"/>
        <v/>
      </c>
    </row>
    <row r="718" spans="1:1" x14ac:dyDescent="0.2">
      <c r="A718" s="34" t="str">
        <f t="shared" si="11"/>
        <v/>
      </c>
    </row>
    <row r="719" spans="1:1" x14ac:dyDescent="0.2">
      <c r="A719" s="34" t="str">
        <f t="shared" si="11"/>
        <v/>
      </c>
    </row>
    <row r="720" spans="1:1" x14ac:dyDescent="0.2">
      <c r="A720" s="34" t="str">
        <f t="shared" si="11"/>
        <v/>
      </c>
    </row>
    <row r="721" spans="1:1" x14ac:dyDescent="0.2">
      <c r="A721" s="34" t="str">
        <f t="shared" si="11"/>
        <v/>
      </c>
    </row>
    <row r="722" spans="1:1" x14ac:dyDescent="0.2">
      <c r="A722" s="34" t="str">
        <f t="shared" si="11"/>
        <v/>
      </c>
    </row>
    <row r="723" spans="1:1" x14ac:dyDescent="0.2">
      <c r="A723" s="34" t="str">
        <f t="shared" si="11"/>
        <v/>
      </c>
    </row>
    <row r="724" spans="1:1" x14ac:dyDescent="0.2">
      <c r="A724" s="34" t="str">
        <f t="shared" si="11"/>
        <v/>
      </c>
    </row>
    <row r="725" spans="1:1" x14ac:dyDescent="0.2">
      <c r="A725" s="34" t="str">
        <f t="shared" si="11"/>
        <v/>
      </c>
    </row>
    <row r="726" spans="1:1" x14ac:dyDescent="0.2">
      <c r="A726" s="34" t="str">
        <f t="shared" si="11"/>
        <v/>
      </c>
    </row>
    <row r="727" spans="1:1" x14ac:dyDescent="0.2">
      <c r="A727" s="34" t="str">
        <f t="shared" si="11"/>
        <v/>
      </c>
    </row>
    <row r="728" spans="1:1" x14ac:dyDescent="0.2">
      <c r="A728" s="34" t="str">
        <f t="shared" si="11"/>
        <v/>
      </c>
    </row>
    <row r="729" spans="1:1" x14ac:dyDescent="0.2">
      <c r="A729" s="34" t="str">
        <f t="shared" si="11"/>
        <v/>
      </c>
    </row>
    <row r="730" spans="1:1" x14ac:dyDescent="0.2">
      <c r="A730" s="34" t="str">
        <f t="shared" si="11"/>
        <v/>
      </c>
    </row>
    <row r="731" spans="1:1" x14ac:dyDescent="0.2">
      <c r="A731" s="34" t="str">
        <f t="shared" si="11"/>
        <v/>
      </c>
    </row>
    <row r="732" spans="1:1" x14ac:dyDescent="0.2">
      <c r="A732" s="34" t="str">
        <f t="shared" si="11"/>
        <v/>
      </c>
    </row>
    <row r="733" spans="1:1" x14ac:dyDescent="0.2">
      <c r="A733" s="34" t="str">
        <f t="shared" si="11"/>
        <v/>
      </c>
    </row>
    <row r="734" spans="1:1" x14ac:dyDescent="0.2">
      <c r="A734" s="34" t="str">
        <f t="shared" si="11"/>
        <v/>
      </c>
    </row>
    <row r="735" spans="1:1" x14ac:dyDescent="0.2">
      <c r="A735" s="34" t="str">
        <f t="shared" si="11"/>
        <v/>
      </c>
    </row>
    <row r="736" spans="1:1" x14ac:dyDescent="0.2">
      <c r="A736" s="34" t="str">
        <f t="shared" si="11"/>
        <v/>
      </c>
    </row>
    <row r="737" spans="1:1" x14ac:dyDescent="0.2">
      <c r="A737" s="34" t="str">
        <f t="shared" si="11"/>
        <v/>
      </c>
    </row>
    <row r="738" spans="1:1" x14ac:dyDescent="0.2">
      <c r="A738" s="34" t="str">
        <f t="shared" si="11"/>
        <v/>
      </c>
    </row>
    <row r="739" spans="1:1" x14ac:dyDescent="0.2">
      <c r="A739" s="34" t="str">
        <f t="shared" si="11"/>
        <v/>
      </c>
    </row>
    <row r="740" spans="1:1" x14ac:dyDescent="0.2">
      <c r="A740" s="34" t="str">
        <f t="shared" si="11"/>
        <v/>
      </c>
    </row>
    <row r="741" spans="1:1" x14ac:dyDescent="0.2">
      <c r="A741" s="34" t="str">
        <f t="shared" si="11"/>
        <v/>
      </c>
    </row>
    <row r="742" spans="1:1" x14ac:dyDescent="0.2">
      <c r="A742" s="34" t="str">
        <f t="shared" si="11"/>
        <v/>
      </c>
    </row>
    <row r="743" spans="1:1" x14ac:dyDescent="0.2">
      <c r="A743" s="34" t="str">
        <f t="shared" si="11"/>
        <v/>
      </c>
    </row>
    <row r="744" spans="1:1" x14ac:dyDescent="0.2">
      <c r="A744" s="34" t="str">
        <f t="shared" si="11"/>
        <v/>
      </c>
    </row>
    <row r="745" spans="1:1" x14ac:dyDescent="0.2">
      <c r="A745" s="34" t="str">
        <f t="shared" si="11"/>
        <v/>
      </c>
    </row>
    <row r="746" spans="1:1" x14ac:dyDescent="0.2">
      <c r="A746" s="34" t="str">
        <f t="shared" si="11"/>
        <v/>
      </c>
    </row>
    <row r="747" spans="1:1" x14ac:dyDescent="0.2">
      <c r="A747" s="34" t="str">
        <f t="shared" si="11"/>
        <v/>
      </c>
    </row>
    <row r="748" spans="1:1" x14ac:dyDescent="0.2">
      <c r="A748" s="34" t="str">
        <f t="shared" si="11"/>
        <v/>
      </c>
    </row>
    <row r="749" spans="1:1" x14ac:dyDescent="0.2">
      <c r="A749" s="34" t="str">
        <f t="shared" si="11"/>
        <v/>
      </c>
    </row>
    <row r="750" spans="1:1" x14ac:dyDescent="0.2">
      <c r="A750" s="34" t="str">
        <f t="shared" si="11"/>
        <v/>
      </c>
    </row>
    <row r="751" spans="1:1" x14ac:dyDescent="0.2">
      <c r="A751" s="34" t="str">
        <f t="shared" si="11"/>
        <v/>
      </c>
    </row>
    <row r="752" spans="1:1" x14ac:dyDescent="0.2">
      <c r="A752" s="34" t="str">
        <f t="shared" si="11"/>
        <v/>
      </c>
    </row>
    <row r="753" spans="1:1" x14ac:dyDescent="0.2">
      <c r="A753" s="34" t="str">
        <f t="shared" si="11"/>
        <v/>
      </c>
    </row>
    <row r="754" spans="1:1" x14ac:dyDescent="0.2">
      <c r="A754" s="34" t="str">
        <f t="shared" si="11"/>
        <v/>
      </c>
    </row>
    <row r="755" spans="1:1" x14ac:dyDescent="0.2">
      <c r="A755" s="34" t="str">
        <f t="shared" si="11"/>
        <v/>
      </c>
    </row>
    <row r="756" spans="1:1" x14ac:dyDescent="0.2">
      <c r="A756" s="34" t="str">
        <f t="shared" si="11"/>
        <v/>
      </c>
    </row>
    <row r="757" spans="1:1" x14ac:dyDescent="0.2">
      <c r="A757" s="34" t="str">
        <f t="shared" si="11"/>
        <v/>
      </c>
    </row>
    <row r="758" spans="1:1" x14ac:dyDescent="0.2">
      <c r="A758" s="34" t="str">
        <f t="shared" si="11"/>
        <v/>
      </c>
    </row>
    <row r="759" spans="1:1" x14ac:dyDescent="0.2">
      <c r="A759" s="34" t="str">
        <f t="shared" si="11"/>
        <v/>
      </c>
    </row>
    <row r="760" spans="1:1" x14ac:dyDescent="0.2">
      <c r="A760" s="34" t="str">
        <f t="shared" si="11"/>
        <v/>
      </c>
    </row>
    <row r="761" spans="1:1" x14ac:dyDescent="0.2">
      <c r="A761" s="34" t="str">
        <f t="shared" si="11"/>
        <v/>
      </c>
    </row>
    <row r="762" spans="1:1" x14ac:dyDescent="0.2">
      <c r="A762" s="34" t="str">
        <f t="shared" si="11"/>
        <v/>
      </c>
    </row>
    <row r="763" spans="1:1" x14ac:dyDescent="0.2">
      <c r="A763" s="34" t="str">
        <f t="shared" si="11"/>
        <v/>
      </c>
    </row>
    <row r="764" spans="1:1" x14ac:dyDescent="0.2">
      <c r="A764" s="34" t="str">
        <f t="shared" si="11"/>
        <v/>
      </c>
    </row>
    <row r="765" spans="1:1" x14ac:dyDescent="0.2">
      <c r="A765" s="34" t="str">
        <f t="shared" si="11"/>
        <v/>
      </c>
    </row>
    <row r="766" spans="1:1" x14ac:dyDescent="0.2">
      <c r="A766" s="34" t="str">
        <f t="shared" si="11"/>
        <v/>
      </c>
    </row>
    <row r="767" spans="1:1" x14ac:dyDescent="0.2">
      <c r="A767" s="34" t="str">
        <f t="shared" si="11"/>
        <v/>
      </c>
    </row>
    <row r="768" spans="1:1" x14ac:dyDescent="0.2">
      <c r="A768" s="34" t="str">
        <f t="shared" si="11"/>
        <v/>
      </c>
    </row>
    <row r="769" spans="1:1" x14ac:dyDescent="0.2">
      <c r="A769" s="34" t="str">
        <f t="shared" si="11"/>
        <v/>
      </c>
    </row>
    <row r="770" spans="1:1" x14ac:dyDescent="0.2">
      <c r="A770" s="34" t="str">
        <f t="shared" si="11"/>
        <v/>
      </c>
    </row>
    <row r="771" spans="1:1" x14ac:dyDescent="0.2">
      <c r="A771" s="34" t="str">
        <f t="shared" ref="A771:A834" si="12">CONCATENATE(B771,C771,F771)</f>
        <v/>
      </c>
    </row>
    <row r="772" spans="1:1" x14ac:dyDescent="0.2">
      <c r="A772" s="34" t="str">
        <f t="shared" si="12"/>
        <v/>
      </c>
    </row>
    <row r="773" spans="1:1" x14ac:dyDescent="0.2">
      <c r="A773" s="34" t="str">
        <f t="shared" si="12"/>
        <v/>
      </c>
    </row>
    <row r="774" spans="1:1" x14ac:dyDescent="0.2">
      <c r="A774" s="34" t="str">
        <f t="shared" si="12"/>
        <v/>
      </c>
    </row>
    <row r="775" spans="1:1" x14ac:dyDescent="0.2">
      <c r="A775" s="34" t="str">
        <f t="shared" si="12"/>
        <v/>
      </c>
    </row>
    <row r="776" spans="1:1" x14ac:dyDescent="0.2">
      <c r="A776" s="34" t="str">
        <f t="shared" si="12"/>
        <v/>
      </c>
    </row>
    <row r="777" spans="1:1" x14ac:dyDescent="0.2">
      <c r="A777" s="34" t="str">
        <f t="shared" si="12"/>
        <v/>
      </c>
    </row>
    <row r="778" spans="1:1" x14ac:dyDescent="0.2">
      <c r="A778" s="34" t="str">
        <f t="shared" si="12"/>
        <v/>
      </c>
    </row>
    <row r="779" spans="1:1" x14ac:dyDescent="0.2">
      <c r="A779" s="34" t="str">
        <f t="shared" si="12"/>
        <v/>
      </c>
    </row>
    <row r="780" spans="1:1" x14ac:dyDescent="0.2">
      <c r="A780" s="34" t="str">
        <f t="shared" si="12"/>
        <v/>
      </c>
    </row>
    <row r="781" spans="1:1" x14ac:dyDescent="0.2">
      <c r="A781" s="34" t="str">
        <f t="shared" si="12"/>
        <v/>
      </c>
    </row>
    <row r="782" spans="1:1" x14ac:dyDescent="0.2">
      <c r="A782" s="34" t="str">
        <f t="shared" si="12"/>
        <v/>
      </c>
    </row>
    <row r="783" spans="1:1" x14ac:dyDescent="0.2">
      <c r="A783" s="34" t="str">
        <f t="shared" si="12"/>
        <v/>
      </c>
    </row>
    <row r="784" spans="1:1" x14ac:dyDescent="0.2">
      <c r="A784" s="34" t="str">
        <f t="shared" si="12"/>
        <v/>
      </c>
    </row>
    <row r="785" spans="1:1" x14ac:dyDescent="0.2">
      <c r="A785" s="34" t="str">
        <f t="shared" si="12"/>
        <v/>
      </c>
    </row>
    <row r="786" spans="1:1" x14ac:dyDescent="0.2">
      <c r="A786" s="34" t="str">
        <f t="shared" si="12"/>
        <v/>
      </c>
    </row>
    <row r="787" spans="1:1" x14ac:dyDescent="0.2">
      <c r="A787" s="34" t="str">
        <f t="shared" si="12"/>
        <v/>
      </c>
    </row>
    <row r="788" spans="1:1" x14ac:dyDescent="0.2">
      <c r="A788" s="34" t="str">
        <f t="shared" si="12"/>
        <v/>
      </c>
    </row>
    <row r="789" spans="1:1" x14ac:dyDescent="0.2">
      <c r="A789" s="34" t="str">
        <f t="shared" si="12"/>
        <v/>
      </c>
    </row>
    <row r="790" spans="1:1" x14ac:dyDescent="0.2">
      <c r="A790" s="34" t="str">
        <f t="shared" si="12"/>
        <v/>
      </c>
    </row>
    <row r="791" spans="1:1" x14ac:dyDescent="0.2">
      <c r="A791" s="34" t="str">
        <f t="shared" si="12"/>
        <v/>
      </c>
    </row>
    <row r="792" spans="1:1" x14ac:dyDescent="0.2">
      <c r="A792" s="34" t="str">
        <f t="shared" si="12"/>
        <v/>
      </c>
    </row>
    <row r="793" spans="1:1" x14ac:dyDescent="0.2">
      <c r="A793" s="34" t="str">
        <f t="shared" si="12"/>
        <v/>
      </c>
    </row>
    <row r="794" spans="1:1" x14ac:dyDescent="0.2">
      <c r="A794" s="34" t="str">
        <f t="shared" si="12"/>
        <v/>
      </c>
    </row>
    <row r="795" spans="1:1" x14ac:dyDescent="0.2">
      <c r="A795" s="34" t="str">
        <f t="shared" si="12"/>
        <v/>
      </c>
    </row>
    <row r="796" spans="1:1" x14ac:dyDescent="0.2">
      <c r="A796" s="34" t="str">
        <f t="shared" si="12"/>
        <v/>
      </c>
    </row>
    <row r="797" spans="1:1" x14ac:dyDescent="0.2">
      <c r="A797" s="34" t="str">
        <f t="shared" si="12"/>
        <v/>
      </c>
    </row>
    <row r="798" spans="1:1" x14ac:dyDescent="0.2">
      <c r="A798" s="34" t="str">
        <f t="shared" si="12"/>
        <v/>
      </c>
    </row>
    <row r="799" spans="1:1" x14ac:dyDescent="0.2">
      <c r="A799" s="34" t="str">
        <f t="shared" si="12"/>
        <v/>
      </c>
    </row>
    <row r="800" spans="1:1" x14ac:dyDescent="0.2">
      <c r="A800" s="34" t="str">
        <f t="shared" si="12"/>
        <v/>
      </c>
    </row>
    <row r="801" spans="1:1" x14ac:dyDescent="0.2">
      <c r="A801" s="34" t="str">
        <f t="shared" si="12"/>
        <v/>
      </c>
    </row>
    <row r="802" spans="1:1" x14ac:dyDescent="0.2">
      <c r="A802" s="34" t="str">
        <f t="shared" si="12"/>
        <v/>
      </c>
    </row>
    <row r="803" spans="1:1" x14ac:dyDescent="0.2">
      <c r="A803" s="34" t="str">
        <f t="shared" si="12"/>
        <v/>
      </c>
    </row>
    <row r="804" spans="1:1" x14ac:dyDescent="0.2">
      <c r="A804" s="34" t="str">
        <f t="shared" si="12"/>
        <v/>
      </c>
    </row>
    <row r="805" spans="1:1" x14ac:dyDescent="0.2">
      <c r="A805" s="34" t="str">
        <f t="shared" si="12"/>
        <v/>
      </c>
    </row>
    <row r="806" spans="1:1" x14ac:dyDescent="0.2">
      <c r="A806" s="34" t="str">
        <f t="shared" si="12"/>
        <v/>
      </c>
    </row>
    <row r="807" spans="1:1" x14ac:dyDescent="0.2">
      <c r="A807" s="34" t="str">
        <f t="shared" si="12"/>
        <v/>
      </c>
    </row>
    <row r="808" spans="1:1" x14ac:dyDescent="0.2">
      <c r="A808" s="34" t="str">
        <f t="shared" si="12"/>
        <v/>
      </c>
    </row>
    <row r="809" spans="1:1" x14ac:dyDescent="0.2">
      <c r="A809" s="34" t="str">
        <f t="shared" si="12"/>
        <v/>
      </c>
    </row>
    <row r="810" spans="1:1" x14ac:dyDescent="0.2">
      <c r="A810" s="34" t="str">
        <f t="shared" si="12"/>
        <v/>
      </c>
    </row>
    <row r="811" spans="1:1" x14ac:dyDescent="0.2">
      <c r="A811" s="34" t="str">
        <f t="shared" si="12"/>
        <v/>
      </c>
    </row>
    <row r="812" spans="1:1" x14ac:dyDescent="0.2">
      <c r="A812" s="34" t="str">
        <f t="shared" si="12"/>
        <v/>
      </c>
    </row>
    <row r="813" spans="1:1" x14ac:dyDescent="0.2">
      <c r="A813" s="34" t="str">
        <f t="shared" si="12"/>
        <v/>
      </c>
    </row>
    <row r="814" spans="1:1" x14ac:dyDescent="0.2">
      <c r="A814" s="34" t="str">
        <f t="shared" si="12"/>
        <v/>
      </c>
    </row>
    <row r="815" spans="1:1" x14ac:dyDescent="0.2">
      <c r="A815" s="34" t="str">
        <f t="shared" si="12"/>
        <v/>
      </c>
    </row>
    <row r="816" spans="1:1" x14ac:dyDescent="0.2">
      <c r="A816" s="34" t="str">
        <f t="shared" si="12"/>
        <v/>
      </c>
    </row>
    <row r="817" spans="1:1" x14ac:dyDescent="0.2">
      <c r="A817" s="34" t="str">
        <f t="shared" si="12"/>
        <v/>
      </c>
    </row>
    <row r="818" spans="1:1" x14ac:dyDescent="0.2">
      <c r="A818" s="34" t="str">
        <f t="shared" si="12"/>
        <v/>
      </c>
    </row>
    <row r="819" spans="1:1" x14ac:dyDescent="0.2">
      <c r="A819" s="34" t="str">
        <f t="shared" si="12"/>
        <v/>
      </c>
    </row>
    <row r="820" spans="1:1" x14ac:dyDescent="0.2">
      <c r="A820" s="34" t="str">
        <f t="shared" si="12"/>
        <v/>
      </c>
    </row>
    <row r="821" spans="1:1" x14ac:dyDescent="0.2">
      <c r="A821" s="34" t="str">
        <f t="shared" si="12"/>
        <v/>
      </c>
    </row>
    <row r="822" spans="1:1" x14ac:dyDescent="0.2">
      <c r="A822" s="34" t="str">
        <f t="shared" si="12"/>
        <v/>
      </c>
    </row>
    <row r="823" spans="1:1" x14ac:dyDescent="0.2">
      <c r="A823" s="34" t="str">
        <f t="shared" si="12"/>
        <v/>
      </c>
    </row>
    <row r="824" spans="1:1" x14ac:dyDescent="0.2">
      <c r="A824" s="34" t="str">
        <f t="shared" si="12"/>
        <v/>
      </c>
    </row>
    <row r="825" spans="1:1" x14ac:dyDescent="0.2">
      <c r="A825" s="34" t="str">
        <f t="shared" si="12"/>
        <v/>
      </c>
    </row>
    <row r="826" spans="1:1" x14ac:dyDescent="0.2">
      <c r="A826" s="34" t="str">
        <f t="shared" si="12"/>
        <v/>
      </c>
    </row>
    <row r="827" spans="1:1" x14ac:dyDescent="0.2">
      <c r="A827" s="34" t="str">
        <f t="shared" si="12"/>
        <v/>
      </c>
    </row>
    <row r="828" spans="1:1" x14ac:dyDescent="0.2">
      <c r="A828" s="34" t="str">
        <f t="shared" si="12"/>
        <v/>
      </c>
    </row>
    <row r="829" spans="1:1" x14ac:dyDescent="0.2">
      <c r="A829" s="34" t="str">
        <f t="shared" si="12"/>
        <v/>
      </c>
    </row>
    <row r="830" spans="1:1" x14ac:dyDescent="0.2">
      <c r="A830" s="34" t="str">
        <f t="shared" si="12"/>
        <v/>
      </c>
    </row>
    <row r="831" spans="1:1" x14ac:dyDescent="0.2">
      <c r="A831" s="34" t="str">
        <f t="shared" si="12"/>
        <v/>
      </c>
    </row>
    <row r="832" spans="1:1" x14ac:dyDescent="0.2">
      <c r="A832" s="34" t="str">
        <f t="shared" si="12"/>
        <v/>
      </c>
    </row>
    <row r="833" spans="1:1" x14ac:dyDescent="0.2">
      <c r="A833" s="34" t="str">
        <f t="shared" si="12"/>
        <v/>
      </c>
    </row>
    <row r="834" spans="1:1" x14ac:dyDescent="0.2">
      <c r="A834" s="34" t="str">
        <f t="shared" si="12"/>
        <v/>
      </c>
    </row>
    <row r="835" spans="1:1" x14ac:dyDescent="0.2">
      <c r="A835" s="34" t="str">
        <f t="shared" ref="A835:A898" si="13">CONCATENATE(B835,C835,F835)</f>
        <v/>
      </c>
    </row>
    <row r="836" spans="1:1" x14ac:dyDescent="0.2">
      <c r="A836" s="34" t="str">
        <f t="shared" si="13"/>
        <v/>
      </c>
    </row>
    <row r="837" spans="1:1" x14ac:dyDescent="0.2">
      <c r="A837" s="34" t="str">
        <f t="shared" si="13"/>
        <v/>
      </c>
    </row>
    <row r="838" spans="1:1" x14ac:dyDescent="0.2">
      <c r="A838" s="34" t="str">
        <f t="shared" si="13"/>
        <v/>
      </c>
    </row>
    <row r="839" spans="1:1" x14ac:dyDescent="0.2">
      <c r="A839" s="34" t="str">
        <f t="shared" si="13"/>
        <v/>
      </c>
    </row>
    <row r="840" spans="1:1" x14ac:dyDescent="0.2">
      <c r="A840" s="34" t="str">
        <f t="shared" si="13"/>
        <v/>
      </c>
    </row>
    <row r="841" spans="1:1" x14ac:dyDescent="0.2">
      <c r="A841" s="34" t="str">
        <f t="shared" si="13"/>
        <v/>
      </c>
    </row>
    <row r="842" spans="1:1" x14ac:dyDescent="0.2">
      <c r="A842" s="34" t="str">
        <f t="shared" si="13"/>
        <v/>
      </c>
    </row>
    <row r="843" spans="1:1" x14ac:dyDescent="0.2">
      <c r="A843" s="34" t="str">
        <f t="shared" si="13"/>
        <v/>
      </c>
    </row>
    <row r="844" spans="1:1" x14ac:dyDescent="0.2">
      <c r="A844" s="34" t="str">
        <f t="shared" si="13"/>
        <v/>
      </c>
    </row>
    <row r="845" spans="1:1" x14ac:dyDescent="0.2">
      <c r="A845" s="34" t="str">
        <f t="shared" si="13"/>
        <v/>
      </c>
    </row>
    <row r="846" spans="1:1" x14ac:dyDescent="0.2">
      <c r="A846" s="34" t="str">
        <f t="shared" si="13"/>
        <v/>
      </c>
    </row>
    <row r="847" spans="1:1" x14ac:dyDescent="0.2">
      <c r="A847" s="34" t="str">
        <f t="shared" si="13"/>
        <v/>
      </c>
    </row>
    <row r="848" spans="1:1" x14ac:dyDescent="0.2">
      <c r="A848" s="34" t="str">
        <f t="shared" si="13"/>
        <v/>
      </c>
    </row>
    <row r="849" spans="1:1" x14ac:dyDescent="0.2">
      <c r="A849" s="34" t="str">
        <f t="shared" si="13"/>
        <v/>
      </c>
    </row>
    <row r="850" spans="1:1" x14ac:dyDescent="0.2">
      <c r="A850" s="34" t="str">
        <f t="shared" si="13"/>
        <v/>
      </c>
    </row>
    <row r="851" spans="1:1" x14ac:dyDescent="0.2">
      <c r="A851" s="34" t="str">
        <f t="shared" si="13"/>
        <v/>
      </c>
    </row>
    <row r="852" spans="1:1" x14ac:dyDescent="0.2">
      <c r="A852" s="34" t="str">
        <f t="shared" si="13"/>
        <v/>
      </c>
    </row>
    <row r="853" spans="1:1" x14ac:dyDescent="0.2">
      <c r="A853" s="34" t="str">
        <f t="shared" si="13"/>
        <v/>
      </c>
    </row>
    <row r="854" spans="1:1" x14ac:dyDescent="0.2">
      <c r="A854" s="34" t="str">
        <f t="shared" si="13"/>
        <v/>
      </c>
    </row>
    <row r="855" spans="1:1" x14ac:dyDescent="0.2">
      <c r="A855" s="34" t="str">
        <f t="shared" si="13"/>
        <v/>
      </c>
    </row>
    <row r="856" spans="1:1" x14ac:dyDescent="0.2">
      <c r="A856" s="34" t="str">
        <f t="shared" si="13"/>
        <v/>
      </c>
    </row>
    <row r="857" spans="1:1" x14ac:dyDescent="0.2">
      <c r="A857" s="34" t="str">
        <f t="shared" si="13"/>
        <v/>
      </c>
    </row>
    <row r="858" spans="1:1" x14ac:dyDescent="0.2">
      <c r="A858" s="34" t="str">
        <f t="shared" si="13"/>
        <v/>
      </c>
    </row>
    <row r="859" spans="1:1" x14ac:dyDescent="0.2">
      <c r="A859" s="34" t="str">
        <f t="shared" si="13"/>
        <v/>
      </c>
    </row>
    <row r="860" spans="1:1" x14ac:dyDescent="0.2">
      <c r="A860" s="34" t="str">
        <f t="shared" si="13"/>
        <v/>
      </c>
    </row>
    <row r="861" spans="1:1" x14ac:dyDescent="0.2">
      <c r="A861" s="34" t="str">
        <f t="shared" si="13"/>
        <v/>
      </c>
    </row>
    <row r="862" spans="1:1" x14ac:dyDescent="0.2">
      <c r="A862" s="34" t="str">
        <f t="shared" si="13"/>
        <v/>
      </c>
    </row>
    <row r="863" spans="1:1" x14ac:dyDescent="0.2">
      <c r="A863" s="34" t="str">
        <f t="shared" si="13"/>
        <v/>
      </c>
    </row>
    <row r="864" spans="1:1" x14ac:dyDescent="0.2">
      <c r="A864" s="34" t="str">
        <f t="shared" si="13"/>
        <v/>
      </c>
    </row>
    <row r="865" spans="1:1" x14ac:dyDescent="0.2">
      <c r="A865" s="34" t="str">
        <f t="shared" si="13"/>
        <v/>
      </c>
    </row>
    <row r="866" spans="1:1" x14ac:dyDescent="0.2">
      <c r="A866" s="34" t="str">
        <f t="shared" si="13"/>
        <v/>
      </c>
    </row>
    <row r="867" spans="1:1" x14ac:dyDescent="0.2">
      <c r="A867" s="34" t="str">
        <f t="shared" si="13"/>
        <v/>
      </c>
    </row>
    <row r="868" spans="1:1" x14ac:dyDescent="0.2">
      <c r="A868" s="34" t="str">
        <f t="shared" si="13"/>
        <v/>
      </c>
    </row>
    <row r="869" spans="1:1" x14ac:dyDescent="0.2">
      <c r="A869" s="34" t="str">
        <f t="shared" si="13"/>
        <v/>
      </c>
    </row>
    <row r="870" spans="1:1" x14ac:dyDescent="0.2">
      <c r="A870" s="34" t="str">
        <f t="shared" si="13"/>
        <v/>
      </c>
    </row>
    <row r="871" spans="1:1" x14ac:dyDescent="0.2">
      <c r="A871" s="34" t="str">
        <f t="shared" si="13"/>
        <v/>
      </c>
    </row>
    <row r="872" spans="1:1" x14ac:dyDescent="0.2">
      <c r="A872" s="34" t="str">
        <f t="shared" si="13"/>
        <v/>
      </c>
    </row>
    <row r="873" spans="1:1" x14ac:dyDescent="0.2">
      <c r="A873" s="34" t="str">
        <f t="shared" si="13"/>
        <v/>
      </c>
    </row>
    <row r="874" spans="1:1" x14ac:dyDescent="0.2">
      <c r="A874" s="34" t="str">
        <f t="shared" si="13"/>
        <v/>
      </c>
    </row>
    <row r="875" spans="1:1" x14ac:dyDescent="0.2">
      <c r="A875" s="34" t="str">
        <f t="shared" si="13"/>
        <v/>
      </c>
    </row>
    <row r="876" spans="1:1" x14ac:dyDescent="0.2">
      <c r="A876" s="34" t="str">
        <f t="shared" si="13"/>
        <v/>
      </c>
    </row>
    <row r="877" spans="1:1" x14ac:dyDescent="0.2">
      <c r="A877" s="34" t="str">
        <f t="shared" si="13"/>
        <v/>
      </c>
    </row>
    <row r="878" spans="1:1" x14ac:dyDescent="0.2">
      <c r="A878" s="34" t="str">
        <f t="shared" si="13"/>
        <v/>
      </c>
    </row>
    <row r="879" spans="1:1" x14ac:dyDescent="0.2">
      <c r="A879" s="34" t="str">
        <f t="shared" si="13"/>
        <v/>
      </c>
    </row>
    <row r="880" spans="1:1" x14ac:dyDescent="0.2">
      <c r="A880" s="34" t="str">
        <f t="shared" si="13"/>
        <v/>
      </c>
    </row>
    <row r="881" spans="1:1" x14ac:dyDescent="0.2">
      <c r="A881" s="34" t="str">
        <f t="shared" si="13"/>
        <v/>
      </c>
    </row>
    <row r="882" spans="1:1" x14ac:dyDescent="0.2">
      <c r="A882" s="34" t="str">
        <f t="shared" si="13"/>
        <v/>
      </c>
    </row>
    <row r="883" spans="1:1" x14ac:dyDescent="0.2">
      <c r="A883" s="34" t="str">
        <f t="shared" si="13"/>
        <v/>
      </c>
    </row>
    <row r="884" spans="1:1" x14ac:dyDescent="0.2">
      <c r="A884" s="34" t="str">
        <f t="shared" si="13"/>
        <v/>
      </c>
    </row>
    <row r="885" spans="1:1" x14ac:dyDescent="0.2">
      <c r="A885" s="34" t="str">
        <f t="shared" si="13"/>
        <v/>
      </c>
    </row>
    <row r="886" spans="1:1" x14ac:dyDescent="0.2">
      <c r="A886" s="34" t="str">
        <f t="shared" si="13"/>
        <v/>
      </c>
    </row>
    <row r="887" spans="1:1" x14ac:dyDescent="0.2">
      <c r="A887" s="34" t="str">
        <f t="shared" si="13"/>
        <v/>
      </c>
    </row>
    <row r="888" spans="1:1" x14ac:dyDescent="0.2">
      <c r="A888" s="34" t="str">
        <f t="shared" si="13"/>
        <v/>
      </c>
    </row>
    <row r="889" spans="1:1" x14ac:dyDescent="0.2">
      <c r="A889" s="34" t="str">
        <f t="shared" si="13"/>
        <v/>
      </c>
    </row>
    <row r="890" spans="1:1" x14ac:dyDescent="0.2">
      <c r="A890" s="34" t="str">
        <f t="shared" si="13"/>
        <v/>
      </c>
    </row>
    <row r="891" spans="1:1" x14ac:dyDescent="0.2">
      <c r="A891" s="34" t="str">
        <f t="shared" si="13"/>
        <v/>
      </c>
    </row>
    <row r="892" spans="1:1" x14ac:dyDescent="0.2">
      <c r="A892" s="34" t="str">
        <f t="shared" si="13"/>
        <v/>
      </c>
    </row>
    <row r="893" spans="1:1" x14ac:dyDescent="0.2">
      <c r="A893" s="34" t="str">
        <f t="shared" si="13"/>
        <v/>
      </c>
    </row>
    <row r="894" spans="1:1" x14ac:dyDescent="0.2">
      <c r="A894" s="34" t="str">
        <f t="shared" si="13"/>
        <v/>
      </c>
    </row>
    <row r="895" spans="1:1" x14ac:dyDescent="0.2">
      <c r="A895" s="34" t="str">
        <f t="shared" si="13"/>
        <v/>
      </c>
    </row>
    <row r="896" spans="1:1" x14ac:dyDescent="0.2">
      <c r="A896" s="34" t="str">
        <f t="shared" si="13"/>
        <v/>
      </c>
    </row>
    <row r="897" spans="1:1" x14ac:dyDescent="0.2">
      <c r="A897" s="34" t="str">
        <f t="shared" si="13"/>
        <v/>
      </c>
    </row>
    <row r="898" spans="1:1" x14ac:dyDescent="0.2">
      <c r="A898" s="34" t="str">
        <f t="shared" si="13"/>
        <v/>
      </c>
    </row>
    <row r="899" spans="1:1" x14ac:dyDescent="0.2">
      <c r="A899" s="34" t="str">
        <f t="shared" ref="A899:A962" si="14">CONCATENATE(B899,C899,F899)</f>
        <v/>
      </c>
    </row>
    <row r="900" spans="1:1" x14ac:dyDescent="0.2">
      <c r="A900" s="34" t="str">
        <f t="shared" si="14"/>
        <v/>
      </c>
    </row>
    <row r="901" spans="1:1" x14ac:dyDescent="0.2">
      <c r="A901" s="34" t="str">
        <f t="shared" si="14"/>
        <v/>
      </c>
    </row>
    <row r="902" spans="1:1" x14ac:dyDescent="0.2">
      <c r="A902" s="34" t="str">
        <f t="shared" si="14"/>
        <v/>
      </c>
    </row>
    <row r="903" spans="1:1" x14ac:dyDescent="0.2">
      <c r="A903" s="34" t="str">
        <f t="shared" si="14"/>
        <v/>
      </c>
    </row>
    <row r="904" spans="1:1" x14ac:dyDescent="0.2">
      <c r="A904" s="34" t="str">
        <f t="shared" si="14"/>
        <v/>
      </c>
    </row>
    <row r="905" spans="1:1" x14ac:dyDescent="0.2">
      <c r="A905" s="34" t="str">
        <f t="shared" si="14"/>
        <v/>
      </c>
    </row>
    <row r="906" spans="1:1" x14ac:dyDescent="0.2">
      <c r="A906" s="34" t="str">
        <f t="shared" si="14"/>
        <v/>
      </c>
    </row>
    <row r="907" spans="1:1" x14ac:dyDescent="0.2">
      <c r="A907" s="34" t="str">
        <f t="shared" si="14"/>
        <v/>
      </c>
    </row>
    <row r="908" spans="1:1" x14ac:dyDescent="0.2">
      <c r="A908" s="34" t="str">
        <f t="shared" si="14"/>
        <v/>
      </c>
    </row>
    <row r="909" spans="1:1" x14ac:dyDescent="0.2">
      <c r="A909" s="34" t="str">
        <f t="shared" si="14"/>
        <v/>
      </c>
    </row>
    <row r="910" spans="1:1" x14ac:dyDescent="0.2">
      <c r="A910" s="34" t="str">
        <f t="shared" si="14"/>
        <v/>
      </c>
    </row>
    <row r="911" spans="1:1" x14ac:dyDescent="0.2">
      <c r="A911" s="34" t="str">
        <f t="shared" si="14"/>
        <v/>
      </c>
    </row>
    <row r="912" spans="1:1" x14ac:dyDescent="0.2">
      <c r="A912" s="34" t="str">
        <f t="shared" si="14"/>
        <v/>
      </c>
    </row>
    <row r="913" spans="1:1" x14ac:dyDescent="0.2">
      <c r="A913" s="34" t="str">
        <f t="shared" si="14"/>
        <v/>
      </c>
    </row>
    <row r="914" spans="1:1" x14ac:dyDescent="0.2">
      <c r="A914" s="34" t="str">
        <f t="shared" si="14"/>
        <v/>
      </c>
    </row>
    <row r="915" spans="1:1" x14ac:dyDescent="0.2">
      <c r="A915" s="34" t="str">
        <f t="shared" si="14"/>
        <v/>
      </c>
    </row>
    <row r="916" spans="1:1" x14ac:dyDescent="0.2">
      <c r="A916" s="34" t="str">
        <f t="shared" si="14"/>
        <v/>
      </c>
    </row>
    <row r="917" spans="1:1" x14ac:dyDescent="0.2">
      <c r="A917" s="34" t="str">
        <f t="shared" si="14"/>
        <v/>
      </c>
    </row>
    <row r="918" spans="1:1" x14ac:dyDescent="0.2">
      <c r="A918" s="34" t="str">
        <f t="shared" si="14"/>
        <v/>
      </c>
    </row>
    <row r="919" spans="1:1" x14ac:dyDescent="0.2">
      <c r="A919" s="34" t="str">
        <f t="shared" si="14"/>
        <v/>
      </c>
    </row>
    <row r="920" spans="1:1" x14ac:dyDescent="0.2">
      <c r="A920" s="34" t="str">
        <f t="shared" si="14"/>
        <v/>
      </c>
    </row>
    <row r="921" spans="1:1" x14ac:dyDescent="0.2">
      <c r="A921" s="34" t="str">
        <f t="shared" si="14"/>
        <v/>
      </c>
    </row>
    <row r="922" spans="1:1" x14ac:dyDescent="0.2">
      <c r="A922" s="34" t="str">
        <f t="shared" si="14"/>
        <v/>
      </c>
    </row>
    <row r="923" spans="1:1" x14ac:dyDescent="0.2">
      <c r="A923" s="34" t="str">
        <f t="shared" si="14"/>
        <v/>
      </c>
    </row>
    <row r="924" spans="1:1" x14ac:dyDescent="0.2">
      <c r="A924" s="34" t="str">
        <f t="shared" si="14"/>
        <v/>
      </c>
    </row>
    <row r="925" spans="1:1" x14ac:dyDescent="0.2">
      <c r="A925" s="34" t="str">
        <f t="shared" si="14"/>
        <v/>
      </c>
    </row>
    <row r="926" spans="1:1" x14ac:dyDescent="0.2">
      <c r="A926" s="34" t="str">
        <f t="shared" si="14"/>
        <v/>
      </c>
    </row>
    <row r="927" spans="1:1" x14ac:dyDescent="0.2">
      <c r="A927" s="34" t="str">
        <f t="shared" si="14"/>
        <v/>
      </c>
    </row>
    <row r="928" spans="1:1" x14ac:dyDescent="0.2">
      <c r="A928" s="34" t="str">
        <f t="shared" si="14"/>
        <v/>
      </c>
    </row>
    <row r="929" spans="1:1" x14ac:dyDescent="0.2">
      <c r="A929" s="34" t="str">
        <f t="shared" si="14"/>
        <v/>
      </c>
    </row>
    <row r="930" spans="1:1" x14ac:dyDescent="0.2">
      <c r="A930" s="34" t="str">
        <f t="shared" si="14"/>
        <v/>
      </c>
    </row>
    <row r="931" spans="1:1" x14ac:dyDescent="0.2">
      <c r="A931" s="34" t="str">
        <f t="shared" si="14"/>
        <v/>
      </c>
    </row>
    <row r="932" spans="1:1" x14ac:dyDescent="0.2">
      <c r="A932" s="34" t="str">
        <f t="shared" si="14"/>
        <v/>
      </c>
    </row>
    <row r="933" spans="1:1" x14ac:dyDescent="0.2">
      <c r="A933" s="34" t="str">
        <f t="shared" si="14"/>
        <v/>
      </c>
    </row>
    <row r="934" spans="1:1" x14ac:dyDescent="0.2">
      <c r="A934" s="34" t="str">
        <f t="shared" si="14"/>
        <v/>
      </c>
    </row>
    <row r="935" spans="1:1" x14ac:dyDescent="0.2">
      <c r="A935" s="34" t="str">
        <f t="shared" si="14"/>
        <v/>
      </c>
    </row>
    <row r="936" spans="1:1" x14ac:dyDescent="0.2">
      <c r="A936" s="34" t="str">
        <f t="shared" si="14"/>
        <v/>
      </c>
    </row>
    <row r="937" spans="1:1" x14ac:dyDescent="0.2">
      <c r="A937" s="34" t="str">
        <f t="shared" si="14"/>
        <v/>
      </c>
    </row>
    <row r="938" spans="1:1" x14ac:dyDescent="0.2">
      <c r="A938" s="34" t="str">
        <f t="shared" si="14"/>
        <v/>
      </c>
    </row>
    <row r="939" spans="1:1" x14ac:dyDescent="0.2">
      <c r="A939" s="34" t="str">
        <f t="shared" si="14"/>
        <v/>
      </c>
    </row>
    <row r="940" spans="1:1" x14ac:dyDescent="0.2">
      <c r="A940" s="34" t="str">
        <f t="shared" si="14"/>
        <v/>
      </c>
    </row>
    <row r="941" spans="1:1" x14ac:dyDescent="0.2">
      <c r="A941" s="34" t="str">
        <f t="shared" si="14"/>
        <v/>
      </c>
    </row>
    <row r="942" spans="1:1" x14ac:dyDescent="0.2">
      <c r="A942" s="34" t="str">
        <f t="shared" si="14"/>
        <v/>
      </c>
    </row>
    <row r="943" spans="1:1" x14ac:dyDescent="0.2">
      <c r="A943" s="34" t="str">
        <f t="shared" si="14"/>
        <v/>
      </c>
    </row>
    <row r="944" spans="1:1" x14ac:dyDescent="0.2">
      <c r="A944" s="34" t="str">
        <f t="shared" si="14"/>
        <v/>
      </c>
    </row>
    <row r="945" spans="1:1" x14ac:dyDescent="0.2">
      <c r="A945" s="34" t="str">
        <f t="shared" si="14"/>
        <v/>
      </c>
    </row>
    <row r="946" spans="1:1" x14ac:dyDescent="0.2">
      <c r="A946" s="34" t="str">
        <f t="shared" si="14"/>
        <v/>
      </c>
    </row>
    <row r="947" spans="1:1" x14ac:dyDescent="0.2">
      <c r="A947" s="34" t="str">
        <f t="shared" si="14"/>
        <v/>
      </c>
    </row>
    <row r="948" spans="1:1" x14ac:dyDescent="0.2">
      <c r="A948" s="34" t="str">
        <f t="shared" si="14"/>
        <v/>
      </c>
    </row>
    <row r="949" spans="1:1" x14ac:dyDescent="0.2">
      <c r="A949" s="34" t="str">
        <f t="shared" si="14"/>
        <v/>
      </c>
    </row>
    <row r="950" spans="1:1" x14ac:dyDescent="0.2">
      <c r="A950" s="34" t="str">
        <f t="shared" si="14"/>
        <v/>
      </c>
    </row>
    <row r="951" spans="1:1" x14ac:dyDescent="0.2">
      <c r="A951" s="34" t="str">
        <f t="shared" si="14"/>
        <v/>
      </c>
    </row>
    <row r="952" spans="1:1" x14ac:dyDescent="0.2">
      <c r="A952" s="34" t="str">
        <f t="shared" si="14"/>
        <v/>
      </c>
    </row>
    <row r="953" spans="1:1" x14ac:dyDescent="0.2">
      <c r="A953" s="34" t="str">
        <f t="shared" si="14"/>
        <v/>
      </c>
    </row>
    <row r="954" spans="1:1" x14ac:dyDescent="0.2">
      <c r="A954" s="34" t="str">
        <f t="shared" si="14"/>
        <v/>
      </c>
    </row>
    <row r="955" spans="1:1" x14ac:dyDescent="0.2">
      <c r="A955" s="34" t="str">
        <f t="shared" si="14"/>
        <v/>
      </c>
    </row>
    <row r="956" spans="1:1" x14ac:dyDescent="0.2">
      <c r="A956" s="34" t="str">
        <f t="shared" si="14"/>
        <v/>
      </c>
    </row>
    <row r="957" spans="1:1" x14ac:dyDescent="0.2">
      <c r="A957" s="34" t="str">
        <f t="shared" si="14"/>
        <v/>
      </c>
    </row>
    <row r="958" spans="1:1" x14ac:dyDescent="0.2">
      <c r="A958" s="34" t="str">
        <f t="shared" si="14"/>
        <v/>
      </c>
    </row>
    <row r="959" spans="1:1" x14ac:dyDescent="0.2">
      <c r="A959" s="34" t="str">
        <f t="shared" si="14"/>
        <v/>
      </c>
    </row>
    <row r="960" spans="1:1" x14ac:dyDescent="0.2">
      <c r="A960" s="34" t="str">
        <f t="shared" si="14"/>
        <v/>
      </c>
    </row>
    <row r="961" spans="1:1" x14ac:dyDescent="0.2">
      <c r="A961" s="34" t="str">
        <f t="shared" si="14"/>
        <v/>
      </c>
    </row>
    <row r="962" spans="1:1" x14ac:dyDescent="0.2">
      <c r="A962" s="34" t="str">
        <f t="shared" si="14"/>
        <v/>
      </c>
    </row>
    <row r="963" spans="1:1" x14ac:dyDescent="0.2">
      <c r="A963" s="34" t="str">
        <f t="shared" ref="A963:A1026" si="15">CONCATENATE(B963,C963,F963)</f>
        <v/>
      </c>
    </row>
    <row r="964" spans="1:1" x14ac:dyDescent="0.2">
      <c r="A964" s="34" t="str">
        <f t="shared" si="15"/>
        <v/>
      </c>
    </row>
    <row r="965" spans="1:1" x14ac:dyDescent="0.2">
      <c r="A965" s="34" t="str">
        <f t="shared" si="15"/>
        <v/>
      </c>
    </row>
    <row r="966" spans="1:1" x14ac:dyDescent="0.2">
      <c r="A966" s="34" t="str">
        <f t="shared" si="15"/>
        <v/>
      </c>
    </row>
    <row r="967" spans="1:1" x14ac:dyDescent="0.2">
      <c r="A967" s="34" t="str">
        <f t="shared" si="15"/>
        <v/>
      </c>
    </row>
    <row r="968" spans="1:1" x14ac:dyDescent="0.2">
      <c r="A968" s="34" t="str">
        <f t="shared" si="15"/>
        <v/>
      </c>
    </row>
    <row r="969" spans="1:1" x14ac:dyDescent="0.2">
      <c r="A969" s="34" t="str">
        <f t="shared" si="15"/>
        <v/>
      </c>
    </row>
    <row r="970" spans="1:1" x14ac:dyDescent="0.2">
      <c r="A970" s="34" t="str">
        <f t="shared" si="15"/>
        <v/>
      </c>
    </row>
    <row r="971" spans="1:1" x14ac:dyDescent="0.2">
      <c r="A971" s="34" t="str">
        <f t="shared" si="15"/>
        <v/>
      </c>
    </row>
    <row r="972" spans="1:1" x14ac:dyDescent="0.2">
      <c r="A972" s="34" t="str">
        <f t="shared" si="15"/>
        <v/>
      </c>
    </row>
    <row r="973" spans="1:1" x14ac:dyDescent="0.2">
      <c r="A973" s="34" t="str">
        <f t="shared" si="15"/>
        <v/>
      </c>
    </row>
    <row r="974" spans="1:1" x14ac:dyDescent="0.2">
      <c r="A974" s="34" t="str">
        <f t="shared" si="15"/>
        <v/>
      </c>
    </row>
    <row r="975" spans="1:1" x14ac:dyDescent="0.2">
      <c r="A975" s="34" t="str">
        <f t="shared" si="15"/>
        <v/>
      </c>
    </row>
    <row r="976" spans="1:1" x14ac:dyDescent="0.2">
      <c r="A976" s="34" t="str">
        <f t="shared" si="15"/>
        <v/>
      </c>
    </row>
    <row r="977" spans="1:1" x14ac:dyDescent="0.2">
      <c r="A977" s="34" t="str">
        <f t="shared" si="15"/>
        <v/>
      </c>
    </row>
    <row r="978" spans="1:1" x14ac:dyDescent="0.2">
      <c r="A978" s="34" t="str">
        <f t="shared" si="15"/>
        <v/>
      </c>
    </row>
    <row r="979" spans="1:1" x14ac:dyDescent="0.2">
      <c r="A979" s="34" t="str">
        <f t="shared" si="15"/>
        <v/>
      </c>
    </row>
    <row r="980" spans="1:1" x14ac:dyDescent="0.2">
      <c r="A980" s="34" t="str">
        <f t="shared" si="15"/>
        <v/>
      </c>
    </row>
    <row r="981" spans="1:1" x14ac:dyDescent="0.2">
      <c r="A981" s="34" t="str">
        <f t="shared" si="15"/>
        <v/>
      </c>
    </row>
    <row r="982" spans="1:1" x14ac:dyDescent="0.2">
      <c r="A982" s="34" t="str">
        <f t="shared" si="15"/>
        <v/>
      </c>
    </row>
    <row r="983" spans="1:1" x14ac:dyDescent="0.2">
      <c r="A983" s="34" t="str">
        <f t="shared" si="15"/>
        <v/>
      </c>
    </row>
    <row r="984" spans="1:1" x14ac:dyDescent="0.2">
      <c r="A984" s="34" t="str">
        <f t="shared" si="15"/>
        <v/>
      </c>
    </row>
    <row r="985" spans="1:1" x14ac:dyDescent="0.2">
      <c r="A985" s="34" t="str">
        <f t="shared" si="15"/>
        <v/>
      </c>
    </row>
    <row r="986" spans="1:1" x14ac:dyDescent="0.2">
      <c r="A986" s="34" t="str">
        <f t="shared" si="15"/>
        <v/>
      </c>
    </row>
    <row r="987" spans="1:1" x14ac:dyDescent="0.2">
      <c r="A987" s="34" t="str">
        <f t="shared" si="15"/>
        <v/>
      </c>
    </row>
    <row r="988" spans="1:1" x14ac:dyDescent="0.2">
      <c r="A988" s="34" t="str">
        <f t="shared" si="15"/>
        <v/>
      </c>
    </row>
    <row r="989" spans="1:1" x14ac:dyDescent="0.2">
      <c r="A989" s="34" t="str">
        <f t="shared" si="15"/>
        <v/>
      </c>
    </row>
    <row r="990" spans="1:1" x14ac:dyDescent="0.2">
      <c r="A990" s="34" t="str">
        <f t="shared" si="15"/>
        <v/>
      </c>
    </row>
    <row r="991" spans="1:1" x14ac:dyDescent="0.2">
      <c r="A991" s="34" t="str">
        <f t="shared" si="15"/>
        <v/>
      </c>
    </row>
    <row r="992" spans="1:1" x14ac:dyDescent="0.2">
      <c r="A992" s="34" t="str">
        <f t="shared" si="15"/>
        <v/>
      </c>
    </row>
    <row r="993" spans="1:1" x14ac:dyDescent="0.2">
      <c r="A993" s="34" t="str">
        <f t="shared" si="15"/>
        <v/>
      </c>
    </row>
    <row r="994" spans="1:1" x14ac:dyDescent="0.2">
      <c r="A994" s="34" t="str">
        <f t="shared" si="15"/>
        <v/>
      </c>
    </row>
    <row r="995" spans="1:1" x14ac:dyDescent="0.2">
      <c r="A995" s="34" t="str">
        <f t="shared" si="15"/>
        <v/>
      </c>
    </row>
    <row r="996" spans="1:1" x14ac:dyDescent="0.2">
      <c r="A996" s="34" t="str">
        <f t="shared" si="15"/>
        <v/>
      </c>
    </row>
    <row r="997" spans="1:1" x14ac:dyDescent="0.2">
      <c r="A997" s="34" t="str">
        <f t="shared" si="15"/>
        <v/>
      </c>
    </row>
    <row r="998" spans="1:1" x14ac:dyDescent="0.2">
      <c r="A998" s="34" t="str">
        <f t="shared" si="15"/>
        <v/>
      </c>
    </row>
    <row r="999" spans="1:1" x14ac:dyDescent="0.2">
      <c r="A999" s="34" t="str">
        <f t="shared" si="15"/>
        <v/>
      </c>
    </row>
    <row r="1000" spans="1:1" x14ac:dyDescent="0.2">
      <c r="A1000" s="34" t="str">
        <f t="shared" si="15"/>
        <v/>
      </c>
    </row>
    <row r="1001" spans="1:1" x14ac:dyDescent="0.2">
      <c r="A1001" s="34" t="str">
        <f t="shared" si="15"/>
        <v/>
      </c>
    </row>
    <row r="1002" spans="1:1" x14ac:dyDescent="0.2">
      <c r="A1002" s="34" t="str">
        <f t="shared" si="15"/>
        <v/>
      </c>
    </row>
    <row r="1003" spans="1:1" x14ac:dyDescent="0.2">
      <c r="A1003" s="34" t="str">
        <f t="shared" si="15"/>
        <v/>
      </c>
    </row>
    <row r="1004" spans="1:1" x14ac:dyDescent="0.2">
      <c r="A1004" s="34" t="str">
        <f t="shared" si="15"/>
        <v/>
      </c>
    </row>
    <row r="1005" spans="1:1" x14ac:dyDescent="0.2">
      <c r="A1005" s="34" t="str">
        <f t="shared" si="15"/>
        <v/>
      </c>
    </row>
    <row r="1006" spans="1:1" x14ac:dyDescent="0.2">
      <c r="A1006" s="34" t="str">
        <f t="shared" si="15"/>
        <v/>
      </c>
    </row>
    <row r="1007" spans="1:1" x14ac:dyDescent="0.2">
      <c r="A1007" s="34" t="str">
        <f t="shared" si="15"/>
        <v/>
      </c>
    </row>
    <row r="1008" spans="1:1" x14ac:dyDescent="0.2">
      <c r="A1008" s="34" t="str">
        <f t="shared" si="15"/>
        <v/>
      </c>
    </row>
    <row r="1009" spans="1:1" x14ac:dyDescent="0.2">
      <c r="A1009" s="34" t="str">
        <f t="shared" si="15"/>
        <v/>
      </c>
    </row>
    <row r="1010" spans="1:1" x14ac:dyDescent="0.2">
      <c r="A1010" s="34" t="str">
        <f t="shared" si="15"/>
        <v/>
      </c>
    </row>
    <row r="1011" spans="1:1" x14ac:dyDescent="0.2">
      <c r="A1011" s="34" t="str">
        <f t="shared" si="15"/>
        <v/>
      </c>
    </row>
    <row r="1012" spans="1:1" x14ac:dyDescent="0.2">
      <c r="A1012" s="34" t="str">
        <f t="shared" si="15"/>
        <v/>
      </c>
    </row>
    <row r="1013" spans="1:1" x14ac:dyDescent="0.2">
      <c r="A1013" s="34" t="str">
        <f t="shared" si="15"/>
        <v/>
      </c>
    </row>
    <row r="1014" spans="1:1" x14ac:dyDescent="0.2">
      <c r="A1014" s="34" t="str">
        <f t="shared" si="15"/>
        <v/>
      </c>
    </row>
    <row r="1015" spans="1:1" x14ac:dyDescent="0.2">
      <c r="A1015" s="34" t="str">
        <f t="shared" si="15"/>
        <v/>
      </c>
    </row>
    <row r="1016" spans="1:1" x14ac:dyDescent="0.2">
      <c r="A1016" s="34" t="str">
        <f t="shared" si="15"/>
        <v/>
      </c>
    </row>
    <row r="1017" spans="1:1" x14ac:dyDescent="0.2">
      <c r="A1017" s="34" t="str">
        <f t="shared" si="15"/>
        <v/>
      </c>
    </row>
    <row r="1018" spans="1:1" x14ac:dyDescent="0.2">
      <c r="A1018" s="34" t="str">
        <f t="shared" si="15"/>
        <v/>
      </c>
    </row>
    <row r="1019" spans="1:1" x14ac:dyDescent="0.2">
      <c r="A1019" s="34" t="str">
        <f t="shared" si="15"/>
        <v/>
      </c>
    </row>
    <row r="1020" spans="1:1" x14ac:dyDescent="0.2">
      <c r="A1020" s="34" t="str">
        <f t="shared" si="15"/>
        <v/>
      </c>
    </row>
    <row r="1021" spans="1:1" x14ac:dyDescent="0.2">
      <c r="A1021" s="34" t="str">
        <f t="shared" si="15"/>
        <v/>
      </c>
    </row>
    <row r="1022" spans="1:1" x14ac:dyDescent="0.2">
      <c r="A1022" s="34" t="str">
        <f t="shared" si="15"/>
        <v/>
      </c>
    </row>
    <row r="1023" spans="1:1" x14ac:dyDescent="0.2">
      <c r="A1023" s="34" t="str">
        <f t="shared" si="15"/>
        <v/>
      </c>
    </row>
    <row r="1024" spans="1:1" x14ac:dyDescent="0.2">
      <c r="A1024" s="34" t="str">
        <f t="shared" si="15"/>
        <v/>
      </c>
    </row>
    <row r="1025" spans="1:1" x14ac:dyDescent="0.2">
      <c r="A1025" s="34" t="str">
        <f t="shared" si="15"/>
        <v/>
      </c>
    </row>
    <row r="1026" spans="1:1" x14ac:dyDescent="0.2">
      <c r="A1026" s="34" t="str">
        <f t="shared" si="15"/>
        <v/>
      </c>
    </row>
    <row r="1027" spans="1:1" x14ac:dyDescent="0.2">
      <c r="A1027" s="34" t="str">
        <f t="shared" ref="A1027:A1090" si="16">CONCATENATE(B1027,C1027,F1027)</f>
        <v/>
      </c>
    </row>
    <row r="1028" spans="1:1" x14ac:dyDescent="0.2">
      <c r="A1028" s="34" t="str">
        <f t="shared" si="16"/>
        <v/>
      </c>
    </row>
    <row r="1029" spans="1:1" x14ac:dyDescent="0.2">
      <c r="A1029" s="34" t="str">
        <f t="shared" si="16"/>
        <v/>
      </c>
    </row>
    <row r="1030" spans="1:1" x14ac:dyDescent="0.2">
      <c r="A1030" s="34" t="str">
        <f t="shared" si="16"/>
        <v/>
      </c>
    </row>
    <row r="1031" spans="1:1" x14ac:dyDescent="0.2">
      <c r="A1031" s="34" t="str">
        <f t="shared" si="16"/>
        <v/>
      </c>
    </row>
    <row r="1032" spans="1:1" x14ac:dyDescent="0.2">
      <c r="A1032" s="34" t="str">
        <f t="shared" si="16"/>
        <v/>
      </c>
    </row>
    <row r="1033" spans="1:1" x14ac:dyDescent="0.2">
      <c r="A1033" s="34" t="str">
        <f t="shared" si="16"/>
        <v/>
      </c>
    </row>
    <row r="1034" spans="1:1" x14ac:dyDescent="0.2">
      <c r="A1034" s="34" t="str">
        <f t="shared" si="16"/>
        <v/>
      </c>
    </row>
    <row r="1035" spans="1:1" x14ac:dyDescent="0.2">
      <c r="A1035" s="34" t="str">
        <f t="shared" si="16"/>
        <v/>
      </c>
    </row>
    <row r="1036" spans="1:1" x14ac:dyDescent="0.2">
      <c r="A1036" s="34" t="str">
        <f t="shared" si="16"/>
        <v/>
      </c>
    </row>
    <row r="1037" spans="1:1" x14ac:dyDescent="0.2">
      <c r="A1037" s="34" t="str">
        <f t="shared" si="16"/>
        <v/>
      </c>
    </row>
    <row r="1038" spans="1:1" x14ac:dyDescent="0.2">
      <c r="A1038" s="34" t="str">
        <f t="shared" si="16"/>
        <v/>
      </c>
    </row>
    <row r="1039" spans="1:1" x14ac:dyDescent="0.2">
      <c r="A1039" s="34" t="str">
        <f t="shared" si="16"/>
        <v/>
      </c>
    </row>
    <row r="1040" spans="1:1" x14ac:dyDescent="0.2">
      <c r="A1040" s="34" t="str">
        <f t="shared" si="16"/>
        <v/>
      </c>
    </row>
    <row r="1041" spans="1:1" x14ac:dyDescent="0.2">
      <c r="A1041" s="34" t="str">
        <f t="shared" si="16"/>
        <v/>
      </c>
    </row>
    <row r="1042" spans="1:1" x14ac:dyDescent="0.2">
      <c r="A1042" s="34" t="str">
        <f t="shared" si="16"/>
        <v/>
      </c>
    </row>
    <row r="1043" spans="1:1" x14ac:dyDescent="0.2">
      <c r="A1043" s="34" t="str">
        <f t="shared" si="16"/>
        <v/>
      </c>
    </row>
    <row r="1044" spans="1:1" x14ac:dyDescent="0.2">
      <c r="A1044" s="34" t="str">
        <f t="shared" si="16"/>
        <v/>
      </c>
    </row>
    <row r="1045" spans="1:1" x14ac:dyDescent="0.2">
      <c r="A1045" s="34" t="str">
        <f t="shared" si="16"/>
        <v/>
      </c>
    </row>
    <row r="1046" spans="1:1" x14ac:dyDescent="0.2">
      <c r="A1046" s="34" t="str">
        <f t="shared" si="16"/>
        <v/>
      </c>
    </row>
    <row r="1047" spans="1:1" x14ac:dyDescent="0.2">
      <c r="A1047" s="34" t="str">
        <f t="shared" si="16"/>
        <v/>
      </c>
    </row>
    <row r="1048" spans="1:1" x14ac:dyDescent="0.2">
      <c r="A1048" s="34" t="str">
        <f t="shared" si="16"/>
        <v/>
      </c>
    </row>
    <row r="1049" spans="1:1" x14ac:dyDescent="0.2">
      <c r="A1049" s="34" t="str">
        <f t="shared" si="16"/>
        <v/>
      </c>
    </row>
    <row r="1050" spans="1:1" x14ac:dyDescent="0.2">
      <c r="A1050" s="34" t="str">
        <f t="shared" si="16"/>
        <v/>
      </c>
    </row>
    <row r="1051" spans="1:1" x14ac:dyDescent="0.2">
      <c r="A1051" s="34" t="str">
        <f t="shared" si="16"/>
        <v/>
      </c>
    </row>
    <row r="1052" spans="1:1" x14ac:dyDescent="0.2">
      <c r="A1052" s="34" t="str">
        <f t="shared" si="16"/>
        <v/>
      </c>
    </row>
    <row r="1053" spans="1:1" x14ac:dyDescent="0.2">
      <c r="A1053" s="34" t="str">
        <f t="shared" si="16"/>
        <v/>
      </c>
    </row>
    <row r="1054" spans="1:1" x14ac:dyDescent="0.2">
      <c r="A1054" s="34" t="str">
        <f t="shared" si="16"/>
        <v/>
      </c>
    </row>
    <row r="1055" spans="1:1" x14ac:dyDescent="0.2">
      <c r="A1055" s="34" t="str">
        <f t="shared" si="16"/>
        <v/>
      </c>
    </row>
    <row r="1056" spans="1:1" x14ac:dyDescent="0.2">
      <c r="A1056" s="34" t="str">
        <f t="shared" si="16"/>
        <v/>
      </c>
    </row>
    <row r="1057" spans="1:1" x14ac:dyDescent="0.2">
      <c r="A1057" s="34" t="str">
        <f t="shared" si="16"/>
        <v/>
      </c>
    </row>
    <row r="1058" spans="1:1" x14ac:dyDescent="0.2">
      <c r="A1058" s="34" t="str">
        <f t="shared" si="16"/>
        <v/>
      </c>
    </row>
    <row r="1059" spans="1:1" x14ac:dyDescent="0.2">
      <c r="A1059" s="34" t="str">
        <f t="shared" si="16"/>
        <v/>
      </c>
    </row>
    <row r="1060" spans="1:1" x14ac:dyDescent="0.2">
      <c r="A1060" s="34" t="str">
        <f t="shared" si="16"/>
        <v/>
      </c>
    </row>
    <row r="1061" spans="1:1" x14ac:dyDescent="0.2">
      <c r="A1061" s="34" t="str">
        <f t="shared" si="16"/>
        <v/>
      </c>
    </row>
    <row r="1062" spans="1:1" x14ac:dyDescent="0.2">
      <c r="A1062" s="34" t="str">
        <f t="shared" si="16"/>
        <v/>
      </c>
    </row>
    <row r="1063" spans="1:1" x14ac:dyDescent="0.2">
      <c r="A1063" s="34" t="str">
        <f t="shared" si="16"/>
        <v/>
      </c>
    </row>
    <row r="1064" spans="1:1" x14ac:dyDescent="0.2">
      <c r="A1064" s="34" t="str">
        <f t="shared" si="16"/>
        <v/>
      </c>
    </row>
    <row r="1065" spans="1:1" x14ac:dyDescent="0.2">
      <c r="A1065" s="34" t="str">
        <f t="shared" si="16"/>
        <v/>
      </c>
    </row>
    <row r="1066" spans="1:1" x14ac:dyDescent="0.2">
      <c r="A1066" s="34" t="str">
        <f t="shared" si="16"/>
        <v/>
      </c>
    </row>
    <row r="1067" spans="1:1" x14ac:dyDescent="0.2">
      <c r="A1067" s="34" t="str">
        <f t="shared" si="16"/>
        <v/>
      </c>
    </row>
    <row r="1068" spans="1:1" x14ac:dyDescent="0.2">
      <c r="A1068" s="34" t="str">
        <f t="shared" si="16"/>
        <v/>
      </c>
    </row>
    <row r="1069" spans="1:1" x14ac:dyDescent="0.2">
      <c r="A1069" s="34" t="str">
        <f t="shared" si="16"/>
        <v/>
      </c>
    </row>
    <row r="1070" spans="1:1" x14ac:dyDescent="0.2">
      <c r="A1070" s="34" t="str">
        <f t="shared" si="16"/>
        <v/>
      </c>
    </row>
    <row r="1071" spans="1:1" x14ac:dyDescent="0.2">
      <c r="A1071" s="34" t="str">
        <f t="shared" si="16"/>
        <v/>
      </c>
    </row>
    <row r="1072" spans="1:1" x14ac:dyDescent="0.2">
      <c r="A1072" s="34" t="str">
        <f t="shared" si="16"/>
        <v/>
      </c>
    </row>
    <row r="1073" spans="1:1" x14ac:dyDescent="0.2">
      <c r="A1073" s="34" t="str">
        <f t="shared" si="16"/>
        <v/>
      </c>
    </row>
    <row r="1074" spans="1:1" x14ac:dyDescent="0.2">
      <c r="A1074" s="34" t="str">
        <f t="shared" si="16"/>
        <v/>
      </c>
    </row>
    <row r="1075" spans="1:1" x14ac:dyDescent="0.2">
      <c r="A1075" s="34" t="str">
        <f t="shared" si="16"/>
        <v/>
      </c>
    </row>
    <row r="1076" spans="1:1" x14ac:dyDescent="0.2">
      <c r="A1076" s="34" t="str">
        <f t="shared" si="16"/>
        <v/>
      </c>
    </row>
    <row r="1077" spans="1:1" x14ac:dyDescent="0.2">
      <c r="A1077" s="34" t="str">
        <f t="shared" si="16"/>
        <v/>
      </c>
    </row>
    <row r="1078" spans="1:1" x14ac:dyDescent="0.2">
      <c r="A1078" s="34" t="str">
        <f t="shared" si="16"/>
        <v/>
      </c>
    </row>
    <row r="1079" spans="1:1" x14ac:dyDescent="0.2">
      <c r="A1079" s="34" t="str">
        <f t="shared" si="16"/>
        <v/>
      </c>
    </row>
    <row r="1080" spans="1:1" x14ac:dyDescent="0.2">
      <c r="A1080" s="34" t="str">
        <f t="shared" si="16"/>
        <v/>
      </c>
    </row>
    <row r="1081" spans="1:1" x14ac:dyDescent="0.2">
      <c r="A1081" s="34" t="str">
        <f t="shared" si="16"/>
        <v/>
      </c>
    </row>
    <row r="1082" spans="1:1" x14ac:dyDescent="0.2">
      <c r="A1082" s="34" t="str">
        <f t="shared" si="16"/>
        <v/>
      </c>
    </row>
    <row r="1083" spans="1:1" x14ac:dyDescent="0.2">
      <c r="A1083" s="34" t="str">
        <f t="shared" si="16"/>
        <v/>
      </c>
    </row>
    <row r="1084" spans="1:1" x14ac:dyDescent="0.2">
      <c r="A1084" s="34" t="str">
        <f t="shared" si="16"/>
        <v/>
      </c>
    </row>
    <row r="1085" spans="1:1" x14ac:dyDescent="0.2">
      <c r="A1085" s="34" t="str">
        <f t="shared" si="16"/>
        <v/>
      </c>
    </row>
    <row r="1086" spans="1:1" x14ac:dyDescent="0.2">
      <c r="A1086" s="34" t="str">
        <f t="shared" si="16"/>
        <v/>
      </c>
    </row>
    <row r="1087" spans="1:1" x14ac:dyDescent="0.2">
      <c r="A1087" s="34" t="str">
        <f t="shared" si="16"/>
        <v/>
      </c>
    </row>
    <row r="1088" spans="1:1" x14ac:dyDescent="0.2">
      <c r="A1088" s="34" t="str">
        <f t="shared" si="16"/>
        <v/>
      </c>
    </row>
    <row r="1089" spans="1:1" x14ac:dyDescent="0.2">
      <c r="A1089" s="34" t="str">
        <f t="shared" si="16"/>
        <v/>
      </c>
    </row>
    <row r="1090" spans="1:1" x14ac:dyDescent="0.2">
      <c r="A1090" s="34" t="str">
        <f t="shared" si="16"/>
        <v/>
      </c>
    </row>
    <row r="1091" spans="1:1" x14ac:dyDescent="0.2">
      <c r="A1091" s="34" t="str">
        <f t="shared" ref="A1091:A1154" si="17">CONCATENATE(B1091,C1091,F1091)</f>
        <v/>
      </c>
    </row>
    <row r="1092" spans="1:1" x14ac:dyDescent="0.2">
      <c r="A1092" s="34" t="str">
        <f t="shared" si="17"/>
        <v/>
      </c>
    </row>
    <row r="1093" spans="1:1" x14ac:dyDescent="0.2">
      <c r="A1093" s="34" t="str">
        <f t="shared" si="17"/>
        <v/>
      </c>
    </row>
    <row r="1094" spans="1:1" x14ac:dyDescent="0.2">
      <c r="A1094" s="34" t="str">
        <f t="shared" si="17"/>
        <v/>
      </c>
    </row>
    <row r="1095" spans="1:1" x14ac:dyDescent="0.2">
      <c r="A1095" s="34" t="str">
        <f t="shared" si="17"/>
        <v/>
      </c>
    </row>
    <row r="1096" spans="1:1" x14ac:dyDescent="0.2">
      <c r="A1096" s="34" t="str">
        <f t="shared" si="17"/>
        <v/>
      </c>
    </row>
    <row r="1097" spans="1:1" x14ac:dyDescent="0.2">
      <c r="A1097" s="34" t="str">
        <f t="shared" si="17"/>
        <v/>
      </c>
    </row>
    <row r="1098" spans="1:1" x14ac:dyDescent="0.2">
      <c r="A1098" s="34" t="str">
        <f t="shared" si="17"/>
        <v/>
      </c>
    </row>
    <row r="1099" spans="1:1" x14ac:dyDescent="0.2">
      <c r="A1099" s="34" t="str">
        <f t="shared" si="17"/>
        <v/>
      </c>
    </row>
    <row r="1100" spans="1:1" x14ac:dyDescent="0.2">
      <c r="A1100" s="34" t="str">
        <f t="shared" si="17"/>
        <v/>
      </c>
    </row>
    <row r="1101" spans="1:1" x14ac:dyDescent="0.2">
      <c r="A1101" s="34" t="str">
        <f t="shared" si="17"/>
        <v/>
      </c>
    </row>
    <row r="1102" spans="1:1" x14ac:dyDescent="0.2">
      <c r="A1102" s="34" t="str">
        <f t="shared" si="17"/>
        <v/>
      </c>
    </row>
    <row r="1103" spans="1:1" x14ac:dyDescent="0.2">
      <c r="A1103" s="34" t="str">
        <f t="shared" si="17"/>
        <v/>
      </c>
    </row>
    <row r="1104" spans="1:1" x14ac:dyDescent="0.2">
      <c r="A1104" s="34" t="str">
        <f t="shared" si="17"/>
        <v/>
      </c>
    </row>
    <row r="1105" spans="1:1" x14ac:dyDescent="0.2">
      <c r="A1105" s="34" t="str">
        <f t="shared" si="17"/>
        <v/>
      </c>
    </row>
    <row r="1106" spans="1:1" x14ac:dyDescent="0.2">
      <c r="A1106" s="34" t="str">
        <f t="shared" si="17"/>
        <v/>
      </c>
    </row>
    <row r="1107" spans="1:1" x14ac:dyDescent="0.2">
      <c r="A1107" s="34" t="str">
        <f t="shared" si="17"/>
        <v/>
      </c>
    </row>
    <row r="1108" spans="1:1" x14ac:dyDescent="0.2">
      <c r="A1108" s="34" t="str">
        <f t="shared" si="17"/>
        <v/>
      </c>
    </row>
    <row r="1109" spans="1:1" x14ac:dyDescent="0.2">
      <c r="A1109" s="34" t="str">
        <f t="shared" si="17"/>
        <v/>
      </c>
    </row>
    <row r="1110" spans="1:1" x14ac:dyDescent="0.2">
      <c r="A1110" s="34" t="str">
        <f t="shared" si="17"/>
        <v/>
      </c>
    </row>
    <row r="1111" spans="1:1" x14ac:dyDescent="0.2">
      <c r="A1111" s="34" t="str">
        <f t="shared" si="17"/>
        <v/>
      </c>
    </row>
    <row r="1112" spans="1:1" x14ac:dyDescent="0.2">
      <c r="A1112" s="34" t="str">
        <f t="shared" si="17"/>
        <v/>
      </c>
    </row>
    <row r="1113" spans="1:1" x14ac:dyDescent="0.2">
      <c r="A1113" s="34" t="str">
        <f t="shared" si="17"/>
        <v/>
      </c>
    </row>
    <row r="1114" spans="1:1" x14ac:dyDescent="0.2">
      <c r="A1114" s="34" t="str">
        <f t="shared" si="17"/>
        <v/>
      </c>
    </row>
    <row r="1115" spans="1:1" x14ac:dyDescent="0.2">
      <c r="A1115" s="34" t="str">
        <f t="shared" si="17"/>
        <v/>
      </c>
    </row>
    <row r="1116" spans="1:1" x14ac:dyDescent="0.2">
      <c r="A1116" s="34" t="str">
        <f t="shared" si="17"/>
        <v/>
      </c>
    </row>
    <row r="1117" spans="1:1" x14ac:dyDescent="0.2">
      <c r="A1117" s="34" t="str">
        <f t="shared" si="17"/>
        <v/>
      </c>
    </row>
    <row r="1118" spans="1:1" x14ac:dyDescent="0.2">
      <c r="A1118" s="34" t="str">
        <f t="shared" si="17"/>
        <v/>
      </c>
    </row>
    <row r="1119" spans="1:1" x14ac:dyDescent="0.2">
      <c r="A1119" s="34" t="str">
        <f t="shared" si="17"/>
        <v/>
      </c>
    </row>
    <row r="1120" spans="1:1" x14ac:dyDescent="0.2">
      <c r="A1120" s="34" t="str">
        <f t="shared" si="17"/>
        <v/>
      </c>
    </row>
    <row r="1121" spans="1:1" x14ac:dyDescent="0.2">
      <c r="A1121" s="34" t="str">
        <f t="shared" si="17"/>
        <v/>
      </c>
    </row>
    <row r="1122" spans="1:1" x14ac:dyDescent="0.2">
      <c r="A1122" s="34" t="str">
        <f t="shared" si="17"/>
        <v/>
      </c>
    </row>
    <row r="1123" spans="1:1" x14ac:dyDescent="0.2">
      <c r="A1123" s="34" t="str">
        <f t="shared" si="17"/>
        <v/>
      </c>
    </row>
    <row r="1124" spans="1:1" x14ac:dyDescent="0.2">
      <c r="A1124" s="34" t="str">
        <f t="shared" si="17"/>
        <v/>
      </c>
    </row>
    <row r="1125" spans="1:1" x14ac:dyDescent="0.2">
      <c r="A1125" s="34" t="str">
        <f t="shared" si="17"/>
        <v/>
      </c>
    </row>
    <row r="1126" spans="1:1" x14ac:dyDescent="0.2">
      <c r="A1126" s="34" t="str">
        <f t="shared" si="17"/>
        <v/>
      </c>
    </row>
    <row r="1127" spans="1:1" x14ac:dyDescent="0.2">
      <c r="A1127" s="34" t="str">
        <f t="shared" si="17"/>
        <v/>
      </c>
    </row>
    <row r="1128" spans="1:1" x14ac:dyDescent="0.2">
      <c r="A1128" s="34" t="str">
        <f t="shared" si="17"/>
        <v/>
      </c>
    </row>
    <row r="1129" spans="1:1" x14ac:dyDescent="0.2">
      <c r="A1129" s="34" t="str">
        <f t="shared" si="17"/>
        <v/>
      </c>
    </row>
    <row r="1130" spans="1:1" x14ac:dyDescent="0.2">
      <c r="A1130" s="34" t="str">
        <f t="shared" si="17"/>
        <v/>
      </c>
    </row>
    <row r="1131" spans="1:1" x14ac:dyDescent="0.2">
      <c r="A1131" s="34" t="str">
        <f t="shared" si="17"/>
        <v/>
      </c>
    </row>
    <row r="1132" spans="1:1" x14ac:dyDescent="0.2">
      <c r="A1132" s="34" t="str">
        <f t="shared" si="17"/>
        <v/>
      </c>
    </row>
    <row r="1133" spans="1:1" x14ac:dyDescent="0.2">
      <c r="A1133" s="34" t="str">
        <f t="shared" si="17"/>
        <v/>
      </c>
    </row>
    <row r="1134" spans="1:1" x14ac:dyDescent="0.2">
      <c r="A1134" s="34" t="str">
        <f t="shared" si="17"/>
        <v/>
      </c>
    </row>
    <row r="1135" spans="1:1" x14ac:dyDescent="0.2">
      <c r="A1135" s="34" t="str">
        <f t="shared" si="17"/>
        <v/>
      </c>
    </row>
    <row r="1136" spans="1:1" x14ac:dyDescent="0.2">
      <c r="A1136" s="34" t="str">
        <f t="shared" si="17"/>
        <v/>
      </c>
    </row>
    <row r="1137" spans="1:1" x14ac:dyDescent="0.2">
      <c r="A1137" s="34" t="str">
        <f t="shared" si="17"/>
        <v/>
      </c>
    </row>
    <row r="1138" spans="1:1" x14ac:dyDescent="0.2">
      <c r="A1138" s="34" t="str">
        <f t="shared" si="17"/>
        <v/>
      </c>
    </row>
    <row r="1139" spans="1:1" x14ac:dyDescent="0.2">
      <c r="A1139" s="34" t="str">
        <f t="shared" si="17"/>
        <v/>
      </c>
    </row>
    <row r="1140" spans="1:1" x14ac:dyDescent="0.2">
      <c r="A1140" s="34" t="str">
        <f t="shared" si="17"/>
        <v/>
      </c>
    </row>
    <row r="1141" spans="1:1" x14ac:dyDescent="0.2">
      <c r="A1141" s="34" t="str">
        <f t="shared" si="17"/>
        <v/>
      </c>
    </row>
    <row r="1142" spans="1:1" x14ac:dyDescent="0.2">
      <c r="A1142" s="34" t="str">
        <f t="shared" si="17"/>
        <v/>
      </c>
    </row>
    <row r="1143" spans="1:1" x14ac:dyDescent="0.2">
      <c r="A1143" s="34" t="str">
        <f t="shared" si="17"/>
        <v/>
      </c>
    </row>
    <row r="1144" spans="1:1" x14ac:dyDescent="0.2">
      <c r="A1144" s="34" t="str">
        <f t="shared" si="17"/>
        <v/>
      </c>
    </row>
    <row r="1145" spans="1:1" x14ac:dyDescent="0.2">
      <c r="A1145" s="34" t="str">
        <f t="shared" si="17"/>
        <v/>
      </c>
    </row>
    <row r="1146" spans="1:1" x14ac:dyDescent="0.2">
      <c r="A1146" s="34" t="str">
        <f t="shared" si="17"/>
        <v/>
      </c>
    </row>
    <row r="1147" spans="1:1" x14ac:dyDescent="0.2">
      <c r="A1147" s="34" t="str">
        <f t="shared" si="17"/>
        <v/>
      </c>
    </row>
    <row r="1148" spans="1:1" x14ac:dyDescent="0.2">
      <c r="A1148" s="34" t="str">
        <f t="shared" si="17"/>
        <v/>
      </c>
    </row>
    <row r="1149" spans="1:1" x14ac:dyDescent="0.2">
      <c r="A1149" s="34" t="str">
        <f t="shared" si="17"/>
        <v/>
      </c>
    </row>
    <row r="1150" spans="1:1" x14ac:dyDescent="0.2">
      <c r="A1150" s="34" t="str">
        <f t="shared" si="17"/>
        <v/>
      </c>
    </row>
    <row r="1151" spans="1:1" x14ac:dyDescent="0.2">
      <c r="A1151" s="34" t="str">
        <f t="shared" si="17"/>
        <v/>
      </c>
    </row>
    <row r="1152" spans="1:1" x14ac:dyDescent="0.2">
      <c r="A1152" s="34" t="str">
        <f t="shared" si="17"/>
        <v/>
      </c>
    </row>
    <row r="1153" spans="1:1" x14ac:dyDescent="0.2">
      <c r="A1153" s="34" t="str">
        <f t="shared" si="17"/>
        <v/>
      </c>
    </row>
    <row r="1154" spans="1:1" x14ac:dyDescent="0.2">
      <c r="A1154" s="34" t="str">
        <f t="shared" si="17"/>
        <v/>
      </c>
    </row>
    <row r="1155" spans="1:1" x14ac:dyDescent="0.2">
      <c r="A1155" s="34" t="str">
        <f t="shared" ref="A1155:A1218" si="18">CONCATENATE(B1155,C1155,F1155)</f>
        <v/>
      </c>
    </row>
    <row r="1156" spans="1:1" x14ac:dyDescent="0.2">
      <c r="A1156" s="34" t="str">
        <f t="shared" si="18"/>
        <v/>
      </c>
    </row>
    <row r="1157" spans="1:1" x14ac:dyDescent="0.2">
      <c r="A1157" s="34" t="str">
        <f t="shared" si="18"/>
        <v/>
      </c>
    </row>
    <row r="1158" spans="1:1" x14ac:dyDescent="0.2">
      <c r="A1158" s="34" t="str">
        <f t="shared" si="18"/>
        <v/>
      </c>
    </row>
    <row r="1159" spans="1:1" x14ac:dyDescent="0.2">
      <c r="A1159" s="34" t="str">
        <f t="shared" si="18"/>
        <v/>
      </c>
    </row>
    <row r="1160" spans="1:1" x14ac:dyDescent="0.2">
      <c r="A1160" s="34" t="str">
        <f t="shared" si="18"/>
        <v/>
      </c>
    </row>
    <row r="1161" spans="1:1" x14ac:dyDescent="0.2">
      <c r="A1161" s="34" t="str">
        <f t="shared" si="18"/>
        <v/>
      </c>
    </row>
    <row r="1162" spans="1:1" x14ac:dyDescent="0.2">
      <c r="A1162" s="34" t="str">
        <f t="shared" si="18"/>
        <v/>
      </c>
    </row>
    <row r="1163" spans="1:1" x14ac:dyDescent="0.2">
      <c r="A1163" s="34" t="str">
        <f t="shared" si="18"/>
        <v/>
      </c>
    </row>
    <row r="1164" spans="1:1" x14ac:dyDescent="0.2">
      <c r="A1164" s="34" t="str">
        <f t="shared" si="18"/>
        <v/>
      </c>
    </row>
    <row r="1165" spans="1:1" x14ac:dyDescent="0.2">
      <c r="A1165" s="34" t="str">
        <f t="shared" si="18"/>
        <v/>
      </c>
    </row>
    <row r="1166" spans="1:1" x14ac:dyDescent="0.2">
      <c r="A1166" s="34" t="str">
        <f t="shared" si="18"/>
        <v/>
      </c>
    </row>
    <row r="1167" spans="1:1" x14ac:dyDescent="0.2">
      <c r="A1167" s="34" t="str">
        <f t="shared" si="18"/>
        <v/>
      </c>
    </row>
    <row r="1168" spans="1:1" x14ac:dyDescent="0.2">
      <c r="A1168" s="34" t="str">
        <f t="shared" si="18"/>
        <v/>
      </c>
    </row>
    <row r="1169" spans="1:1" x14ac:dyDescent="0.2">
      <c r="A1169" s="34" t="str">
        <f t="shared" si="18"/>
        <v/>
      </c>
    </row>
    <row r="1170" spans="1:1" x14ac:dyDescent="0.2">
      <c r="A1170" s="34" t="str">
        <f t="shared" si="18"/>
        <v/>
      </c>
    </row>
    <row r="1171" spans="1:1" x14ac:dyDescent="0.2">
      <c r="A1171" s="34" t="str">
        <f t="shared" si="18"/>
        <v/>
      </c>
    </row>
    <row r="1172" spans="1:1" x14ac:dyDescent="0.2">
      <c r="A1172" s="34" t="str">
        <f t="shared" si="18"/>
        <v/>
      </c>
    </row>
    <row r="1173" spans="1:1" x14ac:dyDescent="0.2">
      <c r="A1173" s="34" t="str">
        <f t="shared" si="18"/>
        <v/>
      </c>
    </row>
    <row r="1174" spans="1:1" x14ac:dyDescent="0.2">
      <c r="A1174" s="34" t="str">
        <f t="shared" si="18"/>
        <v/>
      </c>
    </row>
    <row r="1175" spans="1:1" x14ac:dyDescent="0.2">
      <c r="A1175" s="34" t="str">
        <f t="shared" si="18"/>
        <v/>
      </c>
    </row>
    <row r="1176" spans="1:1" x14ac:dyDescent="0.2">
      <c r="A1176" s="34" t="str">
        <f t="shared" si="18"/>
        <v/>
      </c>
    </row>
    <row r="1177" spans="1:1" x14ac:dyDescent="0.2">
      <c r="A1177" s="34" t="str">
        <f t="shared" si="18"/>
        <v/>
      </c>
    </row>
    <row r="1178" spans="1:1" x14ac:dyDescent="0.2">
      <c r="A1178" s="34" t="str">
        <f t="shared" si="18"/>
        <v/>
      </c>
    </row>
    <row r="1179" spans="1:1" x14ac:dyDescent="0.2">
      <c r="A1179" s="34" t="str">
        <f t="shared" si="18"/>
        <v/>
      </c>
    </row>
    <row r="1180" spans="1:1" x14ac:dyDescent="0.2">
      <c r="A1180" s="34" t="str">
        <f t="shared" si="18"/>
        <v/>
      </c>
    </row>
    <row r="1181" spans="1:1" x14ac:dyDescent="0.2">
      <c r="A1181" s="34" t="str">
        <f t="shared" si="18"/>
        <v/>
      </c>
    </row>
    <row r="1182" spans="1:1" x14ac:dyDescent="0.2">
      <c r="A1182" s="34" t="str">
        <f t="shared" si="18"/>
        <v/>
      </c>
    </row>
    <row r="1183" spans="1:1" x14ac:dyDescent="0.2">
      <c r="A1183" s="34" t="str">
        <f t="shared" si="18"/>
        <v/>
      </c>
    </row>
    <row r="1184" spans="1:1" x14ac:dyDescent="0.2">
      <c r="A1184" s="34" t="str">
        <f t="shared" si="18"/>
        <v/>
      </c>
    </row>
    <row r="1185" spans="1:1" x14ac:dyDescent="0.2">
      <c r="A1185" s="34" t="str">
        <f t="shared" si="18"/>
        <v/>
      </c>
    </row>
    <row r="1186" spans="1:1" x14ac:dyDescent="0.2">
      <c r="A1186" s="34" t="str">
        <f t="shared" si="18"/>
        <v/>
      </c>
    </row>
    <row r="1187" spans="1:1" x14ac:dyDescent="0.2">
      <c r="A1187" s="34" t="str">
        <f t="shared" si="18"/>
        <v/>
      </c>
    </row>
    <row r="1188" spans="1:1" x14ac:dyDescent="0.2">
      <c r="A1188" s="34" t="str">
        <f t="shared" si="18"/>
        <v/>
      </c>
    </row>
    <row r="1189" spans="1:1" x14ac:dyDescent="0.2">
      <c r="A1189" s="34" t="str">
        <f t="shared" si="18"/>
        <v/>
      </c>
    </row>
    <row r="1190" spans="1:1" x14ac:dyDescent="0.2">
      <c r="A1190" s="34" t="str">
        <f t="shared" si="18"/>
        <v/>
      </c>
    </row>
    <row r="1191" spans="1:1" x14ac:dyDescent="0.2">
      <c r="A1191" s="34" t="str">
        <f t="shared" si="18"/>
        <v/>
      </c>
    </row>
    <row r="1192" spans="1:1" x14ac:dyDescent="0.2">
      <c r="A1192" s="34" t="str">
        <f t="shared" si="18"/>
        <v/>
      </c>
    </row>
    <row r="1193" spans="1:1" x14ac:dyDescent="0.2">
      <c r="A1193" s="34" t="str">
        <f t="shared" si="18"/>
        <v/>
      </c>
    </row>
    <row r="1194" spans="1:1" x14ac:dyDescent="0.2">
      <c r="A1194" s="34" t="str">
        <f t="shared" si="18"/>
        <v/>
      </c>
    </row>
    <row r="1195" spans="1:1" x14ac:dyDescent="0.2">
      <c r="A1195" s="34" t="str">
        <f t="shared" si="18"/>
        <v/>
      </c>
    </row>
    <row r="1196" spans="1:1" x14ac:dyDescent="0.2">
      <c r="A1196" s="34" t="str">
        <f t="shared" si="18"/>
        <v/>
      </c>
    </row>
    <row r="1197" spans="1:1" x14ac:dyDescent="0.2">
      <c r="A1197" s="34" t="str">
        <f t="shared" si="18"/>
        <v/>
      </c>
    </row>
    <row r="1198" spans="1:1" x14ac:dyDescent="0.2">
      <c r="A1198" s="34" t="str">
        <f t="shared" si="18"/>
        <v/>
      </c>
    </row>
    <row r="1199" spans="1:1" x14ac:dyDescent="0.2">
      <c r="A1199" s="34" t="str">
        <f t="shared" si="18"/>
        <v/>
      </c>
    </row>
    <row r="1200" spans="1:1" x14ac:dyDescent="0.2">
      <c r="A1200" s="34" t="str">
        <f t="shared" si="18"/>
        <v/>
      </c>
    </row>
    <row r="1201" spans="1:1" x14ac:dyDescent="0.2">
      <c r="A1201" s="34" t="str">
        <f t="shared" si="18"/>
        <v/>
      </c>
    </row>
    <row r="1202" spans="1:1" x14ac:dyDescent="0.2">
      <c r="A1202" s="34" t="str">
        <f t="shared" si="18"/>
        <v/>
      </c>
    </row>
    <row r="1203" spans="1:1" x14ac:dyDescent="0.2">
      <c r="A1203" s="34" t="str">
        <f t="shared" si="18"/>
        <v/>
      </c>
    </row>
    <row r="1204" spans="1:1" x14ac:dyDescent="0.2">
      <c r="A1204" s="34" t="str">
        <f t="shared" si="18"/>
        <v/>
      </c>
    </row>
    <row r="1205" spans="1:1" x14ac:dyDescent="0.2">
      <c r="A1205" s="34" t="str">
        <f t="shared" si="18"/>
        <v/>
      </c>
    </row>
    <row r="1206" spans="1:1" x14ac:dyDescent="0.2">
      <c r="A1206" s="34" t="str">
        <f t="shared" si="18"/>
        <v/>
      </c>
    </row>
    <row r="1207" spans="1:1" x14ac:dyDescent="0.2">
      <c r="A1207" s="34" t="str">
        <f t="shared" si="18"/>
        <v/>
      </c>
    </row>
    <row r="1208" spans="1:1" x14ac:dyDescent="0.2">
      <c r="A1208" s="34" t="str">
        <f t="shared" si="18"/>
        <v/>
      </c>
    </row>
    <row r="1209" spans="1:1" x14ac:dyDescent="0.2">
      <c r="A1209" s="34" t="str">
        <f t="shared" si="18"/>
        <v/>
      </c>
    </row>
    <row r="1210" spans="1:1" x14ac:dyDescent="0.2">
      <c r="A1210" s="34" t="str">
        <f t="shared" si="18"/>
        <v/>
      </c>
    </row>
    <row r="1211" spans="1:1" x14ac:dyDescent="0.2">
      <c r="A1211" s="34" t="str">
        <f t="shared" si="18"/>
        <v/>
      </c>
    </row>
    <row r="1212" spans="1:1" x14ac:dyDescent="0.2">
      <c r="A1212" s="34" t="str">
        <f t="shared" si="18"/>
        <v/>
      </c>
    </row>
    <row r="1213" spans="1:1" x14ac:dyDescent="0.2">
      <c r="A1213" s="34" t="str">
        <f t="shared" si="18"/>
        <v/>
      </c>
    </row>
    <row r="1214" spans="1:1" x14ac:dyDescent="0.2">
      <c r="A1214" s="34" t="str">
        <f t="shared" si="18"/>
        <v/>
      </c>
    </row>
    <row r="1215" spans="1:1" x14ac:dyDescent="0.2">
      <c r="A1215" s="34" t="str">
        <f t="shared" si="18"/>
        <v/>
      </c>
    </row>
    <row r="1216" spans="1:1" x14ac:dyDescent="0.2">
      <c r="A1216" s="34" t="str">
        <f t="shared" si="18"/>
        <v/>
      </c>
    </row>
    <row r="1217" spans="1:1" x14ac:dyDescent="0.2">
      <c r="A1217" s="34" t="str">
        <f t="shared" si="18"/>
        <v/>
      </c>
    </row>
    <row r="1218" spans="1:1" x14ac:dyDescent="0.2">
      <c r="A1218" s="34" t="str">
        <f t="shared" si="18"/>
        <v/>
      </c>
    </row>
    <row r="1219" spans="1:1" x14ac:dyDescent="0.2">
      <c r="A1219" s="34" t="str">
        <f t="shared" ref="A1219:A1248" si="19">CONCATENATE(B1219,C1219,F1219)</f>
        <v/>
      </c>
    </row>
    <row r="1220" spans="1:1" x14ac:dyDescent="0.2">
      <c r="A1220" s="34" t="str">
        <f t="shared" si="19"/>
        <v/>
      </c>
    </row>
    <row r="1221" spans="1:1" x14ac:dyDescent="0.2">
      <c r="A1221" s="34" t="str">
        <f t="shared" si="19"/>
        <v/>
      </c>
    </row>
    <row r="1222" spans="1:1" x14ac:dyDescent="0.2">
      <c r="A1222" s="34" t="str">
        <f t="shared" si="19"/>
        <v/>
      </c>
    </row>
    <row r="1223" spans="1:1" x14ac:dyDescent="0.2">
      <c r="A1223" s="34" t="str">
        <f t="shared" si="19"/>
        <v/>
      </c>
    </row>
    <row r="1224" spans="1:1" x14ac:dyDescent="0.2">
      <c r="A1224" s="34" t="str">
        <f t="shared" si="19"/>
        <v/>
      </c>
    </row>
    <row r="1225" spans="1:1" x14ac:dyDescent="0.2">
      <c r="A1225" s="34" t="str">
        <f t="shared" si="19"/>
        <v/>
      </c>
    </row>
    <row r="1226" spans="1:1" x14ac:dyDescent="0.2">
      <c r="A1226" s="34" t="str">
        <f t="shared" si="19"/>
        <v/>
      </c>
    </row>
    <row r="1227" spans="1:1" x14ac:dyDescent="0.2">
      <c r="A1227" s="34" t="str">
        <f t="shared" si="19"/>
        <v/>
      </c>
    </row>
    <row r="1228" spans="1:1" x14ac:dyDescent="0.2">
      <c r="A1228" s="34" t="str">
        <f t="shared" si="19"/>
        <v/>
      </c>
    </row>
    <row r="1229" spans="1:1" x14ac:dyDescent="0.2">
      <c r="A1229" s="34" t="str">
        <f t="shared" si="19"/>
        <v/>
      </c>
    </row>
    <row r="1230" spans="1:1" x14ac:dyDescent="0.2">
      <c r="A1230" s="34" t="str">
        <f t="shared" si="19"/>
        <v/>
      </c>
    </row>
    <row r="1231" spans="1:1" x14ac:dyDescent="0.2">
      <c r="A1231" s="34" t="str">
        <f t="shared" si="19"/>
        <v/>
      </c>
    </row>
    <row r="1232" spans="1:1" x14ac:dyDescent="0.2">
      <c r="A1232" s="34" t="str">
        <f t="shared" si="19"/>
        <v/>
      </c>
    </row>
    <row r="1233" spans="1:1" x14ac:dyDescent="0.2">
      <c r="A1233" s="34" t="str">
        <f t="shared" si="19"/>
        <v/>
      </c>
    </row>
    <row r="1234" spans="1:1" x14ac:dyDescent="0.2">
      <c r="A1234" s="34" t="str">
        <f t="shared" si="19"/>
        <v/>
      </c>
    </row>
    <row r="1235" spans="1:1" x14ac:dyDescent="0.2">
      <c r="A1235" s="34" t="str">
        <f t="shared" si="19"/>
        <v/>
      </c>
    </row>
    <row r="1236" spans="1:1" x14ac:dyDescent="0.2">
      <c r="A1236" s="34" t="str">
        <f t="shared" si="19"/>
        <v/>
      </c>
    </row>
    <row r="1237" spans="1:1" x14ac:dyDescent="0.2">
      <c r="A1237" s="34" t="str">
        <f t="shared" si="19"/>
        <v/>
      </c>
    </row>
    <row r="1238" spans="1:1" x14ac:dyDescent="0.2">
      <c r="A1238" s="34" t="str">
        <f t="shared" si="19"/>
        <v/>
      </c>
    </row>
    <row r="1239" spans="1:1" x14ac:dyDescent="0.2">
      <c r="A1239" s="34" t="str">
        <f t="shared" si="19"/>
        <v/>
      </c>
    </row>
    <row r="1240" spans="1:1" x14ac:dyDescent="0.2">
      <c r="A1240" s="34" t="str">
        <f t="shared" si="19"/>
        <v/>
      </c>
    </row>
    <row r="1241" spans="1:1" x14ac:dyDescent="0.2">
      <c r="A1241" s="34" t="str">
        <f t="shared" si="19"/>
        <v/>
      </c>
    </row>
    <row r="1242" spans="1:1" x14ac:dyDescent="0.2">
      <c r="A1242" s="34" t="str">
        <f t="shared" si="19"/>
        <v/>
      </c>
    </row>
    <row r="1243" spans="1:1" x14ac:dyDescent="0.2">
      <c r="A1243" s="34" t="str">
        <f t="shared" si="19"/>
        <v/>
      </c>
    </row>
    <row r="1244" spans="1:1" x14ac:dyDescent="0.2">
      <c r="A1244" s="34" t="str">
        <f t="shared" si="19"/>
        <v/>
      </c>
    </row>
    <row r="1245" spans="1:1" x14ac:dyDescent="0.2">
      <c r="A1245" s="34" t="str">
        <f t="shared" si="19"/>
        <v/>
      </c>
    </row>
    <row r="1246" spans="1:1" x14ac:dyDescent="0.2">
      <c r="A1246" s="34" t="str">
        <f t="shared" si="19"/>
        <v/>
      </c>
    </row>
    <row r="1247" spans="1:1" x14ac:dyDescent="0.2">
      <c r="A1247" s="34" t="str">
        <f t="shared" si="19"/>
        <v/>
      </c>
    </row>
    <row r="1248" spans="1:1" x14ac:dyDescent="0.2">
      <c r="A1248" s="34" t="str">
        <f t="shared" si="19"/>
        <v/>
      </c>
    </row>
  </sheetData>
  <sheetProtection password="9F17" sheet="1" objects="1" scenarios="1"/>
  <mergeCells count="56">
    <mergeCell ref="D115:D117"/>
    <mergeCell ref="E115:E117"/>
    <mergeCell ref="D118:D121"/>
    <mergeCell ref="E118:E121"/>
    <mergeCell ref="D102:D104"/>
    <mergeCell ref="E102:E104"/>
    <mergeCell ref="D106:D108"/>
    <mergeCell ref="E106:E108"/>
    <mergeCell ref="D110:D114"/>
    <mergeCell ref="E110:E114"/>
    <mergeCell ref="D94:D95"/>
    <mergeCell ref="E94:E95"/>
    <mergeCell ref="D96:D97"/>
    <mergeCell ref="E96:E97"/>
    <mergeCell ref="D99:D101"/>
    <mergeCell ref="E99:E100"/>
    <mergeCell ref="D85:D87"/>
    <mergeCell ref="E85:E87"/>
    <mergeCell ref="D90:D91"/>
    <mergeCell ref="E90:E91"/>
    <mergeCell ref="D92:D93"/>
    <mergeCell ref="D70:D72"/>
    <mergeCell ref="E71:E72"/>
    <mergeCell ref="D73:D76"/>
    <mergeCell ref="D78:D81"/>
    <mergeCell ref="D82:D84"/>
    <mergeCell ref="E82:E84"/>
    <mergeCell ref="D62:D64"/>
    <mergeCell ref="E63:E64"/>
    <mergeCell ref="D65:D66"/>
    <mergeCell ref="E65:E66"/>
    <mergeCell ref="D67:D69"/>
    <mergeCell ref="E29:E33"/>
    <mergeCell ref="D54:D56"/>
    <mergeCell ref="E54:E56"/>
    <mergeCell ref="D57:D61"/>
    <mergeCell ref="E57:E61"/>
    <mergeCell ref="D39:D41"/>
    <mergeCell ref="E39:E41"/>
    <mergeCell ref="D42:D45"/>
    <mergeCell ref="E42:E45"/>
    <mergeCell ref="D46:D49"/>
    <mergeCell ref="D50:D53"/>
    <mergeCell ref="E50:E53"/>
    <mergeCell ref="D2:D3"/>
    <mergeCell ref="D34:D35"/>
    <mergeCell ref="D4:D5"/>
    <mergeCell ref="D6:D7"/>
    <mergeCell ref="D8:D10"/>
    <mergeCell ref="D11:D14"/>
    <mergeCell ref="D16:D17"/>
    <mergeCell ref="D20:D21"/>
    <mergeCell ref="D22:D23"/>
    <mergeCell ref="D24:D25"/>
    <mergeCell ref="D26:D28"/>
    <mergeCell ref="D29:D33"/>
  </mergeCells>
  <pageMargins left="0.7" right="0.7" top="0.75" bottom="0.75" header="0.3" footer="0.3"/>
  <pageSetup paperSize="9" orientation="landscape"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02"/>
  <sheetViews>
    <sheetView topLeftCell="A50" zoomScaleSheetLayoutView="90" workbookViewId="0">
      <selection activeCell="G52" sqref="G52:G61"/>
    </sheetView>
  </sheetViews>
  <sheetFormatPr baseColWidth="10" defaultRowHeight="15" x14ac:dyDescent="0.2"/>
  <cols>
    <col min="1" max="3" width="11.42578125" style="34"/>
    <col min="4" max="4" width="48.28515625" style="41" customWidth="1"/>
    <col min="5" max="5" width="45.5703125" style="41" customWidth="1"/>
    <col min="6" max="6" width="5.5703125" style="41" bestFit="1" customWidth="1"/>
    <col min="7" max="7" width="9.42578125" style="41" customWidth="1"/>
    <col min="8" max="8" width="17.85546875" style="34" customWidth="1"/>
    <col min="9" max="16384" width="11.42578125" style="34"/>
  </cols>
  <sheetData>
    <row r="1" spans="1:8" ht="30" customHeight="1" x14ac:dyDescent="0.2">
      <c r="A1" s="34" t="s">
        <v>6379</v>
      </c>
      <c r="B1" s="42" t="s">
        <v>14</v>
      </c>
      <c r="C1" s="42" t="s">
        <v>6121</v>
      </c>
      <c r="D1" s="35" t="s">
        <v>6128</v>
      </c>
      <c r="E1" s="35" t="s">
        <v>6129</v>
      </c>
      <c r="F1" s="35" t="s">
        <v>12</v>
      </c>
      <c r="G1" s="35" t="s">
        <v>8</v>
      </c>
      <c r="H1" s="35" t="s">
        <v>6130</v>
      </c>
    </row>
    <row r="2" spans="1:8" ht="30" x14ac:dyDescent="0.2">
      <c r="A2" s="34" t="str">
        <f>CONCATENATE(B2,C2,F2)</f>
        <v>1I1</v>
      </c>
      <c r="B2" s="42">
        <v>1</v>
      </c>
      <c r="C2" s="42" t="s">
        <v>6122</v>
      </c>
      <c r="D2" s="36" t="s">
        <v>6208</v>
      </c>
      <c r="E2" s="36" t="s">
        <v>6209</v>
      </c>
      <c r="F2" s="35">
        <v>1</v>
      </c>
      <c r="G2" s="35" t="s">
        <v>6116</v>
      </c>
      <c r="H2" s="35" t="s">
        <v>6154</v>
      </c>
    </row>
    <row r="3" spans="1:8" ht="30" x14ac:dyDescent="0.2">
      <c r="A3" s="34" t="str">
        <f t="shared" ref="A3:A66" si="0">CONCATENATE(B3,C3,F3)</f>
        <v>1I2</v>
      </c>
      <c r="B3" s="42">
        <v>1</v>
      </c>
      <c r="C3" s="42" t="s">
        <v>6122</v>
      </c>
      <c r="D3" s="36" t="s">
        <v>6210</v>
      </c>
      <c r="E3" s="36" t="s">
        <v>6211</v>
      </c>
      <c r="F3" s="35">
        <v>2</v>
      </c>
      <c r="G3" s="35" t="s">
        <v>6136</v>
      </c>
      <c r="H3" s="35" t="s">
        <v>6154</v>
      </c>
    </row>
    <row r="4" spans="1:8" ht="30" x14ac:dyDescent="0.2">
      <c r="A4" s="34" t="str">
        <f t="shared" si="0"/>
        <v>1I3</v>
      </c>
      <c r="B4" s="42">
        <v>1</v>
      </c>
      <c r="C4" s="42" t="s">
        <v>6122</v>
      </c>
      <c r="D4" s="36" t="s">
        <v>6212</v>
      </c>
      <c r="E4" s="36" t="s">
        <v>6211</v>
      </c>
      <c r="F4" s="35">
        <v>3</v>
      </c>
      <c r="G4" s="35" t="s">
        <v>6140</v>
      </c>
      <c r="H4" s="35" t="s">
        <v>6154</v>
      </c>
    </row>
    <row r="5" spans="1:8" ht="30" x14ac:dyDescent="0.2">
      <c r="A5" s="34" t="str">
        <f t="shared" si="0"/>
        <v>1I4</v>
      </c>
      <c r="B5" s="42">
        <v>1</v>
      </c>
      <c r="C5" s="42" t="s">
        <v>6122</v>
      </c>
      <c r="D5" s="36" t="s">
        <v>6213</v>
      </c>
      <c r="E5" s="36" t="s">
        <v>6211</v>
      </c>
      <c r="F5" s="35">
        <v>4</v>
      </c>
      <c r="G5" s="35" t="s">
        <v>6140</v>
      </c>
      <c r="H5" s="35" t="s">
        <v>6154</v>
      </c>
    </row>
    <row r="6" spans="1:8" ht="30" x14ac:dyDescent="0.2">
      <c r="A6" s="34" t="str">
        <f t="shared" si="0"/>
        <v>1I5</v>
      </c>
      <c r="B6" s="42">
        <v>1</v>
      </c>
      <c r="C6" s="42" t="s">
        <v>6122</v>
      </c>
      <c r="D6" s="36" t="s">
        <v>6214</v>
      </c>
      <c r="E6" s="36" t="s">
        <v>6215</v>
      </c>
      <c r="F6" s="35">
        <v>5</v>
      </c>
      <c r="G6" s="35" t="s">
        <v>6116</v>
      </c>
      <c r="H6" s="38" t="s">
        <v>6216</v>
      </c>
    </row>
    <row r="7" spans="1:8" ht="30" x14ac:dyDescent="0.2">
      <c r="A7" s="34" t="str">
        <f t="shared" si="0"/>
        <v>1I6</v>
      </c>
      <c r="B7" s="42">
        <v>1</v>
      </c>
      <c r="C7" s="42" t="s">
        <v>6122</v>
      </c>
      <c r="D7" s="36" t="s">
        <v>6217</v>
      </c>
      <c r="E7" s="36" t="s">
        <v>6215</v>
      </c>
      <c r="F7" s="35">
        <v>6</v>
      </c>
      <c r="G7" s="35" t="s">
        <v>6133</v>
      </c>
      <c r="H7" s="35" t="s">
        <v>6216</v>
      </c>
    </row>
    <row r="8" spans="1:8" ht="30" x14ac:dyDescent="0.2">
      <c r="A8" s="34" t="str">
        <f t="shared" si="0"/>
        <v>1I7</v>
      </c>
      <c r="B8" s="42">
        <v>1</v>
      </c>
      <c r="C8" s="42" t="s">
        <v>6122</v>
      </c>
      <c r="D8" s="36" t="s">
        <v>6218</v>
      </c>
      <c r="E8" s="36" t="s">
        <v>6215</v>
      </c>
      <c r="F8" s="35">
        <v>7</v>
      </c>
      <c r="G8" s="35" t="s">
        <v>6136</v>
      </c>
      <c r="H8" s="35" t="s">
        <v>6216</v>
      </c>
    </row>
    <row r="9" spans="1:8" ht="30" x14ac:dyDescent="0.2">
      <c r="A9" s="34" t="str">
        <f t="shared" si="0"/>
        <v>1I8</v>
      </c>
      <c r="B9" s="42">
        <v>1</v>
      </c>
      <c r="C9" s="42" t="s">
        <v>6122</v>
      </c>
      <c r="D9" s="36" t="s">
        <v>6219</v>
      </c>
      <c r="E9" s="36" t="s">
        <v>6215</v>
      </c>
      <c r="F9" s="35">
        <v>8</v>
      </c>
      <c r="G9" s="35" t="s">
        <v>6133</v>
      </c>
      <c r="H9" s="35" t="s">
        <v>6216</v>
      </c>
    </row>
    <row r="10" spans="1:8" ht="30" x14ac:dyDescent="0.2">
      <c r="A10" s="34" t="str">
        <f t="shared" si="0"/>
        <v>1I9</v>
      </c>
      <c r="B10" s="42">
        <v>1</v>
      </c>
      <c r="C10" s="42" t="s">
        <v>6122</v>
      </c>
      <c r="D10" s="36" t="s">
        <v>6220</v>
      </c>
      <c r="E10" s="36" t="s">
        <v>6221</v>
      </c>
      <c r="F10" s="35">
        <v>9</v>
      </c>
      <c r="G10" s="35" t="s">
        <v>6140</v>
      </c>
      <c r="H10" s="35" t="s">
        <v>6137</v>
      </c>
    </row>
    <row r="11" spans="1:8" ht="30" x14ac:dyDescent="0.2">
      <c r="A11" s="34" t="str">
        <f t="shared" si="0"/>
        <v>1I10</v>
      </c>
      <c r="B11" s="42">
        <v>1</v>
      </c>
      <c r="C11" s="42" t="s">
        <v>6122</v>
      </c>
      <c r="D11" s="36" t="s">
        <v>6220</v>
      </c>
      <c r="E11" s="36" t="s">
        <v>6221</v>
      </c>
      <c r="F11" s="35">
        <v>10</v>
      </c>
      <c r="G11" s="35" t="s">
        <v>6136</v>
      </c>
      <c r="H11" s="35" t="s">
        <v>6137</v>
      </c>
    </row>
    <row r="12" spans="1:8" ht="30.75" x14ac:dyDescent="0.2">
      <c r="A12" s="34" t="str">
        <f t="shared" si="0"/>
        <v>2I1</v>
      </c>
      <c r="B12" s="42">
        <v>2</v>
      </c>
      <c r="C12" s="42" t="s">
        <v>6122</v>
      </c>
      <c r="D12" s="39" t="s">
        <v>6242</v>
      </c>
      <c r="E12" s="39" t="s">
        <v>6243</v>
      </c>
      <c r="F12" s="35">
        <v>1</v>
      </c>
      <c r="G12" s="35" t="s">
        <v>6136</v>
      </c>
      <c r="H12" s="35" t="s">
        <v>6134</v>
      </c>
    </row>
    <row r="13" spans="1:8" ht="30" x14ac:dyDescent="0.2">
      <c r="A13" s="34" t="str">
        <f t="shared" si="0"/>
        <v>2I2</v>
      </c>
      <c r="B13" s="42">
        <v>2</v>
      </c>
      <c r="C13" s="42" t="s">
        <v>6122</v>
      </c>
      <c r="D13" s="36" t="s">
        <v>6244</v>
      </c>
      <c r="E13" s="36" t="s">
        <v>6245</v>
      </c>
      <c r="F13" s="35">
        <v>2</v>
      </c>
      <c r="G13" s="35" t="s">
        <v>6140</v>
      </c>
      <c r="H13" s="35" t="s">
        <v>6137</v>
      </c>
    </row>
    <row r="14" spans="1:8" ht="30" x14ac:dyDescent="0.2">
      <c r="A14" s="34" t="str">
        <f t="shared" si="0"/>
        <v>2I3</v>
      </c>
      <c r="B14" s="42">
        <v>2</v>
      </c>
      <c r="C14" s="42" t="s">
        <v>6122</v>
      </c>
      <c r="D14" s="36" t="s">
        <v>6246</v>
      </c>
      <c r="E14" s="36" t="s">
        <v>6247</v>
      </c>
      <c r="F14" s="35">
        <v>3</v>
      </c>
      <c r="G14" s="35" t="s">
        <v>6116</v>
      </c>
      <c r="H14" s="35" t="s">
        <v>6184</v>
      </c>
    </row>
    <row r="15" spans="1:8" ht="30" x14ac:dyDescent="0.2">
      <c r="A15" s="34" t="str">
        <f t="shared" si="0"/>
        <v>2I4</v>
      </c>
      <c r="B15" s="42">
        <v>2</v>
      </c>
      <c r="C15" s="42" t="s">
        <v>6122</v>
      </c>
      <c r="D15" s="36" t="s">
        <v>6248</v>
      </c>
      <c r="E15" s="36" t="s">
        <v>6249</v>
      </c>
      <c r="F15" s="35">
        <v>4</v>
      </c>
      <c r="G15" s="35" t="s">
        <v>6136</v>
      </c>
      <c r="H15" s="35" t="s">
        <v>6184</v>
      </c>
    </row>
    <row r="16" spans="1:8" ht="30" x14ac:dyDescent="0.2">
      <c r="A16" s="34" t="str">
        <f t="shared" si="0"/>
        <v>2I5</v>
      </c>
      <c r="B16" s="42">
        <v>2</v>
      </c>
      <c r="C16" s="42" t="s">
        <v>6122</v>
      </c>
      <c r="D16" s="36" t="s">
        <v>6248</v>
      </c>
      <c r="E16" s="36" t="s">
        <v>6250</v>
      </c>
      <c r="F16" s="35">
        <v>5</v>
      </c>
      <c r="G16" s="35" t="s">
        <v>6133</v>
      </c>
      <c r="H16" s="38" t="s">
        <v>6154</v>
      </c>
    </row>
    <row r="17" spans="1:8" ht="30" x14ac:dyDescent="0.2">
      <c r="A17" s="34" t="str">
        <f t="shared" si="0"/>
        <v>2I6</v>
      </c>
      <c r="B17" s="42">
        <v>2</v>
      </c>
      <c r="C17" s="42" t="s">
        <v>6122</v>
      </c>
      <c r="D17" s="36" t="s">
        <v>6251</v>
      </c>
      <c r="E17" s="36" t="s">
        <v>6252</v>
      </c>
      <c r="F17" s="35">
        <v>6</v>
      </c>
      <c r="G17" s="35" t="s">
        <v>6140</v>
      </c>
      <c r="H17" s="35" t="s">
        <v>6134</v>
      </c>
    </row>
    <row r="18" spans="1:8" ht="46.5" x14ac:dyDescent="0.2">
      <c r="A18" s="34" t="str">
        <f t="shared" si="0"/>
        <v>2I7</v>
      </c>
      <c r="B18" s="42">
        <v>2</v>
      </c>
      <c r="C18" s="42" t="s">
        <v>6122</v>
      </c>
      <c r="D18" s="36" t="s">
        <v>6253</v>
      </c>
      <c r="E18" s="36" t="s">
        <v>6254</v>
      </c>
      <c r="F18" s="35">
        <v>7</v>
      </c>
      <c r="G18" s="35" t="s">
        <v>6133</v>
      </c>
      <c r="H18" s="35" t="s">
        <v>6134</v>
      </c>
    </row>
    <row r="19" spans="1:8" ht="30" x14ac:dyDescent="0.2">
      <c r="A19" s="34" t="str">
        <f t="shared" si="0"/>
        <v>2I8</v>
      </c>
      <c r="B19" s="42">
        <v>2</v>
      </c>
      <c r="C19" s="42" t="s">
        <v>6122</v>
      </c>
      <c r="D19" s="36" t="s">
        <v>6255</v>
      </c>
      <c r="E19" s="36" t="s">
        <v>6256</v>
      </c>
      <c r="F19" s="35">
        <v>8</v>
      </c>
      <c r="G19" s="35" t="s">
        <v>6116</v>
      </c>
      <c r="H19" s="35" t="s">
        <v>6134</v>
      </c>
    </row>
    <row r="20" spans="1:8" ht="30" x14ac:dyDescent="0.2">
      <c r="A20" s="34" t="str">
        <f t="shared" si="0"/>
        <v>2I9</v>
      </c>
      <c r="B20" s="42">
        <v>2</v>
      </c>
      <c r="C20" s="42" t="s">
        <v>6122</v>
      </c>
      <c r="D20" s="36" t="s">
        <v>6257</v>
      </c>
      <c r="E20" s="36" t="s">
        <v>6258</v>
      </c>
      <c r="F20" s="35">
        <v>9</v>
      </c>
      <c r="G20" s="35" t="s">
        <v>6140</v>
      </c>
      <c r="H20" s="35" t="s">
        <v>6184</v>
      </c>
    </row>
    <row r="21" spans="1:8" ht="45" x14ac:dyDescent="0.2">
      <c r="A21" s="34" t="str">
        <f t="shared" si="0"/>
        <v>2I10</v>
      </c>
      <c r="B21" s="42">
        <v>2</v>
      </c>
      <c r="C21" s="42" t="s">
        <v>6122</v>
      </c>
      <c r="D21" s="36" t="s">
        <v>6259</v>
      </c>
      <c r="E21" s="36" t="s">
        <v>6260</v>
      </c>
      <c r="F21" s="35">
        <v>10</v>
      </c>
      <c r="G21" s="35" t="s">
        <v>6133</v>
      </c>
      <c r="H21" s="35" t="s">
        <v>6134</v>
      </c>
    </row>
    <row r="22" spans="1:8" ht="45" x14ac:dyDescent="0.2">
      <c r="A22" s="34" t="str">
        <f t="shared" si="0"/>
        <v>3I1</v>
      </c>
      <c r="B22" s="42">
        <v>3</v>
      </c>
      <c r="C22" s="42" t="s">
        <v>6122</v>
      </c>
      <c r="D22" s="35" t="s">
        <v>6313</v>
      </c>
      <c r="E22" s="61" t="s">
        <v>6314</v>
      </c>
      <c r="F22" s="35">
        <v>1</v>
      </c>
      <c r="G22" s="35" t="s">
        <v>6133</v>
      </c>
      <c r="H22" s="38" t="s">
        <v>6134</v>
      </c>
    </row>
    <row r="23" spans="1:8" ht="45.75" x14ac:dyDescent="0.2">
      <c r="A23" s="34" t="str">
        <f t="shared" si="0"/>
        <v>3I2</v>
      </c>
      <c r="B23" s="42">
        <v>3</v>
      </c>
      <c r="C23" s="42" t="s">
        <v>6122</v>
      </c>
      <c r="D23" s="35" t="s">
        <v>6315</v>
      </c>
      <c r="E23" s="61" t="s">
        <v>6316</v>
      </c>
      <c r="F23" s="35">
        <v>2</v>
      </c>
      <c r="G23" s="35" t="s">
        <v>6140</v>
      </c>
      <c r="H23" s="38" t="s">
        <v>6134</v>
      </c>
    </row>
    <row r="24" spans="1:8" ht="30" x14ac:dyDescent="0.2">
      <c r="A24" s="34" t="str">
        <f t="shared" si="0"/>
        <v>3I3</v>
      </c>
      <c r="B24" s="42">
        <v>3</v>
      </c>
      <c r="C24" s="42" t="s">
        <v>6122</v>
      </c>
      <c r="D24" s="35" t="s">
        <v>6317</v>
      </c>
      <c r="E24" s="36" t="s">
        <v>6318</v>
      </c>
      <c r="F24" s="35">
        <v>3</v>
      </c>
      <c r="G24" s="35" t="s">
        <v>6133</v>
      </c>
      <c r="H24" s="38" t="s">
        <v>6134</v>
      </c>
    </row>
    <row r="25" spans="1:8" ht="60" x14ac:dyDescent="0.2">
      <c r="A25" s="34" t="str">
        <f t="shared" si="0"/>
        <v>3I4</v>
      </c>
      <c r="B25" s="42">
        <v>3</v>
      </c>
      <c r="C25" s="42" t="s">
        <v>6122</v>
      </c>
      <c r="D25" s="35" t="s">
        <v>6319</v>
      </c>
      <c r="E25" s="36" t="s">
        <v>6320</v>
      </c>
      <c r="F25" s="35">
        <v>4</v>
      </c>
      <c r="G25" s="35" t="s">
        <v>6116</v>
      </c>
      <c r="H25" s="38" t="s">
        <v>6134</v>
      </c>
    </row>
    <row r="26" spans="1:8" ht="30" x14ac:dyDescent="0.2">
      <c r="A26" s="34" t="str">
        <f t="shared" si="0"/>
        <v>3I5</v>
      </c>
      <c r="B26" s="42">
        <v>3</v>
      </c>
      <c r="C26" s="42" t="s">
        <v>6122</v>
      </c>
      <c r="D26" s="209" t="s">
        <v>6321</v>
      </c>
      <c r="E26" s="61" t="s">
        <v>6322</v>
      </c>
      <c r="F26" s="35">
        <v>5</v>
      </c>
      <c r="G26" s="35" t="s">
        <v>6136</v>
      </c>
      <c r="H26" s="38" t="s">
        <v>6134</v>
      </c>
    </row>
    <row r="27" spans="1:8" ht="30" x14ac:dyDescent="0.2">
      <c r="A27" s="34" t="str">
        <f t="shared" si="0"/>
        <v>3I6</v>
      </c>
      <c r="B27" s="42">
        <v>3</v>
      </c>
      <c r="C27" s="42" t="s">
        <v>6122</v>
      </c>
      <c r="D27" s="226"/>
      <c r="E27" s="61" t="s">
        <v>6323</v>
      </c>
      <c r="F27" s="35">
        <v>6</v>
      </c>
      <c r="G27" s="35" t="s">
        <v>6136</v>
      </c>
      <c r="H27" s="38" t="s">
        <v>6134</v>
      </c>
    </row>
    <row r="28" spans="1:8" ht="30" x14ac:dyDescent="0.2">
      <c r="A28" s="34" t="str">
        <f t="shared" si="0"/>
        <v>3I7</v>
      </c>
      <c r="B28" s="42">
        <v>3</v>
      </c>
      <c r="C28" s="42" t="s">
        <v>6122</v>
      </c>
      <c r="D28" s="209" t="s">
        <v>6324</v>
      </c>
      <c r="E28" s="61" t="s">
        <v>6322</v>
      </c>
      <c r="F28" s="35">
        <v>7</v>
      </c>
      <c r="G28" s="35" t="s">
        <v>6116</v>
      </c>
      <c r="H28" s="38" t="s">
        <v>6134</v>
      </c>
    </row>
    <row r="29" spans="1:8" ht="30" x14ac:dyDescent="0.2">
      <c r="A29" s="34" t="str">
        <f t="shared" si="0"/>
        <v>3I8</v>
      </c>
      <c r="B29" s="42">
        <v>3</v>
      </c>
      <c r="C29" s="42" t="s">
        <v>6122</v>
      </c>
      <c r="D29" s="226"/>
      <c r="E29" s="61" t="s">
        <v>6322</v>
      </c>
      <c r="F29" s="35">
        <v>8</v>
      </c>
      <c r="G29" s="35" t="s">
        <v>6140</v>
      </c>
      <c r="H29" s="38" t="s">
        <v>6134</v>
      </c>
    </row>
    <row r="30" spans="1:8" ht="30" x14ac:dyDescent="0.2">
      <c r="A30" s="34" t="str">
        <f t="shared" si="0"/>
        <v>3I9</v>
      </c>
      <c r="B30" s="42">
        <v>3</v>
      </c>
      <c r="C30" s="42" t="s">
        <v>6122</v>
      </c>
      <c r="D30" s="209" t="s">
        <v>6325</v>
      </c>
      <c r="E30" s="61" t="s">
        <v>6326</v>
      </c>
      <c r="F30" s="35">
        <v>9</v>
      </c>
      <c r="G30" s="35" t="s">
        <v>6136</v>
      </c>
      <c r="H30" s="38" t="s">
        <v>6134</v>
      </c>
    </row>
    <row r="31" spans="1:8" ht="30" x14ac:dyDescent="0.2">
      <c r="A31" s="34" t="str">
        <f t="shared" si="0"/>
        <v>3I10</v>
      </c>
      <c r="B31" s="42">
        <v>3</v>
      </c>
      <c r="C31" s="42" t="s">
        <v>6122</v>
      </c>
      <c r="D31" s="226"/>
      <c r="E31" s="61" t="s">
        <v>6326</v>
      </c>
      <c r="F31" s="35">
        <v>10</v>
      </c>
      <c r="G31" s="35" t="s">
        <v>6116</v>
      </c>
      <c r="H31" s="38" t="s">
        <v>6134</v>
      </c>
    </row>
    <row r="32" spans="1:8" ht="30.75" x14ac:dyDescent="0.2">
      <c r="A32" s="34" t="str">
        <f t="shared" si="0"/>
        <v>1II1</v>
      </c>
      <c r="B32" s="34">
        <v>1</v>
      </c>
      <c r="C32" s="34" t="s">
        <v>6384</v>
      </c>
      <c r="D32" s="61" t="s">
        <v>6459</v>
      </c>
      <c r="E32" s="61" t="s">
        <v>6460</v>
      </c>
      <c r="F32" s="111">
        <v>1</v>
      </c>
      <c r="G32" s="111" t="s">
        <v>6116</v>
      </c>
      <c r="H32" s="111" t="s">
        <v>6216</v>
      </c>
    </row>
    <row r="33" spans="1:8" ht="31.5" x14ac:dyDescent="0.2">
      <c r="A33" s="34" t="str">
        <f t="shared" si="0"/>
        <v>1II2</v>
      </c>
      <c r="B33" s="34">
        <v>1</v>
      </c>
      <c r="C33" s="34" t="s">
        <v>6384</v>
      </c>
      <c r="D33" s="61" t="s">
        <v>6461</v>
      </c>
      <c r="E33" s="61" t="s">
        <v>6462</v>
      </c>
      <c r="F33" s="111">
        <v>2</v>
      </c>
      <c r="G33" s="111" t="s">
        <v>6116</v>
      </c>
      <c r="H33" s="111" t="s">
        <v>6216</v>
      </c>
    </row>
    <row r="34" spans="1:8" ht="31.5" x14ac:dyDescent="0.2">
      <c r="A34" s="34" t="str">
        <f t="shared" si="0"/>
        <v>1II3</v>
      </c>
      <c r="B34" s="34">
        <v>1</v>
      </c>
      <c r="C34" s="34" t="s">
        <v>6384</v>
      </c>
      <c r="D34" s="61" t="s">
        <v>6463</v>
      </c>
      <c r="E34" s="61" t="s">
        <v>6462</v>
      </c>
      <c r="F34" s="111">
        <v>3</v>
      </c>
      <c r="G34" s="111" t="s">
        <v>6133</v>
      </c>
      <c r="H34" s="111" t="s">
        <v>6216</v>
      </c>
    </row>
    <row r="35" spans="1:8" ht="30" x14ac:dyDescent="0.2">
      <c r="A35" s="34" t="str">
        <f t="shared" si="0"/>
        <v>1II4</v>
      </c>
      <c r="B35" s="34">
        <v>1</v>
      </c>
      <c r="C35" s="34" t="s">
        <v>6384</v>
      </c>
      <c r="D35" s="61" t="s">
        <v>6464</v>
      </c>
      <c r="E35" s="61" t="s">
        <v>6465</v>
      </c>
      <c r="F35" s="111">
        <v>4</v>
      </c>
      <c r="G35" s="111" t="s">
        <v>6116</v>
      </c>
      <c r="H35" s="111" t="s">
        <v>6466</v>
      </c>
    </row>
    <row r="36" spans="1:8" ht="30" x14ac:dyDescent="0.2">
      <c r="A36" s="34" t="str">
        <f t="shared" si="0"/>
        <v>1II5</v>
      </c>
      <c r="B36" s="34">
        <v>1</v>
      </c>
      <c r="C36" s="34" t="s">
        <v>6384</v>
      </c>
      <c r="D36" s="61" t="s">
        <v>6464</v>
      </c>
      <c r="E36" s="61" t="s">
        <v>6465</v>
      </c>
      <c r="F36" s="111">
        <v>5</v>
      </c>
      <c r="G36" s="111" t="s">
        <v>6136</v>
      </c>
      <c r="H36" s="38" t="s">
        <v>6216</v>
      </c>
    </row>
    <row r="37" spans="1:8" ht="30" x14ac:dyDescent="0.2">
      <c r="A37" s="34" t="str">
        <f t="shared" si="0"/>
        <v>1II6</v>
      </c>
      <c r="B37" s="34">
        <v>1</v>
      </c>
      <c r="C37" s="34" t="s">
        <v>6384</v>
      </c>
      <c r="D37" s="61" t="s">
        <v>6464</v>
      </c>
      <c r="E37" s="61" t="s">
        <v>6465</v>
      </c>
      <c r="F37" s="111">
        <v>6</v>
      </c>
      <c r="G37" s="111" t="s">
        <v>6140</v>
      </c>
      <c r="H37" s="111" t="s">
        <v>6216</v>
      </c>
    </row>
    <row r="38" spans="1:8" ht="30" x14ac:dyDescent="0.2">
      <c r="A38" s="34" t="str">
        <f t="shared" si="0"/>
        <v>1II7</v>
      </c>
      <c r="B38" s="34">
        <v>1</v>
      </c>
      <c r="C38" s="34" t="s">
        <v>6384</v>
      </c>
      <c r="D38" s="61" t="s">
        <v>6467</v>
      </c>
      <c r="E38" s="61" t="s">
        <v>6468</v>
      </c>
      <c r="F38" s="111">
        <v>7</v>
      </c>
      <c r="G38" s="111" t="s">
        <v>6133</v>
      </c>
      <c r="H38" s="111" t="s">
        <v>6469</v>
      </c>
    </row>
    <row r="39" spans="1:8" ht="30" x14ac:dyDescent="0.2">
      <c r="A39" s="34" t="str">
        <f t="shared" si="0"/>
        <v>1II8</v>
      </c>
      <c r="B39" s="34">
        <v>1</v>
      </c>
      <c r="C39" s="34" t="s">
        <v>6384</v>
      </c>
      <c r="D39" s="61" t="s">
        <v>6467</v>
      </c>
      <c r="E39" s="61" t="s">
        <v>6470</v>
      </c>
      <c r="F39" s="111">
        <v>8</v>
      </c>
      <c r="G39" s="111" t="s">
        <v>6140</v>
      </c>
      <c r="H39" s="111" t="s">
        <v>6469</v>
      </c>
    </row>
    <row r="40" spans="1:8" x14ac:dyDescent="0.2">
      <c r="A40" s="34" t="str">
        <f t="shared" si="0"/>
        <v>1II9</v>
      </c>
      <c r="B40" s="34">
        <v>1</v>
      </c>
      <c r="C40" s="34" t="s">
        <v>6384</v>
      </c>
      <c r="D40" s="61" t="s">
        <v>6471</v>
      </c>
      <c r="E40" s="61" t="s">
        <v>6472</v>
      </c>
      <c r="F40" s="111">
        <v>9</v>
      </c>
      <c r="G40" s="111" t="s">
        <v>6136</v>
      </c>
      <c r="H40" s="111" t="s">
        <v>6469</v>
      </c>
    </row>
    <row r="41" spans="1:8" x14ac:dyDescent="0.2">
      <c r="A41" s="34" t="str">
        <f t="shared" si="0"/>
        <v>1II10</v>
      </c>
      <c r="B41" s="34">
        <v>1</v>
      </c>
      <c r="C41" s="34" t="s">
        <v>6384</v>
      </c>
      <c r="D41" s="61" t="s">
        <v>6471</v>
      </c>
      <c r="E41" s="61" t="s">
        <v>6472</v>
      </c>
      <c r="F41" s="111">
        <v>10</v>
      </c>
      <c r="G41" s="111" t="s">
        <v>6116</v>
      </c>
      <c r="H41" s="111" t="s">
        <v>6469</v>
      </c>
    </row>
    <row r="42" spans="1:8" ht="30" x14ac:dyDescent="0.2">
      <c r="A42" s="34" t="str">
        <f t="shared" si="0"/>
        <v>2II1</v>
      </c>
      <c r="B42" s="34">
        <v>2</v>
      </c>
      <c r="C42" s="34" t="s">
        <v>6384</v>
      </c>
      <c r="D42" s="112" t="s">
        <v>6523</v>
      </c>
      <c r="E42" s="112" t="s">
        <v>6524</v>
      </c>
      <c r="F42" s="111">
        <v>1</v>
      </c>
      <c r="G42" s="111" t="s">
        <v>6140</v>
      </c>
      <c r="H42" s="111" t="s">
        <v>6137</v>
      </c>
    </row>
    <row r="43" spans="1:8" ht="30" x14ac:dyDescent="0.2">
      <c r="A43" s="34" t="str">
        <f t="shared" si="0"/>
        <v>2II2</v>
      </c>
      <c r="B43" s="34">
        <v>2</v>
      </c>
      <c r="C43" s="34" t="s">
        <v>6384</v>
      </c>
      <c r="D43" s="112" t="s">
        <v>6525</v>
      </c>
      <c r="E43" s="112" t="s">
        <v>6526</v>
      </c>
      <c r="F43" s="111">
        <v>2</v>
      </c>
      <c r="G43" s="111" t="s">
        <v>6133</v>
      </c>
      <c r="H43" s="111" t="s">
        <v>6137</v>
      </c>
    </row>
    <row r="44" spans="1:8" ht="30" x14ac:dyDescent="0.2">
      <c r="A44" s="34" t="str">
        <f t="shared" si="0"/>
        <v>2II3</v>
      </c>
      <c r="B44" s="34">
        <v>2</v>
      </c>
      <c r="C44" s="34" t="s">
        <v>6384</v>
      </c>
      <c r="D44" s="112" t="s">
        <v>6527</v>
      </c>
      <c r="E44" s="112" t="s">
        <v>6528</v>
      </c>
      <c r="F44" s="111">
        <v>3</v>
      </c>
      <c r="G44" s="111" t="s">
        <v>6116</v>
      </c>
      <c r="H44" s="111" t="s">
        <v>6134</v>
      </c>
    </row>
    <row r="45" spans="1:8" ht="30" x14ac:dyDescent="0.2">
      <c r="A45" s="34" t="str">
        <f t="shared" si="0"/>
        <v>2II4</v>
      </c>
      <c r="B45" s="34">
        <v>2</v>
      </c>
      <c r="C45" s="34" t="s">
        <v>6384</v>
      </c>
      <c r="D45" s="112" t="s">
        <v>6529</v>
      </c>
      <c r="E45" s="112" t="s">
        <v>6530</v>
      </c>
      <c r="F45" s="111">
        <v>4</v>
      </c>
      <c r="G45" s="111" t="s">
        <v>6133</v>
      </c>
      <c r="H45" s="111" t="s">
        <v>6134</v>
      </c>
    </row>
    <row r="46" spans="1:8" ht="30" x14ac:dyDescent="0.2">
      <c r="A46" s="34" t="str">
        <f t="shared" si="0"/>
        <v>2II5</v>
      </c>
      <c r="B46" s="34">
        <v>2</v>
      </c>
      <c r="C46" s="34" t="s">
        <v>6384</v>
      </c>
      <c r="D46" s="112" t="s">
        <v>6531</v>
      </c>
      <c r="E46" s="112" t="s">
        <v>6532</v>
      </c>
      <c r="F46" s="111">
        <v>5</v>
      </c>
      <c r="G46" s="111" t="s">
        <v>6116</v>
      </c>
      <c r="H46" s="38" t="s">
        <v>6134</v>
      </c>
    </row>
    <row r="47" spans="1:8" ht="45" x14ac:dyDescent="0.2">
      <c r="A47" s="34" t="str">
        <f t="shared" si="0"/>
        <v>2II6</v>
      </c>
      <c r="B47" s="34">
        <v>2</v>
      </c>
      <c r="C47" s="34" t="s">
        <v>6384</v>
      </c>
      <c r="D47" s="112" t="s">
        <v>6533</v>
      </c>
      <c r="E47" s="112" t="s">
        <v>6534</v>
      </c>
      <c r="F47" s="111">
        <v>6</v>
      </c>
      <c r="G47" s="111" t="s">
        <v>6136</v>
      </c>
      <c r="H47" s="111" t="s">
        <v>6154</v>
      </c>
    </row>
    <row r="48" spans="1:8" ht="30" x14ac:dyDescent="0.2">
      <c r="A48" s="34" t="str">
        <f t="shared" si="0"/>
        <v>2II7</v>
      </c>
      <c r="B48" s="34">
        <v>2</v>
      </c>
      <c r="C48" s="34" t="s">
        <v>6384</v>
      </c>
      <c r="D48" s="221" t="s">
        <v>6535</v>
      </c>
      <c r="E48" s="221" t="s">
        <v>6536</v>
      </c>
      <c r="F48" s="111">
        <v>7</v>
      </c>
      <c r="G48" s="111" t="s">
        <v>6140</v>
      </c>
      <c r="H48" s="111" t="s">
        <v>6134</v>
      </c>
    </row>
    <row r="49" spans="1:8" ht="30" x14ac:dyDescent="0.2">
      <c r="A49" s="34" t="str">
        <f t="shared" si="0"/>
        <v>2II8</v>
      </c>
      <c r="B49" s="34">
        <v>2</v>
      </c>
      <c r="C49" s="34" t="s">
        <v>6384</v>
      </c>
      <c r="D49" s="225"/>
      <c r="E49" s="225"/>
      <c r="F49" s="111">
        <v>8</v>
      </c>
      <c r="G49" s="111" t="s">
        <v>6136</v>
      </c>
      <c r="H49" s="111" t="s">
        <v>6134</v>
      </c>
    </row>
    <row r="50" spans="1:8" ht="30" x14ac:dyDescent="0.2">
      <c r="A50" s="34" t="str">
        <f t="shared" si="0"/>
        <v>2II9</v>
      </c>
      <c r="B50" s="34">
        <v>2</v>
      </c>
      <c r="C50" s="34" t="s">
        <v>6384</v>
      </c>
      <c r="D50" s="221" t="s">
        <v>6537</v>
      </c>
      <c r="E50" s="221" t="s">
        <v>6538</v>
      </c>
      <c r="F50" s="111">
        <v>9</v>
      </c>
      <c r="G50" s="111" t="s">
        <v>6133</v>
      </c>
      <c r="H50" s="111" t="s">
        <v>6134</v>
      </c>
    </row>
    <row r="51" spans="1:8" ht="30" x14ac:dyDescent="0.2">
      <c r="A51" s="34" t="str">
        <f t="shared" si="0"/>
        <v>2II10</v>
      </c>
      <c r="B51" s="34">
        <v>2</v>
      </c>
      <c r="C51" s="34" t="s">
        <v>6384</v>
      </c>
      <c r="D51" s="225"/>
      <c r="E51" s="225"/>
      <c r="F51" s="111">
        <v>10</v>
      </c>
      <c r="G51" s="111" t="s">
        <v>6140</v>
      </c>
      <c r="H51" s="111" t="s">
        <v>6134</v>
      </c>
    </row>
    <row r="52" spans="1:8" ht="30.75" x14ac:dyDescent="0.2">
      <c r="A52" s="34" t="str">
        <f t="shared" si="0"/>
        <v>3II1</v>
      </c>
      <c r="B52" s="34">
        <v>3</v>
      </c>
      <c r="C52" s="34" t="s">
        <v>6384</v>
      </c>
      <c r="D52" s="112" t="s">
        <v>6602</v>
      </c>
      <c r="E52" s="61" t="s">
        <v>6603</v>
      </c>
      <c r="F52" s="111">
        <v>1</v>
      </c>
      <c r="G52" s="111" t="s">
        <v>6136</v>
      </c>
      <c r="H52" s="38" t="s">
        <v>6134</v>
      </c>
    </row>
    <row r="53" spans="1:8" ht="30" x14ac:dyDescent="0.2">
      <c r="A53" s="34" t="str">
        <f t="shared" si="0"/>
        <v>3II2</v>
      </c>
      <c r="B53" s="34">
        <v>3</v>
      </c>
      <c r="C53" s="34" t="s">
        <v>6384</v>
      </c>
      <c r="D53" s="112" t="s">
        <v>6604</v>
      </c>
      <c r="E53" s="61" t="s">
        <v>6605</v>
      </c>
      <c r="F53" s="111">
        <v>2</v>
      </c>
      <c r="G53" s="111" t="s">
        <v>6133</v>
      </c>
      <c r="H53" s="38" t="s">
        <v>6134</v>
      </c>
    </row>
    <row r="54" spans="1:8" ht="30" x14ac:dyDescent="0.2">
      <c r="A54" s="34" t="str">
        <f t="shared" si="0"/>
        <v>3II3</v>
      </c>
      <c r="B54" s="34">
        <v>3</v>
      </c>
      <c r="C54" s="34" t="s">
        <v>6384</v>
      </c>
      <c r="D54" s="112" t="s">
        <v>6606</v>
      </c>
      <c r="E54" s="112" t="s">
        <v>6607</v>
      </c>
      <c r="F54" s="111">
        <v>3</v>
      </c>
      <c r="G54" s="111" t="s">
        <v>6136</v>
      </c>
      <c r="H54" s="38" t="s">
        <v>6134</v>
      </c>
    </row>
    <row r="55" spans="1:8" ht="30.75" x14ac:dyDescent="0.2">
      <c r="A55" s="34" t="str">
        <f t="shared" si="0"/>
        <v>3II4</v>
      </c>
      <c r="B55" s="34">
        <v>3</v>
      </c>
      <c r="C55" s="34" t="s">
        <v>6384</v>
      </c>
      <c r="D55" s="112" t="s">
        <v>6608</v>
      </c>
      <c r="E55" s="61" t="s">
        <v>6603</v>
      </c>
      <c r="F55" s="111">
        <v>4</v>
      </c>
      <c r="G55" s="111" t="s">
        <v>6116</v>
      </c>
      <c r="H55" s="38" t="s">
        <v>6134</v>
      </c>
    </row>
    <row r="56" spans="1:8" ht="30" x14ac:dyDescent="0.2">
      <c r="A56" s="34" t="str">
        <f t="shared" si="0"/>
        <v>3II5</v>
      </c>
      <c r="B56" s="34">
        <v>3</v>
      </c>
      <c r="C56" s="34" t="s">
        <v>6384</v>
      </c>
      <c r="D56" s="112" t="s">
        <v>6609</v>
      </c>
      <c r="E56" s="61" t="s">
        <v>6610</v>
      </c>
      <c r="F56" s="111">
        <v>5</v>
      </c>
      <c r="G56" s="111" t="s">
        <v>6140</v>
      </c>
      <c r="H56" s="38" t="s">
        <v>6134</v>
      </c>
    </row>
    <row r="57" spans="1:8" ht="30" x14ac:dyDescent="0.2">
      <c r="A57" s="34" t="str">
        <f t="shared" si="0"/>
        <v>3II6</v>
      </c>
      <c r="B57" s="34">
        <v>3</v>
      </c>
      <c r="C57" s="34" t="s">
        <v>6384</v>
      </c>
      <c r="D57" s="112" t="s">
        <v>6611</v>
      </c>
      <c r="E57" s="61" t="s">
        <v>6612</v>
      </c>
      <c r="F57" s="111">
        <v>6</v>
      </c>
      <c r="G57" s="111" t="s">
        <v>6140</v>
      </c>
      <c r="H57" s="38" t="s">
        <v>6134</v>
      </c>
    </row>
    <row r="58" spans="1:8" ht="30.75" x14ac:dyDescent="0.2">
      <c r="A58" s="34" t="str">
        <f t="shared" si="0"/>
        <v>3II7</v>
      </c>
      <c r="B58" s="34">
        <v>3</v>
      </c>
      <c r="C58" s="34" t="s">
        <v>6384</v>
      </c>
      <c r="D58" s="112" t="s">
        <v>6613</v>
      </c>
      <c r="E58" s="61" t="s">
        <v>6614</v>
      </c>
      <c r="F58" s="111">
        <v>7</v>
      </c>
      <c r="G58" s="111" t="s">
        <v>6116</v>
      </c>
      <c r="H58" s="38" t="s">
        <v>6134</v>
      </c>
    </row>
    <row r="59" spans="1:8" ht="30.75" x14ac:dyDescent="0.2">
      <c r="A59" s="34" t="str">
        <f t="shared" si="0"/>
        <v>3II8</v>
      </c>
      <c r="B59" s="34">
        <v>3</v>
      </c>
      <c r="C59" s="34" t="s">
        <v>6384</v>
      </c>
      <c r="D59" s="112" t="s">
        <v>6615</v>
      </c>
      <c r="E59" s="61" t="s">
        <v>6603</v>
      </c>
      <c r="F59" s="111">
        <v>8</v>
      </c>
      <c r="G59" s="111" t="s">
        <v>6133</v>
      </c>
      <c r="H59" s="38" t="s">
        <v>6134</v>
      </c>
    </row>
    <row r="60" spans="1:8" ht="30" x14ac:dyDescent="0.2">
      <c r="A60" s="34" t="str">
        <f t="shared" si="0"/>
        <v>3II9</v>
      </c>
      <c r="B60" s="34">
        <v>3</v>
      </c>
      <c r="C60" s="34" t="s">
        <v>6384</v>
      </c>
      <c r="D60" s="112" t="s">
        <v>6616</v>
      </c>
      <c r="E60" s="61" t="s">
        <v>6617</v>
      </c>
      <c r="F60" s="111">
        <v>9</v>
      </c>
      <c r="G60" s="111" t="s">
        <v>6116</v>
      </c>
      <c r="H60" s="38" t="s">
        <v>6134</v>
      </c>
    </row>
    <row r="61" spans="1:8" ht="30" x14ac:dyDescent="0.2">
      <c r="A61" s="34" t="str">
        <f t="shared" si="0"/>
        <v>3II10</v>
      </c>
      <c r="B61" s="34">
        <v>3</v>
      </c>
      <c r="C61" s="34" t="s">
        <v>6384</v>
      </c>
      <c r="D61" s="112" t="s">
        <v>6618</v>
      </c>
      <c r="E61" s="61" t="s">
        <v>6619</v>
      </c>
      <c r="F61" s="111">
        <v>10</v>
      </c>
      <c r="G61" s="111" t="s">
        <v>6140</v>
      </c>
      <c r="H61" s="38" t="s">
        <v>6134</v>
      </c>
    </row>
    <row r="62" spans="1:8" x14ac:dyDescent="0.2">
      <c r="A62" s="34" t="str">
        <f t="shared" si="0"/>
        <v/>
      </c>
    </row>
    <row r="63" spans="1:8" x14ac:dyDescent="0.2">
      <c r="A63" s="34" t="str">
        <f t="shared" si="0"/>
        <v/>
      </c>
    </row>
    <row r="64" spans="1:8" x14ac:dyDescent="0.2">
      <c r="A64" s="34" t="str">
        <f t="shared" si="0"/>
        <v/>
      </c>
    </row>
    <row r="65" spans="1:1" x14ac:dyDescent="0.2">
      <c r="A65" s="34" t="str">
        <f t="shared" si="0"/>
        <v/>
      </c>
    </row>
    <row r="66" spans="1:1" x14ac:dyDescent="0.2">
      <c r="A66" s="34" t="str">
        <f t="shared" si="0"/>
        <v/>
      </c>
    </row>
    <row r="67" spans="1:1" x14ac:dyDescent="0.2">
      <c r="A67" s="34" t="str">
        <f t="shared" ref="A67:A130" si="1">CONCATENATE(B67,C67,F67)</f>
        <v/>
      </c>
    </row>
    <row r="68" spans="1:1" x14ac:dyDescent="0.2">
      <c r="A68" s="34" t="str">
        <f t="shared" si="1"/>
        <v/>
      </c>
    </row>
    <row r="69" spans="1:1" x14ac:dyDescent="0.2">
      <c r="A69" s="34" t="str">
        <f t="shared" si="1"/>
        <v/>
      </c>
    </row>
    <row r="70" spans="1:1" x14ac:dyDescent="0.2">
      <c r="A70" s="34" t="str">
        <f t="shared" si="1"/>
        <v/>
      </c>
    </row>
    <row r="71" spans="1:1" x14ac:dyDescent="0.2">
      <c r="A71" s="34" t="str">
        <f t="shared" si="1"/>
        <v/>
      </c>
    </row>
    <row r="72" spans="1:1" x14ac:dyDescent="0.2">
      <c r="A72" s="34" t="str">
        <f t="shared" si="1"/>
        <v/>
      </c>
    </row>
    <row r="73" spans="1:1" x14ac:dyDescent="0.2">
      <c r="A73" s="34" t="str">
        <f t="shared" si="1"/>
        <v/>
      </c>
    </row>
    <row r="74" spans="1:1" x14ac:dyDescent="0.2">
      <c r="A74" s="34" t="str">
        <f t="shared" si="1"/>
        <v/>
      </c>
    </row>
    <row r="75" spans="1:1" x14ac:dyDescent="0.2">
      <c r="A75" s="34" t="str">
        <f t="shared" si="1"/>
        <v/>
      </c>
    </row>
    <row r="76" spans="1:1" x14ac:dyDescent="0.2">
      <c r="A76" s="34" t="str">
        <f t="shared" si="1"/>
        <v/>
      </c>
    </row>
    <row r="77" spans="1:1" x14ac:dyDescent="0.2">
      <c r="A77" s="34" t="str">
        <f t="shared" si="1"/>
        <v/>
      </c>
    </row>
    <row r="78" spans="1:1" x14ac:dyDescent="0.2">
      <c r="A78" s="34" t="str">
        <f t="shared" si="1"/>
        <v/>
      </c>
    </row>
    <row r="79" spans="1:1" x14ac:dyDescent="0.2">
      <c r="A79" s="34" t="str">
        <f t="shared" si="1"/>
        <v/>
      </c>
    </row>
    <row r="80" spans="1:1" x14ac:dyDescent="0.2">
      <c r="A80" s="34" t="str">
        <f t="shared" si="1"/>
        <v/>
      </c>
    </row>
    <row r="81" spans="1:1" x14ac:dyDescent="0.2">
      <c r="A81" s="34" t="str">
        <f t="shared" si="1"/>
        <v/>
      </c>
    </row>
    <row r="82" spans="1:1" x14ac:dyDescent="0.2">
      <c r="A82" s="34" t="str">
        <f t="shared" si="1"/>
        <v/>
      </c>
    </row>
    <row r="83" spans="1:1" x14ac:dyDescent="0.2">
      <c r="A83" s="34" t="str">
        <f t="shared" si="1"/>
        <v/>
      </c>
    </row>
    <row r="84" spans="1:1" x14ac:dyDescent="0.2">
      <c r="A84" s="34" t="str">
        <f t="shared" si="1"/>
        <v/>
      </c>
    </row>
    <row r="85" spans="1:1" x14ac:dyDescent="0.2">
      <c r="A85" s="34" t="str">
        <f t="shared" si="1"/>
        <v/>
      </c>
    </row>
    <row r="86" spans="1:1" x14ac:dyDescent="0.2">
      <c r="A86" s="34" t="str">
        <f t="shared" si="1"/>
        <v/>
      </c>
    </row>
    <row r="87" spans="1:1" x14ac:dyDescent="0.2">
      <c r="A87" s="34" t="str">
        <f t="shared" si="1"/>
        <v/>
      </c>
    </row>
    <row r="88" spans="1:1" x14ac:dyDescent="0.2">
      <c r="A88" s="34" t="str">
        <f t="shared" si="1"/>
        <v/>
      </c>
    </row>
    <row r="89" spans="1:1" x14ac:dyDescent="0.2">
      <c r="A89" s="34" t="str">
        <f t="shared" si="1"/>
        <v/>
      </c>
    </row>
    <row r="90" spans="1:1" x14ac:dyDescent="0.2">
      <c r="A90" s="34" t="str">
        <f t="shared" si="1"/>
        <v/>
      </c>
    </row>
    <row r="91" spans="1:1" x14ac:dyDescent="0.2">
      <c r="A91" s="34" t="str">
        <f t="shared" si="1"/>
        <v/>
      </c>
    </row>
    <row r="92" spans="1:1" x14ac:dyDescent="0.2">
      <c r="A92" s="34" t="str">
        <f t="shared" si="1"/>
        <v/>
      </c>
    </row>
    <row r="93" spans="1:1" x14ac:dyDescent="0.2">
      <c r="A93" s="34" t="str">
        <f t="shared" si="1"/>
        <v/>
      </c>
    </row>
    <row r="94" spans="1:1" x14ac:dyDescent="0.2">
      <c r="A94" s="34" t="str">
        <f t="shared" si="1"/>
        <v/>
      </c>
    </row>
    <row r="95" spans="1:1" x14ac:dyDescent="0.2">
      <c r="A95" s="34" t="str">
        <f t="shared" si="1"/>
        <v/>
      </c>
    </row>
    <row r="96" spans="1:1" x14ac:dyDescent="0.2">
      <c r="A96" s="34" t="str">
        <f t="shared" si="1"/>
        <v/>
      </c>
    </row>
    <row r="97" spans="1:1" x14ac:dyDescent="0.2">
      <c r="A97" s="34" t="str">
        <f t="shared" si="1"/>
        <v/>
      </c>
    </row>
    <row r="98" spans="1:1" x14ac:dyDescent="0.2">
      <c r="A98" s="34" t="str">
        <f t="shared" si="1"/>
        <v/>
      </c>
    </row>
    <row r="99" spans="1:1" x14ac:dyDescent="0.2">
      <c r="A99" s="34" t="str">
        <f t="shared" si="1"/>
        <v/>
      </c>
    </row>
    <row r="100" spans="1:1" x14ac:dyDescent="0.2">
      <c r="A100" s="34" t="str">
        <f t="shared" si="1"/>
        <v/>
      </c>
    </row>
    <row r="101" spans="1:1" x14ac:dyDescent="0.2">
      <c r="A101" s="34" t="str">
        <f t="shared" si="1"/>
        <v/>
      </c>
    </row>
    <row r="102" spans="1:1" x14ac:dyDescent="0.2">
      <c r="A102" s="34" t="str">
        <f t="shared" si="1"/>
        <v/>
      </c>
    </row>
    <row r="103" spans="1:1" x14ac:dyDescent="0.2">
      <c r="A103" s="34" t="str">
        <f t="shared" si="1"/>
        <v/>
      </c>
    </row>
    <row r="104" spans="1:1" x14ac:dyDescent="0.2">
      <c r="A104" s="34" t="str">
        <f t="shared" si="1"/>
        <v/>
      </c>
    </row>
    <row r="105" spans="1:1" x14ac:dyDescent="0.2">
      <c r="A105" s="34" t="str">
        <f t="shared" si="1"/>
        <v/>
      </c>
    </row>
    <row r="106" spans="1:1" x14ac:dyDescent="0.2">
      <c r="A106" s="34" t="str">
        <f t="shared" si="1"/>
        <v/>
      </c>
    </row>
    <row r="107" spans="1:1" x14ac:dyDescent="0.2">
      <c r="A107" s="34" t="str">
        <f t="shared" si="1"/>
        <v/>
      </c>
    </row>
    <row r="108" spans="1:1" x14ac:dyDescent="0.2">
      <c r="A108" s="34" t="str">
        <f t="shared" si="1"/>
        <v/>
      </c>
    </row>
    <row r="109" spans="1:1" x14ac:dyDescent="0.2">
      <c r="A109" s="34" t="str">
        <f t="shared" si="1"/>
        <v/>
      </c>
    </row>
    <row r="110" spans="1:1" x14ac:dyDescent="0.2">
      <c r="A110" s="34" t="str">
        <f t="shared" si="1"/>
        <v/>
      </c>
    </row>
    <row r="111" spans="1:1" x14ac:dyDescent="0.2">
      <c r="A111" s="34" t="str">
        <f t="shared" si="1"/>
        <v/>
      </c>
    </row>
    <row r="112" spans="1:1" x14ac:dyDescent="0.2">
      <c r="A112" s="34" t="str">
        <f t="shared" si="1"/>
        <v/>
      </c>
    </row>
    <row r="113" spans="1:1" x14ac:dyDescent="0.2">
      <c r="A113" s="34" t="str">
        <f t="shared" si="1"/>
        <v/>
      </c>
    </row>
    <row r="114" spans="1:1" x14ac:dyDescent="0.2">
      <c r="A114" s="34" t="str">
        <f t="shared" si="1"/>
        <v/>
      </c>
    </row>
    <row r="115" spans="1:1" x14ac:dyDescent="0.2">
      <c r="A115" s="34" t="str">
        <f t="shared" si="1"/>
        <v/>
      </c>
    </row>
    <row r="116" spans="1:1" x14ac:dyDescent="0.2">
      <c r="A116" s="34" t="str">
        <f t="shared" si="1"/>
        <v/>
      </c>
    </row>
    <row r="117" spans="1:1" x14ac:dyDescent="0.2">
      <c r="A117" s="34" t="str">
        <f t="shared" si="1"/>
        <v/>
      </c>
    </row>
    <row r="118" spans="1:1" x14ac:dyDescent="0.2">
      <c r="A118" s="34" t="str">
        <f t="shared" si="1"/>
        <v/>
      </c>
    </row>
    <row r="119" spans="1:1" x14ac:dyDescent="0.2">
      <c r="A119" s="34" t="str">
        <f t="shared" si="1"/>
        <v/>
      </c>
    </row>
    <row r="120" spans="1:1" x14ac:dyDescent="0.2">
      <c r="A120" s="34" t="str">
        <f t="shared" si="1"/>
        <v/>
      </c>
    </row>
    <row r="121" spans="1:1" x14ac:dyDescent="0.2">
      <c r="A121" s="34" t="str">
        <f t="shared" si="1"/>
        <v/>
      </c>
    </row>
    <row r="122" spans="1:1" x14ac:dyDescent="0.2">
      <c r="A122" s="34" t="str">
        <f t="shared" si="1"/>
        <v/>
      </c>
    </row>
    <row r="123" spans="1:1" x14ac:dyDescent="0.2">
      <c r="A123" s="34" t="str">
        <f t="shared" si="1"/>
        <v/>
      </c>
    </row>
    <row r="124" spans="1:1" x14ac:dyDescent="0.2">
      <c r="A124" s="34" t="str">
        <f t="shared" si="1"/>
        <v/>
      </c>
    </row>
    <row r="125" spans="1:1" x14ac:dyDescent="0.2">
      <c r="A125" s="34" t="str">
        <f t="shared" si="1"/>
        <v/>
      </c>
    </row>
    <row r="126" spans="1:1" x14ac:dyDescent="0.2">
      <c r="A126" s="34" t="str">
        <f t="shared" si="1"/>
        <v/>
      </c>
    </row>
    <row r="127" spans="1:1" x14ac:dyDescent="0.2">
      <c r="A127" s="34" t="str">
        <f t="shared" si="1"/>
        <v/>
      </c>
    </row>
    <row r="128" spans="1:1" x14ac:dyDescent="0.2">
      <c r="A128" s="34" t="str">
        <f t="shared" si="1"/>
        <v/>
      </c>
    </row>
    <row r="129" spans="1:1" x14ac:dyDescent="0.2">
      <c r="A129" s="34" t="str">
        <f t="shared" si="1"/>
        <v/>
      </c>
    </row>
    <row r="130" spans="1:1" x14ac:dyDescent="0.2">
      <c r="A130" s="34" t="str">
        <f t="shared" si="1"/>
        <v/>
      </c>
    </row>
    <row r="131" spans="1:1" x14ac:dyDescent="0.2">
      <c r="A131" s="34" t="str">
        <f t="shared" ref="A131:A194" si="2">CONCATENATE(B131,C131,F131)</f>
        <v/>
      </c>
    </row>
    <row r="132" spans="1:1" x14ac:dyDescent="0.2">
      <c r="A132" s="34" t="str">
        <f t="shared" si="2"/>
        <v/>
      </c>
    </row>
    <row r="133" spans="1:1" x14ac:dyDescent="0.2">
      <c r="A133" s="34" t="str">
        <f t="shared" si="2"/>
        <v/>
      </c>
    </row>
    <row r="134" spans="1:1" x14ac:dyDescent="0.2">
      <c r="A134" s="34" t="str">
        <f t="shared" si="2"/>
        <v/>
      </c>
    </row>
    <row r="135" spans="1:1" x14ac:dyDescent="0.2">
      <c r="A135" s="34" t="str">
        <f t="shared" si="2"/>
        <v/>
      </c>
    </row>
    <row r="136" spans="1:1" x14ac:dyDescent="0.2">
      <c r="A136" s="34" t="str">
        <f t="shared" si="2"/>
        <v/>
      </c>
    </row>
    <row r="137" spans="1:1" x14ac:dyDescent="0.2">
      <c r="A137" s="34" t="str">
        <f t="shared" si="2"/>
        <v/>
      </c>
    </row>
    <row r="138" spans="1:1" x14ac:dyDescent="0.2">
      <c r="A138" s="34" t="str">
        <f t="shared" si="2"/>
        <v/>
      </c>
    </row>
    <row r="139" spans="1:1" x14ac:dyDescent="0.2">
      <c r="A139" s="34" t="str">
        <f t="shared" si="2"/>
        <v/>
      </c>
    </row>
    <row r="140" spans="1:1" x14ac:dyDescent="0.2">
      <c r="A140" s="34" t="str">
        <f t="shared" si="2"/>
        <v/>
      </c>
    </row>
    <row r="141" spans="1:1" x14ac:dyDescent="0.2">
      <c r="A141" s="34" t="str">
        <f t="shared" si="2"/>
        <v/>
      </c>
    </row>
    <row r="142" spans="1:1" x14ac:dyDescent="0.2">
      <c r="A142" s="34" t="str">
        <f t="shared" si="2"/>
        <v/>
      </c>
    </row>
    <row r="143" spans="1:1" x14ac:dyDescent="0.2">
      <c r="A143" s="34" t="str">
        <f t="shared" si="2"/>
        <v/>
      </c>
    </row>
    <row r="144" spans="1:1" x14ac:dyDescent="0.2">
      <c r="A144" s="34" t="str">
        <f t="shared" si="2"/>
        <v/>
      </c>
    </row>
    <row r="145" spans="1:1" x14ac:dyDescent="0.2">
      <c r="A145" s="34" t="str">
        <f t="shared" si="2"/>
        <v/>
      </c>
    </row>
    <row r="146" spans="1:1" x14ac:dyDescent="0.2">
      <c r="A146" s="34" t="str">
        <f t="shared" si="2"/>
        <v/>
      </c>
    </row>
    <row r="147" spans="1:1" x14ac:dyDescent="0.2">
      <c r="A147" s="34" t="str">
        <f t="shared" si="2"/>
        <v/>
      </c>
    </row>
    <row r="148" spans="1:1" x14ac:dyDescent="0.2">
      <c r="A148" s="34" t="str">
        <f t="shared" si="2"/>
        <v/>
      </c>
    </row>
    <row r="149" spans="1:1" x14ac:dyDescent="0.2">
      <c r="A149" s="34" t="str">
        <f t="shared" si="2"/>
        <v/>
      </c>
    </row>
    <row r="150" spans="1:1" x14ac:dyDescent="0.2">
      <c r="A150" s="34" t="str">
        <f t="shared" si="2"/>
        <v/>
      </c>
    </row>
    <row r="151" spans="1:1" x14ac:dyDescent="0.2">
      <c r="A151" s="34" t="str">
        <f t="shared" si="2"/>
        <v/>
      </c>
    </row>
    <row r="152" spans="1:1" x14ac:dyDescent="0.2">
      <c r="A152" s="34" t="str">
        <f t="shared" si="2"/>
        <v/>
      </c>
    </row>
    <row r="153" spans="1:1" x14ac:dyDescent="0.2">
      <c r="A153" s="34" t="str">
        <f t="shared" si="2"/>
        <v/>
      </c>
    </row>
    <row r="154" spans="1:1" x14ac:dyDescent="0.2">
      <c r="A154" s="34" t="str">
        <f t="shared" si="2"/>
        <v/>
      </c>
    </row>
    <row r="155" spans="1:1" x14ac:dyDescent="0.2">
      <c r="A155" s="34" t="str">
        <f t="shared" si="2"/>
        <v/>
      </c>
    </row>
    <row r="156" spans="1:1" x14ac:dyDescent="0.2">
      <c r="A156" s="34" t="str">
        <f t="shared" si="2"/>
        <v/>
      </c>
    </row>
    <row r="157" spans="1:1" x14ac:dyDescent="0.2">
      <c r="A157" s="34" t="str">
        <f t="shared" si="2"/>
        <v/>
      </c>
    </row>
    <row r="158" spans="1:1" x14ac:dyDescent="0.2">
      <c r="A158" s="34" t="str">
        <f t="shared" si="2"/>
        <v/>
      </c>
    </row>
    <row r="159" spans="1:1" x14ac:dyDescent="0.2">
      <c r="A159" s="34" t="str">
        <f t="shared" si="2"/>
        <v/>
      </c>
    </row>
    <row r="160" spans="1:1" x14ac:dyDescent="0.2">
      <c r="A160" s="34" t="str">
        <f t="shared" si="2"/>
        <v/>
      </c>
    </row>
    <row r="161" spans="1:1" x14ac:dyDescent="0.2">
      <c r="A161" s="34" t="str">
        <f t="shared" si="2"/>
        <v/>
      </c>
    </row>
    <row r="162" spans="1:1" x14ac:dyDescent="0.2">
      <c r="A162" s="34" t="str">
        <f t="shared" si="2"/>
        <v/>
      </c>
    </row>
    <row r="163" spans="1:1" x14ac:dyDescent="0.2">
      <c r="A163" s="34" t="str">
        <f t="shared" si="2"/>
        <v/>
      </c>
    </row>
    <row r="164" spans="1:1" x14ac:dyDescent="0.2">
      <c r="A164" s="34" t="str">
        <f t="shared" si="2"/>
        <v/>
      </c>
    </row>
    <row r="165" spans="1:1" x14ac:dyDescent="0.2">
      <c r="A165" s="34" t="str">
        <f t="shared" si="2"/>
        <v/>
      </c>
    </row>
    <row r="166" spans="1:1" x14ac:dyDescent="0.2">
      <c r="A166" s="34" t="str">
        <f t="shared" si="2"/>
        <v/>
      </c>
    </row>
    <row r="167" spans="1:1" x14ac:dyDescent="0.2">
      <c r="A167" s="34" t="str">
        <f t="shared" si="2"/>
        <v/>
      </c>
    </row>
    <row r="168" spans="1:1" x14ac:dyDescent="0.2">
      <c r="A168" s="34" t="str">
        <f t="shared" si="2"/>
        <v/>
      </c>
    </row>
    <row r="169" spans="1:1" x14ac:dyDescent="0.2">
      <c r="A169" s="34" t="str">
        <f t="shared" si="2"/>
        <v/>
      </c>
    </row>
    <row r="170" spans="1:1" x14ac:dyDescent="0.2">
      <c r="A170" s="34" t="str">
        <f t="shared" si="2"/>
        <v/>
      </c>
    </row>
    <row r="171" spans="1:1" x14ac:dyDescent="0.2">
      <c r="A171" s="34" t="str">
        <f t="shared" si="2"/>
        <v/>
      </c>
    </row>
    <row r="172" spans="1:1" x14ac:dyDescent="0.2">
      <c r="A172" s="34" t="str">
        <f t="shared" si="2"/>
        <v/>
      </c>
    </row>
    <row r="173" spans="1:1" x14ac:dyDescent="0.2">
      <c r="A173" s="34" t="str">
        <f t="shared" si="2"/>
        <v/>
      </c>
    </row>
    <row r="174" spans="1:1" x14ac:dyDescent="0.2">
      <c r="A174" s="34" t="str">
        <f t="shared" si="2"/>
        <v/>
      </c>
    </row>
    <row r="175" spans="1:1" x14ac:dyDescent="0.2">
      <c r="A175" s="34" t="str">
        <f t="shared" si="2"/>
        <v/>
      </c>
    </row>
    <row r="176" spans="1:1" x14ac:dyDescent="0.2">
      <c r="A176" s="34" t="str">
        <f t="shared" si="2"/>
        <v/>
      </c>
    </row>
    <row r="177" spans="1:1" x14ac:dyDescent="0.2">
      <c r="A177" s="34" t="str">
        <f t="shared" si="2"/>
        <v/>
      </c>
    </row>
    <row r="178" spans="1:1" x14ac:dyDescent="0.2">
      <c r="A178" s="34" t="str">
        <f t="shared" si="2"/>
        <v/>
      </c>
    </row>
    <row r="179" spans="1:1" x14ac:dyDescent="0.2">
      <c r="A179" s="34" t="str">
        <f t="shared" si="2"/>
        <v/>
      </c>
    </row>
    <row r="180" spans="1:1" x14ac:dyDescent="0.2">
      <c r="A180" s="34" t="str">
        <f t="shared" si="2"/>
        <v/>
      </c>
    </row>
    <row r="181" spans="1:1" x14ac:dyDescent="0.2">
      <c r="A181" s="34" t="str">
        <f t="shared" si="2"/>
        <v/>
      </c>
    </row>
    <row r="182" spans="1:1" x14ac:dyDescent="0.2">
      <c r="A182" s="34" t="str">
        <f t="shared" si="2"/>
        <v/>
      </c>
    </row>
    <row r="183" spans="1:1" x14ac:dyDescent="0.2">
      <c r="A183" s="34" t="str">
        <f t="shared" si="2"/>
        <v/>
      </c>
    </row>
    <row r="184" spans="1:1" x14ac:dyDescent="0.2">
      <c r="A184" s="34" t="str">
        <f t="shared" si="2"/>
        <v/>
      </c>
    </row>
    <row r="185" spans="1:1" x14ac:dyDescent="0.2">
      <c r="A185" s="34" t="str">
        <f t="shared" si="2"/>
        <v/>
      </c>
    </row>
    <row r="186" spans="1:1" x14ac:dyDescent="0.2">
      <c r="A186" s="34" t="str">
        <f t="shared" si="2"/>
        <v/>
      </c>
    </row>
    <row r="187" spans="1:1" x14ac:dyDescent="0.2">
      <c r="A187" s="34" t="str">
        <f t="shared" si="2"/>
        <v/>
      </c>
    </row>
    <row r="188" spans="1:1" x14ac:dyDescent="0.2">
      <c r="A188" s="34" t="str">
        <f t="shared" si="2"/>
        <v/>
      </c>
    </row>
    <row r="189" spans="1:1" x14ac:dyDescent="0.2">
      <c r="A189" s="34" t="str">
        <f t="shared" si="2"/>
        <v/>
      </c>
    </row>
    <row r="190" spans="1:1" x14ac:dyDescent="0.2">
      <c r="A190" s="34" t="str">
        <f t="shared" si="2"/>
        <v/>
      </c>
    </row>
    <row r="191" spans="1:1" x14ac:dyDescent="0.2">
      <c r="A191" s="34" t="str">
        <f t="shared" si="2"/>
        <v/>
      </c>
    </row>
    <row r="192" spans="1:1" x14ac:dyDescent="0.2">
      <c r="A192" s="34" t="str">
        <f t="shared" si="2"/>
        <v/>
      </c>
    </row>
    <row r="193" spans="1:1" x14ac:dyDescent="0.2">
      <c r="A193" s="34" t="str">
        <f t="shared" si="2"/>
        <v/>
      </c>
    </row>
    <row r="194" spans="1:1" x14ac:dyDescent="0.2">
      <c r="A194" s="34" t="str">
        <f t="shared" si="2"/>
        <v/>
      </c>
    </row>
    <row r="195" spans="1:1" x14ac:dyDescent="0.2">
      <c r="A195" s="34" t="str">
        <f t="shared" ref="A195:A258" si="3">CONCATENATE(B195,C195,F195)</f>
        <v/>
      </c>
    </row>
    <row r="196" spans="1:1" x14ac:dyDescent="0.2">
      <c r="A196" s="34" t="str">
        <f t="shared" si="3"/>
        <v/>
      </c>
    </row>
    <row r="197" spans="1:1" x14ac:dyDescent="0.2">
      <c r="A197" s="34" t="str">
        <f t="shared" si="3"/>
        <v/>
      </c>
    </row>
    <row r="198" spans="1:1" x14ac:dyDescent="0.2">
      <c r="A198" s="34" t="str">
        <f t="shared" si="3"/>
        <v/>
      </c>
    </row>
    <row r="199" spans="1:1" x14ac:dyDescent="0.2">
      <c r="A199" s="34" t="str">
        <f t="shared" si="3"/>
        <v/>
      </c>
    </row>
    <row r="200" spans="1:1" x14ac:dyDescent="0.2">
      <c r="A200" s="34" t="str">
        <f t="shared" si="3"/>
        <v/>
      </c>
    </row>
    <row r="201" spans="1:1" x14ac:dyDescent="0.2">
      <c r="A201" s="34" t="str">
        <f t="shared" si="3"/>
        <v/>
      </c>
    </row>
    <row r="202" spans="1:1" x14ac:dyDescent="0.2">
      <c r="A202" s="34" t="str">
        <f t="shared" si="3"/>
        <v/>
      </c>
    </row>
    <row r="203" spans="1:1" x14ac:dyDescent="0.2">
      <c r="A203" s="34" t="str">
        <f t="shared" si="3"/>
        <v/>
      </c>
    </row>
    <row r="204" spans="1:1" x14ac:dyDescent="0.2">
      <c r="A204" s="34" t="str">
        <f t="shared" si="3"/>
        <v/>
      </c>
    </row>
    <row r="205" spans="1:1" x14ac:dyDescent="0.2">
      <c r="A205" s="34" t="str">
        <f t="shared" si="3"/>
        <v/>
      </c>
    </row>
    <row r="206" spans="1:1" x14ac:dyDescent="0.2">
      <c r="A206" s="34" t="str">
        <f t="shared" si="3"/>
        <v/>
      </c>
    </row>
    <row r="207" spans="1:1" x14ac:dyDescent="0.2">
      <c r="A207" s="34" t="str">
        <f t="shared" si="3"/>
        <v/>
      </c>
    </row>
    <row r="208" spans="1:1" x14ac:dyDescent="0.2">
      <c r="A208" s="34" t="str">
        <f t="shared" si="3"/>
        <v/>
      </c>
    </row>
    <row r="209" spans="1:1" x14ac:dyDescent="0.2">
      <c r="A209" s="34" t="str">
        <f t="shared" si="3"/>
        <v/>
      </c>
    </row>
    <row r="210" spans="1:1" x14ac:dyDescent="0.2">
      <c r="A210" s="34" t="str">
        <f t="shared" si="3"/>
        <v/>
      </c>
    </row>
    <row r="211" spans="1:1" x14ac:dyDescent="0.2">
      <c r="A211" s="34" t="str">
        <f t="shared" si="3"/>
        <v/>
      </c>
    </row>
    <row r="212" spans="1:1" x14ac:dyDescent="0.2">
      <c r="A212" s="34" t="str">
        <f t="shared" si="3"/>
        <v/>
      </c>
    </row>
    <row r="213" spans="1:1" x14ac:dyDescent="0.2">
      <c r="A213" s="34" t="str">
        <f t="shared" si="3"/>
        <v/>
      </c>
    </row>
    <row r="214" spans="1:1" x14ac:dyDescent="0.2">
      <c r="A214" s="34" t="str">
        <f t="shared" si="3"/>
        <v/>
      </c>
    </row>
    <row r="215" spans="1:1" x14ac:dyDescent="0.2">
      <c r="A215" s="34" t="str">
        <f t="shared" si="3"/>
        <v/>
      </c>
    </row>
    <row r="216" spans="1:1" x14ac:dyDescent="0.2">
      <c r="A216" s="34" t="str">
        <f t="shared" si="3"/>
        <v/>
      </c>
    </row>
    <row r="217" spans="1:1" x14ac:dyDescent="0.2">
      <c r="A217" s="34" t="str">
        <f t="shared" si="3"/>
        <v/>
      </c>
    </row>
    <row r="218" spans="1:1" x14ac:dyDescent="0.2">
      <c r="A218" s="34" t="str">
        <f t="shared" si="3"/>
        <v/>
      </c>
    </row>
    <row r="219" spans="1:1" x14ac:dyDescent="0.2">
      <c r="A219" s="34" t="str">
        <f t="shared" si="3"/>
        <v/>
      </c>
    </row>
    <row r="220" spans="1:1" x14ac:dyDescent="0.2">
      <c r="A220" s="34" t="str">
        <f t="shared" si="3"/>
        <v/>
      </c>
    </row>
    <row r="221" spans="1:1" x14ac:dyDescent="0.2">
      <c r="A221" s="34" t="str">
        <f t="shared" si="3"/>
        <v/>
      </c>
    </row>
    <row r="222" spans="1:1" x14ac:dyDescent="0.2">
      <c r="A222" s="34" t="str">
        <f t="shared" si="3"/>
        <v/>
      </c>
    </row>
    <row r="223" spans="1:1" x14ac:dyDescent="0.2">
      <c r="A223" s="34" t="str">
        <f t="shared" si="3"/>
        <v/>
      </c>
    </row>
    <row r="224" spans="1:1" x14ac:dyDescent="0.2">
      <c r="A224" s="34" t="str">
        <f t="shared" si="3"/>
        <v/>
      </c>
    </row>
    <row r="225" spans="1:1" x14ac:dyDescent="0.2">
      <c r="A225" s="34" t="str">
        <f t="shared" si="3"/>
        <v/>
      </c>
    </row>
    <row r="226" spans="1:1" x14ac:dyDescent="0.2">
      <c r="A226" s="34" t="str">
        <f t="shared" si="3"/>
        <v/>
      </c>
    </row>
    <row r="227" spans="1:1" x14ac:dyDescent="0.2">
      <c r="A227" s="34" t="str">
        <f t="shared" si="3"/>
        <v/>
      </c>
    </row>
    <row r="228" spans="1:1" x14ac:dyDescent="0.2">
      <c r="A228" s="34" t="str">
        <f t="shared" si="3"/>
        <v/>
      </c>
    </row>
    <row r="229" spans="1:1" x14ac:dyDescent="0.2">
      <c r="A229" s="34" t="str">
        <f t="shared" si="3"/>
        <v/>
      </c>
    </row>
    <row r="230" spans="1:1" x14ac:dyDescent="0.2">
      <c r="A230" s="34" t="str">
        <f t="shared" si="3"/>
        <v/>
      </c>
    </row>
    <row r="231" spans="1:1" x14ac:dyDescent="0.2">
      <c r="A231" s="34" t="str">
        <f t="shared" si="3"/>
        <v/>
      </c>
    </row>
    <row r="232" spans="1:1" x14ac:dyDescent="0.2">
      <c r="A232" s="34" t="str">
        <f t="shared" si="3"/>
        <v/>
      </c>
    </row>
    <row r="233" spans="1:1" x14ac:dyDescent="0.2">
      <c r="A233" s="34" t="str">
        <f t="shared" si="3"/>
        <v/>
      </c>
    </row>
    <row r="234" spans="1:1" x14ac:dyDescent="0.2">
      <c r="A234" s="34" t="str">
        <f t="shared" si="3"/>
        <v/>
      </c>
    </row>
    <row r="235" spans="1:1" x14ac:dyDescent="0.2">
      <c r="A235" s="34" t="str">
        <f t="shared" si="3"/>
        <v/>
      </c>
    </row>
    <row r="236" spans="1:1" x14ac:dyDescent="0.2">
      <c r="A236" s="34" t="str">
        <f t="shared" si="3"/>
        <v/>
      </c>
    </row>
    <row r="237" spans="1:1" x14ac:dyDescent="0.2">
      <c r="A237" s="34" t="str">
        <f t="shared" si="3"/>
        <v/>
      </c>
    </row>
    <row r="238" spans="1:1" x14ac:dyDescent="0.2">
      <c r="A238" s="34" t="str">
        <f t="shared" si="3"/>
        <v/>
      </c>
    </row>
    <row r="239" spans="1:1" x14ac:dyDescent="0.2">
      <c r="A239" s="34" t="str">
        <f t="shared" si="3"/>
        <v/>
      </c>
    </row>
    <row r="240" spans="1:1" x14ac:dyDescent="0.2">
      <c r="A240" s="34" t="str">
        <f t="shared" si="3"/>
        <v/>
      </c>
    </row>
    <row r="241" spans="1:1" x14ac:dyDescent="0.2">
      <c r="A241" s="34" t="str">
        <f t="shared" si="3"/>
        <v/>
      </c>
    </row>
    <row r="242" spans="1:1" x14ac:dyDescent="0.2">
      <c r="A242" s="34" t="str">
        <f t="shared" si="3"/>
        <v/>
      </c>
    </row>
    <row r="243" spans="1:1" x14ac:dyDescent="0.2">
      <c r="A243" s="34" t="str">
        <f t="shared" si="3"/>
        <v/>
      </c>
    </row>
    <row r="244" spans="1:1" x14ac:dyDescent="0.2">
      <c r="A244" s="34" t="str">
        <f t="shared" si="3"/>
        <v/>
      </c>
    </row>
    <row r="245" spans="1:1" x14ac:dyDescent="0.2">
      <c r="A245" s="34" t="str">
        <f t="shared" si="3"/>
        <v/>
      </c>
    </row>
    <row r="246" spans="1:1" x14ac:dyDescent="0.2">
      <c r="A246" s="34" t="str">
        <f t="shared" si="3"/>
        <v/>
      </c>
    </row>
    <row r="247" spans="1:1" x14ac:dyDescent="0.2">
      <c r="A247" s="34" t="str">
        <f t="shared" si="3"/>
        <v/>
      </c>
    </row>
    <row r="248" spans="1:1" x14ac:dyDescent="0.2">
      <c r="A248" s="34" t="str">
        <f t="shared" si="3"/>
        <v/>
      </c>
    </row>
    <row r="249" spans="1:1" x14ac:dyDescent="0.2">
      <c r="A249" s="34" t="str">
        <f t="shared" si="3"/>
        <v/>
      </c>
    </row>
    <row r="250" spans="1:1" x14ac:dyDescent="0.2">
      <c r="A250" s="34" t="str">
        <f t="shared" si="3"/>
        <v/>
      </c>
    </row>
    <row r="251" spans="1:1" x14ac:dyDescent="0.2">
      <c r="A251" s="34" t="str">
        <f t="shared" si="3"/>
        <v/>
      </c>
    </row>
    <row r="252" spans="1:1" x14ac:dyDescent="0.2">
      <c r="A252" s="34" t="str">
        <f t="shared" si="3"/>
        <v/>
      </c>
    </row>
    <row r="253" spans="1:1" x14ac:dyDescent="0.2">
      <c r="A253" s="34" t="str">
        <f t="shared" si="3"/>
        <v/>
      </c>
    </row>
    <row r="254" spans="1:1" x14ac:dyDescent="0.2">
      <c r="A254" s="34" t="str">
        <f t="shared" si="3"/>
        <v/>
      </c>
    </row>
    <row r="255" spans="1:1" x14ac:dyDescent="0.2">
      <c r="A255" s="34" t="str">
        <f t="shared" si="3"/>
        <v/>
      </c>
    </row>
    <row r="256" spans="1:1" x14ac:dyDescent="0.2">
      <c r="A256" s="34" t="str">
        <f t="shared" si="3"/>
        <v/>
      </c>
    </row>
    <row r="257" spans="1:1" x14ac:dyDescent="0.2">
      <c r="A257" s="34" t="str">
        <f t="shared" si="3"/>
        <v/>
      </c>
    </row>
    <row r="258" spans="1:1" x14ac:dyDescent="0.2">
      <c r="A258" s="34" t="str">
        <f t="shared" si="3"/>
        <v/>
      </c>
    </row>
    <row r="259" spans="1:1" x14ac:dyDescent="0.2">
      <c r="A259" s="34" t="str">
        <f t="shared" ref="A259:A322" si="4">CONCATENATE(B259,C259,F259)</f>
        <v/>
      </c>
    </row>
    <row r="260" spans="1:1" x14ac:dyDescent="0.2">
      <c r="A260" s="34" t="str">
        <f t="shared" si="4"/>
        <v/>
      </c>
    </row>
    <row r="261" spans="1:1" x14ac:dyDescent="0.2">
      <c r="A261" s="34" t="str">
        <f t="shared" si="4"/>
        <v/>
      </c>
    </row>
    <row r="262" spans="1:1" x14ac:dyDescent="0.2">
      <c r="A262" s="34" t="str">
        <f t="shared" si="4"/>
        <v/>
      </c>
    </row>
    <row r="263" spans="1:1" x14ac:dyDescent="0.2">
      <c r="A263" s="34" t="str">
        <f t="shared" si="4"/>
        <v/>
      </c>
    </row>
    <row r="264" spans="1:1" x14ac:dyDescent="0.2">
      <c r="A264" s="34" t="str">
        <f t="shared" si="4"/>
        <v/>
      </c>
    </row>
    <row r="265" spans="1:1" x14ac:dyDescent="0.2">
      <c r="A265" s="34" t="str">
        <f t="shared" si="4"/>
        <v/>
      </c>
    </row>
    <row r="266" spans="1:1" x14ac:dyDescent="0.2">
      <c r="A266" s="34" t="str">
        <f t="shared" si="4"/>
        <v/>
      </c>
    </row>
    <row r="267" spans="1:1" x14ac:dyDescent="0.2">
      <c r="A267" s="34" t="str">
        <f t="shared" si="4"/>
        <v/>
      </c>
    </row>
    <row r="268" spans="1:1" x14ac:dyDescent="0.2">
      <c r="A268" s="34" t="str">
        <f t="shared" si="4"/>
        <v/>
      </c>
    </row>
    <row r="269" spans="1:1" x14ac:dyDescent="0.2">
      <c r="A269" s="34" t="str">
        <f t="shared" si="4"/>
        <v/>
      </c>
    </row>
    <row r="270" spans="1:1" x14ac:dyDescent="0.2">
      <c r="A270" s="34" t="str">
        <f t="shared" si="4"/>
        <v/>
      </c>
    </row>
    <row r="271" spans="1:1" x14ac:dyDescent="0.2">
      <c r="A271" s="34" t="str">
        <f t="shared" si="4"/>
        <v/>
      </c>
    </row>
    <row r="272" spans="1:1" x14ac:dyDescent="0.2">
      <c r="A272" s="34" t="str">
        <f t="shared" si="4"/>
        <v/>
      </c>
    </row>
    <row r="273" spans="1:1" x14ac:dyDescent="0.2">
      <c r="A273" s="34" t="str">
        <f t="shared" si="4"/>
        <v/>
      </c>
    </row>
    <row r="274" spans="1:1" x14ac:dyDescent="0.2">
      <c r="A274" s="34" t="str">
        <f t="shared" si="4"/>
        <v/>
      </c>
    </row>
    <row r="275" spans="1:1" x14ac:dyDescent="0.2">
      <c r="A275" s="34" t="str">
        <f t="shared" si="4"/>
        <v/>
      </c>
    </row>
    <row r="276" spans="1:1" x14ac:dyDescent="0.2">
      <c r="A276" s="34" t="str">
        <f t="shared" si="4"/>
        <v/>
      </c>
    </row>
    <row r="277" spans="1:1" x14ac:dyDescent="0.2">
      <c r="A277" s="34" t="str">
        <f t="shared" si="4"/>
        <v/>
      </c>
    </row>
    <row r="278" spans="1:1" x14ac:dyDescent="0.2">
      <c r="A278" s="34" t="str">
        <f t="shared" si="4"/>
        <v/>
      </c>
    </row>
    <row r="279" spans="1:1" x14ac:dyDescent="0.2">
      <c r="A279" s="34" t="str">
        <f t="shared" si="4"/>
        <v/>
      </c>
    </row>
    <row r="280" spans="1:1" x14ac:dyDescent="0.2">
      <c r="A280" s="34" t="str">
        <f t="shared" si="4"/>
        <v/>
      </c>
    </row>
    <row r="281" spans="1:1" x14ac:dyDescent="0.2">
      <c r="A281" s="34" t="str">
        <f t="shared" si="4"/>
        <v/>
      </c>
    </row>
    <row r="282" spans="1:1" x14ac:dyDescent="0.2">
      <c r="A282" s="34" t="str">
        <f t="shared" si="4"/>
        <v/>
      </c>
    </row>
    <row r="283" spans="1:1" x14ac:dyDescent="0.2">
      <c r="A283" s="34" t="str">
        <f t="shared" si="4"/>
        <v/>
      </c>
    </row>
    <row r="284" spans="1:1" x14ac:dyDescent="0.2">
      <c r="A284" s="34" t="str">
        <f t="shared" si="4"/>
        <v/>
      </c>
    </row>
    <row r="285" spans="1:1" x14ac:dyDescent="0.2">
      <c r="A285" s="34" t="str">
        <f t="shared" si="4"/>
        <v/>
      </c>
    </row>
    <row r="286" spans="1:1" x14ac:dyDescent="0.2">
      <c r="A286" s="34" t="str">
        <f t="shared" si="4"/>
        <v/>
      </c>
    </row>
    <row r="287" spans="1:1" x14ac:dyDescent="0.2">
      <c r="A287" s="34" t="str">
        <f t="shared" si="4"/>
        <v/>
      </c>
    </row>
    <row r="288" spans="1:1" x14ac:dyDescent="0.2">
      <c r="A288" s="34" t="str">
        <f t="shared" si="4"/>
        <v/>
      </c>
    </row>
    <row r="289" spans="1:1" x14ac:dyDescent="0.2">
      <c r="A289" s="34" t="str">
        <f t="shared" si="4"/>
        <v/>
      </c>
    </row>
    <row r="290" spans="1:1" x14ac:dyDescent="0.2">
      <c r="A290" s="34" t="str">
        <f t="shared" si="4"/>
        <v/>
      </c>
    </row>
    <row r="291" spans="1:1" x14ac:dyDescent="0.2">
      <c r="A291" s="34" t="str">
        <f t="shared" si="4"/>
        <v/>
      </c>
    </row>
    <row r="292" spans="1:1" x14ac:dyDescent="0.2">
      <c r="A292" s="34" t="str">
        <f t="shared" si="4"/>
        <v/>
      </c>
    </row>
    <row r="293" spans="1:1" x14ac:dyDescent="0.2">
      <c r="A293" s="34" t="str">
        <f t="shared" si="4"/>
        <v/>
      </c>
    </row>
    <row r="294" spans="1:1" x14ac:dyDescent="0.2">
      <c r="A294" s="34" t="str">
        <f t="shared" si="4"/>
        <v/>
      </c>
    </row>
    <row r="295" spans="1:1" x14ac:dyDescent="0.2">
      <c r="A295" s="34" t="str">
        <f t="shared" si="4"/>
        <v/>
      </c>
    </row>
    <row r="296" spans="1:1" x14ac:dyDescent="0.2">
      <c r="A296" s="34" t="str">
        <f t="shared" si="4"/>
        <v/>
      </c>
    </row>
    <row r="297" spans="1:1" x14ac:dyDescent="0.2">
      <c r="A297" s="34" t="str">
        <f t="shared" si="4"/>
        <v/>
      </c>
    </row>
    <row r="298" spans="1:1" x14ac:dyDescent="0.2">
      <c r="A298" s="34" t="str">
        <f t="shared" si="4"/>
        <v/>
      </c>
    </row>
    <row r="299" spans="1:1" x14ac:dyDescent="0.2">
      <c r="A299" s="34" t="str">
        <f t="shared" si="4"/>
        <v/>
      </c>
    </row>
    <row r="300" spans="1:1" x14ac:dyDescent="0.2">
      <c r="A300" s="34" t="str">
        <f t="shared" si="4"/>
        <v/>
      </c>
    </row>
    <row r="301" spans="1:1" x14ac:dyDescent="0.2">
      <c r="A301" s="34" t="str">
        <f t="shared" si="4"/>
        <v/>
      </c>
    </row>
    <row r="302" spans="1:1" x14ac:dyDescent="0.2">
      <c r="A302" s="34" t="str">
        <f t="shared" si="4"/>
        <v/>
      </c>
    </row>
    <row r="303" spans="1:1" x14ac:dyDescent="0.2">
      <c r="A303" s="34" t="str">
        <f t="shared" si="4"/>
        <v/>
      </c>
    </row>
    <row r="304" spans="1:1" x14ac:dyDescent="0.2">
      <c r="A304" s="34" t="str">
        <f t="shared" si="4"/>
        <v/>
      </c>
    </row>
    <row r="305" spans="1:1" x14ac:dyDescent="0.2">
      <c r="A305" s="34" t="str">
        <f t="shared" si="4"/>
        <v/>
      </c>
    </row>
    <row r="306" spans="1:1" x14ac:dyDescent="0.2">
      <c r="A306" s="34" t="str">
        <f t="shared" si="4"/>
        <v/>
      </c>
    </row>
    <row r="307" spans="1:1" x14ac:dyDescent="0.2">
      <c r="A307" s="34" t="str">
        <f t="shared" si="4"/>
        <v/>
      </c>
    </row>
    <row r="308" spans="1:1" x14ac:dyDescent="0.2">
      <c r="A308" s="34" t="str">
        <f t="shared" si="4"/>
        <v/>
      </c>
    </row>
    <row r="309" spans="1:1" x14ac:dyDescent="0.2">
      <c r="A309" s="34" t="str">
        <f t="shared" si="4"/>
        <v/>
      </c>
    </row>
    <row r="310" spans="1:1" x14ac:dyDescent="0.2">
      <c r="A310" s="34" t="str">
        <f t="shared" si="4"/>
        <v/>
      </c>
    </row>
    <row r="311" spans="1:1" x14ac:dyDescent="0.2">
      <c r="A311" s="34" t="str">
        <f t="shared" si="4"/>
        <v/>
      </c>
    </row>
    <row r="312" spans="1:1" x14ac:dyDescent="0.2">
      <c r="A312" s="34" t="str">
        <f t="shared" si="4"/>
        <v/>
      </c>
    </row>
    <row r="313" spans="1:1" x14ac:dyDescent="0.2">
      <c r="A313" s="34" t="str">
        <f t="shared" si="4"/>
        <v/>
      </c>
    </row>
    <row r="314" spans="1:1" x14ac:dyDescent="0.2">
      <c r="A314" s="34" t="str">
        <f t="shared" si="4"/>
        <v/>
      </c>
    </row>
    <row r="315" spans="1:1" x14ac:dyDescent="0.2">
      <c r="A315" s="34" t="str">
        <f t="shared" si="4"/>
        <v/>
      </c>
    </row>
    <row r="316" spans="1:1" x14ac:dyDescent="0.2">
      <c r="A316" s="34" t="str">
        <f t="shared" si="4"/>
        <v/>
      </c>
    </row>
    <row r="317" spans="1:1" x14ac:dyDescent="0.2">
      <c r="A317" s="34" t="str">
        <f t="shared" si="4"/>
        <v/>
      </c>
    </row>
    <row r="318" spans="1:1" x14ac:dyDescent="0.2">
      <c r="A318" s="34" t="str">
        <f t="shared" si="4"/>
        <v/>
      </c>
    </row>
    <row r="319" spans="1:1" x14ac:dyDescent="0.2">
      <c r="A319" s="34" t="str">
        <f t="shared" si="4"/>
        <v/>
      </c>
    </row>
    <row r="320" spans="1:1" x14ac:dyDescent="0.2">
      <c r="A320" s="34" t="str">
        <f t="shared" si="4"/>
        <v/>
      </c>
    </row>
    <row r="321" spans="1:1" x14ac:dyDescent="0.2">
      <c r="A321" s="34" t="str">
        <f t="shared" si="4"/>
        <v/>
      </c>
    </row>
    <row r="322" spans="1:1" x14ac:dyDescent="0.2">
      <c r="A322" s="34" t="str">
        <f t="shared" si="4"/>
        <v/>
      </c>
    </row>
    <row r="323" spans="1:1" x14ac:dyDescent="0.2">
      <c r="A323" s="34" t="str">
        <f t="shared" ref="A323:A386" si="5">CONCATENATE(B323,C323,F323)</f>
        <v/>
      </c>
    </row>
    <row r="324" spans="1:1" x14ac:dyDescent="0.2">
      <c r="A324" s="34" t="str">
        <f t="shared" si="5"/>
        <v/>
      </c>
    </row>
    <row r="325" spans="1:1" x14ac:dyDescent="0.2">
      <c r="A325" s="34" t="str">
        <f t="shared" si="5"/>
        <v/>
      </c>
    </row>
    <row r="326" spans="1:1" x14ac:dyDescent="0.2">
      <c r="A326" s="34" t="str">
        <f t="shared" si="5"/>
        <v/>
      </c>
    </row>
    <row r="327" spans="1:1" x14ac:dyDescent="0.2">
      <c r="A327" s="34" t="str">
        <f t="shared" si="5"/>
        <v/>
      </c>
    </row>
    <row r="328" spans="1:1" x14ac:dyDescent="0.2">
      <c r="A328" s="34" t="str">
        <f t="shared" si="5"/>
        <v/>
      </c>
    </row>
    <row r="329" spans="1:1" x14ac:dyDescent="0.2">
      <c r="A329" s="34" t="str">
        <f t="shared" si="5"/>
        <v/>
      </c>
    </row>
    <row r="330" spans="1:1" x14ac:dyDescent="0.2">
      <c r="A330" s="34" t="str">
        <f t="shared" si="5"/>
        <v/>
      </c>
    </row>
    <row r="331" spans="1:1" x14ac:dyDescent="0.2">
      <c r="A331" s="34" t="str">
        <f t="shared" si="5"/>
        <v/>
      </c>
    </row>
    <row r="332" spans="1:1" x14ac:dyDescent="0.2">
      <c r="A332" s="34" t="str">
        <f t="shared" si="5"/>
        <v/>
      </c>
    </row>
    <row r="333" spans="1:1" x14ac:dyDescent="0.2">
      <c r="A333" s="34" t="str">
        <f t="shared" si="5"/>
        <v/>
      </c>
    </row>
    <row r="334" spans="1:1" x14ac:dyDescent="0.2">
      <c r="A334" s="34" t="str">
        <f t="shared" si="5"/>
        <v/>
      </c>
    </row>
    <row r="335" spans="1:1" x14ac:dyDescent="0.2">
      <c r="A335" s="34" t="str">
        <f t="shared" si="5"/>
        <v/>
      </c>
    </row>
    <row r="336" spans="1:1" x14ac:dyDescent="0.2">
      <c r="A336" s="34" t="str">
        <f t="shared" si="5"/>
        <v/>
      </c>
    </row>
    <row r="337" spans="1:1" x14ac:dyDescent="0.2">
      <c r="A337" s="34" t="str">
        <f t="shared" si="5"/>
        <v/>
      </c>
    </row>
    <row r="338" spans="1:1" x14ac:dyDescent="0.2">
      <c r="A338" s="34" t="str">
        <f t="shared" si="5"/>
        <v/>
      </c>
    </row>
    <row r="339" spans="1:1" x14ac:dyDescent="0.2">
      <c r="A339" s="34" t="str">
        <f t="shared" si="5"/>
        <v/>
      </c>
    </row>
    <row r="340" spans="1:1" x14ac:dyDescent="0.2">
      <c r="A340" s="34" t="str">
        <f t="shared" si="5"/>
        <v/>
      </c>
    </row>
    <row r="341" spans="1:1" x14ac:dyDescent="0.2">
      <c r="A341" s="34" t="str">
        <f t="shared" si="5"/>
        <v/>
      </c>
    </row>
    <row r="342" spans="1:1" x14ac:dyDescent="0.2">
      <c r="A342" s="34" t="str">
        <f t="shared" si="5"/>
        <v/>
      </c>
    </row>
    <row r="343" spans="1:1" x14ac:dyDescent="0.2">
      <c r="A343" s="34" t="str">
        <f t="shared" si="5"/>
        <v/>
      </c>
    </row>
    <row r="344" spans="1:1" x14ac:dyDescent="0.2">
      <c r="A344" s="34" t="str">
        <f t="shared" si="5"/>
        <v/>
      </c>
    </row>
    <row r="345" spans="1:1" x14ac:dyDescent="0.2">
      <c r="A345" s="34" t="str">
        <f t="shared" si="5"/>
        <v/>
      </c>
    </row>
    <row r="346" spans="1:1" x14ac:dyDescent="0.2">
      <c r="A346" s="34" t="str">
        <f t="shared" si="5"/>
        <v/>
      </c>
    </row>
    <row r="347" spans="1:1" x14ac:dyDescent="0.2">
      <c r="A347" s="34" t="str">
        <f t="shared" si="5"/>
        <v/>
      </c>
    </row>
    <row r="348" spans="1:1" x14ac:dyDescent="0.2">
      <c r="A348" s="34" t="str">
        <f t="shared" si="5"/>
        <v/>
      </c>
    </row>
    <row r="349" spans="1:1" x14ac:dyDescent="0.2">
      <c r="A349" s="34" t="str">
        <f t="shared" si="5"/>
        <v/>
      </c>
    </row>
    <row r="350" spans="1:1" x14ac:dyDescent="0.2">
      <c r="A350" s="34" t="str">
        <f t="shared" si="5"/>
        <v/>
      </c>
    </row>
    <row r="351" spans="1:1" x14ac:dyDescent="0.2">
      <c r="A351" s="34" t="str">
        <f t="shared" si="5"/>
        <v/>
      </c>
    </row>
    <row r="352" spans="1:1" x14ac:dyDescent="0.2">
      <c r="A352" s="34" t="str">
        <f t="shared" si="5"/>
        <v/>
      </c>
    </row>
    <row r="353" spans="1:1" x14ac:dyDescent="0.2">
      <c r="A353" s="34" t="str">
        <f t="shared" si="5"/>
        <v/>
      </c>
    </row>
    <row r="354" spans="1:1" x14ac:dyDescent="0.2">
      <c r="A354" s="34" t="str">
        <f t="shared" si="5"/>
        <v/>
      </c>
    </row>
    <row r="355" spans="1:1" x14ac:dyDescent="0.2">
      <c r="A355" s="34" t="str">
        <f t="shared" si="5"/>
        <v/>
      </c>
    </row>
    <row r="356" spans="1:1" x14ac:dyDescent="0.2">
      <c r="A356" s="34" t="str">
        <f t="shared" si="5"/>
        <v/>
      </c>
    </row>
    <row r="357" spans="1:1" x14ac:dyDescent="0.2">
      <c r="A357" s="34" t="str">
        <f t="shared" si="5"/>
        <v/>
      </c>
    </row>
    <row r="358" spans="1:1" x14ac:dyDescent="0.2">
      <c r="A358" s="34" t="str">
        <f t="shared" si="5"/>
        <v/>
      </c>
    </row>
    <row r="359" spans="1:1" x14ac:dyDescent="0.2">
      <c r="A359" s="34" t="str">
        <f t="shared" si="5"/>
        <v/>
      </c>
    </row>
    <row r="360" spans="1:1" x14ac:dyDescent="0.2">
      <c r="A360" s="34" t="str">
        <f t="shared" si="5"/>
        <v/>
      </c>
    </row>
    <row r="361" spans="1:1" x14ac:dyDescent="0.2">
      <c r="A361" s="34" t="str">
        <f t="shared" si="5"/>
        <v/>
      </c>
    </row>
    <row r="362" spans="1:1" x14ac:dyDescent="0.2">
      <c r="A362" s="34" t="str">
        <f t="shared" si="5"/>
        <v/>
      </c>
    </row>
    <row r="363" spans="1:1" x14ac:dyDescent="0.2">
      <c r="A363" s="34" t="str">
        <f t="shared" si="5"/>
        <v/>
      </c>
    </row>
    <row r="364" spans="1:1" x14ac:dyDescent="0.2">
      <c r="A364" s="34" t="str">
        <f t="shared" si="5"/>
        <v/>
      </c>
    </row>
    <row r="365" spans="1:1" x14ac:dyDescent="0.2">
      <c r="A365" s="34" t="str">
        <f t="shared" si="5"/>
        <v/>
      </c>
    </row>
    <row r="366" spans="1:1" x14ac:dyDescent="0.2">
      <c r="A366" s="34" t="str">
        <f t="shared" si="5"/>
        <v/>
      </c>
    </row>
    <row r="367" spans="1:1" x14ac:dyDescent="0.2">
      <c r="A367" s="34" t="str">
        <f t="shared" si="5"/>
        <v/>
      </c>
    </row>
    <row r="368" spans="1:1" x14ac:dyDescent="0.2">
      <c r="A368" s="34" t="str">
        <f t="shared" si="5"/>
        <v/>
      </c>
    </row>
    <row r="369" spans="1:1" x14ac:dyDescent="0.2">
      <c r="A369" s="34" t="str">
        <f t="shared" si="5"/>
        <v/>
      </c>
    </row>
    <row r="370" spans="1:1" x14ac:dyDescent="0.2">
      <c r="A370" s="34" t="str">
        <f t="shared" si="5"/>
        <v/>
      </c>
    </row>
    <row r="371" spans="1:1" x14ac:dyDescent="0.2">
      <c r="A371" s="34" t="str">
        <f t="shared" si="5"/>
        <v/>
      </c>
    </row>
    <row r="372" spans="1:1" x14ac:dyDescent="0.2">
      <c r="A372" s="34" t="str">
        <f t="shared" si="5"/>
        <v/>
      </c>
    </row>
    <row r="373" spans="1:1" x14ac:dyDescent="0.2">
      <c r="A373" s="34" t="str">
        <f t="shared" si="5"/>
        <v/>
      </c>
    </row>
    <row r="374" spans="1:1" x14ac:dyDescent="0.2">
      <c r="A374" s="34" t="str">
        <f t="shared" si="5"/>
        <v/>
      </c>
    </row>
    <row r="375" spans="1:1" x14ac:dyDescent="0.2">
      <c r="A375" s="34" t="str">
        <f t="shared" si="5"/>
        <v/>
      </c>
    </row>
    <row r="376" spans="1:1" x14ac:dyDescent="0.2">
      <c r="A376" s="34" t="str">
        <f t="shared" si="5"/>
        <v/>
      </c>
    </row>
    <row r="377" spans="1:1" x14ac:dyDescent="0.2">
      <c r="A377" s="34" t="str">
        <f t="shared" si="5"/>
        <v/>
      </c>
    </row>
    <row r="378" spans="1:1" x14ac:dyDescent="0.2">
      <c r="A378" s="34" t="str">
        <f t="shared" si="5"/>
        <v/>
      </c>
    </row>
    <row r="379" spans="1:1" x14ac:dyDescent="0.2">
      <c r="A379" s="34" t="str">
        <f t="shared" si="5"/>
        <v/>
      </c>
    </row>
    <row r="380" spans="1:1" x14ac:dyDescent="0.2">
      <c r="A380" s="34" t="str">
        <f t="shared" si="5"/>
        <v/>
      </c>
    </row>
    <row r="381" spans="1:1" x14ac:dyDescent="0.2">
      <c r="A381" s="34" t="str">
        <f t="shared" si="5"/>
        <v/>
      </c>
    </row>
    <row r="382" spans="1:1" x14ac:dyDescent="0.2">
      <c r="A382" s="34" t="str">
        <f t="shared" si="5"/>
        <v/>
      </c>
    </row>
    <row r="383" spans="1:1" x14ac:dyDescent="0.2">
      <c r="A383" s="34" t="str">
        <f t="shared" si="5"/>
        <v/>
      </c>
    </row>
    <row r="384" spans="1:1" x14ac:dyDescent="0.2">
      <c r="A384" s="34" t="str">
        <f t="shared" si="5"/>
        <v/>
      </c>
    </row>
    <row r="385" spans="1:1" x14ac:dyDescent="0.2">
      <c r="A385" s="34" t="str">
        <f t="shared" si="5"/>
        <v/>
      </c>
    </row>
    <row r="386" spans="1:1" x14ac:dyDescent="0.2">
      <c r="A386" s="34" t="str">
        <f t="shared" si="5"/>
        <v/>
      </c>
    </row>
    <row r="387" spans="1:1" x14ac:dyDescent="0.2">
      <c r="A387" s="34" t="str">
        <f t="shared" ref="A387:A450" si="6">CONCATENATE(B387,C387,F387)</f>
        <v/>
      </c>
    </row>
    <row r="388" spans="1:1" x14ac:dyDescent="0.2">
      <c r="A388" s="34" t="str">
        <f t="shared" si="6"/>
        <v/>
      </c>
    </row>
    <row r="389" spans="1:1" x14ac:dyDescent="0.2">
      <c r="A389" s="34" t="str">
        <f t="shared" si="6"/>
        <v/>
      </c>
    </row>
    <row r="390" spans="1:1" x14ac:dyDescent="0.2">
      <c r="A390" s="34" t="str">
        <f t="shared" si="6"/>
        <v/>
      </c>
    </row>
    <row r="391" spans="1:1" x14ac:dyDescent="0.2">
      <c r="A391" s="34" t="str">
        <f t="shared" si="6"/>
        <v/>
      </c>
    </row>
    <row r="392" spans="1:1" x14ac:dyDescent="0.2">
      <c r="A392" s="34" t="str">
        <f t="shared" si="6"/>
        <v/>
      </c>
    </row>
    <row r="393" spans="1:1" x14ac:dyDescent="0.2">
      <c r="A393" s="34" t="str">
        <f t="shared" si="6"/>
        <v/>
      </c>
    </row>
    <row r="394" spans="1:1" x14ac:dyDescent="0.2">
      <c r="A394" s="34" t="str">
        <f t="shared" si="6"/>
        <v/>
      </c>
    </row>
    <row r="395" spans="1:1" x14ac:dyDescent="0.2">
      <c r="A395" s="34" t="str">
        <f t="shared" si="6"/>
        <v/>
      </c>
    </row>
    <row r="396" spans="1:1" x14ac:dyDescent="0.2">
      <c r="A396" s="34" t="str">
        <f t="shared" si="6"/>
        <v/>
      </c>
    </row>
    <row r="397" spans="1:1" x14ac:dyDescent="0.2">
      <c r="A397" s="34" t="str">
        <f t="shared" si="6"/>
        <v/>
      </c>
    </row>
    <row r="398" spans="1:1" x14ac:dyDescent="0.2">
      <c r="A398" s="34" t="str">
        <f t="shared" si="6"/>
        <v/>
      </c>
    </row>
    <row r="399" spans="1:1" x14ac:dyDescent="0.2">
      <c r="A399" s="34" t="str">
        <f t="shared" si="6"/>
        <v/>
      </c>
    </row>
    <row r="400" spans="1:1" x14ac:dyDescent="0.2">
      <c r="A400" s="34" t="str">
        <f t="shared" si="6"/>
        <v/>
      </c>
    </row>
    <row r="401" spans="1:1" x14ac:dyDescent="0.2">
      <c r="A401" s="34" t="str">
        <f t="shared" si="6"/>
        <v/>
      </c>
    </row>
    <row r="402" spans="1:1" x14ac:dyDescent="0.2">
      <c r="A402" s="34" t="str">
        <f t="shared" si="6"/>
        <v/>
      </c>
    </row>
    <row r="403" spans="1:1" x14ac:dyDescent="0.2">
      <c r="A403" s="34" t="str">
        <f t="shared" si="6"/>
        <v/>
      </c>
    </row>
    <row r="404" spans="1:1" x14ac:dyDescent="0.2">
      <c r="A404" s="34" t="str">
        <f t="shared" si="6"/>
        <v/>
      </c>
    </row>
    <row r="405" spans="1:1" x14ac:dyDescent="0.2">
      <c r="A405" s="34" t="str">
        <f t="shared" si="6"/>
        <v/>
      </c>
    </row>
    <row r="406" spans="1:1" x14ac:dyDescent="0.2">
      <c r="A406" s="34" t="str">
        <f t="shared" si="6"/>
        <v/>
      </c>
    </row>
    <row r="407" spans="1:1" x14ac:dyDescent="0.2">
      <c r="A407" s="34" t="str">
        <f t="shared" si="6"/>
        <v/>
      </c>
    </row>
    <row r="408" spans="1:1" x14ac:dyDescent="0.2">
      <c r="A408" s="34" t="str">
        <f t="shared" si="6"/>
        <v/>
      </c>
    </row>
    <row r="409" spans="1:1" x14ac:dyDescent="0.2">
      <c r="A409" s="34" t="str">
        <f t="shared" si="6"/>
        <v/>
      </c>
    </row>
    <row r="410" spans="1:1" x14ac:dyDescent="0.2">
      <c r="A410" s="34" t="str">
        <f t="shared" si="6"/>
        <v/>
      </c>
    </row>
    <row r="411" spans="1:1" x14ac:dyDescent="0.2">
      <c r="A411" s="34" t="str">
        <f t="shared" si="6"/>
        <v/>
      </c>
    </row>
    <row r="412" spans="1:1" x14ac:dyDescent="0.2">
      <c r="A412" s="34" t="str">
        <f t="shared" si="6"/>
        <v/>
      </c>
    </row>
    <row r="413" spans="1:1" x14ac:dyDescent="0.2">
      <c r="A413" s="34" t="str">
        <f t="shared" si="6"/>
        <v/>
      </c>
    </row>
    <row r="414" spans="1:1" x14ac:dyDescent="0.2">
      <c r="A414" s="34" t="str">
        <f t="shared" si="6"/>
        <v/>
      </c>
    </row>
    <row r="415" spans="1:1" x14ac:dyDescent="0.2">
      <c r="A415" s="34" t="str">
        <f t="shared" si="6"/>
        <v/>
      </c>
    </row>
    <row r="416" spans="1:1" x14ac:dyDescent="0.2">
      <c r="A416" s="34" t="str">
        <f t="shared" si="6"/>
        <v/>
      </c>
    </row>
    <row r="417" spans="1:1" x14ac:dyDescent="0.2">
      <c r="A417" s="34" t="str">
        <f t="shared" si="6"/>
        <v/>
      </c>
    </row>
    <row r="418" spans="1:1" x14ac:dyDescent="0.2">
      <c r="A418" s="34" t="str">
        <f t="shared" si="6"/>
        <v/>
      </c>
    </row>
    <row r="419" spans="1:1" x14ac:dyDescent="0.2">
      <c r="A419" s="34" t="str">
        <f t="shared" si="6"/>
        <v/>
      </c>
    </row>
    <row r="420" spans="1:1" x14ac:dyDescent="0.2">
      <c r="A420" s="34" t="str">
        <f t="shared" si="6"/>
        <v/>
      </c>
    </row>
    <row r="421" spans="1:1" x14ac:dyDescent="0.2">
      <c r="A421" s="34" t="str">
        <f t="shared" si="6"/>
        <v/>
      </c>
    </row>
    <row r="422" spans="1:1" x14ac:dyDescent="0.2">
      <c r="A422" s="34" t="str">
        <f t="shared" si="6"/>
        <v/>
      </c>
    </row>
    <row r="423" spans="1:1" x14ac:dyDescent="0.2">
      <c r="A423" s="34" t="str">
        <f t="shared" si="6"/>
        <v/>
      </c>
    </row>
    <row r="424" spans="1:1" x14ac:dyDescent="0.2">
      <c r="A424" s="34" t="str">
        <f t="shared" si="6"/>
        <v/>
      </c>
    </row>
    <row r="425" spans="1:1" x14ac:dyDescent="0.2">
      <c r="A425" s="34" t="str">
        <f t="shared" si="6"/>
        <v/>
      </c>
    </row>
    <row r="426" spans="1:1" x14ac:dyDescent="0.2">
      <c r="A426" s="34" t="str">
        <f t="shared" si="6"/>
        <v/>
      </c>
    </row>
    <row r="427" spans="1:1" x14ac:dyDescent="0.2">
      <c r="A427" s="34" t="str">
        <f t="shared" si="6"/>
        <v/>
      </c>
    </row>
    <row r="428" spans="1:1" x14ac:dyDescent="0.2">
      <c r="A428" s="34" t="str">
        <f t="shared" si="6"/>
        <v/>
      </c>
    </row>
    <row r="429" spans="1:1" x14ac:dyDescent="0.2">
      <c r="A429" s="34" t="str">
        <f t="shared" si="6"/>
        <v/>
      </c>
    </row>
    <row r="430" spans="1:1" x14ac:dyDescent="0.2">
      <c r="A430" s="34" t="str">
        <f t="shared" si="6"/>
        <v/>
      </c>
    </row>
    <row r="431" spans="1:1" x14ac:dyDescent="0.2">
      <c r="A431" s="34" t="str">
        <f t="shared" si="6"/>
        <v/>
      </c>
    </row>
    <row r="432" spans="1:1" x14ac:dyDescent="0.2">
      <c r="A432" s="34" t="str">
        <f t="shared" si="6"/>
        <v/>
      </c>
    </row>
    <row r="433" spans="1:1" x14ac:dyDescent="0.2">
      <c r="A433" s="34" t="str">
        <f t="shared" si="6"/>
        <v/>
      </c>
    </row>
    <row r="434" spans="1:1" x14ac:dyDescent="0.2">
      <c r="A434" s="34" t="str">
        <f t="shared" si="6"/>
        <v/>
      </c>
    </row>
    <row r="435" spans="1:1" x14ac:dyDescent="0.2">
      <c r="A435" s="34" t="str">
        <f t="shared" si="6"/>
        <v/>
      </c>
    </row>
    <row r="436" spans="1:1" x14ac:dyDescent="0.2">
      <c r="A436" s="34" t="str">
        <f t="shared" si="6"/>
        <v/>
      </c>
    </row>
    <row r="437" spans="1:1" x14ac:dyDescent="0.2">
      <c r="A437" s="34" t="str">
        <f t="shared" si="6"/>
        <v/>
      </c>
    </row>
    <row r="438" spans="1:1" x14ac:dyDescent="0.2">
      <c r="A438" s="34" t="str">
        <f t="shared" si="6"/>
        <v/>
      </c>
    </row>
    <row r="439" spans="1:1" x14ac:dyDescent="0.2">
      <c r="A439" s="34" t="str">
        <f t="shared" si="6"/>
        <v/>
      </c>
    </row>
    <row r="440" spans="1:1" x14ac:dyDescent="0.2">
      <c r="A440" s="34" t="str">
        <f t="shared" si="6"/>
        <v/>
      </c>
    </row>
    <row r="441" spans="1:1" x14ac:dyDescent="0.2">
      <c r="A441" s="34" t="str">
        <f t="shared" si="6"/>
        <v/>
      </c>
    </row>
    <row r="442" spans="1:1" x14ac:dyDescent="0.2">
      <c r="A442" s="34" t="str">
        <f t="shared" si="6"/>
        <v/>
      </c>
    </row>
    <row r="443" spans="1:1" x14ac:dyDescent="0.2">
      <c r="A443" s="34" t="str">
        <f t="shared" si="6"/>
        <v/>
      </c>
    </row>
    <row r="444" spans="1:1" x14ac:dyDescent="0.2">
      <c r="A444" s="34" t="str">
        <f t="shared" si="6"/>
        <v/>
      </c>
    </row>
    <row r="445" spans="1:1" x14ac:dyDescent="0.2">
      <c r="A445" s="34" t="str">
        <f t="shared" si="6"/>
        <v/>
      </c>
    </row>
    <row r="446" spans="1:1" x14ac:dyDescent="0.2">
      <c r="A446" s="34" t="str">
        <f t="shared" si="6"/>
        <v/>
      </c>
    </row>
    <row r="447" spans="1:1" x14ac:dyDescent="0.2">
      <c r="A447" s="34" t="str">
        <f t="shared" si="6"/>
        <v/>
      </c>
    </row>
    <row r="448" spans="1:1" x14ac:dyDescent="0.2">
      <c r="A448" s="34" t="str">
        <f t="shared" si="6"/>
        <v/>
      </c>
    </row>
    <row r="449" spans="1:1" x14ac:dyDescent="0.2">
      <c r="A449" s="34" t="str">
        <f t="shared" si="6"/>
        <v/>
      </c>
    </row>
    <row r="450" spans="1:1" x14ac:dyDescent="0.2">
      <c r="A450" s="34" t="str">
        <f t="shared" si="6"/>
        <v/>
      </c>
    </row>
    <row r="451" spans="1:1" x14ac:dyDescent="0.2">
      <c r="A451" s="34" t="str">
        <f t="shared" ref="A451:A514" si="7">CONCATENATE(B451,C451,F451)</f>
        <v/>
      </c>
    </row>
    <row r="452" spans="1:1" x14ac:dyDescent="0.2">
      <c r="A452" s="34" t="str">
        <f t="shared" si="7"/>
        <v/>
      </c>
    </row>
    <row r="453" spans="1:1" x14ac:dyDescent="0.2">
      <c r="A453" s="34" t="str">
        <f t="shared" si="7"/>
        <v/>
      </c>
    </row>
    <row r="454" spans="1:1" x14ac:dyDescent="0.2">
      <c r="A454" s="34" t="str">
        <f t="shared" si="7"/>
        <v/>
      </c>
    </row>
    <row r="455" spans="1:1" x14ac:dyDescent="0.2">
      <c r="A455" s="34" t="str">
        <f t="shared" si="7"/>
        <v/>
      </c>
    </row>
    <row r="456" spans="1:1" x14ac:dyDescent="0.2">
      <c r="A456" s="34" t="str">
        <f t="shared" si="7"/>
        <v/>
      </c>
    </row>
    <row r="457" spans="1:1" x14ac:dyDescent="0.2">
      <c r="A457" s="34" t="str">
        <f t="shared" si="7"/>
        <v/>
      </c>
    </row>
    <row r="458" spans="1:1" x14ac:dyDescent="0.2">
      <c r="A458" s="34" t="str">
        <f t="shared" si="7"/>
        <v/>
      </c>
    </row>
    <row r="459" spans="1:1" x14ac:dyDescent="0.2">
      <c r="A459" s="34" t="str">
        <f t="shared" si="7"/>
        <v/>
      </c>
    </row>
    <row r="460" spans="1:1" x14ac:dyDescent="0.2">
      <c r="A460" s="34" t="str">
        <f t="shared" si="7"/>
        <v/>
      </c>
    </row>
    <row r="461" spans="1:1" x14ac:dyDescent="0.2">
      <c r="A461" s="34" t="str">
        <f t="shared" si="7"/>
        <v/>
      </c>
    </row>
    <row r="462" spans="1:1" x14ac:dyDescent="0.2">
      <c r="A462" s="34" t="str">
        <f t="shared" si="7"/>
        <v/>
      </c>
    </row>
    <row r="463" spans="1:1" x14ac:dyDescent="0.2">
      <c r="A463" s="34" t="str">
        <f t="shared" si="7"/>
        <v/>
      </c>
    </row>
    <row r="464" spans="1:1" x14ac:dyDescent="0.2">
      <c r="A464" s="34" t="str">
        <f t="shared" si="7"/>
        <v/>
      </c>
    </row>
    <row r="465" spans="1:1" x14ac:dyDescent="0.2">
      <c r="A465" s="34" t="str">
        <f t="shared" si="7"/>
        <v/>
      </c>
    </row>
    <row r="466" spans="1:1" x14ac:dyDescent="0.2">
      <c r="A466" s="34" t="str">
        <f t="shared" si="7"/>
        <v/>
      </c>
    </row>
    <row r="467" spans="1:1" x14ac:dyDescent="0.2">
      <c r="A467" s="34" t="str">
        <f t="shared" si="7"/>
        <v/>
      </c>
    </row>
    <row r="468" spans="1:1" x14ac:dyDescent="0.2">
      <c r="A468" s="34" t="str">
        <f t="shared" si="7"/>
        <v/>
      </c>
    </row>
    <row r="469" spans="1:1" x14ac:dyDescent="0.2">
      <c r="A469" s="34" t="str">
        <f t="shared" si="7"/>
        <v/>
      </c>
    </row>
    <row r="470" spans="1:1" x14ac:dyDescent="0.2">
      <c r="A470" s="34" t="str">
        <f t="shared" si="7"/>
        <v/>
      </c>
    </row>
    <row r="471" spans="1:1" x14ac:dyDescent="0.2">
      <c r="A471" s="34" t="str">
        <f t="shared" si="7"/>
        <v/>
      </c>
    </row>
    <row r="472" spans="1:1" x14ac:dyDescent="0.2">
      <c r="A472" s="34" t="str">
        <f t="shared" si="7"/>
        <v/>
      </c>
    </row>
    <row r="473" spans="1:1" x14ac:dyDescent="0.2">
      <c r="A473" s="34" t="str">
        <f t="shared" si="7"/>
        <v/>
      </c>
    </row>
    <row r="474" spans="1:1" x14ac:dyDescent="0.2">
      <c r="A474" s="34" t="str">
        <f t="shared" si="7"/>
        <v/>
      </c>
    </row>
    <row r="475" spans="1:1" x14ac:dyDescent="0.2">
      <c r="A475" s="34" t="str">
        <f t="shared" si="7"/>
        <v/>
      </c>
    </row>
    <row r="476" spans="1:1" x14ac:dyDescent="0.2">
      <c r="A476" s="34" t="str">
        <f t="shared" si="7"/>
        <v/>
      </c>
    </row>
    <row r="477" spans="1:1" x14ac:dyDescent="0.2">
      <c r="A477" s="34" t="str">
        <f t="shared" si="7"/>
        <v/>
      </c>
    </row>
    <row r="478" spans="1:1" x14ac:dyDescent="0.2">
      <c r="A478" s="34" t="str">
        <f t="shared" si="7"/>
        <v/>
      </c>
    </row>
    <row r="479" spans="1:1" x14ac:dyDescent="0.2">
      <c r="A479" s="34" t="str">
        <f t="shared" si="7"/>
        <v/>
      </c>
    </row>
    <row r="480" spans="1:1" x14ac:dyDescent="0.2">
      <c r="A480" s="34" t="str">
        <f t="shared" si="7"/>
        <v/>
      </c>
    </row>
    <row r="481" spans="1:1" x14ac:dyDescent="0.2">
      <c r="A481" s="34" t="str">
        <f t="shared" si="7"/>
        <v/>
      </c>
    </row>
    <row r="482" spans="1:1" x14ac:dyDescent="0.2">
      <c r="A482" s="34" t="str">
        <f t="shared" si="7"/>
        <v/>
      </c>
    </row>
    <row r="483" spans="1:1" x14ac:dyDescent="0.2">
      <c r="A483" s="34" t="str">
        <f t="shared" si="7"/>
        <v/>
      </c>
    </row>
    <row r="484" spans="1:1" x14ac:dyDescent="0.2">
      <c r="A484" s="34" t="str">
        <f t="shared" si="7"/>
        <v/>
      </c>
    </row>
    <row r="485" spans="1:1" x14ac:dyDescent="0.2">
      <c r="A485" s="34" t="str">
        <f t="shared" si="7"/>
        <v/>
      </c>
    </row>
    <row r="486" spans="1:1" x14ac:dyDescent="0.2">
      <c r="A486" s="34" t="str">
        <f t="shared" si="7"/>
        <v/>
      </c>
    </row>
    <row r="487" spans="1:1" x14ac:dyDescent="0.2">
      <c r="A487" s="34" t="str">
        <f t="shared" si="7"/>
        <v/>
      </c>
    </row>
    <row r="488" spans="1:1" x14ac:dyDescent="0.2">
      <c r="A488" s="34" t="str">
        <f t="shared" si="7"/>
        <v/>
      </c>
    </row>
    <row r="489" spans="1:1" x14ac:dyDescent="0.2">
      <c r="A489" s="34" t="str">
        <f t="shared" si="7"/>
        <v/>
      </c>
    </row>
    <row r="490" spans="1:1" x14ac:dyDescent="0.2">
      <c r="A490" s="34" t="str">
        <f t="shared" si="7"/>
        <v/>
      </c>
    </row>
    <row r="491" spans="1:1" x14ac:dyDescent="0.2">
      <c r="A491" s="34" t="str">
        <f t="shared" si="7"/>
        <v/>
      </c>
    </row>
    <row r="492" spans="1:1" x14ac:dyDescent="0.2">
      <c r="A492" s="34" t="str">
        <f t="shared" si="7"/>
        <v/>
      </c>
    </row>
    <row r="493" spans="1:1" x14ac:dyDescent="0.2">
      <c r="A493" s="34" t="str">
        <f t="shared" si="7"/>
        <v/>
      </c>
    </row>
    <row r="494" spans="1:1" x14ac:dyDescent="0.2">
      <c r="A494" s="34" t="str">
        <f t="shared" si="7"/>
        <v/>
      </c>
    </row>
    <row r="495" spans="1:1" x14ac:dyDescent="0.2">
      <c r="A495" s="34" t="str">
        <f t="shared" si="7"/>
        <v/>
      </c>
    </row>
    <row r="496" spans="1:1" x14ac:dyDescent="0.2">
      <c r="A496" s="34" t="str">
        <f t="shared" si="7"/>
        <v/>
      </c>
    </row>
    <row r="497" spans="1:1" x14ac:dyDescent="0.2">
      <c r="A497" s="34" t="str">
        <f t="shared" si="7"/>
        <v/>
      </c>
    </row>
    <row r="498" spans="1:1" x14ac:dyDescent="0.2">
      <c r="A498" s="34" t="str">
        <f t="shared" si="7"/>
        <v/>
      </c>
    </row>
    <row r="499" spans="1:1" x14ac:dyDescent="0.2">
      <c r="A499" s="34" t="str">
        <f t="shared" si="7"/>
        <v/>
      </c>
    </row>
    <row r="500" spans="1:1" x14ac:dyDescent="0.2">
      <c r="A500" s="34" t="str">
        <f t="shared" si="7"/>
        <v/>
      </c>
    </row>
    <row r="501" spans="1:1" x14ac:dyDescent="0.2">
      <c r="A501" s="34" t="str">
        <f t="shared" si="7"/>
        <v/>
      </c>
    </row>
    <row r="502" spans="1:1" x14ac:dyDescent="0.2">
      <c r="A502" s="34" t="str">
        <f t="shared" si="7"/>
        <v/>
      </c>
    </row>
    <row r="503" spans="1:1" x14ac:dyDescent="0.2">
      <c r="A503" s="34" t="str">
        <f t="shared" si="7"/>
        <v/>
      </c>
    </row>
    <row r="504" spans="1:1" x14ac:dyDescent="0.2">
      <c r="A504" s="34" t="str">
        <f t="shared" si="7"/>
        <v/>
      </c>
    </row>
    <row r="505" spans="1:1" x14ac:dyDescent="0.2">
      <c r="A505" s="34" t="str">
        <f t="shared" si="7"/>
        <v/>
      </c>
    </row>
    <row r="506" spans="1:1" x14ac:dyDescent="0.2">
      <c r="A506" s="34" t="str">
        <f t="shared" si="7"/>
        <v/>
      </c>
    </row>
    <row r="507" spans="1:1" x14ac:dyDescent="0.2">
      <c r="A507" s="34" t="str">
        <f t="shared" si="7"/>
        <v/>
      </c>
    </row>
    <row r="508" spans="1:1" x14ac:dyDescent="0.2">
      <c r="A508" s="34" t="str">
        <f t="shared" si="7"/>
        <v/>
      </c>
    </row>
    <row r="509" spans="1:1" x14ac:dyDescent="0.2">
      <c r="A509" s="34" t="str">
        <f t="shared" si="7"/>
        <v/>
      </c>
    </row>
    <row r="510" spans="1:1" x14ac:dyDescent="0.2">
      <c r="A510" s="34" t="str">
        <f t="shared" si="7"/>
        <v/>
      </c>
    </row>
    <row r="511" spans="1:1" x14ac:dyDescent="0.2">
      <c r="A511" s="34" t="str">
        <f t="shared" si="7"/>
        <v/>
      </c>
    </row>
    <row r="512" spans="1:1" x14ac:dyDescent="0.2">
      <c r="A512" s="34" t="str">
        <f t="shared" si="7"/>
        <v/>
      </c>
    </row>
    <row r="513" spans="1:1" x14ac:dyDescent="0.2">
      <c r="A513" s="34" t="str">
        <f t="shared" si="7"/>
        <v/>
      </c>
    </row>
    <row r="514" spans="1:1" x14ac:dyDescent="0.2">
      <c r="A514" s="34" t="str">
        <f t="shared" si="7"/>
        <v/>
      </c>
    </row>
    <row r="515" spans="1:1" x14ac:dyDescent="0.2">
      <c r="A515" s="34" t="str">
        <f t="shared" ref="A515:A578" si="8">CONCATENATE(B515,C515,F515)</f>
        <v/>
      </c>
    </row>
    <row r="516" spans="1:1" x14ac:dyDescent="0.2">
      <c r="A516" s="34" t="str">
        <f t="shared" si="8"/>
        <v/>
      </c>
    </row>
    <row r="517" spans="1:1" x14ac:dyDescent="0.2">
      <c r="A517" s="34" t="str">
        <f t="shared" si="8"/>
        <v/>
      </c>
    </row>
    <row r="518" spans="1:1" x14ac:dyDescent="0.2">
      <c r="A518" s="34" t="str">
        <f t="shared" si="8"/>
        <v/>
      </c>
    </row>
    <row r="519" spans="1:1" x14ac:dyDescent="0.2">
      <c r="A519" s="34" t="str">
        <f t="shared" si="8"/>
        <v/>
      </c>
    </row>
    <row r="520" spans="1:1" x14ac:dyDescent="0.2">
      <c r="A520" s="34" t="str">
        <f t="shared" si="8"/>
        <v/>
      </c>
    </row>
    <row r="521" spans="1:1" x14ac:dyDescent="0.2">
      <c r="A521" s="34" t="str">
        <f t="shared" si="8"/>
        <v/>
      </c>
    </row>
    <row r="522" spans="1:1" x14ac:dyDescent="0.2">
      <c r="A522" s="34" t="str">
        <f t="shared" si="8"/>
        <v/>
      </c>
    </row>
    <row r="523" spans="1:1" x14ac:dyDescent="0.2">
      <c r="A523" s="34" t="str">
        <f t="shared" si="8"/>
        <v/>
      </c>
    </row>
    <row r="524" spans="1:1" x14ac:dyDescent="0.2">
      <c r="A524" s="34" t="str">
        <f t="shared" si="8"/>
        <v/>
      </c>
    </row>
    <row r="525" spans="1:1" x14ac:dyDescent="0.2">
      <c r="A525" s="34" t="str">
        <f t="shared" si="8"/>
        <v/>
      </c>
    </row>
    <row r="526" spans="1:1" x14ac:dyDescent="0.2">
      <c r="A526" s="34" t="str">
        <f t="shared" si="8"/>
        <v/>
      </c>
    </row>
    <row r="527" spans="1:1" x14ac:dyDescent="0.2">
      <c r="A527" s="34" t="str">
        <f t="shared" si="8"/>
        <v/>
      </c>
    </row>
    <row r="528" spans="1:1" x14ac:dyDescent="0.2">
      <c r="A528" s="34" t="str">
        <f t="shared" si="8"/>
        <v/>
      </c>
    </row>
    <row r="529" spans="1:1" x14ac:dyDescent="0.2">
      <c r="A529" s="34" t="str">
        <f t="shared" si="8"/>
        <v/>
      </c>
    </row>
    <row r="530" spans="1:1" x14ac:dyDescent="0.2">
      <c r="A530" s="34" t="str">
        <f t="shared" si="8"/>
        <v/>
      </c>
    </row>
    <row r="531" spans="1:1" x14ac:dyDescent="0.2">
      <c r="A531" s="34" t="str">
        <f t="shared" si="8"/>
        <v/>
      </c>
    </row>
    <row r="532" spans="1:1" x14ac:dyDescent="0.2">
      <c r="A532" s="34" t="str">
        <f t="shared" si="8"/>
        <v/>
      </c>
    </row>
    <row r="533" spans="1:1" x14ac:dyDescent="0.2">
      <c r="A533" s="34" t="str">
        <f t="shared" si="8"/>
        <v/>
      </c>
    </row>
    <row r="534" spans="1:1" x14ac:dyDescent="0.2">
      <c r="A534" s="34" t="str">
        <f t="shared" si="8"/>
        <v/>
      </c>
    </row>
    <row r="535" spans="1:1" x14ac:dyDescent="0.2">
      <c r="A535" s="34" t="str">
        <f t="shared" si="8"/>
        <v/>
      </c>
    </row>
    <row r="536" spans="1:1" x14ac:dyDescent="0.2">
      <c r="A536" s="34" t="str">
        <f t="shared" si="8"/>
        <v/>
      </c>
    </row>
    <row r="537" spans="1:1" x14ac:dyDescent="0.2">
      <c r="A537" s="34" t="str">
        <f t="shared" si="8"/>
        <v/>
      </c>
    </row>
    <row r="538" spans="1:1" x14ac:dyDescent="0.2">
      <c r="A538" s="34" t="str">
        <f t="shared" si="8"/>
        <v/>
      </c>
    </row>
    <row r="539" spans="1:1" x14ac:dyDescent="0.2">
      <c r="A539" s="34" t="str">
        <f t="shared" si="8"/>
        <v/>
      </c>
    </row>
    <row r="540" spans="1:1" x14ac:dyDescent="0.2">
      <c r="A540" s="34" t="str">
        <f t="shared" si="8"/>
        <v/>
      </c>
    </row>
    <row r="541" spans="1:1" x14ac:dyDescent="0.2">
      <c r="A541" s="34" t="str">
        <f t="shared" si="8"/>
        <v/>
      </c>
    </row>
    <row r="542" spans="1:1" x14ac:dyDescent="0.2">
      <c r="A542" s="34" t="str">
        <f t="shared" si="8"/>
        <v/>
      </c>
    </row>
    <row r="543" spans="1:1" x14ac:dyDescent="0.2">
      <c r="A543" s="34" t="str">
        <f t="shared" si="8"/>
        <v/>
      </c>
    </row>
    <row r="544" spans="1:1" x14ac:dyDescent="0.2">
      <c r="A544" s="34" t="str">
        <f t="shared" si="8"/>
        <v/>
      </c>
    </row>
    <row r="545" spans="1:1" x14ac:dyDescent="0.2">
      <c r="A545" s="34" t="str">
        <f t="shared" si="8"/>
        <v/>
      </c>
    </row>
    <row r="546" spans="1:1" x14ac:dyDescent="0.2">
      <c r="A546" s="34" t="str">
        <f t="shared" si="8"/>
        <v/>
      </c>
    </row>
    <row r="547" spans="1:1" x14ac:dyDescent="0.2">
      <c r="A547" s="34" t="str">
        <f t="shared" si="8"/>
        <v/>
      </c>
    </row>
    <row r="548" spans="1:1" x14ac:dyDescent="0.2">
      <c r="A548" s="34" t="str">
        <f t="shared" si="8"/>
        <v/>
      </c>
    </row>
    <row r="549" spans="1:1" x14ac:dyDescent="0.2">
      <c r="A549" s="34" t="str">
        <f t="shared" si="8"/>
        <v/>
      </c>
    </row>
    <row r="550" spans="1:1" x14ac:dyDescent="0.2">
      <c r="A550" s="34" t="str">
        <f t="shared" si="8"/>
        <v/>
      </c>
    </row>
    <row r="551" spans="1:1" x14ac:dyDescent="0.2">
      <c r="A551" s="34" t="str">
        <f t="shared" si="8"/>
        <v/>
      </c>
    </row>
    <row r="552" spans="1:1" x14ac:dyDescent="0.2">
      <c r="A552" s="34" t="str">
        <f t="shared" si="8"/>
        <v/>
      </c>
    </row>
    <row r="553" spans="1:1" x14ac:dyDescent="0.2">
      <c r="A553" s="34" t="str">
        <f t="shared" si="8"/>
        <v/>
      </c>
    </row>
    <row r="554" spans="1:1" x14ac:dyDescent="0.2">
      <c r="A554" s="34" t="str">
        <f t="shared" si="8"/>
        <v/>
      </c>
    </row>
    <row r="555" spans="1:1" x14ac:dyDescent="0.2">
      <c r="A555" s="34" t="str">
        <f t="shared" si="8"/>
        <v/>
      </c>
    </row>
    <row r="556" spans="1:1" x14ac:dyDescent="0.2">
      <c r="A556" s="34" t="str">
        <f t="shared" si="8"/>
        <v/>
      </c>
    </row>
    <row r="557" spans="1:1" x14ac:dyDescent="0.2">
      <c r="A557" s="34" t="str">
        <f t="shared" si="8"/>
        <v/>
      </c>
    </row>
    <row r="558" spans="1:1" x14ac:dyDescent="0.2">
      <c r="A558" s="34" t="str">
        <f t="shared" si="8"/>
        <v/>
      </c>
    </row>
    <row r="559" spans="1:1" x14ac:dyDescent="0.2">
      <c r="A559" s="34" t="str">
        <f t="shared" si="8"/>
        <v/>
      </c>
    </row>
    <row r="560" spans="1:1" x14ac:dyDescent="0.2">
      <c r="A560" s="34" t="str">
        <f t="shared" si="8"/>
        <v/>
      </c>
    </row>
    <row r="561" spans="1:1" x14ac:dyDescent="0.2">
      <c r="A561" s="34" t="str">
        <f t="shared" si="8"/>
        <v/>
      </c>
    </row>
    <row r="562" spans="1:1" x14ac:dyDescent="0.2">
      <c r="A562" s="34" t="str">
        <f t="shared" si="8"/>
        <v/>
      </c>
    </row>
    <row r="563" spans="1:1" x14ac:dyDescent="0.2">
      <c r="A563" s="34" t="str">
        <f t="shared" si="8"/>
        <v/>
      </c>
    </row>
    <row r="564" spans="1:1" x14ac:dyDescent="0.2">
      <c r="A564" s="34" t="str">
        <f t="shared" si="8"/>
        <v/>
      </c>
    </row>
    <row r="565" spans="1:1" x14ac:dyDescent="0.2">
      <c r="A565" s="34" t="str">
        <f t="shared" si="8"/>
        <v/>
      </c>
    </row>
    <row r="566" spans="1:1" x14ac:dyDescent="0.2">
      <c r="A566" s="34" t="str">
        <f t="shared" si="8"/>
        <v/>
      </c>
    </row>
    <row r="567" spans="1:1" x14ac:dyDescent="0.2">
      <c r="A567" s="34" t="str">
        <f t="shared" si="8"/>
        <v/>
      </c>
    </row>
    <row r="568" spans="1:1" x14ac:dyDescent="0.2">
      <c r="A568" s="34" t="str">
        <f t="shared" si="8"/>
        <v/>
      </c>
    </row>
    <row r="569" spans="1:1" x14ac:dyDescent="0.2">
      <c r="A569" s="34" t="str">
        <f t="shared" si="8"/>
        <v/>
      </c>
    </row>
    <row r="570" spans="1:1" x14ac:dyDescent="0.2">
      <c r="A570" s="34" t="str">
        <f t="shared" si="8"/>
        <v/>
      </c>
    </row>
    <row r="571" spans="1:1" x14ac:dyDescent="0.2">
      <c r="A571" s="34" t="str">
        <f t="shared" si="8"/>
        <v/>
      </c>
    </row>
    <row r="572" spans="1:1" x14ac:dyDescent="0.2">
      <c r="A572" s="34" t="str">
        <f t="shared" si="8"/>
        <v/>
      </c>
    </row>
    <row r="573" spans="1:1" x14ac:dyDescent="0.2">
      <c r="A573" s="34" t="str">
        <f t="shared" si="8"/>
        <v/>
      </c>
    </row>
    <row r="574" spans="1:1" x14ac:dyDescent="0.2">
      <c r="A574" s="34" t="str">
        <f t="shared" si="8"/>
        <v/>
      </c>
    </row>
    <row r="575" spans="1:1" x14ac:dyDescent="0.2">
      <c r="A575" s="34" t="str">
        <f t="shared" si="8"/>
        <v/>
      </c>
    </row>
    <row r="576" spans="1:1" x14ac:dyDescent="0.2">
      <c r="A576" s="34" t="str">
        <f t="shared" si="8"/>
        <v/>
      </c>
    </row>
    <row r="577" spans="1:1" x14ac:dyDescent="0.2">
      <c r="A577" s="34" t="str">
        <f t="shared" si="8"/>
        <v/>
      </c>
    </row>
    <row r="578" spans="1:1" x14ac:dyDescent="0.2">
      <c r="A578" s="34" t="str">
        <f t="shared" si="8"/>
        <v/>
      </c>
    </row>
    <row r="579" spans="1:1" x14ac:dyDescent="0.2">
      <c r="A579" s="34" t="str">
        <f t="shared" ref="A579:A642" si="9">CONCATENATE(B579,C579,F579)</f>
        <v/>
      </c>
    </row>
    <row r="580" spans="1:1" x14ac:dyDescent="0.2">
      <c r="A580" s="34" t="str">
        <f t="shared" si="9"/>
        <v/>
      </c>
    </row>
    <row r="581" spans="1:1" x14ac:dyDescent="0.2">
      <c r="A581" s="34" t="str">
        <f t="shared" si="9"/>
        <v/>
      </c>
    </row>
    <row r="582" spans="1:1" x14ac:dyDescent="0.2">
      <c r="A582" s="34" t="str">
        <f t="shared" si="9"/>
        <v/>
      </c>
    </row>
    <row r="583" spans="1:1" x14ac:dyDescent="0.2">
      <c r="A583" s="34" t="str">
        <f t="shared" si="9"/>
        <v/>
      </c>
    </row>
    <row r="584" spans="1:1" x14ac:dyDescent="0.2">
      <c r="A584" s="34" t="str">
        <f t="shared" si="9"/>
        <v/>
      </c>
    </row>
    <row r="585" spans="1:1" x14ac:dyDescent="0.2">
      <c r="A585" s="34" t="str">
        <f t="shared" si="9"/>
        <v/>
      </c>
    </row>
    <row r="586" spans="1:1" x14ac:dyDescent="0.2">
      <c r="A586" s="34" t="str">
        <f t="shared" si="9"/>
        <v/>
      </c>
    </row>
    <row r="587" spans="1:1" x14ac:dyDescent="0.2">
      <c r="A587" s="34" t="str">
        <f t="shared" si="9"/>
        <v/>
      </c>
    </row>
    <row r="588" spans="1:1" x14ac:dyDescent="0.2">
      <c r="A588" s="34" t="str">
        <f t="shared" si="9"/>
        <v/>
      </c>
    </row>
    <row r="589" spans="1:1" x14ac:dyDescent="0.2">
      <c r="A589" s="34" t="str">
        <f t="shared" si="9"/>
        <v/>
      </c>
    </row>
    <row r="590" spans="1:1" x14ac:dyDescent="0.2">
      <c r="A590" s="34" t="str">
        <f t="shared" si="9"/>
        <v/>
      </c>
    </row>
    <row r="591" spans="1:1" x14ac:dyDescent="0.2">
      <c r="A591" s="34" t="str">
        <f t="shared" si="9"/>
        <v/>
      </c>
    </row>
    <row r="592" spans="1:1" x14ac:dyDescent="0.2">
      <c r="A592" s="34" t="str">
        <f t="shared" si="9"/>
        <v/>
      </c>
    </row>
    <row r="593" spans="1:1" x14ac:dyDescent="0.2">
      <c r="A593" s="34" t="str">
        <f t="shared" si="9"/>
        <v/>
      </c>
    </row>
    <row r="594" spans="1:1" x14ac:dyDescent="0.2">
      <c r="A594" s="34" t="str">
        <f t="shared" si="9"/>
        <v/>
      </c>
    </row>
    <row r="595" spans="1:1" x14ac:dyDescent="0.2">
      <c r="A595" s="34" t="str">
        <f t="shared" si="9"/>
        <v/>
      </c>
    </row>
    <row r="596" spans="1:1" x14ac:dyDescent="0.2">
      <c r="A596" s="34" t="str">
        <f t="shared" si="9"/>
        <v/>
      </c>
    </row>
    <row r="597" spans="1:1" x14ac:dyDescent="0.2">
      <c r="A597" s="34" t="str">
        <f t="shared" si="9"/>
        <v/>
      </c>
    </row>
    <row r="598" spans="1:1" x14ac:dyDescent="0.2">
      <c r="A598" s="34" t="str">
        <f t="shared" si="9"/>
        <v/>
      </c>
    </row>
    <row r="599" spans="1:1" x14ac:dyDescent="0.2">
      <c r="A599" s="34" t="str">
        <f t="shared" si="9"/>
        <v/>
      </c>
    </row>
    <row r="600" spans="1:1" x14ac:dyDescent="0.2">
      <c r="A600" s="34" t="str">
        <f t="shared" si="9"/>
        <v/>
      </c>
    </row>
    <row r="601" spans="1:1" x14ac:dyDescent="0.2">
      <c r="A601" s="34" t="str">
        <f t="shared" si="9"/>
        <v/>
      </c>
    </row>
    <row r="602" spans="1:1" x14ac:dyDescent="0.2">
      <c r="A602" s="34" t="str">
        <f t="shared" si="9"/>
        <v/>
      </c>
    </row>
    <row r="603" spans="1:1" x14ac:dyDescent="0.2">
      <c r="A603" s="34" t="str">
        <f t="shared" si="9"/>
        <v/>
      </c>
    </row>
    <row r="604" spans="1:1" x14ac:dyDescent="0.2">
      <c r="A604" s="34" t="str">
        <f t="shared" si="9"/>
        <v/>
      </c>
    </row>
    <row r="605" spans="1:1" x14ac:dyDescent="0.2">
      <c r="A605" s="34" t="str">
        <f t="shared" si="9"/>
        <v/>
      </c>
    </row>
    <row r="606" spans="1:1" x14ac:dyDescent="0.2">
      <c r="A606" s="34" t="str">
        <f t="shared" si="9"/>
        <v/>
      </c>
    </row>
    <row r="607" spans="1:1" x14ac:dyDescent="0.2">
      <c r="A607" s="34" t="str">
        <f t="shared" si="9"/>
        <v/>
      </c>
    </row>
    <row r="608" spans="1:1" x14ac:dyDescent="0.2">
      <c r="A608" s="34" t="str">
        <f t="shared" si="9"/>
        <v/>
      </c>
    </row>
    <row r="609" spans="1:1" x14ac:dyDescent="0.2">
      <c r="A609" s="34" t="str">
        <f t="shared" si="9"/>
        <v/>
      </c>
    </row>
    <row r="610" spans="1:1" x14ac:dyDescent="0.2">
      <c r="A610" s="34" t="str">
        <f t="shared" si="9"/>
        <v/>
      </c>
    </row>
    <row r="611" spans="1:1" x14ac:dyDescent="0.2">
      <c r="A611" s="34" t="str">
        <f t="shared" si="9"/>
        <v/>
      </c>
    </row>
    <row r="612" spans="1:1" x14ac:dyDescent="0.2">
      <c r="A612" s="34" t="str">
        <f t="shared" si="9"/>
        <v/>
      </c>
    </row>
    <row r="613" spans="1:1" x14ac:dyDescent="0.2">
      <c r="A613" s="34" t="str">
        <f t="shared" si="9"/>
        <v/>
      </c>
    </row>
    <row r="614" spans="1:1" x14ac:dyDescent="0.2">
      <c r="A614" s="34" t="str">
        <f t="shared" si="9"/>
        <v/>
      </c>
    </row>
    <row r="615" spans="1:1" x14ac:dyDescent="0.2">
      <c r="A615" s="34" t="str">
        <f t="shared" si="9"/>
        <v/>
      </c>
    </row>
    <row r="616" spans="1:1" x14ac:dyDescent="0.2">
      <c r="A616" s="34" t="str">
        <f t="shared" si="9"/>
        <v/>
      </c>
    </row>
    <row r="617" spans="1:1" x14ac:dyDescent="0.2">
      <c r="A617" s="34" t="str">
        <f t="shared" si="9"/>
        <v/>
      </c>
    </row>
    <row r="618" spans="1:1" x14ac:dyDescent="0.2">
      <c r="A618" s="34" t="str">
        <f t="shared" si="9"/>
        <v/>
      </c>
    </row>
    <row r="619" spans="1:1" x14ac:dyDescent="0.2">
      <c r="A619" s="34" t="str">
        <f t="shared" si="9"/>
        <v/>
      </c>
    </row>
    <row r="620" spans="1:1" x14ac:dyDescent="0.2">
      <c r="A620" s="34" t="str">
        <f t="shared" si="9"/>
        <v/>
      </c>
    </row>
    <row r="621" spans="1:1" x14ac:dyDescent="0.2">
      <c r="A621" s="34" t="str">
        <f t="shared" si="9"/>
        <v/>
      </c>
    </row>
    <row r="622" spans="1:1" x14ac:dyDescent="0.2">
      <c r="A622" s="34" t="str">
        <f t="shared" si="9"/>
        <v/>
      </c>
    </row>
    <row r="623" spans="1:1" x14ac:dyDescent="0.2">
      <c r="A623" s="34" t="str">
        <f t="shared" si="9"/>
        <v/>
      </c>
    </row>
    <row r="624" spans="1:1" x14ac:dyDescent="0.2">
      <c r="A624" s="34" t="str">
        <f t="shared" si="9"/>
        <v/>
      </c>
    </row>
    <row r="625" spans="1:1" x14ac:dyDescent="0.2">
      <c r="A625" s="34" t="str">
        <f t="shared" si="9"/>
        <v/>
      </c>
    </row>
    <row r="626" spans="1:1" x14ac:dyDescent="0.2">
      <c r="A626" s="34" t="str">
        <f t="shared" si="9"/>
        <v/>
      </c>
    </row>
    <row r="627" spans="1:1" x14ac:dyDescent="0.2">
      <c r="A627" s="34" t="str">
        <f t="shared" si="9"/>
        <v/>
      </c>
    </row>
    <row r="628" spans="1:1" x14ac:dyDescent="0.2">
      <c r="A628" s="34" t="str">
        <f t="shared" si="9"/>
        <v/>
      </c>
    </row>
    <row r="629" spans="1:1" x14ac:dyDescent="0.2">
      <c r="A629" s="34" t="str">
        <f t="shared" si="9"/>
        <v/>
      </c>
    </row>
    <row r="630" spans="1:1" x14ac:dyDescent="0.2">
      <c r="A630" s="34" t="str">
        <f t="shared" si="9"/>
        <v/>
      </c>
    </row>
    <row r="631" spans="1:1" x14ac:dyDescent="0.2">
      <c r="A631" s="34" t="str">
        <f t="shared" si="9"/>
        <v/>
      </c>
    </row>
    <row r="632" spans="1:1" x14ac:dyDescent="0.2">
      <c r="A632" s="34" t="str">
        <f t="shared" si="9"/>
        <v/>
      </c>
    </row>
    <row r="633" spans="1:1" x14ac:dyDescent="0.2">
      <c r="A633" s="34" t="str">
        <f t="shared" si="9"/>
        <v/>
      </c>
    </row>
    <row r="634" spans="1:1" x14ac:dyDescent="0.2">
      <c r="A634" s="34" t="str">
        <f t="shared" si="9"/>
        <v/>
      </c>
    </row>
    <row r="635" spans="1:1" x14ac:dyDescent="0.2">
      <c r="A635" s="34" t="str">
        <f t="shared" si="9"/>
        <v/>
      </c>
    </row>
    <row r="636" spans="1:1" x14ac:dyDescent="0.2">
      <c r="A636" s="34" t="str">
        <f t="shared" si="9"/>
        <v/>
      </c>
    </row>
    <row r="637" spans="1:1" x14ac:dyDescent="0.2">
      <c r="A637" s="34" t="str">
        <f t="shared" si="9"/>
        <v/>
      </c>
    </row>
    <row r="638" spans="1:1" x14ac:dyDescent="0.2">
      <c r="A638" s="34" t="str">
        <f t="shared" si="9"/>
        <v/>
      </c>
    </row>
    <row r="639" spans="1:1" x14ac:dyDescent="0.2">
      <c r="A639" s="34" t="str">
        <f t="shared" si="9"/>
        <v/>
      </c>
    </row>
    <row r="640" spans="1:1" x14ac:dyDescent="0.2">
      <c r="A640" s="34" t="str">
        <f t="shared" si="9"/>
        <v/>
      </c>
    </row>
    <row r="641" spans="1:1" x14ac:dyDescent="0.2">
      <c r="A641" s="34" t="str">
        <f t="shared" si="9"/>
        <v/>
      </c>
    </row>
    <row r="642" spans="1:1" x14ac:dyDescent="0.2">
      <c r="A642" s="34" t="str">
        <f t="shared" si="9"/>
        <v/>
      </c>
    </row>
    <row r="643" spans="1:1" x14ac:dyDescent="0.2">
      <c r="A643" s="34" t="str">
        <f t="shared" ref="A643:A706" si="10">CONCATENATE(B643,C643,F643)</f>
        <v/>
      </c>
    </row>
    <row r="644" spans="1:1" x14ac:dyDescent="0.2">
      <c r="A644" s="34" t="str">
        <f t="shared" si="10"/>
        <v/>
      </c>
    </row>
    <row r="645" spans="1:1" x14ac:dyDescent="0.2">
      <c r="A645" s="34" t="str">
        <f t="shared" si="10"/>
        <v/>
      </c>
    </row>
    <row r="646" spans="1:1" x14ac:dyDescent="0.2">
      <c r="A646" s="34" t="str">
        <f t="shared" si="10"/>
        <v/>
      </c>
    </row>
    <row r="647" spans="1:1" x14ac:dyDescent="0.2">
      <c r="A647" s="34" t="str">
        <f t="shared" si="10"/>
        <v/>
      </c>
    </row>
    <row r="648" spans="1:1" x14ac:dyDescent="0.2">
      <c r="A648" s="34" t="str">
        <f t="shared" si="10"/>
        <v/>
      </c>
    </row>
    <row r="649" spans="1:1" x14ac:dyDescent="0.2">
      <c r="A649" s="34" t="str">
        <f t="shared" si="10"/>
        <v/>
      </c>
    </row>
    <row r="650" spans="1:1" x14ac:dyDescent="0.2">
      <c r="A650" s="34" t="str">
        <f t="shared" si="10"/>
        <v/>
      </c>
    </row>
    <row r="651" spans="1:1" x14ac:dyDescent="0.2">
      <c r="A651" s="34" t="str">
        <f t="shared" si="10"/>
        <v/>
      </c>
    </row>
    <row r="652" spans="1:1" x14ac:dyDescent="0.2">
      <c r="A652" s="34" t="str">
        <f t="shared" si="10"/>
        <v/>
      </c>
    </row>
    <row r="653" spans="1:1" x14ac:dyDescent="0.2">
      <c r="A653" s="34" t="str">
        <f t="shared" si="10"/>
        <v/>
      </c>
    </row>
    <row r="654" spans="1:1" x14ac:dyDescent="0.2">
      <c r="A654" s="34" t="str">
        <f t="shared" si="10"/>
        <v/>
      </c>
    </row>
    <row r="655" spans="1:1" x14ac:dyDescent="0.2">
      <c r="A655" s="34" t="str">
        <f t="shared" si="10"/>
        <v/>
      </c>
    </row>
    <row r="656" spans="1:1" x14ac:dyDescent="0.2">
      <c r="A656" s="34" t="str">
        <f t="shared" si="10"/>
        <v/>
      </c>
    </row>
    <row r="657" spans="1:1" x14ac:dyDescent="0.2">
      <c r="A657" s="34" t="str">
        <f t="shared" si="10"/>
        <v/>
      </c>
    </row>
    <row r="658" spans="1:1" x14ac:dyDescent="0.2">
      <c r="A658" s="34" t="str">
        <f t="shared" si="10"/>
        <v/>
      </c>
    </row>
    <row r="659" spans="1:1" x14ac:dyDescent="0.2">
      <c r="A659" s="34" t="str">
        <f t="shared" si="10"/>
        <v/>
      </c>
    </row>
    <row r="660" spans="1:1" x14ac:dyDescent="0.2">
      <c r="A660" s="34" t="str">
        <f t="shared" si="10"/>
        <v/>
      </c>
    </row>
    <row r="661" spans="1:1" x14ac:dyDescent="0.2">
      <c r="A661" s="34" t="str">
        <f t="shared" si="10"/>
        <v/>
      </c>
    </row>
    <row r="662" spans="1:1" x14ac:dyDescent="0.2">
      <c r="A662" s="34" t="str">
        <f t="shared" si="10"/>
        <v/>
      </c>
    </row>
    <row r="663" spans="1:1" x14ac:dyDescent="0.2">
      <c r="A663" s="34" t="str">
        <f t="shared" si="10"/>
        <v/>
      </c>
    </row>
    <row r="664" spans="1:1" x14ac:dyDescent="0.2">
      <c r="A664" s="34" t="str">
        <f t="shared" si="10"/>
        <v/>
      </c>
    </row>
    <row r="665" spans="1:1" x14ac:dyDescent="0.2">
      <c r="A665" s="34" t="str">
        <f t="shared" si="10"/>
        <v/>
      </c>
    </row>
    <row r="666" spans="1:1" x14ac:dyDescent="0.2">
      <c r="A666" s="34" t="str">
        <f t="shared" si="10"/>
        <v/>
      </c>
    </row>
    <row r="667" spans="1:1" x14ac:dyDescent="0.2">
      <c r="A667" s="34" t="str">
        <f t="shared" si="10"/>
        <v/>
      </c>
    </row>
    <row r="668" spans="1:1" x14ac:dyDescent="0.2">
      <c r="A668" s="34" t="str">
        <f t="shared" si="10"/>
        <v/>
      </c>
    </row>
    <row r="669" spans="1:1" x14ac:dyDescent="0.2">
      <c r="A669" s="34" t="str">
        <f t="shared" si="10"/>
        <v/>
      </c>
    </row>
    <row r="670" spans="1:1" x14ac:dyDescent="0.2">
      <c r="A670" s="34" t="str">
        <f t="shared" si="10"/>
        <v/>
      </c>
    </row>
    <row r="671" spans="1:1" x14ac:dyDescent="0.2">
      <c r="A671" s="34" t="str">
        <f t="shared" si="10"/>
        <v/>
      </c>
    </row>
    <row r="672" spans="1:1" x14ac:dyDescent="0.2">
      <c r="A672" s="34" t="str">
        <f t="shared" si="10"/>
        <v/>
      </c>
    </row>
    <row r="673" spans="1:1" x14ac:dyDescent="0.2">
      <c r="A673" s="34" t="str">
        <f t="shared" si="10"/>
        <v/>
      </c>
    </row>
    <row r="674" spans="1:1" x14ac:dyDescent="0.2">
      <c r="A674" s="34" t="str">
        <f t="shared" si="10"/>
        <v/>
      </c>
    </row>
    <row r="675" spans="1:1" x14ac:dyDescent="0.2">
      <c r="A675" s="34" t="str">
        <f t="shared" si="10"/>
        <v/>
      </c>
    </row>
    <row r="676" spans="1:1" x14ac:dyDescent="0.2">
      <c r="A676" s="34" t="str">
        <f t="shared" si="10"/>
        <v/>
      </c>
    </row>
    <row r="677" spans="1:1" x14ac:dyDescent="0.2">
      <c r="A677" s="34" t="str">
        <f t="shared" si="10"/>
        <v/>
      </c>
    </row>
    <row r="678" spans="1:1" x14ac:dyDescent="0.2">
      <c r="A678" s="34" t="str">
        <f t="shared" si="10"/>
        <v/>
      </c>
    </row>
    <row r="679" spans="1:1" x14ac:dyDescent="0.2">
      <c r="A679" s="34" t="str">
        <f t="shared" si="10"/>
        <v/>
      </c>
    </row>
    <row r="680" spans="1:1" x14ac:dyDescent="0.2">
      <c r="A680" s="34" t="str">
        <f t="shared" si="10"/>
        <v/>
      </c>
    </row>
    <row r="681" spans="1:1" x14ac:dyDescent="0.2">
      <c r="A681" s="34" t="str">
        <f t="shared" si="10"/>
        <v/>
      </c>
    </row>
    <row r="682" spans="1:1" x14ac:dyDescent="0.2">
      <c r="A682" s="34" t="str">
        <f t="shared" si="10"/>
        <v/>
      </c>
    </row>
    <row r="683" spans="1:1" x14ac:dyDescent="0.2">
      <c r="A683" s="34" t="str">
        <f t="shared" si="10"/>
        <v/>
      </c>
    </row>
    <row r="684" spans="1:1" x14ac:dyDescent="0.2">
      <c r="A684" s="34" t="str">
        <f t="shared" si="10"/>
        <v/>
      </c>
    </row>
    <row r="685" spans="1:1" x14ac:dyDescent="0.2">
      <c r="A685" s="34" t="str">
        <f t="shared" si="10"/>
        <v/>
      </c>
    </row>
    <row r="686" spans="1:1" x14ac:dyDescent="0.2">
      <c r="A686" s="34" t="str">
        <f t="shared" si="10"/>
        <v/>
      </c>
    </row>
    <row r="687" spans="1:1" x14ac:dyDescent="0.2">
      <c r="A687" s="34" t="str">
        <f t="shared" si="10"/>
        <v/>
      </c>
    </row>
    <row r="688" spans="1:1" x14ac:dyDescent="0.2">
      <c r="A688" s="34" t="str">
        <f t="shared" si="10"/>
        <v/>
      </c>
    </row>
    <row r="689" spans="1:1" x14ac:dyDescent="0.2">
      <c r="A689" s="34" t="str">
        <f t="shared" si="10"/>
        <v/>
      </c>
    </row>
    <row r="690" spans="1:1" x14ac:dyDescent="0.2">
      <c r="A690" s="34" t="str">
        <f t="shared" si="10"/>
        <v/>
      </c>
    </row>
    <row r="691" spans="1:1" x14ac:dyDescent="0.2">
      <c r="A691" s="34" t="str">
        <f t="shared" si="10"/>
        <v/>
      </c>
    </row>
    <row r="692" spans="1:1" x14ac:dyDescent="0.2">
      <c r="A692" s="34" t="str">
        <f t="shared" si="10"/>
        <v/>
      </c>
    </row>
    <row r="693" spans="1:1" x14ac:dyDescent="0.2">
      <c r="A693" s="34" t="str">
        <f t="shared" si="10"/>
        <v/>
      </c>
    </row>
    <row r="694" spans="1:1" x14ac:dyDescent="0.2">
      <c r="A694" s="34" t="str">
        <f t="shared" si="10"/>
        <v/>
      </c>
    </row>
    <row r="695" spans="1:1" x14ac:dyDescent="0.2">
      <c r="A695" s="34" t="str">
        <f t="shared" si="10"/>
        <v/>
      </c>
    </row>
    <row r="696" spans="1:1" x14ac:dyDescent="0.2">
      <c r="A696" s="34" t="str">
        <f t="shared" si="10"/>
        <v/>
      </c>
    </row>
    <row r="697" spans="1:1" x14ac:dyDescent="0.2">
      <c r="A697" s="34" t="str">
        <f t="shared" si="10"/>
        <v/>
      </c>
    </row>
    <row r="698" spans="1:1" x14ac:dyDescent="0.2">
      <c r="A698" s="34" t="str">
        <f t="shared" si="10"/>
        <v/>
      </c>
    </row>
    <row r="699" spans="1:1" x14ac:dyDescent="0.2">
      <c r="A699" s="34" t="str">
        <f t="shared" si="10"/>
        <v/>
      </c>
    </row>
    <row r="700" spans="1:1" x14ac:dyDescent="0.2">
      <c r="A700" s="34" t="str">
        <f t="shared" si="10"/>
        <v/>
      </c>
    </row>
    <row r="701" spans="1:1" x14ac:dyDescent="0.2">
      <c r="A701" s="34" t="str">
        <f t="shared" si="10"/>
        <v/>
      </c>
    </row>
    <row r="702" spans="1:1" x14ac:dyDescent="0.2">
      <c r="A702" s="34" t="str">
        <f t="shared" si="10"/>
        <v/>
      </c>
    </row>
    <row r="703" spans="1:1" x14ac:dyDescent="0.2">
      <c r="A703" s="34" t="str">
        <f t="shared" si="10"/>
        <v/>
      </c>
    </row>
    <row r="704" spans="1:1" x14ac:dyDescent="0.2">
      <c r="A704" s="34" t="str">
        <f t="shared" si="10"/>
        <v/>
      </c>
    </row>
    <row r="705" spans="1:1" x14ac:dyDescent="0.2">
      <c r="A705" s="34" t="str">
        <f t="shared" si="10"/>
        <v/>
      </c>
    </row>
    <row r="706" spans="1:1" x14ac:dyDescent="0.2">
      <c r="A706" s="34" t="str">
        <f t="shared" si="10"/>
        <v/>
      </c>
    </row>
    <row r="707" spans="1:1" x14ac:dyDescent="0.2">
      <c r="A707" s="34" t="str">
        <f t="shared" ref="A707:A770" si="11">CONCATENATE(B707,C707,F707)</f>
        <v/>
      </c>
    </row>
    <row r="708" spans="1:1" x14ac:dyDescent="0.2">
      <c r="A708" s="34" t="str">
        <f t="shared" si="11"/>
        <v/>
      </c>
    </row>
    <row r="709" spans="1:1" x14ac:dyDescent="0.2">
      <c r="A709" s="34" t="str">
        <f t="shared" si="11"/>
        <v/>
      </c>
    </row>
    <row r="710" spans="1:1" x14ac:dyDescent="0.2">
      <c r="A710" s="34" t="str">
        <f t="shared" si="11"/>
        <v/>
      </c>
    </row>
    <row r="711" spans="1:1" x14ac:dyDescent="0.2">
      <c r="A711" s="34" t="str">
        <f t="shared" si="11"/>
        <v/>
      </c>
    </row>
    <row r="712" spans="1:1" x14ac:dyDescent="0.2">
      <c r="A712" s="34" t="str">
        <f t="shared" si="11"/>
        <v/>
      </c>
    </row>
    <row r="713" spans="1:1" x14ac:dyDescent="0.2">
      <c r="A713" s="34" t="str">
        <f t="shared" si="11"/>
        <v/>
      </c>
    </row>
    <row r="714" spans="1:1" x14ac:dyDescent="0.2">
      <c r="A714" s="34" t="str">
        <f t="shared" si="11"/>
        <v/>
      </c>
    </row>
    <row r="715" spans="1:1" x14ac:dyDescent="0.2">
      <c r="A715" s="34" t="str">
        <f t="shared" si="11"/>
        <v/>
      </c>
    </row>
    <row r="716" spans="1:1" x14ac:dyDescent="0.2">
      <c r="A716" s="34" t="str">
        <f t="shared" si="11"/>
        <v/>
      </c>
    </row>
    <row r="717" spans="1:1" x14ac:dyDescent="0.2">
      <c r="A717" s="34" t="str">
        <f t="shared" si="11"/>
        <v/>
      </c>
    </row>
    <row r="718" spans="1:1" x14ac:dyDescent="0.2">
      <c r="A718" s="34" t="str">
        <f t="shared" si="11"/>
        <v/>
      </c>
    </row>
    <row r="719" spans="1:1" x14ac:dyDescent="0.2">
      <c r="A719" s="34" t="str">
        <f t="shared" si="11"/>
        <v/>
      </c>
    </row>
    <row r="720" spans="1:1" x14ac:dyDescent="0.2">
      <c r="A720" s="34" t="str">
        <f t="shared" si="11"/>
        <v/>
      </c>
    </row>
    <row r="721" spans="1:1" x14ac:dyDescent="0.2">
      <c r="A721" s="34" t="str">
        <f t="shared" si="11"/>
        <v/>
      </c>
    </row>
    <row r="722" spans="1:1" x14ac:dyDescent="0.2">
      <c r="A722" s="34" t="str">
        <f t="shared" si="11"/>
        <v/>
      </c>
    </row>
    <row r="723" spans="1:1" x14ac:dyDescent="0.2">
      <c r="A723" s="34" t="str">
        <f t="shared" si="11"/>
        <v/>
      </c>
    </row>
    <row r="724" spans="1:1" x14ac:dyDescent="0.2">
      <c r="A724" s="34" t="str">
        <f t="shared" si="11"/>
        <v/>
      </c>
    </row>
    <row r="725" spans="1:1" x14ac:dyDescent="0.2">
      <c r="A725" s="34" t="str">
        <f t="shared" si="11"/>
        <v/>
      </c>
    </row>
    <row r="726" spans="1:1" x14ac:dyDescent="0.2">
      <c r="A726" s="34" t="str">
        <f t="shared" si="11"/>
        <v/>
      </c>
    </row>
    <row r="727" spans="1:1" x14ac:dyDescent="0.2">
      <c r="A727" s="34" t="str">
        <f t="shared" si="11"/>
        <v/>
      </c>
    </row>
    <row r="728" spans="1:1" x14ac:dyDescent="0.2">
      <c r="A728" s="34" t="str">
        <f t="shared" si="11"/>
        <v/>
      </c>
    </row>
    <row r="729" spans="1:1" x14ac:dyDescent="0.2">
      <c r="A729" s="34" t="str">
        <f t="shared" si="11"/>
        <v/>
      </c>
    </row>
    <row r="730" spans="1:1" x14ac:dyDescent="0.2">
      <c r="A730" s="34" t="str">
        <f t="shared" si="11"/>
        <v/>
      </c>
    </row>
    <row r="731" spans="1:1" x14ac:dyDescent="0.2">
      <c r="A731" s="34" t="str">
        <f t="shared" si="11"/>
        <v/>
      </c>
    </row>
    <row r="732" spans="1:1" x14ac:dyDescent="0.2">
      <c r="A732" s="34" t="str">
        <f t="shared" si="11"/>
        <v/>
      </c>
    </row>
    <row r="733" spans="1:1" x14ac:dyDescent="0.2">
      <c r="A733" s="34" t="str">
        <f t="shared" si="11"/>
        <v/>
      </c>
    </row>
    <row r="734" spans="1:1" x14ac:dyDescent="0.2">
      <c r="A734" s="34" t="str">
        <f t="shared" si="11"/>
        <v/>
      </c>
    </row>
    <row r="735" spans="1:1" x14ac:dyDescent="0.2">
      <c r="A735" s="34" t="str">
        <f t="shared" si="11"/>
        <v/>
      </c>
    </row>
    <row r="736" spans="1:1" x14ac:dyDescent="0.2">
      <c r="A736" s="34" t="str">
        <f t="shared" si="11"/>
        <v/>
      </c>
    </row>
    <row r="737" spans="1:1" x14ac:dyDescent="0.2">
      <c r="A737" s="34" t="str">
        <f t="shared" si="11"/>
        <v/>
      </c>
    </row>
    <row r="738" spans="1:1" x14ac:dyDescent="0.2">
      <c r="A738" s="34" t="str">
        <f t="shared" si="11"/>
        <v/>
      </c>
    </row>
    <row r="739" spans="1:1" x14ac:dyDescent="0.2">
      <c r="A739" s="34" t="str">
        <f t="shared" si="11"/>
        <v/>
      </c>
    </row>
    <row r="740" spans="1:1" x14ac:dyDescent="0.2">
      <c r="A740" s="34" t="str">
        <f t="shared" si="11"/>
        <v/>
      </c>
    </row>
    <row r="741" spans="1:1" x14ac:dyDescent="0.2">
      <c r="A741" s="34" t="str">
        <f t="shared" si="11"/>
        <v/>
      </c>
    </row>
    <row r="742" spans="1:1" x14ac:dyDescent="0.2">
      <c r="A742" s="34" t="str">
        <f t="shared" si="11"/>
        <v/>
      </c>
    </row>
    <row r="743" spans="1:1" x14ac:dyDescent="0.2">
      <c r="A743" s="34" t="str">
        <f t="shared" si="11"/>
        <v/>
      </c>
    </row>
    <row r="744" spans="1:1" x14ac:dyDescent="0.2">
      <c r="A744" s="34" t="str">
        <f t="shared" si="11"/>
        <v/>
      </c>
    </row>
    <row r="745" spans="1:1" x14ac:dyDescent="0.2">
      <c r="A745" s="34" t="str">
        <f t="shared" si="11"/>
        <v/>
      </c>
    </row>
    <row r="746" spans="1:1" x14ac:dyDescent="0.2">
      <c r="A746" s="34" t="str">
        <f t="shared" si="11"/>
        <v/>
      </c>
    </row>
    <row r="747" spans="1:1" x14ac:dyDescent="0.2">
      <c r="A747" s="34" t="str">
        <f t="shared" si="11"/>
        <v/>
      </c>
    </row>
    <row r="748" spans="1:1" x14ac:dyDescent="0.2">
      <c r="A748" s="34" t="str">
        <f t="shared" si="11"/>
        <v/>
      </c>
    </row>
    <row r="749" spans="1:1" x14ac:dyDescent="0.2">
      <c r="A749" s="34" t="str">
        <f t="shared" si="11"/>
        <v/>
      </c>
    </row>
    <row r="750" spans="1:1" x14ac:dyDescent="0.2">
      <c r="A750" s="34" t="str">
        <f t="shared" si="11"/>
        <v/>
      </c>
    </row>
    <row r="751" spans="1:1" x14ac:dyDescent="0.2">
      <c r="A751" s="34" t="str">
        <f t="shared" si="11"/>
        <v/>
      </c>
    </row>
    <row r="752" spans="1:1" x14ac:dyDescent="0.2">
      <c r="A752" s="34" t="str">
        <f t="shared" si="11"/>
        <v/>
      </c>
    </row>
    <row r="753" spans="1:1" x14ac:dyDescent="0.2">
      <c r="A753" s="34" t="str">
        <f t="shared" si="11"/>
        <v/>
      </c>
    </row>
    <row r="754" spans="1:1" x14ac:dyDescent="0.2">
      <c r="A754" s="34" t="str">
        <f t="shared" si="11"/>
        <v/>
      </c>
    </row>
    <row r="755" spans="1:1" x14ac:dyDescent="0.2">
      <c r="A755" s="34" t="str">
        <f t="shared" si="11"/>
        <v/>
      </c>
    </row>
    <row r="756" spans="1:1" x14ac:dyDescent="0.2">
      <c r="A756" s="34" t="str">
        <f t="shared" si="11"/>
        <v/>
      </c>
    </row>
    <row r="757" spans="1:1" x14ac:dyDescent="0.2">
      <c r="A757" s="34" t="str">
        <f t="shared" si="11"/>
        <v/>
      </c>
    </row>
    <row r="758" spans="1:1" x14ac:dyDescent="0.2">
      <c r="A758" s="34" t="str">
        <f t="shared" si="11"/>
        <v/>
      </c>
    </row>
    <row r="759" spans="1:1" x14ac:dyDescent="0.2">
      <c r="A759" s="34" t="str">
        <f t="shared" si="11"/>
        <v/>
      </c>
    </row>
    <row r="760" spans="1:1" x14ac:dyDescent="0.2">
      <c r="A760" s="34" t="str">
        <f t="shared" si="11"/>
        <v/>
      </c>
    </row>
    <row r="761" spans="1:1" x14ac:dyDescent="0.2">
      <c r="A761" s="34" t="str">
        <f t="shared" si="11"/>
        <v/>
      </c>
    </row>
    <row r="762" spans="1:1" x14ac:dyDescent="0.2">
      <c r="A762" s="34" t="str">
        <f t="shared" si="11"/>
        <v/>
      </c>
    </row>
    <row r="763" spans="1:1" x14ac:dyDescent="0.2">
      <c r="A763" s="34" t="str">
        <f t="shared" si="11"/>
        <v/>
      </c>
    </row>
    <row r="764" spans="1:1" x14ac:dyDescent="0.2">
      <c r="A764" s="34" t="str">
        <f t="shared" si="11"/>
        <v/>
      </c>
    </row>
    <row r="765" spans="1:1" x14ac:dyDescent="0.2">
      <c r="A765" s="34" t="str">
        <f t="shared" si="11"/>
        <v/>
      </c>
    </row>
    <row r="766" spans="1:1" x14ac:dyDescent="0.2">
      <c r="A766" s="34" t="str">
        <f t="shared" si="11"/>
        <v/>
      </c>
    </row>
    <row r="767" spans="1:1" x14ac:dyDescent="0.2">
      <c r="A767" s="34" t="str">
        <f t="shared" si="11"/>
        <v/>
      </c>
    </row>
    <row r="768" spans="1:1" x14ac:dyDescent="0.2">
      <c r="A768" s="34" t="str">
        <f t="shared" si="11"/>
        <v/>
      </c>
    </row>
    <row r="769" spans="1:1" x14ac:dyDescent="0.2">
      <c r="A769" s="34" t="str">
        <f t="shared" si="11"/>
        <v/>
      </c>
    </row>
    <row r="770" spans="1:1" x14ac:dyDescent="0.2">
      <c r="A770" s="34" t="str">
        <f t="shared" si="11"/>
        <v/>
      </c>
    </row>
    <row r="771" spans="1:1" x14ac:dyDescent="0.2">
      <c r="A771" s="34" t="str">
        <f t="shared" ref="A771:A834" si="12">CONCATENATE(B771,C771,F771)</f>
        <v/>
      </c>
    </row>
    <row r="772" spans="1:1" x14ac:dyDescent="0.2">
      <c r="A772" s="34" t="str">
        <f t="shared" si="12"/>
        <v/>
      </c>
    </row>
    <row r="773" spans="1:1" x14ac:dyDescent="0.2">
      <c r="A773" s="34" t="str">
        <f t="shared" si="12"/>
        <v/>
      </c>
    </row>
    <row r="774" spans="1:1" x14ac:dyDescent="0.2">
      <c r="A774" s="34" t="str">
        <f t="shared" si="12"/>
        <v/>
      </c>
    </row>
    <row r="775" spans="1:1" x14ac:dyDescent="0.2">
      <c r="A775" s="34" t="str">
        <f t="shared" si="12"/>
        <v/>
      </c>
    </row>
    <row r="776" spans="1:1" x14ac:dyDescent="0.2">
      <c r="A776" s="34" t="str">
        <f t="shared" si="12"/>
        <v/>
      </c>
    </row>
    <row r="777" spans="1:1" x14ac:dyDescent="0.2">
      <c r="A777" s="34" t="str">
        <f t="shared" si="12"/>
        <v/>
      </c>
    </row>
    <row r="778" spans="1:1" x14ac:dyDescent="0.2">
      <c r="A778" s="34" t="str">
        <f t="shared" si="12"/>
        <v/>
      </c>
    </row>
    <row r="779" spans="1:1" x14ac:dyDescent="0.2">
      <c r="A779" s="34" t="str">
        <f t="shared" si="12"/>
        <v/>
      </c>
    </row>
    <row r="780" spans="1:1" x14ac:dyDescent="0.2">
      <c r="A780" s="34" t="str">
        <f t="shared" si="12"/>
        <v/>
      </c>
    </row>
    <row r="781" spans="1:1" x14ac:dyDescent="0.2">
      <c r="A781" s="34" t="str">
        <f t="shared" si="12"/>
        <v/>
      </c>
    </row>
    <row r="782" spans="1:1" x14ac:dyDescent="0.2">
      <c r="A782" s="34" t="str">
        <f t="shared" si="12"/>
        <v/>
      </c>
    </row>
    <row r="783" spans="1:1" x14ac:dyDescent="0.2">
      <c r="A783" s="34" t="str">
        <f t="shared" si="12"/>
        <v/>
      </c>
    </row>
    <row r="784" spans="1:1" x14ac:dyDescent="0.2">
      <c r="A784" s="34" t="str">
        <f t="shared" si="12"/>
        <v/>
      </c>
    </row>
    <row r="785" spans="1:1" x14ac:dyDescent="0.2">
      <c r="A785" s="34" t="str">
        <f t="shared" si="12"/>
        <v/>
      </c>
    </row>
    <row r="786" spans="1:1" x14ac:dyDescent="0.2">
      <c r="A786" s="34" t="str">
        <f t="shared" si="12"/>
        <v/>
      </c>
    </row>
    <row r="787" spans="1:1" x14ac:dyDescent="0.2">
      <c r="A787" s="34" t="str">
        <f t="shared" si="12"/>
        <v/>
      </c>
    </row>
    <row r="788" spans="1:1" x14ac:dyDescent="0.2">
      <c r="A788" s="34" t="str">
        <f t="shared" si="12"/>
        <v/>
      </c>
    </row>
    <row r="789" spans="1:1" x14ac:dyDescent="0.2">
      <c r="A789" s="34" t="str">
        <f t="shared" si="12"/>
        <v/>
      </c>
    </row>
    <row r="790" spans="1:1" x14ac:dyDescent="0.2">
      <c r="A790" s="34" t="str">
        <f t="shared" si="12"/>
        <v/>
      </c>
    </row>
    <row r="791" spans="1:1" x14ac:dyDescent="0.2">
      <c r="A791" s="34" t="str">
        <f t="shared" si="12"/>
        <v/>
      </c>
    </row>
    <row r="792" spans="1:1" x14ac:dyDescent="0.2">
      <c r="A792" s="34" t="str">
        <f t="shared" si="12"/>
        <v/>
      </c>
    </row>
    <row r="793" spans="1:1" x14ac:dyDescent="0.2">
      <c r="A793" s="34" t="str">
        <f t="shared" si="12"/>
        <v/>
      </c>
    </row>
    <row r="794" spans="1:1" x14ac:dyDescent="0.2">
      <c r="A794" s="34" t="str">
        <f t="shared" si="12"/>
        <v/>
      </c>
    </row>
    <row r="795" spans="1:1" x14ac:dyDescent="0.2">
      <c r="A795" s="34" t="str">
        <f t="shared" si="12"/>
        <v/>
      </c>
    </row>
    <row r="796" spans="1:1" x14ac:dyDescent="0.2">
      <c r="A796" s="34" t="str">
        <f t="shared" si="12"/>
        <v/>
      </c>
    </row>
    <row r="797" spans="1:1" x14ac:dyDescent="0.2">
      <c r="A797" s="34" t="str">
        <f t="shared" si="12"/>
        <v/>
      </c>
    </row>
    <row r="798" spans="1:1" x14ac:dyDescent="0.2">
      <c r="A798" s="34" t="str">
        <f t="shared" si="12"/>
        <v/>
      </c>
    </row>
    <row r="799" spans="1:1" x14ac:dyDescent="0.2">
      <c r="A799" s="34" t="str">
        <f t="shared" si="12"/>
        <v/>
      </c>
    </row>
    <row r="800" spans="1:1" x14ac:dyDescent="0.2">
      <c r="A800" s="34" t="str">
        <f t="shared" si="12"/>
        <v/>
      </c>
    </row>
    <row r="801" spans="1:1" x14ac:dyDescent="0.2">
      <c r="A801" s="34" t="str">
        <f t="shared" si="12"/>
        <v/>
      </c>
    </row>
    <row r="802" spans="1:1" x14ac:dyDescent="0.2">
      <c r="A802" s="34" t="str">
        <f t="shared" si="12"/>
        <v/>
      </c>
    </row>
    <row r="803" spans="1:1" x14ac:dyDescent="0.2">
      <c r="A803" s="34" t="str">
        <f t="shared" si="12"/>
        <v/>
      </c>
    </row>
    <row r="804" spans="1:1" x14ac:dyDescent="0.2">
      <c r="A804" s="34" t="str">
        <f t="shared" si="12"/>
        <v/>
      </c>
    </row>
    <row r="805" spans="1:1" x14ac:dyDescent="0.2">
      <c r="A805" s="34" t="str">
        <f t="shared" si="12"/>
        <v/>
      </c>
    </row>
    <row r="806" spans="1:1" x14ac:dyDescent="0.2">
      <c r="A806" s="34" t="str">
        <f t="shared" si="12"/>
        <v/>
      </c>
    </row>
    <row r="807" spans="1:1" x14ac:dyDescent="0.2">
      <c r="A807" s="34" t="str">
        <f t="shared" si="12"/>
        <v/>
      </c>
    </row>
    <row r="808" spans="1:1" x14ac:dyDescent="0.2">
      <c r="A808" s="34" t="str">
        <f t="shared" si="12"/>
        <v/>
      </c>
    </row>
    <row r="809" spans="1:1" x14ac:dyDescent="0.2">
      <c r="A809" s="34" t="str">
        <f t="shared" si="12"/>
        <v/>
      </c>
    </row>
    <row r="810" spans="1:1" x14ac:dyDescent="0.2">
      <c r="A810" s="34" t="str">
        <f t="shared" si="12"/>
        <v/>
      </c>
    </row>
    <row r="811" spans="1:1" x14ac:dyDescent="0.2">
      <c r="A811" s="34" t="str">
        <f t="shared" si="12"/>
        <v/>
      </c>
    </row>
    <row r="812" spans="1:1" x14ac:dyDescent="0.2">
      <c r="A812" s="34" t="str">
        <f t="shared" si="12"/>
        <v/>
      </c>
    </row>
    <row r="813" spans="1:1" x14ac:dyDescent="0.2">
      <c r="A813" s="34" t="str">
        <f t="shared" si="12"/>
        <v/>
      </c>
    </row>
    <row r="814" spans="1:1" x14ac:dyDescent="0.2">
      <c r="A814" s="34" t="str">
        <f t="shared" si="12"/>
        <v/>
      </c>
    </row>
    <row r="815" spans="1:1" x14ac:dyDescent="0.2">
      <c r="A815" s="34" t="str">
        <f t="shared" si="12"/>
        <v/>
      </c>
    </row>
    <row r="816" spans="1:1" x14ac:dyDescent="0.2">
      <c r="A816" s="34" t="str">
        <f t="shared" si="12"/>
        <v/>
      </c>
    </row>
    <row r="817" spans="1:1" x14ac:dyDescent="0.2">
      <c r="A817" s="34" t="str">
        <f t="shared" si="12"/>
        <v/>
      </c>
    </row>
    <row r="818" spans="1:1" x14ac:dyDescent="0.2">
      <c r="A818" s="34" t="str">
        <f t="shared" si="12"/>
        <v/>
      </c>
    </row>
    <row r="819" spans="1:1" x14ac:dyDescent="0.2">
      <c r="A819" s="34" t="str">
        <f t="shared" si="12"/>
        <v/>
      </c>
    </row>
    <row r="820" spans="1:1" x14ac:dyDescent="0.2">
      <c r="A820" s="34" t="str">
        <f t="shared" si="12"/>
        <v/>
      </c>
    </row>
    <row r="821" spans="1:1" x14ac:dyDescent="0.2">
      <c r="A821" s="34" t="str">
        <f t="shared" si="12"/>
        <v/>
      </c>
    </row>
    <row r="822" spans="1:1" x14ac:dyDescent="0.2">
      <c r="A822" s="34" t="str">
        <f t="shared" si="12"/>
        <v/>
      </c>
    </row>
    <row r="823" spans="1:1" x14ac:dyDescent="0.2">
      <c r="A823" s="34" t="str">
        <f t="shared" si="12"/>
        <v/>
      </c>
    </row>
    <row r="824" spans="1:1" x14ac:dyDescent="0.2">
      <c r="A824" s="34" t="str">
        <f t="shared" si="12"/>
        <v/>
      </c>
    </row>
    <row r="825" spans="1:1" x14ac:dyDescent="0.2">
      <c r="A825" s="34" t="str">
        <f t="shared" si="12"/>
        <v/>
      </c>
    </row>
    <row r="826" spans="1:1" x14ac:dyDescent="0.2">
      <c r="A826" s="34" t="str">
        <f t="shared" si="12"/>
        <v/>
      </c>
    </row>
    <row r="827" spans="1:1" x14ac:dyDescent="0.2">
      <c r="A827" s="34" t="str">
        <f t="shared" si="12"/>
        <v/>
      </c>
    </row>
    <row r="828" spans="1:1" x14ac:dyDescent="0.2">
      <c r="A828" s="34" t="str">
        <f t="shared" si="12"/>
        <v/>
      </c>
    </row>
    <row r="829" spans="1:1" x14ac:dyDescent="0.2">
      <c r="A829" s="34" t="str">
        <f t="shared" si="12"/>
        <v/>
      </c>
    </row>
    <row r="830" spans="1:1" x14ac:dyDescent="0.2">
      <c r="A830" s="34" t="str">
        <f t="shared" si="12"/>
        <v/>
      </c>
    </row>
    <row r="831" spans="1:1" x14ac:dyDescent="0.2">
      <c r="A831" s="34" t="str">
        <f t="shared" si="12"/>
        <v/>
      </c>
    </row>
    <row r="832" spans="1:1" x14ac:dyDescent="0.2">
      <c r="A832" s="34" t="str">
        <f t="shared" si="12"/>
        <v/>
      </c>
    </row>
    <row r="833" spans="1:1" x14ac:dyDescent="0.2">
      <c r="A833" s="34" t="str">
        <f t="shared" si="12"/>
        <v/>
      </c>
    </row>
    <row r="834" spans="1:1" x14ac:dyDescent="0.2">
      <c r="A834" s="34" t="str">
        <f t="shared" si="12"/>
        <v/>
      </c>
    </row>
    <row r="835" spans="1:1" x14ac:dyDescent="0.2">
      <c r="A835" s="34" t="str">
        <f t="shared" ref="A835:A898" si="13">CONCATENATE(B835,C835,F835)</f>
        <v/>
      </c>
    </row>
    <row r="836" spans="1:1" x14ac:dyDescent="0.2">
      <c r="A836" s="34" t="str">
        <f t="shared" si="13"/>
        <v/>
      </c>
    </row>
    <row r="837" spans="1:1" x14ac:dyDescent="0.2">
      <c r="A837" s="34" t="str">
        <f t="shared" si="13"/>
        <v/>
      </c>
    </row>
    <row r="838" spans="1:1" x14ac:dyDescent="0.2">
      <c r="A838" s="34" t="str">
        <f t="shared" si="13"/>
        <v/>
      </c>
    </row>
    <row r="839" spans="1:1" x14ac:dyDescent="0.2">
      <c r="A839" s="34" t="str">
        <f t="shared" si="13"/>
        <v/>
      </c>
    </row>
    <row r="840" spans="1:1" x14ac:dyDescent="0.2">
      <c r="A840" s="34" t="str">
        <f t="shared" si="13"/>
        <v/>
      </c>
    </row>
    <row r="841" spans="1:1" x14ac:dyDescent="0.2">
      <c r="A841" s="34" t="str">
        <f t="shared" si="13"/>
        <v/>
      </c>
    </row>
    <row r="842" spans="1:1" x14ac:dyDescent="0.2">
      <c r="A842" s="34" t="str">
        <f t="shared" si="13"/>
        <v/>
      </c>
    </row>
    <row r="843" spans="1:1" x14ac:dyDescent="0.2">
      <c r="A843" s="34" t="str">
        <f t="shared" si="13"/>
        <v/>
      </c>
    </row>
    <row r="844" spans="1:1" x14ac:dyDescent="0.2">
      <c r="A844" s="34" t="str">
        <f t="shared" si="13"/>
        <v/>
      </c>
    </row>
    <row r="845" spans="1:1" x14ac:dyDescent="0.2">
      <c r="A845" s="34" t="str">
        <f t="shared" si="13"/>
        <v/>
      </c>
    </row>
    <row r="846" spans="1:1" x14ac:dyDescent="0.2">
      <c r="A846" s="34" t="str">
        <f t="shared" si="13"/>
        <v/>
      </c>
    </row>
    <row r="847" spans="1:1" x14ac:dyDescent="0.2">
      <c r="A847" s="34" t="str">
        <f t="shared" si="13"/>
        <v/>
      </c>
    </row>
    <row r="848" spans="1:1" x14ac:dyDescent="0.2">
      <c r="A848" s="34" t="str">
        <f t="shared" si="13"/>
        <v/>
      </c>
    </row>
    <row r="849" spans="1:1" x14ac:dyDescent="0.2">
      <c r="A849" s="34" t="str">
        <f t="shared" si="13"/>
        <v/>
      </c>
    </row>
    <row r="850" spans="1:1" x14ac:dyDescent="0.2">
      <c r="A850" s="34" t="str">
        <f t="shared" si="13"/>
        <v/>
      </c>
    </row>
    <row r="851" spans="1:1" x14ac:dyDescent="0.2">
      <c r="A851" s="34" t="str">
        <f t="shared" si="13"/>
        <v/>
      </c>
    </row>
    <row r="852" spans="1:1" x14ac:dyDescent="0.2">
      <c r="A852" s="34" t="str">
        <f t="shared" si="13"/>
        <v/>
      </c>
    </row>
    <row r="853" spans="1:1" x14ac:dyDescent="0.2">
      <c r="A853" s="34" t="str">
        <f t="shared" si="13"/>
        <v/>
      </c>
    </row>
    <row r="854" spans="1:1" x14ac:dyDescent="0.2">
      <c r="A854" s="34" t="str">
        <f t="shared" si="13"/>
        <v/>
      </c>
    </row>
    <row r="855" spans="1:1" x14ac:dyDescent="0.2">
      <c r="A855" s="34" t="str">
        <f t="shared" si="13"/>
        <v/>
      </c>
    </row>
    <row r="856" spans="1:1" x14ac:dyDescent="0.2">
      <c r="A856" s="34" t="str">
        <f t="shared" si="13"/>
        <v/>
      </c>
    </row>
    <row r="857" spans="1:1" x14ac:dyDescent="0.2">
      <c r="A857" s="34" t="str">
        <f t="shared" si="13"/>
        <v/>
      </c>
    </row>
    <row r="858" spans="1:1" x14ac:dyDescent="0.2">
      <c r="A858" s="34" t="str">
        <f t="shared" si="13"/>
        <v/>
      </c>
    </row>
    <row r="859" spans="1:1" x14ac:dyDescent="0.2">
      <c r="A859" s="34" t="str">
        <f t="shared" si="13"/>
        <v/>
      </c>
    </row>
    <row r="860" spans="1:1" x14ac:dyDescent="0.2">
      <c r="A860" s="34" t="str">
        <f t="shared" si="13"/>
        <v/>
      </c>
    </row>
    <row r="861" spans="1:1" x14ac:dyDescent="0.2">
      <c r="A861" s="34" t="str">
        <f t="shared" si="13"/>
        <v/>
      </c>
    </row>
    <row r="862" spans="1:1" x14ac:dyDescent="0.2">
      <c r="A862" s="34" t="str">
        <f t="shared" si="13"/>
        <v/>
      </c>
    </row>
    <row r="863" spans="1:1" x14ac:dyDescent="0.2">
      <c r="A863" s="34" t="str">
        <f t="shared" si="13"/>
        <v/>
      </c>
    </row>
    <row r="864" spans="1:1" x14ac:dyDescent="0.2">
      <c r="A864" s="34" t="str">
        <f t="shared" si="13"/>
        <v/>
      </c>
    </row>
    <row r="865" spans="1:1" x14ac:dyDescent="0.2">
      <c r="A865" s="34" t="str">
        <f t="shared" si="13"/>
        <v/>
      </c>
    </row>
    <row r="866" spans="1:1" x14ac:dyDescent="0.2">
      <c r="A866" s="34" t="str">
        <f t="shared" si="13"/>
        <v/>
      </c>
    </row>
    <row r="867" spans="1:1" x14ac:dyDescent="0.2">
      <c r="A867" s="34" t="str">
        <f t="shared" si="13"/>
        <v/>
      </c>
    </row>
    <row r="868" spans="1:1" x14ac:dyDescent="0.2">
      <c r="A868" s="34" t="str">
        <f t="shared" si="13"/>
        <v/>
      </c>
    </row>
    <row r="869" spans="1:1" x14ac:dyDescent="0.2">
      <c r="A869" s="34" t="str">
        <f t="shared" si="13"/>
        <v/>
      </c>
    </row>
    <row r="870" spans="1:1" x14ac:dyDescent="0.2">
      <c r="A870" s="34" t="str">
        <f t="shared" si="13"/>
        <v/>
      </c>
    </row>
    <row r="871" spans="1:1" x14ac:dyDescent="0.2">
      <c r="A871" s="34" t="str">
        <f t="shared" si="13"/>
        <v/>
      </c>
    </row>
    <row r="872" spans="1:1" x14ac:dyDescent="0.2">
      <c r="A872" s="34" t="str">
        <f t="shared" si="13"/>
        <v/>
      </c>
    </row>
    <row r="873" spans="1:1" x14ac:dyDescent="0.2">
      <c r="A873" s="34" t="str">
        <f t="shared" si="13"/>
        <v/>
      </c>
    </row>
    <row r="874" spans="1:1" x14ac:dyDescent="0.2">
      <c r="A874" s="34" t="str">
        <f t="shared" si="13"/>
        <v/>
      </c>
    </row>
    <row r="875" spans="1:1" x14ac:dyDescent="0.2">
      <c r="A875" s="34" t="str">
        <f t="shared" si="13"/>
        <v/>
      </c>
    </row>
    <row r="876" spans="1:1" x14ac:dyDescent="0.2">
      <c r="A876" s="34" t="str">
        <f t="shared" si="13"/>
        <v/>
      </c>
    </row>
    <row r="877" spans="1:1" x14ac:dyDescent="0.2">
      <c r="A877" s="34" t="str">
        <f t="shared" si="13"/>
        <v/>
      </c>
    </row>
    <row r="878" spans="1:1" x14ac:dyDescent="0.2">
      <c r="A878" s="34" t="str">
        <f t="shared" si="13"/>
        <v/>
      </c>
    </row>
    <row r="879" spans="1:1" x14ac:dyDescent="0.2">
      <c r="A879" s="34" t="str">
        <f t="shared" si="13"/>
        <v/>
      </c>
    </row>
    <row r="880" spans="1:1" x14ac:dyDescent="0.2">
      <c r="A880" s="34" t="str">
        <f t="shared" si="13"/>
        <v/>
      </c>
    </row>
    <row r="881" spans="1:1" x14ac:dyDescent="0.2">
      <c r="A881" s="34" t="str">
        <f t="shared" si="13"/>
        <v/>
      </c>
    </row>
    <row r="882" spans="1:1" x14ac:dyDescent="0.2">
      <c r="A882" s="34" t="str">
        <f t="shared" si="13"/>
        <v/>
      </c>
    </row>
    <row r="883" spans="1:1" x14ac:dyDescent="0.2">
      <c r="A883" s="34" t="str">
        <f t="shared" si="13"/>
        <v/>
      </c>
    </row>
    <row r="884" spans="1:1" x14ac:dyDescent="0.2">
      <c r="A884" s="34" t="str">
        <f t="shared" si="13"/>
        <v/>
      </c>
    </row>
    <row r="885" spans="1:1" x14ac:dyDescent="0.2">
      <c r="A885" s="34" t="str">
        <f t="shared" si="13"/>
        <v/>
      </c>
    </row>
    <row r="886" spans="1:1" x14ac:dyDescent="0.2">
      <c r="A886" s="34" t="str">
        <f t="shared" si="13"/>
        <v/>
      </c>
    </row>
    <row r="887" spans="1:1" x14ac:dyDescent="0.2">
      <c r="A887" s="34" t="str">
        <f t="shared" si="13"/>
        <v/>
      </c>
    </row>
    <row r="888" spans="1:1" x14ac:dyDescent="0.2">
      <c r="A888" s="34" t="str">
        <f t="shared" si="13"/>
        <v/>
      </c>
    </row>
    <row r="889" spans="1:1" x14ac:dyDescent="0.2">
      <c r="A889" s="34" t="str">
        <f t="shared" si="13"/>
        <v/>
      </c>
    </row>
    <row r="890" spans="1:1" x14ac:dyDescent="0.2">
      <c r="A890" s="34" t="str">
        <f t="shared" si="13"/>
        <v/>
      </c>
    </row>
    <row r="891" spans="1:1" x14ac:dyDescent="0.2">
      <c r="A891" s="34" t="str">
        <f t="shared" si="13"/>
        <v/>
      </c>
    </row>
    <row r="892" spans="1:1" x14ac:dyDescent="0.2">
      <c r="A892" s="34" t="str">
        <f t="shared" si="13"/>
        <v/>
      </c>
    </row>
    <row r="893" spans="1:1" x14ac:dyDescent="0.2">
      <c r="A893" s="34" t="str">
        <f t="shared" si="13"/>
        <v/>
      </c>
    </row>
    <row r="894" spans="1:1" x14ac:dyDescent="0.2">
      <c r="A894" s="34" t="str">
        <f t="shared" si="13"/>
        <v/>
      </c>
    </row>
    <row r="895" spans="1:1" x14ac:dyDescent="0.2">
      <c r="A895" s="34" t="str">
        <f t="shared" si="13"/>
        <v/>
      </c>
    </row>
    <row r="896" spans="1:1" x14ac:dyDescent="0.2">
      <c r="A896" s="34" t="str">
        <f t="shared" si="13"/>
        <v/>
      </c>
    </row>
    <row r="897" spans="1:1" x14ac:dyDescent="0.2">
      <c r="A897" s="34" t="str">
        <f t="shared" si="13"/>
        <v/>
      </c>
    </row>
    <row r="898" spans="1:1" x14ac:dyDescent="0.2">
      <c r="A898" s="34" t="str">
        <f t="shared" si="13"/>
        <v/>
      </c>
    </row>
    <row r="899" spans="1:1" x14ac:dyDescent="0.2">
      <c r="A899" s="34" t="str">
        <f t="shared" ref="A899:A962" si="14">CONCATENATE(B899,C899,F899)</f>
        <v/>
      </c>
    </row>
    <row r="900" spans="1:1" x14ac:dyDescent="0.2">
      <c r="A900" s="34" t="str">
        <f t="shared" si="14"/>
        <v/>
      </c>
    </row>
    <row r="901" spans="1:1" x14ac:dyDescent="0.2">
      <c r="A901" s="34" t="str">
        <f t="shared" si="14"/>
        <v/>
      </c>
    </row>
    <row r="902" spans="1:1" x14ac:dyDescent="0.2">
      <c r="A902" s="34" t="str">
        <f t="shared" si="14"/>
        <v/>
      </c>
    </row>
    <row r="903" spans="1:1" x14ac:dyDescent="0.2">
      <c r="A903" s="34" t="str">
        <f t="shared" si="14"/>
        <v/>
      </c>
    </row>
    <row r="904" spans="1:1" x14ac:dyDescent="0.2">
      <c r="A904" s="34" t="str">
        <f t="shared" si="14"/>
        <v/>
      </c>
    </row>
    <row r="905" spans="1:1" x14ac:dyDescent="0.2">
      <c r="A905" s="34" t="str">
        <f t="shared" si="14"/>
        <v/>
      </c>
    </row>
    <row r="906" spans="1:1" x14ac:dyDescent="0.2">
      <c r="A906" s="34" t="str">
        <f t="shared" si="14"/>
        <v/>
      </c>
    </row>
    <row r="907" spans="1:1" x14ac:dyDescent="0.2">
      <c r="A907" s="34" t="str">
        <f t="shared" si="14"/>
        <v/>
      </c>
    </row>
    <row r="908" spans="1:1" x14ac:dyDescent="0.2">
      <c r="A908" s="34" t="str">
        <f t="shared" si="14"/>
        <v/>
      </c>
    </row>
    <row r="909" spans="1:1" x14ac:dyDescent="0.2">
      <c r="A909" s="34" t="str">
        <f t="shared" si="14"/>
        <v/>
      </c>
    </row>
    <row r="910" spans="1:1" x14ac:dyDescent="0.2">
      <c r="A910" s="34" t="str">
        <f t="shared" si="14"/>
        <v/>
      </c>
    </row>
    <row r="911" spans="1:1" x14ac:dyDescent="0.2">
      <c r="A911" s="34" t="str">
        <f t="shared" si="14"/>
        <v/>
      </c>
    </row>
    <row r="912" spans="1:1" x14ac:dyDescent="0.2">
      <c r="A912" s="34" t="str">
        <f t="shared" si="14"/>
        <v/>
      </c>
    </row>
    <row r="913" spans="1:1" x14ac:dyDescent="0.2">
      <c r="A913" s="34" t="str">
        <f t="shared" si="14"/>
        <v/>
      </c>
    </row>
    <row r="914" spans="1:1" x14ac:dyDescent="0.2">
      <c r="A914" s="34" t="str">
        <f t="shared" si="14"/>
        <v/>
      </c>
    </row>
    <row r="915" spans="1:1" x14ac:dyDescent="0.2">
      <c r="A915" s="34" t="str">
        <f t="shared" si="14"/>
        <v/>
      </c>
    </row>
    <row r="916" spans="1:1" x14ac:dyDescent="0.2">
      <c r="A916" s="34" t="str">
        <f t="shared" si="14"/>
        <v/>
      </c>
    </row>
    <row r="917" spans="1:1" x14ac:dyDescent="0.2">
      <c r="A917" s="34" t="str">
        <f t="shared" si="14"/>
        <v/>
      </c>
    </row>
    <row r="918" spans="1:1" x14ac:dyDescent="0.2">
      <c r="A918" s="34" t="str">
        <f t="shared" si="14"/>
        <v/>
      </c>
    </row>
    <row r="919" spans="1:1" x14ac:dyDescent="0.2">
      <c r="A919" s="34" t="str">
        <f t="shared" si="14"/>
        <v/>
      </c>
    </row>
    <row r="920" spans="1:1" x14ac:dyDescent="0.2">
      <c r="A920" s="34" t="str">
        <f t="shared" si="14"/>
        <v/>
      </c>
    </row>
    <row r="921" spans="1:1" x14ac:dyDescent="0.2">
      <c r="A921" s="34" t="str">
        <f t="shared" si="14"/>
        <v/>
      </c>
    </row>
    <row r="922" spans="1:1" x14ac:dyDescent="0.2">
      <c r="A922" s="34" t="str">
        <f t="shared" si="14"/>
        <v/>
      </c>
    </row>
    <row r="923" spans="1:1" x14ac:dyDescent="0.2">
      <c r="A923" s="34" t="str">
        <f t="shared" si="14"/>
        <v/>
      </c>
    </row>
    <row r="924" spans="1:1" x14ac:dyDescent="0.2">
      <c r="A924" s="34" t="str">
        <f t="shared" si="14"/>
        <v/>
      </c>
    </row>
    <row r="925" spans="1:1" x14ac:dyDescent="0.2">
      <c r="A925" s="34" t="str">
        <f t="shared" si="14"/>
        <v/>
      </c>
    </row>
    <row r="926" spans="1:1" x14ac:dyDescent="0.2">
      <c r="A926" s="34" t="str">
        <f t="shared" si="14"/>
        <v/>
      </c>
    </row>
    <row r="927" spans="1:1" x14ac:dyDescent="0.2">
      <c r="A927" s="34" t="str">
        <f t="shared" si="14"/>
        <v/>
      </c>
    </row>
    <row r="928" spans="1:1" x14ac:dyDescent="0.2">
      <c r="A928" s="34" t="str">
        <f t="shared" si="14"/>
        <v/>
      </c>
    </row>
    <row r="929" spans="1:1" x14ac:dyDescent="0.2">
      <c r="A929" s="34" t="str">
        <f t="shared" si="14"/>
        <v/>
      </c>
    </row>
    <row r="930" spans="1:1" x14ac:dyDescent="0.2">
      <c r="A930" s="34" t="str">
        <f t="shared" si="14"/>
        <v/>
      </c>
    </row>
    <row r="931" spans="1:1" x14ac:dyDescent="0.2">
      <c r="A931" s="34" t="str">
        <f t="shared" si="14"/>
        <v/>
      </c>
    </row>
    <row r="932" spans="1:1" x14ac:dyDescent="0.2">
      <c r="A932" s="34" t="str">
        <f t="shared" si="14"/>
        <v/>
      </c>
    </row>
    <row r="933" spans="1:1" x14ac:dyDescent="0.2">
      <c r="A933" s="34" t="str">
        <f t="shared" si="14"/>
        <v/>
      </c>
    </row>
    <row r="934" spans="1:1" x14ac:dyDescent="0.2">
      <c r="A934" s="34" t="str">
        <f t="shared" si="14"/>
        <v/>
      </c>
    </row>
    <row r="935" spans="1:1" x14ac:dyDescent="0.2">
      <c r="A935" s="34" t="str">
        <f t="shared" si="14"/>
        <v/>
      </c>
    </row>
    <row r="936" spans="1:1" x14ac:dyDescent="0.2">
      <c r="A936" s="34" t="str">
        <f t="shared" si="14"/>
        <v/>
      </c>
    </row>
    <row r="937" spans="1:1" x14ac:dyDescent="0.2">
      <c r="A937" s="34" t="str">
        <f t="shared" si="14"/>
        <v/>
      </c>
    </row>
    <row r="938" spans="1:1" x14ac:dyDescent="0.2">
      <c r="A938" s="34" t="str">
        <f t="shared" si="14"/>
        <v/>
      </c>
    </row>
    <row r="939" spans="1:1" x14ac:dyDescent="0.2">
      <c r="A939" s="34" t="str">
        <f t="shared" si="14"/>
        <v/>
      </c>
    </row>
    <row r="940" spans="1:1" x14ac:dyDescent="0.2">
      <c r="A940" s="34" t="str">
        <f t="shared" si="14"/>
        <v/>
      </c>
    </row>
    <row r="941" spans="1:1" x14ac:dyDescent="0.2">
      <c r="A941" s="34" t="str">
        <f t="shared" si="14"/>
        <v/>
      </c>
    </row>
    <row r="942" spans="1:1" x14ac:dyDescent="0.2">
      <c r="A942" s="34" t="str">
        <f t="shared" si="14"/>
        <v/>
      </c>
    </row>
    <row r="943" spans="1:1" x14ac:dyDescent="0.2">
      <c r="A943" s="34" t="str">
        <f t="shared" si="14"/>
        <v/>
      </c>
    </row>
    <row r="944" spans="1:1" x14ac:dyDescent="0.2">
      <c r="A944" s="34" t="str">
        <f t="shared" si="14"/>
        <v/>
      </c>
    </row>
    <row r="945" spans="1:1" x14ac:dyDescent="0.2">
      <c r="A945" s="34" t="str">
        <f t="shared" si="14"/>
        <v/>
      </c>
    </row>
    <row r="946" spans="1:1" x14ac:dyDescent="0.2">
      <c r="A946" s="34" t="str">
        <f t="shared" si="14"/>
        <v/>
      </c>
    </row>
    <row r="947" spans="1:1" x14ac:dyDescent="0.2">
      <c r="A947" s="34" t="str">
        <f t="shared" si="14"/>
        <v/>
      </c>
    </row>
    <row r="948" spans="1:1" x14ac:dyDescent="0.2">
      <c r="A948" s="34" t="str">
        <f t="shared" si="14"/>
        <v/>
      </c>
    </row>
    <row r="949" spans="1:1" x14ac:dyDescent="0.2">
      <c r="A949" s="34" t="str">
        <f t="shared" si="14"/>
        <v/>
      </c>
    </row>
    <row r="950" spans="1:1" x14ac:dyDescent="0.2">
      <c r="A950" s="34" t="str">
        <f t="shared" si="14"/>
        <v/>
      </c>
    </row>
    <row r="951" spans="1:1" x14ac:dyDescent="0.2">
      <c r="A951" s="34" t="str">
        <f t="shared" si="14"/>
        <v/>
      </c>
    </row>
    <row r="952" spans="1:1" x14ac:dyDescent="0.2">
      <c r="A952" s="34" t="str">
        <f t="shared" si="14"/>
        <v/>
      </c>
    </row>
    <row r="953" spans="1:1" x14ac:dyDescent="0.2">
      <c r="A953" s="34" t="str">
        <f t="shared" si="14"/>
        <v/>
      </c>
    </row>
    <row r="954" spans="1:1" x14ac:dyDescent="0.2">
      <c r="A954" s="34" t="str">
        <f t="shared" si="14"/>
        <v/>
      </c>
    </row>
    <row r="955" spans="1:1" x14ac:dyDescent="0.2">
      <c r="A955" s="34" t="str">
        <f t="shared" si="14"/>
        <v/>
      </c>
    </row>
    <row r="956" spans="1:1" x14ac:dyDescent="0.2">
      <c r="A956" s="34" t="str">
        <f t="shared" si="14"/>
        <v/>
      </c>
    </row>
    <row r="957" spans="1:1" x14ac:dyDescent="0.2">
      <c r="A957" s="34" t="str">
        <f t="shared" si="14"/>
        <v/>
      </c>
    </row>
    <row r="958" spans="1:1" x14ac:dyDescent="0.2">
      <c r="A958" s="34" t="str">
        <f t="shared" si="14"/>
        <v/>
      </c>
    </row>
    <row r="959" spans="1:1" x14ac:dyDescent="0.2">
      <c r="A959" s="34" t="str">
        <f t="shared" si="14"/>
        <v/>
      </c>
    </row>
    <row r="960" spans="1:1" x14ac:dyDescent="0.2">
      <c r="A960" s="34" t="str">
        <f t="shared" si="14"/>
        <v/>
      </c>
    </row>
    <row r="961" spans="1:1" x14ac:dyDescent="0.2">
      <c r="A961" s="34" t="str">
        <f t="shared" si="14"/>
        <v/>
      </c>
    </row>
    <row r="962" spans="1:1" x14ac:dyDescent="0.2">
      <c r="A962" s="34" t="str">
        <f t="shared" si="14"/>
        <v/>
      </c>
    </row>
    <row r="963" spans="1:1" x14ac:dyDescent="0.2">
      <c r="A963" s="34" t="str">
        <f t="shared" ref="A963:A1026" si="15">CONCATENATE(B963,C963,F963)</f>
        <v/>
      </c>
    </row>
    <row r="964" spans="1:1" x14ac:dyDescent="0.2">
      <c r="A964" s="34" t="str">
        <f t="shared" si="15"/>
        <v/>
      </c>
    </row>
    <row r="965" spans="1:1" x14ac:dyDescent="0.2">
      <c r="A965" s="34" t="str">
        <f t="shared" si="15"/>
        <v/>
      </c>
    </row>
    <row r="966" spans="1:1" x14ac:dyDescent="0.2">
      <c r="A966" s="34" t="str">
        <f t="shared" si="15"/>
        <v/>
      </c>
    </row>
    <row r="967" spans="1:1" x14ac:dyDescent="0.2">
      <c r="A967" s="34" t="str">
        <f t="shared" si="15"/>
        <v/>
      </c>
    </row>
    <row r="968" spans="1:1" x14ac:dyDescent="0.2">
      <c r="A968" s="34" t="str">
        <f t="shared" si="15"/>
        <v/>
      </c>
    </row>
    <row r="969" spans="1:1" x14ac:dyDescent="0.2">
      <c r="A969" s="34" t="str">
        <f t="shared" si="15"/>
        <v/>
      </c>
    </row>
    <row r="970" spans="1:1" x14ac:dyDescent="0.2">
      <c r="A970" s="34" t="str">
        <f t="shared" si="15"/>
        <v/>
      </c>
    </row>
    <row r="971" spans="1:1" x14ac:dyDescent="0.2">
      <c r="A971" s="34" t="str">
        <f t="shared" si="15"/>
        <v/>
      </c>
    </row>
    <row r="972" spans="1:1" x14ac:dyDescent="0.2">
      <c r="A972" s="34" t="str">
        <f t="shared" si="15"/>
        <v/>
      </c>
    </row>
    <row r="973" spans="1:1" x14ac:dyDescent="0.2">
      <c r="A973" s="34" t="str">
        <f t="shared" si="15"/>
        <v/>
      </c>
    </row>
    <row r="974" spans="1:1" x14ac:dyDescent="0.2">
      <c r="A974" s="34" t="str">
        <f t="shared" si="15"/>
        <v/>
      </c>
    </row>
    <row r="975" spans="1:1" x14ac:dyDescent="0.2">
      <c r="A975" s="34" t="str">
        <f t="shared" si="15"/>
        <v/>
      </c>
    </row>
    <row r="976" spans="1:1" x14ac:dyDescent="0.2">
      <c r="A976" s="34" t="str">
        <f t="shared" si="15"/>
        <v/>
      </c>
    </row>
    <row r="977" spans="1:1" x14ac:dyDescent="0.2">
      <c r="A977" s="34" t="str">
        <f t="shared" si="15"/>
        <v/>
      </c>
    </row>
    <row r="978" spans="1:1" x14ac:dyDescent="0.2">
      <c r="A978" s="34" t="str">
        <f t="shared" si="15"/>
        <v/>
      </c>
    </row>
    <row r="979" spans="1:1" x14ac:dyDescent="0.2">
      <c r="A979" s="34" t="str">
        <f t="shared" si="15"/>
        <v/>
      </c>
    </row>
    <row r="980" spans="1:1" x14ac:dyDescent="0.2">
      <c r="A980" s="34" t="str">
        <f t="shared" si="15"/>
        <v/>
      </c>
    </row>
    <row r="981" spans="1:1" x14ac:dyDescent="0.2">
      <c r="A981" s="34" t="str">
        <f t="shared" si="15"/>
        <v/>
      </c>
    </row>
    <row r="982" spans="1:1" x14ac:dyDescent="0.2">
      <c r="A982" s="34" t="str">
        <f t="shared" si="15"/>
        <v/>
      </c>
    </row>
    <row r="983" spans="1:1" x14ac:dyDescent="0.2">
      <c r="A983" s="34" t="str">
        <f t="shared" si="15"/>
        <v/>
      </c>
    </row>
    <row r="984" spans="1:1" x14ac:dyDescent="0.2">
      <c r="A984" s="34" t="str">
        <f t="shared" si="15"/>
        <v/>
      </c>
    </row>
    <row r="985" spans="1:1" x14ac:dyDescent="0.2">
      <c r="A985" s="34" t="str">
        <f t="shared" si="15"/>
        <v/>
      </c>
    </row>
    <row r="986" spans="1:1" x14ac:dyDescent="0.2">
      <c r="A986" s="34" t="str">
        <f t="shared" si="15"/>
        <v/>
      </c>
    </row>
    <row r="987" spans="1:1" x14ac:dyDescent="0.2">
      <c r="A987" s="34" t="str">
        <f t="shared" si="15"/>
        <v/>
      </c>
    </row>
    <row r="988" spans="1:1" x14ac:dyDescent="0.2">
      <c r="A988" s="34" t="str">
        <f t="shared" si="15"/>
        <v/>
      </c>
    </row>
    <row r="989" spans="1:1" x14ac:dyDescent="0.2">
      <c r="A989" s="34" t="str">
        <f t="shared" si="15"/>
        <v/>
      </c>
    </row>
    <row r="990" spans="1:1" x14ac:dyDescent="0.2">
      <c r="A990" s="34" t="str">
        <f t="shared" si="15"/>
        <v/>
      </c>
    </row>
    <row r="991" spans="1:1" x14ac:dyDescent="0.2">
      <c r="A991" s="34" t="str">
        <f t="shared" si="15"/>
        <v/>
      </c>
    </row>
    <row r="992" spans="1:1" x14ac:dyDescent="0.2">
      <c r="A992" s="34" t="str">
        <f t="shared" si="15"/>
        <v/>
      </c>
    </row>
    <row r="993" spans="1:1" x14ac:dyDescent="0.2">
      <c r="A993" s="34" t="str">
        <f t="shared" si="15"/>
        <v/>
      </c>
    </row>
    <row r="994" spans="1:1" x14ac:dyDescent="0.2">
      <c r="A994" s="34" t="str">
        <f t="shared" si="15"/>
        <v/>
      </c>
    </row>
    <row r="995" spans="1:1" x14ac:dyDescent="0.2">
      <c r="A995" s="34" t="str">
        <f t="shared" si="15"/>
        <v/>
      </c>
    </row>
    <row r="996" spans="1:1" x14ac:dyDescent="0.2">
      <c r="A996" s="34" t="str">
        <f t="shared" si="15"/>
        <v/>
      </c>
    </row>
    <row r="997" spans="1:1" x14ac:dyDescent="0.2">
      <c r="A997" s="34" t="str">
        <f t="shared" si="15"/>
        <v/>
      </c>
    </row>
    <row r="998" spans="1:1" x14ac:dyDescent="0.2">
      <c r="A998" s="34" t="str">
        <f t="shared" si="15"/>
        <v/>
      </c>
    </row>
    <row r="999" spans="1:1" x14ac:dyDescent="0.2">
      <c r="A999" s="34" t="str">
        <f t="shared" si="15"/>
        <v/>
      </c>
    </row>
    <row r="1000" spans="1:1" x14ac:dyDescent="0.2">
      <c r="A1000" s="34" t="str">
        <f t="shared" si="15"/>
        <v/>
      </c>
    </row>
    <row r="1001" spans="1:1" x14ac:dyDescent="0.2">
      <c r="A1001" s="34" t="str">
        <f t="shared" si="15"/>
        <v/>
      </c>
    </row>
    <row r="1002" spans="1:1" x14ac:dyDescent="0.2">
      <c r="A1002" s="34" t="str">
        <f t="shared" si="15"/>
        <v/>
      </c>
    </row>
    <row r="1003" spans="1:1" x14ac:dyDescent="0.2">
      <c r="A1003" s="34" t="str">
        <f t="shared" si="15"/>
        <v/>
      </c>
    </row>
    <row r="1004" spans="1:1" x14ac:dyDescent="0.2">
      <c r="A1004" s="34" t="str">
        <f t="shared" si="15"/>
        <v/>
      </c>
    </row>
    <row r="1005" spans="1:1" x14ac:dyDescent="0.2">
      <c r="A1005" s="34" t="str">
        <f t="shared" si="15"/>
        <v/>
      </c>
    </row>
    <row r="1006" spans="1:1" x14ac:dyDescent="0.2">
      <c r="A1006" s="34" t="str">
        <f t="shared" si="15"/>
        <v/>
      </c>
    </row>
    <row r="1007" spans="1:1" x14ac:dyDescent="0.2">
      <c r="A1007" s="34" t="str">
        <f t="shared" si="15"/>
        <v/>
      </c>
    </row>
    <row r="1008" spans="1:1" x14ac:dyDescent="0.2">
      <c r="A1008" s="34" t="str">
        <f t="shared" si="15"/>
        <v/>
      </c>
    </row>
    <row r="1009" spans="1:1" x14ac:dyDescent="0.2">
      <c r="A1009" s="34" t="str">
        <f t="shared" si="15"/>
        <v/>
      </c>
    </row>
    <row r="1010" spans="1:1" x14ac:dyDescent="0.2">
      <c r="A1010" s="34" t="str">
        <f t="shared" si="15"/>
        <v/>
      </c>
    </row>
    <row r="1011" spans="1:1" x14ac:dyDescent="0.2">
      <c r="A1011" s="34" t="str">
        <f t="shared" si="15"/>
        <v/>
      </c>
    </row>
    <row r="1012" spans="1:1" x14ac:dyDescent="0.2">
      <c r="A1012" s="34" t="str">
        <f t="shared" si="15"/>
        <v/>
      </c>
    </row>
    <row r="1013" spans="1:1" x14ac:dyDescent="0.2">
      <c r="A1013" s="34" t="str">
        <f t="shared" si="15"/>
        <v/>
      </c>
    </row>
    <row r="1014" spans="1:1" x14ac:dyDescent="0.2">
      <c r="A1014" s="34" t="str">
        <f t="shared" si="15"/>
        <v/>
      </c>
    </row>
    <row r="1015" spans="1:1" x14ac:dyDescent="0.2">
      <c r="A1015" s="34" t="str">
        <f t="shared" si="15"/>
        <v/>
      </c>
    </row>
    <row r="1016" spans="1:1" x14ac:dyDescent="0.2">
      <c r="A1016" s="34" t="str">
        <f t="shared" si="15"/>
        <v/>
      </c>
    </row>
    <row r="1017" spans="1:1" x14ac:dyDescent="0.2">
      <c r="A1017" s="34" t="str">
        <f t="shared" si="15"/>
        <v/>
      </c>
    </row>
    <row r="1018" spans="1:1" x14ac:dyDescent="0.2">
      <c r="A1018" s="34" t="str">
        <f t="shared" si="15"/>
        <v/>
      </c>
    </row>
    <row r="1019" spans="1:1" x14ac:dyDescent="0.2">
      <c r="A1019" s="34" t="str">
        <f t="shared" si="15"/>
        <v/>
      </c>
    </row>
    <row r="1020" spans="1:1" x14ac:dyDescent="0.2">
      <c r="A1020" s="34" t="str">
        <f t="shared" si="15"/>
        <v/>
      </c>
    </row>
    <row r="1021" spans="1:1" x14ac:dyDescent="0.2">
      <c r="A1021" s="34" t="str">
        <f t="shared" si="15"/>
        <v/>
      </c>
    </row>
    <row r="1022" spans="1:1" x14ac:dyDescent="0.2">
      <c r="A1022" s="34" t="str">
        <f t="shared" si="15"/>
        <v/>
      </c>
    </row>
    <row r="1023" spans="1:1" x14ac:dyDescent="0.2">
      <c r="A1023" s="34" t="str">
        <f t="shared" si="15"/>
        <v/>
      </c>
    </row>
    <row r="1024" spans="1:1" x14ac:dyDescent="0.2">
      <c r="A1024" s="34" t="str">
        <f t="shared" si="15"/>
        <v/>
      </c>
    </row>
    <row r="1025" spans="1:1" x14ac:dyDescent="0.2">
      <c r="A1025" s="34" t="str">
        <f t="shared" si="15"/>
        <v/>
      </c>
    </row>
    <row r="1026" spans="1:1" x14ac:dyDescent="0.2">
      <c r="A1026" s="34" t="str">
        <f t="shared" si="15"/>
        <v/>
      </c>
    </row>
    <row r="1027" spans="1:1" x14ac:dyDescent="0.2">
      <c r="A1027" s="34" t="str">
        <f t="shared" ref="A1027:A1090" si="16">CONCATENATE(B1027,C1027,F1027)</f>
        <v/>
      </c>
    </row>
    <row r="1028" spans="1:1" x14ac:dyDescent="0.2">
      <c r="A1028" s="34" t="str">
        <f t="shared" si="16"/>
        <v/>
      </c>
    </row>
    <row r="1029" spans="1:1" x14ac:dyDescent="0.2">
      <c r="A1029" s="34" t="str">
        <f t="shared" si="16"/>
        <v/>
      </c>
    </row>
    <row r="1030" spans="1:1" x14ac:dyDescent="0.2">
      <c r="A1030" s="34" t="str">
        <f t="shared" si="16"/>
        <v/>
      </c>
    </row>
    <row r="1031" spans="1:1" x14ac:dyDescent="0.2">
      <c r="A1031" s="34" t="str">
        <f t="shared" si="16"/>
        <v/>
      </c>
    </row>
    <row r="1032" spans="1:1" x14ac:dyDescent="0.2">
      <c r="A1032" s="34" t="str">
        <f t="shared" si="16"/>
        <v/>
      </c>
    </row>
    <row r="1033" spans="1:1" x14ac:dyDescent="0.2">
      <c r="A1033" s="34" t="str">
        <f t="shared" si="16"/>
        <v/>
      </c>
    </row>
    <row r="1034" spans="1:1" x14ac:dyDescent="0.2">
      <c r="A1034" s="34" t="str">
        <f t="shared" si="16"/>
        <v/>
      </c>
    </row>
    <row r="1035" spans="1:1" x14ac:dyDescent="0.2">
      <c r="A1035" s="34" t="str">
        <f t="shared" si="16"/>
        <v/>
      </c>
    </row>
    <row r="1036" spans="1:1" x14ac:dyDescent="0.2">
      <c r="A1036" s="34" t="str">
        <f t="shared" si="16"/>
        <v/>
      </c>
    </row>
    <row r="1037" spans="1:1" x14ac:dyDescent="0.2">
      <c r="A1037" s="34" t="str">
        <f t="shared" si="16"/>
        <v/>
      </c>
    </row>
    <row r="1038" spans="1:1" x14ac:dyDescent="0.2">
      <c r="A1038" s="34" t="str">
        <f t="shared" si="16"/>
        <v/>
      </c>
    </row>
    <row r="1039" spans="1:1" x14ac:dyDescent="0.2">
      <c r="A1039" s="34" t="str">
        <f t="shared" si="16"/>
        <v/>
      </c>
    </row>
    <row r="1040" spans="1:1" x14ac:dyDescent="0.2">
      <c r="A1040" s="34" t="str">
        <f t="shared" si="16"/>
        <v/>
      </c>
    </row>
    <row r="1041" spans="1:1" x14ac:dyDescent="0.2">
      <c r="A1041" s="34" t="str">
        <f t="shared" si="16"/>
        <v/>
      </c>
    </row>
    <row r="1042" spans="1:1" x14ac:dyDescent="0.2">
      <c r="A1042" s="34" t="str">
        <f t="shared" si="16"/>
        <v/>
      </c>
    </row>
    <row r="1043" spans="1:1" x14ac:dyDescent="0.2">
      <c r="A1043" s="34" t="str">
        <f t="shared" si="16"/>
        <v/>
      </c>
    </row>
    <row r="1044" spans="1:1" x14ac:dyDescent="0.2">
      <c r="A1044" s="34" t="str">
        <f t="shared" si="16"/>
        <v/>
      </c>
    </row>
    <row r="1045" spans="1:1" x14ac:dyDescent="0.2">
      <c r="A1045" s="34" t="str">
        <f t="shared" si="16"/>
        <v/>
      </c>
    </row>
    <row r="1046" spans="1:1" x14ac:dyDescent="0.2">
      <c r="A1046" s="34" t="str">
        <f t="shared" si="16"/>
        <v/>
      </c>
    </row>
    <row r="1047" spans="1:1" x14ac:dyDescent="0.2">
      <c r="A1047" s="34" t="str">
        <f t="shared" si="16"/>
        <v/>
      </c>
    </row>
    <row r="1048" spans="1:1" x14ac:dyDescent="0.2">
      <c r="A1048" s="34" t="str">
        <f t="shared" si="16"/>
        <v/>
      </c>
    </row>
    <row r="1049" spans="1:1" x14ac:dyDescent="0.2">
      <c r="A1049" s="34" t="str">
        <f t="shared" si="16"/>
        <v/>
      </c>
    </row>
    <row r="1050" spans="1:1" x14ac:dyDescent="0.2">
      <c r="A1050" s="34" t="str">
        <f t="shared" si="16"/>
        <v/>
      </c>
    </row>
    <row r="1051" spans="1:1" x14ac:dyDescent="0.2">
      <c r="A1051" s="34" t="str">
        <f t="shared" si="16"/>
        <v/>
      </c>
    </row>
    <row r="1052" spans="1:1" x14ac:dyDescent="0.2">
      <c r="A1052" s="34" t="str">
        <f t="shared" si="16"/>
        <v/>
      </c>
    </row>
    <row r="1053" spans="1:1" x14ac:dyDescent="0.2">
      <c r="A1053" s="34" t="str">
        <f t="shared" si="16"/>
        <v/>
      </c>
    </row>
    <row r="1054" spans="1:1" x14ac:dyDescent="0.2">
      <c r="A1054" s="34" t="str">
        <f t="shared" si="16"/>
        <v/>
      </c>
    </row>
    <row r="1055" spans="1:1" x14ac:dyDescent="0.2">
      <c r="A1055" s="34" t="str">
        <f t="shared" si="16"/>
        <v/>
      </c>
    </row>
    <row r="1056" spans="1:1" x14ac:dyDescent="0.2">
      <c r="A1056" s="34" t="str">
        <f t="shared" si="16"/>
        <v/>
      </c>
    </row>
    <row r="1057" spans="1:1" x14ac:dyDescent="0.2">
      <c r="A1057" s="34" t="str">
        <f t="shared" si="16"/>
        <v/>
      </c>
    </row>
    <row r="1058" spans="1:1" x14ac:dyDescent="0.2">
      <c r="A1058" s="34" t="str">
        <f t="shared" si="16"/>
        <v/>
      </c>
    </row>
    <row r="1059" spans="1:1" x14ac:dyDescent="0.2">
      <c r="A1059" s="34" t="str">
        <f t="shared" si="16"/>
        <v/>
      </c>
    </row>
    <row r="1060" spans="1:1" x14ac:dyDescent="0.2">
      <c r="A1060" s="34" t="str">
        <f t="shared" si="16"/>
        <v/>
      </c>
    </row>
    <row r="1061" spans="1:1" x14ac:dyDescent="0.2">
      <c r="A1061" s="34" t="str">
        <f t="shared" si="16"/>
        <v/>
      </c>
    </row>
    <row r="1062" spans="1:1" x14ac:dyDescent="0.2">
      <c r="A1062" s="34" t="str">
        <f t="shared" si="16"/>
        <v/>
      </c>
    </row>
    <row r="1063" spans="1:1" x14ac:dyDescent="0.2">
      <c r="A1063" s="34" t="str">
        <f t="shared" si="16"/>
        <v/>
      </c>
    </row>
    <row r="1064" spans="1:1" x14ac:dyDescent="0.2">
      <c r="A1064" s="34" t="str">
        <f t="shared" si="16"/>
        <v/>
      </c>
    </row>
    <row r="1065" spans="1:1" x14ac:dyDescent="0.2">
      <c r="A1065" s="34" t="str">
        <f t="shared" si="16"/>
        <v/>
      </c>
    </row>
    <row r="1066" spans="1:1" x14ac:dyDescent="0.2">
      <c r="A1066" s="34" t="str">
        <f t="shared" si="16"/>
        <v/>
      </c>
    </row>
    <row r="1067" spans="1:1" x14ac:dyDescent="0.2">
      <c r="A1067" s="34" t="str">
        <f t="shared" si="16"/>
        <v/>
      </c>
    </row>
    <row r="1068" spans="1:1" x14ac:dyDescent="0.2">
      <c r="A1068" s="34" t="str">
        <f t="shared" si="16"/>
        <v/>
      </c>
    </row>
    <row r="1069" spans="1:1" x14ac:dyDescent="0.2">
      <c r="A1069" s="34" t="str">
        <f t="shared" si="16"/>
        <v/>
      </c>
    </row>
    <row r="1070" spans="1:1" x14ac:dyDescent="0.2">
      <c r="A1070" s="34" t="str">
        <f t="shared" si="16"/>
        <v/>
      </c>
    </row>
    <row r="1071" spans="1:1" x14ac:dyDescent="0.2">
      <c r="A1071" s="34" t="str">
        <f t="shared" si="16"/>
        <v/>
      </c>
    </row>
    <row r="1072" spans="1:1" x14ac:dyDescent="0.2">
      <c r="A1072" s="34" t="str">
        <f t="shared" si="16"/>
        <v/>
      </c>
    </row>
    <row r="1073" spans="1:1" x14ac:dyDescent="0.2">
      <c r="A1073" s="34" t="str">
        <f t="shared" si="16"/>
        <v/>
      </c>
    </row>
    <row r="1074" spans="1:1" x14ac:dyDescent="0.2">
      <c r="A1074" s="34" t="str">
        <f t="shared" si="16"/>
        <v/>
      </c>
    </row>
    <row r="1075" spans="1:1" x14ac:dyDescent="0.2">
      <c r="A1075" s="34" t="str">
        <f t="shared" si="16"/>
        <v/>
      </c>
    </row>
    <row r="1076" spans="1:1" x14ac:dyDescent="0.2">
      <c r="A1076" s="34" t="str">
        <f t="shared" si="16"/>
        <v/>
      </c>
    </row>
    <row r="1077" spans="1:1" x14ac:dyDescent="0.2">
      <c r="A1077" s="34" t="str">
        <f t="shared" si="16"/>
        <v/>
      </c>
    </row>
    <row r="1078" spans="1:1" x14ac:dyDescent="0.2">
      <c r="A1078" s="34" t="str">
        <f t="shared" si="16"/>
        <v/>
      </c>
    </row>
    <row r="1079" spans="1:1" x14ac:dyDescent="0.2">
      <c r="A1079" s="34" t="str">
        <f t="shared" si="16"/>
        <v/>
      </c>
    </row>
    <row r="1080" spans="1:1" x14ac:dyDescent="0.2">
      <c r="A1080" s="34" t="str">
        <f t="shared" si="16"/>
        <v/>
      </c>
    </row>
    <row r="1081" spans="1:1" x14ac:dyDescent="0.2">
      <c r="A1081" s="34" t="str">
        <f t="shared" si="16"/>
        <v/>
      </c>
    </row>
    <row r="1082" spans="1:1" x14ac:dyDescent="0.2">
      <c r="A1082" s="34" t="str">
        <f t="shared" si="16"/>
        <v/>
      </c>
    </row>
    <row r="1083" spans="1:1" x14ac:dyDescent="0.2">
      <c r="A1083" s="34" t="str">
        <f t="shared" si="16"/>
        <v/>
      </c>
    </row>
    <row r="1084" spans="1:1" x14ac:dyDescent="0.2">
      <c r="A1084" s="34" t="str">
        <f t="shared" si="16"/>
        <v/>
      </c>
    </row>
    <row r="1085" spans="1:1" x14ac:dyDescent="0.2">
      <c r="A1085" s="34" t="str">
        <f t="shared" si="16"/>
        <v/>
      </c>
    </row>
    <row r="1086" spans="1:1" x14ac:dyDescent="0.2">
      <c r="A1086" s="34" t="str">
        <f t="shared" si="16"/>
        <v/>
      </c>
    </row>
    <row r="1087" spans="1:1" x14ac:dyDescent="0.2">
      <c r="A1087" s="34" t="str">
        <f t="shared" si="16"/>
        <v/>
      </c>
    </row>
    <row r="1088" spans="1:1" x14ac:dyDescent="0.2">
      <c r="A1088" s="34" t="str">
        <f t="shared" si="16"/>
        <v/>
      </c>
    </row>
    <row r="1089" spans="1:1" x14ac:dyDescent="0.2">
      <c r="A1089" s="34" t="str">
        <f t="shared" si="16"/>
        <v/>
      </c>
    </row>
    <row r="1090" spans="1:1" x14ac:dyDescent="0.2">
      <c r="A1090" s="34" t="str">
        <f t="shared" si="16"/>
        <v/>
      </c>
    </row>
    <row r="1091" spans="1:1" x14ac:dyDescent="0.2">
      <c r="A1091" s="34" t="str">
        <f t="shared" ref="A1091:A1154" si="17">CONCATENATE(B1091,C1091,F1091)</f>
        <v/>
      </c>
    </row>
    <row r="1092" spans="1:1" x14ac:dyDescent="0.2">
      <c r="A1092" s="34" t="str">
        <f t="shared" si="17"/>
        <v/>
      </c>
    </row>
    <row r="1093" spans="1:1" x14ac:dyDescent="0.2">
      <c r="A1093" s="34" t="str">
        <f t="shared" si="17"/>
        <v/>
      </c>
    </row>
    <row r="1094" spans="1:1" x14ac:dyDescent="0.2">
      <c r="A1094" s="34" t="str">
        <f t="shared" si="17"/>
        <v/>
      </c>
    </row>
    <row r="1095" spans="1:1" x14ac:dyDescent="0.2">
      <c r="A1095" s="34" t="str">
        <f t="shared" si="17"/>
        <v/>
      </c>
    </row>
    <row r="1096" spans="1:1" x14ac:dyDescent="0.2">
      <c r="A1096" s="34" t="str">
        <f t="shared" si="17"/>
        <v/>
      </c>
    </row>
    <row r="1097" spans="1:1" x14ac:dyDescent="0.2">
      <c r="A1097" s="34" t="str">
        <f t="shared" si="17"/>
        <v/>
      </c>
    </row>
    <row r="1098" spans="1:1" x14ac:dyDescent="0.2">
      <c r="A1098" s="34" t="str">
        <f t="shared" si="17"/>
        <v/>
      </c>
    </row>
    <row r="1099" spans="1:1" x14ac:dyDescent="0.2">
      <c r="A1099" s="34" t="str">
        <f t="shared" si="17"/>
        <v/>
      </c>
    </row>
    <row r="1100" spans="1:1" x14ac:dyDescent="0.2">
      <c r="A1100" s="34" t="str">
        <f t="shared" si="17"/>
        <v/>
      </c>
    </row>
    <row r="1101" spans="1:1" x14ac:dyDescent="0.2">
      <c r="A1101" s="34" t="str">
        <f t="shared" si="17"/>
        <v/>
      </c>
    </row>
    <row r="1102" spans="1:1" x14ac:dyDescent="0.2">
      <c r="A1102" s="34" t="str">
        <f t="shared" si="17"/>
        <v/>
      </c>
    </row>
    <row r="1103" spans="1:1" x14ac:dyDescent="0.2">
      <c r="A1103" s="34" t="str">
        <f t="shared" si="17"/>
        <v/>
      </c>
    </row>
    <row r="1104" spans="1:1" x14ac:dyDescent="0.2">
      <c r="A1104" s="34" t="str">
        <f t="shared" si="17"/>
        <v/>
      </c>
    </row>
    <row r="1105" spans="1:1" x14ac:dyDescent="0.2">
      <c r="A1105" s="34" t="str">
        <f t="shared" si="17"/>
        <v/>
      </c>
    </row>
    <row r="1106" spans="1:1" x14ac:dyDescent="0.2">
      <c r="A1106" s="34" t="str">
        <f t="shared" si="17"/>
        <v/>
      </c>
    </row>
    <row r="1107" spans="1:1" x14ac:dyDescent="0.2">
      <c r="A1107" s="34" t="str">
        <f t="shared" si="17"/>
        <v/>
      </c>
    </row>
    <row r="1108" spans="1:1" x14ac:dyDescent="0.2">
      <c r="A1108" s="34" t="str">
        <f t="shared" si="17"/>
        <v/>
      </c>
    </row>
    <row r="1109" spans="1:1" x14ac:dyDescent="0.2">
      <c r="A1109" s="34" t="str">
        <f t="shared" si="17"/>
        <v/>
      </c>
    </row>
    <row r="1110" spans="1:1" x14ac:dyDescent="0.2">
      <c r="A1110" s="34" t="str">
        <f t="shared" si="17"/>
        <v/>
      </c>
    </row>
    <row r="1111" spans="1:1" x14ac:dyDescent="0.2">
      <c r="A1111" s="34" t="str">
        <f t="shared" si="17"/>
        <v/>
      </c>
    </row>
    <row r="1112" spans="1:1" x14ac:dyDescent="0.2">
      <c r="A1112" s="34" t="str">
        <f t="shared" si="17"/>
        <v/>
      </c>
    </row>
    <row r="1113" spans="1:1" x14ac:dyDescent="0.2">
      <c r="A1113" s="34" t="str">
        <f t="shared" si="17"/>
        <v/>
      </c>
    </row>
    <row r="1114" spans="1:1" x14ac:dyDescent="0.2">
      <c r="A1114" s="34" t="str">
        <f t="shared" si="17"/>
        <v/>
      </c>
    </row>
    <row r="1115" spans="1:1" x14ac:dyDescent="0.2">
      <c r="A1115" s="34" t="str">
        <f t="shared" si="17"/>
        <v/>
      </c>
    </row>
    <row r="1116" spans="1:1" x14ac:dyDescent="0.2">
      <c r="A1116" s="34" t="str">
        <f t="shared" si="17"/>
        <v/>
      </c>
    </row>
    <row r="1117" spans="1:1" x14ac:dyDescent="0.2">
      <c r="A1117" s="34" t="str">
        <f t="shared" si="17"/>
        <v/>
      </c>
    </row>
    <row r="1118" spans="1:1" x14ac:dyDescent="0.2">
      <c r="A1118" s="34" t="str">
        <f t="shared" si="17"/>
        <v/>
      </c>
    </row>
    <row r="1119" spans="1:1" x14ac:dyDescent="0.2">
      <c r="A1119" s="34" t="str">
        <f t="shared" si="17"/>
        <v/>
      </c>
    </row>
    <row r="1120" spans="1:1" x14ac:dyDescent="0.2">
      <c r="A1120" s="34" t="str">
        <f t="shared" si="17"/>
        <v/>
      </c>
    </row>
    <row r="1121" spans="1:1" x14ac:dyDescent="0.2">
      <c r="A1121" s="34" t="str">
        <f t="shared" si="17"/>
        <v/>
      </c>
    </row>
    <row r="1122" spans="1:1" x14ac:dyDescent="0.2">
      <c r="A1122" s="34" t="str">
        <f t="shared" si="17"/>
        <v/>
      </c>
    </row>
    <row r="1123" spans="1:1" x14ac:dyDescent="0.2">
      <c r="A1123" s="34" t="str">
        <f t="shared" si="17"/>
        <v/>
      </c>
    </row>
    <row r="1124" spans="1:1" x14ac:dyDescent="0.2">
      <c r="A1124" s="34" t="str">
        <f t="shared" si="17"/>
        <v/>
      </c>
    </row>
    <row r="1125" spans="1:1" x14ac:dyDescent="0.2">
      <c r="A1125" s="34" t="str">
        <f t="shared" si="17"/>
        <v/>
      </c>
    </row>
    <row r="1126" spans="1:1" x14ac:dyDescent="0.2">
      <c r="A1126" s="34" t="str">
        <f t="shared" si="17"/>
        <v/>
      </c>
    </row>
    <row r="1127" spans="1:1" x14ac:dyDescent="0.2">
      <c r="A1127" s="34" t="str">
        <f t="shared" si="17"/>
        <v/>
      </c>
    </row>
    <row r="1128" spans="1:1" x14ac:dyDescent="0.2">
      <c r="A1128" s="34" t="str">
        <f t="shared" si="17"/>
        <v/>
      </c>
    </row>
    <row r="1129" spans="1:1" x14ac:dyDescent="0.2">
      <c r="A1129" s="34" t="str">
        <f t="shared" si="17"/>
        <v/>
      </c>
    </row>
    <row r="1130" spans="1:1" x14ac:dyDescent="0.2">
      <c r="A1130" s="34" t="str">
        <f t="shared" si="17"/>
        <v/>
      </c>
    </row>
    <row r="1131" spans="1:1" x14ac:dyDescent="0.2">
      <c r="A1131" s="34" t="str">
        <f t="shared" si="17"/>
        <v/>
      </c>
    </row>
    <row r="1132" spans="1:1" x14ac:dyDescent="0.2">
      <c r="A1132" s="34" t="str">
        <f t="shared" si="17"/>
        <v/>
      </c>
    </row>
    <row r="1133" spans="1:1" x14ac:dyDescent="0.2">
      <c r="A1133" s="34" t="str">
        <f t="shared" si="17"/>
        <v/>
      </c>
    </row>
    <row r="1134" spans="1:1" x14ac:dyDescent="0.2">
      <c r="A1134" s="34" t="str">
        <f t="shared" si="17"/>
        <v/>
      </c>
    </row>
    <row r="1135" spans="1:1" x14ac:dyDescent="0.2">
      <c r="A1135" s="34" t="str">
        <f t="shared" si="17"/>
        <v/>
      </c>
    </row>
    <row r="1136" spans="1:1" x14ac:dyDescent="0.2">
      <c r="A1136" s="34" t="str">
        <f t="shared" si="17"/>
        <v/>
      </c>
    </row>
    <row r="1137" spans="1:1" x14ac:dyDescent="0.2">
      <c r="A1137" s="34" t="str">
        <f t="shared" si="17"/>
        <v/>
      </c>
    </row>
    <row r="1138" spans="1:1" x14ac:dyDescent="0.2">
      <c r="A1138" s="34" t="str">
        <f t="shared" si="17"/>
        <v/>
      </c>
    </row>
    <row r="1139" spans="1:1" x14ac:dyDescent="0.2">
      <c r="A1139" s="34" t="str">
        <f t="shared" si="17"/>
        <v/>
      </c>
    </row>
    <row r="1140" spans="1:1" x14ac:dyDescent="0.2">
      <c r="A1140" s="34" t="str">
        <f t="shared" si="17"/>
        <v/>
      </c>
    </row>
    <row r="1141" spans="1:1" x14ac:dyDescent="0.2">
      <c r="A1141" s="34" t="str">
        <f t="shared" si="17"/>
        <v/>
      </c>
    </row>
    <row r="1142" spans="1:1" x14ac:dyDescent="0.2">
      <c r="A1142" s="34" t="str">
        <f t="shared" si="17"/>
        <v/>
      </c>
    </row>
    <row r="1143" spans="1:1" x14ac:dyDescent="0.2">
      <c r="A1143" s="34" t="str">
        <f t="shared" si="17"/>
        <v/>
      </c>
    </row>
    <row r="1144" spans="1:1" x14ac:dyDescent="0.2">
      <c r="A1144" s="34" t="str">
        <f t="shared" si="17"/>
        <v/>
      </c>
    </row>
    <row r="1145" spans="1:1" x14ac:dyDescent="0.2">
      <c r="A1145" s="34" t="str">
        <f t="shared" si="17"/>
        <v/>
      </c>
    </row>
    <row r="1146" spans="1:1" x14ac:dyDescent="0.2">
      <c r="A1146" s="34" t="str">
        <f t="shared" si="17"/>
        <v/>
      </c>
    </row>
    <row r="1147" spans="1:1" x14ac:dyDescent="0.2">
      <c r="A1147" s="34" t="str">
        <f t="shared" si="17"/>
        <v/>
      </c>
    </row>
    <row r="1148" spans="1:1" x14ac:dyDescent="0.2">
      <c r="A1148" s="34" t="str">
        <f t="shared" si="17"/>
        <v/>
      </c>
    </row>
    <row r="1149" spans="1:1" x14ac:dyDescent="0.2">
      <c r="A1149" s="34" t="str">
        <f t="shared" si="17"/>
        <v/>
      </c>
    </row>
    <row r="1150" spans="1:1" x14ac:dyDescent="0.2">
      <c r="A1150" s="34" t="str">
        <f t="shared" si="17"/>
        <v/>
      </c>
    </row>
    <row r="1151" spans="1:1" x14ac:dyDescent="0.2">
      <c r="A1151" s="34" t="str">
        <f t="shared" si="17"/>
        <v/>
      </c>
    </row>
    <row r="1152" spans="1:1" x14ac:dyDescent="0.2">
      <c r="A1152" s="34" t="str">
        <f t="shared" si="17"/>
        <v/>
      </c>
    </row>
    <row r="1153" spans="1:1" x14ac:dyDescent="0.2">
      <c r="A1153" s="34" t="str">
        <f t="shared" si="17"/>
        <v/>
      </c>
    </row>
    <row r="1154" spans="1:1" x14ac:dyDescent="0.2">
      <c r="A1154" s="34" t="str">
        <f t="shared" si="17"/>
        <v/>
      </c>
    </row>
    <row r="1155" spans="1:1" x14ac:dyDescent="0.2">
      <c r="A1155" s="34" t="str">
        <f t="shared" ref="A1155:A1218" si="18">CONCATENATE(B1155,C1155,F1155)</f>
        <v/>
      </c>
    </row>
    <row r="1156" spans="1:1" x14ac:dyDescent="0.2">
      <c r="A1156" s="34" t="str">
        <f t="shared" si="18"/>
        <v/>
      </c>
    </row>
    <row r="1157" spans="1:1" x14ac:dyDescent="0.2">
      <c r="A1157" s="34" t="str">
        <f t="shared" si="18"/>
        <v/>
      </c>
    </row>
    <row r="1158" spans="1:1" x14ac:dyDescent="0.2">
      <c r="A1158" s="34" t="str">
        <f t="shared" si="18"/>
        <v/>
      </c>
    </row>
    <row r="1159" spans="1:1" x14ac:dyDescent="0.2">
      <c r="A1159" s="34" t="str">
        <f t="shared" si="18"/>
        <v/>
      </c>
    </row>
    <row r="1160" spans="1:1" x14ac:dyDescent="0.2">
      <c r="A1160" s="34" t="str">
        <f t="shared" si="18"/>
        <v/>
      </c>
    </row>
    <row r="1161" spans="1:1" x14ac:dyDescent="0.2">
      <c r="A1161" s="34" t="str">
        <f t="shared" si="18"/>
        <v/>
      </c>
    </row>
    <row r="1162" spans="1:1" x14ac:dyDescent="0.2">
      <c r="A1162" s="34" t="str">
        <f t="shared" si="18"/>
        <v/>
      </c>
    </row>
    <row r="1163" spans="1:1" x14ac:dyDescent="0.2">
      <c r="A1163" s="34" t="str">
        <f t="shared" si="18"/>
        <v/>
      </c>
    </row>
    <row r="1164" spans="1:1" x14ac:dyDescent="0.2">
      <c r="A1164" s="34" t="str">
        <f t="shared" si="18"/>
        <v/>
      </c>
    </row>
    <row r="1165" spans="1:1" x14ac:dyDescent="0.2">
      <c r="A1165" s="34" t="str">
        <f t="shared" si="18"/>
        <v/>
      </c>
    </row>
    <row r="1166" spans="1:1" x14ac:dyDescent="0.2">
      <c r="A1166" s="34" t="str">
        <f t="shared" si="18"/>
        <v/>
      </c>
    </row>
    <row r="1167" spans="1:1" x14ac:dyDescent="0.2">
      <c r="A1167" s="34" t="str">
        <f t="shared" si="18"/>
        <v/>
      </c>
    </row>
    <row r="1168" spans="1:1" x14ac:dyDescent="0.2">
      <c r="A1168" s="34" t="str">
        <f t="shared" si="18"/>
        <v/>
      </c>
    </row>
    <row r="1169" spans="1:1" x14ac:dyDescent="0.2">
      <c r="A1169" s="34" t="str">
        <f t="shared" si="18"/>
        <v/>
      </c>
    </row>
    <row r="1170" spans="1:1" x14ac:dyDescent="0.2">
      <c r="A1170" s="34" t="str">
        <f t="shared" si="18"/>
        <v/>
      </c>
    </row>
    <row r="1171" spans="1:1" x14ac:dyDescent="0.2">
      <c r="A1171" s="34" t="str">
        <f t="shared" si="18"/>
        <v/>
      </c>
    </row>
    <row r="1172" spans="1:1" x14ac:dyDescent="0.2">
      <c r="A1172" s="34" t="str">
        <f t="shared" si="18"/>
        <v/>
      </c>
    </row>
    <row r="1173" spans="1:1" x14ac:dyDescent="0.2">
      <c r="A1173" s="34" t="str">
        <f t="shared" si="18"/>
        <v/>
      </c>
    </row>
    <row r="1174" spans="1:1" x14ac:dyDescent="0.2">
      <c r="A1174" s="34" t="str">
        <f t="shared" si="18"/>
        <v/>
      </c>
    </row>
    <row r="1175" spans="1:1" x14ac:dyDescent="0.2">
      <c r="A1175" s="34" t="str">
        <f t="shared" si="18"/>
        <v/>
      </c>
    </row>
    <row r="1176" spans="1:1" x14ac:dyDescent="0.2">
      <c r="A1176" s="34" t="str">
        <f t="shared" si="18"/>
        <v/>
      </c>
    </row>
    <row r="1177" spans="1:1" x14ac:dyDescent="0.2">
      <c r="A1177" s="34" t="str">
        <f t="shared" si="18"/>
        <v/>
      </c>
    </row>
    <row r="1178" spans="1:1" x14ac:dyDescent="0.2">
      <c r="A1178" s="34" t="str">
        <f t="shared" si="18"/>
        <v/>
      </c>
    </row>
    <row r="1179" spans="1:1" x14ac:dyDescent="0.2">
      <c r="A1179" s="34" t="str">
        <f t="shared" si="18"/>
        <v/>
      </c>
    </row>
    <row r="1180" spans="1:1" x14ac:dyDescent="0.2">
      <c r="A1180" s="34" t="str">
        <f t="shared" si="18"/>
        <v/>
      </c>
    </row>
    <row r="1181" spans="1:1" x14ac:dyDescent="0.2">
      <c r="A1181" s="34" t="str">
        <f t="shared" si="18"/>
        <v/>
      </c>
    </row>
    <row r="1182" spans="1:1" x14ac:dyDescent="0.2">
      <c r="A1182" s="34" t="str">
        <f t="shared" si="18"/>
        <v/>
      </c>
    </row>
    <row r="1183" spans="1:1" x14ac:dyDescent="0.2">
      <c r="A1183" s="34" t="str">
        <f t="shared" si="18"/>
        <v/>
      </c>
    </row>
    <row r="1184" spans="1:1" x14ac:dyDescent="0.2">
      <c r="A1184" s="34" t="str">
        <f t="shared" si="18"/>
        <v/>
      </c>
    </row>
    <row r="1185" spans="1:1" x14ac:dyDescent="0.2">
      <c r="A1185" s="34" t="str">
        <f t="shared" si="18"/>
        <v/>
      </c>
    </row>
    <row r="1186" spans="1:1" x14ac:dyDescent="0.2">
      <c r="A1186" s="34" t="str">
        <f t="shared" si="18"/>
        <v/>
      </c>
    </row>
    <row r="1187" spans="1:1" x14ac:dyDescent="0.2">
      <c r="A1187" s="34" t="str">
        <f t="shared" si="18"/>
        <v/>
      </c>
    </row>
    <row r="1188" spans="1:1" x14ac:dyDescent="0.2">
      <c r="A1188" s="34" t="str">
        <f t="shared" si="18"/>
        <v/>
      </c>
    </row>
    <row r="1189" spans="1:1" x14ac:dyDescent="0.2">
      <c r="A1189" s="34" t="str">
        <f t="shared" si="18"/>
        <v/>
      </c>
    </row>
    <row r="1190" spans="1:1" x14ac:dyDescent="0.2">
      <c r="A1190" s="34" t="str">
        <f t="shared" si="18"/>
        <v/>
      </c>
    </row>
    <row r="1191" spans="1:1" x14ac:dyDescent="0.2">
      <c r="A1191" s="34" t="str">
        <f t="shared" si="18"/>
        <v/>
      </c>
    </row>
    <row r="1192" spans="1:1" x14ac:dyDescent="0.2">
      <c r="A1192" s="34" t="str">
        <f t="shared" si="18"/>
        <v/>
      </c>
    </row>
    <row r="1193" spans="1:1" x14ac:dyDescent="0.2">
      <c r="A1193" s="34" t="str">
        <f t="shared" si="18"/>
        <v/>
      </c>
    </row>
    <row r="1194" spans="1:1" x14ac:dyDescent="0.2">
      <c r="A1194" s="34" t="str">
        <f t="shared" si="18"/>
        <v/>
      </c>
    </row>
    <row r="1195" spans="1:1" x14ac:dyDescent="0.2">
      <c r="A1195" s="34" t="str">
        <f t="shared" si="18"/>
        <v/>
      </c>
    </row>
    <row r="1196" spans="1:1" x14ac:dyDescent="0.2">
      <c r="A1196" s="34" t="str">
        <f t="shared" si="18"/>
        <v/>
      </c>
    </row>
    <row r="1197" spans="1:1" x14ac:dyDescent="0.2">
      <c r="A1197" s="34" t="str">
        <f t="shared" si="18"/>
        <v/>
      </c>
    </row>
    <row r="1198" spans="1:1" x14ac:dyDescent="0.2">
      <c r="A1198" s="34" t="str">
        <f t="shared" si="18"/>
        <v/>
      </c>
    </row>
    <row r="1199" spans="1:1" x14ac:dyDescent="0.2">
      <c r="A1199" s="34" t="str">
        <f t="shared" si="18"/>
        <v/>
      </c>
    </row>
    <row r="1200" spans="1:1" x14ac:dyDescent="0.2">
      <c r="A1200" s="34" t="str">
        <f t="shared" si="18"/>
        <v/>
      </c>
    </row>
    <row r="1201" spans="1:1" x14ac:dyDescent="0.2">
      <c r="A1201" s="34" t="str">
        <f t="shared" si="18"/>
        <v/>
      </c>
    </row>
    <row r="1202" spans="1:1" x14ac:dyDescent="0.2">
      <c r="A1202" s="34" t="str">
        <f t="shared" si="18"/>
        <v/>
      </c>
    </row>
    <row r="1203" spans="1:1" x14ac:dyDescent="0.2">
      <c r="A1203" s="34" t="str">
        <f t="shared" si="18"/>
        <v/>
      </c>
    </row>
    <row r="1204" spans="1:1" x14ac:dyDescent="0.2">
      <c r="A1204" s="34" t="str">
        <f t="shared" si="18"/>
        <v/>
      </c>
    </row>
    <row r="1205" spans="1:1" x14ac:dyDescent="0.2">
      <c r="A1205" s="34" t="str">
        <f t="shared" si="18"/>
        <v/>
      </c>
    </row>
    <row r="1206" spans="1:1" x14ac:dyDescent="0.2">
      <c r="A1206" s="34" t="str">
        <f t="shared" si="18"/>
        <v/>
      </c>
    </row>
    <row r="1207" spans="1:1" x14ac:dyDescent="0.2">
      <c r="A1207" s="34" t="str">
        <f t="shared" si="18"/>
        <v/>
      </c>
    </row>
    <row r="1208" spans="1:1" x14ac:dyDescent="0.2">
      <c r="A1208" s="34" t="str">
        <f t="shared" si="18"/>
        <v/>
      </c>
    </row>
    <row r="1209" spans="1:1" x14ac:dyDescent="0.2">
      <c r="A1209" s="34" t="str">
        <f t="shared" si="18"/>
        <v/>
      </c>
    </row>
    <row r="1210" spans="1:1" x14ac:dyDescent="0.2">
      <c r="A1210" s="34" t="str">
        <f t="shared" si="18"/>
        <v/>
      </c>
    </row>
    <row r="1211" spans="1:1" x14ac:dyDescent="0.2">
      <c r="A1211" s="34" t="str">
        <f t="shared" si="18"/>
        <v/>
      </c>
    </row>
    <row r="1212" spans="1:1" x14ac:dyDescent="0.2">
      <c r="A1212" s="34" t="str">
        <f t="shared" si="18"/>
        <v/>
      </c>
    </row>
    <row r="1213" spans="1:1" x14ac:dyDescent="0.2">
      <c r="A1213" s="34" t="str">
        <f t="shared" si="18"/>
        <v/>
      </c>
    </row>
    <row r="1214" spans="1:1" x14ac:dyDescent="0.2">
      <c r="A1214" s="34" t="str">
        <f t="shared" si="18"/>
        <v/>
      </c>
    </row>
    <row r="1215" spans="1:1" x14ac:dyDescent="0.2">
      <c r="A1215" s="34" t="str">
        <f t="shared" si="18"/>
        <v/>
      </c>
    </row>
    <row r="1216" spans="1:1" x14ac:dyDescent="0.2">
      <c r="A1216" s="34" t="str">
        <f t="shared" si="18"/>
        <v/>
      </c>
    </row>
    <row r="1217" spans="1:1" x14ac:dyDescent="0.2">
      <c r="A1217" s="34" t="str">
        <f t="shared" si="18"/>
        <v/>
      </c>
    </row>
    <row r="1218" spans="1:1" x14ac:dyDescent="0.2">
      <c r="A1218" s="34" t="str">
        <f t="shared" si="18"/>
        <v/>
      </c>
    </row>
    <row r="1219" spans="1:1" x14ac:dyDescent="0.2">
      <c r="A1219" s="34" t="str">
        <f t="shared" ref="A1219:A1282" si="19">CONCATENATE(B1219,C1219,F1219)</f>
        <v/>
      </c>
    </row>
    <row r="1220" spans="1:1" x14ac:dyDescent="0.2">
      <c r="A1220" s="34" t="str">
        <f t="shared" si="19"/>
        <v/>
      </c>
    </row>
    <row r="1221" spans="1:1" x14ac:dyDescent="0.2">
      <c r="A1221" s="34" t="str">
        <f t="shared" si="19"/>
        <v/>
      </c>
    </row>
    <row r="1222" spans="1:1" x14ac:dyDescent="0.2">
      <c r="A1222" s="34" t="str">
        <f t="shared" si="19"/>
        <v/>
      </c>
    </row>
    <row r="1223" spans="1:1" x14ac:dyDescent="0.2">
      <c r="A1223" s="34" t="str">
        <f t="shared" si="19"/>
        <v/>
      </c>
    </row>
    <row r="1224" spans="1:1" x14ac:dyDescent="0.2">
      <c r="A1224" s="34" t="str">
        <f t="shared" si="19"/>
        <v/>
      </c>
    </row>
    <row r="1225" spans="1:1" x14ac:dyDescent="0.2">
      <c r="A1225" s="34" t="str">
        <f t="shared" si="19"/>
        <v/>
      </c>
    </row>
    <row r="1226" spans="1:1" x14ac:dyDescent="0.2">
      <c r="A1226" s="34" t="str">
        <f t="shared" si="19"/>
        <v/>
      </c>
    </row>
    <row r="1227" spans="1:1" x14ac:dyDescent="0.2">
      <c r="A1227" s="34" t="str">
        <f t="shared" si="19"/>
        <v/>
      </c>
    </row>
    <row r="1228" spans="1:1" x14ac:dyDescent="0.2">
      <c r="A1228" s="34" t="str">
        <f t="shared" si="19"/>
        <v/>
      </c>
    </row>
    <row r="1229" spans="1:1" x14ac:dyDescent="0.2">
      <c r="A1229" s="34" t="str">
        <f t="shared" si="19"/>
        <v/>
      </c>
    </row>
    <row r="1230" spans="1:1" x14ac:dyDescent="0.2">
      <c r="A1230" s="34" t="str">
        <f t="shared" si="19"/>
        <v/>
      </c>
    </row>
    <row r="1231" spans="1:1" x14ac:dyDescent="0.2">
      <c r="A1231" s="34" t="str">
        <f t="shared" si="19"/>
        <v/>
      </c>
    </row>
    <row r="1232" spans="1:1" x14ac:dyDescent="0.2">
      <c r="A1232" s="34" t="str">
        <f t="shared" si="19"/>
        <v/>
      </c>
    </row>
    <row r="1233" spans="1:1" x14ac:dyDescent="0.2">
      <c r="A1233" s="34" t="str">
        <f t="shared" si="19"/>
        <v/>
      </c>
    </row>
    <row r="1234" spans="1:1" x14ac:dyDescent="0.2">
      <c r="A1234" s="34" t="str">
        <f t="shared" si="19"/>
        <v/>
      </c>
    </row>
    <row r="1235" spans="1:1" x14ac:dyDescent="0.2">
      <c r="A1235" s="34" t="str">
        <f t="shared" si="19"/>
        <v/>
      </c>
    </row>
    <row r="1236" spans="1:1" x14ac:dyDescent="0.2">
      <c r="A1236" s="34" t="str">
        <f t="shared" si="19"/>
        <v/>
      </c>
    </row>
    <row r="1237" spans="1:1" x14ac:dyDescent="0.2">
      <c r="A1237" s="34" t="str">
        <f t="shared" si="19"/>
        <v/>
      </c>
    </row>
    <row r="1238" spans="1:1" x14ac:dyDescent="0.2">
      <c r="A1238" s="34" t="str">
        <f t="shared" si="19"/>
        <v/>
      </c>
    </row>
    <row r="1239" spans="1:1" x14ac:dyDescent="0.2">
      <c r="A1239" s="34" t="str">
        <f t="shared" si="19"/>
        <v/>
      </c>
    </row>
    <row r="1240" spans="1:1" x14ac:dyDescent="0.2">
      <c r="A1240" s="34" t="str">
        <f t="shared" si="19"/>
        <v/>
      </c>
    </row>
    <row r="1241" spans="1:1" x14ac:dyDescent="0.2">
      <c r="A1241" s="34" t="str">
        <f t="shared" si="19"/>
        <v/>
      </c>
    </row>
    <row r="1242" spans="1:1" x14ac:dyDescent="0.2">
      <c r="A1242" s="34" t="str">
        <f t="shared" si="19"/>
        <v/>
      </c>
    </row>
    <row r="1243" spans="1:1" x14ac:dyDescent="0.2">
      <c r="A1243" s="34" t="str">
        <f t="shared" si="19"/>
        <v/>
      </c>
    </row>
    <row r="1244" spans="1:1" x14ac:dyDescent="0.2">
      <c r="A1244" s="34" t="str">
        <f t="shared" si="19"/>
        <v/>
      </c>
    </row>
    <row r="1245" spans="1:1" x14ac:dyDescent="0.2">
      <c r="A1245" s="34" t="str">
        <f t="shared" si="19"/>
        <v/>
      </c>
    </row>
    <row r="1246" spans="1:1" x14ac:dyDescent="0.2">
      <c r="A1246" s="34" t="str">
        <f t="shared" si="19"/>
        <v/>
      </c>
    </row>
    <row r="1247" spans="1:1" x14ac:dyDescent="0.2">
      <c r="A1247" s="34" t="str">
        <f t="shared" si="19"/>
        <v/>
      </c>
    </row>
    <row r="1248" spans="1:1" x14ac:dyDescent="0.2">
      <c r="A1248" s="34" t="str">
        <f t="shared" si="19"/>
        <v/>
      </c>
    </row>
    <row r="1249" spans="1:1" x14ac:dyDescent="0.2">
      <c r="A1249" s="34" t="str">
        <f t="shared" si="19"/>
        <v/>
      </c>
    </row>
    <row r="1250" spans="1:1" x14ac:dyDescent="0.2">
      <c r="A1250" s="34" t="str">
        <f t="shared" si="19"/>
        <v/>
      </c>
    </row>
    <row r="1251" spans="1:1" x14ac:dyDescent="0.2">
      <c r="A1251" s="34" t="str">
        <f t="shared" si="19"/>
        <v/>
      </c>
    </row>
    <row r="1252" spans="1:1" x14ac:dyDescent="0.2">
      <c r="A1252" s="34" t="str">
        <f t="shared" si="19"/>
        <v/>
      </c>
    </row>
    <row r="1253" spans="1:1" x14ac:dyDescent="0.2">
      <c r="A1253" s="34" t="str">
        <f t="shared" si="19"/>
        <v/>
      </c>
    </row>
    <row r="1254" spans="1:1" x14ac:dyDescent="0.2">
      <c r="A1254" s="34" t="str">
        <f t="shared" si="19"/>
        <v/>
      </c>
    </row>
    <row r="1255" spans="1:1" x14ac:dyDescent="0.2">
      <c r="A1255" s="34" t="str">
        <f t="shared" si="19"/>
        <v/>
      </c>
    </row>
    <row r="1256" spans="1:1" x14ac:dyDescent="0.2">
      <c r="A1256" s="34" t="str">
        <f t="shared" si="19"/>
        <v/>
      </c>
    </row>
    <row r="1257" spans="1:1" x14ac:dyDescent="0.2">
      <c r="A1257" s="34" t="str">
        <f t="shared" si="19"/>
        <v/>
      </c>
    </row>
    <row r="1258" spans="1:1" x14ac:dyDescent="0.2">
      <c r="A1258" s="34" t="str">
        <f t="shared" si="19"/>
        <v/>
      </c>
    </row>
    <row r="1259" spans="1:1" x14ac:dyDescent="0.2">
      <c r="A1259" s="34" t="str">
        <f t="shared" si="19"/>
        <v/>
      </c>
    </row>
    <row r="1260" spans="1:1" x14ac:dyDescent="0.2">
      <c r="A1260" s="34" t="str">
        <f t="shared" si="19"/>
        <v/>
      </c>
    </row>
    <row r="1261" spans="1:1" x14ac:dyDescent="0.2">
      <c r="A1261" s="34" t="str">
        <f t="shared" si="19"/>
        <v/>
      </c>
    </row>
    <row r="1262" spans="1:1" x14ac:dyDescent="0.2">
      <c r="A1262" s="34" t="str">
        <f t="shared" si="19"/>
        <v/>
      </c>
    </row>
    <row r="1263" spans="1:1" x14ac:dyDescent="0.2">
      <c r="A1263" s="34" t="str">
        <f t="shared" si="19"/>
        <v/>
      </c>
    </row>
    <row r="1264" spans="1:1" x14ac:dyDescent="0.2">
      <c r="A1264" s="34" t="str">
        <f t="shared" si="19"/>
        <v/>
      </c>
    </row>
    <row r="1265" spans="1:1" x14ac:dyDescent="0.2">
      <c r="A1265" s="34" t="str">
        <f t="shared" si="19"/>
        <v/>
      </c>
    </row>
    <row r="1266" spans="1:1" x14ac:dyDescent="0.2">
      <c r="A1266" s="34" t="str">
        <f t="shared" si="19"/>
        <v/>
      </c>
    </row>
    <row r="1267" spans="1:1" x14ac:dyDescent="0.2">
      <c r="A1267" s="34" t="str">
        <f t="shared" si="19"/>
        <v/>
      </c>
    </row>
    <row r="1268" spans="1:1" x14ac:dyDescent="0.2">
      <c r="A1268" s="34" t="str">
        <f t="shared" si="19"/>
        <v/>
      </c>
    </row>
    <row r="1269" spans="1:1" x14ac:dyDescent="0.2">
      <c r="A1269" s="34" t="str">
        <f t="shared" si="19"/>
        <v/>
      </c>
    </row>
    <row r="1270" spans="1:1" x14ac:dyDescent="0.2">
      <c r="A1270" s="34" t="str">
        <f t="shared" si="19"/>
        <v/>
      </c>
    </row>
    <row r="1271" spans="1:1" x14ac:dyDescent="0.2">
      <c r="A1271" s="34" t="str">
        <f t="shared" si="19"/>
        <v/>
      </c>
    </row>
    <row r="1272" spans="1:1" x14ac:dyDescent="0.2">
      <c r="A1272" s="34" t="str">
        <f t="shared" si="19"/>
        <v/>
      </c>
    </row>
    <row r="1273" spans="1:1" x14ac:dyDescent="0.2">
      <c r="A1273" s="34" t="str">
        <f t="shared" si="19"/>
        <v/>
      </c>
    </row>
    <row r="1274" spans="1:1" x14ac:dyDescent="0.2">
      <c r="A1274" s="34" t="str">
        <f t="shared" si="19"/>
        <v/>
      </c>
    </row>
    <row r="1275" spans="1:1" x14ac:dyDescent="0.2">
      <c r="A1275" s="34" t="str">
        <f t="shared" si="19"/>
        <v/>
      </c>
    </row>
    <row r="1276" spans="1:1" x14ac:dyDescent="0.2">
      <c r="A1276" s="34" t="str">
        <f t="shared" si="19"/>
        <v/>
      </c>
    </row>
    <row r="1277" spans="1:1" x14ac:dyDescent="0.2">
      <c r="A1277" s="34" t="str">
        <f t="shared" si="19"/>
        <v/>
      </c>
    </row>
    <row r="1278" spans="1:1" x14ac:dyDescent="0.2">
      <c r="A1278" s="34" t="str">
        <f t="shared" si="19"/>
        <v/>
      </c>
    </row>
    <row r="1279" spans="1:1" x14ac:dyDescent="0.2">
      <c r="A1279" s="34" t="str">
        <f t="shared" si="19"/>
        <v/>
      </c>
    </row>
    <row r="1280" spans="1:1" x14ac:dyDescent="0.2">
      <c r="A1280" s="34" t="str">
        <f t="shared" si="19"/>
        <v/>
      </c>
    </row>
    <row r="1281" spans="1:1" x14ac:dyDescent="0.2">
      <c r="A1281" s="34" t="str">
        <f t="shared" si="19"/>
        <v/>
      </c>
    </row>
    <row r="1282" spans="1:1" x14ac:dyDescent="0.2">
      <c r="A1282" s="34" t="str">
        <f t="shared" si="19"/>
        <v/>
      </c>
    </row>
    <row r="1283" spans="1:1" x14ac:dyDescent="0.2">
      <c r="A1283" s="34" t="str">
        <f t="shared" ref="A1283:A1346" si="20">CONCATENATE(B1283,C1283,F1283)</f>
        <v/>
      </c>
    </row>
    <row r="1284" spans="1:1" x14ac:dyDescent="0.2">
      <c r="A1284" s="34" t="str">
        <f t="shared" si="20"/>
        <v/>
      </c>
    </row>
    <row r="1285" spans="1:1" x14ac:dyDescent="0.2">
      <c r="A1285" s="34" t="str">
        <f t="shared" si="20"/>
        <v/>
      </c>
    </row>
    <row r="1286" spans="1:1" x14ac:dyDescent="0.2">
      <c r="A1286" s="34" t="str">
        <f t="shared" si="20"/>
        <v/>
      </c>
    </row>
    <row r="1287" spans="1:1" x14ac:dyDescent="0.2">
      <c r="A1287" s="34" t="str">
        <f t="shared" si="20"/>
        <v/>
      </c>
    </row>
    <row r="1288" spans="1:1" x14ac:dyDescent="0.2">
      <c r="A1288" s="34" t="str">
        <f t="shared" si="20"/>
        <v/>
      </c>
    </row>
    <row r="1289" spans="1:1" x14ac:dyDescent="0.2">
      <c r="A1289" s="34" t="str">
        <f t="shared" si="20"/>
        <v/>
      </c>
    </row>
    <row r="1290" spans="1:1" x14ac:dyDescent="0.2">
      <c r="A1290" s="34" t="str">
        <f t="shared" si="20"/>
        <v/>
      </c>
    </row>
    <row r="1291" spans="1:1" x14ac:dyDescent="0.2">
      <c r="A1291" s="34" t="str">
        <f t="shared" si="20"/>
        <v/>
      </c>
    </row>
    <row r="1292" spans="1:1" x14ac:dyDescent="0.2">
      <c r="A1292" s="34" t="str">
        <f t="shared" si="20"/>
        <v/>
      </c>
    </row>
    <row r="1293" spans="1:1" x14ac:dyDescent="0.2">
      <c r="A1293" s="34" t="str">
        <f t="shared" si="20"/>
        <v/>
      </c>
    </row>
    <row r="1294" spans="1:1" x14ac:dyDescent="0.2">
      <c r="A1294" s="34" t="str">
        <f t="shared" si="20"/>
        <v/>
      </c>
    </row>
    <row r="1295" spans="1:1" x14ac:dyDescent="0.2">
      <c r="A1295" s="34" t="str">
        <f t="shared" si="20"/>
        <v/>
      </c>
    </row>
    <row r="1296" spans="1:1" x14ac:dyDescent="0.2">
      <c r="A1296" s="34" t="str">
        <f t="shared" si="20"/>
        <v/>
      </c>
    </row>
    <row r="1297" spans="1:1" x14ac:dyDescent="0.2">
      <c r="A1297" s="34" t="str">
        <f t="shared" si="20"/>
        <v/>
      </c>
    </row>
    <row r="1298" spans="1:1" x14ac:dyDescent="0.2">
      <c r="A1298" s="34" t="str">
        <f t="shared" si="20"/>
        <v/>
      </c>
    </row>
    <row r="1299" spans="1:1" x14ac:dyDescent="0.2">
      <c r="A1299" s="34" t="str">
        <f t="shared" si="20"/>
        <v/>
      </c>
    </row>
    <row r="1300" spans="1:1" x14ac:dyDescent="0.2">
      <c r="A1300" s="34" t="str">
        <f t="shared" si="20"/>
        <v/>
      </c>
    </row>
    <row r="1301" spans="1:1" x14ac:dyDescent="0.2">
      <c r="A1301" s="34" t="str">
        <f t="shared" si="20"/>
        <v/>
      </c>
    </row>
    <row r="1302" spans="1:1" x14ac:dyDescent="0.2">
      <c r="A1302" s="34" t="str">
        <f t="shared" si="20"/>
        <v/>
      </c>
    </row>
    <row r="1303" spans="1:1" x14ac:dyDescent="0.2">
      <c r="A1303" s="34" t="str">
        <f t="shared" si="20"/>
        <v/>
      </c>
    </row>
    <row r="1304" spans="1:1" x14ac:dyDescent="0.2">
      <c r="A1304" s="34" t="str">
        <f t="shared" si="20"/>
        <v/>
      </c>
    </row>
    <row r="1305" spans="1:1" x14ac:dyDescent="0.2">
      <c r="A1305" s="34" t="str">
        <f t="shared" si="20"/>
        <v/>
      </c>
    </row>
    <row r="1306" spans="1:1" x14ac:dyDescent="0.2">
      <c r="A1306" s="34" t="str">
        <f t="shared" si="20"/>
        <v/>
      </c>
    </row>
    <row r="1307" spans="1:1" x14ac:dyDescent="0.2">
      <c r="A1307" s="34" t="str">
        <f t="shared" si="20"/>
        <v/>
      </c>
    </row>
    <row r="1308" spans="1:1" x14ac:dyDescent="0.2">
      <c r="A1308" s="34" t="str">
        <f t="shared" si="20"/>
        <v/>
      </c>
    </row>
    <row r="1309" spans="1:1" x14ac:dyDescent="0.2">
      <c r="A1309" s="34" t="str">
        <f t="shared" si="20"/>
        <v/>
      </c>
    </row>
    <row r="1310" spans="1:1" x14ac:dyDescent="0.2">
      <c r="A1310" s="34" t="str">
        <f t="shared" si="20"/>
        <v/>
      </c>
    </row>
    <row r="1311" spans="1:1" x14ac:dyDescent="0.2">
      <c r="A1311" s="34" t="str">
        <f t="shared" si="20"/>
        <v/>
      </c>
    </row>
    <row r="1312" spans="1:1" x14ac:dyDescent="0.2">
      <c r="A1312" s="34" t="str">
        <f t="shared" si="20"/>
        <v/>
      </c>
    </row>
    <row r="1313" spans="1:1" x14ac:dyDescent="0.2">
      <c r="A1313" s="34" t="str">
        <f t="shared" si="20"/>
        <v/>
      </c>
    </row>
    <row r="1314" spans="1:1" x14ac:dyDescent="0.2">
      <c r="A1314" s="34" t="str">
        <f t="shared" si="20"/>
        <v/>
      </c>
    </row>
    <row r="1315" spans="1:1" x14ac:dyDescent="0.2">
      <c r="A1315" s="34" t="str">
        <f t="shared" si="20"/>
        <v/>
      </c>
    </row>
    <row r="1316" spans="1:1" x14ac:dyDescent="0.2">
      <c r="A1316" s="34" t="str">
        <f t="shared" si="20"/>
        <v/>
      </c>
    </row>
    <row r="1317" spans="1:1" x14ac:dyDescent="0.2">
      <c r="A1317" s="34" t="str">
        <f t="shared" si="20"/>
        <v/>
      </c>
    </row>
    <row r="1318" spans="1:1" x14ac:dyDescent="0.2">
      <c r="A1318" s="34" t="str">
        <f t="shared" si="20"/>
        <v/>
      </c>
    </row>
    <row r="1319" spans="1:1" x14ac:dyDescent="0.2">
      <c r="A1319" s="34" t="str">
        <f t="shared" si="20"/>
        <v/>
      </c>
    </row>
    <row r="1320" spans="1:1" x14ac:dyDescent="0.2">
      <c r="A1320" s="34" t="str">
        <f t="shared" si="20"/>
        <v/>
      </c>
    </row>
    <row r="1321" spans="1:1" x14ac:dyDescent="0.2">
      <c r="A1321" s="34" t="str">
        <f t="shared" si="20"/>
        <v/>
      </c>
    </row>
    <row r="1322" spans="1:1" x14ac:dyDescent="0.2">
      <c r="A1322" s="34" t="str">
        <f t="shared" si="20"/>
        <v/>
      </c>
    </row>
    <row r="1323" spans="1:1" x14ac:dyDescent="0.2">
      <c r="A1323" s="34" t="str">
        <f t="shared" si="20"/>
        <v/>
      </c>
    </row>
    <row r="1324" spans="1:1" x14ac:dyDescent="0.2">
      <c r="A1324" s="34" t="str">
        <f t="shared" si="20"/>
        <v/>
      </c>
    </row>
    <row r="1325" spans="1:1" x14ac:dyDescent="0.2">
      <c r="A1325" s="34" t="str">
        <f t="shared" si="20"/>
        <v/>
      </c>
    </row>
    <row r="1326" spans="1:1" x14ac:dyDescent="0.2">
      <c r="A1326" s="34" t="str">
        <f t="shared" si="20"/>
        <v/>
      </c>
    </row>
    <row r="1327" spans="1:1" x14ac:dyDescent="0.2">
      <c r="A1327" s="34" t="str">
        <f t="shared" si="20"/>
        <v/>
      </c>
    </row>
    <row r="1328" spans="1:1" x14ac:dyDescent="0.2">
      <c r="A1328" s="34" t="str">
        <f t="shared" si="20"/>
        <v/>
      </c>
    </row>
    <row r="1329" spans="1:1" x14ac:dyDescent="0.2">
      <c r="A1329" s="34" t="str">
        <f t="shared" si="20"/>
        <v/>
      </c>
    </row>
    <row r="1330" spans="1:1" x14ac:dyDescent="0.2">
      <c r="A1330" s="34" t="str">
        <f t="shared" si="20"/>
        <v/>
      </c>
    </row>
    <row r="1331" spans="1:1" x14ac:dyDescent="0.2">
      <c r="A1331" s="34" t="str">
        <f t="shared" si="20"/>
        <v/>
      </c>
    </row>
    <row r="1332" spans="1:1" x14ac:dyDescent="0.2">
      <c r="A1332" s="34" t="str">
        <f t="shared" si="20"/>
        <v/>
      </c>
    </row>
    <row r="1333" spans="1:1" x14ac:dyDescent="0.2">
      <c r="A1333" s="34" t="str">
        <f t="shared" si="20"/>
        <v/>
      </c>
    </row>
    <row r="1334" spans="1:1" x14ac:dyDescent="0.2">
      <c r="A1334" s="34" t="str">
        <f t="shared" si="20"/>
        <v/>
      </c>
    </row>
    <row r="1335" spans="1:1" x14ac:dyDescent="0.2">
      <c r="A1335" s="34" t="str">
        <f t="shared" si="20"/>
        <v/>
      </c>
    </row>
    <row r="1336" spans="1:1" x14ac:dyDescent="0.2">
      <c r="A1336" s="34" t="str">
        <f t="shared" si="20"/>
        <v/>
      </c>
    </row>
    <row r="1337" spans="1:1" x14ac:dyDescent="0.2">
      <c r="A1337" s="34" t="str">
        <f t="shared" si="20"/>
        <v/>
      </c>
    </row>
    <row r="1338" spans="1:1" x14ac:dyDescent="0.2">
      <c r="A1338" s="34" t="str">
        <f t="shared" si="20"/>
        <v/>
      </c>
    </row>
    <row r="1339" spans="1:1" x14ac:dyDescent="0.2">
      <c r="A1339" s="34" t="str">
        <f t="shared" si="20"/>
        <v/>
      </c>
    </row>
    <row r="1340" spans="1:1" x14ac:dyDescent="0.2">
      <c r="A1340" s="34" t="str">
        <f t="shared" si="20"/>
        <v/>
      </c>
    </row>
    <row r="1341" spans="1:1" x14ac:dyDescent="0.2">
      <c r="A1341" s="34" t="str">
        <f t="shared" si="20"/>
        <v/>
      </c>
    </row>
    <row r="1342" spans="1:1" x14ac:dyDescent="0.2">
      <c r="A1342" s="34" t="str">
        <f t="shared" si="20"/>
        <v/>
      </c>
    </row>
    <row r="1343" spans="1:1" x14ac:dyDescent="0.2">
      <c r="A1343" s="34" t="str">
        <f t="shared" si="20"/>
        <v/>
      </c>
    </row>
    <row r="1344" spans="1:1" x14ac:dyDescent="0.2">
      <c r="A1344" s="34" t="str">
        <f t="shared" si="20"/>
        <v/>
      </c>
    </row>
    <row r="1345" spans="1:1" x14ac:dyDescent="0.2">
      <c r="A1345" s="34" t="str">
        <f t="shared" si="20"/>
        <v/>
      </c>
    </row>
    <row r="1346" spans="1:1" x14ac:dyDescent="0.2">
      <c r="A1346" s="34" t="str">
        <f t="shared" si="20"/>
        <v/>
      </c>
    </row>
    <row r="1347" spans="1:1" x14ac:dyDescent="0.2">
      <c r="A1347" s="34" t="str">
        <f t="shared" ref="A1347:A1410" si="21">CONCATENATE(B1347,C1347,F1347)</f>
        <v/>
      </c>
    </row>
    <row r="1348" spans="1:1" x14ac:dyDescent="0.2">
      <c r="A1348" s="34" t="str">
        <f t="shared" si="21"/>
        <v/>
      </c>
    </row>
    <row r="1349" spans="1:1" x14ac:dyDescent="0.2">
      <c r="A1349" s="34" t="str">
        <f t="shared" si="21"/>
        <v/>
      </c>
    </row>
    <row r="1350" spans="1:1" x14ac:dyDescent="0.2">
      <c r="A1350" s="34" t="str">
        <f t="shared" si="21"/>
        <v/>
      </c>
    </row>
    <row r="1351" spans="1:1" x14ac:dyDescent="0.2">
      <c r="A1351" s="34" t="str">
        <f t="shared" si="21"/>
        <v/>
      </c>
    </row>
    <row r="1352" spans="1:1" x14ac:dyDescent="0.2">
      <c r="A1352" s="34" t="str">
        <f t="shared" si="21"/>
        <v/>
      </c>
    </row>
    <row r="1353" spans="1:1" x14ac:dyDescent="0.2">
      <c r="A1353" s="34" t="str">
        <f t="shared" si="21"/>
        <v/>
      </c>
    </row>
    <row r="1354" spans="1:1" x14ac:dyDescent="0.2">
      <c r="A1354" s="34" t="str">
        <f t="shared" si="21"/>
        <v/>
      </c>
    </row>
    <row r="1355" spans="1:1" x14ac:dyDescent="0.2">
      <c r="A1355" s="34" t="str">
        <f t="shared" si="21"/>
        <v/>
      </c>
    </row>
    <row r="1356" spans="1:1" x14ac:dyDescent="0.2">
      <c r="A1356" s="34" t="str">
        <f t="shared" si="21"/>
        <v/>
      </c>
    </row>
    <row r="1357" spans="1:1" x14ac:dyDescent="0.2">
      <c r="A1357" s="34" t="str">
        <f t="shared" si="21"/>
        <v/>
      </c>
    </row>
    <row r="1358" spans="1:1" x14ac:dyDescent="0.2">
      <c r="A1358" s="34" t="str">
        <f t="shared" si="21"/>
        <v/>
      </c>
    </row>
    <row r="1359" spans="1:1" x14ac:dyDescent="0.2">
      <c r="A1359" s="34" t="str">
        <f t="shared" si="21"/>
        <v/>
      </c>
    </row>
    <row r="1360" spans="1:1" x14ac:dyDescent="0.2">
      <c r="A1360" s="34" t="str">
        <f t="shared" si="21"/>
        <v/>
      </c>
    </row>
    <row r="1361" spans="1:1" x14ac:dyDescent="0.2">
      <c r="A1361" s="34" t="str">
        <f t="shared" si="21"/>
        <v/>
      </c>
    </row>
    <row r="1362" spans="1:1" x14ac:dyDescent="0.2">
      <c r="A1362" s="34" t="str">
        <f t="shared" si="21"/>
        <v/>
      </c>
    </row>
    <row r="1363" spans="1:1" x14ac:dyDescent="0.2">
      <c r="A1363" s="34" t="str">
        <f t="shared" si="21"/>
        <v/>
      </c>
    </row>
    <row r="1364" spans="1:1" x14ac:dyDescent="0.2">
      <c r="A1364" s="34" t="str">
        <f t="shared" si="21"/>
        <v/>
      </c>
    </row>
    <row r="1365" spans="1:1" x14ac:dyDescent="0.2">
      <c r="A1365" s="34" t="str">
        <f t="shared" si="21"/>
        <v/>
      </c>
    </row>
    <row r="1366" spans="1:1" x14ac:dyDescent="0.2">
      <c r="A1366" s="34" t="str">
        <f t="shared" si="21"/>
        <v/>
      </c>
    </row>
    <row r="1367" spans="1:1" x14ac:dyDescent="0.2">
      <c r="A1367" s="34" t="str">
        <f t="shared" si="21"/>
        <v/>
      </c>
    </row>
    <row r="1368" spans="1:1" x14ac:dyDescent="0.2">
      <c r="A1368" s="34" t="str">
        <f t="shared" si="21"/>
        <v/>
      </c>
    </row>
    <row r="1369" spans="1:1" x14ac:dyDescent="0.2">
      <c r="A1369" s="34" t="str">
        <f t="shared" si="21"/>
        <v/>
      </c>
    </row>
    <row r="1370" spans="1:1" x14ac:dyDescent="0.2">
      <c r="A1370" s="34" t="str">
        <f t="shared" si="21"/>
        <v/>
      </c>
    </row>
    <row r="1371" spans="1:1" x14ac:dyDescent="0.2">
      <c r="A1371" s="34" t="str">
        <f t="shared" si="21"/>
        <v/>
      </c>
    </row>
    <row r="1372" spans="1:1" x14ac:dyDescent="0.2">
      <c r="A1372" s="34" t="str">
        <f t="shared" si="21"/>
        <v/>
      </c>
    </row>
    <row r="1373" spans="1:1" x14ac:dyDescent="0.2">
      <c r="A1373" s="34" t="str">
        <f t="shared" si="21"/>
        <v/>
      </c>
    </row>
    <row r="1374" spans="1:1" x14ac:dyDescent="0.2">
      <c r="A1374" s="34" t="str">
        <f t="shared" si="21"/>
        <v/>
      </c>
    </row>
    <row r="1375" spans="1:1" x14ac:dyDescent="0.2">
      <c r="A1375" s="34" t="str">
        <f t="shared" si="21"/>
        <v/>
      </c>
    </row>
    <row r="1376" spans="1:1" x14ac:dyDescent="0.2">
      <c r="A1376" s="34" t="str">
        <f t="shared" si="21"/>
        <v/>
      </c>
    </row>
    <row r="1377" spans="1:1" x14ac:dyDescent="0.2">
      <c r="A1377" s="34" t="str">
        <f t="shared" si="21"/>
        <v/>
      </c>
    </row>
    <row r="1378" spans="1:1" x14ac:dyDescent="0.2">
      <c r="A1378" s="34" t="str">
        <f t="shared" si="21"/>
        <v/>
      </c>
    </row>
    <row r="1379" spans="1:1" x14ac:dyDescent="0.2">
      <c r="A1379" s="34" t="str">
        <f t="shared" si="21"/>
        <v/>
      </c>
    </row>
    <row r="1380" spans="1:1" x14ac:dyDescent="0.2">
      <c r="A1380" s="34" t="str">
        <f t="shared" si="21"/>
        <v/>
      </c>
    </row>
    <row r="1381" spans="1:1" x14ac:dyDescent="0.2">
      <c r="A1381" s="34" t="str">
        <f t="shared" si="21"/>
        <v/>
      </c>
    </row>
    <row r="1382" spans="1:1" x14ac:dyDescent="0.2">
      <c r="A1382" s="34" t="str">
        <f t="shared" si="21"/>
        <v/>
      </c>
    </row>
    <row r="1383" spans="1:1" x14ac:dyDescent="0.2">
      <c r="A1383" s="34" t="str">
        <f t="shared" si="21"/>
        <v/>
      </c>
    </row>
    <row r="1384" spans="1:1" x14ac:dyDescent="0.2">
      <c r="A1384" s="34" t="str">
        <f t="shared" si="21"/>
        <v/>
      </c>
    </row>
    <row r="1385" spans="1:1" x14ac:dyDescent="0.2">
      <c r="A1385" s="34" t="str">
        <f t="shared" si="21"/>
        <v/>
      </c>
    </row>
    <row r="1386" spans="1:1" x14ac:dyDescent="0.2">
      <c r="A1386" s="34" t="str">
        <f t="shared" si="21"/>
        <v/>
      </c>
    </row>
    <row r="1387" spans="1:1" x14ac:dyDescent="0.2">
      <c r="A1387" s="34" t="str">
        <f t="shared" si="21"/>
        <v/>
      </c>
    </row>
    <row r="1388" spans="1:1" x14ac:dyDescent="0.2">
      <c r="A1388" s="34" t="str">
        <f t="shared" si="21"/>
        <v/>
      </c>
    </row>
    <row r="1389" spans="1:1" x14ac:dyDescent="0.2">
      <c r="A1389" s="34" t="str">
        <f t="shared" si="21"/>
        <v/>
      </c>
    </row>
    <row r="1390" spans="1:1" x14ac:dyDescent="0.2">
      <c r="A1390" s="34" t="str">
        <f t="shared" si="21"/>
        <v/>
      </c>
    </row>
    <row r="1391" spans="1:1" x14ac:dyDescent="0.2">
      <c r="A1391" s="34" t="str">
        <f t="shared" si="21"/>
        <v/>
      </c>
    </row>
    <row r="1392" spans="1:1" x14ac:dyDescent="0.2">
      <c r="A1392" s="34" t="str">
        <f t="shared" si="21"/>
        <v/>
      </c>
    </row>
    <row r="1393" spans="1:1" x14ac:dyDescent="0.2">
      <c r="A1393" s="34" t="str">
        <f t="shared" si="21"/>
        <v/>
      </c>
    </row>
    <row r="1394" spans="1:1" x14ac:dyDescent="0.2">
      <c r="A1394" s="34" t="str">
        <f t="shared" si="21"/>
        <v/>
      </c>
    </row>
    <row r="1395" spans="1:1" x14ac:dyDescent="0.2">
      <c r="A1395" s="34" t="str">
        <f t="shared" si="21"/>
        <v/>
      </c>
    </row>
    <row r="1396" spans="1:1" x14ac:dyDescent="0.2">
      <c r="A1396" s="34" t="str">
        <f t="shared" si="21"/>
        <v/>
      </c>
    </row>
    <row r="1397" spans="1:1" x14ac:dyDescent="0.2">
      <c r="A1397" s="34" t="str">
        <f t="shared" si="21"/>
        <v/>
      </c>
    </row>
    <row r="1398" spans="1:1" x14ac:dyDescent="0.2">
      <c r="A1398" s="34" t="str">
        <f t="shared" si="21"/>
        <v/>
      </c>
    </row>
    <row r="1399" spans="1:1" x14ac:dyDescent="0.2">
      <c r="A1399" s="34" t="str">
        <f t="shared" si="21"/>
        <v/>
      </c>
    </row>
    <row r="1400" spans="1:1" x14ac:dyDescent="0.2">
      <c r="A1400" s="34" t="str">
        <f t="shared" si="21"/>
        <v/>
      </c>
    </row>
    <row r="1401" spans="1:1" x14ac:dyDescent="0.2">
      <c r="A1401" s="34" t="str">
        <f t="shared" si="21"/>
        <v/>
      </c>
    </row>
    <row r="1402" spans="1:1" x14ac:dyDescent="0.2">
      <c r="A1402" s="34" t="str">
        <f t="shared" si="21"/>
        <v/>
      </c>
    </row>
    <row r="1403" spans="1:1" x14ac:dyDescent="0.2">
      <c r="A1403" s="34" t="str">
        <f t="shared" si="21"/>
        <v/>
      </c>
    </row>
    <row r="1404" spans="1:1" x14ac:dyDescent="0.2">
      <c r="A1404" s="34" t="str">
        <f t="shared" si="21"/>
        <v/>
      </c>
    </row>
    <row r="1405" spans="1:1" x14ac:dyDescent="0.2">
      <c r="A1405" s="34" t="str">
        <f t="shared" si="21"/>
        <v/>
      </c>
    </row>
    <row r="1406" spans="1:1" x14ac:dyDescent="0.2">
      <c r="A1406" s="34" t="str">
        <f t="shared" si="21"/>
        <v/>
      </c>
    </row>
    <row r="1407" spans="1:1" x14ac:dyDescent="0.2">
      <c r="A1407" s="34" t="str">
        <f t="shared" si="21"/>
        <v/>
      </c>
    </row>
    <row r="1408" spans="1:1" x14ac:dyDescent="0.2">
      <c r="A1408" s="34" t="str">
        <f t="shared" si="21"/>
        <v/>
      </c>
    </row>
    <row r="1409" spans="1:1" x14ac:dyDescent="0.2">
      <c r="A1409" s="34" t="str">
        <f t="shared" si="21"/>
        <v/>
      </c>
    </row>
    <row r="1410" spans="1:1" x14ac:dyDescent="0.2">
      <c r="A1410" s="34" t="str">
        <f t="shared" si="21"/>
        <v/>
      </c>
    </row>
    <row r="1411" spans="1:1" x14ac:dyDescent="0.2">
      <c r="A1411" s="34" t="str">
        <f t="shared" ref="A1411:A1474" si="22">CONCATENATE(B1411,C1411,F1411)</f>
        <v/>
      </c>
    </row>
    <row r="1412" spans="1:1" x14ac:dyDescent="0.2">
      <c r="A1412" s="34" t="str">
        <f t="shared" si="22"/>
        <v/>
      </c>
    </row>
    <row r="1413" spans="1:1" x14ac:dyDescent="0.2">
      <c r="A1413" s="34" t="str">
        <f t="shared" si="22"/>
        <v/>
      </c>
    </row>
    <row r="1414" spans="1:1" x14ac:dyDescent="0.2">
      <c r="A1414" s="34" t="str">
        <f t="shared" si="22"/>
        <v/>
      </c>
    </row>
    <row r="1415" spans="1:1" x14ac:dyDescent="0.2">
      <c r="A1415" s="34" t="str">
        <f t="shared" si="22"/>
        <v/>
      </c>
    </row>
    <row r="1416" spans="1:1" x14ac:dyDescent="0.2">
      <c r="A1416" s="34" t="str">
        <f t="shared" si="22"/>
        <v/>
      </c>
    </row>
    <row r="1417" spans="1:1" x14ac:dyDescent="0.2">
      <c r="A1417" s="34" t="str">
        <f t="shared" si="22"/>
        <v/>
      </c>
    </row>
    <row r="1418" spans="1:1" x14ac:dyDescent="0.2">
      <c r="A1418" s="34" t="str">
        <f t="shared" si="22"/>
        <v/>
      </c>
    </row>
    <row r="1419" spans="1:1" x14ac:dyDescent="0.2">
      <c r="A1419" s="34" t="str">
        <f t="shared" si="22"/>
        <v/>
      </c>
    </row>
    <row r="1420" spans="1:1" x14ac:dyDescent="0.2">
      <c r="A1420" s="34" t="str">
        <f t="shared" si="22"/>
        <v/>
      </c>
    </row>
    <row r="1421" spans="1:1" x14ac:dyDescent="0.2">
      <c r="A1421" s="34" t="str">
        <f t="shared" si="22"/>
        <v/>
      </c>
    </row>
    <row r="1422" spans="1:1" x14ac:dyDescent="0.2">
      <c r="A1422" s="34" t="str">
        <f t="shared" si="22"/>
        <v/>
      </c>
    </row>
    <row r="1423" spans="1:1" x14ac:dyDescent="0.2">
      <c r="A1423" s="34" t="str">
        <f t="shared" si="22"/>
        <v/>
      </c>
    </row>
    <row r="1424" spans="1:1" x14ac:dyDescent="0.2">
      <c r="A1424" s="34" t="str">
        <f t="shared" si="22"/>
        <v/>
      </c>
    </row>
    <row r="1425" spans="1:1" x14ac:dyDescent="0.2">
      <c r="A1425" s="34" t="str">
        <f t="shared" si="22"/>
        <v/>
      </c>
    </row>
    <row r="1426" spans="1:1" x14ac:dyDescent="0.2">
      <c r="A1426" s="34" t="str">
        <f t="shared" si="22"/>
        <v/>
      </c>
    </row>
    <row r="1427" spans="1:1" x14ac:dyDescent="0.2">
      <c r="A1427" s="34" t="str">
        <f t="shared" si="22"/>
        <v/>
      </c>
    </row>
    <row r="1428" spans="1:1" x14ac:dyDescent="0.2">
      <c r="A1428" s="34" t="str">
        <f t="shared" si="22"/>
        <v/>
      </c>
    </row>
    <row r="1429" spans="1:1" x14ac:dyDescent="0.2">
      <c r="A1429" s="34" t="str">
        <f t="shared" si="22"/>
        <v/>
      </c>
    </row>
    <row r="1430" spans="1:1" x14ac:dyDescent="0.2">
      <c r="A1430" s="34" t="str">
        <f t="shared" si="22"/>
        <v/>
      </c>
    </row>
    <row r="1431" spans="1:1" x14ac:dyDescent="0.2">
      <c r="A1431" s="34" t="str">
        <f t="shared" si="22"/>
        <v/>
      </c>
    </row>
    <row r="1432" spans="1:1" x14ac:dyDescent="0.2">
      <c r="A1432" s="34" t="str">
        <f t="shared" si="22"/>
        <v/>
      </c>
    </row>
    <row r="1433" spans="1:1" x14ac:dyDescent="0.2">
      <c r="A1433" s="34" t="str">
        <f t="shared" si="22"/>
        <v/>
      </c>
    </row>
    <row r="1434" spans="1:1" x14ac:dyDescent="0.2">
      <c r="A1434" s="34" t="str">
        <f t="shared" si="22"/>
        <v/>
      </c>
    </row>
    <row r="1435" spans="1:1" x14ac:dyDescent="0.2">
      <c r="A1435" s="34" t="str">
        <f t="shared" si="22"/>
        <v/>
      </c>
    </row>
    <row r="1436" spans="1:1" x14ac:dyDescent="0.2">
      <c r="A1436" s="34" t="str">
        <f t="shared" si="22"/>
        <v/>
      </c>
    </row>
    <row r="1437" spans="1:1" x14ac:dyDescent="0.2">
      <c r="A1437" s="34" t="str">
        <f t="shared" si="22"/>
        <v/>
      </c>
    </row>
    <row r="1438" spans="1:1" x14ac:dyDescent="0.2">
      <c r="A1438" s="34" t="str">
        <f t="shared" si="22"/>
        <v/>
      </c>
    </row>
    <row r="1439" spans="1:1" x14ac:dyDescent="0.2">
      <c r="A1439" s="34" t="str">
        <f t="shared" si="22"/>
        <v/>
      </c>
    </row>
    <row r="1440" spans="1:1" x14ac:dyDescent="0.2">
      <c r="A1440" s="34" t="str">
        <f t="shared" si="22"/>
        <v/>
      </c>
    </row>
    <row r="1441" spans="1:1" x14ac:dyDescent="0.2">
      <c r="A1441" s="34" t="str">
        <f t="shared" si="22"/>
        <v/>
      </c>
    </row>
    <row r="1442" spans="1:1" x14ac:dyDescent="0.2">
      <c r="A1442" s="34" t="str">
        <f t="shared" si="22"/>
        <v/>
      </c>
    </row>
    <row r="1443" spans="1:1" x14ac:dyDescent="0.2">
      <c r="A1443" s="34" t="str">
        <f t="shared" si="22"/>
        <v/>
      </c>
    </row>
    <row r="1444" spans="1:1" x14ac:dyDescent="0.2">
      <c r="A1444" s="34" t="str">
        <f t="shared" si="22"/>
        <v/>
      </c>
    </row>
    <row r="1445" spans="1:1" x14ac:dyDescent="0.2">
      <c r="A1445" s="34" t="str">
        <f t="shared" si="22"/>
        <v/>
      </c>
    </row>
    <row r="1446" spans="1:1" x14ac:dyDescent="0.2">
      <c r="A1446" s="34" t="str">
        <f t="shared" si="22"/>
        <v/>
      </c>
    </row>
    <row r="1447" spans="1:1" x14ac:dyDescent="0.2">
      <c r="A1447" s="34" t="str">
        <f t="shared" si="22"/>
        <v/>
      </c>
    </row>
    <row r="1448" spans="1:1" x14ac:dyDescent="0.2">
      <c r="A1448" s="34" t="str">
        <f t="shared" si="22"/>
        <v/>
      </c>
    </row>
    <row r="1449" spans="1:1" x14ac:dyDescent="0.2">
      <c r="A1449" s="34" t="str">
        <f t="shared" si="22"/>
        <v/>
      </c>
    </row>
    <row r="1450" spans="1:1" x14ac:dyDescent="0.2">
      <c r="A1450" s="34" t="str">
        <f t="shared" si="22"/>
        <v/>
      </c>
    </row>
    <row r="1451" spans="1:1" x14ac:dyDescent="0.2">
      <c r="A1451" s="34" t="str">
        <f t="shared" si="22"/>
        <v/>
      </c>
    </row>
    <row r="1452" spans="1:1" x14ac:dyDescent="0.2">
      <c r="A1452" s="34" t="str">
        <f t="shared" si="22"/>
        <v/>
      </c>
    </row>
    <row r="1453" spans="1:1" x14ac:dyDescent="0.2">
      <c r="A1453" s="34" t="str">
        <f t="shared" si="22"/>
        <v/>
      </c>
    </row>
    <row r="1454" spans="1:1" x14ac:dyDescent="0.2">
      <c r="A1454" s="34" t="str">
        <f t="shared" si="22"/>
        <v/>
      </c>
    </row>
    <row r="1455" spans="1:1" x14ac:dyDescent="0.2">
      <c r="A1455" s="34" t="str">
        <f t="shared" si="22"/>
        <v/>
      </c>
    </row>
    <row r="1456" spans="1:1" x14ac:dyDescent="0.2">
      <c r="A1456" s="34" t="str">
        <f t="shared" si="22"/>
        <v/>
      </c>
    </row>
    <row r="1457" spans="1:1" x14ac:dyDescent="0.2">
      <c r="A1457" s="34" t="str">
        <f t="shared" si="22"/>
        <v/>
      </c>
    </row>
    <row r="1458" spans="1:1" x14ac:dyDescent="0.2">
      <c r="A1458" s="34" t="str">
        <f t="shared" si="22"/>
        <v/>
      </c>
    </row>
    <row r="1459" spans="1:1" x14ac:dyDescent="0.2">
      <c r="A1459" s="34" t="str">
        <f t="shared" si="22"/>
        <v/>
      </c>
    </row>
    <row r="1460" spans="1:1" x14ac:dyDescent="0.2">
      <c r="A1460" s="34" t="str">
        <f t="shared" si="22"/>
        <v/>
      </c>
    </row>
    <row r="1461" spans="1:1" x14ac:dyDescent="0.2">
      <c r="A1461" s="34" t="str">
        <f t="shared" si="22"/>
        <v/>
      </c>
    </row>
    <row r="1462" spans="1:1" x14ac:dyDescent="0.2">
      <c r="A1462" s="34" t="str">
        <f t="shared" si="22"/>
        <v/>
      </c>
    </row>
    <row r="1463" spans="1:1" x14ac:dyDescent="0.2">
      <c r="A1463" s="34" t="str">
        <f t="shared" si="22"/>
        <v/>
      </c>
    </row>
    <row r="1464" spans="1:1" x14ac:dyDescent="0.2">
      <c r="A1464" s="34" t="str">
        <f t="shared" si="22"/>
        <v/>
      </c>
    </row>
    <row r="1465" spans="1:1" x14ac:dyDescent="0.2">
      <c r="A1465" s="34" t="str">
        <f t="shared" si="22"/>
        <v/>
      </c>
    </row>
    <row r="1466" spans="1:1" x14ac:dyDescent="0.2">
      <c r="A1466" s="34" t="str">
        <f t="shared" si="22"/>
        <v/>
      </c>
    </row>
    <row r="1467" spans="1:1" x14ac:dyDescent="0.2">
      <c r="A1467" s="34" t="str">
        <f t="shared" si="22"/>
        <v/>
      </c>
    </row>
    <row r="1468" spans="1:1" x14ac:dyDescent="0.2">
      <c r="A1468" s="34" t="str">
        <f t="shared" si="22"/>
        <v/>
      </c>
    </row>
    <row r="1469" spans="1:1" x14ac:dyDescent="0.2">
      <c r="A1469" s="34" t="str">
        <f t="shared" si="22"/>
        <v/>
      </c>
    </row>
    <row r="1470" spans="1:1" x14ac:dyDescent="0.2">
      <c r="A1470" s="34" t="str">
        <f t="shared" si="22"/>
        <v/>
      </c>
    </row>
    <row r="1471" spans="1:1" x14ac:dyDescent="0.2">
      <c r="A1471" s="34" t="str">
        <f t="shared" si="22"/>
        <v/>
      </c>
    </row>
    <row r="1472" spans="1:1" x14ac:dyDescent="0.2">
      <c r="A1472" s="34" t="str">
        <f t="shared" si="22"/>
        <v/>
      </c>
    </row>
    <row r="1473" spans="1:1" x14ac:dyDescent="0.2">
      <c r="A1473" s="34" t="str">
        <f t="shared" si="22"/>
        <v/>
      </c>
    </row>
    <row r="1474" spans="1:1" x14ac:dyDescent="0.2">
      <c r="A1474" s="34" t="str">
        <f t="shared" si="22"/>
        <v/>
      </c>
    </row>
    <row r="1475" spans="1:1" x14ac:dyDescent="0.2">
      <c r="A1475" s="34" t="str">
        <f t="shared" ref="A1475:A1538" si="23">CONCATENATE(B1475,C1475,F1475)</f>
        <v/>
      </c>
    </row>
    <row r="1476" spans="1:1" x14ac:dyDescent="0.2">
      <c r="A1476" s="34" t="str">
        <f t="shared" si="23"/>
        <v/>
      </c>
    </row>
    <row r="1477" spans="1:1" x14ac:dyDescent="0.2">
      <c r="A1477" s="34" t="str">
        <f t="shared" si="23"/>
        <v/>
      </c>
    </row>
    <row r="1478" spans="1:1" x14ac:dyDescent="0.2">
      <c r="A1478" s="34" t="str">
        <f t="shared" si="23"/>
        <v/>
      </c>
    </row>
    <row r="1479" spans="1:1" x14ac:dyDescent="0.2">
      <c r="A1479" s="34" t="str">
        <f t="shared" si="23"/>
        <v/>
      </c>
    </row>
    <row r="1480" spans="1:1" x14ac:dyDescent="0.2">
      <c r="A1480" s="34" t="str">
        <f t="shared" si="23"/>
        <v/>
      </c>
    </row>
    <row r="1481" spans="1:1" x14ac:dyDescent="0.2">
      <c r="A1481" s="34" t="str">
        <f t="shared" si="23"/>
        <v/>
      </c>
    </row>
    <row r="1482" spans="1:1" x14ac:dyDescent="0.2">
      <c r="A1482" s="34" t="str">
        <f t="shared" si="23"/>
        <v/>
      </c>
    </row>
    <row r="1483" spans="1:1" x14ac:dyDescent="0.2">
      <c r="A1483" s="34" t="str">
        <f t="shared" si="23"/>
        <v/>
      </c>
    </row>
    <row r="1484" spans="1:1" x14ac:dyDescent="0.2">
      <c r="A1484" s="34" t="str">
        <f t="shared" si="23"/>
        <v/>
      </c>
    </row>
    <row r="1485" spans="1:1" x14ac:dyDescent="0.2">
      <c r="A1485" s="34" t="str">
        <f t="shared" si="23"/>
        <v/>
      </c>
    </row>
    <row r="1486" spans="1:1" x14ac:dyDescent="0.2">
      <c r="A1486" s="34" t="str">
        <f t="shared" si="23"/>
        <v/>
      </c>
    </row>
    <row r="1487" spans="1:1" x14ac:dyDescent="0.2">
      <c r="A1487" s="34" t="str">
        <f t="shared" si="23"/>
        <v/>
      </c>
    </row>
    <row r="1488" spans="1:1" x14ac:dyDescent="0.2">
      <c r="A1488" s="34" t="str">
        <f t="shared" si="23"/>
        <v/>
      </c>
    </row>
    <row r="1489" spans="1:1" x14ac:dyDescent="0.2">
      <c r="A1489" s="34" t="str">
        <f t="shared" si="23"/>
        <v/>
      </c>
    </row>
    <row r="1490" spans="1:1" x14ac:dyDescent="0.2">
      <c r="A1490" s="34" t="str">
        <f t="shared" si="23"/>
        <v/>
      </c>
    </row>
    <row r="1491" spans="1:1" x14ac:dyDescent="0.2">
      <c r="A1491" s="34" t="str">
        <f t="shared" si="23"/>
        <v/>
      </c>
    </row>
    <row r="1492" spans="1:1" x14ac:dyDescent="0.2">
      <c r="A1492" s="34" t="str">
        <f t="shared" si="23"/>
        <v/>
      </c>
    </row>
    <row r="1493" spans="1:1" x14ac:dyDescent="0.2">
      <c r="A1493" s="34" t="str">
        <f t="shared" si="23"/>
        <v/>
      </c>
    </row>
    <row r="1494" spans="1:1" x14ac:dyDescent="0.2">
      <c r="A1494" s="34" t="str">
        <f t="shared" si="23"/>
        <v/>
      </c>
    </row>
    <row r="1495" spans="1:1" x14ac:dyDescent="0.2">
      <c r="A1495" s="34" t="str">
        <f t="shared" si="23"/>
        <v/>
      </c>
    </row>
    <row r="1496" spans="1:1" x14ac:dyDescent="0.2">
      <c r="A1496" s="34" t="str">
        <f t="shared" si="23"/>
        <v/>
      </c>
    </row>
    <row r="1497" spans="1:1" x14ac:dyDescent="0.2">
      <c r="A1497" s="34" t="str">
        <f t="shared" si="23"/>
        <v/>
      </c>
    </row>
    <row r="1498" spans="1:1" x14ac:dyDescent="0.2">
      <c r="A1498" s="34" t="str">
        <f t="shared" si="23"/>
        <v/>
      </c>
    </row>
    <row r="1499" spans="1:1" x14ac:dyDescent="0.2">
      <c r="A1499" s="34" t="str">
        <f t="shared" si="23"/>
        <v/>
      </c>
    </row>
    <row r="1500" spans="1:1" x14ac:dyDescent="0.2">
      <c r="A1500" s="34" t="str">
        <f t="shared" si="23"/>
        <v/>
      </c>
    </row>
    <row r="1501" spans="1:1" x14ac:dyDescent="0.2">
      <c r="A1501" s="34" t="str">
        <f t="shared" si="23"/>
        <v/>
      </c>
    </row>
    <row r="1502" spans="1:1" x14ac:dyDescent="0.2">
      <c r="A1502" s="34" t="str">
        <f t="shared" si="23"/>
        <v/>
      </c>
    </row>
    <row r="1503" spans="1:1" x14ac:dyDescent="0.2">
      <c r="A1503" s="34" t="str">
        <f t="shared" si="23"/>
        <v/>
      </c>
    </row>
    <row r="1504" spans="1:1" x14ac:dyDescent="0.2">
      <c r="A1504" s="34" t="str">
        <f t="shared" si="23"/>
        <v/>
      </c>
    </row>
    <row r="1505" spans="1:1" x14ac:dyDescent="0.2">
      <c r="A1505" s="34" t="str">
        <f t="shared" si="23"/>
        <v/>
      </c>
    </row>
    <row r="1506" spans="1:1" x14ac:dyDescent="0.2">
      <c r="A1506" s="34" t="str">
        <f t="shared" si="23"/>
        <v/>
      </c>
    </row>
    <row r="1507" spans="1:1" x14ac:dyDescent="0.2">
      <c r="A1507" s="34" t="str">
        <f t="shared" si="23"/>
        <v/>
      </c>
    </row>
    <row r="1508" spans="1:1" x14ac:dyDescent="0.2">
      <c r="A1508" s="34" t="str">
        <f t="shared" si="23"/>
        <v/>
      </c>
    </row>
    <row r="1509" spans="1:1" x14ac:dyDescent="0.2">
      <c r="A1509" s="34" t="str">
        <f t="shared" si="23"/>
        <v/>
      </c>
    </row>
    <row r="1510" spans="1:1" x14ac:dyDescent="0.2">
      <c r="A1510" s="34" t="str">
        <f t="shared" si="23"/>
        <v/>
      </c>
    </row>
    <row r="1511" spans="1:1" x14ac:dyDescent="0.2">
      <c r="A1511" s="34" t="str">
        <f t="shared" si="23"/>
        <v/>
      </c>
    </row>
    <row r="1512" spans="1:1" x14ac:dyDescent="0.2">
      <c r="A1512" s="34" t="str">
        <f t="shared" si="23"/>
        <v/>
      </c>
    </row>
    <row r="1513" spans="1:1" x14ac:dyDescent="0.2">
      <c r="A1513" s="34" t="str">
        <f t="shared" si="23"/>
        <v/>
      </c>
    </row>
    <row r="1514" spans="1:1" x14ac:dyDescent="0.2">
      <c r="A1514" s="34" t="str">
        <f t="shared" si="23"/>
        <v/>
      </c>
    </row>
    <row r="1515" spans="1:1" x14ac:dyDescent="0.2">
      <c r="A1515" s="34" t="str">
        <f t="shared" si="23"/>
        <v/>
      </c>
    </row>
    <row r="1516" spans="1:1" x14ac:dyDescent="0.2">
      <c r="A1516" s="34" t="str">
        <f t="shared" si="23"/>
        <v/>
      </c>
    </row>
    <row r="1517" spans="1:1" x14ac:dyDescent="0.2">
      <c r="A1517" s="34" t="str">
        <f t="shared" si="23"/>
        <v/>
      </c>
    </row>
    <row r="1518" spans="1:1" x14ac:dyDescent="0.2">
      <c r="A1518" s="34" t="str">
        <f t="shared" si="23"/>
        <v/>
      </c>
    </row>
    <row r="1519" spans="1:1" x14ac:dyDescent="0.2">
      <c r="A1519" s="34" t="str">
        <f t="shared" si="23"/>
        <v/>
      </c>
    </row>
    <row r="1520" spans="1:1" x14ac:dyDescent="0.2">
      <c r="A1520" s="34" t="str">
        <f t="shared" si="23"/>
        <v/>
      </c>
    </row>
    <row r="1521" spans="1:1" x14ac:dyDescent="0.2">
      <c r="A1521" s="34" t="str">
        <f t="shared" si="23"/>
        <v/>
      </c>
    </row>
    <row r="1522" spans="1:1" x14ac:dyDescent="0.2">
      <c r="A1522" s="34" t="str">
        <f t="shared" si="23"/>
        <v/>
      </c>
    </row>
    <row r="1523" spans="1:1" x14ac:dyDescent="0.2">
      <c r="A1523" s="34" t="str">
        <f t="shared" si="23"/>
        <v/>
      </c>
    </row>
    <row r="1524" spans="1:1" x14ac:dyDescent="0.2">
      <c r="A1524" s="34" t="str">
        <f t="shared" si="23"/>
        <v/>
      </c>
    </row>
    <row r="1525" spans="1:1" x14ac:dyDescent="0.2">
      <c r="A1525" s="34" t="str">
        <f t="shared" si="23"/>
        <v/>
      </c>
    </row>
    <row r="1526" spans="1:1" x14ac:dyDescent="0.2">
      <c r="A1526" s="34" t="str">
        <f t="shared" si="23"/>
        <v/>
      </c>
    </row>
    <row r="1527" spans="1:1" x14ac:dyDescent="0.2">
      <c r="A1527" s="34" t="str">
        <f t="shared" si="23"/>
        <v/>
      </c>
    </row>
    <row r="1528" spans="1:1" x14ac:dyDescent="0.2">
      <c r="A1528" s="34" t="str">
        <f t="shared" si="23"/>
        <v/>
      </c>
    </row>
    <row r="1529" spans="1:1" x14ac:dyDescent="0.2">
      <c r="A1529" s="34" t="str">
        <f t="shared" si="23"/>
        <v/>
      </c>
    </row>
    <row r="1530" spans="1:1" x14ac:dyDescent="0.2">
      <c r="A1530" s="34" t="str">
        <f t="shared" si="23"/>
        <v/>
      </c>
    </row>
    <row r="1531" spans="1:1" x14ac:dyDescent="0.2">
      <c r="A1531" s="34" t="str">
        <f t="shared" si="23"/>
        <v/>
      </c>
    </row>
    <row r="1532" spans="1:1" x14ac:dyDescent="0.2">
      <c r="A1532" s="34" t="str">
        <f t="shared" si="23"/>
        <v/>
      </c>
    </row>
    <row r="1533" spans="1:1" x14ac:dyDescent="0.2">
      <c r="A1533" s="34" t="str">
        <f t="shared" si="23"/>
        <v/>
      </c>
    </row>
    <row r="1534" spans="1:1" x14ac:dyDescent="0.2">
      <c r="A1534" s="34" t="str">
        <f t="shared" si="23"/>
        <v/>
      </c>
    </row>
    <row r="1535" spans="1:1" x14ac:dyDescent="0.2">
      <c r="A1535" s="34" t="str">
        <f t="shared" si="23"/>
        <v/>
      </c>
    </row>
    <row r="1536" spans="1:1" x14ac:dyDescent="0.2">
      <c r="A1536" s="34" t="str">
        <f t="shared" si="23"/>
        <v/>
      </c>
    </row>
    <row r="1537" spans="1:1" x14ac:dyDescent="0.2">
      <c r="A1537" s="34" t="str">
        <f t="shared" si="23"/>
        <v/>
      </c>
    </row>
    <row r="1538" spans="1:1" x14ac:dyDescent="0.2">
      <c r="A1538" s="34" t="str">
        <f t="shared" si="23"/>
        <v/>
      </c>
    </row>
    <row r="1539" spans="1:1" x14ac:dyDescent="0.2">
      <c r="A1539" s="34" t="str">
        <f t="shared" ref="A1539:A1602" si="24">CONCATENATE(B1539,C1539,F1539)</f>
        <v/>
      </c>
    </row>
    <row r="1540" spans="1:1" x14ac:dyDescent="0.2">
      <c r="A1540" s="34" t="str">
        <f t="shared" si="24"/>
        <v/>
      </c>
    </row>
    <row r="1541" spans="1:1" x14ac:dyDescent="0.2">
      <c r="A1541" s="34" t="str">
        <f t="shared" si="24"/>
        <v/>
      </c>
    </row>
    <row r="1542" spans="1:1" x14ac:dyDescent="0.2">
      <c r="A1542" s="34" t="str">
        <f t="shared" si="24"/>
        <v/>
      </c>
    </row>
    <row r="1543" spans="1:1" x14ac:dyDescent="0.2">
      <c r="A1543" s="34" t="str">
        <f t="shared" si="24"/>
        <v/>
      </c>
    </row>
    <row r="1544" spans="1:1" x14ac:dyDescent="0.2">
      <c r="A1544" s="34" t="str">
        <f t="shared" si="24"/>
        <v/>
      </c>
    </row>
    <row r="1545" spans="1:1" x14ac:dyDescent="0.2">
      <c r="A1545" s="34" t="str">
        <f t="shared" si="24"/>
        <v/>
      </c>
    </row>
    <row r="1546" spans="1:1" x14ac:dyDescent="0.2">
      <c r="A1546" s="34" t="str">
        <f t="shared" si="24"/>
        <v/>
      </c>
    </row>
    <row r="1547" spans="1:1" x14ac:dyDescent="0.2">
      <c r="A1547" s="34" t="str">
        <f t="shared" si="24"/>
        <v/>
      </c>
    </row>
    <row r="1548" spans="1:1" x14ac:dyDescent="0.2">
      <c r="A1548" s="34" t="str">
        <f t="shared" si="24"/>
        <v/>
      </c>
    </row>
    <row r="1549" spans="1:1" x14ac:dyDescent="0.2">
      <c r="A1549" s="34" t="str">
        <f t="shared" si="24"/>
        <v/>
      </c>
    </row>
    <row r="1550" spans="1:1" x14ac:dyDescent="0.2">
      <c r="A1550" s="34" t="str">
        <f t="shared" si="24"/>
        <v/>
      </c>
    </row>
    <row r="1551" spans="1:1" x14ac:dyDescent="0.2">
      <c r="A1551" s="34" t="str">
        <f t="shared" si="24"/>
        <v/>
      </c>
    </row>
    <row r="1552" spans="1:1" x14ac:dyDescent="0.2">
      <c r="A1552" s="34" t="str">
        <f t="shared" si="24"/>
        <v/>
      </c>
    </row>
    <row r="1553" spans="1:1" x14ac:dyDescent="0.2">
      <c r="A1553" s="34" t="str">
        <f t="shared" si="24"/>
        <v/>
      </c>
    </row>
    <row r="1554" spans="1:1" x14ac:dyDescent="0.2">
      <c r="A1554" s="34" t="str">
        <f t="shared" si="24"/>
        <v/>
      </c>
    </row>
    <row r="1555" spans="1:1" x14ac:dyDescent="0.2">
      <c r="A1555" s="34" t="str">
        <f t="shared" si="24"/>
        <v/>
      </c>
    </row>
    <row r="1556" spans="1:1" x14ac:dyDescent="0.2">
      <c r="A1556" s="34" t="str">
        <f t="shared" si="24"/>
        <v/>
      </c>
    </row>
    <row r="1557" spans="1:1" x14ac:dyDescent="0.2">
      <c r="A1557" s="34" t="str">
        <f t="shared" si="24"/>
        <v/>
      </c>
    </row>
    <row r="1558" spans="1:1" x14ac:dyDescent="0.2">
      <c r="A1558" s="34" t="str">
        <f t="shared" si="24"/>
        <v/>
      </c>
    </row>
    <row r="1559" spans="1:1" x14ac:dyDescent="0.2">
      <c r="A1559" s="34" t="str">
        <f t="shared" si="24"/>
        <v/>
      </c>
    </row>
    <row r="1560" spans="1:1" x14ac:dyDescent="0.2">
      <c r="A1560" s="34" t="str">
        <f t="shared" si="24"/>
        <v/>
      </c>
    </row>
    <row r="1561" spans="1:1" x14ac:dyDescent="0.2">
      <c r="A1561" s="34" t="str">
        <f t="shared" si="24"/>
        <v/>
      </c>
    </row>
    <row r="1562" spans="1:1" x14ac:dyDescent="0.2">
      <c r="A1562" s="34" t="str">
        <f t="shared" si="24"/>
        <v/>
      </c>
    </row>
    <row r="1563" spans="1:1" x14ac:dyDescent="0.2">
      <c r="A1563" s="34" t="str">
        <f t="shared" si="24"/>
        <v/>
      </c>
    </row>
    <row r="1564" spans="1:1" x14ac:dyDescent="0.2">
      <c r="A1564" s="34" t="str">
        <f t="shared" si="24"/>
        <v/>
      </c>
    </row>
    <row r="1565" spans="1:1" x14ac:dyDescent="0.2">
      <c r="A1565" s="34" t="str">
        <f t="shared" si="24"/>
        <v/>
      </c>
    </row>
    <row r="1566" spans="1:1" x14ac:dyDescent="0.2">
      <c r="A1566" s="34" t="str">
        <f t="shared" si="24"/>
        <v/>
      </c>
    </row>
    <row r="1567" spans="1:1" x14ac:dyDescent="0.2">
      <c r="A1567" s="34" t="str">
        <f t="shared" si="24"/>
        <v/>
      </c>
    </row>
    <row r="1568" spans="1:1" x14ac:dyDescent="0.2">
      <c r="A1568" s="34" t="str">
        <f t="shared" si="24"/>
        <v/>
      </c>
    </row>
    <row r="1569" spans="1:1" x14ac:dyDescent="0.2">
      <c r="A1569" s="34" t="str">
        <f t="shared" si="24"/>
        <v/>
      </c>
    </row>
    <row r="1570" spans="1:1" x14ac:dyDescent="0.2">
      <c r="A1570" s="34" t="str">
        <f t="shared" si="24"/>
        <v/>
      </c>
    </row>
    <row r="1571" spans="1:1" x14ac:dyDescent="0.2">
      <c r="A1571" s="34" t="str">
        <f t="shared" si="24"/>
        <v/>
      </c>
    </row>
    <row r="1572" spans="1:1" x14ac:dyDescent="0.2">
      <c r="A1572" s="34" t="str">
        <f t="shared" si="24"/>
        <v/>
      </c>
    </row>
    <row r="1573" spans="1:1" x14ac:dyDescent="0.2">
      <c r="A1573" s="34" t="str">
        <f t="shared" si="24"/>
        <v/>
      </c>
    </row>
    <row r="1574" spans="1:1" x14ac:dyDescent="0.2">
      <c r="A1574" s="34" t="str">
        <f t="shared" si="24"/>
        <v/>
      </c>
    </row>
    <row r="1575" spans="1:1" x14ac:dyDescent="0.2">
      <c r="A1575" s="34" t="str">
        <f t="shared" si="24"/>
        <v/>
      </c>
    </row>
    <row r="1576" spans="1:1" x14ac:dyDescent="0.2">
      <c r="A1576" s="34" t="str">
        <f t="shared" si="24"/>
        <v/>
      </c>
    </row>
    <row r="1577" spans="1:1" x14ac:dyDescent="0.2">
      <c r="A1577" s="34" t="str">
        <f t="shared" si="24"/>
        <v/>
      </c>
    </row>
    <row r="1578" spans="1:1" x14ac:dyDescent="0.2">
      <c r="A1578" s="34" t="str">
        <f t="shared" si="24"/>
        <v/>
      </c>
    </row>
    <row r="1579" spans="1:1" x14ac:dyDescent="0.2">
      <c r="A1579" s="34" t="str">
        <f t="shared" si="24"/>
        <v/>
      </c>
    </row>
    <row r="1580" spans="1:1" x14ac:dyDescent="0.2">
      <c r="A1580" s="34" t="str">
        <f t="shared" si="24"/>
        <v/>
      </c>
    </row>
    <row r="1581" spans="1:1" x14ac:dyDescent="0.2">
      <c r="A1581" s="34" t="str">
        <f t="shared" si="24"/>
        <v/>
      </c>
    </row>
    <row r="1582" spans="1:1" x14ac:dyDescent="0.2">
      <c r="A1582" s="34" t="str">
        <f t="shared" si="24"/>
        <v/>
      </c>
    </row>
    <row r="1583" spans="1:1" x14ac:dyDescent="0.2">
      <c r="A1583" s="34" t="str">
        <f t="shared" si="24"/>
        <v/>
      </c>
    </row>
    <row r="1584" spans="1:1" x14ac:dyDescent="0.2">
      <c r="A1584" s="34" t="str">
        <f t="shared" si="24"/>
        <v/>
      </c>
    </row>
    <row r="1585" spans="1:1" x14ac:dyDescent="0.2">
      <c r="A1585" s="34" t="str">
        <f t="shared" si="24"/>
        <v/>
      </c>
    </row>
    <row r="1586" spans="1:1" x14ac:dyDescent="0.2">
      <c r="A1586" s="34" t="str">
        <f t="shared" si="24"/>
        <v/>
      </c>
    </row>
    <row r="1587" spans="1:1" x14ac:dyDescent="0.2">
      <c r="A1587" s="34" t="str">
        <f t="shared" si="24"/>
        <v/>
      </c>
    </row>
    <row r="1588" spans="1:1" x14ac:dyDescent="0.2">
      <c r="A1588" s="34" t="str">
        <f t="shared" si="24"/>
        <v/>
      </c>
    </row>
    <row r="1589" spans="1:1" x14ac:dyDescent="0.2">
      <c r="A1589" s="34" t="str">
        <f t="shared" si="24"/>
        <v/>
      </c>
    </row>
    <row r="1590" spans="1:1" x14ac:dyDescent="0.2">
      <c r="A1590" s="34" t="str">
        <f t="shared" si="24"/>
        <v/>
      </c>
    </row>
    <row r="1591" spans="1:1" x14ac:dyDescent="0.2">
      <c r="A1591" s="34" t="str">
        <f t="shared" si="24"/>
        <v/>
      </c>
    </row>
    <row r="1592" spans="1:1" x14ac:dyDescent="0.2">
      <c r="A1592" s="34" t="str">
        <f t="shared" si="24"/>
        <v/>
      </c>
    </row>
    <row r="1593" spans="1:1" x14ac:dyDescent="0.2">
      <c r="A1593" s="34" t="str">
        <f t="shared" si="24"/>
        <v/>
      </c>
    </row>
    <row r="1594" spans="1:1" x14ac:dyDescent="0.2">
      <c r="A1594" s="34" t="str">
        <f t="shared" si="24"/>
        <v/>
      </c>
    </row>
    <row r="1595" spans="1:1" x14ac:dyDescent="0.2">
      <c r="A1595" s="34" t="str">
        <f t="shared" si="24"/>
        <v/>
      </c>
    </row>
    <row r="1596" spans="1:1" x14ac:dyDescent="0.2">
      <c r="A1596" s="34" t="str">
        <f t="shared" si="24"/>
        <v/>
      </c>
    </row>
    <row r="1597" spans="1:1" x14ac:dyDescent="0.2">
      <c r="A1597" s="34" t="str">
        <f t="shared" si="24"/>
        <v/>
      </c>
    </row>
    <row r="1598" spans="1:1" x14ac:dyDescent="0.2">
      <c r="A1598" s="34" t="str">
        <f t="shared" si="24"/>
        <v/>
      </c>
    </row>
    <row r="1599" spans="1:1" x14ac:dyDescent="0.2">
      <c r="A1599" s="34" t="str">
        <f t="shared" si="24"/>
        <v/>
      </c>
    </row>
    <row r="1600" spans="1:1" x14ac:dyDescent="0.2">
      <c r="A1600" s="34" t="str">
        <f t="shared" si="24"/>
        <v/>
      </c>
    </row>
    <row r="1601" spans="1:1" x14ac:dyDescent="0.2">
      <c r="A1601" s="34" t="str">
        <f t="shared" si="24"/>
        <v/>
      </c>
    </row>
    <row r="1602" spans="1:1" x14ac:dyDescent="0.2">
      <c r="A1602" s="34" t="str">
        <f t="shared" si="24"/>
        <v/>
      </c>
    </row>
    <row r="1603" spans="1:1" x14ac:dyDescent="0.2">
      <c r="A1603" s="34" t="str">
        <f t="shared" ref="A1603:A1666" si="25">CONCATENATE(B1603,C1603,F1603)</f>
        <v/>
      </c>
    </row>
    <row r="1604" spans="1:1" x14ac:dyDescent="0.2">
      <c r="A1604" s="34" t="str">
        <f t="shared" si="25"/>
        <v/>
      </c>
    </row>
    <row r="1605" spans="1:1" x14ac:dyDescent="0.2">
      <c r="A1605" s="34" t="str">
        <f t="shared" si="25"/>
        <v/>
      </c>
    </row>
    <row r="1606" spans="1:1" x14ac:dyDescent="0.2">
      <c r="A1606" s="34" t="str">
        <f t="shared" si="25"/>
        <v/>
      </c>
    </row>
    <row r="1607" spans="1:1" x14ac:dyDescent="0.2">
      <c r="A1607" s="34" t="str">
        <f t="shared" si="25"/>
        <v/>
      </c>
    </row>
    <row r="1608" spans="1:1" x14ac:dyDescent="0.2">
      <c r="A1608" s="34" t="str">
        <f t="shared" si="25"/>
        <v/>
      </c>
    </row>
    <row r="1609" spans="1:1" x14ac:dyDescent="0.2">
      <c r="A1609" s="34" t="str">
        <f t="shared" si="25"/>
        <v/>
      </c>
    </row>
    <row r="1610" spans="1:1" x14ac:dyDescent="0.2">
      <c r="A1610" s="34" t="str">
        <f t="shared" si="25"/>
        <v/>
      </c>
    </row>
    <row r="1611" spans="1:1" x14ac:dyDescent="0.2">
      <c r="A1611" s="34" t="str">
        <f t="shared" si="25"/>
        <v/>
      </c>
    </row>
    <row r="1612" spans="1:1" x14ac:dyDescent="0.2">
      <c r="A1612" s="34" t="str">
        <f t="shared" si="25"/>
        <v/>
      </c>
    </row>
    <row r="1613" spans="1:1" x14ac:dyDescent="0.2">
      <c r="A1613" s="34" t="str">
        <f t="shared" si="25"/>
        <v/>
      </c>
    </row>
    <row r="1614" spans="1:1" x14ac:dyDescent="0.2">
      <c r="A1614" s="34" t="str">
        <f t="shared" si="25"/>
        <v/>
      </c>
    </row>
    <row r="1615" spans="1:1" x14ac:dyDescent="0.2">
      <c r="A1615" s="34" t="str">
        <f t="shared" si="25"/>
        <v/>
      </c>
    </row>
    <row r="1616" spans="1:1" x14ac:dyDescent="0.2">
      <c r="A1616" s="34" t="str">
        <f t="shared" si="25"/>
        <v/>
      </c>
    </row>
    <row r="1617" spans="1:1" x14ac:dyDescent="0.2">
      <c r="A1617" s="34" t="str">
        <f t="shared" si="25"/>
        <v/>
      </c>
    </row>
    <row r="1618" spans="1:1" x14ac:dyDescent="0.2">
      <c r="A1618" s="34" t="str">
        <f t="shared" si="25"/>
        <v/>
      </c>
    </row>
    <row r="1619" spans="1:1" x14ac:dyDescent="0.2">
      <c r="A1619" s="34" t="str">
        <f t="shared" si="25"/>
        <v/>
      </c>
    </row>
    <row r="1620" spans="1:1" x14ac:dyDescent="0.2">
      <c r="A1620" s="34" t="str">
        <f t="shared" si="25"/>
        <v/>
      </c>
    </row>
    <row r="1621" spans="1:1" x14ac:dyDescent="0.2">
      <c r="A1621" s="34" t="str">
        <f t="shared" si="25"/>
        <v/>
      </c>
    </row>
    <row r="1622" spans="1:1" x14ac:dyDescent="0.2">
      <c r="A1622" s="34" t="str">
        <f t="shared" si="25"/>
        <v/>
      </c>
    </row>
    <row r="1623" spans="1:1" x14ac:dyDescent="0.2">
      <c r="A1623" s="34" t="str">
        <f t="shared" si="25"/>
        <v/>
      </c>
    </row>
    <row r="1624" spans="1:1" x14ac:dyDescent="0.2">
      <c r="A1624" s="34" t="str">
        <f t="shared" si="25"/>
        <v/>
      </c>
    </row>
    <row r="1625" spans="1:1" x14ac:dyDescent="0.2">
      <c r="A1625" s="34" t="str">
        <f t="shared" si="25"/>
        <v/>
      </c>
    </row>
    <row r="1626" spans="1:1" x14ac:dyDescent="0.2">
      <c r="A1626" s="34" t="str">
        <f t="shared" si="25"/>
        <v/>
      </c>
    </row>
    <row r="1627" spans="1:1" x14ac:dyDescent="0.2">
      <c r="A1627" s="34" t="str">
        <f t="shared" si="25"/>
        <v/>
      </c>
    </row>
    <row r="1628" spans="1:1" x14ac:dyDescent="0.2">
      <c r="A1628" s="34" t="str">
        <f t="shared" si="25"/>
        <v/>
      </c>
    </row>
    <row r="1629" spans="1:1" x14ac:dyDescent="0.2">
      <c r="A1629" s="34" t="str">
        <f t="shared" si="25"/>
        <v/>
      </c>
    </row>
    <row r="1630" spans="1:1" x14ac:dyDescent="0.2">
      <c r="A1630" s="34" t="str">
        <f t="shared" si="25"/>
        <v/>
      </c>
    </row>
    <row r="1631" spans="1:1" x14ac:dyDescent="0.2">
      <c r="A1631" s="34" t="str">
        <f t="shared" si="25"/>
        <v/>
      </c>
    </row>
    <row r="1632" spans="1:1" x14ac:dyDescent="0.2">
      <c r="A1632" s="34" t="str">
        <f t="shared" si="25"/>
        <v/>
      </c>
    </row>
    <row r="1633" spans="1:1" x14ac:dyDescent="0.2">
      <c r="A1633" s="34" t="str">
        <f t="shared" si="25"/>
        <v/>
      </c>
    </row>
    <row r="1634" spans="1:1" x14ac:dyDescent="0.2">
      <c r="A1634" s="34" t="str">
        <f t="shared" si="25"/>
        <v/>
      </c>
    </row>
    <row r="1635" spans="1:1" x14ac:dyDescent="0.2">
      <c r="A1635" s="34" t="str">
        <f t="shared" si="25"/>
        <v/>
      </c>
    </row>
    <row r="1636" spans="1:1" x14ac:dyDescent="0.2">
      <c r="A1636" s="34" t="str">
        <f t="shared" si="25"/>
        <v/>
      </c>
    </row>
    <row r="1637" spans="1:1" x14ac:dyDescent="0.2">
      <c r="A1637" s="34" t="str">
        <f t="shared" si="25"/>
        <v/>
      </c>
    </row>
    <row r="1638" spans="1:1" x14ac:dyDescent="0.2">
      <c r="A1638" s="34" t="str">
        <f t="shared" si="25"/>
        <v/>
      </c>
    </row>
    <row r="1639" spans="1:1" x14ac:dyDescent="0.2">
      <c r="A1639" s="34" t="str">
        <f t="shared" si="25"/>
        <v/>
      </c>
    </row>
    <row r="1640" spans="1:1" x14ac:dyDescent="0.2">
      <c r="A1640" s="34" t="str">
        <f t="shared" si="25"/>
        <v/>
      </c>
    </row>
    <row r="1641" spans="1:1" x14ac:dyDescent="0.2">
      <c r="A1641" s="34" t="str">
        <f t="shared" si="25"/>
        <v/>
      </c>
    </row>
    <row r="1642" spans="1:1" x14ac:dyDescent="0.2">
      <c r="A1642" s="34" t="str">
        <f t="shared" si="25"/>
        <v/>
      </c>
    </row>
    <row r="1643" spans="1:1" x14ac:dyDescent="0.2">
      <c r="A1643" s="34" t="str">
        <f t="shared" si="25"/>
        <v/>
      </c>
    </row>
    <row r="1644" spans="1:1" x14ac:dyDescent="0.2">
      <c r="A1644" s="34" t="str">
        <f t="shared" si="25"/>
        <v/>
      </c>
    </row>
    <row r="1645" spans="1:1" x14ac:dyDescent="0.2">
      <c r="A1645" s="34" t="str">
        <f t="shared" si="25"/>
        <v/>
      </c>
    </row>
    <row r="1646" spans="1:1" x14ac:dyDescent="0.2">
      <c r="A1646" s="34" t="str">
        <f t="shared" si="25"/>
        <v/>
      </c>
    </row>
    <row r="1647" spans="1:1" x14ac:dyDescent="0.2">
      <c r="A1647" s="34" t="str">
        <f t="shared" si="25"/>
        <v/>
      </c>
    </row>
    <row r="1648" spans="1:1" x14ac:dyDescent="0.2">
      <c r="A1648" s="34" t="str">
        <f t="shared" si="25"/>
        <v/>
      </c>
    </row>
    <row r="1649" spans="1:1" x14ac:dyDescent="0.2">
      <c r="A1649" s="34" t="str">
        <f t="shared" si="25"/>
        <v/>
      </c>
    </row>
    <row r="1650" spans="1:1" x14ac:dyDescent="0.2">
      <c r="A1650" s="34" t="str">
        <f t="shared" si="25"/>
        <v/>
      </c>
    </row>
    <row r="1651" spans="1:1" x14ac:dyDescent="0.2">
      <c r="A1651" s="34" t="str">
        <f t="shared" si="25"/>
        <v/>
      </c>
    </row>
    <row r="1652" spans="1:1" x14ac:dyDescent="0.2">
      <c r="A1652" s="34" t="str">
        <f t="shared" si="25"/>
        <v/>
      </c>
    </row>
    <row r="1653" spans="1:1" x14ac:dyDescent="0.2">
      <c r="A1653" s="34" t="str">
        <f t="shared" si="25"/>
        <v/>
      </c>
    </row>
    <row r="1654" spans="1:1" x14ac:dyDescent="0.2">
      <c r="A1654" s="34" t="str">
        <f t="shared" si="25"/>
        <v/>
      </c>
    </row>
    <row r="1655" spans="1:1" x14ac:dyDescent="0.2">
      <c r="A1655" s="34" t="str">
        <f t="shared" si="25"/>
        <v/>
      </c>
    </row>
    <row r="1656" spans="1:1" x14ac:dyDescent="0.2">
      <c r="A1656" s="34" t="str">
        <f t="shared" si="25"/>
        <v/>
      </c>
    </row>
    <row r="1657" spans="1:1" x14ac:dyDescent="0.2">
      <c r="A1657" s="34" t="str">
        <f t="shared" si="25"/>
        <v/>
      </c>
    </row>
    <row r="1658" spans="1:1" x14ac:dyDescent="0.2">
      <c r="A1658" s="34" t="str">
        <f t="shared" si="25"/>
        <v/>
      </c>
    </row>
    <row r="1659" spans="1:1" x14ac:dyDescent="0.2">
      <c r="A1659" s="34" t="str">
        <f t="shared" si="25"/>
        <v/>
      </c>
    </row>
    <row r="1660" spans="1:1" x14ac:dyDescent="0.2">
      <c r="A1660" s="34" t="str">
        <f t="shared" si="25"/>
        <v/>
      </c>
    </row>
    <row r="1661" spans="1:1" x14ac:dyDescent="0.2">
      <c r="A1661" s="34" t="str">
        <f t="shared" si="25"/>
        <v/>
      </c>
    </row>
    <row r="1662" spans="1:1" x14ac:dyDescent="0.2">
      <c r="A1662" s="34" t="str">
        <f t="shared" si="25"/>
        <v/>
      </c>
    </row>
    <row r="1663" spans="1:1" x14ac:dyDescent="0.2">
      <c r="A1663" s="34" t="str">
        <f t="shared" si="25"/>
        <v/>
      </c>
    </row>
    <row r="1664" spans="1:1" x14ac:dyDescent="0.2">
      <c r="A1664" s="34" t="str">
        <f t="shared" si="25"/>
        <v/>
      </c>
    </row>
    <row r="1665" spans="1:1" x14ac:dyDescent="0.2">
      <c r="A1665" s="34" t="str">
        <f t="shared" si="25"/>
        <v/>
      </c>
    </row>
    <row r="1666" spans="1:1" x14ac:dyDescent="0.2">
      <c r="A1666" s="34" t="str">
        <f t="shared" si="25"/>
        <v/>
      </c>
    </row>
    <row r="1667" spans="1:1" x14ac:dyDescent="0.2">
      <c r="A1667" s="34" t="str">
        <f t="shared" ref="A1667:A1730" si="26">CONCATENATE(B1667,C1667,F1667)</f>
        <v/>
      </c>
    </row>
    <row r="1668" spans="1:1" x14ac:dyDescent="0.2">
      <c r="A1668" s="34" t="str">
        <f t="shared" si="26"/>
        <v/>
      </c>
    </row>
    <row r="1669" spans="1:1" x14ac:dyDescent="0.2">
      <c r="A1669" s="34" t="str">
        <f t="shared" si="26"/>
        <v/>
      </c>
    </row>
    <row r="1670" spans="1:1" x14ac:dyDescent="0.2">
      <c r="A1670" s="34" t="str">
        <f t="shared" si="26"/>
        <v/>
      </c>
    </row>
    <row r="1671" spans="1:1" x14ac:dyDescent="0.2">
      <c r="A1671" s="34" t="str">
        <f t="shared" si="26"/>
        <v/>
      </c>
    </row>
    <row r="1672" spans="1:1" x14ac:dyDescent="0.2">
      <c r="A1672" s="34" t="str">
        <f t="shared" si="26"/>
        <v/>
      </c>
    </row>
    <row r="1673" spans="1:1" x14ac:dyDescent="0.2">
      <c r="A1673" s="34" t="str">
        <f t="shared" si="26"/>
        <v/>
      </c>
    </row>
    <row r="1674" spans="1:1" x14ac:dyDescent="0.2">
      <c r="A1674" s="34" t="str">
        <f t="shared" si="26"/>
        <v/>
      </c>
    </row>
    <row r="1675" spans="1:1" x14ac:dyDescent="0.2">
      <c r="A1675" s="34" t="str">
        <f t="shared" si="26"/>
        <v/>
      </c>
    </row>
    <row r="1676" spans="1:1" x14ac:dyDescent="0.2">
      <c r="A1676" s="34" t="str">
        <f t="shared" si="26"/>
        <v/>
      </c>
    </row>
    <row r="1677" spans="1:1" x14ac:dyDescent="0.2">
      <c r="A1677" s="34" t="str">
        <f t="shared" si="26"/>
        <v/>
      </c>
    </row>
    <row r="1678" spans="1:1" x14ac:dyDescent="0.2">
      <c r="A1678" s="34" t="str">
        <f t="shared" si="26"/>
        <v/>
      </c>
    </row>
    <row r="1679" spans="1:1" x14ac:dyDescent="0.2">
      <c r="A1679" s="34" t="str">
        <f t="shared" si="26"/>
        <v/>
      </c>
    </row>
    <row r="1680" spans="1:1" x14ac:dyDescent="0.2">
      <c r="A1680" s="34" t="str">
        <f t="shared" si="26"/>
        <v/>
      </c>
    </row>
    <row r="1681" spans="1:1" x14ac:dyDescent="0.2">
      <c r="A1681" s="34" t="str">
        <f t="shared" si="26"/>
        <v/>
      </c>
    </row>
    <row r="1682" spans="1:1" x14ac:dyDescent="0.2">
      <c r="A1682" s="34" t="str">
        <f t="shared" si="26"/>
        <v/>
      </c>
    </row>
    <row r="1683" spans="1:1" x14ac:dyDescent="0.2">
      <c r="A1683" s="34" t="str">
        <f t="shared" si="26"/>
        <v/>
      </c>
    </row>
    <row r="1684" spans="1:1" x14ac:dyDescent="0.2">
      <c r="A1684" s="34" t="str">
        <f t="shared" si="26"/>
        <v/>
      </c>
    </row>
    <row r="1685" spans="1:1" x14ac:dyDescent="0.2">
      <c r="A1685" s="34" t="str">
        <f t="shared" si="26"/>
        <v/>
      </c>
    </row>
    <row r="1686" spans="1:1" x14ac:dyDescent="0.2">
      <c r="A1686" s="34" t="str">
        <f t="shared" si="26"/>
        <v/>
      </c>
    </row>
    <row r="1687" spans="1:1" x14ac:dyDescent="0.2">
      <c r="A1687" s="34" t="str">
        <f t="shared" si="26"/>
        <v/>
      </c>
    </row>
    <row r="1688" spans="1:1" x14ac:dyDescent="0.2">
      <c r="A1688" s="34" t="str">
        <f t="shared" si="26"/>
        <v/>
      </c>
    </row>
    <row r="1689" spans="1:1" x14ac:dyDescent="0.2">
      <c r="A1689" s="34" t="str">
        <f t="shared" si="26"/>
        <v/>
      </c>
    </row>
    <row r="1690" spans="1:1" x14ac:dyDescent="0.2">
      <c r="A1690" s="34" t="str">
        <f t="shared" si="26"/>
        <v/>
      </c>
    </row>
    <row r="1691" spans="1:1" x14ac:dyDescent="0.2">
      <c r="A1691" s="34" t="str">
        <f t="shared" si="26"/>
        <v/>
      </c>
    </row>
    <row r="1692" spans="1:1" x14ac:dyDescent="0.2">
      <c r="A1692" s="34" t="str">
        <f t="shared" si="26"/>
        <v/>
      </c>
    </row>
    <row r="1693" spans="1:1" x14ac:dyDescent="0.2">
      <c r="A1693" s="34" t="str">
        <f t="shared" si="26"/>
        <v/>
      </c>
    </row>
    <row r="1694" spans="1:1" x14ac:dyDescent="0.2">
      <c r="A1694" s="34" t="str">
        <f t="shared" si="26"/>
        <v/>
      </c>
    </row>
    <row r="1695" spans="1:1" x14ac:dyDescent="0.2">
      <c r="A1695" s="34" t="str">
        <f t="shared" si="26"/>
        <v/>
      </c>
    </row>
    <row r="1696" spans="1:1" x14ac:dyDescent="0.2">
      <c r="A1696" s="34" t="str">
        <f t="shared" si="26"/>
        <v/>
      </c>
    </row>
    <row r="1697" spans="1:1" x14ac:dyDescent="0.2">
      <c r="A1697" s="34" t="str">
        <f t="shared" si="26"/>
        <v/>
      </c>
    </row>
    <row r="1698" spans="1:1" x14ac:dyDescent="0.2">
      <c r="A1698" s="34" t="str">
        <f t="shared" si="26"/>
        <v/>
      </c>
    </row>
    <row r="1699" spans="1:1" x14ac:dyDescent="0.2">
      <c r="A1699" s="34" t="str">
        <f t="shared" si="26"/>
        <v/>
      </c>
    </row>
    <row r="1700" spans="1:1" x14ac:dyDescent="0.2">
      <c r="A1700" s="34" t="str">
        <f t="shared" si="26"/>
        <v/>
      </c>
    </row>
    <row r="1701" spans="1:1" x14ac:dyDescent="0.2">
      <c r="A1701" s="34" t="str">
        <f t="shared" si="26"/>
        <v/>
      </c>
    </row>
    <row r="1702" spans="1:1" x14ac:dyDescent="0.2">
      <c r="A1702" s="34" t="str">
        <f t="shared" si="26"/>
        <v/>
      </c>
    </row>
    <row r="1703" spans="1:1" x14ac:dyDescent="0.2">
      <c r="A1703" s="34" t="str">
        <f t="shared" si="26"/>
        <v/>
      </c>
    </row>
    <row r="1704" spans="1:1" x14ac:dyDescent="0.2">
      <c r="A1704" s="34" t="str">
        <f t="shared" si="26"/>
        <v/>
      </c>
    </row>
    <row r="1705" spans="1:1" x14ac:dyDescent="0.2">
      <c r="A1705" s="34" t="str">
        <f t="shared" si="26"/>
        <v/>
      </c>
    </row>
    <row r="1706" spans="1:1" x14ac:dyDescent="0.2">
      <c r="A1706" s="34" t="str">
        <f t="shared" si="26"/>
        <v/>
      </c>
    </row>
    <row r="1707" spans="1:1" x14ac:dyDescent="0.2">
      <c r="A1707" s="34" t="str">
        <f t="shared" si="26"/>
        <v/>
      </c>
    </row>
    <row r="1708" spans="1:1" x14ac:dyDescent="0.2">
      <c r="A1708" s="34" t="str">
        <f t="shared" si="26"/>
        <v/>
      </c>
    </row>
    <row r="1709" spans="1:1" x14ac:dyDescent="0.2">
      <c r="A1709" s="34" t="str">
        <f t="shared" si="26"/>
        <v/>
      </c>
    </row>
    <row r="1710" spans="1:1" x14ac:dyDescent="0.2">
      <c r="A1710" s="34" t="str">
        <f t="shared" si="26"/>
        <v/>
      </c>
    </row>
    <row r="1711" spans="1:1" x14ac:dyDescent="0.2">
      <c r="A1711" s="34" t="str">
        <f t="shared" si="26"/>
        <v/>
      </c>
    </row>
    <row r="1712" spans="1:1" x14ac:dyDescent="0.2">
      <c r="A1712" s="34" t="str">
        <f t="shared" si="26"/>
        <v/>
      </c>
    </row>
    <row r="1713" spans="1:1" x14ac:dyDescent="0.2">
      <c r="A1713" s="34" t="str">
        <f t="shared" si="26"/>
        <v/>
      </c>
    </row>
    <row r="1714" spans="1:1" x14ac:dyDescent="0.2">
      <c r="A1714" s="34" t="str">
        <f t="shared" si="26"/>
        <v/>
      </c>
    </row>
    <row r="1715" spans="1:1" x14ac:dyDescent="0.2">
      <c r="A1715" s="34" t="str">
        <f t="shared" si="26"/>
        <v/>
      </c>
    </row>
    <row r="1716" spans="1:1" x14ac:dyDescent="0.2">
      <c r="A1716" s="34" t="str">
        <f t="shared" si="26"/>
        <v/>
      </c>
    </row>
    <row r="1717" spans="1:1" x14ac:dyDescent="0.2">
      <c r="A1717" s="34" t="str">
        <f t="shared" si="26"/>
        <v/>
      </c>
    </row>
    <row r="1718" spans="1:1" x14ac:dyDescent="0.2">
      <c r="A1718" s="34" t="str">
        <f t="shared" si="26"/>
        <v/>
      </c>
    </row>
    <row r="1719" spans="1:1" x14ac:dyDescent="0.2">
      <c r="A1719" s="34" t="str">
        <f t="shared" si="26"/>
        <v/>
      </c>
    </row>
    <row r="1720" spans="1:1" x14ac:dyDescent="0.2">
      <c r="A1720" s="34" t="str">
        <f t="shared" si="26"/>
        <v/>
      </c>
    </row>
    <row r="1721" spans="1:1" x14ac:dyDescent="0.2">
      <c r="A1721" s="34" t="str">
        <f t="shared" si="26"/>
        <v/>
      </c>
    </row>
    <row r="1722" spans="1:1" x14ac:dyDescent="0.2">
      <c r="A1722" s="34" t="str">
        <f t="shared" si="26"/>
        <v/>
      </c>
    </row>
    <row r="1723" spans="1:1" x14ac:dyDescent="0.2">
      <c r="A1723" s="34" t="str">
        <f t="shared" si="26"/>
        <v/>
      </c>
    </row>
    <row r="1724" spans="1:1" x14ac:dyDescent="0.2">
      <c r="A1724" s="34" t="str">
        <f t="shared" si="26"/>
        <v/>
      </c>
    </row>
    <row r="1725" spans="1:1" x14ac:dyDescent="0.2">
      <c r="A1725" s="34" t="str">
        <f t="shared" si="26"/>
        <v/>
      </c>
    </row>
    <row r="1726" spans="1:1" x14ac:dyDescent="0.2">
      <c r="A1726" s="34" t="str">
        <f t="shared" si="26"/>
        <v/>
      </c>
    </row>
    <row r="1727" spans="1:1" x14ac:dyDescent="0.2">
      <c r="A1727" s="34" t="str">
        <f t="shared" si="26"/>
        <v/>
      </c>
    </row>
    <row r="1728" spans="1:1" x14ac:dyDescent="0.2">
      <c r="A1728" s="34" t="str">
        <f t="shared" si="26"/>
        <v/>
      </c>
    </row>
    <row r="1729" spans="1:1" x14ac:dyDescent="0.2">
      <c r="A1729" s="34" t="str">
        <f t="shared" si="26"/>
        <v/>
      </c>
    </row>
    <row r="1730" spans="1:1" x14ac:dyDescent="0.2">
      <c r="A1730" s="34" t="str">
        <f t="shared" si="26"/>
        <v/>
      </c>
    </row>
    <row r="1731" spans="1:1" x14ac:dyDescent="0.2">
      <c r="A1731" s="34" t="str">
        <f t="shared" ref="A1731:A1794" si="27">CONCATENATE(B1731,C1731,F1731)</f>
        <v/>
      </c>
    </row>
    <row r="1732" spans="1:1" x14ac:dyDescent="0.2">
      <c r="A1732" s="34" t="str">
        <f t="shared" si="27"/>
        <v/>
      </c>
    </row>
    <row r="1733" spans="1:1" x14ac:dyDescent="0.2">
      <c r="A1733" s="34" t="str">
        <f t="shared" si="27"/>
        <v/>
      </c>
    </row>
    <row r="1734" spans="1:1" x14ac:dyDescent="0.2">
      <c r="A1734" s="34" t="str">
        <f t="shared" si="27"/>
        <v/>
      </c>
    </row>
    <row r="1735" spans="1:1" x14ac:dyDescent="0.2">
      <c r="A1735" s="34" t="str">
        <f t="shared" si="27"/>
        <v/>
      </c>
    </row>
    <row r="1736" spans="1:1" x14ac:dyDescent="0.2">
      <c r="A1736" s="34" t="str">
        <f t="shared" si="27"/>
        <v/>
      </c>
    </row>
    <row r="1737" spans="1:1" x14ac:dyDescent="0.2">
      <c r="A1737" s="34" t="str">
        <f t="shared" si="27"/>
        <v/>
      </c>
    </row>
    <row r="1738" spans="1:1" x14ac:dyDescent="0.2">
      <c r="A1738" s="34" t="str">
        <f t="shared" si="27"/>
        <v/>
      </c>
    </row>
    <row r="1739" spans="1:1" x14ac:dyDescent="0.2">
      <c r="A1739" s="34" t="str">
        <f t="shared" si="27"/>
        <v/>
      </c>
    </row>
    <row r="1740" spans="1:1" x14ac:dyDescent="0.2">
      <c r="A1740" s="34" t="str">
        <f t="shared" si="27"/>
        <v/>
      </c>
    </row>
    <row r="1741" spans="1:1" x14ac:dyDescent="0.2">
      <c r="A1741" s="34" t="str">
        <f t="shared" si="27"/>
        <v/>
      </c>
    </row>
    <row r="1742" spans="1:1" x14ac:dyDescent="0.2">
      <c r="A1742" s="34" t="str">
        <f t="shared" si="27"/>
        <v/>
      </c>
    </row>
    <row r="1743" spans="1:1" x14ac:dyDescent="0.2">
      <c r="A1743" s="34" t="str">
        <f t="shared" si="27"/>
        <v/>
      </c>
    </row>
    <row r="1744" spans="1:1" x14ac:dyDescent="0.2">
      <c r="A1744" s="34" t="str">
        <f t="shared" si="27"/>
        <v/>
      </c>
    </row>
    <row r="1745" spans="1:1" x14ac:dyDescent="0.2">
      <c r="A1745" s="34" t="str">
        <f t="shared" si="27"/>
        <v/>
      </c>
    </row>
    <row r="1746" spans="1:1" x14ac:dyDescent="0.2">
      <c r="A1746" s="34" t="str">
        <f t="shared" si="27"/>
        <v/>
      </c>
    </row>
    <row r="1747" spans="1:1" x14ac:dyDescent="0.2">
      <c r="A1747" s="34" t="str">
        <f t="shared" si="27"/>
        <v/>
      </c>
    </row>
    <row r="1748" spans="1:1" x14ac:dyDescent="0.2">
      <c r="A1748" s="34" t="str">
        <f t="shared" si="27"/>
        <v/>
      </c>
    </row>
    <row r="1749" spans="1:1" x14ac:dyDescent="0.2">
      <c r="A1749" s="34" t="str">
        <f t="shared" si="27"/>
        <v/>
      </c>
    </row>
    <row r="1750" spans="1:1" x14ac:dyDescent="0.2">
      <c r="A1750" s="34" t="str">
        <f t="shared" si="27"/>
        <v/>
      </c>
    </row>
    <row r="1751" spans="1:1" x14ac:dyDescent="0.2">
      <c r="A1751" s="34" t="str">
        <f t="shared" si="27"/>
        <v/>
      </c>
    </row>
    <row r="1752" spans="1:1" x14ac:dyDescent="0.2">
      <c r="A1752" s="34" t="str">
        <f t="shared" si="27"/>
        <v/>
      </c>
    </row>
    <row r="1753" spans="1:1" x14ac:dyDescent="0.2">
      <c r="A1753" s="34" t="str">
        <f t="shared" si="27"/>
        <v/>
      </c>
    </row>
    <row r="1754" spans="1:1" x14ac:dyDescent="0.2">
      <c r="A1754" s="34" t="str">
        <f t="shared" si="27"/>
        <v/>
      </c>
    </row>
    <row r="1755" spans="1:1" x14ac:dyDescent="0.2">
      <c r="A1755" s="34" t="str">
        <f t="shared" si="27"/>
        <v/>
      </c>
    </row>
    <row r="1756" spans="1:1" x14ac:dyDescent="0.2">
      <c r="A1756" s="34" t="str">
        <f t="shared" si="27"/>
        <v/>
      </c>
    </row>
    <row r="1757" spans="1:1" x14ac:dyDescent="0.2">
      <c r="A1757" s="34" t="str">
        <f t="shared" si="27"/>
        <v/>
      </c>
    </row>
    <row r="1758" spans="1:1" x14ac:dyDescent="0.2">
      <c r="A1758" s="34" t="str">
        <f t="shared" si="27"/>
        <v/>
      </c>
    </row>
    <row r="1759" spans="1:1" x14ac:dyDescent="0.2">
      <c r="A1759" s="34" t="str">
        <f t="shared" si="27"/>
        <v/>
      </c>
    </row>
    <row r="1760" spans="1:1" x14ac:dyDescent="0.2">
      <c r="A1760" s="34" t="str">
        <f t="shared" si="27"/>
        <v/>
      </c>
    </row>
    <row r="1761" spans="1:1" x14ac:dyDescent="0.2">
      <c r="A1761" s="34" t="str">
        <f t="shared" si="27"/>
        <v/>
      </c>
    </row>
    <row r="1762" spans="1:1" x14ac:dyDescent="0.2">
      <c r="A1762" s="34" t="str">
        <f t="shared" si="27"/>
        <v/>
      </c>
    </row>
    <row r="1763" spans="1:1" x14ac:dyDescent="0.2">
      <c r="A1763" s="34" t="str">
        <f t="shared" si="27"/>
        <v/>
      </c>
    </row>
    <row r="1764" spans="1:1" x14ac:dyDescent="0.2">
      <c r="A1764" s="34" t="str">
        <f t="shared" si="27"/>
        <v/>
      </c>
    </row>
    <row r="1765" spans="1:1" x14ac:dyDescent="0.2">
      <c r="A1765" s="34" t="str">
        <f t="shared" si="27"/>
        <v/>
      </c>
    </row>
    <row r="1766" spans="1:1" x14ac:dyDescent="0.2">
      <c r="A1766" s="34" t="str">
        <f t="shared" si="27"/>
        <v/>
      </c>
    </row>
    <row r="1767" spans="1:1" x14ac:dyDescent="0.2">
      <c r="A1767" s="34" t="str">
        <f t="shared" si="27"/>
        <v/>
      </c>
    </row>
    <row r="1768" spans="1:1" x14ac:dyDescent="0.2">
      <c r="A1768" s="34" t="str">
        <f t="shared" si="27"/>
        <v/>
      </c>
    </row>
    <row r="1769" spans="1:1" x14ac:dyDescent="0.2">
      <c r="A1769" s="34" t="str">
        <f t="shared" si="27"/>
        <v/>
      </c>
    </row>
    <row r="1770" spans="1:1" x14ac:dyDescent="0.2">
      <c r="A1770" s="34" t="str">
        <f t="shared" si="27"/>
        <v/>
      </c>
    </row>
    <row r="1771" spans="1:1" x14ac:dyDescent="0.2">
      <c r="A1771" s="34" t="str">
        <f t="shared" si="27"/>
        <v/>
      </c>
    </row>
    <row r="1772" spans="1:1" x14ac:dyDescent="0.2">
      <c r="A1772" s="34" t="str">
        <f t="shared" si="27"/>
        <v/>
      </c>
    </row>
    <row r="1773" spans="1:1" x14ac:dyDescent="0.2">
      <c r="A1773" s="34" t="str">
        <f t="shared" si="27"/>
        <v/>
      </c>
    </row>
    <row r="1774" spans="1:1" x14ac:dyDescent="0.2">
      <c r="A1774" s="34" t="str">
        <f t="shared" si="27"/>
        <v/>
      </c>
    </row>
    <row r="1775" spans="1:1" x14ac:dyDescent="0.2">
      <c r="A1775" s="34" t="str">
        <f t="shared" si="27"/>
        <v/>
      </c>
    </row>
    <row r="1776" spans="1:1" x14ac:dyDescent="0.2">
      <c r="A1776" s="34" t="str">
        <f t="shared" si="27"/>
        <v/>
      </c>
    </row>
    <row r="1777" spans="1:1" x14ac:dyDescent="0.2">
      <c r="A1777" s="34" t="str">
        <f t="shared" si="27"/>
        <v/>
      </c>
    </row>
    <row r="1778" spans="1:1" x14ac:dyDescent="0.2">
      <c r="A1778" s="34" t="str">
        <f t="shared" si="27"/>
        <v/>
      </c>
    </row>
    <row r="1779" spans="1:1" x14ac:dyDescent="0.2">
      <c r="A1779" s="34" t="str">
        <f t="shared" si="27"/>
        <v/>
      </c>
    </row>
    <row r="1780" spans="1:1" x14ac:dyDescent="0.2">
      <c r="A1780" s="34" t="str">
        <f t="shared" si="27"/>
        <v/>
      </c>
    </row>
    <row r="1781" spans="1:1" x14ac:dyDescent="0.2">
      <c r="A1781" s="34" t="str">
        <f t="shared" si="27"/>
        <v/>
      </c>
    </row>
    <row r="1782" spans="1:1" x14ac:dyDescent="0.2">
      <c r="A1782" s="34" t="str">
        <f t="shared" si="27"/>
        <v/>
      </c>
    </row>
    <row r="1783" spans="1:1" x14ac:dyDescent="0.2">
      <c r="A1783" s="34" t="str">
        <f t="shared" si="27"/>
        <v/>
      </c>
    </row>
    <row r="1784" spans="1:1" x14ac:dyDescent="0.2">
      <c r="A1784" s="34" t="str">
        <f t="shared" si="27"/>
        <v/>
      </c>
    </row>
    <row r="1785" spans="1:1" x14ac:dyDescent="0.2">
      <c r="A1785" s="34" t="str">
        <f t="shared" si="27"/>
        <v/>
      </c>
    </row>
    <row r="1786" spans="1:1" x14ac:dyDescent="0.2">
      <c r="A1786" s="34" t="str">
        <f t="shared" si="27"/>
        <v/>
      </c>
    </row>
    <row r="1787" spans="1:1" x14ac:dyDescent="0.2">
      <c r="A1787" s="34" t="str">
        <f t="shared" si="27"/>
        <v/>
      </c>
    </row>
    <row r="1788" spans="1:1" x14ac:dyDescent="0.2">
      <c r="A1788" s="34" t="str">
        <f t="shared" si="27"/>
        <v/>
      </c>
    </row>
    <row r="1789" spans="1:1" x14ac:dyDescent="0.2">
      <c r="A1789" s="34" t="str">
        <f t="shared" si="27"/>
        <v/>
      </c>
    </row>
    <row r="1790" spans="1:1" x14ac:dyDescent="0.2">
      <c r="A1790" s="34" t="str">
        <f t="shared" si="27"/>
        <v/>
      </c>
    </row>
    <row r="1791" spans="1:1" x14ac:dyDescent="0.2">
      <c r="A1791" s="34" t="str">
        <f t="shared" si="27"/>
        <v/>
      </c>
    </row>
    <row r="1792" spans="1:1" x14ac:dyDescent="0.2">
      <c r="A1792" s="34" t="str">
        <f t="shared" si="27"/>
        <v/>
      </c>
    </row>
    <row r="1793" spans="1:1" x14ac:dyDescent="0.2">
      <c r="A1793" s="34" t="str">
        <f t="shared" si="27"/>
        <v/>
      </c>
    </row>
    <row r="1794" spans="1:1" x14ac:dyDescent="0.2">
      <c r="A1794" s="34" t="str">
        <f t="shared" si="27"/>
        <v/>
      </c>
    </row>
    <row r="1795" spans="1:1" x14ac:dyDescent="0.2">
      <c r="A1795" s="34" t="str">
        <f t="shared" ref="A1795:A1858" si="28">CONCATENATE(B1795,C1795,F1795)</f>
        <v/>
      </c>
    </row>
    <row r="1796" spans="1:1" x14ac:dyDescent="0.2">
      <c r="A1796" s="34" t="str">
        <f t="shared" si="28"/>
        <v/>
      </c>
    </row>
    <row r="1797" spans="1:1" x14ac:dyDescent="0.2">
      <c r="A1797" s="34" t="str">
        <f t="shared" si="28"/>
        <v/>
      </c>
    </row>
    <row r="1798" spans="1:1" x14ac:dyDescent="0.2">
      <c r="A1798" s="34" t="str">
        <f t="shared" si="28"/>
        <v/>
      </c>
    </row>
    <row r="1799" spans="1:1" x14ac:dyDescent="0.2">
      <c r="A1799" s="34" t="str">
        <f t="shared" si="28"/>
        <v/>
      </c>
    </row>
    <row r="1800" spans="1:1" x14ac:dyDescent="0.2">
      <c r="A1800" s="34" t="str">
        <f t="shared" si="28"/>
        <v/>
      </c>
    </row>
    <row r="1801" spans="1:1" x14ac:dyDescent="0.2">
      <c r="A1801" s="34" t="str">
        <f t="shared" si="28"/>
        <v/>
      </c>
    </row>
    <row r="1802" spans="1:1" x14ac:dyDescent="0.2">
      <c r="A1802" s="34" t="str">
        <f t="shared" si="28"/>
        <v/>
      </c>
    </row>
    <row r="1803" spans="1:1" x14ac:dyDescent="0.2">
      <c r="A1803" s="34" t="str">
        <f t="shared" si="28"/>
        <v/>
      </c>
    </row>
    <row r="1804" spans="1:1" x14ac:dyDescent="0.2">
      <c r="A1804" s="34" t="str">
        <f t="shared" si="28"/>
        <v/>
      </c>
    </row>
    <row r="1805" spans="1:1" x14ac:dyDescent="0.2">
      <c r="A1805" s="34" t="str">
        <f t="shared" si="28"/>
        <v/>
      </c>
    </row>
    <row r="1806" spans="1:1" x14ac:dyDescent="0.2">
      <c r="A1806" s="34" t="str">
        <f t="shared" si="28"/>
        <v/>
      </c>
    </row>
    <row r="1807" spans="1:1" x14ac:dyDescent="0.2">
      <c r="A1807" s="34" t="str">
        <f t="shared" si="28"/>
        <v/>
      </c>
    </row>
    <row r="1808" spans="1:1" x14ac:dyDescent="0.2">
      <c r="A1808" s="34" t="str">
        <f t="shared" si="28"/>
        <v/>
      </c>
    </row>
    <row r="1809" spans="1:1" x14ac:dyDescent="0.2">
      <c r="A1809" s="34" t="str">
        <f t="shared" si="28"/>
        <v/>
      </c>
    </row>
    <row r="1810" spans="1:1" x14ac:dyDescent="0.2">
      <c r="A1810" s="34" t="str">
        <f t="shared" si="28"/>
        <v/>
      </c>
    </row>
    <row r="1811" spans="1:1" x14ac:dyDescent="0.2">
      <c r="A1811" s="34" t="str">
        <f t="shared" si="28"/>
        <v/>
      </c>
    </row>
    <row r="1812" spans="1:1" x14ac:dyDescent="0.2">
      <c r="A1812" s="34" t="str">
        <f t="shared" si="28"/>
        <v/>
      </c>
    </row>
    <row r="1813" spans="1:1" x14ac:dyDescent="0.2">
      <c r="A1813" s="34" t="str">
        <f t="shared" si="28"/>
        <v/>
      </c>
    </row>
    <row r="1814" spans="1:1" x14ac:dyDescent="0.2">
      <c r="A1814" s="34" t="str">
        <f t="shared" si="28"/>
        <v/>
      </c>
    </row>
    <row r="1815" spans="1:1" x14ac:dyDescent="0.2">
      <c r="A1815" s="34" t="str">
        <f t="shared" si="28"/>
        <v/>
      </c>
    </row>
    <row r="1816" spans="1:1" x14ac:dyDescent="0.2">
      <c r="A1816" s="34" t="str">
        <f t="shared" si="28"/>
        <v/>
      </c>
    </row>
    <row r="1817" spans="1:1" x14ac:dyDescent="0.2">
      <c r="A1817" s="34" t="str">
        <f t="shared" si="28"/>
        <v/>
      </c>
    </row>
    <row r="1818" spans="1:1" x14ac:dyDescent="0.2">
      <c r="A1818" s="34" t="str">
        <f t="shared" si="28"/>
        <v/>
      </c>
    </row>
    <row r="1819" spans="1:1" x14ac:dyDescent="0.2">
      <c r="A1819" s="34" t="str">
        <f t="shared" si="28"/>
        <v/>
      </c>
    </row>
    <row r="1820" spans="1:1" x14ac:dyDescent="0.2">
      <c r="A1820" s="34" t="str">
        <f t="shared" si="28"/>
        <v/>
      </c>
    </row>
    <row r="1821" spans="1:1" x14ac:dyDescent="0.2">
      <c r="A1821" s="34" t="str">
        <f t="shared" si="28"/>
        <v/>
      </c>
    </row>
    <row r="1822" spans="1:1" x14ac:dyDescent="0.2">
      <c r="A1822" s="34" t="str">
        <f t="shared" si="28"/>
        <v/>
      </c>
    </row>
    <row r="1823" spans="1:1" x14ac:dyDescent="0.2">
      <c r="A1823" s="34" t="str">
        <f t="shared" si="28"/>
        <v/>
      </c>
    </row>
    <row r="1824" spans="1:1" x14ac:dyDescent="0.2">
      <c r="A1824" s="34" t="str">
        <f t="shared" si="28"/>
        <v/>
      </c>
    </row>
    <row r="1825" spans="1:1" x14ac:dyDescent="0.2">
      <c r="A1825" s="34" t="str">
        <f t="shared" si="28"/>
        <v/>
      </c>
    </row>
    <row r="1826" spans="1:1" x14ac:dyDescent="0.2">
      <c r="A1826" s="34" t="str">
        <f t="shared" si="28"/>
        <v/>
      </c>
    </row>
    <row r="1827" spans="1:1" x14ac:dyDescent="0.2">
      <c r="A1827" s="34" t="str">
        <f t="shared" si="28"/>
        <v/>
      </c>
    </row>
    <row r="1828" spans="1:1" x14ac:dyDescent="0.2">
      <c r="A1828" s="34" t="str">
        <f t="shared" si="28"/>
        <v/>
      </c>
    </row>
    <row r="1829" spans="1:1" x14ac:dyDescent="0.2">
      <c r="A1829" s="34" t="str">
        <f t="shared" si="28"/>
        <v/>
      </c>
    </row>
    <row r="1830" spans="1:1" x14ac:dyDescent="0.2">
      <c r="A1830" s="34" t="str">
        <f t="shared" si="28"/>
        <v/>
      </c>
    </row>
    <row r="1831" spans="1:1" x14ac:dyDescent="0.2">
      <c r="A1831" s="34" t="str">
        <f t="shared" si="28"/>
        <v/>
      </c>
    </row>
    <row r="1832" spans="1:1" x14ac:dyDescent="0.2">
      <c r="A1832" s="34" t="str">
        <f t="shared" si="28"/>
        <v/>
      </c>
    </row>
    <row r="1833" spans="1:1" x14ac:dyDescent="0.2">
      <c r="A1833" s="34" t="str">
        <f t="shared" si="28"/>
        <v/>
      </c>
    </row>
    <row r="1834" spans="1:1" x14ac:dyDescent="0.2">
      <c r="A1834" s="34" t="str">
        <f t="shared" si="28"/>
        <v/>
      </c>
    </row>
    <row r="1835" spans="1:1" x14ac:dyDescent="0.2">
      <c r="A1835" s="34" t="str">
        <f t="shared" si="28"/>
        <v/>
      </c>
    </row>
    <row r="1836" spans="1:1" x14ac:dyDescent="0.2">
      <c r="A1836" s="34" t="str">
        <f t="shared" si="28"/>
        <v/>
      </c>
    </row>
    <row r="1837" spans="1:1" x14ac:dyDescent="0.2">
      <c r="A1837" s="34" t="str">
        <f t="shared" si="28"/>
        <v/>
      </c>
    </row>
    <row r="1838" spans="1:1" x14ac:dyDescent="0.2">
      <c r="A1838" s="34" t="str">
        <f t="shared" si="28"/>
        <v/>
      </c>
    </row>
    <row r="1839" spans="1:1" x14ac:dyDescent="0.2">
      <c r="A1839" s="34" t="str">
        <f t="shared" si="28"/>
        <v/>
      </c>
    </row>
    <row r="1840" spans="1:1" x14ac:dyDescent="0.2">
      <c r="A1840" s="34" t="str">
        <f t="shared" si="28"/>
        <v/>
      </c>
    </row>
    <row r="1841" spans="1:1" x14ac:dyDescent="0.2">
      <c r="A1841" s="34" t="str">
        <f t="shared" si="28"/>
        <v/>
      </c>
    </row>
    <row r="1842" spans="1:1" x14ac:dyDescent="0.2">
      <c r="A1842" s="34" t="str">
        <f t="shared" si="28"/>
        <v/>
      </c>
    </row>
    <row r="1843" spans="1:1" x14ac:dyDescent="0.2">
      <c r="A1843" s="34" t="str">
        <f t="shared" si="28"/>
        <v/>
      </c>
    </row>
    <row r="1844" spans="1:1" x14ac:dyDescent="0.2">
      <c r="A1844" s="34" t="str">
        <f t="shared" si="28"/>
        <v/>
      </c>
    </row>
    <row r="1845" spans="1:1" x14ac:dyDescent="0.2">
      <c r="A1845" s="34" t="str">
        <f t="shared" si="28"/>
        <v/>
      </c>
    </row>
    <row r="1846" spans="1:1" x14ac:dyDescent="0.2">
      <c r="A1846" s="34" t="str">
        <f t="shared" si="28"/>
        <v/>
      </c>
    </row>
    <row r="1847" spans="1:1" x14ac:dyDescent="0.2">
      <c r="A1847" s="34" t="str">
        <f t="shared" si="28"/>
        <v/>
      </c>
    </row>
    <row r="1848" spans="1:1" x14ac:dyDescent="0.2">
      <c r="A1848" s="34" t="str">
        <f t="shared" si="28"/>
        <v/>
      </c>
    </row>
    <row r="1849" spans="1:1" x14ac:dyDescent="0.2">
      <c r="A1849" s="34" t="str">
        <f t="shared" si="28"/>
        <v/>
      </c>
    </row>
    <row r="1850" spans="1:1" x14ac:dyDescent="0.2">
      <c r="A1850" s="34" t="str">
        <f t="shared" si="28"/>
        <v/>
      </c>
    </row>
    <row r="1851" spans="1:1" x14ac:dyDescent="0.2">
      <c r="A1851" s="34" t="str">
        <f t="shared" si="28"/>
        <v/>
      </c>
    </row>
    <row r="1852" spans="1:1" x14ac:dyDescent="0.2">
      <c r="A1852" s="34" t="str">
        <f t="shared" si="28"/>
        <v/>
      </c>
    </row>
    <row r="1853" spans="1:1" x14ac:dyDescent="0.2">
      <c r="A1853" s="34" t="str">
        <f t="shared" si="28"/>
        <v/>
      </c>
    </row>
    <row r="1854" spans="1:1" x14ac:dyDescent="0.2">
      <c r="A1854" s="34" t="str">
        <f t="shared" si="28"/>
        <v/>
      </c>
    </row>
    <row r="1855" spans="1:1" x14ac:dyDescent="0.2">
      <c r="A1855" s="34" t="str">
        <f t="shared" si="28"/>
        <v/>
      </c>
    </row>
    <row r="1856" spans="1:1" x14ac:dyDescent="0.2">
      <c r="A1856" s="34" t="str">
        <f t="shared" si="28"/>
        <v/>
      </c>
    </row>
    <row r="1857" spans="1:1" x14ac:dyDescent="0.2">
      <c r="A1857" s="34" t="str">
        <f t="shared" si="28"/>
        <v/>
      </c>
    </row>
    <row r="1858" spans="1:1" x14ac:dyDescent="0.2">
      <c r="A1858" s="34" t="str">
        <f t="shared" si="28"/>
        <v/>
      </c>
    </row>
    <row r="1859" spans="1:1" x14ac:dyDescent="0.2">
      <c r="A1859" s="34" t="str">
        <f t="shared" ref="A1859:A1922" si="29">CONCATENATE(B1859,C1859,F1859)</f>
        <v/>
      </c>
    </row>
    <row r="1860" spans="1:1" x14ac:dyDescent="0.2">
      <c r="A1860" s="34" t="str">
        <f t="shared" si="29"/>
        <v/>
      </c>
    </row>
    <row r="1861" spans="1:1" x14ac:dyDescent="0.2">
      <c r="A1861" s="34" t="str">
        <f t="shared" si="29"/>
        <v/>
      </c>
    </row>
    <row r="1862" spans="1:1" x14ac:dyDescent="0.2">
      <c r="A1862" s="34" t="str">
        <f t="shared" si="29"/>
        <v/>
      </c>
    </row>
    <row r="1863" spans="1:1" x14ac:dyDescent="0.2">
      <c r="A1863" s="34" t="str">
        <f t="shared" si="29"/>
        <v/>
      </c>
    </row>
    <row r="1864" spans="1:1" x14ac:dyDescent="0.2">
      <c r="A1864" s="34" t="str">
        <f t="shared" si="29"/>
        <v/>
      </c>
    </row>
    <row r="1865" spans="1:1" x14ac:dyDescent="0.2">
      <c r="A1865" s="34" t="str">
        <f t="shared" si="29"/>
        <v/>
      </c>
    </row>
    <row r="1866" spans="1:1" x14ac:dyDescent="0.2">
      <c r="A1866" s="34" t="str">
        <f t="shared" si="29"/>
        <v/>
      </c>
    </row>
    <row r="1867" spans="1:1" x14ac:dyDescent="0.2">
      <c r="A1867" s="34" t="str">
        <f t="shared" si="29"/>
        <v/>
      </c>
    </row>
    <row r="1868" spans="1:1" x14ac:dyDescent="0.2">
      <c r="A1868" s="34" t="str">
        <f t="shared" si="29"/>
        <v/>
      </c>
    </row>
    <row r="1869" spans="1:1" x14ac:dyDescent="0.2">
      <c r="A1869" s="34" t="str">
        <f t="shared" si="29"/>
        <v/>
      </c>
    </row>
    <row r="1870" spans="1:1" x14ac:dyDescent="0.2">
      <c r="A1870" s="34" t="str">
        <f t="shared" si="29"/>
        <v/>
      </c>
    </row>
    <row r="1871" spans="1:1" x14ac:dyDescent="0.2">
      <c r="A1871" s="34" t="str">
        <f t="shared" si="29"/>
        <v/>
      </c>
    </row>
    <row r="1872" spans="1:1" x14ac:dyDescent="0.2">
      <c r="A1872" s="34" t="str">
        <f t="shared" si="29"/>
        <v/>
      </c>
    </row>
    <row r="1873" spans="1:1" x14ac:dyDescent="0.2">
      <c r="A1873" s="34" t="str">
        <f t="shared" si="29"/>
        <v/>
      </c>
    </row>
    <row r="1874" spans="1:1" x14ac:dyDescent="0.2">
      <c r="A1874" s="34" t="str">
        <f t="shared" si="29"/>
        <v/>
      </c>
    </row>
    <row r="1875" spans="1:1" x14ac:dyDescent="0.2">
      <c r="A1875" s="34" t="str">
        <f t="shared" si="29"/>
        <v/>
      </c>
    </row>
    <row r="1876" spans="1:1" x14ac:dyDescent="0.2">
      <c r="A1876" s="34" t="str">
        <f t="shared" si="29"/>
        <v/>
      </c>
    </row>
    <row r="1877" spans="1:1" x14ac:dyDescent="0.2">
      <c r="A1877" s="34" t="str">
        <f t="shared" si="29"/>
        <v/>
      </c>
    </row>
    <row r="1878" spans="1:1" x14ac:dyDescent="0.2">
      <c r="A1878" s="34" t="str">
        <f t="shared" si="29"/>
        <v/>
      </c>
    </row>
    <row r="1879" spans="1:1" x14ac:dyDescent="0.2">
      <c r="A1879" s="34" t="str">
        <f t="shared" si="29"/>
        <v/>
      </c>
    </row>
    <row r="1880" spans="1:1" x14ac:dyDescent="0.2">
      <c r="A1880" s="34" t="str">
        <f t="shared" si="29"/>
        <v/>
      </c>
    </row>
    <row r="1881" spans="1:1" x14ac:dyDescent="0.2">
      <c r="A1881" s="34" t="str">
        <f t="shared" si="29"/>
        <v/>
      </c>
    </row>
    <row r="1882" spans="1:1" x14ac:dyDescent="0.2">
      <c r="A1882" s="34" t="str">
        <f t="shared" si="29"/>
        <v/>
      </c>
    </row>
    <row r="1883" spans="1:1" x14ac:dyDescent="0.2">
      <c r="A1883" s="34" t="str">
        <f t="shared" si="29"/>
        <v/>
      </c>
    </row>
    <row r="1884" spans="1:1" x14ac:dyDescent="0.2">
      <c r="A1884" s="34" t="str">
        <f t="shared" si="29"/>
        <v/>
      </c>
    </row>
    <row r="1885" spans="1:1" x14ac:dyDescent="0.2">
      <c r="A1885" s="34" t="str">
        <f t="shared" si="29"/>
        <v/>
      </c>
    </row>
    <row r="1886" spans="1:1" x14ac:dyDescent="0.2">
      <c r="A1886" s="34" t="str">
        <f t="shared" si="29"/>
        <v/>
      </c>
    </row>
    <row r="1887" spans="1:1" x14ac:dyDescent="0.2">
      <c r="A1887" s="34" t="str">
        <f t="shared" si="29"/>
        <v/>
      </c>
    </row>
    <row r="1888" spans="1:1" x14ac:dyDescent="0.2">
      <c r="A1888" s="34" t="str">
        <f t="shared" si="29"/>
        <v/>
      </c>
    </row>
    <row r="1889" spans="1:1" x14ac:dyDescent="0.2">
      <c r="A1889" s="34" t="str">
        <f t="shared" si="29"/>
        <v/>
      </c>
    </row>
    <row r="1890" spans="1:1" x14ac:dyDescent="0.2">
      <c r="A1890" s="34" t="str">
        <f t="shared" si="29"/>
        <v/>
      </c>
    </row>
    <row r="1891" spans="1:1" x14ac:dyDescent="0.2">
      <c r="A1891" s="34" t="str">
        <f t="shared" si="29"/>
        <v/>
      </c>
    </row>
    <row r="1892" spans="1:1" x14ac:dyDescent="0.2">
      <c r="A1892" s="34" t="str">
        <f t="shared" si="29"/>
        <v/>
      </c>
    </row>
    <row r="1893" spans="1:1" x14ac:dyDescent="0.2">
      <c r="A1893" s="34" t="str">
        <f t="shared" si="29"/>
        <v/>
      </c>
    </row>
    <row r="1894" spans="1:1" x14ac:dyDescent="0.2">
      <c r="A1894" s="34" t="str">
        <f t="shared" si="29"/>
        <v/>
      </c>
    </row>
    <row r="1895" spans="1:1" x14ac:dyDescent="0.2">
      <c r="A1895" s="34" t="str">
        <f t="shared" si="29"/>
        <v/>
      </c>
    </row>
    <row r="1896" spans="1:1" x14ac:dyDescent="0.2">
      <c r="A1896" s="34" t="str">
        <f t="shared" si="29"/>
        <v/>
      </c>
    </row>
    <row r="1897" spans="1:1" x14ac:dyDescent="0.2">
      <c r="A1897" s="34" t="str">
        <f t="shared" si="29"/>
        <v/>
      </c>
    </row>
    <row r="1898" spans="1:1" x14ac:dyDescent="0.2">
      <c r="A1898" s="34" t="str">
        <f t="shared" si="29"/>
        <v/>
      </c>
    </row>
    <row r="1899" spans="1:1" x14ac:dyDescent="0.2">
      <c r="A1899" s="34" t="str">
        <f t="shared" si="29"/>
        <v/>
      </c>
    </row>
    <row r="1900" spans="1:1" x14ac:dyDescent="0.2">
      <c r="A1900" s="34" t="str">
        <f t="shared" si="29"/>
        <v/>
      </c>
    </row>
    <row r="1901" spans="1:1" x14ac:dyDescent="0.2">
      <c r="A1901" s="34" t="str">
        <f t="shared" si="29"/>
        <v/>
      </c>
    </row>
    <row r="1902" spans="1:1" x14ac:dyDescent="0.2">
      <c r="A1902" s="34" t="str">
        <f t="shared" si="29"/>
        <v/>
      </c>
    </row>
    <row r="1903" spans="1:1" x14ac:dyDescent="0.2">
      <c r="A1903" s="34" t="str">
        <f t="shared" si="29"/>
        <v/>
      </c>
    </row>
    <row r="1904" spans="1:1" x14ac:dyDescent="0.2">
      <c r="A1904" s="34" t="str">
        <f t="shared" si="29"/>
        <v/>
      </c>
    </row>
    <row r="1905" spans="1:1" x14ac:dyDescent="0.2">
      <c r="A1905" s="34" t="str">
        <f t="shared" si="29"/>
        <v/>
      </c>
    </row>
    <row r="1906" spans="1:1" x14ac:dyDescent="0.2">
      <c r="A1906" s="34" t="str">
        <f t="shared" si="29"/>
        <v/>
      </c>
    </row>
    <row r="1907" spans="1:1" x14ac:dyDescent="0.2">
      <c r="A1907" s="34" t="str">
        <f t="shared" si="29"/>
        <v/>
      </c>
    </row>
    <row r="1908" spans="1:1" x14ac:dyDescent="0.2">
      <c r="A1908" s="34" t="str">
        <f t="shared" si="29"/>
        <v/>
      </c>
    </row>
    <row r="1909" spans="1:1" x14ac:dyDescent="0.2">
      <c r="A1909" s="34" t="str">
        <f t="shared" si="29"/>
        <v/>
      </c>
    </row>
    <row r="1910" spans="1:1" x14ac:dyDescent="0.2">
      <c r="A1910" s="34" t="str">
        <f t="shared" si="29"/>
        <v/>
      </c>
    </row>
    <row r="1911" spans="1:1" x14ac:dyDescent="0.2">
      <c r="A1911" s="34" t="str">
        <f t="shared" si="29"/>
        <v/>
      </c>
    </row>
    <row r="1912" spans="1:1" x14ac:dyDescent="0.2">
      <c r="A1912" s="34" t="str">
        <f t="shared" si="29"/>
        <v/>
      </c>
    </row>
    <row r="1913" spans="1:1" x14ac:dyDescent="0.2">
      <c r="A1913" s="34" t="str">
        <f t="shared" si="29"/>
        <v/>
      </c>
    </row>
    <row r="1914" spans="1:1" x14ac:dyDescent="0.2">
      <c r="A1914" s="34" t="str">
        <f t="shared" si="29"/>
        <v/>
      </c>
    </row>
    <row r="1915" spans="1:1" x14ac:dyDescent="0.2">
      <c r="A1915" s="34" t="str">
        <f t="shared" si="29"/>
        <v/>
      </c>
    </row>
    <row r="1916" spans="1:1" x14ac:dyDescent="0.2">
      <c r="A1916" s="34" t="str">
        <f t="shared" si="29"/>
        <v/>
      </c>
    </row>
    <row r="1917" spans="1:1" x14ac:dyDescent="0.2">
      <c r="A1917" s="34" t="str">
        <f t="shared" si="29"/>
        <v/>
      </c>
    </row>
    <row r="1918" spans="1:1" x14ac:dyDescent="0.2">
      <c r="A1918" s="34" t="str">
        <f t="shared" si="29"/>
        <v/>
      </c>
    </row>
    <row r="1919" spans="1:1" x14ac:dyDescent="0.2">
      <c r="A1919" s="34" t="str">
        <f t="shared" si="29"/>
        <v/>
      </c>
    </row>
    <row r="1920" spans="1:1" x14ac:dyDescent="0.2">
      <c r="A1920" s="34" t="str">
        <f t="shared" si="29"/>
        <v/>
      </c>
    </row>
    <row r="1921" spans="1:1" x14ac:dyDescent="0.2">
      <c r="A1921" s="34" t="str">
        <f t="shared" si="29"/>
        <v/>
      </c>
    </row>
    <row r="1922" spans="1:1" x14ac:dyDescent="0.2">
      <c r="A1922" s="34" t="str">
        <f t="shared" si="29"/>
        <v/>
      </c>
    </row>
    <row r="1923" spans="1:1" x14ac:dyDescent="0.2">
      <c r="A1923" s="34" t="str">
        <f t="shared" ref="A1923:A1986" si="30">CONCATENATE(B1923,C1923,F1923)</f>
        <v/>
      </c>
    </row>
    <row r="1924" spans="1:1" x14ac:dyDescent="0.2">
      <c r="A1924" s="34" t="str">
        <f t="shared" si="30"/>
        <v/>
      </c>
    </row>
    <row r="1925" spans="1:1" x14ac:dyDescent="0.2">
      <c r="A1925" s="34" t="str">
        <f t="shared" si="30"/>
        <v/>
      </c>
    </row>
    <row r="1926" spans="1:1" x14ac:dyDescent="0.2">
      <c r="A1926" s="34" t="str">
        <f t="shared" si="30"/>
        <v/>
      </c>
    </row>
    <row r="1927" spans="1:1" x14ac:dyDescent="0.2">
      <c r="A1927" s="34" t="str">
        <f t="shared" si="30"/>
        <v/>
      </c>
    </row>
    <row r="1928" spans="1:1" x14ac:dyDescent="0.2">
      <c r="A1928" s="34" t="str">
        <f t="shared" si="30"/>
        <v/>
      </c>
    </row>
    <row r="1929" spans="1:1" x14ac:dyDescent="0.2">
      <c r="A1929" s="34" t="str">
        <f t="shared" si="30"/>
        <v/>
      </c>
    </row>
    <row r="1930" spans="1:1" x14ac:dyDescent="0.2">
      <c r="A1930" s="34" t="str">
        <f t="shared" si="30"/>
        <v/>
      </c>
    </row>
    <row r="1931" spans="1:1" x14ac:dyDescent="0.2">
      <c r="A1931" s="34" t="str">
        <f t="shared" si="30"/>
        <v/>
      </c>
    </row>
    <row r="1932" spans="1:1" x14ac:dyDescent="0.2">
      <c r="A1932" s="34" t="str">
        <f t="shared" si="30"/>
        <v/>
      </c>
    </row>
    <row r="1933" spans="1:1" x14ac:dyDescent="0.2">
      <c r="A1933" s="34" t="str">
        <f t="shared" si="30"/>
        <v/>
      </c>
    </row>
    <row r="1934" spans="1:1" x14ac:dyDescent="0.2">
      <c r="A1934" s="34" t="str">
        <f t="shared" si="30"/>
        <v/>
      </c>
    </row>
    <row r="1935" spans="1:1" x14ac:dyDescent="0.2">
      <c r="A1935" s="34" t="str">
        <f t="shared" si="30"/>
        <v/>
      </c>
    </row>
    <row r="1936" spans="1:1" x14ac:dyDescent="0.2">
      <c r="A1936" s="34" t="str">
        <f t="shared" si="30"/>
        <v/>
      </c>
    </row>
    <row r="1937" spans="1:1" x14ac:dyDescent="0.2">
      <c r="A1937" s="34" t="str">
        <f t="shared" si="30"/>
        <v/>
      </c>
    </row>
    <row r="1938" spans="1:1" x14ac:dyDescent="0.2">
      <c r="A1938" s="34" t="str">
        <f t="shared" si="30"/>
        <v/>
      </c>
    </row>
    <row r="1939" spans="1:1" x14ac:dyDescent="0.2">
      <c r="A1939" s="34" t="str">
        <f t="shared" si="30"/>
        <v/>
      </c>
    </row>
    <row r="1940" spans="1:1" x14ac:dyDescent="0.2">
      <c r="A1940" s="34" t="str">
        <f t="shared" si="30"/>
        <v/>
      </c>
    </row>
    <row r="1941" spans="1:1" x14ac:dyDescent="0.2">
      <c r="A1941" s="34" t="str">
        <f t="shared" si="30"/>
        <v/>
      </c>
    </row>
    <row r="1942" spans="1:1" x14ac:dyDescent="0.2">
      <c r="A1942" s="34" t="str">
        <f t="shared" si="30"/>
        <v/>
      </c>
    </row>
    <row r="1943" spans="1:1" x14ac:dyDescent="0.2">
      <c r="A1943" s="34" t="str">
        <f t="shared" si="30"/>
        <v/>
      </c>
    </row>
    <row r="1944" spans="1:1" x14ac:dyDescent="0.2">
      <c r="A1944" s="34" t="str">
        <f t="shared" si="30"/>
        <v/>
      </c>
    </row>
    <row r="1945" spans="1:1" x14ac:dyDescent="0.2">
      <c r="A1945" s="34" t="str">
        <f t="shared" si="30"/>
        <v/>
      </c>
    </row>
    <row r="1946" spans="1:1" x14ac:dyDescent="0.2">
      <c r="A1946" s="34" t="str">
        <f t="shared" si="30"/>
        <v/>
      </c>
    </row>
    <row r="1947" spans="1:1" x14ac:dyDescent="0.2">
      <c r="A1947" s="34" t="str">
        <f t="shared" si="30"/>
        <v/>
      </c>
    </row>
    <row r="1948" spans="1:1" x14ac:dyDescent="0.2">
      <c r="A1948" s="34" t="str">
        <f t="shared" si="30"/>
        <v/>
      </c>
    </row>
    <row r="1949" spans="1:1" x14ac:dyDescent="0.2">
      <c r="A1949" s="34" t="str">
        <f t="shared" si="30"/>
        <v/>
      </c>
    </row>
    <row r="1950" spans="1:1" x14ac:dyDescent="0.2">
      <c r="A1950" s="34" t="str">
        <f t="shared" si="30"/>
        <v/>
      </c>
    </row>
    <row r="1951" spans="1:1" x14ac:dyDescent="0.2">
      <c r="A1951" s="34" t="str">
        <f t="shared" si="30"/>
        <v/>
      </c>
    </row>
    <row r="1952" spans="1:1" x14ac:dyDescent="0.2">
      <c r="A1952" s="34" t="str">
        <f t="shared" si="30"/>
        <v/>
      </c>
    </row>
    <row r="1953" spans="1:1" x14ac:dyDescent="0.2">
      <c r="A1953" s="34" t="str">
        <f t="shared" si="30"/>
        <v/>
      </c>
    </row>
    <row r="1954" spans="1:1" x14ac:dyDescent="0.2">
      <c r="A1954" s="34" t="str">
        <f t="shared" si="30"/>
        <v/>
      </c>
    </row>
    <row r="1955" spans="1:1" x14ac:dyDescent="0.2">
      <c r="A1955" s="34" t="str">
        <f t="shared" si="30"/>
        <v/>
      </c>
    </row>
    <row r="1956" spans="1:1" x14ac:dyDescent="0.2">
      <c r="A1956" s="34" t="str">
        <f t="shared" si="30"/>
        <v/>
      </c>
    </row>
    <row r="1957" spans="1:1" x14ac:dyDescent="0.2">
      <c r="A1957" s="34" t="str">
        <f t="shared" si="30"/>
        <v/>
      </c>
    </row>
    <row r="1958" spans="1:1" x14ac:dyDescent="0.2">
      <c r="A1958" s="34" t="str">
        <f t="shared" si="30"/>
        <v/>
      </c>
    </row>
    <row r="1959" spans="1:1" x14ac:dyDescent="0.2">
      <c r="A1959" s="34" t="str">
        <f t="shared" si="30"/>
        <v/>
      </c>
    </row>
    <row r="1960" spans="1:1" x14ac:dyDescent="0.2">
      <c r="A1960" s="34" t="str">
        <f t="shared" si="30"/>
        <v/>
      </c>
    </row>
    <row r="1961" spans="1:1" x14ac:dyDescent="0.2">
      <c r="A1961" s="34" t="str">
        <f t="shared" si="30"/>
        <v/>
      </c>
    </row>
    <row r="1962" spans="1:1" x14ac:dyDescent="0.2">
      <c r="A1962" s="34" t="str">
        <f t="shared" si="30"/>
        <v/>
      </c>
    </row>
    <row r="1963" spans="1:1" x14ac:dyDescent="0.2">
      <c r="A1963" s="34" t="str">
        <f t="shared" si="30"/>
        <v/>
      </c>
    </row>
    <row r="1964" spans="1:1" x14ac:dyDescent="0.2">
      <c r="A1964" s="34" t="str">
        <f t="shared" si="30"/>
        <v/>
      </c>
    </row>
    <row r="1965" spans="1:1" x14ac:dyDescent="0.2">
      <c r="A1965" s="34" t="str">
        <f t="shared" si="30"/>
        <v/>
      </c>
    </row>
    <row r="1966" spans="1:1" x14ac:dyDescent="0.2">
      <c r="A1966" s="34" t="str">
        <f t="shared" si="30"/>
        <v/>
      </c>
    </row>
    <row r="1967" spans="1:1" x14ac:dyDescent="0.2">
      <c r="A1967" s="34" t="str">
        <f t="shared" si="30"/>
        <v/>
      </c>
    </row>
    <row r="1968" spans="1:1" x14ac:dyDescent="0.2">
      <c r="A1968" s="34" t="str">
        <f t="shared" si="30"/>
        <v/>
      </c>
    </row>
    <row r="1969" spans="1:1" x14ac:dyDescent="0.2">
      <c r="A1969" s="34" t="str">
        <f t="shared" si="30"/>
        <v/>
      </c>
    </row>
    <row r="1970" spans="1:1" x14ac:dyDescent="0.2">
      <c r="A1970" s="34" t="str">
        <f t="shared" si="30"/>
        <v/>
      </c>
    </row>
    <row r="1971" spans="1:1" x14ac:dyDescent="0.2">
      <c r="A1971" s="34" t="str">
        <f t="shared" si="30"/>
        <v/>
      </c>
    </row>
    <row r="1972" spans="1:1" x14ac:dyDescent="0.2">
      <c r="A1972" s="34" t="str">
        <f t="shared" si="30"/>
        <v/>
      </c>
    </row>
    <row r="1973" spans="1:1" x14ac:dyDescent="0.2">
      <c r="A1973" s="34" t="str">
        <f t="shared" si="30"/>
        <v/>
      </c>
    </row>
    <row r="1974" spans="1:1" x14ac:dyDescent="0.2">
      <c r="A1974" s="34" t="str">
        <f t="shared" si="30"/>
        <v/>
      </c>
    </row>
    <row r="1975" spans="1:1" x14ac:dyDescent="0.2">
      <c r="A1975" s="34" t="str">
        <f t="shared" si="30"/>
        <v/>
      </c>
    </row>
    <row r="1976" spans="1:1" x14ac:dyDescent="0.2">
      <c r="A1976" s="34" t="str">
        <f t="shared" si="30"/>
        <v/>
      </c>
    </row>
    <row r="1977" spans="1:1" x14ac:dyDescent="0.2">
      <c r="A1977" s="34" t="str">
        <f t="shared" si="30"/>
        <v/>
      </c>
    </row>
    <row r="1978" spans="1:1" x14ac:dyDescent="0.2">
      <c r="A1978" s="34" t="str">
        <f t="shared" si="30"/>
        <v/>
      </c>
    </row>
    <row r="1979" spans="1:1" x14ac:dyDescent="0.2">
      <c r="A1979" s="34" t="str">
        <f t="shared" si="30"/>
        <v/>
      </c>
    </row>
    <row r="1980" spans="1:1" x14ac:dyDescent="0.2">
      <c r="A1980" s="34" t="str">
        <f t="shared" si="30"/>
        <v/>
      </c>
    </row>
    <row r="1981" spans="1:1" x14ac:dyDescent="0.2">
      <c r="A1981" s="34" t="str">
        <f t="shared" si="30"/>
        <v/>
      </c>
    </row>
    <row r="1982" spans="1:1" x14ac:dyDescent="0.2">
      <c r="A1982" s="34" t="str">
        <f t="shared" si="30"/>
        <v/>
      </c>
    </row>
    <row r="1983" spans="1:1" x14ac:dyDescent="0.2">
      <c r="A1983" s="34" t="str">
        <f t="shared" si="30"/>
        <v/>
      </c>
    </row>
    <row r="1984" spans="1:1" x14ac:dyDescent="0.2">
      <c r="A1984" s="34" t="str">
        <f t="shared" si="30"/>
        <v/>
      </c>
    </row>
    <row r="1985" spans="1:1" x14ac:dyDescent="0.2">
      <c r="A1985" s="34" t="str">
        <f t="shared" si="30"/>
        <v/>
      </c>
    </row>
    <row r="1986" spans="1:1" x14ac:dyDescent="0.2">
      <c r="A1986" s="34" t="str">
        <f t="shared" si="30"/>
        <v/>
      </c>
    </row>
    <row r="1987" spans="1:1" x14ac:dyDescent="0.2">
      <c r="A1987" s="34" t="str">
        <f t="shared" ref="A1987:A2002" si="31">CONCATENATE(B1987,C1987,F1987)</f>
        <v/>
      </c>
    </row>
    <row r="1988" spans="1:1" x14ac:dyDescent="0.2">
      <c r="A1988" s="34" t="str">
        <f t="shared" si="31"/>
        <v/>
      </c>
    </row>
    <row r="1989" spans="1:1" x14ac:dyDescent="0.2">
      <c r="A1989" s="34" t="str">
        <f t="shared" si="31"/>
        <v/>
      </c>
    </row>
    <row r="1990" spans="1:1" x14ac:dyDescent="0.2">
      <c r="A1990" s="34" t="str">
        <f t="shared" si="31"/>
        <v/>
      </c>
    </row>
    <row r="1991" spans="1:1" x14ac:dyDescent="0.2">
      <c r="A1991" s="34" t="str">
        <f t="shared" si="31"/>
        <v/>
      </c>
    </row>
    <row r="1992" spans="1:1" x14ac:dyDescent="0.2">
      <c r="A1992" s="34" t="str">
        <f t="shared" si="31"/>
        <v/>
      </c>
    </row>
    <row r="1993" spans="1:1" x14ac:dyDescent="0.2">
      <c r="A1993" s="34" t="str">
        <f t="shared" si="31"/>
        <v/>
      </c>
    </row>
    <row r="1994" spans="1:1" x14ac:dyDescent="0.2">
      <c r="A1994" s="34" t="str">
        <f t="shared" si="31"/>
        <v/>
      </c>
    </row>
    <row r="1995" spans="1:1" x14ac:dyDescent="0.2">
      <c r="A1995" s="34" t="str">
        <f t="shared" si="31"/>
        <v/>
      </c>
    </row>
    <row r="1996" spans="1:1" x14ac:dyDescent="0.2">
      <c r="A1996" s="34" t="str">
        <f t="shared" si="31"/>
        <v/>
      </c>
    </row>
    <row r="1997" spans="1:1" x14ac:dyDescent="0.2">
      <c r="A1997" s="34" t="str">
        <f t="shared" si="31"/>
        <v/>
      </c>
    </row>
    <row r="1998" spans="1:1" x14ac:dyDescent="0.2">
      <c r="A1998" s="34" t="str">
        <f t="shared" si="31"/>
        <v/>
      </c>
    </row>
    <row r="1999" spans="1:1" x14ac:dyDescent="0.2">
      <c r="A1999" s="34" t="str">
        <f t="shared" si="31"/>
        <v/>
      </c>
    </row>
    <row r="2000" spans="1:1" x14ac:dyDescent="0.2">
      <c r="A2000" s="34" t="str">
        <f t="shared" si="31"/>
        <v/>
      </c>
    </row>
    <row r="2001" spans="1:1" x14ac:dyDescent="0.2">
      <c r="A2001" s="34" t="str">
        <f t="shared" si="31"/>
        <v/>
      </c>
    </row>
    <row r="2002" spans="1:1" x14ac:dyDescent="0.2">
      <c r="A2002" s="34" t="str">
        <f t="shared" si="31"/>
        <v/>
      </c>
    </row>
  </sheetData>
  <sheetProtection password="9F17" sheet="1" objects="1" scenarios="1"/>
  <mergeCells count="7">
    <mergeCell ref="D50:D51"/>
    <mergeCell ref="E50:E51"/>
    <mergeCell ref="D28:D29"/>
    <mergeCell ref="D30:D31"/>
    <mergeCell ref="D26:D27"/>
    <mergeCell ref="D48:D49"/>
    <mergeCell ref="E48:E49"/>
  </mergeCells>
  <pageMargins left="0.7" right="0.7" top="0.75" bottom="0.75" header="0.3" footer="0.3"/>
  <pageSetup paperSize="9" orientation="landscape" r:id="rId1"/>
  <headerFooter>
    <oddHeader>&amp;L&amp;G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3"/>
  <sheetViews>
    <sheetView topLeftCell="A111" zoomScaleSheetLayoutView="90" workbookViewId="0">
      <selection activeCell="G102" sqref="G102:G121"/>
    </sheetView>
  </sheetViews>
  <sheetFormatPr baseColWidth="10" defaultRowHeight="15" x14ac:dyDescent="0.2"/>
  <cols>
    <col min="1" max="1" width="11.42578125" style="91"/>
    <col min="2" max="3" width="11.42578125" style="34"/>
    <col min="4" max="4" width="48.28515625" style="41" customWidth="1"/>
    <col min="5" max="5" width="45.5703125" style="41" customWidth="1"/>
    <col min="6" max="6" width="5.5703125" style="41" bestFit="1" customWidth="1"/>
    <col min="7" max="7" width="9.42578125" style="41" customWidth="1"/>
    <col min="8" max="8" width="17.85546875" style="34" customWidth="1"/>
    <col min="9" max="16384" width="11.42578125" style="34"/>
  </cols>
  <sheetData>
    <row r="1" spans="1:8" ht="30" customHeight="1" x14ac:dyDescent="0.2">
      <c r="A1" s="91" t="s">
        <v>6379</v>
      </c>
      <c r="B1" s="90" t="s">
        <v>14</v>
      </c>
      <c r="C1" s="42" t="s">
        <v>6121</v>
      </c>
      <c r="D1" s="35" t="s">
        <v>6128</v>
      </c>
      <c r="E1" s="35" t="s">
        <v>6129</v>
      </c>
      <c r="F1" s="35" t="s">
        <v>12</v>
      </c>
      <c r="G1" s="35" t="s">
        <v>8</v>
      </c>
      <c r="H1" s="35" t="s">
        <v>6130</v>
      </c>
    </row>
    <row r="2" spans="1:8" ht="30" x14ac:dyDescent="0.2">
      <c r="A2" s="91" t="str">
        <f>CONCATENATE(B2,C2,F2)</f>
        <v>1I1</v>
      </c>
      <c r="B2" s="90">
        <v>1</v>
      </c>
      <c r="C2" s="42" t="s">
        <v>6122</v>
      </c>
      <c r="D2" s="209" t="s">
        <v>6167</v>
      </c>
      <c r="E2" s="221" t="s">
        <v>6168</v>
      </c>
      <c r="F2" s="35">
        <v>1</v>
      </c>
      <c r="G2" s="35" t="s">
        <v>6136</v>
      </c>
      <c r="H2" s="35" t="s">
        <v>6134</v>
      </c>
    </row>
    <row r="3" spans="1:8" ht="30" x14ac:dyDescent="0.2">
      <c r="A3" s="91" t="str">
        <f t="shared" ref="A3:A66" si="0">CONCATENATE(B3,C3,F3)</f>
        <v>1I2</v>
      </c>
      <c r="B3" s="90">
        <v>1</v>
      </c>
      <c r="C3" s="42" t="s">
        <v>6122</v>
      </c>
      <c r="D3" s="226"/>
      <c r="E3" s="225"/>
      <c r="F3" s="35">
        <v>2</v>
      </c>
      <c r="G3" s="35" t="s">
        <v>6116</v>
      </c>
      <c r="H3" s="35" t="s">
        <v>6169</v>
      </c>
    </row>
    <row r="4" spans="1:8" ht="30" x14ac:dyDescent="0.2">
      <c r="A4" s="91" t="str">
        <f t="shared" si="0"/>
        <v>1I3</v>
      </c>
      <c r="B4" s="90">
        <v>1</v>
      </c>
      <c r="C4" s="42" t="s">
        <v>6122</v>
      </c>
      <c r="D4" s="209" t="s">
        <v>6170</v>
      </c>
      <c r="E4" s="221" t="s">
        <v>6171</v>
      </c>
      <c r="F4" s="35">
        <v>3</v>
      </c>
      <c r="G4" s="35" t="s">
        <v>6133</v>
      </c>
      <c r="H4" s="35" t="s">
        <v>6134</v>
      </c>
    </row>
    <row r="5" spans="1:8" ht="30" x14ac:dyDescent="0.2">
      <c r="A5" s="91" t="str">
        <f t="shared" si="0"/>
        <v>1I4</v>
      </c>
      <c r="B5" s="90">
        <v>1</v>
      </c>
      <c r="C5" s="42" t="s">
        <v>6122</v>
      </c>
      <c r="D5" s="227"/>
      <c r="E5" s="224"/>
      <c r="F5" s="35">
        <v>4</v>
      </c>
      <c r="G5" s="35" t="s">
        <v>6140</v>
      </c>
      <c r="H5" s="35" t="s">
        <v>6134</v>
      </c>
    </row>
    <row r="6" spans="1:8" ht="30" x14ac:dyDescent="0.2">
      <c r="A6" s="91" t="str">
        <f t="shared" si="0"/>
        <v>1I5</v>
      </c>
      <c r="B6" s="90">
        <v>1</v>
      </c>
      <c r="C6" s="42" t="s">
        <v>6122</v>
      </c>
      <c r="D6" s="227"/>
      <c r="E6" s="224"/>
      <c r="F6" s="35">
        <v>5</v>
      </c>
      <c r="G6" s="35" t="s">
        <v>6136</v>
      </c>
      <c r="H6" s="35" t="s">
        <v>6134</v>
      </c>
    </row>
    <row r="7" spans="1:8" ht="30" x14ac:dyDescent="0.2">
      <c r="A7" s="91" t="str">
        <f t="shared" si="0"/>
        <v>1I6</v>
      </c>
      <c r="B7" s="90">
        <v>1</v>
      </c>
      <c r="C7" s="42" t="s">
        <v>6122</v>
      </c>
      <c r="D7" s="227"/>
      <c r="E7" s="225"/>
      <c r="F7" s="35">
        <v>6</v>
      </c>
      <c r="G7" s="35" t="s">
        <v>6136</v>
      </c>
      <c r="H7" s="35" t="s">
        <v>6134</v>
      </c>
    </row>
    <row r="8" spans="1:8" ht="33" customHeight="1" x14ac:dyDescent="0.2">
      <c r="A8" s="91" t="str">
        <f t="shared" si="0"/>
        <v>1I7</v>
      </c>
      <c r="B8" s="90">
        <v>1</v>
      </c>
      <c r="C8" s="42" t="s">
        <v>6122</v>
      </c>
      <c r="D8" s="227"/>
      <c r="E8" s="221" t="s">
        <v>6172</v>
      </c>
      <c r="F8" s="35">
        <v>7</v>
      </c>
      <c r="G8" s="35" t="s">
        <v>6133</v>
      </c>
      <c r="H8" s="35" t="s">
        <v>6169</v>
      </c>
    </row>
    <row r="9" spans="1:8" ht="30" x14ac:dyDescent="0.2">
      <c r="A9" s="91" t="str">
        <f t="shared" si="0"/>
        <v>1I8</v>
      </c>
      <c r="B9" s="90">
        <v>1</v>
      </c>
      <c r="C9" s="42" t="s">
        <v>6122</v>
      </c>
      <c r="D9" s="226"/>
      <c r="E9" s="225"/>
      <c r="F9" s="35">
        <v>8</v>
      </c>
      <c r="G9" s="35" t="s">
        <v>6140</v>
      </c>
      <c r="H9" s="35" t="s">
        <v>6169</v>
      </c>
    </row>
    <row r="10" spans="1:8" ht="30" x14ac:dyDescent="0.2">
      <c r="A10" s="91" t="str">
        <f t="shared" si="0"/>
        <v>1I9</v>
      </c>
      <c r="B10" s="90">
        <v>1</v>
      </c>
      <c r="C10" s="42" t="s">
        <v>6122</v>
      </c>
      <c r="D10" s="209" t="s">
        <v>6173</v>
      </c>
      <c r="E10" s="221" t="s">
        <v>6174</v>
      </c>
      <c r="F10" s="35">
        <v>9</v>
      </c>
      <c r="G10" s="35" t="s">
        <v>6136</v>
      </c>
      <c r="H10" s="35" t="s">
        <v>6134</v>
      </c>
    </row>
    <row r="11" spans="1:8" ht="30" x14ac:dyDescent="0.2">
      <c r="A11" s="91" t="str">
        <f t="shared" si="0"/>
        <v>1I10</v>
      </c>
      <c r="B11" s="90">
        <v>1</v>
      </c>
      <c r="C11" s="42" t="s">
        <v>6122</v>
      </c>
      <c r="D11" s="227"/>
      <c r="E11" s="224"/>
      <c r="F11" s="35">
        <v>10</v>
      </c>
      <c r="G11" s="35" t="s">
        <v>6116</v>
      </c>
      <c r="H11" s="35" t="s">
        <v>6134</v>
      </c>
    </row>
    <row r="12" spans="1:8" ht="30" x14ac:dyDescent="0.2">
      <c r="A12" s="91" t="str">
        <f t="shared" si="0"/>
        <v>1I11</v>
      </c>
      <c r="B12" s="90">
        <v>1</v>
      </c>
      <c r="C12" s="42" t="s">
        <v>6122</v>
      </c>
      <c r="D12" s="227"/>
      <c r="E12" s="225"/>
      <c r="F12" s="35">
        <v>11</v>
      </c>
      <c r="G12" s="35" t="s">
        <v>6140</v>
      </c>
      <c r="H12" s="35" t="s">
        <v>6134</v>
      </c>
    </row>
    <row r="13" spans="1:8" ht="30" x14ac:dyDescent="0.2">
      <c r="A13" s="91" t="str">
        <f t="shared" si="0"/>
        <v>1I12</v>
      </c>
      <c r="B13" s="90">
        <v>1</v>
      </c>
      <c r="C13" s="42" t="s">
        <v>6122</v>
      </c>
      <c r="D13" s="227"/>
      <c r="E13" s="221" t="s">
        <v>6175</v>
      </c>
      <c r="F13" s="35">
        <v>12</v>
      </c>
      <c r="G13" s="35" t="s">
        <v>6133</v>
      </c>
      <c r="H13" s="35" t="s">
        <v>6134</v>
      </c>
    </row>
    <row r="14" spans="1:8" ht="30" x14ac:dyDescent="0.2">
      <c r="A14" s="91" t="str">
        <f t="shared" si="0"/>
        <v>1I13</v>
      </c>
      <c r="B14" s="90">
        <v>1</v>
      </c>
      <c r="C14" s="42" t="s">
        <v>6122</v>
      </c>
      <c r="D14" s="227"/>
      <c r="E14" s="225"/>
      <c r="F14" s="35">
        <v>13</v>
      </c>
      <c r="G14" s="35" t="s">
        <v>6136</v>
      </c>
      <c r="H14" s="35" t="s">
        <v>6134</v>
      </c>
    </row>
    <row r="15" spans="1:8" ht="30" x14ac:dyDescent="0.2">
      <c r="A15" s="91" t="str">
        <f t="shared" si="0"/>
        <v>1I14</v>
      </c>
      <c r="B15" s="90">
        <v>1</v>
      </c>
      <c r="C15" s="42" t="s">
        <v>6122</v>
      </c>
      <c r="D15" s="227"/>
      <c r="E15" s="36" t="s">
        <v>6176</v>
      </c>
      <c r="F15" s="35">
        <v>14</v>
      </c>
      <c r="G15" s="35" t="s">
        <v>6133</v>
      </c>
      <c r="H15" s="35" t="s">
        <v>6134</v>
      </c>
    </row>
    <row r="16" spans="1:8" x14ac:dyDescent="0.2">
      <c r="A16" s="91" t="str">
        <f t="shared" si="0"/>
        <v>1I15</v>
      </c>
      <c r="B16" s="90">
        <v>1</v>
      </c>
      <c r="C16" s="42" t="s">
        <v>6122</v>
      </c>
      <c r="D16" s="227"/>
      <c r="E16" s="221" t="s">
        <v>6177</v>
      </c>
      <c r="F16" s="35">
        <v>15</v>
      </c>
      <c r="G16" s="35" t="s">
        <v>6133</v>
      </c>
      <c r="H16" s="35" t="s">
        <v>6137</v>
      </c>
    </row>
    <row r="17" spans="1:8" x14ac:dyDescent="0.2">
      <c r="A17" s="91" t="str">
        <f t="shared" si="0"/>
        <v>1I16</v>
      </c>
      <c r="B17" s="90">
        <v>1</v>
      </c>
      <c r="C17" s="42" t="s">
        <v>6122</v>
      </c>
      <c r="D17" s="227"/>
      <c r="E17" s="225"/>
      <c r="F17" s="35">
        <v>16</v>
      </c>
      <c r="G17" s="35" t="s">
        <v>6116</v>
      </c>
      <c r="H17" s="35" t="s">
        <v>6137</v>
      </c>
    </row>
    <row r="18" spans="1:8" ht="30" x14ac:dyDescent="0.2">
      <c r="A18" s="91" t="str">
        <f t="shared" si="0"/>
        <v>1I17</v>
      </c>
      <c r="B18" s="90">
        <v>1</v>
      </c>
      <c r="C18" s="42" t="s">
        <v>6122</v>
      </c>
      <c r="D18" s="227"/>
      <c r="E18" s="217" t="s">
        <v>6178</v>
      </c>
      <c r="F18" s="35">
        <v>17</v>
      </c>
      <c r="G18" s="35" t="s">
        <v>6136</v>
      </c>
      <c r="H18" s="35" t="s">
        <v>6169</v>
      </c>
    </row>
    <row r="19" spans="1:8" ht="30" x14ac:dyDescent="0.2">
      <c r="A19" s="91" t="str">
        <f t="shared" si="0"/>
        <v>1I18</v>
      </c>
      <c r="B19" s="90">
        <v>1</v>
      </c>
      <c r="C19" s="42" t="s">
        <v>6122</v>
      </c>
      <c r="D19" s="227"/>
      <c r="E19" s="217"/>
      <c r="F19" s="35">
        <v>18</v>
      </c>
      <c r="G19" s="35" t="s">
        <v>6116</v>
      </c>
      <c r="H19" s="35" t="s">
        <v>6169</v>
      </c>
    </row>
    <row r="20" spans="1:8" ht="30" x14ac:dyDescent="0.2">
      <c r="A20" s="91" t="str">
        <f t="shared" si="0"/>
        <v>1I19</v>
      </c>
      <c r="B20" s="90">
        <v>1</v>
      </c>
      <c r="C20" s="42" t="s">
        <v>6122</v>
      </c>
      <c r="D20" s="227"/>
      <c r="E20" s="221" t="s">
        <v>6179</v>
      </c>
      <c r="F20" s="35">
        <v>19</v>
      </c>
      <c r="G20" s="35" t="s">
        <v>6140</v>
      </c>
      <c r="H20" s="35" t="s">
        <v>6134</v>
      </c>
    </row>
    <row r="21" spans="1:8" ht="30" x14ac:dyDescent="0.2">
      <c r="A21" s="91" t="str">
        <f t="shared" si="0"/>
        <v>1I20</v>
      </c>
      <c r="B21" s="90">
        <v>1</v>
      </c>
      <c r="C21" s="42" t="s">
        <v>6122</v>
      </c>
      <c r="D21" s="226"/>
      <c r="E21" s="225"/>
      <c r="F21" s="35">
        <v>20</v>
      </c>
      <c r="G21" s="35" t="s">
        <v>6133</v>
      </c>
      <c r="H21" s="35" t="s">
        <v>6134</v>
      </c>
    </row>
    <row r="22" spans="1:8" ht="30" x14ac:dyDescent="0.2">
      <c r="A22" s="91" t="str">
        <f t="shared" si="0"/>
        <v>2I1</v>
      </c>
      <c r="B22" s="90">
        <v>2</v>
      </c>
      <c r="C22" s="42" t="s">
        <v>6122</v>
      </c>
      <c r="D22" s="209" t="s">
        <v>6261</v>
      </c>
      <c r="E22" s="221" t="s">
        <v>6262</v>
      </c>
      <c r="F22" s="35">
        <v>1</v>
      </c>
      <c r="G22" s="35" t="s">
        <v>6136</v>
      </c>
      <c r="H22" s="35" t="s">
        <v>6134</v>
      </c>
    </row>
    <row r="23" spans="1:8" ht="30" x14ac:dyDescent="0.2">
      <c r="A23" s="91" t="str">
        <f t="shared" si="0"/>
        <v>2I2</v>
      </c>
      <c r="B23" s="90">
        <v>2</v>
      </c>
      <c r="C23" s="42" t="s">
        <v>6122</v>
      </c>
      <c r="D23" s="227"/>
      <c r="E23" s="224"/>
      <c r="F23" s="42">
        <v>2</v>
      </c>
      <c r="G23" s="42" t="s">
        <v>6133</v>
      </c>
      <c r="H23" s="35" t="s">
        <v>6263</v>
      </c>
    </row>
    <row r="24" spans="1:8" ht="30" x14ac:dyDescent="0.2">
      <c r="A24" s="91" t="str">
        <f t="shared" si="0"/>
        <v>2I3</v>
      </c>
      <c r="B24" s="90">
        <v>2</v>
      </c>
      <c r="C24" s="42" t="s">
        <v>6122</v>
      </c>
      <c r="D24" s="226"/>
      <c r="E24" s="224"/>
      <c r="F24" s="55">
        <v>3</v>
      </c>
      <c r="G24" s="55" t="s">
        <v>6140</v>
      </c>
      <c r="H24" s="35" t="s">
        <v>6263</v>
      </c>
    </row>
    <row r="25" spans="1:8" ht="30" x14ac:dyDescent="0.2">
      <c r="A25" s="91" t="str">
        <f t="shared" si="0"/>
        <v>2I4</v>
      </c>
      <c r="B25" s="90">
        <v>2</v>
      </c>
      <c r="C25" s="42" t="s">
        <v>6122</v>
      </c>
      <c r="D25" s="209" t="s">
        <v>6264</v>
      </c>
      <c r="E25" s="228" t="s">
        <v>6265</v>
      </c>
      <c r="F25" s="35">
        <v>4</v>
      </c>
      <c r="G25" s="56" t="s">
        <v>6136</v>
      </c>
      <c r="H25" s="35" t="s">
        <v>6263</v>
      </c>
    </row>
    <row r="26" spans="1:8" ht="30" x14ac:dyDescent="0.2">
      <c r="A26" s="91" t="str">
        <f t="shared" si="0"/>
        <v>2I5</v>
      </c>
      <c r="B26" s="90">
        <v>2</v>
      </c>
      <c r="C26" s="42" t="s">
        <v>6122</v>
      </c>
      <c r="D26" s="227"/>
      <c r="E26" s="229"/>
      <c r="F26" s="35">
        <v>5</v>
      </c>
      <c r="G26" s="56" t="s">
        <v>6116</v>
      </c>
      <c r="H26" s="35" t="s">
        <v>6263</v>
      </c>
    </row>
    <row r="27" spans="1:8" ht="30" x14ac:dyDescent="0.2">
      <c r="A27" s="91" t="str">
        <f t="shared" si="0"/>
        <v>2I6</v>
      </c>
      <c r="B27" s="90">
        <v>2</v>
      </c>
      <c r="C27" s="42" t="s">
        <v>6122</v>
      </c>
      <c r="D27" s="227"/>
      <c r="E27" s="229"/>
      <c r="F27" s="57">
        <v>6</v>
      </c>
      <c r="G27" s="58" t="s">
        <v>6136</v>
      </c>
      <c r="H27" s="35" t="s">
        <v>6263</v>
      </c>
    </row>
    <row r="28" spans="1:8" ht="30" x14ac:dyDescent="0.2">
      <c r="A28" s="91" t="str">
        <f t="shared" si="0"/>
        <v>2I7</v>
      </c>
      <c r="B28" s="90">
        <v>2</v>
      </c>
      <c r="C28" s="42" t="s">
        <v>6122</v>
      </c>
      <c r="D28" s="226"/>
      <c r="E28" s="230"/>
      <c r="F28" s="35">
        <v>7</v>
      </c>
      <c r="G28" s="56" t="s">
        <v>6140</v>
      </c>
      <c r="H28" s="35" t="s">
        <v>6263</v>
      </c>
    </row>
    <row r="29" spans="1:8" ht="30" x14ac:dyDescent="0.2">
      <c r="A29" s="91" t="str">
        <f t="shared" si="0"/>
        <v>2I8</v>
      </c>
      <c r="B29" s="90">
        <v>2</v>
      </c>
      <c r="C29" s="42" t="s">
        <v>6122</v>
      </c>
      <c r="D29" s="209" t="s">
        <v>6266</v>
      </c>
      <c r="E29" s="221" t="s">
        <v>6267</v>
      </c>
      <c r="F29" s="50">
        <v>8</v>
      </c>
      <c r="G29" s="50" t="s">
        <v>6116</v>
      </c>
      <c r="H29" s="35" t="s">
        <v>6263</v>
      </c>
    </row>
    <row r="30" spans="1:8" ht="30" x14ac:dyDescent="0.2">
      <c r="A30" s="91" t="str">
        <f t="shared" si="0"/>
        <v>2I9</v>
      </c>
      <c r="B30" s="90">
        <v>2</v>
      </c>
      <c r="C30" s="42" t="s">
        <v>6122</v>
      </c>
      <c r="D30" s="231"/>
      <c r="E30" s="225"/>
      <c r="F30" s="35">
        <v>9</v>
      </c>
      <c r="G30" s="35" t="s">
        <v>6136</v>
      </c>
      <c r="H30" s="35" t="s">
        <v>6263</v>
      </c>
    </row>
    <row r="31" spans="1:8" ht="30" x14ac:dyDescent="0.2">
      <c r="A31" s="91" t="str">
        <f t="shared" si="0"/>
        <v>2I10</v>
      </c>
      <c r="B31" s="90">
        <v>2</v>
      </c>
      <c r="C31" s="42" t="s">
        <v>6122</v>
      </c>
      <c r="D31" s="231"/>
      <c r="E31" s="217" t="s">
        <v>6268</v>
      </c>
      <c r="F31" s="35">
        <v>10</v>
      </c>
      <c r="G31" s="35" t="s">
        <v>6136</v>
      </c>
      <c r="H31" s="35" t="s">
        <v>6263</v>
      </c>
    </row>
    <row r="32" spans="1:8" ht="30" x14ac:dyDescent="0.2">
      <c r="A32" s="91" t="str">
        <f t="shared" si="0"/>
        <v>2I11</v>
      </c>
      <c r="B32" s="90">
        <v>2</v>
      </c>
      <c r="C32" s="42" t="s">
        <v>6122</v>
      </c>
      <c r="D32" s="232"/>
      <c r="E32" s="217"/>
      <c r="F32" s="35">
        <v>11</v>
      </c>
      <c r="G32" s="35" t="s">
        <v>6140</v>
      </c>
      <c r="H32" s="35" t="s">
        <v>6263</v>
      </c>
    </row>
    <row r="33" spans="1:8" ht="30" x14ac:dyDescent="0.2">
      <c r="A33" s="91" t="str">
        <f t="shared" si="0"/>
        <v>2I12</v>
      </c>
      <c r="B33" s="90">
        <v>2</v>
      </c>
      <c r="C33" s="42" t="s">
        <v>6122</v>
      </c>
      <c r="D33" s="209" t="s">
        <v>6269</v>
      </c>
      <c r="E33" s="221" t="s">
        <v>6270</v>
      </c>
      <c r="F33" s="35">
        <v>12</v>
      </c>
      <c r="G33" s="35" t="s">
        <v>6136</v>
      </c>
      <c r="H33" s="35" t="s">
        <v>6134</v>
      </c>
    </row>
    <row r="34" spans="1:8" ht="30" x14ac:dyDescent="0.2">
      <c r="A34" s="91" t="str">
        <f t="shared" si="0"/>
        <v>2I13</v>
      </c>
      <c r="B34" s="90">
        <v>2</v>
      </c>
      <c r="C34" s="42" t="s">
        <v>6122</v>
      </c>
      <c r="D34" s="227"/>
      <c r="E34" s="224"/>
      <c r="F34" s="35">
        <v>13</v>
      </c>
      <c r="G34" s="35" t="s">
        <v>6116</v>
      </c>
      <c r="H34" s="35" t="s">
        <v>6134</v>
      </c>
    </row>
    <row r="35" spans="1:8" ht="30" x14ac:dyDescent="0.2">
      <c r="A35" s="91" t="str">
        <f t="shared" si="0"/>
        <v>2I14</v>
      </c>
      <c r="B35" s="90">
        <v>2</v>
      </c>
      <c r="C35" s="42" t="s">
        <v>6122</v>
      </c>
      <c r="D35" s="227"/>
      <c r="E35" s="225"/>
      <c r="F35" s="35">
        <v>14</v>
      </c>
      <c r="G35" s="35" t="s">
        <v>6133</v>
      </c>
      <c r="H35" s="35" t="s">
        <v>6134</v>
      </c>
    </row>
    <row r="36" spans="1:8" ht="30" x14ac:dyDescent="0.2">
      <c r="A36" s="91" t="str">
        <f t="shared" si="0"/>
        <v>2I15</v>
      </c>
      <c r="B36" s="90">
        <v>2</v>
      </c>
      <c r="C36" s="42" t="s">
        <v>6122</v>
      </c>
      <c r="D36" s="227"/>
      <c r="E36" s="221" t="s">
        <v>6271</v>
      </c>
      <c r="F36" s="35">
        <v>15</v>
      </c>
      <c r="G36" s="35" t="s">
        <v>6133</v>
      </c>
      <c r="H36" s="35" t="s">
        <v>6134</v>
      </c>
    </row>
    <row r="37" spans="1:8" ht="30" x14ac:dyDescent="0.2">
      <c r="A37" s="91" t="str">
        <f t="shared" si="0"/>
        <v>2I16</v>
      </c>
      <c r="B37" s="90">
        <v>2</v>
      </c>
      <c r="C37" s="42" t="s">
        <v>6122</v>
      </c>
      <c r="D37" s="227"/>
      <c r="E37" s="225"/>
      <c r="F37" s="35">
        <v>16</v>
      </c>
      <c r="G37" s="35" t="s">
        <v>6133</v>
      </c>
      <c r="H37" s="35" t="s">
        <v>6134</v>
      </c>
    </row>
    <row r="38" spans="1:8" x14ac:dyDescent="0.2">
      <c r="A38" s="91" t="str">
        <f t="shared" si="0"/>
        <v>2I17</v>
      </c>
      <c r="B38" s="90">
        <v>2</v>
      </c>
      <c r="C38" s="42" t="s">
        <v>6122</v>
      </c>
      <c r="D38" s="227"/>
      <c r="E38" s="221" t="s">
        <v>6272</v>
      </c>
      <c r="F38" s="35">
        <v>17</v>
      </c>
      <c r="G38" s="35" t="s">
        <v>6116</v>
      </c>
      <c r="H38" s="35" t="s">
        <v>6154</v>
      </c>
    </row>
    <row r="39" spans="1:8" x14ac:dyDescent="0.2">
      <c r="A39" s="91" t="str">
        <f t="shared" si="0"/>
        <v>2I18</v>
      </c>
      <c r="B39" s="90">
        <v>2</v>
      </c>
      <c r="C39" s="42" t="s">
        <v>6122</v>
      </c>
      <c r="D39" s="227"/>
      <c r="E39" s="225"/>
      <c r="F39" s="35">
        <v>18</v>
      </c>
      <c r="G39" s="35" t="s">
        <v>6140</v>
      </c>
      <c r="H39" s="35" t="s">
        <v>6154</v>
      </c>
    </row>
    <row r="40" spans="1:8" ht="30" x14ac:dyDescent="0.2">
      <c r="A40" s="91" t="str">
        <f t="shared" si="0"/>
        <v>2I19</v>
      </c>
      <c r="B40" s="90">
        <v>2</v>
      </c>
      <c r="C40" s="42" t="s">
        <v>6122</v>
      </c>
      <c r="D40" s="227"/>
      <c r="E40" s="221" t="s">
        <v>6273</v>
      </c>
      <c r="F40" s="35">
        <v>19</v>
      </c>
      <c r="G40" s="35" t="s">
        <v>6116</v>
      </c>
      <c r="H40" s="35" t="s">
        <v>6134</v>
      </c>
    </row>
    <row r="41" spans="1:8" ht="30" x14ac:dyDescent="0.2">
      <c r="A41" s="91" t="str">
        <f t="shared" si="0"/>
        <v>2I20</v>
      </c>
      <c r="B41" s="90">
        <v>2</v>
      </c>
      <c r="C41" s="42" t="s">
        <v>6122</v>
      </c>
      <c r="D41" s="226"/>
      <c r="E41" s="225"/>
      <c r="F41" s="35">
        <v>20</v>
      </c>
      <c r="G41" s="35" t="s">
        <v>6140</v>
      </c>
      <c r="H41" s="35" t="s">
        <v>6134</v>
      </c>
    </row>
    <row r="42" spans="1:8" ht="30" x14ac:dyDescent="0.2">
      <c r="A42" s="91" t="str">
        <f t="shared" si="0"/>
        <v>3I1</v>
      </c>
      <c r="B42" s="90">
        <v>3</v>
      </c>
      <c r="C42" s="42" t="s">
        <v>6122</v>
      </c>
      <c r="D42" s="233" t="s">
        <v>6327</v>
      </c>
      <c r="E42" s="236" t="s">
        <v>6328</v>
      </c>
      <c r="F42" s="62">
        <v>1</v>
      </c>
      <c r="G42" s="63" t="s">
        <v>6133</v>
      </c>
      <c r="H42" s="62" t="s">
        <v>6216</v>
      </c>
    </row>
    <row r="43" spans="1:8" ht="30" x14ac:dyDescent="0.2">
      <c r="A43" s="91" t="str">
        <f t="shared" si="0"/>
        <v>3I2</v>
      </c>
      <c r="B43" s="90">
        <v>3</v>
      </c>
      <c r="C43" s="42" t="s">
        <v>6122</v>
      </c>
      <c r="D43" s="234"/>
      <c r="E43" s="236"/>
      <c r="F43" s="62">
        <v>2</v>
      </c>
      <c r="G43" s="63" t="s">
        <v>6140</v>
      </c>
      <c r="H43" s="62" t="s">
        <v>6263</v>
      </c>
    </row>
    <row r="44" spans="1:8" ht="30" x14ac:dyDescent="0.2">
      <c r="A44" s="91" t="str">
        <f t="shared" si="0"/>
        <v>3I3</v>
      </c>
      <c r="B44" s="90">
        <v>3</v>
      </c>
      <c r="C44" s="42" t="s">
        <v>6122</v>
      </c>
      <c r="D44" s="234"/>
      <c r="E44" s="236"/>
      <c r="F44" s="62">
        <v>3</v>
      </c>
      <c r="G44" s="63" t="s">
        <v>6116</v>
      </c>
      <c r="H44" s="62" t="s">
        <v>6263</v>
      </c>
    </row>
    <row r="45" spans="1:8" ht="30" x14ac:dyDescent="0.2">
      <c r="A45" s="91" t="str">
        <f t="shared" si="0"/>
        <v>3I4</v>
      </c>
      <c r="B45" s="90">
        <v>3</v>
      </c>
      <c r="C45" s="42" t="s">
        <v>6122</v>
      </c>
      <c r="D45" s="234"/>
      <c r="E45" s="236"/>
      <c r="F45" s="62">
        <v>4</v>
      </c>
      <c r="G45" s="63" t="s">
        <v>6136</v>
      </c>
      <c r="H45" s="62" t="s">
        <v>6216</v>
      </c>
    </row>
    <row r="46" spans="1:8" x14ac:dyDescent="0.2">
      <c r="A46" s="91" t="str">
        <f t="shared" si="0"/>
        <v>3I5</v>
      </c>
      <c r="B46" s="90">
        <v>3</v>
      </c>
      <c r="C46" s="42" t="s">
        <v>6122</v>
      </c>
      <c r="D46" s="234"/>
      <c r="E46" s="236" t="s">
        <v>6329</v>
      </c>
      <c r="F46" s="63">
        <v>5</v>
      </c>
      <c r="G46" s="63" t="s">
        <v>6136</v>
      </c>
      <c r="H46" s="62" t="s">
        <v>6137</v>
      </c>
    </row>
    <row r="47" spans="1:8" ht="30" x14ac:dyDescent="0.2">
      <c r="A47" s="91" t="str">
        <f t="shared" si="0"/>
        <v>3I6</v>
      </c>
      <c r="B47" s="90">
        <v>3</v>
      </c>
      <c r="C47" s="42" t="s">
        <v>6122</v>
      </c>
      <c r="D47" s="234"/>
      <c r="E47" s="236"/>
      <c r="F47" s="63">
        <v>6</v>
      </c>
      <c r="G47" s="63" t="s">
        <v>6140</v>
      </c>
      <c r="H47" s="62" t="s">
        <v>6263</v>
      </c>
    </row>
    <row r="48" spans="1:8" x14ac:dyDescent="0.2">
      <c r="A48" s="91" t="str">
        <f t="shared" si="0"/>
        <v>3I7</v>
      </c>
      <c r="B48" s="90">
        <v>3</v>
      </c>
      <c r="C48" s="42" t="s">
        <v>6122</v>
      </c>
      <c r="D48" s="234"/>
      <c r="E48" s="236"/>
      <c r="F48" s="63">
        <v>7</v>
      </c>
      <c r="G48" s="63" t="s">
        <v>6116</v>
      </c>
      <c r="H48" s="62" t="s">
        <v>6137</v>
      </c>
    </row>
    <row r="49" spans="1:8" x14ac:dyDescent="0.2">
      <c r="A49" s="91" t="str">
        <f t="shared" si="0"/>
        <v>3I8</v>
      </c>
      <c r="B49" s="90">
        <v>3</v>
      </c>
      <c r="C49" s="42" t="s">
        <v>6122</v>
      </c>
      <c r="D49" s="234"/>
      <c r="E49" s="236"/>
      <c r="F49" s="63">
        <v>8</v>
      </c>
      <c r="G49" s="63" t="s">
        <v>6116</v>
      </c>
      <c r="H49" s="62" t="s">
        <v>6137</v>
      </c>
    </row>
    <row r="50" spans="1:8" x14ac:dyDescent="0.2">
      <c r="A50" s="91" t="str">
        <f t="shared" si="0"/>
        <v>3I9</v>
      </c>
      <c r="B50" s="90">
        <v>3</v>
      </c>
      <c r="C50" s="42" t="s">
        <v>6122</v>
      </c>
      <c r="D50" s="234"/>
      <c r="E50" s="236"/>
      <c r="F50" s="63">
        <v>9</v>
      </c>
      <c r="G50" s="63" t="s">
        <v>6116</v>
      </c>
      <c r="H50" s="62" t="s">
        <v>6137</v>
      </c>
    </row>
    <row r="51" spans="1:8" ht="30" x14ac:dyDescent="0.2">
      <c r="A51" s="91" t="str">
        <f t="shared" si="0"/>
        <v>3I10</v>
      </c>
      <c r="B51" s="90">
        <v>3</v>
      </c>
      <c r="C51" s="42" t="s">
        <v>6122</v>
      </c>
      <c r="D51" s="234"/>
      <c r="E51" s="236" t="s">
        <v>6330</v>
      </c>
      <c r="F51" s="63">
        <v>10</v>
      </c>
      <c r="G51" s="63" t="s">
        <v>6140</v>
      </c>
      <c r="H51" s="62" t="s">
        <v>6263</v>
      </c>
    </row>
    <row r="52" spans="1:8" ht="30" x14ac:dyDescent="0.2">
      <c r="A52" s="91" t="str">
        <f t="shared" si="0"/>
        <v>3I11</v>
      </c>
      <c r="B52" s="90">
        <v>3</v>
      </c>
      <c r="C52" s="42" t="s">
        <v>6122</v>
      </c>
      <c r="D52" s="234"/>
      <c r="E52" s="236"/>
      <c r="F52" s="63">
        <v>11</v>
      </c>
      <c r="G52" s="63" t="s">
        <v>6116</v>
      </c>
      <c r="H52" s="62" t="s">
        <v>6216</v>
      </c>
    </row>
    <row r="53" spans="1:8" ht="30" x14ac:dyDescent="0.2">
      <c r="A53" s="91" t="str">
        <f t="shared" si="0"/>
        <v>3I12</v>
      </c>
      <c r="B53" s="90">
        <v>3</v>
      </c>
      <c r="C53" s="42" t="s">
        <v>6122</v>
      </c>
      <c r="D53" s="234"/>
      <c r="E53" s="236" t="s">
        <v>6331</v>
      </c>
      <c r="F53" s="63">
        <v>12</v>
      </c>
      <c r="G53" s="63" t="s">
        <v>6116</v>
      </c>
      <c r="H53" s="62" t="s">
        <v>6216</v>
      </c>
    </row>
    <row r="54" spans="1:8" ht="30" x14ac:dyDescent="0.2">
      <c r="A54" s="91" t="str">
        <f t="shared" si="0"/>
        <v>3I13</v>
      </c>
      <c r="B54" s="90">
        <v>3</v>
      </c>
      <c r="C54" s="42" t="s">
        <v>6122</v>
      </c>
      <c r="D54" s="234"/>
      <c r="E54" s="236"/>
      <c r="F54" s="63">
        <v>13</v>
      </c>
      <c r="G54" s="63" t="s">
        <v>6136</v>
      </c>
      <c r="H54" s="62" t="s">
        <v>6263</v>
      </c>
    </row>
    <row r="55" spans="1:8" ht="30" x14ac:dyDescent="0.2">
      <c r="A55" s="91" t="str">
        <f t="shared" si="0"/>
        <v>3I14</v>
      </c>
      <c r="B55" s="90">
        <v>3</v>
      </c>
      <c r="C55" s="42" t="s">
        <v>6122</v>
      </c>
      <c r="D55" s="234"/>
      <c r="E55" s="236" t="s">
        <v>6332</v>
      </c>
      <c r="F55" s="63">
        <v>14</v>
      </c>
      <c r="G55" s="63" t="s">
        <v>6140</v>
      </c>
      <c r="H55" s="62" t="s">
        <v>6216</v>
      </c>
    </row>
    <row r="56" spans="1:8" ht="30" x14ac:dyDescent="0.2">
      <c r="A56" s="91" t="str">
        <f t="shared" si="0"/>
        <v>3I15</v>
      </c>
      <c r="B56" s="90">
        <v>3</v>
      </c>
      <c r="C56" s="42" t="s">
        <v>6122</v>
      </c>
      <c r="D56" s="234"/>
      <c r="E56" s="236"/>
      <c r="F56" s="63">
        <v>15</v>
      </c>
      <c r="G56" s="63" t="s">
        <v>6133</v>
      </c>
      <c r="H56" s="62" t="s">
        <v>6216</v>
      </c>
    </row>
    <row r="57" spans="1:8" x14ac:dyDescent="0.2">
      <c r="A57" s="91" t="str">
        <f t="shared" si="0"/>
        <v>3I16</v>
      </c>
      <c r="B57" s="90">
        <v>3</v>
      </c>
      <c r="C57" s="42" t="s">
        <v>6122</v>
      </c>
      <c r="D57" s="234"/>
      <c r="E57" s="236"/>
      <c r="F57" s="63">
        <v>16</v>
      </c>
      <c r="G57" s="63" t="s">
        <v>6140</v>
      </c>
      <c r="H57" s="62" t="s">
        <v>6137</v>
      </c>
    </row>
    <row r="58" spans="1:8" ht="30" x14ac:dyDescent="0.2">
      <c r="A58" s="91" t="str">
        <f t="shared" si="0"/>
        <v>3I17</v>
      </c>
      <c r="B58" s="90">
        <v>3</v>
      </c>
      <c r="C58" s="42" t="s">
        <v>6122</v>
      </c>
      <c r="D58" s="234"/>
      <c r="E58" s="236"/>
      <c r="F58" s="63">
        <v>17</v>
      </c>
      <c r="G58" s="63" t="s">
        <v>6133</v>
      </c>
      <c r="H58" s="62" t="s">
        <v>6216</v>
      </c>
    </row>
    <row r="59" spans="1:8" x14ac:dyDescent="0.2">
      <c r="A59" s="91" t="str">
        <f t="shared" si="0"/>
        <v>3I18</v>
      </c>
      <c r="B59" s="90">
        <v>3</v>
      </c>
      <c r="C59" s="42" t="s">
        <v>6122</v>
      </c>
      <c r="D59" s="234"/>
      <c r="E59" s="236"/>
      <c r="F59" s="63">
        <v>18</v>
      </c>
      <c r="G59" s="63" t="s">
        <v>6133</v>
      </c>
      <c r="H59" s="62" t="s">
        <v>6137</v>
      </c>
    </row>
    <row r="60" spans="1:8" ht="30" x14ac:dyDescent="0.2">
      <c r="A60" s="91" t="str">
        <f t="shared" si="0"/>
        <v>3I19</v>
      </c>
      <c r="B60" s="90">
        <v>3</v>
      </c>
      <c r="C60" s="42" t="s">
        <v>6122</v>
      </c>
      <c r="D60" s="234"/>
      <c r="E60" s="236" t="s">
        <v>6333</v>
      </c>
      <c r="F60" s="63">
        <v>19</v>
      </c>
      <c r="G60" s="63" t="s">
        <v>6140</v>
      </c>
      <c r="H60" s="62" t="s">
        <v>6263</v>
      </c>
    </row>
    <row r="61" spans="1:8" ht="30" x14ac:dyDescent="0.2">
      <c r="A61" s="91" t="str">
        <f t="shared" si="0"/>
        <v>3I20</v>
      </c>
      <c r="B61" s="90">
        <v>3</v>
      </c>
      <c r="C61" s="42" t="s">
        <v>6122</v>
      </c>
      <c r="D61" s="235"/>
      <c r="E61" s="236"/>
      <c r="F61" s="63">
        <v>20</v>
      </c>
      <c r="G61" s="64" t="s">
        <v>6140</v>
      </c>
      <c r="H61" s="62" t="s">
        <v>6216</v>
      </c>
    </row>
    <row r="62" spans="1:8" ht="30" x14ac:dyDescent="0.2">
      <c r="A62" s="91" t="str">
        <f t="shared" si="0"/>
        <v>1II1</v>
      </c>
      <c r="B62" s="34">
        <v>1</v>
      </c>
      <c r="C62" s="34" t="s">
        <v>6384</v>
      </c>
      <c r="D62" s="217" t="s">
        <v>6418</v>
      </c>
      <c r="E62" s="112" t="s">
        <v>6419</v>
      </c>
      <c r="F62" s="111">
        <v>1</v>
      </c>
      <c r="G62" s="111" t="s">
        <v>6140</v>
      </c>
      <c r="H62" s="111" t="s">
        <v>6134</v>
      </c>
    </row>
    <row r="63" spans="1:8" x14ac:dyDescent="0.2">
      <c r="A63" s="91" t="str">
        <f t="shared" si="0"/>
        <v>1II2</v>
      </c>
      <c r="B63" s="34">
        <v>1</v>
      </c>
      <c r="C63" s="34" t="s">
        <v>6384</v>
      </c>
      <c r="D63" s="217"/>
      <c r="E63" s="217" t="s">
        <v>6420</v>
      </c>
      <c r="F63" s="111">
        <v>2</v>
      </c>
      <c r="G63" s="111" t="s">
        <v>6136</v>
      </c>
      <c r="H63" s="111" t="s">
        <v>6137</v>
      </c>
    </row>
    <row r="64" spans="1:8" x14ac:dyDescent="0.2">
      <c r="A64" s="91" t="str">
        <f t="shared" si="0"/>
        <v>1II3</v>
      </c>
      <c r="B64" s="34">
        <v>1</v>
      </c>
      <c r="C64" s="34" t="s">
        <v>6384</v>
      </c>
      <c r="D64" s="217"/>
      <c r="E64" s="217"/>
      <c r="F64" s="111">
        <v>3</v>
      </c>
      <c r="G64" s="111" t="s">
        <v>6116</v>
      </c>
      <c r="H64" s="111" t="s">
        <v>6137</v>
      </c>
    </row>
    <row r="65" spans="1:8" ht="30" x14ac:dyDescent="0.2">
      <c r="A65" s="91" t="str">
        <f t="shared" si="0"/>
        <v>1II4</v>
      </c>
      <c r="B65" s="34">
        <v>1</v>
      </c>
      <c r="C65" s="34" t="s">
        <v>6384</v>
      </c>
      <c r="D65" s="217"/>
      <c r="E65" s="217" t="s">
        <v>6421</v>
      </c>
      <c r="F65" s="111">
        <v>4</v>
      </c>
      <c r="G65" s="111" t="s">
        <v>6140</v>
      </c>
      <c r="H65" s="111" t="s">
        <v>6422</v>
      </c>
    </row>
    <row r="66" spans="1:8" ht="30" x14ac:dyDescent="0.2">
      <c r="A66" s="91" t="str">
        <f t="shared" si="0"/>
        <v>1II5</v>
      </c>
      <c r="B66" s="34">
        <v>1</v>
      </c>
      <c r="C66" s="34" t="s">
        <v>6384</v>
      </c>
      <c r="D66" s="217"/>
      <c r="E66" s="217"/>
      <c r="F66" s="111">
        <v>5</v>
      </c>
      <c r="G66" s="111" t="s">
        <v>6140</v>
      </c>
      <c r="H66" s="111" t="s">
        <v>6422</v>
      </c>
    </row>
    <row r="67" spans="1:8" ht="30" x14ac:dyDescent="0.2">
      <c r="A67" s="91" t="str">
        <f t="shared" ref="A67:A130" si="1">CONCATENATE(B67,C67,F67)</f>
        <v>1II6</v>
      </c>
      <c r="B67" s="34">
        <v>1</v>
      </c>
      <c r="C67" s="34" t="s">
        <v>6384</v>
      </c>
      <c r="D67" s="217"/>
      <c r="E67" s="217"/>
      <c r="F67" s="111">
        <v>6</v>
      </c>
      <c r="G67" s="111" t="s">
        <v>6116</v>
      </c>
      <c r="H67" s="111" t="s">
        <v>6422</v>
      </c>
    </row>
    <row r="68" spans="1:8" ht="30" x14ac:dyDescent="0.2">
      <c r="A68" s="91" t="str">
        <f t="shared" si="1"/>
        <v>1II7</v>
      </c>
      <c r="B68" s="34">
        <v>1</v>
      </c>
      <c r="C68" s="34" t="s">
        <v>6384</v>
      </c>
      <c r="D68" s="217"/>
      <c r="E68" s="217" t="s">
        <v>6423</v>
      </c>
      <c r="F68" s="111">
        <v>7</v>
      </c>
      <c r="G68" s="111" t="s">
        <v>6116</v>
      </c>
      <c r="H68" s="111" t="s">
        <v>6422</v>
      </c>
    </row>
    <row r="69" spans="1:8" ht="30" x14ac:dyDescent="0.2">
      <c r="A69" s="91" t="str">
        <f t="shared" si="1"/>
        <v>1II8</v>
      </c>
      <c r="B69" s="34">
        <v>1</v>
      </c>
      <c r="C69" s="34" t="s">
        <v>6384</v>
      </c>
      <c r="D69" s="217"/>
      <c r="E69" s="217"/>
      <c r="F69" s="111">
        <v>8</v>
      </c>
      <c r="G69" s="111" t="s">
        <v>6140</v>
      </c>
      <c r="H69" s="111" t="s">
        <v>6422</v>
      </c>
    </row>
    <row r="70" spans="1:8" ht="30" x14ac:dyDescent="0.2">
      <c r="A70" s="91" t="str">
        <f t="shared" si="1"/>
        <v>1II9</v>
      </c>
      <c r="B70" s="34">
        <v>1</v>
      </c>
      <c r="C70" s="34" t="s">
        <v>6384</v>
      </c>
      <c r="D70" s="217"/>
      <c r="E70" s="217"/>
      <c r="F70" s="111">
        <v>9</v>
      </c>
      <c r="G70" s="111" t="s">
        <v>6136</v>
      </c>
      <c r="H70" s="111" t="s">
        <v>6422</v>
      </c>
    </row>
    <row r="71" spans="1:8" ht="30" x14ac:dyDescent="0.2">
      <c r="A71" s="91" t="str">
        <f t="shared" si="1"/>
        <v>1II10</v>
      </c>
      <c r="B71" s="34">
        <v>1</v>
      </c>
      <c r="C71" s="34" t="s">
        <v>6384</v>
      </c>
      <c r="D71" s="217"/>
      <c r="E71" s="217"/>
      <c r="F71" s="111">
        <v>10</v>
      </c>
      <c r="G71" s="111" t="s">
        <v>6116</v>
      </c>
      <c r="H71" s="111" t="s">
        <v>6422</v>
      </c>
    </row>
    <row r="72" spans="1:8" ht="30" x14ac:dyDescent="0.2">
      <c r="A72" s="91" t="str">
        <f t="shared" si="1"/>
        <v>1II11</v>
      </c>
      <c r="B72" s="34">
        <v>1</v>
      </c>
      <c r="C72" s="34" t="s">
        <v>6384</v>
      </c>
      <c r="D72" s="217" t="s">
        <v>6424</v>
      </c>
      <c r="E72" s="217" t="s">
        <v>6425</v>
      </c>
      <c r="F72" s="111">
        <v>11</v>
      </c>
      <c r="G72" s="111" t="s">
        <v>6136</v>
      </c>
      <c r="H72" s="111" t="s">
        <v>6422</v>
      </c>
    </row>
    <row r="73" spans="1:8" ht="30" x14ac:dyDescent="0.2">
      <c r="A73" s="91" t="str">
        <f t="shared" si="1"/>
        <v>1II12</v>
      </c>
      <c r="B73" s="34">
        <v>1</v>
      </c>
      <c r="C73" s="34" t="s">
        <v>6384</v>
      </c>
      <c r="D73" s="217"/>
      <c r="E73" s="217"/>
      <c r="F73" s="111">
        <v>12</v>
      </c>
      <c r="G73" s="111" t="s">
        <v>6133</v>
      </c>
      <c r="H73" s="111" t="s">
        <v>6422</v>
      </c>
    </row>
    <row r="74" spans="1:8" ht="30" x14ac:dyDescent="0.2">
      <c r="A74" s="91" t="str">
        <f t="shared" si="1"/>
        <v>1II13</v>
      </c>
      <c r="B74" s="34">
        <v>1</v>
      </c>
      <c r="C74" s="34" t="s">
        <v>6384</v>
      </c>
      <c r="D74" s="217"/>
      <c r="E74" s="217"/>
      <c r="F74" s="111">
        <v>13</v>
      </c>
      <c r="G74" s="111" t="s">
        <v>6133</v>
      </c>
      <c r="H74" s="111" t="s">
        <v>6422</v>
      </c>
    </row>
    <row r="75" spans="1:8" ht="30" x14ac:dyDescent="0.2">
      <c r="A75" s="91" t="str">
        <f t="shared" si="1"/>
        <v>1II14</v>
      </c>
      <c r="B75" s="34">
        <v>1</v>
      </c>
      <c r="C75" s="34" t="s">
        <v>6384</v>
      </c>
      <c r="D75" s="217"/>
      <c r="E75" s="217"/>
      <c r="F75" s="111">
        <v>14</v>
      </c>
      <c r="G75" s="111" t="s">
        <v>6140</v>
      </c>
      <c r="H75" s="111" t="s">
        <v>6422</v>
      </c>
    </row>
    <row r="76" spans="1:8" ht="30" x14ac:dyDescent="0.2">
      <c r="A76" s="91" t="str">
        <f t="shared" si="1"/>
        <v>1II15</v>
      </c>
      <c r="B76" s="34">
        <v>1</v>
      </c>
      <c r="C76" s="34" t="s">
        <v>6384</v>
      </c>
      <c r="D76" s="217"/>
      <c r="E76" s="217" t="s">
        <v>6426</v>
      </c>
      <c r="F76" s="111">
        <v>15</v>
      </c>
      <c r="G76" s="111" t="s">
        <v>6136</v>
      </c>
      <c r="H76" s="111" t="s">
        <v>6422</v>
      </c>
    </row>
    <row r="77" spans="1:8" ht="30" x14ac:dyDescent="0.2">
      <c r="A77" s="91" t="str">
        <f t="shared" si="1"/>
        <v>1II16</v>
      </c>
      <c r="B77" s="34">
        <v>1</v>
      </c>
      <c r="C77" s="34" t="s">
        <v>6384</v>
      </c>
      <c r="D77" s="217"/>
      <c r="E77" s="217"/>
      <c r="F77" s="111">
        <v>16</v>
      </c>
      <c r="G77" s="111" t="s">
        <v>6140</v>
      </c>
      <c r="H77" s="111" t="s">
        <v>6422</v>
      </c>
    </row>
    <row r="78" spans="1:8" ht="30" x14ac:dyDescent="0.2">
      <c r="A78" s="91" t="str">
        <f t="shared" si="1"/>
        <v>1II17</v>
      </c>
      <c r="B78" s="34">
        <v>1</v>
      </c>
      <c r="C78" s="34" t="s">
        <v>6384</v>
      </c>
      <c r="D78" s="217"/>
      <c r="E78" s="217"/>
      <c r="F78" s="111">
        <v>17</v>
      </c>
      <c r="G78" s="111" t="s">
        <v>6140</v>
      </c>
      <c r="H78" s="111" t="s">
        <v>6422</v>
      </c>
    </row>
    <row r="79" spans="1:8" ht="30" x14ac:dyDescent="0.2">
      <c r="A79" s="91" t="str">
        <f t="shared" si="1"/>
        <v>1II18</v>
      </c>
      <c r="B79" s="34">
        <v>1</v>
      </c>
      <c r="C79" s="34" t="s">
        <v>6384</v>
      </c>
      <c r="D79" s="217"/>
      <c r="E79" s="217" t="s">
        <v>6427</v>
      </c>
      <c r="F79" s="111">
        <v>18</v>
      </c>
      <c r="G79" s="111" t="s">
        <v>6116</v>
      </c>
      <c r="H79" s="111" t="s">
        <v>6422</v>
      </c>
    </row>
    <row r="80" spans="1:8" ht="30" x14ac:dyDescent="0.2">
      <c r="A80" s="91" t="str">
        <f t="shared" si="1"/>
        <v>1II19</v>
      </c>
      <c r="B80" s="34">
        <v>1</v>
      </c>
      <c r="C80" s="34" t="s">
        <v>6384</v>
      </c>
      <c r="D80" s="217"/>
      <c r="E80" s="217"/>
      <c r="F80" s="111">
        <v>19</v>
      </c>
      <c r="G80" s="111" t="s">
        <v>6136</v>
      </c>
      <c r="H80" s="111" t="s">
        <v>6422</v>
      </c>
    </row>
    <row r="81" spans="1:8" ht="30" x14ac:dyDescent="0.2">
      <c r="A81" s="91" t="str">
        <f t="shared" si="1"/>
        <v>1II20</v>
      </c>
      <c r="B81" s="34">
        <v>1</v>
      </c>
      <c r="C81" s="34" t="s">
        <v>6384</v>
      </c>
      <c r="D81" s="217"/>
      <c r="E81" s="217"/>
      <c r="F81" s="111">
        <v>20</v>
      </c>
      <c r="G81" s="111" t="s">
        <v>6140</v>
      </c>
      <c r="H81" s="111" t="s">
        <v>6134</v>
      </c>
    </row>
    <row r="82" spans="1:8" ht="30" x14ac:dyDescent="0.2">
      <c r="A82" s="91" t="str">
        <f t="shared" si="1"/>
        <v>2II1</v>
      </c>
      <c r="B82" s="34">
        <v>2</v>
      </c>
      <c r="C82" s="34" t="s">
        <v>6384</v>
      </c>
      <c r="D82" s="217" t="s">
        <v>6494</v>
      </c>
      <c r="E82" s="217" t="s">
        <v>6495</v>
      </c>
      <c r="F82" s="111">
        <v>1</v>
      </c>
      <c r="G82" s="111" t="s">
        <v>6133</v>
      </c>
      <c r="H82" s="111" t="s">
        <v>6263</v>
      </c>
    </row>
    <row r="83" spans="1:8" ht="30" x14ac:dyDescent="0.2">
      <c r="A83" s="91" t="str">
        <f t="shared" si="1"/>
        <v>2II2</v>
      </c>
      <c r="B83" s="34">
        <v>2</v>
      </c>
      <c r="C83" s="34" t="s">
        <v>6384</v>
      </c>
      <c r="D83" s="217"/>
      <c r="E83" s="217"/>
      <c r="F83" s="111">
        <v>2</v>
      </c>
      <c r="G83" s="111" t="s">
        <v>6116</v>
      </c>
      <c r="H83" s="111" t="s">
        <v>6263</v>
      </c>
    </row>
    <row r="84" spans="1:8" ht="30" x14ac:dyDescent="0.2">
      <c r="A84" s="91" t="str">
        <f t="shared" si="1"/>
        <v>2II3</v>
      </c>
      <c r="B84" s="34">
        <v>2</v>
      </c>
      <c r="C84" s="34" t="s">
        <v>6384</v>
      </c>
      <c r="D84" s="217"/>
      <c r="E84" s="217"/>
      <c r="F84" s="111">
        <v>3</v>
      </c>
      <c r="G84" s="111" t="s">
        <v>6140</v>
      </c>
      <c r="H84" s="111" t="s">
        <v>6263</v>
      </c>
    </row>
    <row r="85" spans="1:8" ht="30" x14ac:dyDescent="0.2">
      <c r="A85" s="91" t="str">
        <f t="shared" si="1"/>
        <v>2II4</v>
      </c>
      <c r="B85" s="34">
        <v>2</v>
      </c>
      <c r="C85" s="34" t="s">
        <v>6384</v>
      </c>
      <c r="D85" s="217"/>
      <c r="E85" s="217" t="s">
        <v>6496</v>
      </c>
      <c r="F85" s="111">
        <v>4</v>
      </c>
      <c r="G85" s="111" t="s">
        <v>6136</v>
      </c>
      <c r="H85" s="111" t="s">
        <v>6263</v>
      </c>
    </row>
    <row r="86" spans="1:8" ht="30" x14ac:dyDescent="0.2">
      <c r="A86" s="91" t="str">
        <f t="shared" si="1"/>
        <v>2II5</v>
      </c>
      <c r="B86" s="34">
        <v>2</v>
      </c>
      <c r="C86" s="34" t="s">
        <v>6384</v>
      </c>
      <c r="D86" s="217"/>
      <c r="E86" s="217"/>
      <c r="F86" s="111">
        <v>5</v>
      </c>
      <c r="G86" s="111" t="s">
        <v>6133</v>
      </c>
      <c r="H86" s="111" t="s">
        <v>6263</v>
      </c>
    </row>
    <row r="87" spans="1:8" ht="30" x14ac:dyDescent="0.2">
      <c r="A87" s="91" t="str">
        <f t="shared" si="1"/>
        <v>2II6</v>
      </c>
      <c r="B87" s="34">
        <v>2</v>
      </c>
      <c r="C87" s="34" t="s">
        <v>6384</v>
      </c>
      <c r="D87" s="217" t="s">
        <v>6497</v>
      </c>
      <c r="E87" s="217" t="s">
        <v>6498</v>
      </c>
      <c r="F87" s="111">
        <v>6</v>
      </c>
      <c r="G87" s="111" t="s">
        <v>6133</v>
      </c>
      <c r="H87" s="111" t="s">
        <v>6263</v>
      </c>
    </row>
    <row r="88" spans="1:8" ht="30" x14ac:dyDescent="0.2">
      <c r="A88" s="91" t="str">
        <f t="shared" si="1"/>
        <v>2II7</v>
      </c>
      <c r="B88" s="34">
        <v>2</v>
      </c>
      <c r="C88" s="34" t="s">
        <v>6384</v>
      </c>
      <c r="D88" s="217"/>
      <c r="E88" s="217"/>
      <c r="F88" s="111">
        <v>7</v>
      </c>
      <c r="G88" s="111" t="s">
        <v>6136</v>
      </c>
      <c r="H88" s="111" t="s">
        <v>6263</v>
      </c>
    </row>
    <row r="89" spans="1:8" ht="30" x14ac:dyDescent="0.2">
      <c r="A89" s="91" t="str">
        <f t="shared" si="1"/>
        <v>2II8</v>
      </c>
      <c r="B89" s="34">
        <v>2</v>
      </c>
      <c r="C89" s="34" t="s">
        <v>6384</v>
      </c>
      <c r="D89" s="217"/>
      <c r="E89" s="217"/>
      <c r="F89" s="111">
        <v>8</v>
      </c>
      <c r="G89" s="111" t="s">
        <v>6116</v>
      </c>
      <c r="H89" s="111" t="s">
        <v>6263</v>
      </c>
    </row>
    <row r="90" spans="1:8" ht="30" x14ac:dyDescent="0.2">
      <c r="A90" s="91" t="str">
        <f t="shared" si="1"/>
        <v>2II9</v>
      </c>
      <c r="B90" s="34">
        <v>2</v>
      </c>
      <c r="C90" s="34" t="s">
        <v>6384</v>
      </c>
      <c r="D90" s="217"/>
      <c r="E90" s="217" t="s">
        <v>6499</v>
      </c>
      <c r="F90" s="111">
        <v>9</v>
      </c>
      <c r="G90" s="111" t="s">
        <v>6140</v>
      </c>
      <c r="H90" s="111" t="s">
        <v>6263</v>
      </c>
    </row>
    <row r="91" spans="1:8" ht="30" x14ac:dyDescent="0.2">
      <c r="A91" s="91" t="str">
        <f t="shared" si="1"/>
        <v>2II10</v>
      </c>
      <c r="B91" s="34">
        <v>2</v>
      </c>
      <c r="C91" s="34" t="s">
        <v>6384</v>
      </c>
      <c r="D91" s="217"/>
      <c r="E91" s="217"/>
      <c r="F91" s="111">
        <v>10</v>
      </c>
      <c r="G91" s="111" t="s">
        <v>6116</v>
      </c>
      <c r="H91" s="111" t="s">
        <v>6263</v>
      </c>
    </row>
    <row r="92" spans="1:8" ht="30" x14ac:dyDescent="0.2">
      <c r="A92" s="91" t="str">
        <f t="shared" si="1"/>
        <v>2II11</v>
      </c>
      <c r="B92" s="34">
        <v>2</v>
      </c>
      <c r="C92" s="34" t="s">
        <v>6384</v>
      </c>
      <c r="D92" s="217"/>
      <c r="E92" s="217"/>
      <c r="F92" s="111">
        <v>11</v>
      </c>
      <c r="G92" s="111" t="s">
        <v>6133</v>
      </c>
      <c r="H92" s="111" t="s">
        <v>6263</v>
      </c>
    </row>
    <row r="93" spans="1:8" ht="30" x14ac:dyDescent="0.2">
      <c r="A93" s="91" t="str">
        <f t="shared" si="1"/>
        <v>2II12</v>
      </c>
      <c r="B93" s="34">
        <v>2</v>
      </c>
      <c r="C93" s="34" t="s">
        <v>6384</v>
      </c>
      <c r="D93" s="217"/>
      <c r="E93" s="217" t="s">
        <v>6500</v>
      </c>
      <c r="F93" s="111">
        <v>12</v>
      </c>
      <c r="G93" s="111" t="s">
        <v>6133</v>
      </c>
      <c r="H93" s="111" t="s">
        <v>6134</v>
      </c>
    </row>
    <row r="94" spans="1:8" ht="30" x14ac:dyDescent="0.2">
      <c r="A94" s="91" t="str">
        <f t="shared" si="1"/>
        <v>2II13</v>
      </c>
      <c r="B94" s="34">
        <v>2</v>
      </c>
      <c r="C94" s="34" t="s">
        <v>6384</v>
      </c>
      <c r="D94" s="217"/>
      <c r="E94" s="217"/>
      <c r="F94" s="111">
        <v>13</v>
      </c>
      <c r="G94" s="111" t="s">
        <v>6140</v>
      </c>
      <c r="H94" s="111" t="s">
        <v>6134</v>
      </c>
    </row>
    <row r="95" spans="1:8" ht="30" x14ac:dyDescent="0.2">
      <c r="A95" s="91" t="str">
        <f t="shared" si="1"/>
        <v>2II14</v>
      </c>
      <c r="B95" s="34">
        <v>2</v>
      </c>
      <c r="C95" s="34" t="s">
        <v>6384</v>
      </c>
      <c r="D95" s="217"/>
      <c r="E95" s="217"/>
      <c r="F95" s="111">
        <v>14</v>
      </c>
      <c r="G95" s="111" t="s">
        <v>6133</v>
      </c>
      <c r="H95" s="111" t="s">
        <v>6134</v>
      </c>
    </row>
    <row r="96" spans="1:8" ht="30" x14ac:dyDescent="0.2">
      <c r="A96" s="91" t="str">
        <f t="shared" si="1"/>
        <v>2II15</v>
      </c>
      <c r="B96" s="34">
        <v>2</v>
      </c>
      <c r="C96" s="34" t="s">
        <v>6384</v>
      </c>
      <c r="D96" s="217" t="s">
        <v>15</v>
      </c>
      <c r="E96" s="217" t="s">
        <v>6501</v>
      </c>
      <c r="F96" s="111">
        <v>15</v>
      </c>
      <c r="G96" s="111" t="s">
        <v>6136</v>
      </c>
      <c r="H96" s="111" t="s">
        <v>6134</v>
      </c>
    </row>
    <row r="97" spans="1:8" ht="30" x14ac:dyDescent="0.2">
      <c r="A97" s="91" t="str">
        <f t="shared" si="1"/>
        <v>2II16</v>
      </c>
      <c r="B97" s="34">
        <v>2</v>
      </c>
      <c r="C97" s="34" t="s">
        <v>6384</v>
      </c>
      <c r="D97" s="217"/>
      <c r="E97" s="217"/>
      <c r="F97" s="111">
        <v>16</v>
      </c>
      <c r="G97" s="111" t="s">
        <v>6140</v>
      </c>
      <c r="H97" s="111" t="s">
        <v>6134</v>
      </c>
    </row>
    <row r="98" spans="1:8" ht="30" x14ac:dyDescent="0.2">
      <c r="A98" s="91" t="str">
        <f t="shared" si="1"/>
        <v>2II17</v>
      </c>
      <c r="B98" s="34">
        <v>2</v>
      </c>
      <c r="C98" s="34" t="s">
        <v>6384</v>
      </c>
      <c r="D98" s="217"/>
      <c r="E98" s="217"/>
      <c r="F98" s="111">
        <v>17</v>
      </c>
      <c r="G98" s="111" t="s">
        <v>6136</v>
      </c>
      <c r="H98" s="111" t="s">
        <v>6134</v>
      </c>
    </row>
    <row r="99" spans="1:8" ht="30" x14ac:dyDescent="0.2">
      <c r="A99" s="91" t="str">
        <f t="shared" si="1"/>
        <v>2II18</v>
      </c>
      <c r="B99" s="34">
        <v>2</v>
      </c>
      <c r="C99" s="34" t="s">
        <v>6384</v>
      </c>
      <c r="D99" s="217"/>
      <c r="E99" s="217" t="s">
        <v>6502</v>
      </c>
      <c r="F99" s="111">
        <v>18</v>
      </c>
      <c r="G99" s="111" t="s">
        <v>6136</v>
      </c>
      <c r="H99" s="111" t="s">
        <v>6134</v>
      </c>
    </row>
    <row r="100" spans="1:8" ht="30" x14ac:dyDescent="0.2">
      <c r="A100" s="91" t="str">
        <f t="shared" si="1"/>
        <v>2II19</v>
      </c>
      <c r="B100" s="34">
        <v>2</v>
      </c>
      <c r="C100" s="34" t="s">
        <v>6384</v>
      </c>
      <c r="D100" s="217"/>
      <c r="E100" s="217"/>
      <c r="F100" s="111">
        <v>19</v>
      </c>
      <c r="G100" s="111" t="s">
        <v>6140</v>
      </c>
      <c r="H100" s="111" t="s">
        <v>6134</v>
      </c>
    </row>
    <row r="101" spans="1:8" ht="30" x14ac:dyDescent="0.2">
      <c r="A101" s="91" t="str">
        <f t="shared" si="1"/>
        <v>2II20</v>
      </c>
      <c r="B101" s="34">
        <v>2</v>
      </c>
      <c r="C101" s="34" t="s">
        <v>6384</v>
      </c>
      <c r="D101" s="217"/>
      <c r="E101" s="217"/>
      <c r="F101" s="111">
        <v>20</v>
      </c>
      <c r="G101" s="111" t="s">
        <v>6116</v>
      </c>
      <c r="H101" s="111" t="s">
        <v>6134</v>
      </c>
    </row>
    <row r="102" spans="1:8" ht="30" x14ac:dyDescent="0.2">
      <c r="A102" s="91" t="str">
        <f t="shared" si="1"/>
        <v>3II1</v>
      </c>
      <c r="B102" s="34">
        <v>3</v>
      </c>
      <c r="C102" s="34" t="s">
        <v>6384</v>
      </c>
      <c r="D102" s="217" t="s">
        <v>15</v>
      </c>
      <c r="E102" s="217" t="s">
        <v>6553</v>
      </c>
      <c r="F102" s="111">
        <v>1</v>
      </c>
      <c r="G102" s="111" t="s">
        <v>6133</v>
      </c>
      <c r="H102" s="111" t="s">
        <v>6554</v>
      </c>
    </row>
    <row r="103" spans="1:8" ht="30" x14ac:dyDescent="0.2">
      <c r="A103" s="91" t="str">
        <f t="shared" si="1"/>
        <v>3II2</v>
      </c>
      <c r="B103" s="34">
        <v>3</v>
      </c>
      <c r="C103" s="34" t="s">
        <v>6384</v>
      </c>
      <c r="D103" s="217"/>
      <c r="E103" s="217"/>
      <c r="F103" s="111">
        <v>2</v>
      </c>
      <c r="G103" s="111" t="s">
        <v>6140</v>
      </c>
      <c r="H103" s="111" t="s">
        <v>6555</v>
      </c>
    </row>
    <row r="104" spans="1:8" ht="30" x14ac:dyDescent="0.2">
      <c r="A104" s="91" t="str">
        <f t="shared" si="1"/>
        <v>3II3</v>
      </c>
      <c r="B104" s="34">
        <v>3</v>
      </c>
      <c r="C104" s="34" t="s">
        <v>6384</v>
      </c>
      <c r="D104" s="217"/>
      <c r="E104" s="217"/>
      <c r="F104" s="111">
        <v>3</v>
      </c>
      <c r="G104" s="111" t="s">
        <v>6136</v>
      </c>
      <c r="H104" s="111" t="s">
        <v>6554</v>
      </c>
    </row>
    <row r="105" spans="1:8" ht="30" x14ac:dyDescent="0.2">
      <c r="A105" s="91" t="str">
        <f t="shared" si="1"/>
        <v>3II4</v>
      </c>
      <c r="B105" s="34">
        <v>3</v>
      </c>
      <c r="C105" s="34" t="s">
        <v>6384</v>
      </c>
      <c r="D105" s="217"/>
      <c r="E105" s="217"/>
      <c r="F105" s="111">
        <v>4</v>
      </c>
      <c r="G105" s="111" t="s">
        <v>6116</v>
      </c>
      <c r="H105" s="111" t="s">
        <v>6554</v>
      </c>
    </row>
    <row r="106" spans="1:8" ht="30" x14ac:dyDescent="0.2">
      <c r="A106" s="91" t="str">
        <f t="shared" si="1"/>
        <v>3II5</v>
      </c>
      <c r="B106" s="34">
        <v>3</v>
      </c>
      <c r="C106" s="34" t="s">
        <v>6384</v>
      </c>
      <c r="D106" s="217" t="s">
        <v>6556</v>
      </c>
      <c r="E106" s="217" t="s">
        <v>6557</v>
      </c>
      <c r="F106" s="111">
        <v>5</v>
      </c>
      <c r="G106" s="111" t="s">
        <v>6140</v>
      </c>
      <c r="H106" s="111" t="s">
        <v>6558</v>
      </c>
    </row>
    <row r="107" spans="1:8" ht="30" x14ac:dyDescent="0.2">
      <c r="A107" s="91" t="str">
        <f t="shared" si="1"/>
        <v>3II6</v>
      </c>
      <c r="B107" s="34">
        <v>3</v>
      </c>
      <c r="C107" s="34" t="s">
        <v>6384</v>
      </c>
      <c r="D107" s="217"/>
      <c r="E107" s="217"/>
      <c r="F107" s="111">
        <v>6</v>
      </c>
      <c r="G107" s="111" t="s">
        <v>6116</v>
      </c>
      <c r="H107" s="111" t="s">
        <v>6558</v>
      </c>
    </row>
    <row r="108" spans="1:8" ht="30" x14ac:dyDescent="0.2">
      <c r="A108" s="91" t="str">
        <f t="shared" si="1"/>
        <v>3II7</v>
      </c>
      <c r="B108" s="34">
        <v>3</v>
      </c>
      <c r="C108" s="34" t="s">
        <v>6384</v>
      </c>
      <c r="D108" s="217"/>
      <c r="E108" s="217" t="s">
        <v>6559</v>
      </c>
      <c r="F108" s="111">
        <v>7</v>
      </c>
      <c r="G108" s="111" t="s">
        <v>6136</v>
      </c>
      <c r="H108" s="111" t="s">
        <v>6558</v>
      </c>
    </row>
    <row r="109" spans="1:8" ht="30" x14ac:dyDescent="0.2">
      <c r="A109" s="91" t="str">
        <f t="shared" si="1"/>
        <v>3II8</v>
      </c>
      <c r="B109" s="34">
        <v>3</v>
      </c>
      <c r="C109" s="34" t="s">
        <v>6384</v>
      </c>
      <c r="D109" s="217"/>
      <c r="E109" s="217"/>
      <c r="F109" s="111">
        <v>8</v>
      </c>
      <c r="G109" s="111" t="s">
        <v>6133</v>
      </c>
      <c r="H109" s="111" t="s">
        <v>6558</v>
      </c>
    </row>
    <row r="110" spans="1:8" ht="30" x14ac:dyDescent="0.2">
      <c r="A110" s="91" t="str">
        <f t="shared" si="1"/>
        <v>3II9</v>
      </c>
      <c r="B110" s="34">
        <v>3</v>
      </c>
      <c r="C110" s="34" t="s">
        <v>6384</v>
      </c>
      <c r="D110" s="217"/>
      <c r="E110" s="217"/>
      <c r="F110" s="111">
        <v>9</v>
      </c>
      <c r="G110" s="111" t="s">
        <v>6136</v>
      </c>
      <c r="H110" s="111" t="s">
        <v>6558</v>
      </c>
    </row>
    <row r="111" spans="1:8" ht="30" x14ac:dyDescent="0.2">
      <c r="A111" s="91" t="str">
        <f t="shared" si="1"/>
        <v>3II10</v>
      </c>
      <c r="B111" s="34">
        <v>3</v>
      </c>
      <c r="C111" s="34" t="s">
        <v>6384</v>
      </c>
      <c r="D111" s="217"/>
      <c r="E111" s="217"/>
      <c r="F111" s="111">
        <v>10</v>
      </c>
      <c r="G111" s="111" t="s">
        <v>6133</v>
      </c>
      <c r="H111" s="111" t="s">
        <v>6558</v>
      </c>
    </row>
    <row r="112" spans="1:8" x14ac:dyDescent="0.2">
      <c r="A112" s="91" t="str">
        <f t="shared" si="1"/>
        <v>3II11</v>
      </c>
      <c r="B112" s="34">
        <v>3</v>
      </c>
      <c r="C112" s="34" t="s">
        <v>6384</v>
      </c>
      <c r="D112" s="217" t="s">
        <v>6560</v>
      </c>
      <c r="E112" s="217" t="s">
        <v>6561</v>
      </c>
      <c r="F112" s="111">
        <v>11</v>
      </c>
      <c r="G112" s="111" t="s">
        <v>6133</v>
      </c>
      <c r="H112" s="111" t="s">
        <v>6137</v>
      </c>
    </row>
    <row r="113" spans="1:8" x14ac:dyDescent="0.2">
      <c r="A113" s="91" t="str">
        <f t="shared" si="1"/>
        <v>3II12</v>
      </c>
      <c r="B113" s="34">
        <v>3</v>
      </c>
      <c r="C113" s="34" t="s">
        <v>6384</v>
      </c>
      <c r="D113" s="217"/>
      <c r="E113" s="217"/>
      <c r="F113" s="111">
        <v>12</v>
      </c>
      <c r="G113" s="111" t="s">
        <v>6116</v>
      </c>
      <c r="H113" s="111" t="s">
        <v>6137</v>
      </c>
    </row>
    <row r="114" spans="1:8" ht="30" x14ac:dyDescent="0.2">
      <c r="A114" s="91" t="str">
        <f t="shared" si="1"/>
        <v>3II13</v>
      </c>
      <c r="B114" s="34">
        <v>3</v>
      </c>
      <c r="C114" s="34" t="s">
        <v>6384</v>
      </c>
      <c r="D114" s="217"/>
      <c r="E114" s="217" t="s">
        <v>6562</v>
      </c>
      <c r="F114" s="111">
        <v>13</v>
      </c>
      <c r="G114" s="111" t="s">
        <v>6133</v>
      </c>
      <c r="H114" s="111" t="s">
        <v>6563</v>
      </c>
    </row>
    <row r="115" spans="1:8" ht="30" x14ac:dyDescent="0.2">
      <c r="A115" s="91" t="str">
        <f t="shared" si="1"/>
        <v>3II14</v>
      </c>
      <c r="B115" s="34">
        <v>3</v>
      </c>
      <c r="C115" s="34" t="s">
        <v>6384</v>
      </c>
      <c r="D115" s="217"/>
      <c r="E115" s="217"/>
      <c r="F115" s="111">
        <v>14</v>
      </c>
      <c r="G115" s="111" t="s">
        <v>6140</v>
      </c>
      <c r="H115" s="111" t="s">
        <v>6554</v>
      </c>
    </row>
    <row r="116" spans="1:8" ht="30" x14ac:dyDescent="0.2">
      <c r="A116" s="91" t="str">
        <f t="shared" si="1"/>
        <v>3II15</v>
      </c>
      <c r="B116" s="34">
        <v>3</v>
      </c>
      <c r="C116" s="34" t="s">
        <v>6384</v>
      </c>
      <c r="D116" s="217"/>
      <c r="E116" s="217"/>
      <c r="F116" s="111">
        <v>15</v>
      </c>
      <c r="G116" s="111" t="s">
        <v>6133</v>
      </c>
      <c r="H116" s="111" t="s">
        <v>6554</v>
      </c>
    </row>
    <row r="117" spans="1:8" ht="30" x14ac:dyDescent="0.2">
      <c r="A117" s="91" t="str">
        <f t="shared" si="1"/>
        <v>3II16</v>
      </c>
      <c r="B117" s="34">
        <v>3</v>
      </c>
      <c r="C117" s="34" t="s">
        <v>6384</v>
      </c>
      <c r="D117" s="217"/>
      <c r="E117" s="217"/>
      <c r="F117" s="111">
        <v>16</v>
      </c>
      <c r="G117" s="111" t="s">
        <v>6116</v>
      </c>
      <c r="H117" s="111" t="s">
        <v>6554</v>
      </c>
    </row>
    <row r="118" spans="1:8" ht="30" x14ac:dyDescent="0.2">
      <c r="A118" s="91" t="str">
        <f t="shared" si="1"/>
        <v>3II17</v>
      </c>
      <c r="B118" s="34">
        <v>3</v>
      </c>
      <c r="C118" s="34" t="s">
        <v>6384</v>
      </c>
      <c r="D118" s="217" t="s">
        <v>15</v>
      </c>
      <c r="E118" s="217" t="s">
        <v>6564</v>
      </c>
      <c r="F118" s="111">
        <v>17</v>
      </c>
      <c r="G118" s="111" t="s">
        <v>6116</v>
      </c>
      <c r="H118" s="111" t="s">
        <v>6558</v>
      </c>
    </row>
    <row r="119" spans="1:8" ht="30" x14ac:dyDescent="0.2">
      <c r="A119" s="91" t="str">
        <f t="shared" si="1"/>
        <v>3II18</v>
      </c>
      <c r="B119" s="34">
        <v>3</v>
      </c>
      <c r="C119" s="34" t="s">
        <v>6384</v>
      </c>
      <c r="D119" s="217"/>
      <c r="E119" s="217"/>
      <c r="F119" s="111">
        <v>18</v>
      </c>
      <c r="G119" s="111" t="s">
        <v>6136</v>
      </c>
      <c r="H119" s="111" t="s">
        <v>6558</v>
      </c>
    </row>
    <row r="120" spans="1:8" ht="30" x14ac:dyDescent="0.2">
      <c r="A120" s="91" t="str">
        <f t="shared" si="1"/>
        <v>3II19</v>
      </c>
      <c r="B120" s="34">
        <v>3</v>
      </c>
      <c r="C120" s="34" t="s">
        <v>6384</v>
      </c>
      <c r="D120" s="217"/>
      <c r="E120" s="217"/>
      <c r="F120" s="111">
        <v>19</v>
      </c>
      <c r="G120" s="111" t="s">
        <v>6140</v>
      </c>
      <c r="H120" s="111" t="s">
        <v>6563</v>
      </c>
    </row>
    <row r="121" spans="1:8" ht="30" x14ac:dyDescent="0.2">
      <c r="A121" s="91" t="str">
        <f t="shared" si="1"/>
        <v>3II20</v>
      </c>
      <c r="B121" s="34">
        <v>3</v>
      </c>
      <c r="C121" s="34" t="s">
        <v>6384</v>
      </c>
      <c r="D121" s="217"/>
      <c r="E121" s="217"/>
      <c r="F121" s="111">
        <v>20</v>
      </c>
      <c r="G121" s="111" t="s">
        <v>6133</v>
      </c>
      <c r="H121" s="111" t="s">
        <v>6558</v>
      </c>
    </row>
    <row r="122" spans="1:8" x14ac:dyDescent="0.2">
      <c r="A122" s="91" t="str">
        <f t="shared" si="1"/>
        <v/>
      </c>
    </row>
    <row r="123" spans="1:8" x14ac:dyDescent="0.2">
      <c r="A123" s="91" t="str">
        <f t="shared" si="1"/>
        <v/>
      </c>
    </row>
    <row r="124" spans="1:8" x14ac:dyDescent="0.2">
      <c r="A124" s="91" t="str">
        <f t="shared" si="1"/>
        <v/>
      </c>
    </row>
    <row r="125" spans="1:8" x14ac:dyDescent="0.2">
      <c r="A125" s="91" t="str">
        <f t="shared" si="1"/>
        <v/>
      </c>
    </row>
    <row r="126" spans="1:8" x14ac:dyDescent="0.2">
      <c r="A126" s="91" t="str">
        <f t="shared" si="1"/>
        <v/>
      </c>
    </row>
    <row r="127" spans="1:8" x14ac:dyDescent="0.2">
      <c r="A127" s="91" t="str">
        <f t="shared" si="1"/>
        <v/>
      </c>
    </row>
    <row r="128" spans="1:8" x14ac:dyDescent="0.2">
      <c r="A128" s="91" t="str">
        <f t="shared" si="1"/>
        <v/>
      </c>
    </row>
    <row r="129" spans="1:1" x14ac:dyDescent="0.2">
      <c r="A129" s="91" t="str">
        <f t="shared" si="1"/>
        <v/>
      </c>
    </row>
    <row r="130" spans="1:1" x14ac:dyDescent="0.2">
      <c r="A130" s="91" t="str">
        <f t="shared" si="1"/>
        <v/>
      </c>
    </row>
    <row r="131" spans="1:1" x14ac:dyDescent="0.2">
      <c r="A131" s="91" t="str">
        <f t="shared" ref="A131:A194" si="2">CONCATENATE(B131,C131,F131)</f>
        <v/>
      </c>
    </row>
    <row r="132" spans="1:1" x14ac:dyDescent="0.2">
      <c r="A132" s="91" t="str">
        <f t="shared" si="2"/>
        <v/>
      </c>
    </row>
    <row r="133" spans="1:1" x14ac:dyDescent="0.2">
      <c r="A133" s="91" t="str">
        <f t="shared" si="2"/>
        <v/>
      </c>
    </row>
    <row r="134" spans="1:1" x14ac:dyDescent="0.2">
      <c r="A134" s="91" t="str">
        <f t="shared" si="2"/>
        <v/>
      </c>
    </row>
    <row r="135" spans="1:1" x14ac:dyDescent="0.2">
      <c r="A135" s="91" t="str">
        <f t="shared" si="2"/>
        <v/>
      </c>
    </row>
    <row r="136" spans="1:1" x14ac:dyDescent="0.2">
      <c r="A136" s="91" t="str">
        <f t="shared" si="2"/>
        <v/>
      </c>
    </row>
    <row r="137" spans="1:1" x14ac:dyDescent="0.2">
      <c r="A137" s="91" t="str">
        <f t="shared" si="2"/>
        <v/>
      </c>
    </row>
    <row r="138" spans="1:1" x14ac:dyDescent="0.2">
      <c r="A138" s="91" t="str">
        <f t="shared" si="2"/>
        <v/>
      </c>
    </row>
    <row r="139" spans="1:1" x14ac:dyDescent="0.2">
      <c r="A139" s="91" t="str">
        <f t="shared" si="2"/>
        <v/>
      </c>
    </row>
    <row r="140" spans="1:1" x14ac:dyDescent="0.2">
      <c r="A140" s="91" t="str">
        <f t="shared" si="2"/>
        <v/>
      </c>
    </row>
    <row r="141" spans="1:1" x14ac:dyDescent="0.2">
      <c r="A141" s="91" t="str">
        <f t="shared" si="2"/>
        <v/>
      </c>
    </row>
    <row r="142" spans="1:1" x14ac:dyDescent="0.2">
      <c r="A142" s="91" t="str">
        <f t="shared" si="2"/>
        <v/>
      </c>
    </row>
    <row r="143" spans="1:1" x14ac:dyDescent="0.2">
      <c r="A143" s="91" t="str">
        <f t="shared" si="2"/>
        <v/>
      </c>
    </row>
    <row r="144" spans="1:1" x14ac:dyDescent="0.2">
      <c r="A144" s="91" t="str">
        <f t="shared" si="2"/>
        <v/>
      </c>
    </row>
    <row r="145" spans="1:1" x14ac:dyDescent="0.2">
      <c r="A145" s="91" t="str">
        <f t="shared" si="2"/>
        <v/>
      </c>
    </row>
    <row r="146" spans="1:1" x14ac:dyDescent="0.2">
      <c r="A146" s="91" t="str">
        <f t="shared" si="2"/>
        <v/>
      </c>
    </row>
    <row r="147" spans="1:1" x14ac:dyDescent="0.2">
      <c r="A147" s="91" t="str">
        <f t="shared" si="2"/>
        <v/>
      </c>
    </row>
    <row r="148" spans="1:1" x14ac:dyDescent="0.2">
      <c r="A148" s="91" t="str">
        <f t="shared" si="2"/>
        <v/>
      </c>
    </row>
    <row r="149" spans="1:1" x14ac:dyDescent="0.2">
      <c r="A149" s="91" t="str">
        <f t="shared" si="2"/>
        <v/>
      </c>
    </row>
    <row r="150" spans="1:1" x14ac:dyDescent="0.2">
      <c r="A150" s="91" t="str">
        <f t="shared" si="2"/>
        <v/>
      </c>
    </row>
    <row r="151" spans="1:1" x14ac:dyDescent="0.2">
      <c r="A151" s="91" t="str">
        <f t="shared" si="2"/>
        <v/>
      </c>
    </row>
    <row r="152" spans="1:1" x14ac:dyDescent="0.2">
      <c r="A152" s="91" t="str">
        <f t="shared" si="2"/>
        <v/>
      </c>
    </row>
    <row r="153" spans="1:1" x14ac:dyDescent="0.2">
      <c r="A153" s="91" t="str">
        <f t="shared" si="2"/>
        <v/>
      </c>
    </row>
    <row r="154" spans="1:1" x14ac:dyDescent="0.2">
      <c r="A154" s="91" t="str">
        <f t="shared" si="2"/>
        <v/>
      </c>
    </row>
    <row r="155" spans="1:1" x14ac:dyDescent="0.2">
      <c r="A155" s="91" t="str">
        <f t="shared" si="2"/>
        <v/>
      </c>
    </row>
    <row r="156" spans="1:1" x14ac:dyDescent="0.2">
      <c r="A156" s="91" t="str">
        <f t="shared" si="2"/>
        <v/>
      </c>
    </row>
    <row r="157" spans="1:1" x14ac:dyDescent="0.2">
      <c r="A157" s="91" t="str">
        <f t="shared" si="2"/>
        <v/>
      </c>
    </row>
    <row r="158" spans="1:1" x14ac:dyDescent="0.2">
      <c r="A158" s="91" t="str">
        <f t="shared" si="2"/>
        <v/>
      </c>
    </row>
    <row r="159" spans="1:1" x14ac:dyDescent="0.2">
      <c r="A159" s="91" t="str">
        <f t="shared" si="2"/>
        <v/>
      </c>
    </row>
    <row r="160" spans="1:1" x14ac:dyDescent="0.2">
      <c r="A160" s="91" t="str">
        <f t="shared" si="2"/>
        <v/>
      </c>
    </row>
    <row r="161" spans="1:1" x14ac:dyDescent="0.2">
      <c r="A161" s="91" t="str">
        <f t="shared" si="2"/>
        <v/>
      </c>
    </row>
    <row r="162" spans="1:1" x14ac:dyDescent="0.2">
      <c r="A162" s="91" t="str">
        <f t="shared" si="2"/>
        <v/>
      </c>
    </row>
    <row r="163" spans="1:1" x14ac:dyDescent="0.2">
      <c r="A163" s="91" t="str">
        <f t="shared" si="2"/>
        <v/>
      </c>
    </row>
    <row r="164" spans="1:1" x14ac:dyDescent="0.2">
      <c r="A164" s="91" t="str">
        <f t="shared" si="2"/>
        <v/>
      </c>
    </row>
    <row r="165" spans="1:1" x14ac:dyDescent="0.2">
      <c r="A165" s="91" t="str">
        <f t="shared" si="2"/>
        <v/>
      </c>
    </row>
    <row r="166" spans="1:1" x14ac:dyDescent="0.2">
      <c r="A166" s="91" t="str">
        <f t="shared" si="2"/>
        <v/>
      </c>
    </row>
    <row r="167" spans="1:1" x14ac:dyDescent="0.2">
      <c r="A167" s="91" t="str">
        <f t="shared" si="2"/>
        <v/>
      </c>
    </row>
    <row r="168" spans="1:1" x14ac:dyDescent="0.2">
      <c r="A168" s="91" t="str">
        <f t="shared" si="2"/>
        <v/>
      </c>
    </row>
    <row r="169" spans="1:1" x14ac:dyDescent="0.2">
      <c r="A169" s="91" t="str">
        <f t="shared" si="2"/>
        <v/>
      </c>
    </row>
    <row r="170" spans="1:1" x14ac:dyDescent="0.2">
      <c r="A170" s="91" t="str">
        <f t="shared" si="2"/>
        <v/>
      </c>
    </row>
    <row r="171" spans="1:1" x14ac:dyDescent="0.2">
      <c r="A171" s="91" t="str">
        <f t="shared" si="2"/>
        <v/>
      </c>
    </row>
    <row r="172" spans="1:1" x14ac:dyDescent="0.2">
      <c r="A172" s="91" t="str">
        <f t="shared" si="2"/>
        <v/>
      </c>
    </row>
    <row r="173" spans="1:1" x14ac:dyDescent="0.2">
      <c r="A173" s="91" t="str">
        <f t="shared" si="2"/>
        <v/>
      </c>
    </row>
    <row r="174" spans="1:1" x14ac:dyDescent="0.2">
      <c r="A174" s="91" t="str">
        <f t="shared" si="2"/>
        <v/>
      </c>
    </row>
    <row r="175" spans="1:1" x14ac:dyDescent="0.2">
      <c r="A175" s="91" t="str">
        <f t="shared" si="2"/>
        <v/>
      </c>
    </row>
    <row r="176" spans="1:1" x14ac:dyDescent="0.2">
      <c r="A176" s="91" t="str">
        <f t="shared" si="2"/>
        <v/>
      </c>
    </row>
    <row r="177" spans="1:1" x14ac:dyDescent="0.2">
      <c r="A177" s="91" t="str">
        <f t="shared" si="2"/>
        <v/>
      </c>
    </row>
    <row r="178" spans="1:1" x14ac:dyDescent="0.2">
      <c r="A178" s="91" t="str">
        <f t="shared" si="2"/>
        <v/>
      </c>
    </row>
    <row r="179" spans="1:1" x14ac:dyDescent="0.2">
      <c r="A179" s="91" t="str">
        <f t="shared" si="2"/>
        <v/>
      </c>
    </row>
    <row r="180" spans="1:1" x14ac:dyDescent="0.2">
      <c r="A180" s="91" t="str">
        <f t="shared" si="2"/>
        <v/>
      </c>
    </row>
    <row r="181" spans="1:1" x14ac:dyDescent="0.2">
      <c r="A181" s="91" t="str">
        <f t="shared" si="2"/>
        <v/>
      </c>
    </row>
    <row r="182" spans="1:1" x14ac:dyDescent="0.2">
      <c r="A182" s="91" t="str">
        <f t="shared" si="2"/>
        <v/>
      </c>
    </row>
    <row r="183" spans="1:1" x14ac:dyDescent="0.2">
      <c r="A183" s="91" t="str">
        <f t="shared" si="2"/>
        <v/>
      </c>
    </row>
    <row r="184" spans="1:1" x14ac:dyDescent="0.2">
      <c r="A184" s="91" t="str">
        <f t="shared" si="2"/>
        <v/>
      </c>
    </row>
    <row r="185" spans="1:1" x14ac:dyDescent="0.2">
      <c r="A185" s="91" t="str">
        <f t="shared" si="2"/>
        <v/>
      </c>
    </row>
    <row r="186" spans="1:1" x14ac:dyDescent="0.2">
      <c r="A186" s="91" t="str">
        <f t="shared" si="2"/>
        <v/>
      </c>
    </row>
    <row r="187" spans="1:1" x14ac:dyDescent="0.2">
      <c r="A187" s="91" t="str">
        <f t="shared" si="2"/>
        <v/>
      </c>
    </row>
    <row r="188" spans="1:1" x14ac:dyDescent="0.2">
      <c r="A188" s="91" t="str">
        <f t="shared" si="2"/>
        <v/>
      </c>
    </row>
    <row r="189" spans="1:1" x14ac:dyDescent="0.2">
      <c r="A189" s="91" t="str">
        <f t="shared" si="2"/>
        <v/>
      </c>
    </row>
    <row r="190" spans="1:1" x14ac:dyDescent="0.2">
      <c r="A190" s="91" t="str">
        <f t="shared" si="2"/>
        <v/>
      </c>
    </row>
    <row r="191" spans="1:1" x14ac:dyDescent="0.2">
      <c r="A191" s="91" t="str">
        <f t="shared" si="2"/>
        <v/>
      </c>
    </row>
    <row r="192" spans="1:1" x14ac:dyDescent="0.2">
      <c r="A192" s="91" t="str">
        <f t="shared" si="2"/>
        <v/>
      </c>
    </row>
    <row r="193" spans="1:1" x14ac:dyDescent="0.2">
      <c r="A193" s="91" t="str">
        <f t="shared" si="2"/>
        <v/>
      </c>
    </row>
    <row r="194" spans="1:1" x14ac:dyDescent="0.2">
      <c r="A194" s="91" t="str">
        <f t="shared" si="2"/>
        <v/>
      </c>
    </row>
    <row r="195" spans="1:1" x14ac:dyDescent="0.2">
      <c r="A195" s="91" t="str">
        <f t="shared" ref="A195:A258" si="3">CONCATENATE(B195,C195,F195)</f>
        <v/>
      </c>
    </row>
    <row r="196" spans="1:1" x14ac:dyDescent="0.2">
      <c r="A196" s="91" t="str">
        <f t="shared" si="3"/>
        <v/>
      </c>
    </row>
    <row r="197" spans="1:1" x14ac:dyDescent="0.2">
      <c r="A197" s="91" t="str">
        <f t="shared" si="3"/>
        <v/>
      </c>
    </row>
    <row r="198" spans="1:1" x14ac:dyDescent="0.2">
      <c r="A198" s="91" t="str">
        <f t="shared" si="3"/>
        <v/>
      </c>
    </row>
    <row r="199" spans="1:1" x14ac:dyDescent="0.2">
      <c r="A199" s="91" t="str">
        <f t="shared" si="3"/>
        <v/>
      </c>
    </row>
    <row r="200" spans="1:1" x14ac:dyDescent="0.2">
      <c r="A200" s="91" t="str">
        <f t="shared" si="3"/>
        <v/>
      </c>
    </row>
    <row r="201" spans="1:1" x14ac:dyDescent="0.2">
      <c r="A201" s="91" t="str">
        <f t="shared" si="3"/>
        <v/>
      </c>
    </row>
    <row r="202" spans="1:1" x14ac:dyDescent="0.2">
      <c r="A202" s="91" t="str">
        <f t="shared" si="3"/>
        <v/>
      </c>
    </row>
    <row r="203" spans="1:1" x14ac:dyDescent="0.2">
      <c r="A203" s="91" t="str">
        <f t="shared" si="3"/>
        <v/>
      </c>
    </row>
    <row r="204" spans="1:1" x14ac:dyDescent="0.2">
      <c r="A204" s="91" t="str">
        <f t="shared" si="3"/>
        <v/>
      </c>
    </row>
    <row r="205" spans="1:1" x14ac:dyDescent="0.2">
      <c r="A205" s="91" t="str">
        <f t="shared" si="3"/>
        <v/>
      </c>
    </row>
    <row r="206" spans="1:1" x14ac:dyDescent="0.2">
      <c r="A206" s="91" t="str">
        <f t="shared" si="3"/>
        <v/>
      </c>
    </row>
    <row r="207" spans="1:1" x14ac:dyDescent="0.2">
      <c r="A207" s="91" t="str">
        <f t="shared" si="3"/>
        <v/>
      </c>
    </row>
    <row r="208" spans="1:1" x14ac:dyDescent="0.2">
      <c r="A208" s="91" t="str">
        <f t="shared" si="3"/>
        <v/>
      </c>
    </row>
    <row r="209" spans="1:1" x14ac:dyDescent="0.2">
      <c r="A209" s="91" t="str">
        <f t="shared" si="3"/>
        <v/>
      </c>
    </row>
    <row r="210" spans="1:1" x14ac:dyDescent="0.2">
      <c r="A210" s="91" t="str">
        <f t="shared" si="3"/>
        <v/>
      </c>
    </row>
    <row r="211" spans="1:1" x14ac:dyDescent="0.2">
      <c r="A211" s="91" t="str">
        <f t="shared" si="3"/>
        <v/>
      </c>
    </row>
    <row r="212" spans="1:1" x14ac:dyDescent="0.2">
      <c r="A212" s="91" t="str">
        <f t="shared" si="3"/>
        <v/>
      </c>
    </row>
    <row r="213" spans="1:1" x14ac:dyDescent="0.2">
      <c r="A213" s="91" t="str">
        <f t="shared" si="3"/>
        <v/>
      </c>
    </row>
    <row r="214" spans="1:1" x14ac:dyDescent="0.2">
      <c r="A214" s="91" t="str">
        <f t="shared" si="3"/>
        <v/>
      </c>
    </row>
    <row r="215" spans="1:1" x14ac:dyDescent="0.2">
      <c r="A215" s="91" t="str">
        <f t="shared" si="3"/>
        <v/>
      </c>
    </row>
    <row r="216" spans="1:1" x14ac:dyDescent="0.2">
      <c r="A216" s="91" t="str">
        <f t="shared" si="3"/>
        <v/>
      </c>
    </row>
    <row r="217" spans="1:1" x14ac:dyDescent="0.2">
      <c r="A217" s="91" t="str">
        <f t="shared" si="3"/>
        <v/>
      </c>
    </row>
    <row r="218" spans="1:1" x14ac:dyDescent="0.2">
      <c r="A218" s="91" t="str">
        <f t="shared" si="3"/>
        <v/>
      </c>
    </row>
    <row r="219" spans="1:1" x14ac:dyDescent="0.2">
      <c r="A219" s="91" t="str">
        <f t="shared" si="3"/>
        <v/>
      </c>
    </row>
    <row r="220" spans="1:1" x14ac:dyDescent="0.2">
      <c r="A220" s="91" t="str">
        <f t="shared" si="3"/>
        <v/>
      </c>
    </row>
    <row r="221" spans="1:1" x14ac:dyDescent="0.2">
      <c r="A221" s="91" t="str">
        <f t="shared" si="3"/>
        <v/>
      </c>
    </row>
    <row r="222" spans="1:1" x14ac:dyDescent="0.2">
      <c r="A222" s="91" t="str">
        <f t="shared" si="3"/>
        <v/>
      </c>
    </row>
    <row r="223" spans="1:1" x14ac:dyDescent="0.2">
      <c r="A223" s="91" t="str">
        <f t="shared" si="3"/>
        <v/>
      </c>
    </row>
    <row r="224" spans="1:1" x14ac:dyDescent="0.2">
      <c r="A224" s="91" t="str">
        <f t="shared" si="3"/>
        <v/>
      </c>
    </row>
    <row r="225" spans="1:1" x14ac:dyDescent="0.2">
      <c r="A225" s="91" t="str">
        <f t="shared" si="3"/>
        <v/>
      </c>
    </row>
    <row r="226" spans="1:1" x14ac:dyDescent="0.2">
      <c r="A226" s="91" t="str">
        <f t="shared" si="3"/>
        <v/>
      </c>
    </row>
    <row r="227" spans="1:1" x14ac:dyDescent="0.2">
      <c r="A227" s="91" t="str">
        <f t="shared" si="3"/>
        <v/>
      </c>
    </row>
    <row r="228" spans="1:1" x14ac:dyDescent="0.2">
      <c r="A228" s="91" t="str">
        <f t="shared" si="3"/>
        <v/>
      </c>
    </row>
    <row r="229" spans="1:1" x14ac:dyDescent="0.2">
      <c r="A229" s="91" t="str">
        <f t="shared" si="3"/>
        <v/>
      </c>
    </row>
    <row r="230" spans="1:1" x14ac:dyDescent="0.2">
      <c r="A230" s="91" t="str">
        <f t="shared" si="3"/>
        <v/>
      </c>
    </row>
    <row r="231" spans="1:1" x14ac:dyDescent="0.2">
      <c r="A231" s="91" t="str">
        <f t="shared" si="3"/>
        <v/>
      </c>
    </row>
    <row r="232" spans="1:1" x14ac:dyDescent="0.2">
      <c r="A232" s="91" t="str">
        <f t="shared" si="3"/>
        <v/>
      </c>
    </row>
    <row r="233" spans="1:1" x14ac:dyDescent="0.2">
      <c r="A233" s="91" t="str">
        <f t="shared" si="3"/>
        <v/>
      </c>
    </row>
    <row r="234" spans="1:1" x14ac:dyDescent="0.2">
      <c r="A234" s="91" t="str">
        <f t="shared" si="3"/>
        <v/>
      </c>
    </row>
    <row r="235" spans="1:1" x14ac:dyDescent="0.2">
      <c r="A235" s="91" t="str">
        <f t="shared" si="3"/>
        <v/>
      </c>
    </row>
    <row r="236" spans="1:1" x14ac:dyDescent="0.2">
      <c r="A236" s="91" t="str">
        <f t="shared" si="3"/>
        <v/>
      </c>
    </row>
    <row r="237" spans="1:1" x14ac:dyDescent="0.2">
      <c r="A237" s="91" t="str">
        <f t="shared" si="3"/>
        <v/>
      </c>
    </row>
    <row r="238" spans="1:1" x14ac:dyDescent="0.2">
      <c r="A238" s="91" t="str">
        <f t="shared" si="3"/>
        <v/>
      </c>
    </row>
    <row r="239" spans="1:1" x14ac:dyDescent="0.2">
      <c r="A239" s="91" t="str">
        <f t="shared" si="3"/>
        <v/>
      </c>
    </row>
    <row r="240" spans="1:1" x14ac:dyDescent="0.2">
      <c r="A240" s="91" t="str">
        <f t="shared" si="3"/>
        <v/>
      </c>
    </row>
    <row r="241" spans="1:1" x14ac:dyDescent="0.2">
      <c r="A241" s="91" t="str">
        <f t="shared" si="3"/>
        <v/>
      </c>
    </row>
    <row r="242" spans="1:1" x14ac:dyDescent="0.2">
      <c r="A242" s="91" t="str">
        <f t="shared" si="3"/>
        <v/>
      </c>
    </row>
    <row r="243" spans="1:1" x14ac:dyDescent="0.2">
      <c r="A243" s="91" t="str">
        <f t="shared" si="3"/>
        <v/>
      </c>
    </row>
    <row r="244" spans="1:1" x14ac:dyDescent="0.2">
      <c r="A244" s="91" t="str">
        <f t="shared" si="3"/>
        <v/>
      </c>
    </row>
    <row r="245" spans="1:1" x14ac:dyDescent="0.2">
      <c r="A245" s="91" t="str">
        <f t="shared" si="3"/>
        <v/>
      </c>
    </row>
    <row r="246" spans="1:1" x14ac:dyDescent="0.2">
      <c r="A246" s="91" t="str">
        <f t="shared" si="3"/>
        <v/>
      </c>
    </row>
    <row r="247" spans="1:1" x14ac:dyDescent="0.2">
      <c r="A247" s="91" t="str">
        <f t="shared" si="3"/>
        <v/>
      </c>
    </row>
    <row r="248" spans="1:1" x14ac:dyDescent="0.2">
      <c r="A248" s="91" t="str">
        <f t="shared" si="3"/>
        <v/>
      </c>
    </row>
    <row r="249" spans="1:1" x14ac:dyDescent="0.2">
      <c r="A249" s="91" t="str">
        <f t="shared" si="3"/>
        <v/>
      </c>
    </row>
    <row r="250" spans="1:1" x14ac:dyDescent="0.2">
      <c r="A250" s="91" t="str">
        <f t="shared" si="3"/>
        <v/>
      </c>
    </row>
    <row r="251" spans="1:1" x14ac:dyDescent="0.2">
      <c r="A251" s="91" t="str">
        <f t="shared" si="3"/>
        <v/>
      </c>
    </row>
    <row r="252" spans="1:1" x14ac:dyDescent="0.2">
      <c r="A252" s="91" t="str">
        <f t="shared" si="3"/>
        <v/>
      </c>
    </row>
    <row r="253" spans="1:1" x14ac:dyDescent="0.2">
      <c r="A253" s="91" t="str">
        <f t="shared" si="3"/>
        <v/>
      </c>
    </row>
    <row r="254" spans="1:1" x14ac:dyDescent="0.2">
      <c r="A254" s="91" t="str">
        <f t="shared" si="3"/>
        <v/>
      </c>
    </row>
    <row r="255" spans="1:1" x14ac:dyDescent="0.2">
      <c r="A255" s="91" t="str">
        <f t="shared" si="3"/>
        <v/>
      </c>
    </row>
    <row r="256" spans="1:1" x14ac:dyDescent="0.2">
      <c r="A256" s="91" t="str">
        <f t="shared" si="3"/>
        <v/>
      </c>
    </row>
    <row r="257" spans="1:1" x14ac:dyDescent="0.2">
      <c r="A257" s="91" t="str">
        <f t="shared" si="3"/>
        <v/>
      </c>
    </row>
    <row r="258" spans="1:1" x14ac:dyDescent="0.2">
      <c r="A258" s="91" t="str">
        <f t="shared" si="3"/>
        <v/>
      </c>
    </row>
    <row r="259" spans="1:1" x14ac:dyDescent="0.2">
      <c r="A259" s="91" t="str">
        <f t="shared" ref="A259:A322" si="4">CONCATENATE(B259,C259,F259)</f>
        <v/>
      </c>
    </row>
    <row r="260" spans="1:1" x14ac:dyDescent="0.2">
      <c r="A260" s="91" t="str">
        <f t="shared" si="4"/>
        <v/>
      </c>
    </row>
    <row r="261" spans="1:1" x14ac:dyDescent="0.2">
      <c r="A261" s="91" t="str">
        <f t="shared" si="4"/>
        <v/>
      </c>
    </row>
    <row r="262" spans="1:1" x14ac:dyDescent="0.2">
      <c r="A262" s="91" t="str">
        <f t="shared" si="4"/>
        <v/>
      </c>
    </row>
    <row r="263" spans="1:1" x14ac:dyDescent="0.2">
      <c r="A263" s="91" t="str">
        <f t="shared" si="4"/>
        <v/>
      </c>
    </row>
    <row r="264" spans="1:1" x14ac:dyDescent="0.2">
      <c r="A264" s="91" t="str">
        <f t="shared" si="4"/>
        <v/>
      </c>
    </row>
    <row r="265" spans="1:1" x14ac:dyDescent="0.2">
      <c r="A265" s="91" t="str">
        <f t="shared" si="4"/>
        <v/>
      </c>
    </row>
    <row r="266" spans="1:1" x14ac:dyDescent="0.2">
      <c r="A266" s="91" t="str">
        <f t="shared" si="4"/>
        <v/>
      </c>
    </row>
    <row r="267" spans="1:1" x14ac:dyDescent="0.2">
      <c r="A267" s="91" t="str">
        <f t="shared" si="4"/>
        <v/>
      </c>
    </row>
    <row r="268" spans="1:1" x14ac:dyDescent="0.2">
      <c r="A268" s="91" t="str">
        <f t="shared" si="4"/>
        <v/>
      </c>
    </row>
    <row r="269" spans="1:1" x14ac:dyDescent="0.2">
      <c r="A269" s="91" t="str">
        <f t="shared" si="4"/>
        <v/>
      </c>
    </row>
    <row r="270" spans="1:1" x14ac:dyDescent="0.2">
      <c r="A270" s="91" t="str">
        <f t="shared" si="4"/>
        <v/>
      </c>
    </row>
    <row r="271" spans="1:1" x14ac:dyDescent="0.2">
      <c r="A271" s="91" t="str">
        <f t="shared" si="4"/>
        <v/>
      </c>
    </row>
    <row r="272" spans="1:1" x14ac:dyDescent="0.2">
      <c r="A272" s="91" t="str">
        <f t="shared" si="4"/>
        <v/>
      </c>
    </row>
    <row r="273" spans="1:1" x14ac:dyDescent="0.2">
      <c r="A273" s="91" t="str">
        <f t="shared" si="4"/>
        <v/>
      </c>
    </row>
    <row r="274" spans="1:1" x14ac:dyDescent="0.2">
      <c r="A274" s="91" t="str">
        <f t="shared" si="4"/>
        <v/>
      </c>
    </row>
    <row r="275" spans="1:1" x14ac:dyDescent="0.2">
      <c r="A275" s="91" t="str">
        <f t="shared" si="4"/>
        <v/>
      </c>
    </row>
    <row r="276" spans="1:1" x14ac:dyDescent="0.2">
      <c r="A276" s="91" t="str">
        <f t="shared" si="4"/>
        <v/>
      </c>
    </row>
    <row r="277" spans="1:1" x14ac:dyDescent="0.2">
      <c r="A277" s="91" t="str">
        <f t="shared" si="4"/>
        <v/>
      </c>
    </row>
    <row r="278" spans="1:1" x14ac:dyDescent="0.2">
      <c r="A278" s="91" t="str">
        <f t="shared" si="4"/>
        <v/>
      </c>
    </row>
    <row r="279" spans="1:1" x14ac:dyDescent="0.2">
      <c r="A279" s="91" t="str">
        <f t="shared" si="4"/>
        <v/>
      </c>
    </row>
    <row r="280" spans="1:1" x14ac:dyDescent="0.2">
      <c r="A280" s="91" t="str">
        <f t="shared" si="4"/>
        <v/>
      </c>
    </row>
    <row r="281" spans="1:1" x14ac:dyDescent="0.2">
      <c r="A281" s="91" t="str">
        <f t="shared" si="4"/>
        <v/>
      </c>
    </row>
    <row r="282" spans="1:1" x14ac:dyDescent="0.2">
      <c r="A282" s="91" t="str">
        <f t="shared" si="4"/>
        <v/>
      </c>
    </row>
    <row r="283" spans="1:1" x14ac:dyDescent="0.2">
      <c r="A283" s="91" t="str">
        <f t="shared" si="4"/>
        <v/>
      </c>
    </row>
    <row r="284" spans="1:1" x14ac:dyDescent="0.2">
      <c r="A284" s="91" t="str">
        <f t="shared" si="4"/>
        <v/>
      </c>
    </row>
    <row r="285" spans="1:1" x14ac:dyDescent="0.2">
      <c r="A285" s="91" t="str">
        <f t="shared" si="4"/>
        <v/>
      </c>
    </row>
    <row r="286" spans="1:1" x14ac:dyDescent="0.2">
      <c r="A286" s="91" t="str">
        <f t="shared" si="4"/>
        <v/>
      </c>
    </row>
    <row r="287" spans="1:1" x14ac:dyDescent="0.2">
      <c r="A287" s="91" t="str">
        <f t="shared" si="4"/>
        <v/>
      </c>
    </row>
    <row r="288" spans="1:1" x14ac:dyDescent="0.2">
      <c r="A288" s="91" t="str">
        <f t="shared" si="4"/>
        <v/>
      </c>
    </row>
    <row r="289" spans="1:1" x14ac:dyDescent="0.2">
      <c r="A289" s="91" t="str">
        <f t="shared" si="4"/>
        <v/>
      </c>
    </row>
    <row r="290" spans="1:1" x14ac:dyDescent="0.2">
      <c r="A290" s="91" t="str">
        <f t="shared" si="4"/>
        <v/>
      </c>
    </row>
    <row r="291" spans="1:1" x14ac:dyDescent="0.2">
      <c r="A291" s="91" t="str">
        <f t="shared" si="4"/>
        <v/>
      </c>
    </row>
    <row r="292" spans="1:1" x14ac:dyDescent="0.2">
      <c r="A292" s="91" t="str">
        <f t="shared" si="4"/>
        <v/>
      </c>
    </row>
    <row r="293" spans="1:1" x14ac:dyDescent="0.2">
      <c r="A293" s="91" t="str">
        <f t="shared" si="4"/>
        <v/>
      </c>
    </row>
    <row r="294" spans="1:1" x14ac:dyDescent="0.2">
      <c r="A294" s="91" t="str">
        <f t="shared" si="4"/>
        <v/>
      </c>
    </row>
    <row r="295" spans="1:1" x14ac:dyDescent="0.2">
      <c r="A295" s="91" t="str">
        <f t="shared" si="4"/>
        <v/>
      </c>
    </row>
    <row r="296" spans="1:1" x14ac:dyDescent="0.2">
      <c r="A296" s="91" t="str">
        <f t="shared" si="4"/>
        <v/>
      </c>
    </row>
    <row r="297" spans="1:1" x14ac:dyDescent="0.2">
      <c r="A297" s="91" t="str">
        <f t="shared" si="4"/>
        <v/>
      </c>
    </row>
    <row r="298" spans="1:1" x14ac:dyDescent="0.2">
      <c r="A298" s="91" t="str">
        <f t="shared" si="4"/>
        <v/>
      </c>
    </row>
    <row r="299" spans="1:1" x14ac:dyDescent="0.2">
      <c r="A299" s="91" t="str">
        <f t="shared" si="4"/>
        <v/>
      </c>
    </row>
    <row r="300" spans="1:1" x14ac:dyDescent="0.2">
      <c r="A300" s="91" t="str">
        <f t="shared" si="4"/>
        <v/>
      </c>
    </row>
    <row r="301" spans="1:1" x14ac:dyDescent="0.2">
      <c r="A301" s="91" t="str">
        <f t="shared" si="4"/>
        <v/>
      </c>
    </row>
    <row r="302" spans="1:1" x14ac:dyDescent="0.2">
      <c r="A302" s="91" t="str">
        <f t="shared" si="4"/>
        <v/>
      </c>
    </row>
    <row r="303" spans="1:1" x14ac:dyDescent="0.2">
      <c r="A303" s="91" t="str">
        <f t="shared" si="4"/>
        <v/>
      </c>
    </row>
    <row r="304" spans="1:1" x14ac:dyDescent="0.2">
      <c r="A304" s="91" t="str">
        <f t="shared" si="4"/>
        <v/>
      </c>
    </row>
    <row r="305" spans="1:1" x14ac:dyDescent="0.2">
      <c r="A305" s="91" t="str">
        <f t="shared" si="4"/>
        <v/>
      </c>
    </row>
    <row r="306" spans="1:1" x14ac:dyDescent="0.2">
      <c r="A306" s="91" t="str">
        <f t="shared" si="4"/>
        <v/>
      </c>
    </row>
    <row r="307" spans="1:1" x14ac:dyDescent="0.2">
      <c r="A307" s="91" t="str">
        <f t="shared" si="4"/>
        <v/>
      </c>
    </row>
    <row r="308" spans="1:1" x14ac:dyDescent="0.2">
      <c r="A308" s="91" t="str">
        <f t="shared" si="4"/>
        <v/>
      </c>
    </row>
    <row r="309" spans="1:1" x14ac:dyDescent="0.2">
      <c r="A309" s="91" t="str">
        <f t="shared" si="4"/>
        <v/>
      </c>
    </row>
    <row r="310" spans="1:1" x14ac:dyDescent="0.2">
      <c r="A310" s="91" t="str">
        <f t="shared" si="4"/>
        <v/>
      </c>
    </row>
    <row r="311" spans="1:1" x14ac:dyDescent="0.2">
      <c r="A311" s="91" t="str">
        <f t="shared" si="4"/>
        <v/>
      </c>
    </row>
    <row r="312" spans="1:1" x14ac:dyDescent="0.2">
      <c r="A312" s="91" t="str">
        <f t="shared" si="4"/>
        <v/>
      </c>
    </row>
    <row r="313" spans="1:1" x14ac:dyDescent="0.2">
      <c r="A313" s="91" t="str">
        <f t="shared" si="4"/>
        <v/>
      </c>
    </row>
    <row r="314" spans="1:1" x14ac:dyDescent="0.2">
      <c r="A314" s="91" t="str">
        <f t="shared" si="4"/>
        <v/>
      </c>
    </row>
    <row r="315" spans="1:1" x14ac:dyDescent="0.2">
      <c r="A315" s="91" t="str">
        <f t="shared" si="4"/>
        <v/>
      </c>
    </row>
    <row r="316" spans="1:1" x14ac:dyDescent="0.2">
      <c r="A316" s="91" t="str">
        <f t="shared" si="4"/>
        <v/>
      </c>
    </row>
    <row r="317" spans="1:1" x14ac:dyDescent="0.2">
      <c r="A317" s="91" t="str">
        <f t="shared" si="4"/>
        <v/>
      </c>
    </row>
    <row r="318" spans="1:1" x14ac:dyDescent="0.2">
      <c r="A318" s="91" t="str">
        <f t="shared" si="4"/>
        <v/>
      </c>
    </row>
    <row r="319" spans="1:1" x14ac:dyDescent="0.2">
      <c r="A319" s="91" t="str">
        <f t="shared" si="4"/>
        <v/>
      </c>
    </row>
    <row r="320" spans="1:1" x14ac:dyDescent="0.2">
      <c r="A320" s="91" t="str">
        <f t="shared" si="4"/>
        <v/>
      </c>
    </row>
    <row r="321" spans="1:1" x14ac:dyDescent="0.2">
      <c r="A321" s="91" t="str">
        <f t="shared" si="4"/>
        <v/>
      </c>
    </row>
    <row r="322" spans="1:1" x14ac:dyDescent="0.2">
      <c r="A322" s="91" t="str">
        <f t="shared" si="4"/>
        <v/>
      </c>
    </row>
    <row r="323" spans="1:1" x14ac:dyDescent="0.2">
      <c r="A323" s="91" t="str">
        <f t="shared" ref="A323:A386" si="5">CONCATENATE(B323,C323,F323)</f>
        <v/>
      </c>
    </row>
    <row r="324" spans="1:1" x14ac:dyDescent="0.2">
      <c r="A324" s="91" t="str">
        <f t="shared" si="5"/>
        <v/>
      </c>
    </row>
    <row r="325" spans="1:1" x14ac:dyDescent="0.2">
      <c r="A325" s="91" t="str">
        <f t="shared" si="5"/>
        <v/>
      </c>
    </row>
    <row r="326" spans="1:1" x14ac:dyDescent="0.2">
      <c r="A326" s="91" t="str">
        <f t="shared" si="5"/>
        <v/>
      </c>
    </row>
    <row r="327" spans="1:1" x14ac:dyDescent="0.2">
      <c r="A327" s="91" t="str">
        <f t="shared" si="5"/>
        <v/>
      </c>
    </row>
    <row r="328" spans="1:1" x14ac:dyDescent="0.2">
      <c r="A328" s="91" t="str">
        <f t="shared" si="5"/>
        <v/>
      </c>
    </row>
    <row r="329" spans="1:1" x14ac:dyDescent="0.2">
      <c r="A329" s="91" t="str">
        <f t="shared" si="5"/>
        <v/>
      </c>
    </row>
    <row r="330" spans="1:1" x14ac:dyDescent="0.2">
      <c r="A330" s="91" t="str">
        <f t="shared" si="5"/>
        <v/>
      </c>
    </row>
    <row r="331" spans="1:1" x14ac:dyDescent="0.2">
      <c r="A331" s="91" t="str">
        <f t="shared" si="5"/>
        <v/>
      </c>
    </row>
    <row r="332" spans="1:1" x14ac:dyDescent="0.2">
      <c r="A332" s="91" t="str">
        <f t="shared" si="5"/>
        <v/>
      </c>
    </row>
    <row r="333" spans="1:1" x14ac:dyDescent="0.2">
      <c r="A333" s="91" t="str">
        <f t="shared" si="5"/>
        <v/>
      </c>
    </row>
    <row r="334" spans="1:1" x14ac:dyDescent="0.2">
      <c r="A334" s="91" t="str">
        <f t="shared" si="5"/>
        <v/>
      </c>
    </row>
    <row r="335" spans="1:1" x14ac:dyDescent="0.2">
      <c r="A335" s="91" t="str">
        <f t="shared" si="5"/>
        <v/>
      </c>
    </row>
    <row r="336" spans="1:1" x14ac:dyDescent="0.2">
      <c r="A336" s="91" t="str">
        <f t="shared" si="5"/>
        <v/>
      </c>
    </row>
    <row r="337" spans="1:1" x14ac:dyDescent="0.2">
      <c r="A337" s="91" t="str">
        <f t="shared" si="5"/>
        <v/>
      </c>
    </row>
    <row r="338" spans="1:1" x14ac:dyDescent="0.2">
      <c r="A338" s="91" t="str">
        <f t="shared" si="5"/>
        <v/>
      </c>
    </row>
    <row r="339" spans="1:1" x14ac:dyDescent="0.2">
      <c r="A339" s="91" t="str">
        <f t="shared" si="5"/>
        <v/>
      </c>
    </row>
    <row r="340" spans="1:1" x14ac:dyDescent="0.2">
      <c r="A340" s="91" t="str">
        <f t="shared" si="5"/>
        <v/>
      </c>
    </row>
    <row r="341" spans="1:1" x14ac:dyDescent="0.2">
      <c r="A341" s="91" t="str">
        <f t="shared" si="5"/>
        <v/>
      </c>
    </row>
    <row r="342" spans="1:1" x14ac:dyDescent="0.2">
      <c r="A342" s="91" t="str">
        <f t="shared" si="5"/>
        <v/>
      </c>
    </row>
    <row r="343" spans="1:1" x14ac:dyDescent="0.2">
      <c r="A343" s="91" t="str">
        <f t="shared" si="5"/>
        <v/>
      </c>
    </row>
    <row r="344" spans="1:1" x14ac:dyDescent="0.2">
      <c r="A344" s="91" t="str">
        <f t="shared" si="5"/>
        <v/>
      </c>
    </row>
    <row r="345" spans="1:1" x14ac:dyDescent="0.2">
      <c r="A345" s="91" t="str">
        <f t="shared" si="5"/>
        <v/>
      </c>
    </row>
    <row r="346" spans="1:1" x14ac:dyDescent="0.2">
      <c r="A346" s="91" t="str">
        <f t="shared" si="5"/>
        <v/>
      </c>
    </row>
    <row r="347" spans="1:1" x14ac:dyDescent="0.2">
      <c r="A347" s="91" t="str">
        <f t="shared" si="5"/>
        <v/>
      </c>
    </row>
    <row r="348" spans="1:1" x14ac:dyDescent="0.2">
      <c r="A348" s="91" t="str">
        <f t="shared" si="5"/>
        <v/>
      </c>
    </row>
    <row r="349" spans="1:1" x14ac:dyDescent="0.2">
      <c r="A349" s="91" t="str">
        <f t="shared" si="5"/>
        <v/>
      </c>
    </row>
    <row r="350" spans="1:1" x14ac:dyDescent="0.2">
      <c r="A350" s="91" t="str">
        <f t="shared" si="5"/>
        <v/>
      </c>
    </row>
    <row r="351" spans="1:1" x14ac:dyDescent="0.2">
      <c r="A351" s="91" t="str">
        <f t="shared" si="5"/>
        <v/>
      </c>
    </row>
    <row r="352" spans="1:1" x14ac:dyDescent="0.2">
      <c r="A352" s="91" t="str">
        <f t="shared" si="5"/>
        <v/>
      </c>
    </row>
    <row r="353" spans="1:1" x14ac:dyDescent="0.2">
      <c r="A353" s="91" t="str">
        <f t="shared" si="5"/>
        <v/>
      </c>
    </row>
    <row r="354" spans="1:1" x14ac:dyDescent="0.2">
      <c r="A354" s="91" t="str">
        <f t="shared" si="5"/>
        <v/>
      </c>
    </row>
    <row r="355" spans="1:1" x14ac:dyDescent="0.2">
      <c r="A355" s="91" t="str">
        <f t="shared" si="5"/>
        <v/>
      </c>
    </row>
    <row r="356" spans="1:1" x14ac:dyDescent="0.2">
      <c r="A356" s="91" t="str">
        <f t="shared" si="5"/>
        <v/>
      </c>
    </row>
    <row r="357" spans="1:1" x14ac:dyDescent="0.2">
      <c r="A357" s="91" t="str">
        <f t="shared" si="5"/>
        <v/>
      </c>
    </row>
    <row r="358" spans="1:1" x14ac:dyDescent="0.2">
      <c r="A358" s="91" t="str">
        <f t="shared" si="5"/>
        <v/>
      </c>
    </row>
    <row r="359" spans="1:1" x14ac:dyDescent="0.2">
      <c r="A359" s="91" t="str">
        <f t="shared" si="5"/>
        <v/>
      </c>
    </row>
    <row r="360" spans="1:1" x14ac:dyDescent="0.2">
      <c r="A360" s="91" t="str">
        <f t="shared" si="5"/>
        <v/>
      </c>
    </row>
    <row r="361" spans="1:1" x14ac:dyDescent="0.2">
      <c r="A361" s="91" t="str">
        <f t="shared" si="5"/>
        <v/>
      </c>
    </row>
    <row r="362" spans="1:1" x14ac:dyDescent="0.2">
      <c r="A362" s="91" t="str">
        <f t="shared" si="5"/>
        <v/>
      </c>
    </row>
    <row r="363" spans="1:1" x14ac:dyDescent="0.2">
      <c r="A363" s="91" t="str">
        <f t="shared" si="5"/>
        <v/>
      </c>
    </row>
    <row r="364" spans="1:1" x14ac:dyDescent="0.2">
      <c r="A364" s="91" t="str">
        <f t="shared" si="5"/>
        <v/>
      </c>
    </row>
    <row r="365" spans="1:1" x14ac:dyDescent="0.2">
      <c r="A365" s="91" t="str">
        <f t="shared" si="5"/>
        <v/>
      </c>
    </row>
    <row r="366" spans="1:1" x14ac:dyDescent="0.2">
      <c r="A366" s="91" t="str">
        <f t="shared" si="5"/>
        <v/>
      </c>
    </row>
    <row r="367" spans="1:1" x14ac:dyDescent="0.2">
      <c r="A367" s="91" t="str">
        <f t="shared" si="5"/>
        <v/>
      </c>
    </row>
    <row r="368" spans="1:1" x14ac:dyDescent="0.2">
      <c r="A368" s="91" t="str">
        <f t="shared" si="5"/>
        <v/>
      </c>
    </row>
    <row r="369" spans="1:1" x14ac:dyDescent="0.2">
      <c r="A369" s="91" t="str">
        <f t="shared" si="5"/>
        <v/>
      </c>
    </row>
    <row r="370" spans="1:1" x14ac:dyDescent="0.2">
      <c r="A370" s="91" t="str">
        <f t="shared" si="5"/>
        <v/>
      </c>
    </row>
    <row r="371" spans="1:1" x14ac:dyDescent="0.2">
      <c r="A371" s="91" t="str">
        <f t="shared" si="5"/>
        <v/>
      </c>
    </row>
    <row r="372" spans="1:1" x14ac:dyDescent="0.2">
      <c r="A372" s="91" t="str">
        <f t="shared" si="5"/>
        <v/>
      </c>
    </row>
    <row r="373" spans="1:1" x14ac:dyDescent="0.2">
      <c r="A373" s="91" t="str">
        <f t="shared" si="5"/>
        <v/>
      </c>
    </row>
    <row r="374" spans="1:1" x14ac:dyDescent="0.2">
      <c r="A374" s="91" t="str">
        <f t="shared" si="5"/>
        <v/>
      </c>
    </row>
    <row r="375" spans="1:1" x14ac:dyDescent="0.2">
      <c r="A375" s="91" t="str">
        <f t="shared" si="5"/>
        <v/>
      </c>
    </row>
    <row r="376" spans="1:1" x14ac:dyDescent="0.2">
      <c r="A376" s="91" t="str">
        <f t="shared" si="5"/>
        <v/>
      </c>
    </row>
    <row r="377" spans="1:1" x14ac:dyDescent="0.2">
      <c r="A377" s="91" t="str">
        <f t="shared" si="5"/>
        <v/>
      </c>
    </row>
    <row r="378" spans="1:1" x14ac:dyDescent="0.2">
      <c r="A378" s="91" t="str">
        <f t="shared" si="5"/>
        <v/>
      </c>
    </row>
    <row r="379" spans="1:1" x14ac:dyDescent="0.2">
      <c r="A379" s="91" t="str">
        <f t="shared" si="5"/>
        <v/>
      </c>
    </row>
    <row r="380" spans="1:1" x14ac:dyDescent="0.2">
      <c r="A380" s="91" t="str">
        <f t="shared" si="5"/>
        <v/>
      </c>
    </row>
    <row r="381" spans="1:1" x14ac:dyDescent="0.2">
      <c r="A381" s="91" t="str">
        <f t="shared" si="5"/>
        <v/>
      </c>
    </row>
    <row r="382" spans="1:1" x14ac:dyDescent="0.2">
      <c r="A382" s="91" t="str">
        <f t="shared" si="5"/>
        <v/>
      </c>
    </row>
    <row r="383" spans="1:1" x14ac:dyDescent="0.2">
      <c r="A383" s="91" t="str">
        <f t="shared" si="5"/>
        <v/>
      </c>
    </row>
    <row r="384" spans="1:1" x14ac:dyDescent="0.2">
      <c r="A384" s="91" t="str">
        <f t="shared" si="5"/>
        <v/>
      </c>
    </row>
    <row r="385" spans="1:1" x14ac:dyDescent="0.2">
      <c r="A385" s="91" t="str">
        <f t="shared" si="5"/>
        <v/>
      </c>
    </row>
    <row r="386" spans="1:1" x14ac:dyDescent="0.2">
      <c r="A386" s="91" t="str">
        <f t="shared" si="5"/>
        <v/>
      </c>
    </row>
    <row r="387" spans="1:1" x14ac:dyDescent="0.2">
      <c r="A387" s="91" t="str">
        <f t="shared" ref="A387:A450" si="6">CONCATENATE(B387,C387,F387)</f>
        <v/>
      </c>
    </row>
    <row r="388" spans="1:1" x14ac:dyDescent="0.2">
      <c r="A388" s="91" t="str">
        <f t="shared" si="6"/>
        <v/>
      </c>
    </row>
    <row r="389" spans="1:1" x14ac:dyDescent="0.2">
      <c r="A389" s="91" t="str">
        <f t="shared" si="6"/>
        <v/>
      </c>
    </row>
    <row r="390" spans="1:1" x14ac:dyDescent="0.2">
      <c r="A390" s="91" t="str">
        <f t="shared" si="6"/>
        <v/>
      </c>
    </row>
    <row r="391" spans="1:1" x14ac:dyDescent="0.2">
      <c r="A391" s="91" t="str">
        <f t="shared" si="6"/>
        <v/>
      </c>
    </row>
    <row r="392" spans="1:1" x14ac:dyDescent="0.2">
      <c r="A392" s="91" t="str">
        <f t="shared" si="6"/>
        <v/>
      </c>
    </row>
    <row r="393" spans="1:1" x14ac:dyDescent="0.2">
      <c r="A393" s="91" t="str">
        <f t="shared" si="6"/>
        <v/>
      </c>
    </row>
    <row r="394" spans="1:1" x14ac:dyDescent="0.2">
      <c r="A394" s="91" t="str">
        <f t="shared" si="6"/>
        <v/>
      </c>
    </row>
    <row r="395" spans="1:1" x14ac:dyDescent="0.2">
      <c r="A395" s="91" t="str">
        <f t="shared" si="6"/>
        <v/>
      </c>
    </row>
    <row r="396" spans="1:1" x14ac:dyDescent="0.2">
      <c r="A396" s="91" t="str">
        <f t="shared" si="6"/>
        <v/>
      </c>
    </row>
    <row r="397" spans="1:1" x14ac:dyDescent="0.2">
      <c r="A397" s="91" t="str">
        <f t="shared" si="6"/>
        <v/>
      </c>
    </row>
    <row r="398" spans="1:1" x14ac:dyDescent="0.2">
      <c r="A398" s="91" t="str">
        <f t="shared" si="6"/>
        <v/>
      </c>
    </row>
    <row r="399" spans="1:1" x14ac:dyDescent="0.2">
      <c r="A399" s="91" t="str">
        <f t="shared" si="6"/>
        <v/>
      </c>
    </row>
    <row r="400" spans="1:1" x14ac:dyDescent="0.2">
      <c r="A400" s="91" t="str">
        <f t="shared" si="6"/>
        <v/>
      </c>
    </row>
    <row r="401" spans="1:1" x14ac:dyDescent="0.2">
      <c r="A401" s="91" t="str">
        <f t="shared" si="6"/>
        <v/>
      </c>
    </row>
    <row r="402" spans="1:1" x14ac:dyDescent="0.2">
      <c r="A402" s="91" t="str">
        <f t="shared" si="6"/>
        <v/>
      </c>
    </row>
    <row r="403" spans="1:1" x14ac:dyDescent="0.2">
      <c r="A403" s="91" t="str">
        <f t="shared" si="6"/>
        <v/>
      </c>
    </row>
    <row r="404" spans="1:1" x14ac:dyDescent="0.2">
      <c r="A404" s="91" t="str">
        <f t="shared" si="6"/>
        <v/>
      </c>
    </row>
    <row r="405" spans="1:1" x14ac:dyDescent="0.2">
      <c r="A405" s="91" t="str">
        <f t="shared" si="6"/>
        <v/>
      </c>
    </row>
    <row r="406" spans="1:1" x14ac:dyDescent="0.2">
      <c r="A406" s="91" t="str">
        <f t="shared" si="6"/>
        <v/>
      </c>
    </row>
    <row r="407" spans="1:1" x14ac:dyDescent="0.2">
      <c r="A407" s="91" t="str">
        <f t="shared" si="6"/>
        <v/>
      </c>
    </row>
    <row r="408" spans="1:1" x14ac:dyDescent="0.2">
      <c r="A408" s="91" t="str">
        <f t="shared" si="6"/>
        <v/>
      </c>
    </row>
    <row r="409" spans="1:1" x14ac:dyDescent="0.2">
      <c r="A409" s="91" t="str">
        <f t="shared" si="6"/>
        <v/>
      </c>
    </row>
    <row r="410" spans="1:1" x14ac:dyDescent="0.2">
      <c r="A410" s="91" t="str">
        <f t="shared" si="6"/>
        <v/>
      </c>
    </row>
    <row r="411" spans="1:1" x14ac:dyDescent="0.2">
      <c r="A411" s="91" t="str">
        <f t="shared" si="6"/>
        <v/>
      </c>
    </row>
    <row r="412" spans="1:1" x14ac:dyDescent="0.2">
      <c r="A412" s="91" t="str">
        <f t="shared" si="6"/>
        <v/>
      </c>
    </row>
    <row r="413" spans="1:1" x14ac:dyDescent="0.2">
      <c r="A413" s="91" t="str">
        <f t="shared" si="6"/>
        <v/>
      </c>
    </row>
    <row r="414" spans="1:1" x14ac:dyDescent="0.2">
      <c r="A414" s="91" t="str">
        <f t="shared" si="6"/>
        <v/>
      </c>
    </row>
    <row r="415" spans="1:1" x14ac:dyDescent="0.2">
      <c r="A415" s="91" t="str">
        <f t="shared" si="6"/>
        <v/>
      </c>
    </row>
    <row r="416" spans="1:1" x14ac:dyDescent="0.2">
      <c r="A416" s="91" t="str">
        <f t="shared" si="6"/>
        <v/>
      </c>
    </row>
    <row r="417" spans="1:1" x14ac:dyDescent="0.2">
      <c r="A417" s="91" t="str">
        <f t="shared" si="6"/>
        <v/>
      </c>
    </row>
    <row r="418" spans="1:1" x14ac:dyDescent="0.2">
      <c r="A418" s="91" t="str">
        <f t="shared" si="6"/>
        <v/>
      </c>
    </row>
    <row r="419" spans="1:1" x14ac:dyDescent="0.2">
      <c r="A419" s="91" t="str">
        <f t="shared" si="6"/>
        <v/>
      </c>
    </row>
    <row r="420" spans="1:1" x14ac:dyDescent="0.2">
      <c r="A420" s="91" t="str">
        <f t="shared" si="6"/>
        <v/>
      </c>
    </row>
    <row r="421" spans="1:1" x14ac:dyDescent="0.2">
      <c r="A421" s="91" t="str">
        <f t="shared" si="6"/>
        <v/>
      </c>
    </row>
    <row r="422" spans="1:1" x14ac:dyDescent="0.2">
      <c r="A422" s="91" t="str">
        <f t="shared" si="6"/>
        <v/>
      </c>
    </row>
    <row r="423" spans="1:1" x14ac:dyDescent="0.2">
      <c r="A423" s="91" t="str">
        <f t="shared" si="6"/>
        <v/>
      </c>
    </row>
    <row r="424" spans="1:1" x14ac:dyDescent="0.2">
      <c r="A424" s="91" t="str">
        <f t="shared" si="6"/>
        <v/>
      </c>
    </row>
    <row r="425" spans="1:1" x14ac:dyDescent="0.2">
      <c r="A425" s="91" t="str">
        <f t="shared" si="6"/>
        <v/>
      </c>
    </row>
    <row r="426" spans="1:1" x14ac:dyDescent="0.2">
      <c r="A426" s="91" t="str">
        <f t="shared" si="6"/>
        <v/>
      </c>
    </row>
    <row r="427" spans="1:1" x14ac:dyDescent="0.2">
      <c r="A427" s="91" t="str">
        <f t="shared" si="6"/>
        <v/>
      </c>
    </row>
    <row r="428" spans="1:1" x14ac:dyDescent="0.2">
      <c r="A428" s="91" t="str">
        <f t="shared" si="6"/>
        <v/>
      </c>
    </row>
    <row r="429" spans="1:1" x14ac:dyDescent="0.2">
      <c r="A429" s="91" t="str">
        <f t="shared" si="6"/>
        <v/>
      </c>
    </row>
    <row r="430" spans="1:1" x14ac:dyDescent="0.2">
      <c r="A430" s="91" t="str">
        <f t="shared" si="6"/>
        <v/>
      </c>
    </row>
    <row r="431" spans="1:1" x14ac:dyDescent="0.2">
      <c r="A431" s="91" t="str">
        <f t="shared" si="6"/>
        <v/>
      </c>
    </row>
    <row r="432" spans="1:1" x14ac:dyDescent="0.2">
      <c r="A432" s="91" t="str">
        <f t="shared" si="6"/>
        <v/>
      </c>
    </row>
    <row r="433" spans="1:1" x14ac:dyDescent="0.2">
      <c r="A433" s="91" t="str">
        <f t="shared" si="6"/>
        <v/>
      </c>
    </row>
    <row r="434" spans="1:1" x14ac:dyDescent="0.2">
      <c r="A434" s="91" t="str">
        <f t="shared" si="6"/>
        <v/>
      </c>
    </row>
    <row r="435" spans="1:1" x14ac:dyDescent="0.2">
      <c r="A435" s="91" t="str">
        <f t="shared" si="6"/>
        <v/>
      </c>
    </row>
    <row r="436" spans="1:1" x14ac:dyDescent="0.2">
      <c r="A436" s="91" t="str">
        <f t="shared" si="6"/>
        <v/>
      </c>
    </row>
    <row r="437" spans="1:1" x14ac:dyDescent="0.2">
      <c r="A437" s="91" t="str">
        <f t="shared" si="6"/>
        <v/>
      </c>
    </row>
    <row r="438" spans="1:1" x14ac:dyDescent="0.2">
      <c r="A438" s="91" t="str">
        <f t="shared" si="6"/>
        <v/>
      </c>
    </row>
    <row r="439" spans="1:1" x14ac:dyDescent="0.2">
      <c r="A439" s="91" t="str">
        <f t="shared" si="6"/>
        <v/>
      </c>
    </row>
    <row r="440" spans="1:1" x14ac:dyDescent="0.2">
      <c r="A440" s="91" t="str">
        <f t="shared" si="6"/>
        <v/>
      </c>
    </row>
    <row r="441" spans="1:1" x14ac:dyDescent="0.2">
      <c r="A441" s="91" t="str">
        <f t="shared" si="6"/>
        <v/>
      </c>
    </row>
    <row r="442" spans="1:1" x14ac:dyDescent="0.2">
      <c r="A442" s="91" t="str">
        <f t="shared" si="6"/>
        <v/>
      </c>
    </row>
    <row r="443" spans="1:1" x14ac:dyDescent="0.2">
      <c r="A443" s="91" t="str">
        <f t="shared" si="6"/>
        <v/>
      </c>
    </row>
    <row r="444" spans="1:1" x14ac:dyDescent="0.2">
      <c r="A444" s="91" t="str">
        <f t="shared" si="6"/>
        <v/>
      </c>
    </row>
    <row r="445" spans="1:1" x14ac:dyDescent="0.2">
      <c r="A445" s="91" t="str">
        <f t="shared" si="6"/>
        <v/>
      </c>
    </row>
    <row r="446" spans="1:1" x14ac:dyDescent="0.2">
      <c r="A446" s="91" t="str">
        <f t="shared" si="6"/>
        <v/>
      </c>
    </row>
    <row r="447" spans="1:1" x14ac:dyDescent="0.2">
      <c r="A447" s="91" t="str">
        <f t="shared" si="6"/>
        <v/>
      </c>
    </row>
    <row r="448" spans="1:1" x14ac:dyDescent="0.2">
      <c r="A448" s="91" t="str">
        <f t="shared" si="6"/>
        <v/>
      </c>
    </row>
    <row r="449" spans="1:1" x14ac:dyDescent="0.2">
      <c r="A449" s="91" t="str">
        <f t="shared" si="6"/>
        <v/>
      </c>
    </row>
    <row r="450" spans="1:1" x14ac:dyDescent="0.2">
      <c r="A450" s="91" t="str">
        <f t="shared" si="6"/>
        <v/>
      </c>
    </row>
    <row r="451" spans="1:1" x14ac:dyDescent="0.2">
      <c r="A451" s="91" t="str">
        <f t="shared" ref="A451:A514" si="7">CONCATENATE(B451,C451,F451)</f>
        <v/>
      </c>
    </row>
    <row r="452" spans="1:1" x14ac:dyDescent="0.2">
      <c r="A452" s="91" t="str">
        <f t="shared" si="7"/>
        <v/>
      </c>
    </row>
    <row r="453" spans="1:1" x14ac:dyDescent="0.2">
      <c r="A453" s="91" t="str">
        <f t="shared" si="7"/>
        <v/>
      </c>
    </row>
    <row r="454" spans="1:1" x14ac:dyDescent="0.2">
      <c r="A454" s="91" t="str">
        <f t="shared" si="7"/>
        <v/>
      </c>
    </row>
    <row r="455" spans="1:1" x14ac:dyDescent="0.2">
      <c r="A455" s="91" t="str">
        <f t="shared" si="7"/>
        <v/>
      </c>
    </row>
    <row r="456" spans="1:1" x14ac:dyDescent="0.2">
      <c r="A456" s="91" t="str">
        <f t="shared" si="7"/>
        <v/>
      </c>
    </row>
    <row r="457" spans="1:1" x14ac:dyDescent="0.2">
      <c r="A457" s="91" t="str">
        <f t="shared" si="7"/>
        <v/>
      </c>
    </row>
    <row r="458" spans="1:1" x14ac:dyDescent="0.2">
      <c r="A458" s="91" t="str">
        <f t="shared" si="7"/>
        <v/>
      </c>
    </row>
    <row r="459" spans="1:1" x14ac:dyDescent="0.2">
      <c r="A459" s="91" t="str">
        <f t="shared" si="7"/>
        <v/>
      </c>
    </row>
    <row r="460" spans="1:1" x14ac:dyDescent="0.2">
      <c r="A460" s="91" t="str">
        <f t="shared" si="7"/>
        <v/>
      </c>
    </row>
    <row r="461" spans="1:1" x14ac:dyDescent="0.2">
      <c r="A461" s="91" t="str">
        <f t="shared" si="7"/>
        <v/>
      </c>
    </row>
    <row r="462" spans="1:1" x14ac:dyDescent="0.2">
      <c r="A462" s="91" t="str">
        <f t="shared" si="7"/>
        <v/>
      </c>
    </row>
    <row r="463" spans="1:1" x14ac:dyDescent="0.2">
      <c r="A463" s="91" t="str">
        <f t="shared" si="7"/>
        <v/>
      </c>
    </row>
    <row r="464" spans="1:1" x14ac:dyDescent="0.2">
      <c r="A464" s="91" t="str">
        <f t="shared" si="7"/>
        <v/>
      </c>
    </row>
    <row r="465" spans="1:1" x14ac:dyDescent="0.2">
      <c r="A465" s="91" t="str">
        <f t="shared" si="7"/>
        <v/>
      </c>
    </row>
    <row r="466" spans="1:1" x14ac:dyDescent="0.2">
      <c r="A466" s="91" t="str">
        <f t="shared" si="7"/>
        <v/>
      </c>
    </row>
    <row r="467" spans="1:1" x14ac:dyDescent="0.2">
      <c r="A467" s="91" t="str">
        <f t="shared" si="7"/>
        <v/>
      </c>
    </row>
    <row r="468" spans="1:1" x14ac:dyDescent="0.2">
      <c r="A468" s="91" t="str">
        <f t="shared" si="7"/>
        <v/>
      </c>
    </row>
    <row r="469" spans="1:1" x14ac:dyDescent="0.2">
      <c r="A469" s="91" t="str">
        <f t="shared" si="7"/>
        <v/>
      </c>
    </row>
    <row r="470" spans="1:1" x14ac:dyDescent="0.2">
      <c r="A470" s="91" t="str">
        <f t="shared" si="7"/>
        <v/>
      </c>
    </row>
    <row r="471" spans="1:1" x14ac:dyDescent="0.2">
      <c r="A471" s="91" t="str">
        <f t="shared" si="7"/>
        <v/>
      </c>
    </row>
    <row r="472" spans="1:1" x14ac:dyDescent="0.2">
      <c r="A472" s="91" t="str">
        <f t="shared" si="7"/>
        <v/>
      </c>
    </row>
    <row r="473" spans="1:1" x14ac:dyDescent="0.2">
      <c r="A473" s="91" t="str">
        <f t="shared" si="7"/>
        <v/>
      </c>
    </row>
    <row r="474" spans="1:1" x14ac:dyDescent="0.2">
      <c r="A474" s="91" t="str">
        <f t="shared" si="7"/>
        <v/>
      </c>
    </row>
    <row r="475" spans="1:1" x14ac:dyDescent="0.2">
      <c r="A475" s="91" t="str">
        <f t="shared" si="7"/>
        <v/>
      </c>
    </row>
    <row r="476" spans="1:1" x14ac:dyDescent="0.2">
      <c r="A476" s="91" t="str">
        <f t="shared" si="7"/>
        <v/>
      </c>
    </row>
    <row r="477" spans="1:1" x14ac:dyDescent="0.2">
      <c r="A477" s="91" t="str">
        <f t="shared" si="7"/>
        <v/>
      </c>
    </row>
    <row r="478" spans="1:1" x14ac:dyDescent="0.2">
      <c r="A478" s="91" t="str">
        <f t="shared" si="7"/>
        <v/>
      </c>
    </row>
    <row r="479" spans="1:1" x14ac:dyDescent="0.2">
      <c r="A479" s="91" t="str">
        <f t="shared" si="7"/>
        <v/>
      </c>
    </row>
    <row r="480" spans="1:1" x14ac:dyDescent="0.2">
      <c r="A480" s="91" t="str">
        <f t="shared" si="7"/>
        <v/>
      </c>
    </row>
    <row r="481" spans="1:1" x14ac:dyDescent="0.2">
      <c r="A481" s="91" t="str">
        <f t="shared" si="7"/>
        <v/>
      </c>
    </row>
    <row r="482" spans="1:1" x14ac:dyDescent="0.2">
      <c r="A482" s="91" t="str">
        <f t="shared" si="7"/>
        <v/>
      </c>
    </row>
    <row r="483" spans="1:1" x14ac:dyDescent="0.2">
      <c r="A483" s="91" t="str">
        <f t="shared" si="7"/>
        <v/>
      </c>
    </row>
    <row r="484" spans="1:1" x14ac:dyDescent="0.2">
      <c r="A484" s="91" t="str">
        <f t="shared" si="7"/>
        <v/>
      </c>
    </row>
    <row r="485" spans="1:1" x14ac:dyDescent="0.2">
      <c r="A485" s="91" t="str">
        <f t="shared" si="7"/>
        <v/>
      </c>
    </row>
    <row r="486" spans="1:1" x14ac:dyDescent="0.2">
      <c r="A486" s="91" t="str">
        <f t="shared" si="7"/>
        <v/>
      </c>
    </row>
    <row r="487" spans="1:1" x14ac:dyDescent="0.2">
      <c r="A487" s="91" t="str">
        <f t="shared" si="7"/>
        <v/>
      </c>
    </row>
    <row r="488" spans="1:1" x14ac:dyDescent="0.2">
      <c r="A488" s="91" t="str">
        <f t="shared" si="7"/>
        <v/>
      </c>
    </row>
    <row r="489" spans="1:1" x14ac:dyDescent="0.2">
      <c r="A489" s="91" t="str">
        <f t="shared" si="7"/>
        <v/>
      </c>
    </row>
    <row r="490" spans="1:1" x14ac:dyDescent="0.2">
      <c r="A490" s="91" t="str">
        <f t="shared" si="7"/>
        <v/>
      </c>
    </row>
    <row r="491" spans="1:1" x14ac:dyDescent="0.2">
      <c r="A491" s="91" t="str">
        <f t="shared" si="7"/>
        <v/>
      </c>
    </row>
    <row r="492" spans="1:1" x14ac:dyDescent="0.2">
      <c r="A492" s="91" t="str">
        <f t="shared" si="7"/>
        <v/>
      </c>
    </row>
    <row r="493" spans="1:1" x14ac:dyDescent="0.2">
      <c r="A493" s="91" t="str">
        <f t="shared" si="7"/>
        <v/>
      </c>
    </row>
    <row r="494" spans="1:1" x14ac:dyDescent="0.2">
      <c r="A494" s="91" t="str">
        <f t="shared" si="7"/>
        <v/>
      </c>
    </row>
    <row r="495" spans="1:1" x14ac:dyDescent="0.2">
      <c r="A495" s="91" t="str">
        <f t="shared" si="7"/>
        <v/>
      </c>
    </row>
    <row r="496" spans="1:1" x14ac:dyDescent="0.2">
      <c r="A496" s="91" t="str">
        <f t="shared" si="7"/>
        <v/>
      </c>
    </row>
    <row r="497" spans="1:1" x14ac:dyDescent="0.2">
      <c r="A497" s="91" t="str">
        <f t="shared" si="7"/>
        <v/>
      </c>
    </row>
    <row r="498" spans="1:1" x14ac:dyDescent="0.2">
      <c r="A498" s="91" t="str">
        <f t="shared" si="7"/>
        <v/>
      </c>
    </row>
    <row r="499" spans="1:1" x14ac:dyDescent="0.2">
      <c r="A499" s="91" t="str">
        <f t="shared" si="7"/>
        <v/>
      </c>
    </row>
    <row r="500" spans="1:1" x14ac:dyDescent="0.2">
      <c r="A500" s="91" t="str">
        <f t="shared" si="7"/>
        <v/>
      </c>
    </row>
    <row r="501" spans="1:1" x14ac:dyDescent="0.2">
      <c r="A501" s="91" t="str">
        <f t="shared" si="7"/>
        <v/>
      </c>
    </row>
    <row r="502" spans="1:1" x14ac:dyDescent="0.2">
      <c r="A502" s="91" t="str">
        <f t="shared" si="7"/>
        <v/>
      </c>
    </row>
    <row r="503" spans="1:1" x14ac:dyDescent="0.2">
      <c r="A503" s="91" t="str">
        <f t="shared" si="7"/>
        <v/>
      </c>
    </row>
    <row r="504" spans="1:1" x14ac:dyDescent="0.2">
      <c r="A504" s="91" t="str">
        <f t="shared" si="7"/>
        <v/>
      </c>
    </row>
    <row r="505" spans="1:1" x14ac:dyDescent="0.2">
      <c r="A505" s="91" t="str">
        <f t="shared" si="7"/>
        <v/>
      </c>
    </row>
    <row r="506" spans="1:1" x14ac:dyDescent="0.2">
      <c r="A506" s="91" t="str">
        <f t="shared" si="7"/>
        <v/>
      </c>
    </row>
    <row r="507" spans="1:1" x14ac:dyDescent="0.2">
      <c r="A507" s="91" t="str">
        <f t="shared" si="7"/>
        <v/>
      </c>
    </row>
    <row r="508" spans="1:1" x14ac:dyDescent="0.2">
      <c r="A508" s="91" t="str">
        <f t="shared" si="7"/>
        <v/>
      </c>
    </row>
    <row r="509" spans="1:1" x14ac:dyDescent="0.2">
      <c r="A509" s="91" t="str">
        <f t="shared" si="7"/>
        <v/>
      </c>
    </row>
    <row r="510" spans="1:1" x14ac:dyDescent="0.2">
      <c r="A510" s="91" t="str">
        <f t="shared" si="7"/>
        <v/>
      </c>
    </row>
    <row r="511" spans="1:1" x14ac:dyDescent="0.2">
      <c r="A511" s="91" t="str">
        <f t="shared" si="7"/>
        <v/>
      </c>
    </row>
    <row r="512" spans="1:1" x14ac:dyDescent="0.2">
      <c r="A512" s="91" t="str">
        <f t="shared" si="7"/>
        <v/>
      </c>
    </row>
    <row r="513" spans="1:1" x14ac:dyDescent="0.2">
      <c r="A513" s="91" t="str">
        <f t="shared" si="7"/>
        <v/>
      </c>
    </row>
    <row r="514" spans="1:1" x14ac:dyDescent="0.2">
      <c r="A514" s="91" t="str">
        <f t="shared" si="7"/>
        <v/>
      </c>
    </row>
    <row r="515" spans="1:1" x14ac:dyDescent="0.2">
      <c r="A515" s="91" t="str">
        <f t="shared" ref="A515:A578" si="8">CONCATENATE(B515,C515,F515)</f>
        <v/>
      </c>
    </row>
    <row r="516" spans="1:1" x14ac:dyDescent="0.2">
      <c r="A516" s="91" t="str">
        <f t="shared" si="8"/>
        <v/>
      </c>
    </row>
    <row r="517" spans="1:1" x14ac:dyDescent="0.2">
      <c r="A517" s="91" t="str">
        <f t="shared" si="8"/>
        <v/>
      </c>
    </row>
    <row r="518" spans="1:1" x14ac:dyDescent="0.2">
      <c r="A518" s="91" t="str">
        <f t="shared" si="8"/>
        <v/>
      </c>
    </row>
    <row r="519" spans="1:1" x14ac:dyDescent="0.2">
      <c r="A519" s="91" t="str">
        <f t="shared" si="8"/>
        <v/>
      </c>
    </row>
    <row r="520" spans="1:1" x14ac:dyDescent="0.2">
      <c r="A520" s="91" t="str">
        <f t="shared" si="8"/>
        <v/>
      </c>
    </row>
    <row r="521" spans="1:1" x14ac:dyDescent="0.2">
      <c r="A521" s="91" t="str">
        <f t="shared" si="8"/>
        <v/>
      </c>
    </row>
    <row r="522" spans="1:1" x14ac:dyDescent="0.2">
      <c r="A522" s="91" t="str">
        <f t="shared" si="8"/>
        <v/>
      </c>
    </row>
    <row r="523" spans="1:1" x14ac:dyDescent="0.2">
      <c r="A523" s="91" t="str">
        <f t="shared" si="8"/>
        <v/>
      </c>
    </row>
    <row r="524" spans="1:1" x14ac:dyDescent="0.2">
      <c r="A524" s="91" t="str">
        <f t="shared" si="8"/>
        <v/>
      </c>
    </row>
    <row r="525" spans="1:1" x14ac:dyDescent="0.2">
      <c r="A525" s="91" t="str">
        <f t="shared" si="8"/>
        <v/>
      </c>
    </row>
    <row r="526" spans="1:1" x14ac:dyDescent="0.2">
      <c r="A526" s="91" t="str">
        <f t="shared" si="8"/>
        <v/>
      </c>
    </row>
    <row r="527" spans="1:1" x14ac:dyDescent="0.2">
      <c r="A527" s="91" t="str">
        <f t="shared" si="8"/>
        <v/>
      </c>
    </row>
    <row r="528" spans="1:1" x14ac:dyDescent="0.2">
      <c r="A528" s="91" t="str">
        <f t="shared" si="8"/>
        <v/>
      </c>
    </row>
    <row r="529" spans="1:1" x14ac:dyDescent="0.2">
      <c r="A529" s="91" t="str">
        <f t="shared" si="8"/>
        <v/>
      </c>
    </row>
    <row r="530" spans="1:1" x14ac:dyDescent="0.2">
      <c r="A530" s="91" t="str">
        <f t="shared" si="8"/>
        <v/>
      </c>
    </row>
    <row r="531" spans="1:1" x14ac:dyDescent="0.2">
      <c r="A531" s="91" t="str">
        <f t="shared" si="8"/>
        <v/>
      </c>
    </row>
    <row r="532" spans="1:1" x14ac:dyDescent="0.2">
      <c r="A532" s="91" t="str">
        <f t="shared" si="8"/>
        <v/>
      </c>
    </row>
    <row r="533" spans="1:1" x14ac:dyDescent="0.2">
      <c r="A533" s="91" t="str">
        <f t="shared" si="8"/>
        <v/>
      </c>
    </row>
    <row r="534" spans="1:1" x14ac:dyDescent="0.2">
      <c r="A534" s="91" t="str">
        <f t="shared" si="8"/>
        <v/>
      </c>
    </row>
    <row r="535" spans="1:1" x14ac:dyDescent="0.2">
      <c r="A535" s="91" t="str">
        <f t="shared" si="8"/>
        <v/>
      </c>
    </row>
    <row r="536" spans="1:1" x14ac:dyDescent="0.2">
      <c r="A536" s="91" t="str">
        <f t="shared" si="8"/>
        <v/>
      </c>
    </row>
    <row r="537" spans="1:1" x14ac:dyDescent="0.2">
      <c r="A537" s="91" t="str">
        <f t="shared" si="8"/>
        <v/>
      </c>
    </row>
    <row r="538" spans="1:1" x14ac:dyDescent="0.2">
      <c r="A538" s="91" t="str">
        <f t="shared" si="8"/>
        <v/>
      </c>
    </row>
    <row r="539" spans="1:1" x14ac:dyDescent="0.2">
      <c r="A539" s="91" t="str">
        <f t="shared" si="8"/>
        <v/>
      </c>
    </row>
    <row r="540" spans="1:1" x14ac:dyDescent="0.2">
      <c r="A540" s="91" t="str">
        <f t="shared" si="8"/>
        <v/>
      </c>
    </row>
    <row r="541" spans="1:1" x14ac:dyDescent="0.2">
      <c r="A541" s="91" t="str">
        <f t="shared" si="8"/>
        <v/>
      </c>
    </row>
    <row r="542" spans="1:1" x14ac:dyDescent="0.2">
      <c r="A542" s="91" t="str">
        <f t="shared" si="8"/>
        <v/>
      </c>
    </row>
    <row r="543" spans="1:1" x14ac:dyDescent="0.2">
      <c r="A543" s="91" t="str">
        <f t="shared" si="8"/>
        <v/>
      </c>
    </row>
    <row r="544" spans="1:1" x14ac:dyDescent="0.2">
      <c r="A544" s="91" t="str">
        <f t="shared" si="8"/>
        <v/>
      </c>
    </row>
    <row r="545" spans="1:1" x14ac:dyDescent="0.2">
      <c r="A545" s="91" t="str">
        <f t="shared" si="8"/>
        <v/>
      </c>
    </row>
    <row r="546" spans="1:1" x14ac:dyDescent="0.2">
      <c r="A546" s="91" t="str">
        <f t="shared" si="8"/>
        <v/>
      </c>
    </row>
    <row r="547" spans="1:1" x14ac:dyDescent="0.2">
      <c r="A547" s="91" t="str">
        <f t="shared" si="8"/>
        <v/>
      </c>
    </row>
    <row r="548" spans="1:1" x14ac:dyDescent="0.2">
      <c r="A548" s="91" t="str">
        <f t="shared" si="8"/>
        <v/>
      </c>
    </row>
    <row r="549" spans="1:1" x14ac:dyDescent="0.2">
      <c r="A549" s="91" t="str">
        <f t="shared" si="8"/>
        <v/>
      </c>
    </row>
    <row r="550" spans="1:1" x14ac:dyDescent="0.2">
      <c r="A550" s="91" t="str">
        <f t="shared" si="8"/>
        <v/>
      </c>
    </row>
    <row r="551" spans="1:1" x14ac:dyDescent="0.2">
      <c r="A551" s="91" t="str">
        <f t="shared" si="8"/>
        <v/>
      </c>
    </row>
    <row r="552" spans="1:1" x14ac:dyDescent="0.2">
      <c r="A552" s="91" t="str">
        <f t="shared" si="8"/>
        <v/>
      </c>
    </row>
    <row r="553" spans="1:1" x14ac:dyDescent="0.2">
      <c r="A553" s="91" t="str">
        <f t="shared" si="8"/>
        <v/>
      </c>
    </row>
    <row r="554" spans="1:1" x14ac:dyDescent="0.2">
      <c r="A554" s="91" t="str">
        <f t="shared" si="8"/>
        <v/>
      </c>
    </row>
    <row r="555" spans="1:1" x14ac:dyDescent="0.2">
      <c r="A555" s="91" t="str">
        <f t="shared" si="8"/>
        <v/>
      </c>
    </row>
    <row r="556" spans="1:1" x14ac:dyDescent="0.2">
      <c r="A556" s="91" t="str">
        <f t="shared" si="8"/>
        <v/>
      </c>
    </row>
    <row r="557" spans="1:1" x14ac:dyDescent="0.2">
      <c r="A557" s="91" t="str">
        <f t="shared" si="8"/>
        <v/>
      </c>
    </row>
    <row r="558" spans="1:1" x14ac:dyDescent="0.2">
      <c r="A558" s="91" t="str">
        <f t="shared" si="8"/>
        <v/>
      </c>
    </row>
    <row r="559" spans="1:1" x14ac:dyDescent="0.2">
      <c r="A559" s="91" t="str">
        <f t="shared" si="8"/>
        <v/>
      </c>
    </row>
    <row r="560" spans="1:1" x14ac:dyDescent="0.2">
      <c r="A560" s="91" t="str">
        <f t="shared" si="8"/>
        <v/>
      </c>
    </row>
    <row r="561" spans="1:1" x14ac:dyDescent="0.2">
      <c r="A561" s="91" t="str">
        <f t="shared" si="8"/>
        <v/>
      </c>
    </row>
    <row r="562" spans="1:1" x14ac:dyDescent="0.2">
      <c r="A562" s="91" t="str">
        <f t="shared" si="8"/>
        <v/>
      </c>
    </row>
    <row r="563" spans="1:1" x14ac:dyDescent="0.2">
      <c r="A563" s="91" t="str">
        <f t="shared" si="8"/>
        <v/>
      </c>
    </row>
    <row r="564" spans="1:1" x14ac:dyDescent="0.2">
      <c r="A564" s="91" t="str">
        <f t="shared" si="8"/>
        <v/>
      </c>
    </row>
    <row r="565" spans="1:1" x14ac:dyDescent="0.2">
      <c r="A565" s="91" t="str">
        <f t="shared" si="8"/>
        <v/>
      </c>
    </row>
    <row r="566" spans="1:1" x14ac:dyDescent="0.2">
      <c r="A566" s="91" t="str">
        <f t="shared" si="8"/>
        <v/>
      </c>
    </row>
    <row r="567" spans="1:1" x14ac:dyDescent="0.2">
      <c r="A567" s="91" t="str">
        <f t="shared" si="8"/>
        <v/>
      </c>
    </row>
    <row r="568" spans="1:1" x14ac:dyDescent="0.2">
      <c r="A568" s="91" t="str">
        <f t="shared" si="8"/>
        <v/>
      </c>
    </row>
    <row r="569" spans="1:1" x14ac:dyDescent="0.2">
      <c r="A569" s="91" t="str">
        <f t="shared" si="8"/>
        <v/>
      </c>
    </row>
    <row r="570" spans="1:1" x14ac:dyDescent="0.2">
      <c r="A570" s="91" t="str">
        <f t="shared" si="8"/>
        <v/>
      </c>
    </row>
    <row r="571" spans="1:1" x14ac:dyDescent="0.2">
      <c r="A571" s="91" t="str">
        <f t="shared" si="8"/>
        <v/>
      </c>
    </row>
    <row r="572" spans="1:1" x14ac:dyDescent="0.2">
      <c r="A572" s="91" t="str">
        <f t="shared" si="8"/>
        <v/>
      </c>
    </row>
    <row r="573" spans="1:1" x14ac:dyDescent="0.2">
      <c r="A573" s="91" t="str">
        <f t="shared" si="8"/>
        <v/>
      </c>
    </row>
    <row r="574" spans="1:1" x14ac:dyDescent="0.2">
      <c r="A574" s="91" t="str">
        <f t="shared" si="8"/>
        <v/>
      </c>
    </row>
    <row r="575" spans="1:1" x14ac:dyDescent="0.2">
      <c r="A575" s="91" t="str">
        <f t="shared" si="8"/>
        <v/>
      </c>
    </row>
    <row r="576" spans="1:1" x14ac:dyDescent="0.2">
      <c r="A576" s="91" t="str">
        <f t="shared" si="8"/>
        <v/>
      </c>
    </row>
    <row r="577" spans="1:1" x14ac:dyDescent="0.2">
      <c r="A577" s="91" t="str">
        <f t="shared" si="8"/>
        <v/>
      </c>
    </row>
    <row r="578" spans="1:1" x14ac:dyDescent="0.2">
      <c r="A578" s="91" t="str">
        <f t="shared" si="8"/>
        <v/>
      </c>
    </row>
    <row r="579" spans="1:1" x14ac:dyDescent="0.2">
      <c r="A579" s="91" t="str">
        <f t="shared" ref="A579:A642" si="9">CONCATENATE(B579,C579,F579)</f>
        <v/>
      </c>
    </row>
    <row r="580" spans="1:1" x14ac:dyDescent="0.2">
      <c r="A580" s="91" t="str">
        <f t="shared" si="9"/>
        <v/>
      </c>
    </row>
    <row r="581" spans="1:1" x14ac:dyDescent="0.2">
      <c r="A581" s="91" t="str">
        <f t="shared" si="9"/>
        <v/>
      </c>
    </row>
    <row r="582" spans="1:1" x14ac:dyDescent="0.2">
      <c r="A582" s="91" t="str">
        <f t="shared" si="9"/>
        <v/>
      </c>
    </row>
    <row r="583" spans="1:1" x14ac:dyDescent="0.2">
      <c r="A583" s="91" t="str">
        <f t="shared" si="9"/>
        <v/>
      </c>
    </row>
    <row r="584" spans="1:1" x14ac:dyDescent="0.2">
      <c r="A584" s="91" t="str">
        <f t="shared" si="9"/>
        <v/>
      </c>
    </row>
    <row r="585" spans="1:1" x14ac:dyDescent="0.2">
      <c r="A585" s="91" t="str">
        <f t="shared" si="9"/>
        <v/>
      </c>
    </row>
    <row r="586" spans="1:1" x14ac:dyDescent="0.2">
      <c r="A586" s="91" t="str">
        <f t="shared" si="9"/>
        <v/>
      </c>
    </row>
    <row r="587" spans="1:1" x14ac:dyDescent="0.2">
      <c r="A587" s="91" t="str">
        <f t="shared" si="9"/>
        <v/>
      </c>
    </row>
    <row r="588" spans="1:1" x14ac:dyDescent="0.2">
      <c r="A588" s="91" t="str">
        <f t="shared" si="9"/>
        <v/>
      </c>
    </row>
    <row r="589" spans="1:1" x14ac:dyDescent="0.2">
      <c r="A589" s="91" t="str">
        <f t="shared" si="9"/>
        <v/>
      </c>
    </row>
    <row r="590" spans="1:1" x14ac:dyDescent="0.2">
      <c r="A590" s="91" t="str">
        <f t="shared" si="9"/>
        <v/>
      </c>
    </row>
    <row r="591" spans="1:1" x14ac:dyDescent="0.2">
      <c r="A591" s="91" t="str">
        <f t="shared" si="9"/>
        <v/>
      </c>
    </row>
    <row r="592" spans="1:1" x14ac:dyDescent="0.2">
      <c r="A592" s="91" t="str">
        <f t="shared" si="9"/>
        <v/>
      </c>
    </row>
    <row r="593" spans="1:1" x14ac:dyDescent="0.2">
      <c r="A593" s="91" t="str">
        <f t="shared" si="9"/>
        <v/>
      </c>
    </row>
    <row r="594" spans="1:1" x14ac:dyDescent="0.2">
      <c r="A594" s="91" t="str">
        <f t="shared" si="9"/>
        <v/>
      </c>
    </row>
    <row r="595" spans="1:1" x14ac:dyDescent="0.2">
      <c r="A595" s="91" t="str">
        <f t="shared" si="9"/>
        <v/>
      </c>
    </row>
    <row r="596" spans="1:1" x14ac:dyDescent="0.2">
      <c r="A596" s="91" t="str">
        <f t="shared" si="9"/>
        <v/>
      </c>
    </row>
    <row r="597" spans="1:1" x14ac:dyDescent="0.2">
      <c r="A597" s="91" t="str">
        <f t="shared" si="9"/>
        <v/>
      </c>
    </row>
    <row r="598" spans="1:1" x14ac:dyDescent="0.2">
      <c r="A598" s="91" t="str">
        <f t="shared" si="9"/>
        <v/>
      </c>
    </row>
    <row r="599" spans="1:1" x14ac:dyDescent="0.2">
      <c r="A599" s="91" t="str">
        <f t="shared" si="9"/>
        <v/>
      </c>
    </row>
    <row r="600" spans="1:1" x14ac:dyDescent="0.2">
      <c r="A600" s="91" t="str">
        <f t="shared" si="9"/>
        <v/>
      </c>
    </row>
    <row r="601" spans="1:1" x14ac:dyDescent="0.2">
      <c r="A601" s="91" t="str">
        <f t="shared" si="9"/>
        <v/>
      </c>
    </row>
    <row r="602" spans="1:1" x14ac:dyDescent="0.2">
      <c r="A602" s="91" t="str">
        <f t="shared" si="9"/>
        <v/>
      </c>
    </row>
    <row r="603" spans="1:1" x14ac:dyDescent="0.2">
      <c r="A603" s="91" t="str">
        <f t="shared" si="9"/>
        <v/>
      </c>
    </row>
    <row r="604" spans="1:1" x14ac:dyDescent="0.2">
      <c r="A604" s="91" t="str">
        <f t="shared" si="9"/>
        <v/>
      </c>
    </row>
    <row r="605" spans="1:1" x14ac:dyDescent="0.2">
      <c r="A605" s="91" t="str">
        <f t="shared" si="9"/>
        <v/>
      </c>
    </row>
    <row r="606" spans="1:1" x14ac:dyDescent="0.2">
      <c r="A606" s="91" t="str">
        <f t="shared" si="9"/>
        <v/>
      </c>
    </row>
    <row r="607" spans="1:1" x14ac:dyDescent="0.2">
      <c r="A607" s="91" t="str">
        <f t="shared" si="9"/>
        <v/>
      </c>
    </row>
    <row r="608" spans="1:1" x14ac:dyDescent="0.2">
      <c r="A608" s="91" t="str">
        <f t="shared" si="9"/>
        <v/>
      </c>
    </row>
    <row r="609" spans="1:1" x14ac:dyDescent="0.2">
      <c r="A609" s="91" t="str">
        <f t="shared" si="9"/>
        <v/>
      </c>
    </row>
    <row r="610" spans="1:1" x14ac:dyDescent="0.2">
      <c r="A610" s="91" t="str">
        <f t="shared" si="9"/>
        <v/>
      </c>
    </row>
    <row r="611" spans="1:1" x14ac:dyDescent="0.2">
      <c r="A611" s="91" t="str">
        <f t="shared" si="9"/>
        <v/>
      </c>
    </row>
    <row r="612" spans="1:1" x14ac:dyDescent="0.2">
      <c r="A612" s="91" t="str">
        <f t="shared" si="9"/>
        <v/>
      </c>
    </row>
    <row r="613" spans="1:1" x14ac:dyDescent="0.2">
      <c r="A613" s="91" t="str">
        <f t="shared" si="9"/>
        <v/>
      </c>
    </row>
    <row r="614" spans="1:1" x14ac:dyDescent="0.2">
      <c r="A614" s="91" t="str">
        <f t="shared" si="9"/>
        <v/>
      </c>
    </row>
    <row r="615" spans="1:1" x14ac:dyDescent="0.2">
      <c r="A615" s="91" t="str">
        <f t="shared" si="9"/>
        <v/>
      </c>
    </row>
    <row r="616" spans="1:1" x14ac:dyDescent="0.2">
      <c r="A616" s="91" t="str">
        <f t="shared" si="9"/>
        <v/>
      </c>
    </row>
    <row r="617" spans="1:1" x14ac:dyDescent="0.2">
      <c r="A617" s="91" t="str">
        <f t="shared" si="9"/>
        <v/>
      </c>
    </row>
    <row r="618" spans="1:1" x14ac:dyDescent="0.2">
      <c r="A618" s="91" t="str">
        <f t="shared" si="9"/>
        <v/>
      </c>
    </row>
    <row r="619" spans="1:1" x14ac:dyDescent="0.2">
      <c r="A619" s="91" t="str">
        <f t="shared" si="9"/>
        <v/>
      </c>
    </row>
    <row r="620" spans="1:1" x14ac:dyDescent="0.2">
      <c r="A620" s="91" t="str">
        <f t="shared" si="9"/>
        <v/>
      </c>
    </row>
    <row r="621" spans="1:1" x14ac:dyDescent="0.2">
      <c r="A621" s="91" t="str">
        <f t="shared" si="9"/>
        <v/>
      </c>
    </row>
    <row r="622" spans="1:1" x14ac:dyDescent="0.2">
      <c r="A622" s="91" t="str">
        <f t="shared" si="9"/>
        <v/>
      </c>
    </row>
    <row r="623" spans="1:1" x14ac:dyDescent="0.2">
      <c r="A623" s="91" t="str">
        <f t="shared" si="9"/>
        <v/>
      </c>
    </row>
    <row r="624" spans="1:1" x14ac:dyDescent="0.2">
      <c r="A624" s="91" t="str">
        <f t="shared" si="9"/>
        <v/>
      </c>
    </row>
    <row r="625" spans="1:1" x14ac:dyDescent="0.2">
      <c r="A625" s="91" t="str">
        <f t="shared" si="9"/>
        <v/>
      </c>
    </row>
    <row r="626" spans="1:1" x14ac:dyDescent="0.2">
      <c r="A626" s="91" t="str">
        <f t="shared" si="9"/>
        <v/>
      </c>
    </row>
    <row r="627" spans="1:1" x14ac:dyDescent="0.2">
      <c r="A627" s="91" t="str">
        <f t="shared" si="9"/>
        <v/>
      </c>
    </row>
    <row r="628" spans="1:1" x14ac:dyDescent="0.2">
      <c r="A628" s="91" t="str">
        <f t="shared" si="9"/>
        <v/>
      </c>
    </row>
    <row r="629" spans="1:1" x14ac:dyDescent="0.2">
      <c r="A629" s="91" t="str">
        <f t="shared" si="9"/>
        <v/>
      </c>
    </row>
    <row r="630" spans="1:1" x14ac:dyDescent="0.2">
      <c r="A630" s="91" t="str">
        <f t="shared" si="9"/>
        <v/>
      </c>
    </row>
    <row r="631" spans="1:1" x14ac:dyDescent="0.2">
      <c r="A631" s="91" t="str">
        <f t="shared" si="9"/>
        <v/>
      </c>
    </row>
    <row r="632" spans="1:1" x14ac:dyDescent="0.2">
      <c r="A632" s="91" t="str">
        <f t="shared" si="9"/>
        <v/>
      </c>
    </row>
    <row r="633" spans="1:1" x14ac:dyDescent="0.2">
      <c r="A633" s="91" t="str">
        <f t="shared" si="9"/>
        <v/>
      </c>
    </row>
    <row r="634" spans="1:1" x14ac:dyDescent="0.2">
      <c r="A634" s="91" t="str">
        <f t="shared" si="9"/>
        <v/>
      </c>
    </row>
    <row r="635" spans="1:1" x14ac:dyDescent="0.2">
      <c r="A635" s="91" t="str">
        <f t="shared" si="9"/>
        <v/>
      </c>
    </row>
    <row r="636" spans="1:1" x14ac:dyDescent="0.2">
      <c r="A636" s="91" t="str">
        <f t="shared" si="9"/>
        <v/>
      </c>
    </row>
    <row r="637" spans="1:1" x14ac:dyDescent="0.2">
      <c r="A637" s="91" t="str">
        <f t="shared" si="9"/>
        <v/>
      </c>
    </row>
    <row r="638" spans="1:1" x14ac:dyDescent="0.2">
      <c r="A638" s="91" t="str">
        <f t="shared" si="9"/>
        <v/>
      </c>
    </row>
    <row r="639" spans="1:1" x14ac:dyDescent="0.2">
      <c r="A639" s="91" t="str">
        <f t="shared" si="9"/>
        <v/>
      </c>
    </row>
    <row r="640" spans="1:1" x14ac:dyDescent="0.2">
      <c r="A640" s="91" t="str">
        <f t="shared" si="9"/>
        <v/>
      </c>
    </row>
    <row r="641" spans="1:1" x14ac:dyDescent="0.2">
      <c r="A641" s="91" t="str">
        <f t="shared" si="9"/>
        <v/>
      </c>
    </row>
    <row r="642" spans="1:1" x14ac:dyDescent="0.2">
      <c r="A642" s="91" t="str">
        <f t="shared" si="9"/>
        <v/>
      </c>
    </row>
    <row r="643" spans="1:1" x14ac:dyDescent="0.2">
      <c r="A643" s="91" t="str">
        <f t="shared" ref="A643:A706" si="10">CONCATENATE(B643,C643,F643)</f>
        <v/>
      </c>
    </row>
    <row r="644" spans="1:1" x14ac:dyDescent="0.2">
      <c r="A644" s="91" t="str">
        <f t="shared" si="10"/>
        <v/>
      </c>
    </row>
    <row r="645" spans="1:1" x14ac:dyDescent="0.2">
      <c r="A645" s="91" t="str">
        <f t="shared" si="10"/>
        <v/>
      </c>
    </row>
    <row r="646" spans="1:1" x14ac:dyDescent="0.2">
      <c r="A646" s="91" t="str">
        <f t="shared" si="10"/>
        <v/>
      </c>
    </row>
    <row r="647" spans="1:1" x14ac:dyDescent="0.2">
      <c r="A647" s="91" t="str">
        <f t="shared" si="10"/>
        <v/>
      </c>
    </row>
    <row r="648" spans="1:1" x14ac:dyDescent="0.2">
      <c r="A648" s="91" t="str">
        <f t="shared" si="10"/>
        <v/>
      </c>
    </row>
    <row r="649" spans="1:1" x14ac:dyDescent="0.2">
      <c r="A649" s="91" t="str">
        <f t="shared" si="10"/>
        <v/>
      </c>
    </row>
    <row r="650" spans="1:1" x14ac:dyDescent="0.2">
      <c r="A650" s="91" t="str">
        <f t="shared" si="10"/>
        <v/>
      </c>
    </row>
    <row r="651" spans="1:1" x14ac:dyDescent="0.2">
      <c r="A651" s="91" t="str">
        <f t="shared" si="10"/>
        <v/>
      </c>
    </row>
    <row r="652" spans="1:1" x14ac:dyDescent="0.2">
      <c r="A652" s="91" t="str">
        <f t="shared" si="10"/>
        <v/>
      </c>
    </row>
    <row r="653" spans="1:1" x14ac:dyDescent="0.2">
      <c r="A653" s="91" t="str">
        <f t="shared" si="10"/>
        <v/>
      </c>
    </row>
    <row r="654" spans="1:1" x14ac:dyDescent="0.2">
      <c r="A654" s="91" t="str">
        <f t="shared" si="10"/>
        <v/>
      </c>
    </row>
    <row r="655" spans="1:1" x14ac:dyDescent="0.2">
      <c r="A655" s="91" t="str">
        <f t="shared" si="10"/>
        <v/>
      </c>
    </row>
    <row r="656" spans="1:1" x14ac:dyDescent="0.2">
      <c r="A656" s="91" t="str">
        <f t="shared" si="10"/>
        <v/>
      </c>
    </row>
    <row r="657" spans="1:1" x14ac:dyDescent="0.2">
      <c r="A657" s="91" t="str">
        <f t="shared" si="10"/>
        <v/>
      </c>
    </row>
    <row r="658" spans="1:1" x14ac:dyDescent="0.2">
      <c r="A658" s="91" t="str">
        <f t="shared" si="10"/>
        <v/>
      </c>
    </row>
    <row r="659" spans="1:1" x14ac:dyDescent="0.2">
      <c r="A659" s="91" t="str">
        <f t="shared" si="10"/>
        <v/>
      </c>
    </row>
    <row r="660" spans="1:1" x14ac:dyDescent="0.2">
      <c r="A660" s="91" t="str">
        <f t="shared" si="10"/>
        <v/>
      </c>
    </row>
    <row r="661" spans="1:1" x14ac:dyDescent="0.2">
      <c r="A661" s="91" t="str">
        <f t="shared" si="10"/>
        <v/>
      </c>
    </row>
    <row r="662" spans="1:1" x14ac:dyDescent="0.2">
      <c r="A662" s="91" t="str">
        <f t="shared" si="10"/>
        <v/>
      </c>
    </row>
    <row r="663" spans="1:1" x14ac:dyDescent="0.2">
      <c r="A663" s="91" t="str">
        <f t="shared" si="10"/>
        <v/>
      </c>
    </row>
    <row r="664" spans="1:1" x14ac:dyDescent="0.2">
      <c r="A664" s="91" t="str">
        <f t="shared" si="10"/>
        <v/>
      </c>
    </row>
    <row r="665" spans="1:1" x14ac:dyDescent="0.2">
      <c r="A665" s="91" t="str">
        <f t="shared" si="10"/>
        <v/>
      </c>
    </row>
    <row r="666" spans="1:1" x14ac:dyDescent="0.2">
      <c r="A666" s="91" t="str">
        <f t="shared" si="10"/>
        <v/>
      </c>
    </row>
    <row r="667" spans="1:1" x14ac:dyDescent="0.2">
      <c r="A667" s="91" t="str">
        <f t="shared" si="10"/>
        <v/>
      </c>
    </row>
    <row r="668" spans="1:1" x14ac:dyDescent="0.2">
      <c r="A668" s="91" t="str">
        <f t="shared" si="10"/>
        <v/>
      </c>
    </row>
    <row r="669" spans="1:1" x14ac:dyDescent="0.2">
      <c r="A669" s="91" t="str">
        <f t="shared" si="10"/>
        <v/>
      </c>
    </row>
    <row r="670" spans="1:1" x14ac:dyDescent="0.2">
      <c r="A670" s="91" t="str">
        <f t="shared" si="10"/>
        <v/>
      </c>
    </row>
    <row r="671" spans="1:1" x14ac:dyDescent="0.2">
      <c r="A671" s="91" t="str">
        <f t="shared" si="10"/>
        <v/>
      </c>
    </row>
    <row r="672" spans="1:1" x14ac:dyDescent="0.2">
      <c r="A672" s="91" t="str">
        <f t="shared" si="10"/>
        <v/>
      </c>
    </row>
    <row r="673" spans="1:1" x14ac:dyDescent="0.2">
      <c r="A673" s="91" t="str">
        <f t="shared" si="10"/>
        <v/>
      </c>
    </row>
    <row r="674" spans="1:1" x14ac:dyDescent="0.2">
      <c r="A674" s="91" t="str">
        <f t="shared" si="10"/>
        <v/>
      </c>
    </row>
    <row r="675" spans="1:1" x14ac:dyDescent="0.2">
      <c r="A675" s="91" t="str">
        <f t="shared" si="10"/>
        <v/>
      </c>
    </row>
    <row r="676" spans="1:1" x14ac:dyDescent="0.2">
      <c r="A676" s="91" t="str">
        <f t="shared" si="10"/>
        <v/>
      </c>
    </row>
    <row r="677" spans="1:1" x14ac:dyDescent="0.2">
      <c r="A677" s="91" t="str">
        <f t="shared" si="10"/>
        <v/>
      </c>
    </row>
    <row r="678" spans="1:1" x14ac:dyDescent="0.2">
      <c r="A678" s="91" t="str">
        <f t="shared" si="10"/>
        <v/>
      </c>
    </row>
    <row r="679" spans="1:1" x14ac:dyDescent="0.2">
      <c r="A679" s="91" t="str">
        <f t="shared" si="10"/>
        <v/>
      </c>
    </row>
    <row r="680" spans="1:1" x14ac:dyDescent="0.2">
      <c r="A680" s="91" t="str">
        <f t="shared" si="10"/>
        <v/>
      </c>
    </row>
    <row r="681" spans="1:1" x14ac:dyDescent="0.2">
      <c r="A681" s="91" t="str">
        <f t="shared" si="10"/>
        <v/>
      </c>
    </row>
    <row r="682" spans="1:1" x14ac:dyDescent="0.2">
      <c r="A682" s="91" t="str">
        <f t="shared" si="10"/>
        <v/>
      </c>
    </row>
    <row r="683" spans="1:1" x14ac:dyDescent="0.2">
      <c r="A683" s="91" t="str">
        <f t="shared" si="10"/>
        <v/>
      </c>
    </row>
    <row r="684" spans="1:1" x14ac:dyDescent="0.2">
      <c r="A684" s="91" t="str">
        <f t="shared" si="10"/>
        <v/>
      </c>
    </row>
    <row r="685" spans="1:1" x14ac:dyDescent="0.2">
      <c r="A685" s="91" t="str">
        <f t="shared" si="10"/>
        <v/>
      </c>
    </row>
    <row r="686" spans="1:1" x14ac:dyDescent="0.2">
      <c r="A686" s="91" t="str">
        <f t="shared" si="10"/>
        <v/>
      </c>
    </row>
    <row r="687" spans="1:1" x14ac:dyDescent="0.2">
      <c r="A687" s="91" t="str">
        <f t="shared" si="10"/>
        <v/>
      </c>
    </row>
    <row r="688" spans="1:1" x14ac:dyDescent="0.2">
      <c r="A688" s="91" t="str">
        <f t="shared" si="10"/>
        <v/>
      </c>
    </row>
    <row r="689" spans="1:1" x14ac:dyDescent="0.2">
      <c r="A689" s="91" t="str">
        <f t="shared" si="10"/>
        <v/>
      </c>
    </row>
    <row r="690" spans="1:1" x14ac:dyDescent="0.2">
      <c r="A690" s="91" t="str">
        <f t="shared" si="10"/>
        <v/>
      </c>
    </row>
    <row r="691" spans="1:1" x14ac:dyDescent="0.2">
      <c r="A691" s="91" t="str">
        <f t="shared" si="10"/>
        <v/>
      </c>
    </row>
    <row r="692" spans="1:1" x14ac:dyDescent="0.2">
      <c r="A692" s="91" t="str">
        <f t="shared" si="10"/>
        <v/>
      </c>
    </row>
    <row r="693" spans="1:1" x14ac:dyDescent="0.2">
      <c r="A693" s="91" t="str">
        <f t="shared" si="10"/>
        <v/>
      </c>
    </row>
    <row r="694" spans="1:1" x14ac:dyDescent="0.2">
      <c r="A694" s="91" t="str">
        <f t="shared" si="10"/>
        <v/>
      </c>
    </row>
    <row r="695" spans="1:1" x14ac:dyDescent="0.2">
      <c r="A695" s="91" t="str">
        <f t="shared" si="10"/>
        <v/>
      </c>
    </row>
    <row r="696" spans="1:1" x14ac:dyDescent="0.2">
      <c r="A696" s="91" t="str">
        <f t="shared" si="10"/>
        <v/>
      </c>
    </row>
    <row r="697" spans="1:1" x14ac:dyDescent="0.2">
      <c r="A697" s="91" t="str">
        <f t="shared" si="10"/>
        <v/>
      </c>
    </row>
    <row r="698" spans="1:1" x14ac:dyDescent="0.2">
      <c r="A698" s="91" t="str">
        <f t="shared" si="10"/>
        <v/>
      </c>
    </row>
    <row r="699" spans="1:1" x14ac:dyDescent="0.2">
      <c r="A699" s="91" t="str">
        <f t="shared" si="10"/>
        <v/>
      </c>
    </row>
    <row r="700" spans="1:1" x14ac:dyDescent="0.2">
      <c r="A700" s="91" t="str">
        <f t="shared" si="10"/>
        <v/>
      </c>
    </row>
    <row r="701" spans="1:1" x14ac:dyDescent="0.2">
      <c r="A701" s="91" t="str">
        <f t="shared" si="10"/>
        <v/>
      </c>
    </row>
    <row r="702" spans="1:1" x14ac:dyDescent="0.2">
      <c r="A702" s="91" t="str">
        <f t="shared" si="10"/>
        <v/>
      </c>
    </row>
    <row r="703" spans="1:1" x14ac:dyDescent="0.2">
      <c r="A703" s="91" t="str">
        <f t="shared" si="10"/>
        <v/>
      </c>
    </row>
    <row r="704" spans="1:1" x14ac:dyDescent="0.2">
      <c r="A704" s="91" t="str">
        <f t="shared" si="10"/>
        <v/>
      </c>
    </row>
    <row r="705" spans="1:1" x14ac:dyDescent="0.2">
      <c r="A705" s="91" t="str">
        <f t="shared" si="10"/>
        <v/>
      </c>
    </row>
    <row r="706" spans="1:1" x14ac:dyDescent="0.2">
      <c r="A706" s="91" t="str">
        <f t="shared" si="10"/>
        <v/>
      </c>
    </row>
    <row r="707" spans="1:1" x14ac:dyDescent="0.2">
      <c r="A707" s="91" t="str">
        <f t="shared" ref="A707:A770" si="11">CONCATENATE(B707,C707,F707)</f>
        <v/>
      </c>
    </row>
    <row r="708" spans="1:1" x14ac:dyDescent="0.2">
      <c r="A708" s="91" t="str">
        <f t="shared" si="11"/>
        <v/>
      </c>
    </row>
    <row r="709" spans="1:1" x14ac:dyDescent="0.2">
      <c r="A709" s="91" t="str">
        <f t="shared" si="11"/>
        <v/>
      </c>
    </row>
    <row r="710" spans="1:1" x14ac:dyDescent="0.2">
      <c r="A710" s="91" t="str">
        <f t="shared" si="11"/>
        <v/>
      </c>
    </row>
    <row r="711" spans="1:1" x14ac:dyDescent="0.2">
      <c r="A711" s="91" t="str">
        <f t="shared" si="11"/>
        <v/>
      </c>
    </row>
    <row r="712" spans="1:1" x14ac:dyDescent="0.2">
      <c r="A712" s="91" t="str">
        <f t="shared" si="11"/>
        <v/>
      </c>
    </row>
    <row r="713" spans="1:1" x14ac:dyDescent="0.2">
      <c r="A713" s="91" t="str">
        <f t="shared" si="11"/>
        <v/>
      </c>
    </row>
    <row r="714" spans="1:1" x14ac:dyDescent="0.2">
      <c r="A714" s="91" t="str">
        <f t="shared" si="11"/>
        <v/>
      </c>
    </row>
    <row r="715" spans="1:1" x14ac:dyDescent="0.2">
      <c r="A715" s="91" t="str">
        <f t="shared" si="11"/>
        <v/>
      </c>
    </row>
    <row r="716" spans="1:1" x14ac:dyDescent="0.2">
      <c r="A716" s="91" t="str">
        <f t="shared" si="11"/>
        <v/>
      </c>
    </row>
    <row r="717" spans="1:1" x14ac:dyDescent="0.2">
      <c r="A717" s="91" t="str">
        <f t="shared" si="11"/>
        <v/>
      </c>
    </row>
    <row r="718" spans="1:1" x14ac:dyDescent="0.2">
      <c r="A718" s="91" t="str">
        <f t="shared" si="11"/>
        <v/>
      </c>
    </row>
    <row r="719" spans="1:1" x14ac:dyDescent="0.2">
      <c r="A719" s="91" t="str">
        <f t="shared" si="11"/>
        <v/>
      </c>
    </row>
    <row r="720" spans="1:1" x14ac:dyDescent="0.2">
      <c r="A720" s="91" t="str">
        <f t="shared" si="11"/>
        <v/>
      </c>
    </row>
    <row r="721" spans="1:1" x14ac:dyDescent="0.2">
      <c r="A721" s="91" t="str">
        <f t="shared" si="11"/>
        <v/>
      </c>
    </row>
    <row r="722" spans="1:1" x14ac:dyDescent="0.2">
      <c r="A722" s="91" t="str">
        <f t="shared" si="11"/>
        <v/>
      </c>
    </row>
    <row r="723" spans="1:1" x14ac:dyDescent="0.2">
      <c r="A723" s="91" t="str">
        <f t="shared" si="11"/>
        <v/>
      </c>
    </row>
    <row r="724" spans="1:1" x14ac:dyDescent="0.2">
      <c r="A724" s="91" t="str">
        <f t="shared" si="11"/>
        <v/>
      </c>
    </row>
    <row r="725" spans="1:1" x14ac:dyDescent="0.2">
      <c r="A725" s="91" t="str">
        <f t="shared" si="11"/>
        <v/>
      </c>
    </row>
    <row r="726" spans="1:1" x14ac:dyDescent="0.2">
      <c r="A726" s="91" t="str">
        <f t="shared" si="11"/>
        <v/>
      </c>
    </row>
    <row r="727" spans="1:1" x14ac:dyDescent="0.2">
      <c r="A727" s="91" t="str">
        <f t="shared" si="11"/>
        <v/>
      </c>
    </row>
    <row r="728" spans="1:1" x14ac:dyDescent="0.2">
      <c r="A728" s="91" t="str">
        <f t="shared" si="11"/>
        <v/>
      </c>
    </row>
    <row r="729" spans="1:1" x14ac:dyDescent="0.2">
      <c r="A729" s="91" t="str">
        <f t="shared" si="11"/>
        <v/>
      </c>
    </row>
    <row r="730" spans="1:1" x14ac:dyDescent="0.2">
      <c r="A730" s="91" t="str">
        <f t="shared" si="11"/>
        <v/>
      </c>
    </row>
    <row r="731" spans="1:1" x14ac:dyDescent="0.2">
      <c r="A731" s="91" t="str">
        <f t="shared" si="11"/>
        <v/>
      </c>
    </row>
    <row r="732" spans="1:1" x14ac:dyDescent="0.2">
      <c r="A732" s="91" t="str">
        <f t="shared" si="11"/>
        <v/>
      </c>
    </row>
    <row r="733" spans="1:1" x14ac:dyDescent="0.2">
      <c r="A733" s="91" t="str">
        <f t="shared" si="11"/>
        <v/>
      </c>
    </row>
    <row r="734" spans="1:1" x14ac:dyDescent="0.2">
      <c r="A734" s="91" t="str">
        <f t="shared" si="11"/>
        <v/>
      </c>
    </row>
    <row r="735" spans="1:1" x14ac:dyDescent="0.2">
      <c r="A735" s="91" t="str">
        <f t="shared" si="11"/>
        <v/>
      </c>
    </row>
    <row r="736" spans="1:1" x14ac:dyDescent="0.2">
      <c r="A736" s="91" t="str">
        <f t="shared" si="11"/>
        <v/>
      </c>
    </row>
    <row r="737" spans="1:1" x14ac:dyDescent="0.2">
      <c r="A737" s="91" t="str">
        <f t="shared" si="11"/>
        <v/>
      </c>
    </row>
    <row r="738" spans="1:1" x14ac:dyDescent="0.2">
      <c r="A738" s="91" t="str">
        <f t="shared" si="11"/>
        <v/>
      </c>
    </row>
    <row r="739" spans="1:1" x14ac:dyDescent="0.2">
      <c r="A739" s="91" t="str">
        <f t="shared" si="11"/>
        <v/>
      </c>
    </row>
    <row r="740" spans="1:1" x14ac:dyDescent="0.2">
      <c r="A740" s="91" t="str">
        <f t="shared" si="11"/>
        <v/>
      </c>
    </row>
    <row r="741" spans="1:1" x14ac:dyDescent="0.2">
      <c r="A741" s="91" t="str">
        <f t="shared" si="11"/>
        <v/>
      </c>
    </row>
    <row r="742" spans="1:1" x14ac:dyDescent="0.2">
      <c r="A742" s="91" t="str">
        <f t="shared" si="11"/>
        <v/>
      </c>
    </row>
    <row r="743" spans="1:1" x14ac:dyDescent="0.2">
      <c r="A743" s="91" t="str">
        <f t="shared" si="11"/>
        <v/>
      </c>
    </row>
    <row r="744" spans="1:1" x14ac:dyDescent="0.2">
      <c r="A744" s="91" t="str">
        <f t="shared" si="11"/>
        <v/>
      </c>
    </row>
    <row r="745" spans="1:1" x14ac:dyDescent="0.2">
      <c r="A745" s="91" t="str">
        <f t="shared" si="11"/>
        <v/>
      </c>
    </row>
    <row r="746" spans="1:1" x14ac:dyDescent="0.2">
      <c r="A746" s="91" t="str">
        <f t="shared" si="11"/>
        <v/>
      </c>
    </row>
    <row r="747" spans="1:1" x14ac:dyDescent="0.2">
      <c r="A747" s="91" t="str">
        <f t="shared" si="11"/>
        <v/>
      </c>
    </row>
    <row r="748" spans="1:1" x14ac:dyDescent="0.2">
      <c r="A748" s="91" t="str">
        <f t="shared" si="11"/>
        <v/>
      </c>
    </row>
    <row r="749" spans="1:1" x14ac:dyDescent="0.2">
      <c r="A749" s="91" t="str">
        <f t="shared" si="11"/>
        <v/>
      </c>
    </row>
    <row r="750" spans="1:1" x14ac:dyDescent="0.2">
      <c r="A750" s="91" t="str">
        <f t="shared" si="11"/>
        <v/>
      </c>
    </row>
    <row r="751" spans="1:1" x14ac:dyDescent="0.2">
      <c r="A751" s="91" t="str">
        <f t="shared" si="11"/>
        <v/>
      </c>
    </row>
    <row r="752" spans="1:1" x14ac:dyDescent="0.2">
      <c r="A752" s="91" t="str">
        <f t="shared" si="11"/>
        <v/>
      </c>
    </row>
    <row r="753" spans="1:1" x14ac:dyDescent="0.2">
      <c r="A753" s="91" t="str">
        <f t="shared" si="11"/>
        <v/>
      </c>
    </row>
    <row r="754" spans="1:1" x14ac:dyDescent="0.2">
      <c r="A754" s="91" t="str">
        <f t="shared" si="11"/>
        <v/>
      </c>
    </row>
    <row r="755" spans="1:1" x14ac:dyDescent="0.2">
      <c r="A755" s="91" t="str">
        <f t="shared" si="11"/>
        <v/>
      </c>
    </row>
    <row r="756" spans="1:1" x14ac:dyDescent="0.2">
      <c r="A756" s="91" t="str">
        <f t="shared" si="11"/>
        <v/>
      </c>
    </row>
    <row r="757" spans="1:1" x14ac:dyDescent="0.2">
      <c r="A757" s="91" t="str">
        <f t="shared" si="11"/>
        <v/>
      </c>
    </row>
    <row r="758" spans="1:1" x14ac:dyDescent="0.2">
      <c r="A758" s="91" t="str">
        <f t="shared" si="11"/>
        <v/>
      </c>
    </row>
    <row r="759" spans="1:1" x14ac:dyDescent="0.2">
      <c r="A759" s="91" t="str">
        <f t="shared" si="11"/>
        <v/>
      </c>
    </row>
    <row r="760" spans="1:1" x14ac:dyDescent="0.2">
      <c r="A760" s="91" t="str">
        <f t="shared" si="11"/>
        <v/>
      </c>
    </row>
    <row r="761" spans="1:1" x14ac:dyDescent="0.2">
      <c r="A761" s="91" t="str">
        <f t="shared" si="11"/>
        <v/>
      </c>
    </row>
    <row r="762" spans="1:1" x14ac:dyDescent="0.2">
      <c r="A762" s="91" t="str">
        <f t="shared" si="11"/>
        <v/>
      </c>
    </row>
    <row r="763" spans="1:1" x14ac:dyDescent="0.2">
      <c r="A763" s="91" t="str">
        <f t="shared" si="11"/>
        <v/>
      </c>
    </row>
    <row r="764" spans="1:1" x14ac:dyDescent="0.2">
      <c r="A764" s="91" t="str">
        <f t="shared" si="11"/>
        <v/>
      </c>
    </row>
    <row r="765" spans="1:1" x14ac:dyDescent="0.2">
      <c r="A765" s="91" t="str">
        <f t="shared" si="11"/>
        <v/>
      </c>
    </row>
    <row r="766" spans="1:1" x14ac:dyDescent="0.2">
      <c r="A766" s="91" t="str">
        <f t="shared" si="11"/>
        <v/>
      </c>
    </row>
    <row r="767" spans="1:1" x14ac:dyDescent="0.2">
      <c r="A767" s="91" t="str">
        <f t="shared" si="11"/>
        <v/>
      </c>
    </row>
    <row r="768" spans="1:1" x14ac:dyDescent="0.2">
      <c r="A768" s="91" t="str">
        <f t="shared" si="11"/>
        <v/>
      </c>
    </row>
    <row r="769" spans="1:1" x14ac:dyDescent="0.2">
      <c r="A769" s="91" t="str">
        <f t="shared" si="11"/>
        <v/>
      </c>
    </row>
    <row r="770" spans="1:1" x14ac:dyDescent="0.2">
      <c r="A770" s="91" t="str">
        <f t="shared" si="11"/>
        <v/>
      </c>
    </row>
    <row r="771" spans="1:1" x14ac:dyDescent="0.2">
      <c r="A771" s="91" t="str">
        <f t="shared" ref="A771:A834" si="12">CONCATENATE(B771,C771,F771)</f>
        <v/>
      </c>
    </row>
    <row r="772" spans="1:1" x14ac:dyDescent="0.2">
      <c r="A772" s="91" t="str">
        <f t="shared" si="12"/>
        <v/>
      </c>
    </row>
    <row r="773" spans="1:1" x14ac:dyDescent="0.2">
      <c r="A773" s="91" t="str">
        <f t="shared" si="12"/>
        <v/>
      </c>
    </row>
    <row r="774" spans="1:1" x14ac:dyDescent="0.2">
      <c r="A774" s="91" t="str">
        <f t="shared" si="12"/>
        <v/>
      </c>
    </row>
    <row r="775" spans="1:1" x14ac:dyDescent="0.2">
      <c r="A775" s="91" t="str">
        <f t="shared" si="12"/>
        <v/>
      </c>
    </row>
    <row r="776" spans="1:1" x14ac:dyDescent="0.2">
      <c r="A776" s="91" t="str">
        <f t="shared" si="12"/>
        <v/>
      </c>
    </row>
    <row r="777" spans="1:1" x14ac:dyDescent="0.2">
      <c r="A777" s="91" t="str">
        <f t="shared" si="12"/>
        <v/>
      </c>
    </row>
    <row r="778" spans="1:1" x14ac:dyDescent="0.2">
      <c r="A778" s="91" t="str">
        <f t="shared" si="12"/>
        <v/>
      </c>
    </row>
    <row r="779" spans="1:1" x14ac:dyDescent="0.2">
      <c r="A779" s="91" t="str">
        <f t="shared" si="12"/>
        <v/>
      </c>
    </row>
    <row r="780" spans="1:1" x14ac:dyDescent="0.2">
      <c r="A780" s="91" t="str">
        <f t="shared" si="12"/>
        <v/>
      </c>
    </row>
    <row r="781" spans="1:1" x14ac:dyDescent="0.2">
      <c r="A781" s="91" t="str">
        <f t="shared" si="12"/>
        <v/>
      </c>
    </row>
    <row r="782" spans="1:1" x14ac:dyDescent="0.2">
      <c r="A782" s="91" t="str">
        <f t="shared" si="12"/>
        <v/>
      </c>
    </row>
    <row r="783" spans="1:1" x14ac:dyDescent="0.2">
      <c r="A783" s="91" t="str">
        <f t="shared" si="12"/>
        <v/>
      </c>
    </row>
    <row r="784" spans="1:1" x14ac:dyDescent="0.2">
      <c r="A784" s="91" t="str">
        <f t="shared" si="12"/>
        <v/>
      </c>
    </row>
    <row r="785" spans="1:1" x14ac:dyDescent="0.2">
      <c r="A785" s="91" t="str">
        <f t="shared" si="12"/>
        <v/>
      </c>
    </row>
    <row r="786" spans="1:1" x14ac:dyDescent="0.2">
      <c r="A786" s="91" t="str">
        <f t="shared" si="12"/>
        <v/>
      </c>
    </row>
    <row r="787" spans="1:1" x14ac:dyDescent="0.2">
      <c r="A787" s="91" t="str">
        <f t="shared" si="12"/>
        <v/>
      </c>
    </row>
    <row r="788" spans="1:1" x14ac:dyDescent="0.2">
      <c r="A788" s="91" t="str">
        <f t="shared" si="12"/>
        <v/>
      </c>
    </row>
    <row r="789" spans="1:1" x14ac:dyDescent="0.2">
      <c r="A789" s="91" t="str">
        <f t="shared" si="12"/>
        <v/>
      </c>
    </row>
    <row r="790" spans="1:1" x14ac:dyDescent="0.2">
      <c r="A790" s="91" t="str">
        <f t="shared" si="12"/>
        <v/>
      </c>
    </row>
    <row r="791" spans="1:1" x14ac:dyDescent="0.2">
      <c r="A791" s="91" t="str">
        <f t="shared" si="12"/>
        <v/>
      </c>
    </row>
    <row r="792" spans="1:1" x14ac:dyDescent="0.2">
      <c r="A792" s="91" t="str">
        <f t="shared" si="12"/>
        <v/>
      </c>
    </row>
    <row r="793" spans="1:1" x14ac:dyDescent="0.2">
      <c r="A793" s="91" t="str">
        <f t="shared" si="12"/>
        <v/>
      </c>
    </row>
    <row r="794" spans="1:1" x14ac:dyDescent="0.2">
      <c r="A794" s="91" t="str">
        <f t="shared" si="12"/>
        <v/>
      </c>
    </row>
    <row r="795" spans="1:1" x14ac:dyDescent="0.2">
      <c r="A795" s="91" t="str">
        <f t="shared" si="12"/>
        <v/>
      </c>
    </row>
    <row r="796" spans="1:1" x14ac:dyDescent="0.2">
      <c r="A796" s="91" t="str">
        <f t="shared" si="12"/>
        <v/>
      </c>
    </row>
    <row r="797" spans="1:1" x14ac:dyDescent="0.2">
      <c r="A797" s="91" t="str">
        <f t="shared" si="12"/>
        <v/>
      </c>
    </row>
    <row r="798" spans="1:1" x14ac:dyDescent="0.2">
      <c r="A798" s="91" t="str">
        <f t="shared" si="12"/>
        <v/>
      </c>
    </row>
    <row r="799" spans="1:1" x14ac:dyDescent="0.2">
      <c r="A799" s="91" t="str">
        <f t="shared" si="12"/>
        <v/>
      </c>
    </row>
    <row r="800" spans="1:1" x14ac:dyDescent="0.2">
      <c r="A800" s="91" t="str">
        <f t="shared" si="12"/>
        <v/>
      </c>
    </row>
    <row r="801" spans="1:1" x14ac:dyDescent="0.2">
      <c r="A801" s="91" t="str">
        <f t="shared" si="12"/>
        <v/>
      </c>
    </row>
    <row r="802" spans="1:1" x14ac:dyDescent="0.2">
      <c r="A802" s="91" t="str">
        <f t="shared" si="12"/>
        <v/>
      </c>
    </row>
    <row r="803" spans="1:1" x14ac:dyDescent="0.2">
      <c r="A803" s="91" t="str">
        <f t="shared" si="12"/>
        <v/>
      </c>
    </row>
    <row r="804" spans="1:1" x14ac:dyDescent="0.2">
      <c r="A804" s="91" t="str">
        <f t="shared" si="12"/>
        <v/>
      </c>
    </row>
    <row r="805" spans="1:1" x14ac:dyDescent="0.2">
      <c r="A805" s="91" t="str">
        <f t="shared" si="12"/>
        <v/>
      </c>
    </row>
    <row r="806" spans="1:1" x14ac:dyDescent="0.2">
      <c r="A806" s="91" t="str">
        <f t="shared" si="12"/>
        <v/>
      </c>
    </row>
    <row r="807" spans="1:1" x14ac:dyDescent="0.2">
      <c r="A807" s="91" t="str">
        <f t="shared" si="12"/>
        <v/>
      </c>
    </row>
    <row r="808" spans="1:1" x14ac:dyDescent="0.2">
      <c r="A808" s="91" t="str">
        <f t="shared" si="12"/>
        <v/>
      </c>
    </row>
    <row r="809" spans="1:1" x14ac:dyDescent="0.2">
      <c r="A809" s="91" t="str">
        <f t="shared" si="12"/>
        <v/>
      </c>
    </row>
    <row r="810" spans="1:1" x14ac:dyDescent="0.2">
      <c r="A810" s="91" t="str">
        <f t="shared" si="12"/>
        <v/>
      </c>
    </row>
    <row r="811" spans="1:1" x14ac:dyDescent="0.2">
      <c r="A811" s="91" t="str">
        <f t="shared" si="12"/>
        <v/>
      </c>
    </row>
    <row r="812" spans="1:1" x14ac:dyDescent="0.2">
      <c r="A812" s="91" t="str">
        <f t="shared" si="12"/>
        <v/>
      </c>
    </row>
    <row r="813" spans="1:1" x14ac:dyDescent="0.2">
      <c r="A813" s="91" t="str">
        <f t="shared" si="12"/>
        <v/>
      </c>
    </row>
    <row r="814" spans="1:1" x14ac:dyDescent="0.2">
      <c r="A814" s="91" t="str">
        <f t="shared" si="12"/>
        <v/>
      </c>
    </row>
    <row r="815" spans="1:1" x14ac:dyDescent="0.2">
      <c r="A815" s="91" t="str">
        <f t="shared" si="12"/>
        <v/>
      </c>
    </row>
    <row r="816" spans="1:1" x14ac:dyDescent="0.2">
      <c r="A816" s="91" t="str">
        <f t="shared" si="12"/>
        <v/>
      </c>
    </row>
    <row r="817" spans="1:1" x14ac:dyDescent="0.2">
      <c r="A817" s="91" t="str">
        <f t="shared" si="12"/>
        <v/>
      </c>
    </row>
    <row r="818" spans="1:1" x14ac:dyDescent="0.2">
      <c r="A818" s="91" t="str">
        <f t="shared" si="12"/>
        <v/>
      </c>
    </row>
    <row r="819" spans="1:1" x14ac:dyDescent="0.2">
      <c r="A819" s="91" t="str">
        <f t="shared" si="12"/>
        <v/>
      </c>
    </row>
    <row r="820" spans="1:1" x14ac:dyDescent="0.2">
      <c r="A820" s="91" t="str">
        <f t="shared" si="12"/>
        <v/>
      </c>
    </row>
    <row r="821" spans="1:1" x14ac:dyDescent="0.2">
      <c r="A821" s="91" t="str">
        <f t="shared" si="12"/>
        <v/>
      </c>
    </row>
    <row r="822" spans="1:1" x14ac:dyDescent="0.2">
      <c r="A822" s="91" t="str">
        <f t="shared" si="12"/>
        <v/>
      </c>
    </row>
    <row r="823" spans="1:1" x14ac:dyDescent="0.2">
      <c r="A823" s="91" t="str">
        <f t="shared" si="12"/>
        <v/>
      </c>
    </row>
    <row r="824" spans="1:1" x14ac:dyDescent="0.2">
      <c r="A824" s="91" t="str">
        <f t="shared" si="12"/>
        <v/>
      </c>
    </row>
    <row r="825" spans="1:1" x14ac:dyDescent="0.2">
      <c r="A825" s="91" t="str">
        <f t="shared" si="12"/>
        <v/>
      </c>
    </row>
    <row r="826" spans="1:1" x14ac:dyDescent="0.2">
      <c r="A826" s="91" t="str">
        <f t="shared" si="12"/>
        <v/>
      </c>
    </row>
    <row r="827" spans="1:1" x14ac:dyDescent="0.2">
      <c r="A827" s="91" t="str">
        <f t="shared" si="12"/>
        <v/>
      </c>
    </row>
    <row r="828" spans="1:1" x14ac:dyDescent="0.2">
      <c r="A828" s="91" t="str">
        <f t="shared" si="12"/>
        <v/>
      </c>
    </row>
    <row r="829" spans="1:1" x14ac:dyDescent="0.2">
      <c r="A829" s="91" t="str">
        <f t="shared" si="12"/>
        <v/>
      </c>
    </row>
    <row r="830" spans="1:1" x14ac:dyDescent="0.2">
      <c r="A830" s="91" t="str">
        <f t="shared" si="12"/>
        <v/>
      </c>
    </row>
    <row r="831" spans="1:1" x14ac:dyDescent="0.2">
      <c r="A831" s="91" t="str">
        <f t="shared" si="12"/>
        <v/>
      </c>
    </row>
    <row r="832" spans="1:1" x14ac:dyDescent="0.2">
      <c r="A832" s="91" t="str">
        <f t="shared" si="12"/>
        <v/>
      </c>
    </row>
    <row r="833" spans="1:1" x14ac:dyDescent="0.2">
      <c r="A833" s="91" t="str">
        <f t="shared" si="12"/>
        <v/>
      </c>
    </row>
    <row r="834" spans="1:1" x14ac:dyDescent="0.2">
      <c r="A834" s="91" t="str">
        <f t="shared" si="12"/>
        <v/>
      </c>
    </row>
    <row r="835" spans="1:1" x14ac:dyDescent="0.2">
      <c r="A835" s="91" t="str">
        <f t="shared" ref="A835:A898" si="13">CONCATENATE(B835,C835,F835)</f>
        <v/>
      </c>
    </row>
    <row r="836" spans="1:1" x14ac:dyDescent="0.2">
      <c r="A836" s="91" t="str">
        <f t="shared" si="13"/>
        <v/>
      </c>
    </row>
    <row r="837" spans="1:1" x14ac:dyDescent="0.2">
      <c r="A837" s="91" t="str">
        <f t="shared" si="13"/>
        <v/>
      </c>
    </row>
    <row r="838" spans="1:1" x14ac:dyDescent="0.2">
      <c r="A838" s="91" t="str">
        <f t="shared" si="13"/>
        <v/>
      </c>
    </row>
    <row r="839" spans="1:1" x14ac:dyDescent="0.2">
      <c r="A839" s="91" t="str">
        <f t="shared" si="13"/>
        <v/>
      </c>
    </row>
    <row r="840" spans="1:1" x14ac:dyDescent="0.2">
      <c r="A840" s="91" t="str">
        <f t="shared" si="13"/>
        <v/>
      </c>
    </row>
    <row r="841" spans="1:1" x14ac:dyDescent="0.2">
      <c r="A841" s="91" t="str">
        <f t="shared" si="13"/>
        <v/>
      </c>
    </row>
    <row r="842" spans="1:1" x14ac:dyDescent="0.2">
      <c r="A842" s="91" t="str">
        <f t="shared" si="13"/>
        <v/>
      </c>
    </row>
    <row r="843" spans="1:1" x14ac:dyDescent="0.2">
      <c r="A843" s="91" t="str">
        <f t="shared" si="13"/>
        <v/>
      </c>
    </row>
    <row r="844" spans="1:1" x14ac:dyDescent="0.2">
      <c r="A844" s="91" t="str">
        <f t="shared" si="13"/>
        <v/>
      </c>
    </row>
    <row r="845" spans="1:1" x14ac:dyDescent="0.2">
      <c r="A845" s="91" t="str">
        <f t="shared" si="13"/>
        <v/>
      </c>
    </row>
    <row r="846" spans="1:1" x14ac:dyDescent="0.2">
      <c r="A846" s="91" t="str">
        <f t="shared" si="13"/>
        <v/>
      </c>
    </row>
    <row r="847" spans="1:1" x14ac:dyDescent="0.2">
      <c r="A847" s="91" t="str">
        <f t="shared" si="13"/>
        <v/>
      </c>
    </row>
    <row r="848" spans="1:1" x14ac:dyDescent="0.2">
      <c r="A848" s="91" t="str">
        <f t="shared" si="13"/>
        <v/>
      </c>
    </row>
    <row r="849" spans="1:1" x14ac:dyDescent="0.2">
      <c r="A849" s="91" t="str">
        <f t="shared" si="13"/>
        <v/>
      </c>
    </row>
    <row r="850" spans="1:1" x14ac:dyDescent="0.2">
      <c r="A850" s="91" t="str">
        <f t="shared" si="13"/>
        <v/>
      </c>
    </row>
    <row r="851" spans="1:1" x14ac:dyDescent="0.2">
      <c r="A851" s="91" t="str">
        <f t="shared" si="13"/>
        <v/>
      </c>
    </row>
    <row r="852" spans="1:1" x14ac:dyDescent="0.2">
      <c r="A852" s="91" t="str">
        <f t="shared" si="13"/>
        <v/>
      </c>
    </row>
    <row r="853" spans="1:1" x14ac:dyDescent="0.2">
      <c r="A853" s="91" t="str">
        <f t="shared" si="13"/>
        <v/>
      </c>
    </row>
    <row r="854" spans="1:1" x14ac:dyDescent="0.2">
      <c r="A854" s="91" t="str">
        <f t="shared" si="13"/>
        <v/>
      </c>
    </row>
    <row r="855" spans="1:1" x14ac:dyDescent="0.2">
      <c r="A855" s="91" t="str">
        <f t="shared" si="13"/>
        <v/>
      </c>
    </row>
    <row r="856" spans="1:1" x14ac:dyDescent="0.2">
      <c r="A856" s="91" t="str">
        <f t="shared" si="13"/>
        <v/>
      </c>
    </row>
    <row r="857" spans="1:1" x14ac:dyDescent="0.2">
      <c r="A857" s="91" t="str">
        <f t="shared" si="13"/>
        <v/>
      </c>
    </row>
    <row r="858" spans="1:1" x14ac:dyDescent="0.2">
      <c r="A858" s="91" t="str">
        <f t="shared" si="13"/>
        <v/>
      </c>
    </row>
    <row r="859" spans="1:1" x14ac:dyDescent="0.2">
      <c r="A859" s="91" t="str">
        <f t="shared" si="13"/>
        <v/>
      </c>
    </row>
    <row r="860" spans="1:1" x14ac:dyDescent="0.2">
      <c r="A860" s="91" t="str">
        <f t="shared" si="13"/>
        <v/>
      </c>
    </row>
    <row r="861" spans="1:1" x14ac:dyDescent="0.2">
      <c r="A861" s="91" t="str">
        <f t="shared" si="13"/>
        <v/>
      </c>
    </row>
    <row r="862" spans="1:1" x14ac:dyDescent="0.2">
      <c r="A862" s="91" t="str">
        <f t="shared" si="13"/>
        <v/>
      </c>
    </row>
    <row r="863" spans="1:1" x14ac:dyDescent="0.2">
      <c r="A863" s="91" t="str">
        <f t="shared" si="13"/>
        <v/>
      </c>
    </row>
    <row r="864" spans="1:1" x14ac:dyDescent="0.2">
      <c r="A864" s="91" t="str">
        <f t="shared" si="13"/>
        <v/>
      </c>
    </row>
    <row r="865" spans="1:1" x14ac:dyDescent="0.2">
      <c r="A865" s="91" t="str">
        <f t="shared" si="13"/>
        <v/>
      </c>
    </row>
    <row r="866" spans="1:1" x14ac:dyDescent="0.2">
      <c r="A866" s="91" t="str">
        <f t="shared" si="13"/>
        <v/>
      </c>
    </row>
    <row r="867" spans="1:1" x14ac:dyDescent="0.2">
      <c r="A867" s="91" t="str">
        <f t="shared" si="13"/>
        <v/>
      </c>
    </row>
    <row r="868" spans="1:1" x14ac:dyDescent="0.2">
      <c r="A868" s="91" t="str">
        <f t="shared" si="13"/>
        <v/>
      </c>
    </row>
    <row r="869" spans="1:1" x14ac:dyDescent="0.2">
      <c r="A869" s="91" t="str">
        <f t="shared" si="13"/>
        <v/>
      </c>
    </row>
    <row r="870" spans="1:1" x14ac:dyDescent="0.2">
      <c r="A870" s="91" t="str">
        <f t="shared" si="13"/>
        <v/>
      </c>
    </row>
    <row r="871" spans="1:1" x14ac:dyDescent="0.2">
      <c r="A871" s="91" t="str">
        <f t="shared" si="13"/>
        <v/>
      </c>
    </row>
    <row r="872" spans="1:1" x14ac:dyDescent="0.2">
      <c r="A872" s="91" t="str">
        <f t="shared" si="13"/>
        <v/>
      </c>
    </row>
    <row r="873" spans="1:1" x14ac:dyDescent="0.2">
      <c r="A873" s="91" t="str">
        <f t="shared" si="13"/>
        <v/>
      </c>
    </row>
    <row r="874" spans="1:1" x14ac:dyDescent="0.2">
      <c r="A874" s="91" t="str">
        <f t="shared" si="13"/>
        <v/>
      </c>
    </row>
    <row r="875" spans="1:1" x14ac:dyDescent="0.2">
      <c r="A875" s="91" t="str">
        <f t="shared" si="13"/>
        <v/>
      </c>
    </row>
    <row r="876" spans="1:1" x14ac:dyDescent="0.2">
      <c r="A876" s="91" t="str">
        <f t="shared" si="13"/>
        <v/>
      </c>
    </row>
    <row r="877" spans="1:1" x14ac:dyDescent="0.2">
      <c r="A877" s="91" t="str">
        <f t="shared" si="13"/>
        <v/>
      </c>
    </row>
    <row r="878" spans="1:1" x14ac:dyDescent="0.2">
      <c r="A878" s="91" t="str">
        <f t="shared" si="13"/>
        <v/>
      </c>
    </row>
    <row r="879" spans="1:1" x14ac:dyDescent="0.2">
      <c r="A879" s="91" t="str">
        <f t="shared" si="13"/>
        <v/>
      </c>
    </row>
    <row r="880" spans="1:1" x14ac:dyDescent="0.2">
      <c r="A880" s="91" t="str">
        <f t="shared" si="13"/>
        <v/>
      </c>
    </row>
    <row r="881" spans="1:1" x14ac:dyDescent="0.2">
      <c r="A881" s="91" t="str">
        <f t="shared" si="13"/>
        <v/>
      </c>
    </row>
    <row r="882" spans="1:1" x14ac:dyDescent="0.2">
      <c r="A882" s="91" t="str">
        <f t="shared" si="13"/>
        <v/>
      </c>
    </row>
    <row r="883" spans="1:1" x14ac:dyDescent="0.2">
      <c r="A883" s="91" t="str">
        <f t="shared" si="13"/>
        <v/>
      </c>
    </row>
    <row r="884" spans="1:1" x14ac:dyDescent="0.2">
      <c r="A884" s="91" t="str">
        <f t="shared" si="13"/>
        <v/>
      </c>
    </row>
    <row r="885" spans="1:1" x14ac:dyDescent="0.2">
      <c r="A885" s="91" t="str">
        <f t="shared" si="13"/>
        <v/>
      </c>
    </row>
    <row r="886" spans="1:1" x14ac:dyDescent="0.2">
      <c r="A886" s="91" t="str">
        <f t="shared" si="13"/>
        <v/>
      </c>
    </row>
    <row r="887" spans="1:1" x14ac:dyDescent="0.2">
      <c r="A887" s="91" t="str">
        <f t="shared" si="13"/>
        <v/>
      </c>
    </row>
    <row r="888" spans="1:1" x14ac:dyDescent="0.2">
      <c r="A888" s="91" t="str">
        <f t="shared" si="13"/>
        <v/>
      </c>
    </row>
    <row r="889" spans="1:1" x14ac:dyDescent="0.2">
      <c r="A889" s="91" t="str">
        <f t="shared" si="13"/>
        <v/>
      </c>
    </row>
    <row r="890" spans="1:1" x14ac:dyDescent="0.2">
      <c r="A890" s="91" t="str">
        <f t="shared" si="13"/>
        <v/>
      </c>
    </row>
    <row r="891" spans="1:1" x14ac:dyDescent="0.2">
      <c r="A891" s="91" t="str">
        <f t="shared" si="13"/>
        <v/>
      </c>
    </row>
    <row r="892" spans="1:1" x14ac:dyDescent="0.2">
      <c r="A892" s="91" t="str">
        <f t="shared" si="13"/>
        <v/>
      </c>
    </row>
    <row r="893" spans="1:1" x14ac:dyDescent="0.2">
      <c r="A893" s="91" t="str">
        <f t="shared" si="13"/>
        <v/>
      </c>
    </row>
    <row r="894" spans="1:1" x14ac:dyDescent="0.2">
      <c r="A894" s="91" t="str">
        <f t="shared" si="13"/>
        <v/>
      </c>
    </row>
    <row r="895" spans="1:1" x14ac:dyDescent="0.2">
      <c r="A895" s="91" t="str">
        <f t="shared" si="13"/>
        <v/>
      </c>
    </row>
    <row r="896" spans="1:1" x14ac:dyDescent="0.2">
      <c r="A896" s="91" t="str">
        <f t="shared" si="13"/>
        <v/>
      </c>
    </row>
    <row r="897" spans="1:1" x14ac:dyDescent="0.2">
      <c r="A897" s="91" t="str">
        <f t="shared" si="13"/>
        <v/>
      </c>
    </row>
    <row r="898" spans="1:1" x14ac:dyDescent="0.2">
      <c r="A898" s="91" t="str">
        <f t="shared" si="13"/>
        <v/>
      </c>
    </row>
    <row r="899" spans="1:1" x14ac:dyDescent="0.2">
      <c r="A899" s="91" t="str">
        <f t="shared" ref="A899:A962" si="14">CONCATENATE(B899,C899,F899)</f>
        <v/>
      </c>
    </row>
    <row r="900" spans="1:1" x14ac:dyDescent="0.2">
      <c r="A900" s="91" t="str">
        <f t="shared" si="14"/>
        <v/>
      </c>
    </row>
    <row r="901" spans="1:1" x14ac:dyDescent="0.2">
      <c r="A901" s="91" t="str">
        <f t="shared" si="14"/>
        <v/>
      </c>
    </row>
    <row r="902" spans="1:1" x14ac:dyDescent="0.2">
      <c r="A902" s="91" t="str">
        <f t="shared" si="14"/>
        <v/>
      </c>
    </row>
    <row r="903" spans="1:1" x14ac:dyDescent="0.2">
      <c r="A903" s="91" t="str">
        <f t="shared" si="14"/>
        <v/>
      </c>
    </row>
    <row r="904" spans="1:1" x14ac:dyDescent="0.2">
      <c r="A904" s="91" t="str">
        <f t="shared" si="14"/>
        <v/>
      </c>
    </row>
    <row r="905" spans="1:1" x14ac:dyDescent="0.2">
      <c r="A905" s="91" t="str">
        <f t="shared" si="14"/>
        <v/>
      </c>
    </row>
    <row r="906" spans="1:1" x14ac:dyDescent="0.2">
      <c r="A906" s="91" t="str">
        <f t="shared" si="14"/>
        <v/>
      </c>
    </row>
    <row r="907" spans="1:1" x14ac:dyDescent="0.2">
      <c r="A907" s="91" t="str">
        <f t="shared" si="14"/>
        <v/>
      </c>
    </row>
    <row r="908" spans="1:1" x14ac:dyDescent="0.2">
      <c r="A908" s="91" t="str">
        <f t="shared" si="14"/>
        <v/>
      </c>
    </row>
    <row r="909" spans="1:1" x14ac:dyDescent="0.2">
      <c r="A909" s="91" t="str">
        <f t="shared" si="14"/>
        <v/>
      </c>
    </row>
    <row r="910" spans="1:1" x14ac:dyDescent="0.2">
      <c r="A910" s="91" t="str">
        <f t="shared" si="14"/>
        <v/>
      </c>
    </row>
    <row r="911" spans="1:1" x14ac:dyDescent="0.2">
      <c r="A911" s="91" t="str">
        <f t="shared" si="14"/>
        <v/>
      </c>
    </row>
    <row r="912" spans="1:1" x14ac:dyDescent="0.2">
      <c r="A912" s="91" t="str">
        <f t="shared" si="14"/>
        <v/>
      </c>
    </row>
    <row r="913" spans="1:1" x14ac:dyDescent="0.2">
      <c r="A913" s="91" t="str">
        <f t="shared" si="14"/>
        <v/>
      </c>
    </row>
    <row r="914" spans="1:1" x14ac:dyDescent="0.2">
      <c r="A914" s="91" t="str">
        <f t="shared" si="14"/>
        <v/>
      </c>
    </row>
    <row r="915" spans="1:1" x14ac:dyDescent="0.2">
      <c r="A915" s="91" t="str">
        <f t="shared" si="14"/>
        <v/>
      </c>
    </row>
    <row r="916" spans="1:1" x14ac:dyDescent="0.2">
      <c r="A916" s="91" t="str">
        <f t="shared" si="14"/>
        <v/>
      </c>
    </row>
    <row r="917" spans="1:1" x14ac:dyDescent="0.2">
      <c r="A917" s="91" t="str">
        <f t="shared" si="14"/>
        <v/>
      </c>
    </row>
    <row r="918" spans="1:1" x14ac:dyDescent="0.2">
      <c r="A918" s="91" t="str">
        <f t="shared" si="14"/>
        <v/>
      </c>
    </row>
    <row r="919" spans="1:1" x14ac:dyDescent="0.2">
      <c r="A919" s="91" t="str">
        <f t="shared" si="14"/>
        <v/>
      </c>
    </row>
    <row r="920" spans="1:1" x14ac:dyDescent="0.2">
      <c r="A920" s="91" t="str">
        <f t="shared" si="14"/>
        <v/>
      </c>
    </row>
    <row r="921" spans="1:1" x14ac:dyDescent="0.2">
      <c r="A921" s="91" t="str">
        <f t="shared" si="14"/>
        <v/>
      </c>
    </row>
    <row r="922" spans="1:1" x14ac:dyDescent="0.2">
      <c r="A922" s="91" t="str">
        <f t="shared" si="14"/>
        <v/>
      </c>
    </row>
    <row r="923" spans="1:1" x14ac:dyDescent="0.2">
      <c r="A923" s="91" t="str">
        <f t="shared" si="14"/>
        <v/>
      </c>
    </row>
    <row r="924" spans="1:1" x14ac:dyDescent="0.2">
      <c r="A924" s="91" t="str">
        <f t="shared" si="14"/>
        <v/>
      </c>
    </row>
    <row r="925" spans="1:1" x14ac:dyDescent="0.2">
      <c r="A925" s="91" t="str">
        <f t="shared" si="14"/>
        <v/>
      </c>
    </row>
    <row r="926" spans="1:1" x14ac:dyDescent="0.2">
      <c r="A926" s="91" t="str">
        <f t="shared" si="14"/>
        <v/>
      </c>
    </row>
    <row r="927" spans="1:1" x14ac:dyDescent="0.2">
      <c r="A927" s="91" t="str">
        <f t="shared" si="14"/>
        <v/>
      </c>
    </row>
    <row r="928" spans="1:1" x14ac:dyDescent="0.2">
      <c r="A928" s="91" t="str">
        <f t="shared" si="14"/>
        <v/>
      </c>
    </row>
    <row r="929" spans="1:1" x14ac:dyDescent="0.2">
      <c r="A929" s="91" t="str">
        <f t="shared" si="14"/>
        <v/>
      </c>
    </row>
    <row r="930" spans="1:1" x14ac:dyDescent="0.2">
      <c r="A930" s="91" t="str">
        <f t="shared" si="14"/>
        <v/>
      </c>
    </row>
    <row r="931" spans="1:1" x14ac:dyDescent="0.2">
      <c r="A931" s="91" t="str">
        <f t="shared" si="14"/>
        <v/>
      </c>
    </row>
    <row r="932" spans="1:1" x14ac:dyDescent="0.2">
      <c r="A932" s="91" t="str">
        <f t="shared" si="14"/>
        <v/>
      </c>
    </row>
    <row r="933" spans="1:1" x14ac:dyDescent="0.2">
      <c r="A933" s="91" t="str">
        <f t="shared" si="14"/>
        <v/>
      </c>
    </row>
    <row r="934" spans="1:1" x14ac:dyDescent="0.2">
      <c r="A934" s="91" t="str">
        <f t="shared" si="14"/>
        <v/>
      </c>
    </row>
    <row r="935" spans="1:1" x14ac:dyDescent="0.2">
      <c r="A935" s="91" t="str">
        <f t="shared" si="14"/>
        <v/>
      </c>
    </row>
    <row r="936" spans="1:1" x14ac:dyDescent="0.2">
      <c r="A936" s="91" t="str">
        <f t="shared" si="14"/>
        <v/>
      </c>
    </row>
    <row r="937" spans="1:1" x14ac:dyDescent="0.2">
      <c r="A937" s="91" t="str">
        <f t="shared" si="14"/>
        <v/>
      </c>
    </row>
    <row r="938" spans="1:1" x14ac:dyDescent="0.2">
      <c r="A938" s="91" t="str">
        <f t="shared" si="14"/>
        <v/>
      </c>
    </row>
    <row r="939" spans="1:1" x14ac:dyDescent="0.2">
      <c r="A939" s="91" t="str">
        <f t="shared" si="14"/>
        <v/>
      </c>
    </row>
    <row r="940" spans="1:1" x14ac:dyDescent="0.2">
      <c r="A940" s="91" t="str">
        <f t="shared" si="14"/>
        <v/>
      </c>
    </row>
    <row r="941" spans="1:1" x14ac:dyDescent="0.2">
      <c r="A941" s="91" t="str">
        <f t="shared" si="14"/>
        <v/>
      </c>
    </row>
    <row r="942" spans="1:1" x14ac:dyDescent="0.2">
      <c r="A942" s="91" t="str">
        <f t="shared" si="14"/>
        <v/>
      </c>
    </row>
    <row r="943" spans="1:1" x14ac:dyDescent="0.2">
      <c r="A943" s="91" t="str">
        <f t="shared" si="14"/>
        <v/>
      </c>
    </row>
    <row r="944" spans="1:1" x14ac:dyDescent="0.2">
      <c r="A944" s="91" t="str">
        <f t="shared" si="14"/>
        <v/>
      </c>
    </row>
    <row r="945" spans="1:1" x14ac:dyDescent="0.2">
      <c r="A945" s="91" t="str">
        <f t="shared" si="14"/>
        <v/>
      </c>
    </row>
    <row r="946" spans="1:1" x14ac:dyDescent="0.2">
      <c r="A946" s="91" t="str">
        <f t="shared" si="14"/>
        <v/>
      </c>
    </row>
    <row r="947" spans="1:1" x14ac:dyDescent="0.2">
      <c r="A947" s="91" t="str">
        <f t="shared" si="14"/>
        <v/>
      </c>
    </row>
    <row r="948" spans="1:1" x14ac:dyDescent="0.2">
      <c r="A948" s="91" t="str">
        <f t="shared" si="14"/>
        <v/>
      </c>
    </row>
    <row r="949" spans="1:1" x14ac:dyDescent="0.2">
      <c r="A949" s="91" t="str">
        <f t="shared" si="14"/>
        <v/>
      </c>
    </row>
    <row r="950" spans="1:1" x14ac:dyDescent="0.2">
      <c r="A950" s="91" t="str">
        <f t="shared" si="14"/>
        <v/>
      </c>
    </row>
    <row r="951" spans="1:1" x14ac:dyDescent="0.2">
      <c r="A951" s="91" t="str">
        <f t="shared" si="14"/>
        <v/>
      </c>
    </row>
    <row r="952" spans="1:1" x14ac:dyDescent="0.2">
      <c r="A952" s="91" t="str">
        <f t="shared" si="14"/>
        <v/>
      </c>
    </row>
    <row r="953" spans="1:1" x14ac:dyDescent="0.2">
      <c r="A953" s="91" t="str">
        <f t="shared" si="14"/>
        <v/>
      </c>
    </row>
    <row r="954" spans="1:1" x14ac:dyDescent="0.2">
      <c r="A954" s="91" t="str">
        <f t="shared" si="14"/>
        <v/>
      </c>
    </row>
    <row r="955" spans="1:1" x14ac:dyDescent="0.2">
      <c r="A955" s="91" t="str">
        <f t="shared" si="14"/>
        <v/>
      </c>
    </row>
    <row r="956" spans="1:1" x14ac:dyDescent="0.2">
      <c r="A956" s="91" t="str">
        <f t="shared" si="14"/>
        <v/>
      </c>
    </row>
    <row r="957" spans="1:1" x14ac:dyDescent="0.2">
      <c r="A957" s="91" t="str">
        <f t="shared" si="14"/>
        <v/>
      </c>
    </row>
    <row r="958" spans="1:1" x14ac:dyDescent="0.2">
      <c r="A958" s="91" t="str">
        <f t="shared" si="14"/>
        <v/>
      </c>
    </row>
    <row r="959" spans="1:1" x14ac:dyDescent="0.2">
      <c r="A959" s="91" t="str">
        <f t="shared" si="14"/>
        <v/>
      </c>
    </row>
    <row r="960" spans="1:1" x14ac:dyDescent="0.2">
      <c r="A960" s="91" t="str">
        <f t="shared" si="14"/>
        <v/>
      </c>
    </row>
    <row r="961" spans="1:1" x14ac:dyDescent="0.2">
      <c r="A961" s="91" t="str">
        <f t="shared" si="14"/>
        <v/>
      </c>
    </row>
    <row r="962" spans="1:1" x14ac:dyDescent="0.2">
      <c r="A962" s="91" t="str">
        <f t="shared" si="14"/>
        <v/>
      </c>
    </row>
    <row r="963" spans="1:1" x14ac:dyDescent="0.2">
      <c r="A963" s="91" t="str">
        <f t="shared" ref="A963:A1026" si="15">CONCATENATE(B963,C963,F963)</f>
        <v/>
      </c>
    </row>
    <row r="964" spans="1:1" x14ac:dyDescent="0.2">
      <c r="A964" s="91" t="str">
        <f t="shared" si="15"/>
        <v/>
      </c>
    </row>
    <row r="965" spans="1:1" x14ac:dyDescent="0.2">
      <c r="A965" s="91" t="str">
        <f t="shared" si="15"/>
        <v/>
      </c>
    </row>
    <row r="966" spans="1:1" x14ac:dyDescent="0.2">
      <c r="A966" s="91" t="str">
        <f t="shared" si="15"/>
        <v/>
      </c>
    </row>
    <row r="967" spans="1:1" x14ac:dyDescent="0.2">
      <c r="A967" s="91" t="str">
        <f t="shared" si="15"/>
        <v/>
      </c>
    </row>
    <row r="968" spans="1:1" x14ac:dyDescent="0.2">
      <c r="A968" s="91" t="str">
        <f t="shared" si="15"/>
        <v/>
      </c>
    </row>
    <row r="969" spans="1:1" x14ac:dyDescent="0.2">
      <c r="A969" s="91" t="str">
        <f t="shared" si="15"/>
        <v/>
      </c>
    </row>
    <row r="970" spans="1:1" x14ac:dyDescent="0.2">
      <c r="A970" s="91" t="str">
        <f t="shared" si="15"/>
        <v/>
      </c>
    </row>
    <row r="971" spans="1:1" x14ac:dyDescent="0.2">
      <c r="A971" s="91" t="str">
        <f t="shared" si="15"/>
        <v/>
      </c>
    </row>
    <row r="972" spans="1:1" x14ac:dyDescent="0.2">
      <c r="A972" s="91" t="str">
        <f t="shared" si="15"/>
        <v/>
      </c>
    </row>
    <row r="973" spans="1:1" x14ac:dyDescent="0.2">
      <c r="A973" s="91" t="str">
        <f t="shared" si="15"/>
        <v/>
      </c>
    </row>
    <row r="974" spans="1:1" x14ac:dyDescent="0.2">
      <c r="A974" s="91" t="str">
        <f t="shared" si="15"/>
        <v/>
      </c>
    </row>
    <row r="975" spans="1:1" x14ac:dyDescent="0.2">
      <c r="A975" s="91" t="str">
        <f t="shared" si="15"/>
        <v/>
      </c>
    </row>
    <row r="976" spans="1:1" x14ac:dyDescent="0.2">
      <c r="A976" s="91" t="str">
        <f t="shared" si="15"/>
        <v/>
      </c>
    </row>
    <row r="977" spans="1:1" x14ac:dyDescent="0.2">
      <c r="A977" s="91" t="str">
        <f t="shared" si="15"/>
        <v/>
      </c>
    </row>
    <row r="978" spans="1:1" x14ac:dyDescent="0.2">
      <c r="A978" s="91" t="str">
        <f t="shared" si="15"/>
        <v/>
      </c>
    </row>
    <row r="979" spans="1:1" x14ac:dyDescent="0.2">
      <c r="A979" s="91" t="str">
        <f t="shared" si="15"/>
        <v/>
      </c>
    </row>
    <row r="980" spans="1:1" x14ac:dyDescent="0.2">
      <c r="A980" s="91" t="str">
        <f t="shared" si="15"/>
        <v/>
      </c>
    </row>
    <row r="981" spans="1:1" x14ac:dyDescent="0.2">
      <c r="A981" s="91" t="str">
        <f t="shared" si="15"/>
        <v/>
      </c>
    </row>
    <row r="982" spans="1:1" x14ac:dyDescent="0.2">
      <c r="A982" s="91" t="str">
        <f t="shared" si="15"/>
        <v/>
      </c>
    </row>
    <row r="983" spans="1:1" x14ac:dyDescent="0.2">
      <c r="A983" s="91" t="str">
        <f t="shared" si="15"/>
        <v/>
      </c>
    </row>
    <row r="984" spans="1:1" x14ac:dyDescent="0.2">
      <c r="A984" s="91" t="str">
        <f t="shared" si="15"/>
        <v/>
      </c>
    </row>
    <row r="985" spans="1:1" x14ac:dyDescent="0.2">
      <c r="A985" s="91" t="str">
        <f t="shared" si="15"/>
        <v/>
      </c>
    </row>
    <row r="986" spans="1:1" x14ac:dyDescent="0.2">
      <c r="A986" s="91" t="str">
        <f t="shared" si="15"/>
        <v/>
      </c>
    </row>
    <row r="987" spans="1:1" x14ac:dyDescent="0.2">
      <c r="A987" s="91" t="str">
        <f t="shared" si="15"/>
        <v/>
      </c>
    </row>
    <row r="988" spans="1:1" x14ac:dyDescent="0.2">
      <c r="A988" s="91" t="str">
        <f t="shared" si="15"/>
        <v/>
      </c>
    </row>
    <row r="989" spans="1:1" x14ac:dyDescent="0.2">
      <c r="A989" s="91" t="str">
        <f t="shared" si="15"/>
        <v/>
      </c>
    </row>
    <row r="990" spans="1:1" x14ac:dyDescent="0.2">
      <c r="A990" s="91" t="str">
        <f t="shared" si="15"/>
        <v/>
      </c>
    </row>
    <row r="991" spans="1:1" x14ac:dyDescent="0.2">
      <c r="A991" s="91" t="str">
        <f t="shared" si="15"/>
        <v/>
      </c>
    </row>
    <row r="992" spans="1:1" x14ac:dyDescent="0.2">
      <c r="A992" s="91" t="str">
        <f t="shared" si="15"/>
        <v/>
      </c>
    </row>
    <row r="993" spans="1:1" x14ac:dyDescent="0.2">
      <c r="A993" s="91" t="str">
        <f t="shared" si="15"/>
        <v/>
      </c>
    </row>
    <row r="994" spans="1:1" x14ac:dyDescent="0.2">
      <c r="A994" s="91" t="str">
        <f t="shared" si="15"/>
        <v/>
      </c>
    </row>
    <row r="995" spans="1:1" x14ac:dyDescent="0.2">
      <c r="A995" s="91" t="str">
        <f t="shared" si="15"/>
        <v/>
      </c>
    </row>
    <row r="996" spans="1:1" x14ac:dyDescent="0.2">
      <c r="A996" s="91" t="str">
        <f t="shared" si="15"/>
        <v/>
      </c>
    </row>
    <row r="997" spans="1:1" x14ac:dyDescent="0.2">
      <c r="A997" s="91" t="str">
        <f t="shared" si="15"/>
        <v/>
      </c>
    </row>
    <row r="998" spans="1:1" x14ac:dyDescent="0.2">
      <c r="A998" s="91" t="str">
        <f t="shared" si="15"/>
        <v/>
      </c>
    </row>
    <row r="999" spans="1:1" x14ac:dyDescent="0.2">
      <c r="A999" s="91" t="str">
        <f t="shared" si="15"/>
        <v/>
      </c>
    </row>
    <row r="1000" spans="1:1" x14ac:dyDescent="0.2">
      <c r="A1000" s="91" t="str">
        <f t="shared" si="15"/>
        <v/>
      </c>
    </row>
    <row r="1001" spans="1:1" x14ac:dyDescent="0.2">
      <c r="A1001" s="91" t="str">
        <f t="shared" si="15"/>
        <v/>
      </c>
    </row>
    <row r="1002" spans="1:1" x14ac:dyDescent="0.2">
      <c r="A1002" s="91" t="str">
        <f t="shared" si="15"/>
        <v/>
      </c>
    </row>
    <row r="1003" spans="1:1" x14ac:dyDescent="0.2">
      <c r="A1003" s="91" t="str">
        <f t="shared" si="15"/>
        <v/>
      </c>
    </row>
    <row r="1004" spans="1:1" x14ac:dyDescent="0.2">
      <c r="A1004" s="91" t="str">
        <f t="shared" si="15"/>
        <v/>
      </c>
    </row>
    <row r="1005" spans="1:1" x14ac:dyDescent="0.2">
      <c r="A1005" s="91" t="str">
        <f t="shared" si="15"/>
        <v/>
      </c>
    </row>
    <row r="1006" spans="1:1" x14ac:dyDescent="0.2">
      <c r="A1006" s="91" t="str">
        <f t="shared" si="15"/>
        <v/>
      </c>
    </row>
    <row r="1007" spans="1:1" x14ac:dyDescent="0.2">
      <c r="A1007" s="91" t="str">
        <f t="shared" si="15"/>
        <v/>
      </c>
    </row>
    <row r="1008" spans="1:1" x14ac:dyDescent="0.2">
      <c r="A1008" s="91" t="str">
        <f t="shared" si="15"/>
        <v/>
      </c>
    </row>
    <row r="1009" spans="1:1" x14ac:dyDescent="0.2">
      <c r="A1009" s="91" t="str">
        <f t="shared" si="15"/>
        <v/>
      </c>
    </row>
    <row r="1010" spans="1:1" x14ac:dyDescent="0.2">
      <c r="A1010" s="91" t="str">
        <f t="shared" si="15"/>
        <v/>
      </c>
    </row>
    <row r="1011" spans="1:1" x14ac:dyDescent="0.2">
      <c r="A1011" s="91" t="str">
        <f t="shared" si="15"/>
        <v/>
      </c>
    </row>
    <row r="1012" spans="1:1" x14ac:dyDescent="0.2">
      <c r="A1012" s="91" t="str">
        <f t="shared" si="15"/>
        <v/>
      </c>
    </row>
    <row r="1013" spans="1:1" x14ac:dyDescent="0.2">
      <c r="A1013" s="91" t="str">
        <f t="shared" si="15"/>
        <v/>
      </c>
    </row>
    <row r="1014" spans="1:1" x14ac:dyDescent="0.2">
      <c r="A1014" s="91" t="str">
        <f t="shared" si="15"/>
        <v/>
      </c>
    </row>
    <row r="1015" spans="1:1" x14ac:dyDescent="0.2">
      <c r="A1015" s="91" t="str">
        <f t="shared" si="15"/>
        <v/>
      </c>
    </row>
    <row r="1016" spans="1:1" x14ac:dyDescent="0.2">
      <c r="A1016" s="91" t="str">
        <f t="shared" si="15"/>
        <v/>
      </c>
    </row>
    <row r="1017" spans="1:1" x14ac:dyDescent="0.2">
      <c r="A1017" s="91" t="str">
        <f t="shared" si="15"/>
        <v/>
      </c>
    </row>
    <row r="1018" spans="1:1" x14ac:dyDescent="0.2">
      <c r="A1018" s="91" t="str">
        <f t="shared" si="15"/>
        <v/>
      </c>
    </row>
    <row r="1019" spans="1:1" x14ac:dyDescent="0.2">
      <c r="A1019" s="91" t="str">
        <f t="shared" si="15"/>
        <v/>
      </c>
    </row>
    <row r="1020" spans="1:1" x14ac:dyDescent="0.2">
      <c r="A1020" s="91" t="str">
        <f t="shared" si="15"/>
        <v/>
      </c>
    </row>
    <row r="1021" spans="1:1" x14ac:dyDescent="0.2">
      <c r="A1021" s="91" t="str">
        <f t="shared" si="15"/>
        <v/>
      </c>
    </row>
    <row r="1022" spans="1:1" x14ac:dyDescent="0.2">
      <c r="A1022" s="91" t="str">
        <f t="shared" si="15"/>
        <v/>
      </c>
    </row>
    <row r="1023" spans="1:1" x14ac:dyDescent="0.2">
      <c r="A1023" s="91" t="str">
        <f t="shared" si="15"/>
        <v/>
      </c>
    </row>
    <row r="1024" spans="1:1" x14ac:dyDescent="0.2">
      <c r="A1024" s="91" t="str">
        <f t="shared" si="15"/>
        <v/>
      </c>
    </row>
    <row r="1025" spans="1:1" x14ac:dyDescent="0.2">
      <c r="A1025" s="91" t="str">
        <f t="shared" si="15"/>
        <v/>
      </c>
    </row>
    <row r="1026" spans="1:1" x14ac:dyDescent="0.2">
      <c r="A1026" s="91" t="str">
        <f t="shared" si="15"/>
        <v/>
      </c>
    </row>
    <row r="1027" spans="1:1" x14ac:dyDescent="0.2">
      <c r="A1027" s="91" t="str">
        <f t="shared" ref="A1027:A1090" si="16">CONCATENATE(B1027,C1027,F1027)</f>
        <v/>
      </c>
    </row>
    <row r="1028" spans="1:1" x14ac:dyDescent="0.2">
      <c r="A1028" s="91" t="str">
        <f t="shared" si="16"/>
        <v/>
      </c>
    </row>
    <row r="1029" spans="1:1" x14ac:dyDescent="0.2">
      <c r="A1029" s="91" t="str">
        <f t="shared" si="16"/>
        <v/>
      </c>
    </row>
    <row r="1030" spans="1:1" x14ac:dyDescent="0.2">
      <c r="A1030" s="91" t="str">
        <f t="shared" si="16"/>
        <v/>
      </c>
    </row>
    <row r="1031" spans="1:1" x14ac:dyDescent="0.2">
      <c r="A1031" s="91" t="str">
        <f t="shared" si="16"/>
        <v/>
      </c>
    </row>
    <row r="1032" spans="1:1" x14ac:dyDescent="0.2">
      <c r="A1032" s="91" t="str">
        <f t="shared" si="16"/>
        <v/>
      </c>
    </row>
    <row r="1033" spans="1:1" x14ac:dyDescent="0.2">
      <c r="A1033" s="91" t="str">
        <f t="shared" si="16"/>
        <v/>
      </c>
    </row>
    <row r="1034" spans="1:1" x14ac:dyDescent="0.2">
      <c r="A1034" s="91" t="str">
        <f t="shared" si="16"/>
        <v/>
      </c>
    </row>
    <row r="1035" spans="1:1" x14ac:dyDescent="0.2">
      <c r="A1035" s="91" t="str">
        <f t="shared" si="16"/>
        <v/>
      </c>
    </row>
    <row r="1036" spans="1:1" x14ac:dyDescent="0.2">
      <c r="A1036" s="91" t="str">
        <f t="shared" si="16"/>
        <v/>
      </c>
    </row>
    <row r="1037" spans="1:1" x14ac:dyDescent="0.2">
      <c r="A1037" s="91" t="str">
        <f t="shared" si="16"/>
        <v/>
      </c>
    </row>
    <row r="1038" spans="1:1" x14ac:dyDescent="0.2">
      <c r="A1038" s="91" t="str">
        <f t="shared" si="16"/>
        <v/>
      </c>
    </row>
    <row r="1039" spans="1:1" x14ac:dyDescent="0.2">
      <c r="A1039" s="91" t="str">
        <f t="shared" si="16"/>
        <v/>
      </c>
    </row>
    <row r="1040" spans="1:1" x14ac:dyDescent="0.2">
      <c r="A1040" s="91" t="str">
        <f t="shared" si="16"/>
        <v/>
      </c>
    </row>
    <row r="1041" spans="1:1" x14ac:dyDescent="0.2">
      <c r="A1041" s="91" t="str">
        <f t="shared" si="16"/>
        <v/>
      </c>
    </row>
    <row r="1042" spans="1:1" x14ac:dyDescent="0.2">
      <c r="A1042" s="91" t="str">
        <f t="shared" si="16"/>
        <v/>
      </c>
    </row>
    <row r="1043" spans="1:1" x14ac:dyDescent="0.2">
      <c r="A1043" s="91" t="str">
        <f t="shared" si="16"/>
        <v/>
      </c>
    </row>
    <row r="1044" spans="1:1" x14ac:dyDescent="0.2">
      <c r="A1044" s="91" t="str">
        <f t="shared" si="16"/>
        <v/>
      </c>
    </row>
    <row r="1045" spans="1:1" x14ac:dyDescent="0.2">
      <c r="A1045" s="91" t="str">
        <f t="shared" si="16"/>
        <v/>
      </c>
    </row>
    <row r="1046" spans="1:1" x14ac:dyDescent="0.2">
      <c r="A1046" s="91" t="str">
        <f t="shared" si="16"/>
        <v/>
      </c>
    </row>
    <row r="1047" spans="1:1" x14ac:dyDescent="0.2">
      <c r="A1047" s="91" t="str">
        <f t="shared" si="16"/>
        <v/>
      </c>
    </row>
    <row r="1048" spans="1:1" x14ac:dyDescent="0.2">
      <c r="A1048" s="91" t="str">
        <f t="shared" si="16"/>
        <v/>
      </c>
    </row>
    <row r="1049" spans="1:1" x14ac:dyDescent="0.2">
      <c r="A1049" s="91" t="str">
        <f t="shared" si="16"/>
        <v/>
      </c>
    </row>
    <row r="1050" spans="1:1" x14ac:dyDescent="0.2">
      <c r="A1050" s="91" t="str">
        <f t="shared" si="16"/>
        <v/>
      </c>
    </row>
    <row r="1051" spans="1:1" x14ac:dyDescent="0.2">
      <c r="A1051" s="91" t="str">
        <f t="shared" si="16"/>
        <v/>
      </c>
    </row>
    <row r="1052" spans="1:1" x14ac:dyDescent="0.2">
      <c r="A1052" s="91" t="str">
        <f t="shared" si="16"/>
        <v/>
      </c>
    </row>
    <row r="1053" spans="1:1" x14ac:dyDescent="0.2">
      <c r="A1053" s="91" t="str">
        <f t="shared" si="16"/>
        <v/>
      </c>
    </row>
    <row r="1054" spans="1:1" x14ac:dyDescent="0.2">
      <c r="A1054" s="91" t="str">
        <f t="shared" si="16"/>
        <v/>
      </c>
    </row>
    <row r="1055" spans="1:1" x14ac:dyDescent="0.2">
      <c r="A1055" s="91" t="str">
        <f t="shared" si="16"/>
        <v/>
      </c>
    </row>
    <row r="1056" spans="1:1" x14ac:dyDescent="0.2">
      <c r="A1056" s="91" t="str">
        <f t="shared" si="16"/>
        <v/>
      </c>
    </row>
    <row r="1057" spans="1:1" x14ac:dyDescent="0.2">
      <c r="A1057" s="91" t="str">
        <f t="shared" si="16"/>
        <v/>
      </c>
    </row>
    <row r="1058" spans="1:1" x14ac:dyDescent="0.2">
      <c r="A1058" s="91" t="str">
        <f t="shared" si="16"/>
        <v/>
      </c>
    </row>
    <row r="1059" spans="1:1" x14ac:dyDescent="0.2">
      <c r="A1059" s="91" t="str">
        <f t="shared" si="16"/>
        <v/>
      </c>
    </row>
    <row r="1060" spans="1:1" x14ac:dyDescent="0.2">
      <c r="A1060" s="91" t="str">
        <f t="shared" si="16"/>
        <v/>
      </c>
    </row>
    <row r="1061" spans="1:1" x14ac:dyDescent="0.2">
      <c r="A1061" s="91" t="str">
        <f t="shared" si="16"/>
        <v/>
      </c>
    </row>
    <row r="1062" spans="1:1" x14ac:dyDescent="0.2">
      <c r="A1062" s="91" t="str">
        <f t="shared" si="16"/>
        <v/>
      </c>
    </row>
    <row r="1063" spans="1:1" x14ac:dyDescent="0.2">
      <c r="A1063" s="91" t="str">
        <f t="shared" si="16"/>
        <v/>
      </c>
    </row>
    <row r="1064" spans="1:1" x14ac:dyDescent="0.2">
      <c r="A1064" s="91" t="str">
        <f t="shared" si="16"/>
        <v/>
      </c>
    </row>
    <row r="1065" spans="1:1" x14ac:dyDescent="0.2">
      <c r="A1065" s="91" t="str">
        <f t="shared" si="16"/>
        <v/>
      </c>
    </row>
    <row r="1066" spans="1:1" x14ac:dyDescent="0.2">
      <c r="A1066" s="91" t="str">
        <f t="shared" si="16"/>
        <v/>
      </c>
    </row>
    <row r="1067" spans="1:1" x14ac:dyDescent="0.2">
      <c r="A1067" s="91" t="str">
        <f t="shared" si="16"/>
        <v/>
      </c>
    </row>
    <row r="1068" spans="1:1" x14ac:dyDescent="0.2">
      <c r="A1068" s="91" t="str">
        <f t="shared" si="16"/>
        <v/>
      </c>
    </row>
    <row r="1069" spans="1:1" x14ac:dyDescent="0.2">
      <c r="A1069" s="91" t="str">
        <f t="shared" si="16"/>
        <v/>
      </c>
    </row>
    <row r="1070" spans="1:1" x14ac:dyDescent="0.2">
      <c r="A1070" s="91" t="str">
        <f t="shared" si="16"/>
        <v/>
      </c>
    </row>
    <row r="1071" spans="1:1" x14ac:dyDescent="0.2">
      <c r="A1071" s="91" t="str">
        <f t="shared" si="16"/>
        <v/>
      </c>
    </row>
    <row r="1072" spans="1:1" x14ac:dyDescent="0.2">
      <c r="A1072" s="91" t="str">
        <f t="shared" si="16"/>
        <v/>
      </c>
    </row>
    <row r="1073" spans="1:1" x14ac:dyDescent="0.2">
      <c r="A1073" s="91" t="str">
        <f t="shared" si="16"/>
        <v/>
      </c>
    </row>
    <row r="1074" spans="1:1" x14ac:dyDescent="0.2">
      <c r="A1074" s="91" t="str">
        <f t="shared" si="16"/>
        <v/>
      </c>
    </row>
    <row r="1075" spans="1:1" x14ac:dyDescent="0.2">
      <c r="A1075" s="91" t="str">
        <f t="shared" si="16"/>
        <v/>
      </c>
    </row>
    <row r="1076" spans="1:1" x14ac:dyDescent="0.2">
      <c r="A1076" s="91" t="str">
        <f t="shared" si="16"/>
        <v/>
      </c>
    </row>
    <row r="1077" spans="1:1" x14ac:dyDescent="0.2">
      <c r="A1077" s="91" t="str">
        <f t="shared" si="16"/>
        <v/>
      </c>
    </row>
    <row r="1078" spans="1:1" x14ac:dyDescent="0.2">
      <c r="A1078" s="91" t="str">
        <f t="shared" si="16"/>
        <v/>
      </c>
    </row>
    <row r="1079" spans="1:1" x14ac:dyDescent="0.2">
      <c r="A1079" s="91" t="str">
        <f t="shared" si="16"/>
        <v/>
      </c>
    </row>
    <row r="1080" spans="1:1" x14ac:dyDescent="0.2">
      <c r="A1080" s="91" t="str">
        <f t="shared" si="16"/>
        <v/>
      </c>
    </row>
    <row r="1081" spans="1:1" x14ac:dyDescent="0.2">
      <c r="A1081" s="91" t="str">
        <f t="shared" si="16"/>
        <v/>
      </c>
    </row>
    <row r="1082" spans="1:1" x14ac:dyDescent="0.2">
      <c r="A1082" s="91" t="str">
        <f t="shared" si="16"/>
        <v/>
      </c>
    </row>
    <row r="1083" spans="1:1" x14ac:dyDescent="0.2">
      <c r="A1083" s="91" t="str">
        <f t="shared" si="16"/>
        <v/>
      </c>
    </row>
    <row r="1084" spans="1:1" x14ac:dyDescent="0.2">
      <c r="A1084" s="91" t="str">
        <f t="shared" si="16"/>
        <v/>
      </c>
    </row>
    <row r="1085" spans="1:1" x14ac:dyDescent="0.2">
      <c r="A1085" s="91" t="str">
        <f t="shared" si="16"/>
        <v/>
      </c>
    </row>
    <row r="1086" spans="1:1" x14ac:dyDescent="0.2">
      <c r="A1086" s="91" t="str">
        <f t="shared" si="16"/>
        <v/>
      </c>
    </row>
    <row r="1087" spans="1:1" x14ac:dyDescent="0.2">
      <c r="A1087" s="91" t="str">
        <f t="shared" si="16"/>
        <v/>
      </c>
    </row>
    <row r="1088" spans="1:1" x14ac:dyDescent="0.2">
      <c r="A1088" s="91" t="str">
        <f t="shared" si="16"/>
        <v/>
      </c>
    </row>
    <row r="1089" spans="1:1" x14ac:dyDescent="0.2">
      <c r="A1089" s="91" t="str">
        <f t="shared" si="16"/>
        <v/>
      </c>
    </row>
    <row r="1090" spans="1:1" x14ac:dyDescent="0.2">
      <c r="A1090" s="91" t="str">
        <f t="shared" si="16"/>
        <v/>
      </c>
    </row>
    <row r="1091" spans="1:1" x14ac:dyDescent="0.2">
      <c r="A1091" s="91" t="str">
        <f t="shared" ref="A1091:A1154" si="17">CONCATENATE(B1091,C1091,F1091)</f>
        <v/>
      </c>
    </row>
    <row r="1092" spans="1:1" x14ac:dyDescent="0.2">
      <c r="A1092" s="91" t="str">
        <f t="shared" si="17"/>
        <v/>
      </c>
    </row>
    <row r="1093" spans="1:1" x14ac:dyDescent="0.2">
      <c r="A1093" s="91" t="str">
        <f t="shared" si="17"/>
        <v/>
      </c>
    </row>
    <row r="1094" spans="1:1" x14ac:dyDescent="0.2">
      <c r="A1094" s="91" t="str">
        <f t="shared" si="17"/>
        <v/>
      </c>
    </row>
    <row r="1095" spans="1:1" x14ac:dyDescent="0.2">
      <c r="A1095" s="91" t="str">
        <f t="shared" si="17"/>
        <v/>
      </c>
    </row>
    <row r="1096" spans="1:1" x14ac:dyDescent="0.2">
      <c r="A1096" s="91" t="str">
        <f t="shared" si="17"/>
        <v/>
      </c>
    </row>
    <row r="1097" spans="1:1" x14ac:dyDescent="0.2">
      <c r="A1097" s="91" t="str">
        <f t="shared" si="17"/>
        <v/>
      </c>
    </row>
    <row r="1098" spans="1:1" x14ac:dyDescent="0.2">
      <c r="A1098" s="91" t="str">
        <f t="shared" si="17"/>
        <v/>
      </c>
    </row>
    <row r="1099" spans="1:1" x14ac:dyDescent="0.2">
      <c r="A1099" s="91" t="str">
        <f t="shared" si="17"/>
        <v/>
      </c>
    </row>
    <row r="1100" spans="1:1" x14ac:dyDescent="0.2">
      <c r="A1100" s="91" t="str">
        <f t="shared" si="17"/>
        <v/>
      </c>
    </row>
    <row r="1101" spans="1:1" x14ac:dyDescent="0.2">
      <c r="A1101" s="91" t="str">
        <f t="shared" si="17"/>
        <v/>
      </c>
    </row>
    <row r="1102" spans="1:1" x14ac:dyDescent="0.2">
      <c r="A1102" s="91" t="str">
        <f t="shared" si="17"/>
        <v/>
      </c>
    </row>
    <row r="1103" spans="1:1" x14ac:dyDescent="0.2">
      <c r="A1103" s="91" t="str">
        <f t="shared" si="17"/>
        <v/>
      </c>
    </row>
    <row r="1104" spans="1:1" x14ac:dyDescent="0.2">
      <c r="A1104" s="91" t="str">
        <f t="shared" si="17"/>
        <v/>
      </c>
    </row>
    <row r="1105" spans="1:1" x14ac:dyDescent="0.2">
      <c r="A1105" s="91" t="str">
        <f t="shared" si="17"/>
        <v/>
      </c>
    </row>
    <row r="1106" spans="1:1" x14ac:dyDescent="0.2">
      <c r="A1106" s="91" t="str">
        <f t="shared" si="17"/>
        <v/>
      </c>
    </row>
    <row r="1107" spans="1:1" x14ac:dyDescent="0.2">
      <c r="A1107" s="91" t="str">
        <f t="shared" si="17"/>
        <v/>
      </c>
    </row>
    <row r="1108" spans="1:1" x14ac:dyDescent="0.2">
      <c r="A1108" s="91" t="str">
        <f t="shared" si="17"/>
        <v/>
      </c>
    </row>
    <row r="1109" spans="1:1" x14ac:dyDescent="0.2">
      <c r="A1109" s="91" t="str">
        <f t="shared" si="17"/>
        <v/>
      </c>
    </row>
    <row r="1110" spans="1:1" x14ac:dyDescent="0.2">
      <c r="A1110" s="91" t="str">
        <f t="shared" si="17"/>
        <v/>
      </c>
    </row>
    <row r="1111" spans="1:1" x14ac:dyDescent="0.2">
      <c r="A1111" s="91" t="str">
        <f t="shared" si="17"/>
        <v/>
      </c>
    </row>
    <row r="1112" spans="1:1" x14ac:dyDescent="0.2">
      <c r="A1112" s="91" t="str">
        <f t="shared" si="17"/>
        <v/>
      </c>
    </row>
    <row r="1113" spans="1:1" x14ac:dyDescent="0.2">
      <c r="A1113" s="91" t="str">
        <f t="shared" si="17"/>
        <v/>
      </c>
    </row>
    <row r="1114" spans="1:1" x14ac:dyDescent="0.2">
      <c r="A1114" s="91" t="str">
        <f t="shared" si="17"/>
        <v/>
      </c>
    </row>
    <row r="1115" spans="1:1" x14ac:dyDescent="0.2">
      <c r="A1115" s="91" t="str">
        <f t="shared" si="17"/>
        <v/>
      </c>
    </row>
    <row r="1116" spans="1:1" x14ac:dyDescent="0.2">
      <c r="A1116" s="91" t="str">
        <f t="shared" si="17"/>
        <v/>
      </c>
    </row>
    <row r="1117" spans="1:1" x14ac:dyDescent="0.2">
      <c r="A1117" s="91" t="str">
        <f t="shared" si="17"/>
        <v/>
      </c>
    </row>
    <row r="1118" spans="1:1" x14ac:dyDescent="0.2">
      <c r="A1118" s="91" t="str">
        <f t="shared" si="17"/>
        <v/>
      </c>
    </row>
    <row r="1119" spans="1:1" x14ac:dyDescent="0.2">
      <c r="A1119" s="91" t="str">
        <f t="shared" si="17"/>
        <v/>
      </c>
    </row>
    <row r="1120" spans="1:1" x14ac:dyDescent="0.2">
      <c r="A1120" s="91" t="str">
        <f t="shared" si="17"/>
        <v/>
      </c>
    </row>
    <row r="1121" spans="1:1" x14ac:dyDescent="0.2">
      <c r="A1121" s="91" t="str">
        <f t="shared" si="17"/>
        <v/>
      </c>
    </row>
    <row r="1122" spans="1:1" x14ac:dyDescent="0.2">
      <c r="A1122" s="91" t="str">
        <f t="shared" si="17"/>
        <v/>
      </c>
    </row>
    <row r="1123" spans="1:1" x14ac:dyDescent="0.2">
      <c r="A1123" s="91" t="str">
        <f t="shared" si="17"/>
        <v/>
      </c>
    </row>
    <row r="1124" spans="1:1" x14ac:dyDescent="0.2">
      <c r="A1124" s="91" t="str">
        <f t="shared" si="17"/>
        <v/>
      </c>
    </row>
    <row r="1125" spans="1:1" x14ac:dyDescent="0.2">
      <c r="A1125" s="91" t="str">
        <f t="shared" si="17"/>
        <v/>
      </c>
    </row>
    <row r="1126" spans="1:1" x14ac:dyDescent="0.2">
      <c r="A1126" s="91" t="str">
        <f t="shared" si="17"/>
        <v/>
      </c>
    </row>
    <row r="1127" spans="1:1" x14ac:dyDescent="0.2">
      <c r="A1127" s="91" t="str">
        <f t="shared" si="17"/>
        <v/>
      </c>
    </row>
    <row r="1128" spans="1:1" x14ac:dyDescent="0.2">
      <c r="A1128" s="91" t="str">
        <f t="shared" si="17"/>
        <v/>
      </c>
    </row>
    <row r="1129" spans="1:1" x14ac:dyDescent="0.2">
      <c r="A1129" s="91" t="str">
        <f t="shared" si="17"/>
        <v/>
      </c>
    </row>
    <row r="1130" spans="1:1" x14ac:dyDescent="0.2">
      <c r="A1130" s="91" t="str">
        <f t="shared" si="17"/>
        <v/>
      </c>
    </row>
    <row r="1131" spans="1:1" x14ac:dyDescent="0.2">
      <c r="A1131" s="91" t="str">
        <f t="shared" si="17"/>
        <v/>
      </c>
    </row>
    <row r="1132" spans="1:1" x14ac:dyDescent="0.2">
      <c r="A1132" s="91" t="str">
        <f t="shared" si="17"/>
        <v/>
      </c>
    </row>
    <row r="1133" spans="1:1" x14ac:dyDescent="0.2">
      <c r="A1133" s="91" t="str">
        <f t="shared" si="17"/>
        <v/>
      </c>
    </row>
    <row r="1134" spans="1:1" x14ac:dyDescent="0.2">
      <c r="A1134" s="91" t="str">
        <f t="shared" si="17"/>
        <v/>
      </c>
    </row>
    <row r="1135" spans="1:1" x14ac:dyDescent="0.2">
      <c r="A1135" s="91" t="str">
        <f t="shared" si="17"/>
        <v/>
      </c>
    </row>
    <row r="1136" spans="1:1" x14ac:dyDescent="0.2">
      <c r="A1136" s="91" t="str">
        <f t="shared" si="17"/>
        <v/>
      </c>
    </row>
    <row r="1137" spans="1:1" x14ac:dyDescent="0.2">
      <c r="A1137" s="91" t="str">
        <f t="shared" si="17"/>
        <v/>
      </c>
    </row>
    <row r="1138" spans="1:1" x14ac:dyDescent="0.2">
      <c r="A1138" s="91" t="str">
        <f t="shared" si="17"/>
        <v/>
      </c>
    </row>
    <row r="1139" spans="1:1" x14ac:dyDescent="0.2">
      <c r="A1139" s="91" t="str">
        <f t="shared" si="17"/>
        <v/>
      </c>
    </row>
    <row r="1140" spans="1:1" x14ac:dyDescent="0.2">
      <c r="A1140" s="91" t="str">
        <f t="shared" si="17"/>
        <v/>
      </c>
    </row>
    <row r="1141" spans="1:1" x14ac:dyDescent="0.2">
      <c r="A1141" s="91" t="str">
        <f t="shared" si="17"/>
        <v/>
      </c>
    </row>
    <row r="1142" spans="1:1" x14ac:dyDescent="0.2">
      <c r="A1142" s="91" t="str">
        <f t="shared" si="17"/>
        <v/>
      </c>
    </row>
    <row r="1143" spans="1:1" x14ac:dyDescent="0.2">
      <c r="A1143" s="91" t="str">
        <f t="shared" si="17"/>
        <v/>
      </c>
    </row>
    <row r="1144" spans="1:1" x14ac:dyDescent="0.2">
      <c r="A1144" s="91" t="str">
        <f t="shared" si="17"/>
        <v/>
      </c>
    </row>
    <row r="1145" spans="1:1" x14ac:dyDescent="0.2">
      <c r="A1145" s="91" t="str">
        <f t="shared" si="17"/>
        <v/>
      </c>
    </row>
    <row r="1146" spans="1:1" x14ac:dyDescent="0.2">
      <c r="A1146" s="91" t="str">
        <f t="shared" si="17"/>
        <v/>
      </c>
    </row>
    <row r="1147" spans="1:1" x14ac:dyDescent="0.2">
      <c r="A1147" s="91" t="str">
        <f t="shared" si="17"/>
        <v/>
      </c>
    </row>
    <row r="1148" spans="1:1" x14ac:dyDescent="0.2">
      <c r="A1148" s="91" t="str">
        <f t="shared" si="17"/>
        <v/>
      </c>
    </row>
    <row r="1149" spans="1:1" x14ac:dyDescent="0.2">
      <c r="A1149" s="91" t="str">
        <f t="shared" si="17"/>
        <v/>
      </c>
    </row>
    <row r="1150" spans="1:1" x14ac:dyDescent="0.2">
      <c r="A1150" s="91" t="str">
        <f t="shared" si="17"/>
        <v/>
      </c>
    </row>
    <row r="1151" spans="1:1" x14ac:dyDescent="0.2">
      <c r="A1151" s="91" t="str">
        <f t="shared" si="17"/>
        <v/>
      </c>
    </row>
    <row r="1152" spans="1:1" x14ac:dyDescent="0.2">
      <c r="A1152" s="91" t="str">
        <f t="shared" si="17"/>
        <v/>
      </c>
    </row>
    <row r="1153" spans="1:1" x14ac:dyDescent="0.2">
      <c r="A1153" s="91" t="str">
        <f t="shared" si="17"/>
        <v/>
      </c>
    </row>
    <row r="1154" spans="1:1" x14ac:dyDescent="0.2">
      <c r="A1154" s="91" t="str">
        <f t="shared" si="17"/>
        <v/>
      </c>
    </row>
    <row r="1155" spans="1:1" x14ac:dyDescent="0.2">
      <c r="A1155" s="91" t="str">
        <f t="shared" ref="A1155:A1218" si="18">CONCATENATE(B1155,C1155,F1155)</f>
        <v/>
      </c>
    </row>
    <row r="1156" spans="1:1" x14ac:dyDescent="0.2">
      <c r="A1156" s="91" t="str">
        <f t="shared" si="18"/>
        <v/>
      </c>
    </row>
    <row r="1157" spans="1:1" x14ac:dyDescent="0.2">
      <c r="A1157" s="91" t="str">
        <f t="shared" si="18"/>
        <v/>
      </c>
    </row>
    <row r="1158" spans="1:1" x14ac:dyDescent="0.2">
      <c r="A1158" s="91" t="str">
        <f t="shared" si="18"/>
        <v/>
      </c>
    </row>
    <row r="1159" spans="1:1" x14ac:dyDescent="0.2">
      <c r="A1159" s="91" t="str">
        <f t="shared" si="18"/>
        <v/>
      </c>
    </row>
    <row r="1160" spans="1:1" x14ac:dyDescent="0.2">
      <c r="A1160" s="91" t="str">
        <f t="shared" si="18"/>
        <v/>
      </c>
    </row>
    <row r="1161" spans="1:1" x14ac:dyDescent="0.2">
      <c r="A1161" s="91" t="str">
        <f t="shared" si="18"/>
        <v/>
      </c>
    </row>
    <row r="1162" spans="1:1" x14ac:dyDescent="0.2">
      <c r="A1162" s="91" t="str">
        <f t="shared" si="18"/>
        <v/>
      </c>
    </row>
    <row r="1163" spans="1:1" x14ac:dyDescent="0.2">
      <c r="A1163" s="91" t="str">
        <f t="shared" si="18"/>
        <v/>
      </c>
    </row>
    <row r="1164" spans="1:1" x14ac:dyDescent="0.2">
      <c r="A1164" s="91" t="str">
        <f t="shared" si="18"/>
        <v/>
      </c>
    </row>
    <row r="1165" spans="1:1" x14ac:dyDescent="0.2">
      <c r="A1165" s="91" t="str">
        <f t="shared" si="18"/>
        <v/>
      </c>
    </row>
    <row r="1166" spans="1:1" x14ac:dyDescent="0.2">
      <c r="A1166" s="91" t="str">
        <f t="shared" si="18"/>
        <v/>
      </c>
    </row>
    <row r="1167" spans="1:1" x14ac:dyDescent="0.2">
      <c r="A1167" s="91" t="str">
        <f t="shared" si="18"/>
        <v/>
      </c>
    </row>
    <row r="1168" spans="1:1" x14ac:dyDescent="0.2">
      <c r="A1168" s="91" t="str">
        <f t="shared" si="18"/>
        <v/>
      </c>
    </row>
    <row r="1169" spans="1:1" x14ac:dyDescent="0.2">
      <c r="A1169" s="91" t="str">
        <f t="shared" si="18"/>
        <v/>
      </c>
    </row>
    <row r="1170" spans="1:1" x14ac:dyDescent="0.2">
      <c r="A1170" s="91" t="str">
        <f t="shared" si="18"/>
        <v/>
      </c>
    </row>
    <row r="1171" spans="1:1" x14ac:dyDescent="0.2">
      <c r="A1171" s="91" t="str">
        <f t="shared" si="18"/>
        <v/>
      </c>
    </row>
    <row r="1172" spans="1:1" x14ac:dyDescent="0.2">
      <c r="A1172" s="91" t="str">
        <f t="shared" si="18"/>
        <v/>
      </c>
    </row>
    <row r="1173" spans="1:1" x14ac:dyDescent="0.2">
      <c r="A1173" s="91" t="str">
        <f t="shared" si="18"/>
        <v/>
      </c>
    </row>
    <row r="1174" spans="1:1" x14ac:dyDescent="0.2">
      <c r="A1174" s="91" t="str">
        <f t="shared" si="18"/>
        <v/>
      </c>
    </row>
    <row r="1175" spans="1:1" x14ac:dyDescent="0.2">
      <c r="A1175" s="91" t="str">
        <f t="shared" si="18"/>
        <v/>
      </c>
    </row>
    <row r="1176" spans="1:1" x14ac:dyDescent="0.2">
      <c r="A1176" s="91" t="str">
        <f t="shared" si="18"/>
        <v/>
      </c>
    </row>
    <row r="1177" spans="1:1" x14ac:dyDescent="0.2">
      <c r="A1177" s="91" t="str">
        <f t="shared" si="18"/>
        <v/>
      </c>
    </row>
    <row r="1178" spans="1:1" x14ac:dyDescent="0.2">
      <c r="A1178" s="91" t="str">
        <f t="shared" si="18"/>
        <v/>
      </c>
    </row>
    <row r="1179" spans="1:1" x14ac:dyDescent="0.2">
      <c r="A1179" s="91" t="str">
        <f t="shared" si="18"/>
        <v/>
      </c>
    </row>
    <row r="1180" spans="1:1" x14ac:dyDescent="0.2">
      <c r="A1180" s="91" t="str">
        <f t="shared" si="18"/>
        <v/>
      </c>
    </row>
    <row r="1181" spans="1:1" x14ac:dyDescent="0.2">
      <c r="A1181" s="91" t="str">
        <f t="shared" si="18"/>
        <v/>
      </c>
    </row>
    <row r="1182" spans="1:1" x14ac:dyDescent="0.2">
      <c r="A1182" s="91" t="str">
        <f t="shared" si="18"/>
        <v/>
      </c>
    </row>
    <row r="1183" spans="1:1" x14ac:dyDescent="0.2">
      <c r="A1183" s="91" t="str">
        <f t="shared" si="18"/>
        <v/>
      </c>
    </row>
    <row r="1184" spans="1:1" x14ac:dyDescent="0.2">
      <c r="A1184" s="91" t="str">
        <f t="shared" si="18"/>
        <v/>
      </c>
    </row>
    <row r="1185" spans="1:1" x14ac:dyDescent="0.2">
      <c r="A1185" s="91" t="str">
        <f t="shared" si="18"/>
        <v/>
      </c>
    </row>
    <row r="1186" spans="1:1" x14ac:dyDescent="0.2">
      <c r="A1186" s="91" t="str">
        <f t="shared" si="18"/>
        <v/>
      </c>
    </row>
    <row r="1187" spans="1:1" x14ac:dyDescent="0.2">
      <c r="A1187" s="91" t="str">
        <f t="shared" si="18"/>
        <v/>
      </c>
    </row>
    <row r="1188" spans="1:1" x14ac:dyDescent="0.2">
      <c r="A1188" s="91" t="str">
        <f t="shared" si="18"/>
        <v/>
      </c>
    </row>
    <row r="1189" spans="1:1" x14ac:dyDescent="0.2">
      <c r="A1189" s="91" t="str">
        <f t="shared" si="18"/>
        <v/>
      </c>
    </row>
    <row r="1190" spans="1:1" x14ac:dyDescent="0.2">
      <c r="A1190" s="91" t="str">
        <f t="shared" si="18"/>
        <v/>
      </c>
    </row>
    <row r="1191" spans="1:1" x14ac:dyDescent="0.2">
      <c r="A1191" s="91" t="str">
        <f t="shared" si="18"/>
        <v/>
      </c>
    </row>
    <row r="1192" spans="1:1" x14ac:dyDescent="0.2">
      <c r="A1192" s="91" t="str">
        <f t="shared" si="18"/>
        <v/>
      </c>
    </row>
    <row r="1193" spans="1:1" x14ac:dyDescent="0.2">
      <c r="A1193" s="91" t="str">
        <f t="shared" si="18"/>
        <v/>
      </c>
    </row>
    <row r="1194" spans="1:1" x14ac:dyDescent="0.2">
      <c r="A1194" s="91" t="str">
        <f t="shared" si="18"/>
        <v/>
      </c>
    </row>
    <row r="1195" spans="1:1" x14ac:dyDescent="0.2">
      <c r="A1195" s="91" t="str">
        <f t="shared" si="18"/>
        <v/>
      </c>
    </row>
    <row r="1196" spans="1:1" x14ac:dyDescent="0.2">
      <c r="A1196" s="91" t="str">
        <f t="shared" si="18"/>
        <v/>
      </c>
    </row>
    <row r="1197" spans="1:1" x14ac:dyDescent="0.2">
      <c r="A1197" s="91" t="str">
        <f t="shared" si="18"/>
        <v/>
      </c>
    </row>
    <row r="1198" spans="1:1" x14ac:dyDescent="0.2">
      <c r="A1198" s="91" t="str">
        <f t="shared" si="18"/>
        <v/>
      </c>
    </row>
    <row r="1199" spans="1:1" x14ac:dyDescent="0.2">
      <c r="A1199" s="91" t="str">
        <f t="shared" si="18"/>
        <v/>
      </c>
    </row>
    <row r="1200" spans="1:1" x14ac:dyDescent="0.2">
      <c r="A1200" s="91" t="str">
        <f t="shared" si="18"/>
        <v/>
      </c>
    </row>
    <row r="1201" spans="1:1" x14ac:dyDescent="0.2">
      <c r="A1201" s="91" t="str">
        <f t="shared" si="18"/>
        <v/>
      </c>
    </row>
    <row r="1202" spans="1:1" x14ac:dyDescent="0.2">
      <c r="A1202" s="91" t="str">
        <f t="shared" si="18"/>
        <v/>
      </c>
    </row>
    <row r="1203" spans="1:1" x14ac:dyDescent="0.2">
      <c r="A1203" s="91" t="str">
        <f t="shared" si="18"/>
        <v/>
      </c>
    </row>
    <row r="1204" spans="1:1" x14ac:dyDescent="0.2">
      <c r="A1204" s="91" t="str">
        <f t="shared" si="18"/>
        <v/>
      </c>
    </row>
    <row r="1205" spans="1:1" x14ac:dyDescent="0.2">
      <c r="A1205" s="91" t="str">
        <f t="shared" si="18"/>
        <v/>
      </c>
    </row>
    <row r="1206" spans="1:1" x14ac:dyDescent="0.2">
      <c r="A1206" s="91" t="str">
        <f t="shared" si="18"/>
        <v/>
      </c>
    </row>
    <row r="1207" spans="1:1" x14ac:dyDescent="0.2">
      <c r="A1207" s="91" t="str">
        <f t="shared" si="18"/>
        <v/>
      </c>
    </row>
    <row r="1208" spans="1:1" x14ac:dyDescent="0.2">
      <c r="A1208" s="91" t="str">
        <f t="shared" si="18"/>
        <v/>
      </c>
    </row>
    <row r="1209" spans="1:1" x14ac:dyDescent="0.2">
      <c r="A1209" s="91" t="str">
        <f t="shared" si="18"/>
        <v/>
      </c>
    </row>
    <row r="1210" spans="1:1" x14ac:dyDescent="0.2">
      <c r="A1210" s="91" t="str">
        <f t="shared" si="18"/>
        <v/>
      </c>
    </row>
    <row r="1211" spans="1:1" x14ac:dyDescent="0.2">
      <c r="A1211" s="91" t="str">
        <f t="shared" si="18"/>
        <v/>
      </c>
    </row>
    <row r="1212" spans="1:1" x14ac:dyDescent="0.2">
      <c r="A1212" s="91" t="str">
        <f t="shared" si="18"/>
        <v/>
      </c>
    </row>
    <row r="1213" spans="1:1" x14ac:dyDescent="0.2">
      <c r="A1213" s="91" t="str">
        <f t="shared" si="18"/>
        <v/>
      </c>
    </row>
    <row r="1214" spans="1:1" x14ac:dyDescent="0.2">
      <c r="A1214" s="91" t="str">
        <f t="shared" si="18"/>
        <v/>
      </c>
    </row>
    <row r="1215" spans="1:1" x14ac:dyDescent="0.2">
      <c r="A1215" s="91" t="str">
        <f t="shared" si="18"/>
        <v/>
      </c>
    </row>
    <row r="1216" spans="1:1" x14ac:dyDescent="0.2">
      <c r="A1216" s="91" t="str">
        <f t="shared" si="18"/>
        <v/>
      </c>
    </row>
    <row r="1217" spans="1:1" x14ac:dyDescent="0.2">
      <c r="A1217" s="91" t="str">
        <f t="shared" si="18"/>
        <v/>
      </c>
    </row>
    <row r="1218" spans="1:1" x14ac:dyDescent="0.2">
      <c r="A1218" s="91" t="str">
        <f t="shared" si="18"/>
        <v/>
      </c>
    </row>
    <row r="1219" spans="1:1" x14ac:dyDescent="0.2">
      <c r="A1219" s="91" t="str">
        <f t="shared" ref="A1219:A1243" si="19">CONCATENATE(B1219,C1219,F1219)</f>
        <v/>
      </c>
    </row>
    <row r="1220" spans="1:1" x14ac:dyDescent="0.2">
      <c r="A1220" s="91" t="str">
        <f t="shared" si="19"/>
        <v/>
      </c>
    </row>
    <row r="1221" spans="1:1" x14ac:dyDescent="0.2">
      <c r="A1221" s="91" t="str">
        <f t="shared" si="19"/>
        <v/>
      </c>
    </row>
    <row r="1222" spans="1:1" x14ac:dyDescent="0.2">
      <c r="A1222" s="91" t="str">
        <f t="shared" si="19"/>
        <v/>
      </c>
    </row>
    <row r="1223" spans="1:1" x14ac:dyDescent="0.2">
      <c r="A1223" s="91" t="str">
        <f t="shared" si="19"/>
        <v/>
      </c>
    </row>
    <row r="1224" spans="1:1" x14ac:dyDescent="0.2">
      <c r="A1224" s="91" t="str">
        <f t="shared" si="19"/>
        <v/>
      </c>
    </row>
    <row r="1225" spans="1:1" x14ac:dyDescent="0.2">
      <c r="A1225" s="91" t="str">
        <f t="shared" si="19"/>
        <v/>
      </c>
    </row>
    <row r="1226" spans="1:1" x14ac:dyDescent="0.2">
      <c r="A1226" s="91" t="str">
        <f t="shared" si="19"/>
        <v/>
      </c>
    </row>
    <row r="1227" spans="1:1" x14ac:dyDescent="0.2">
      <c r="A1227" s="91" t="str">
        <f t="shared" si="19"/>
        <v/>
      </c>
    </row>
    <row r="1228" spans="1:1" x14ac:dyDescent="0.2">
      <c r="A1228" s="91" t="str">
        <f t="shared" si="19"/>
        <v/>
      </c>
    </row>
    <row r="1229" spans="1:1" x14ac:dyDescent="0.2">
      <c r="A1229" s="91" t="str">
        <f t="shared" si="19"/>
        <v/>
      </c>
    </row>
    <row r="1230" spans="1:1" x14ac:dyDescent="0.2">
      <c r="A1230" s="91" t="str">
        <f t="shared" si="19"/>
        <v/>
      </c>
    </row>
    <row r="1231" spans="1:1" x14ac:dyDescent="0.2">
      <c r="A1231" s="91" t="str">
        <f t="shared" si="19"/>
        <v/>
      </c>
    </row>
    <row r="1232" spans="1:1" x14ac:dyDescent="0.2">
      <c r="A1232" s="91" t="str">
        <f t="shared" si="19"/>
        <v/>
      </c>
    </row>
    <row r="1233" spans="1:1" x14ac:dyDescent="0.2">
      <c r="A1233" s="91" t="str">
        <f t="shared" si="19"/>
        <v/>
      </c>
    </row>
    <row r="1234" spans="1:1" x14ac:dyDescent="0.2">
      <c r="A1234" s="91" t="str">
        <f t="shared" si="19"/>
        <v/>
      </c>
    </row>
    <row r="1235" spans="1:1" x14ac:dyDescent="0.2">
      <c r="A1235" s="91" t="str">
        <f t="shared" si="19"/>
        <v/>
      </c>
    </row>
    <row r="1236" spans="1:1" x14ac:dyDescent="0.2">
      <c r="A1236" s="91" t="str">
        <f t="shared" si="19"/>
        <v/>
      </c>
    </row>
    <row r="1237" spans="1:1" x14ac:dyDescent="0.2">
      <c r="A1237" s="91" t="str">
        <f t="shared" si="19"/>
        <v/>
      </c>
    </row>
    <row r="1238" spans="1:1" x14ac:dyDescent="0.2">
      <c r="A1238" s="91" t="str">
        <f t="shared" si="19"/>
        <v/>
      </c>
    </row>
    <row r="1239" spans="1:1" x14ac:dyDescent="0.2">
      <c r="A1239" s="91" t="str">
        <f t="shared" si="19"/>
        <v/>
      </c>
    </row>
    <row r="1240" spans="1:1" x14ac:dyDescent="0.2">
      <c r="A1240" s="91" t="str">
        <f t="shared" si="19"/>
        <v/>
      </c>
    </row>
    <row r="1241" spans="1:1" x14ac:dyDescent="0.2">
      <c r="A1241" s="91" t="str">
        <f t="shared" si="19"/>
        <v/>
      </c>
    </row>
    <row r="1242" spans="1:1" x14ac:dyDescent="0.2">
      <c r="A1242" s="91" t="str">
        <f t="shared" si="19"/>
        <v/>
      </c>
    </row>
    <row r="1243" spans="1:1" x14ac:dyDescent="0.2">
      <c r="A1243" s="91" t="str">
        <f t="shared" si="19"/>
        <v/>
      </c>
    </row>
  </sheetData>
  <sheetProtection password="9F17" sheet="1" objects="1" scenarios="1"/>
  <mergeCells count="61">
    <mergeCell ref="D118:D121"/>
    <mergeCell ref="E118:E121"/>
    <mergeCell ref="D106:D111"/>
    <mergeCell ref="E106:E107"/>
    <mergeCell ref="E108:E111"/>
    <mergeCell ref="D112:D117"/>
    <mergeCell ref="E112:E113"/>
    <mergeCell ref="E114:E117"/>
    <mergeCell ref="D96:D101"/>
    <mergeCell ref="E96:E98"/>
    <mergeCell ref="E99:E101"/>
    <mergeCell ref="D102:D105"/>
    <mergeCell ref="E102:E105"/>
    <mergeCell ref="D82:D86"/>
    <mergeCell ref="E82:E84"/>
    <mergeCell ref="E85:E86"/>
    <mergeCell ref="D87:D95"/>
    <mergeCell ref="E87:E89"/>
    <mergeCell ref="E90:E92"/>
    <mergeCell ref="E93:E95"/>
    <mergeCell ref="D72:D75"/>
    <mergeCell ref="E72:E75"/>
    <mergeCell ref="D76:D78"/>
    <mergeCell ref="E76:E78"/>
    <mergeCell ref="D79:D81"/>
    <mergeCell ref="E79:E81"/>
    <mergeCell ref="D62:D67"/>
    <mergeCell ref="E63:E64"/>
    <mergeCell ref="E65:E67"/>
    <mergeCell ref="D68:D71"/>
    <mergeCell ref="E68:E71"/>
    <mergeCell ref="E29:E30"/>
    <mergeCell ref="E31:E32"/>
    <mergeCell ref="D22:D24"/>
    <mergeCell ref="D42:D61"/>
    <mergeCell ref="E42:E45"/>
    <mergeCell ref="E46:E50"/>
    <mergeCell ref="E51:E52"/>
    <mergeCell ref="E53:E54"/>
    <mergeCell ref="E55:E59"/>
    <mergeCell ref="E60:E61"/>
    <mergeCell ref="E33:E35"/>
    <mergeCell ref="E36:E37"/>
    <mergeCell ref="E38:E39"/>
    <mergeCell ref="E40:E41"/>
    <mergeCell ref="D2:D3"/>
    <mergeCell ref="E2:E3"/>
    <mergeCell ref="D33:D41"/>
    <mergeCell ref="D4:D9"/>
    <mergeCell ref="E4:E7"/>
    <mergeCell ref="E8:E9"/>
    <mergeCell ref="D10:D21"/>
    <mergeCell ref="E10:E12"/>
    <mergeCell ref="E13:E14"/>
    <mergeCell ref="E16:E17"/>
    <mergeCell ref="E18:E19"/>
    <mergeCell ref="E20:E21"/>
    <mergeCell ref="E22:E24"/>
    <mergeCell ref="D25:D28"/>
    <mergeCell ref="E25:E28"/>
    <mergeCell ref="D29:D32"/>
  </mergeCells>
  <pageMargins left="0.7" right="0.7" top="0.75" bottom="0.75" header="0.3" footer="0.3"/>
  <pageSetup paperSize="9" orientation="landscape"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74"/>
  <sheetViews>
    <sheetView topLeftCell="A111" zoomScaleSheetLayoutView="90" workbookViewId="0">
      <selection activeCell="G102" sqref="G102:G121"/>
    </sheetView>
  </sheetViews>
  <sheetFormatPr baseColWidth="10" defaultRowHeight="15" x14ac:dyDescent="0.2"/>
  <cols>
    <col min="1" max="3" width="11.42578125" style="34"/>
    <col min="4" max="4" width="62.5703125" style="41" customWidth="1"/>
    <col min="5" max="5" width="34.28515625" style="41" customWidth="1"/>
    <col min="6" max="6" width="5.5703125" style="41" bestFit="1" customWidth="1"/>
    <col min="7" max="7" width="9.42578125" style="41" customWidth="1"/>
    <col min="8" max="8" width="17.85546875" style="34" customWidth="1"/>
    <col min="9" max="16384" width="11.42578125" style="34"/>
  </cols>
  <sheetData>
    <row r="1" spans="1:8" ht="30" customHeight="1" x14ac:dyDescent="0.2">
      <c r="A1" s="34" t="s">
        <v>6379</v>
      </c>
      <c r="B1" s="42" t="s">
        <v>14</v>
      </c>
      <c r="C1" s="42" t="s">
        <v>6121</v>
      </c>
      <c r="D1" s="35" t="s">
        <v>6128</v>
      </c>
      <c r="E1" s="35" t="s">
        <v>6129</v>
      </c>
      <c r="F1" s="35" t="s">
        <v>12</v>
      </c>
      <c r="G1" s="35" t="s">
        <v>8</v>
      </c>
      <c r="H1" s="35" t="s">
        <v>6130</v>
      </c>
    </row>
    <row r="2" spans="1:8" x14ac:dyDescent="0.2">
      <c r="A2" s="34" t="str">
        <f>CONCATENATE(B2,C2,F2)</f>
        <v>1I1</v>
      </c>
      <c r="B2" s="42">
        <v>1</v>
      </c>
      <c r="C2" s="42" t="s">
        <v>6122</v>
      </c>
      <c r="D2" s="221" t="s">
        <v>6180</v>
      </c>
      <c r="E2" s="221" t="s">
        <v>6181</v>
      </c>
      <c r="F2" s="35">
        <v>1</v>
      </c>
      <c r="G2" s="35" t="s">
        <v>6133</v>
      </c>
      <c r="H2" s="35" t="s">
        <v>6154</v>
      </c>
    </row>
    <row r="3" spans="1:8" x14ac:dyDescent="0.2">
      <c r="A3" s="34" t="str">
        <f t="shared" ref="A3:A66" si="0">CONCATENATE(B3,C3,F3)</f>
        <v>1I2</v>
      </c>
      <c r="B3" s="42">
        <v>1</v>
      </c>
      <c r="C3" s="42" t="s">
        <v>6122</v>
      </c>
      <c r="D3" s="224"/>
      <c r="E3" s="224"/>
      <c r="F3" s="35">
        <v>2</v>
      </c>
      <c r="G3" s="35" t="s">
        <v>6140</v>
      </c>
      <c r="H3" s="35" t="s">
        <v>6154</v>
      </c>
    </row>
    <row r="4" spans="1:8" x14ac:dyDescent="0.2">
      <c r="A4" s="34" t="str">
        <f t="shared" si="0"/>
        <v>1I3</v>
      </c>
      <c r="B4" s="42">
        <v>1</v>
      </c>
      <c r="C4" s="42" t="s">
        <v>6122</v>
      </c>
      <c r="D4" s="225"/>
      <c r="E4" s="225"/>
      <c r="F4" s="35">
        <v>3</v>
      </c>
      <c r="G4" s="35" t="s">
        <v>6116</v>
      </c>
      <c r="H4" s="35" t="s">
        <v>6154</v>
      </c>
    </row>
    <row r="5" spans="1:8" x14ac:dyDescent="0.2">
      <c r="A5" s="34" t="str">
        <f t="shared" si="0"/>
        <v>1I4</v>
      </c>
      <c r="B5" s="42">
        <v>1</v>
      </c>
      <c r="C5" s="42" t="s">
        <v>6122</v>
      </c>
      <c r="D5" s="221" t="s">
        <v>6182</v>
      </c>
      <c r="E5" s="221" t="s">
        <v>6183</v>
      </c>
      <c r="F5" s="35">
        <v>4</v>
      </c>
      <c r="G5" s="35" t="s">
        <v>6136</v>
      </c>
      <c r="H5" s="35" t="s">
        <v>6184</v>
      </c>
    </row>
    <row r="6" spans="1:8" x14ac:dyDescent="0.2">
      <c r="A6" s="34" t="str">
        <f t="shared" si="0"/>
        <v>1I5</v>
      </c>
      <c r="B6" s="42">
        <v>1</v>
      </c>
      <c r="C6" s="42" t="s">
        <v>6122</v>
      </c>
      <c r="D6" s="224"/>
      <c r="E6" s="224"/>
      <c r="F6" s="35">
        <v>5</v>
      </c>
      <c r="G6" s="35" t="s">
        <v>6136</v>
      </c>
      <c r="H6" s="38" t="s">
        <v>6184</v>
      </c>
    </row>
    <row r="7" spans="1:8" x14ac:dyDescent="0.2">
      <c r="A7" s="34" t="str">
        <f t="shared" si="0"/>
        <v>1I6</v>
      </c>
      <c r="B7" s="42">
        <v>1</v>
      </c>
      <c r="C7" s="42" t="s">
        <v>6122</v>
      </c>
      <c r="D7" s="224"/>
      <c r="E7" s="224"/>
      <c r="F7" s="35">
        <v>6</v>
      </c>
      <c r="G7" s="35" t="s">
        <v>6133</v>
      </c>
      <c r="H7" s="35" t="s">
        <v>6184</v>
      </c>
    </row>
    <row r="8" spans="1:8" x14ac:dyDescent="0.2">
      <c r="A8" s="34" t="str">
        <f t="shared" si="0"/>
        <v>1I7</v>
      </c>
      <c r="B8" s="42">
        <v>1</v>
      </c>
      <c r="C8" s="42" t="s">
        <v>6122</v>
      </c>
      <c r="D8" s="224"/>
      <c r="E8" s="224"/>
      <c r="F8" s="35">
        <v>7</v>
      </c>
      <c r="G8" s="35" t="s">
        <v>6116</v>
      </c>
      <c r="H8" s="35" t="s">
        <v>6154</v>
      </c>
    </row>
    <row r="9" spans="1:8" x14ac:dyDescent="0.2">
      <c r="A9" s="34" t="str">
        <f t="shared" si="0"/>
        <v>1I8</v>
      </c>
      <c r="B9" s="42">
        <v>1</v>
      </c>
      <c r="C9" s="42" t="s">
        <v>6122</v>
      </c>
      <c r="D9" s="225"/>
      <c r="E9" s="225"/>
      <c r="F9" s="35">
        <v>8</v>
      </c>
      <c r="G9" s="35" t="s">
        <v>6140</v>
      </c>
      <c r="H9" s="35" t="s">
        <v>6154</v>
      </c>
    </row>
    <row r="10" spans="1:8" x14ac:dyDescent="0.2">
      <c r="A10" s="34" t="str">
        <f t="shared" si="0"/>
        <v>1I9</v>
      </c>
      <c r="B10" s="42">
        <v>1</v>
      </c>
      <c r="C10" s="42" t="s">
        <v>6122</v>
      </c>
      <c r="D10" s="221" t="s">
        <v>6185</v>
      </c>
      <c r="E10" s="221" t="s">
        <v>6186</v>
      </c>
      <c r="F10" s="35">
        <v>9</v>
      </c>
      <c r="G10" s="35" t="s">
        <v>6136</v>
      </c>
      <c r="H10" s="35" t="s">
        <v>6154</v>
      </c>
    </row>
    <row r="11" spans="1:8" x14ac:dyDescent="0.2">
      <c r="A11" s="34" t="str">
        <f t="shared" si="0"/>
        <v>1I10</v>
      </c>
      <c r="B11" s="42">
        <v>1</v>
      </c>
      <c r="C11" s="42" t="s">
        <v>6122</v>
      </c>
      <c r="D11" s="224"/>
      <c r="E11" s="224"/>
      <c r="F11" s="35">
        <v>10</v>
      </c>
      <c r="G11" s="35" t="s">
        <v>6116</v>
      </c>
      <c r="H11" s="35" t="s">
        <v>6184</v>
      </c>
    </row>
    <row r="12" spans="1:8" ht="30" customHeight="1" x14ac:dyDescent="0.2">
      <c r="A12" s="34" t="str">
        <f t="shared" si="0"/>
        <v>1I11</v>
      </c>
      <c r="B12" s="42">
        <v>1</v>
      </c>
      <c r="C12" s="42" t="s">
        <v>6122</v>
      </c>
      <c r="D12" s="225"/>
      <c r="E12" s="225"/>
      <c r="F12" s="35">
        <v>11</v>
      </c>
      <c r="G12" s="35" t="s">
        <v>6133</v>
      </c>
      <c r="H12" s="35" t="s">
        <v>6184</v>
      </c>
    </row>
    <row r="13" spans="1:8" x14ac:dyDescent="0.2">
      <c r="A13" s="34" t="str">
        <f t="shared" si="0"/>
        <v>1I12</v>
      </c>
      <c r="B13" s="42">
        <v>1</v>
      </c>
      <c r="C13" s="42" t="s">
        <v>6122</v>
      </c>
      <c r="D13" s="221" t="s">
        <v>6187</v>
      </c>
      <c r="E13" s="221" t="s">
        <v>6188</v>
      </c>
      <c r="F13" s="35">
        <v>12</v>
      </c>
      <c r="G13" s="35" t="s">
        <v>6140</v>
      </c>
      <c r="H13" s="42" t="s">
        <v>6154</v>
      </c>
    </row>
    <row r="14" spans="1:8" x14ac:dyDescent="0.2">
      <c r="A14" s="34" t="str">
        <f t="shared" si="0"/>
        <v>1I13</v>
      </c>
      <c r="B14" s="42">
        <v>1</v>
      </c>
      <c r="C14" s="42" t="s">
        <v>6122</v>
      </c>
      <c r="D14" s="224"/>
      <c r="E14" s="224"/>
      <c r="F14" s="35">
        <v>13</v>
      </c>
      <c r="G14" s="35" t="s">
        <v>6116</v>
      </c>
      <c r="H14" s="42" t="s">
        <v>6154</v>
      </c>
    </row>
    <row r="15" spans="1:8" x14ac:dyDescent="0.2">
      <c r="A15" s="34" t="str">
        <f t="shared" si="0"/>
        <v>1I14</v>
      </c>
      <c r="B15" s="42">
        <v>1</v>
      </c>
      <c r="C15" s="42" t="s">
        <v>6122</v>
      </c>
      <c r="D15" s="225"/>
      <c r="E15" s="225"/>
      <c r="F15" s="35">
        <v>14</v>
      </c>
      <c r="G15" s="35" t="s">
        <v>6133</v>
      </c>
      <c r="H15" s="42" t="s">
        <v>6154</v>
      </c>
    </row>
    <row r="16" spans="1:8" x14ac:dyDescent="0.2">
      <c r="A16" s="34" t="str">
        <f t="shared" si="0"/>
        <v>1I15</v>
      </c>
      <c r="B16" s="42">
        <v>1</v>
      </c>
      <c r="C16" s="42" t="s">
        <v>6122</v>
      </c>
      <c r="D16" s="221" t="s">
        <v>6189</v>
      </c>
      <c r="E16" s="221" t="s">
        <v>6190</v>
      </c>
      <c r="F16" s="35">
        <v>15</v>
      </c>
      <c r="G16" s="35" t="s">
        <v>6140</v>
      </c>
      <c r="H16" s="42" t="s">
        <v>6154</v>
      </c>
    </row>
    <row r="17" spans="1:8" x14ac:dyDescent="0.2">
      <c r="A17" s="34" t="str">
        <f t="shared" si="0"/>
        <v>1I16</v>
      </c>
      <c r="B17" s="42">
        <v>1</v>
      </c>
      <c r="C17" s="42" t="s">
        <v>6122</v>
      </c>
      <c r="D17" s="224"/>
      <c r="E17" s="224"/>
      <c r="F17" s="35">
        <v>16</v>
      </c>
      <c r="G17" s="35" t="s">
        <v>6140</v>
      </c>
      <c r="H17" s="42" t="s">
        <v>6184</v>
      </c>
    </row>
    <row r="18" spans="1:8" x14ac:dyDescent="0.2">
      <c r="A18" s="34" t="str">
        <f t="shared" si="0"/>
        <v>1I17</v>
      </c>
      <c r="B18" s="42">
        <v>1</v>
      </c>
      <c r="C18" s="42" t="s">
        <v>6122</v>
      </c>
      <c r="D18" s="224"/>
      <c r="E18" s="224"/>
      <c r="F18" s="35">
        <v>17</v>
      </c>
      <c r="G18" s="35" t="s">
        <v>6136</v>
      </c>
      <c r="H18" s="42" t="s">
        <v>6184</v>
      </c>
    </row>
    <row r="19" spans="1:8" x14ac:dyDescent="0.2">
      <c r="A19" s="34" t="str">
        <f t="shared" si="0"/>
        <v>1I18</v>
      </c>
      <c r="B19" s="42">
        <v>1</v>
      </c>
      <c r="C19" s="42" t="s">
        <v>6122</v>
      </c>
      <c r="D19" s="225"/>
      <c r="E19" s="225"/>
      <c r="F19" s="35">
        <v>18</v>
      </c>
      <c r="G19" s="35" t="s">
        <v>6116</v>
      </c>
      <c r="H19" s="42" t="s">
        <v>6184</v>
      </c>
    </row>
    <row r="20" spans="1:8" ht="27.75" customHeight="1" x14ac:dyDescent="0.2">
      <c r="A20" s="34" t="str">
        <f t="shared" si="0"/>
        <v>1I19</v>
      </c>
      <c r="B20" s="42">
        <v>1</v>
      </c>
      <c r="C20" s="42" t="s">
        <v>6122</v>
      </c>
      <c r="D20" s="221" t="s">
        <v>6191</v>
      </c>
      <c r="E20" s="221" t="s">
        <v>6192</v>
      </c>
      <c r="F20" s="35">
        <v>19</v>
      </c>
      <c r="G20" s="35" t="s">
        <v>6133</v>
      </c>
      <c r="H20" s="42" t="s">
        <v>6184</v>
      </c>
    </row>
    <row r="21" spans="1:8" ht="42.75" customHeight="1" x14ac:dyDescent="0.2">
      <c r="A21" s="34" t="str">
        <f t="shared" si="0"/>
        <v>1I20</v>
      </c>
      <c r="B21" s="42">
        <v>1</v>
      </c>
      <c r="C21" s="42" t="s">
        <v>6122</v>
      </c>
      <c r="D21" s="225"/>
      <c r="E21" s="225"/>
      <c r="F21" s="35">
        <v>20</v>
      </c>
      <c r="G21" s="35" t="s">
        <v>6140</v>
      </c>
      <c r="H21" s="42" t="s">
        <v>6184</v>
      </c>
    </row>
    <row r="22" spans="1:8" ht="30" x14ac:dyDescent="0.2">
      <c r="A22" s="34" t="str">
        <f t="shared" si="0"/>
        <v>2I1</v>
      </c>
      <c r="B22" s="42">
        <v>2</v>
      </c>
      <c r="C22" s="42" t="s">
        <v>6122</v>
      </c>
      <c r="D22" s="209" t="s">
        <v>6274</v>
      </c>
      <c r="E22" s="221" t="s">
        <v>6275</v>
      </c>
      <c r="F22" s="35">
        <v>1</v>
      </c>
      <c r="G22" s="35" t="s">
        <v>6133</v>
      </c>
      <c r="H22" s="59" t="s">
        <v>6276</v>
      </c>
    </row>
    <row r="23" spans="1:8" ht="30" x14ac:dyDescent="0.2">
      <c r="A23" s="34" t="str">
        <f t="shared" si="0"/>
        <v>2I2</v>
      </c>
      <c r="B23" s="42">
        <v>2</v>
      </c>
      <c r="C23" s="42" t="s">
        <v>6122</v>
      </c>
      <c r="D23" s="227"/>
      <c r="E23" s="224"/>
      <c r="F23" s="35">
        <v>2</v>
      </c>
      <c r="G23" s="35" t="s">
        <v>6140</v>
      </c>
      <c r="H23" s="35" t="s">
        <v>6276</v>
      </c>
    </row>
    <row r="24" spans="1:8" ht="30" x14ac:dyDescent="0.2">
      <c r="A24" s="34" t="str">
        <f t="shared" si="0"/>
        <v>2I3</v>
      </c>
      <c r="B24" s="42">
        <v>2</v>
      </c>
      <c r="C24" s="42" t="s">
        <v>6122</v>
      </c>
      <c r="D24" s="227"/>
      <c r="E24" s="224"/>
      <c r="F24" s="35">
        <v>3</v>
      </c>
      <c r="G24" s="35" t="s">
        <v>6116</v>
      </c>
      <c r="H24" s="35" t="s">
        <v>6276</v>
      </c>
    </row>
    <row r="25" spans="1:8" ht="30" x14ac:dyDescent="0.2">
      <c r="A25" s="34" t="str">
        <f t="shared" si="0"/>
        <v>2I4</v>
      </c>
      <c r="B25" s="42">
        <v>2</v>
      </c>
      <c r="C25" s="42" t="s">
        <v>6122</v>
      </c>
      <c r="D25" s="226"/>
      <c r="E25" s="225"/>
      <c r="F25" s="35">
        <v>4</v>
      </c>
      <c r="G25" s="35" t="s">
        <v>6136</v>
      </c>
      <c r="H25" s="35" t="s">
        <v>6276</v>
      </c>
    </row>
    <row r="26" spans="1:8" ht="30" x14ac:dyDescent="0.2">
      <c r="A26" s="34" t="str">
        <f t="shared" si="0"/>
        <v>2I5</v>
      </c>
      <c r="B26" s="42">
        <v>2</v>
      </c>
      <c r="C26" s="42" t="s">
        <v>6122</v>
      </c>
      <c r="D26" s="209" t="s">
        <v>6277</v>
      </c>
      <c r="E26" s="221" t="s">
        <v>6278</v>
      </c>
      <c r="F26" s="35">
        <v>5</v>
      </c>
      <c r="G26" s="35" t="s">
        <v>6140</v>
      </c>
      <c r="H26" s="35" t="s">
        <v>6134</v>
      </c>
    </row>
    <row r="27" spans="1:8" ht="30" x14ac:dyDescent="0.2">
      <c r="A27" s="34" t="str">
        <f t="shared" si="0"/>
        <v>2I6</v>
      </c>
      <c r="B27" s="42">
        <v>2</v>
      </c>
      <c r="C27" s="42" t="s">
        <v>6122</v>
      </c>
      <c r="D27" s="227"/>
      <c r="E27" s="224"/>
      <c r="F27" s="35">
        <v>6</v>
      </c>
      <c r="G27" s="35" t="s">
        <v>6133</v>
      </c>
      <c r="H27" s="35" t="s">
        <v>6276</v>
      </c>
    </row>
    <row r="28" spans="1:8" ht="30" x14ac:dyDescent="0.2">
      <c r="A28" s="34" t="str">
        <f t="shared" si="0"/>
        <v>2I7</v>
      </c>
      <c r="B28" s="42">
        <v>2</v>
      </c>
      <c r="C28" s="42" t="s">
        <v>6122</v>
      </c>
      <c r="D28" s="227"/>
      <c r="E28" s="224"/>
      <c r="F28" s="35">
        <v>7</v>
      </c>
      <c r="G28" s="35" t="s">
        <v>6116</v>
      </c>
      <c r="H28" s="35" t="s">
        <v>6134</v>
      </c>
    </row>
    <row r="29" spans="1:8" ht="30" x14ac:dyDescent="0.2">
      <c r="A29" s="34" t="str">
        <f t="shared" si="0"/>
        <v>2I8</v>
      </c>
      <c r="B29" s="42">
        <v>2</v>
      </c>
      <c r="C29" s="42" t="s">
        <v>6122</v>
      </c>
      <c r="D29" s="226"/>
      <c r="E29" s="225"/>
      <c r="F29" s="35">
        <v>8</v>
      </c>
      <c r="G29" s="35" t="s">
        <v>6136</v>
      </c>
      <c r="H29" s="35" t="s">
        <v>6134</v>
      </c>
    </row>
    <row r="30" spans="1:8" x14ac:dyDescent="0.2">
      <c r="A30" s="34" t="str">
        <f t="shared" si="0"/>
        <v>2I9</v>
      </c>
      <c r="B30" s="42">
        <v>2</v>
      </c>
      <c r="C30" s="42" t="s">
        <v>6122</v>
      </c>
      <c r="D30" s="209" t="s">
        <v>6279</v>
      </c>
      <c r="E30" s="221" t="s">
        <v>6280</v>
      </c>
      <c r="F30" s="35">
        <v>9</v>
      </c>
      <c r="G30" s="35" t="s">
        <v>6116</v>
      </c>
      <c r="H30" s="35" t="s">
        <v>6154</v>
      </c>
    </row>
    <row r="31" spans="1:8" x14ac:dyDescent="0.2">
      <c r="A31" s="34" t="str">
        <f t="shared" si="0"/>
        <v>2I10</v>
      </c>
      <c r="B31" s="42">
        <v>2</v>
      </c>
      <c r="C31" s="42" t="s">
        <v>6122</v>
      </c>
      <c r="D31" s="227"/>
      <c r="E31" s="224"/>
      <c r="F31" s="35">
        <v>10</v>
      </c>
      <c r="G31" s="35" t="s">
        <v>6140</v>
      </c>
      <c r="H31" s="35" t="s">
        <v>6154</v>
      </c>
    </row>
    <row r="32" spans="1:8" x14ac:dyDescent="0.2">
      <c r="A32" s="34" t="str">
        <f t="shared" si="0"/>
        <v>2I11</v>
      </c>
      <c r="B32" s="42">
        <v>2</v>
      </c>
      <c r="C32" s="42" t="s">
        <v>6122</v>
      </c>
      <c r="D32" s="226"/>
      <c r="E32" s="224"/>
      <c r="F32" s="35">
        <v>11</v>
      </c>
      <c r="G32" s="35" t="s">
        <v>6133</v>
      </c>
      <c r="H32" s="35" t="s">
        <v>6154</v>
      </c>
    </row>
    <row r="33" spans="1:8" ht="30" x14ac:dyDescent="0.2">
      <c r="A33" s="34" t="str">
        <f t="shared" si="0"/>
        <v>2I12</v>
      </c>
      <c r="B33" s="42">
        <v>2</v>
      </c>
      <c r="C33" s="42" t="s">
        <v>6122</v>
      </c>
      <c r="D33" s="35" t="s">
        <v>6281</v>
      </c>
      <c r="E33" s="225"/>
      <c r="F33" s="35">
        <v>12</v>
      </c>
      <c r="G33" s="35" t="s">
        <v>6136</v>
      </c>
      <c r="H33" s="35" t="s">
        <v>6134</v>
      </c>
    </row>
    <row r="34" spans="1:8" ht="30" x14ac:dyDescent="0.2">
      <c r="A34" s="34" t="str">
        <f t="shared" si="0"/>
        <v>2I13</v>
      </c>
      <c r="B34" s="42">
        <v>2</v>
      </c>
      <c r="C34" s="42" t="s">
        <v>6122</v>
      </c>
      <c r="D34" s="209" t="s">
        <v>6282</v>
      </c>
      <c r="E34" s="221" t="s">
        <v>6283</v>
      </c>
      <c r="F34" s="35">
        <v>13</v>
      </c>
      <c r="G34" s="35" t="s">
        <v>6140</v>
      </c>
      <c r="H34" s="35" t="s">
        <v>6134</v>
      </c>
    </row>
    <row r="35" spans="1:8" ht="30" x14ac:dyDescent="0.2">
      <c r="A35" s="34" t="str">
        <f t="shared" si="0"/>
        <v>2I14</v>
      </c>
      <c r="B35" s="42">
        <v>2</v>
      </c>
      <c r="C35" s="42" t="s">
        <v>6122</v>
      </c>
      <c r="D35" s="227"/>
      <c r="E35" s="224"/>
      <c r="F35" s="35">
        <v>14</v>
      </c>
      <c r="G35" s="35" t="s">
        <v>6116</v>
      </c>
      <c r="H35" s="35" t="s">
        <v>6134</v>
      </c>
    </row>
    <row r="36" spans="1:8" x14ac:dyDescent="0.2">
      <c r="A36" s="34" t="str">
        <f t="shared" si="0"/>
        <v>2I15</v>
      </c>
      <c r="B36" s="42">
        <v>2</v>
      </c>
      <c r="C36" s="42" t="s">
        <v>6122</v>
      </c>
      <c r="D36" s="226"/>
      <c r="E36" s="225"/>
      <c r="F36" s="35">
        <v>15</v>
      </c>
      <c r="G36" s="35" t="s">
        <v>6136</v>
      </c>
      <c r="H36" s="42" t="s">
        <v>6154</v>
      </c>
    </row>
    <row r="37" spans="1:8" ht="30" x14ac:dyDescent="0.2">
      <c r="A37" s="34" t="str">
        <f t="shared" si="0"/>
        <v>2I16</v>
      </c>
      <c r="B37" s="42">
        <v>2</v>
      </c>
      <c r="C37" s="42" t="s">
        <v>6122</v>
      </c>
      <c r="D37" s="209" t="s">
        <v>6284</v>
      </c>
      <c r="E37" s="221" t="s">
        <v>6285</v>
      </c>
      <c r="F37" s="35">
        <v>16</v>
      </c>
      <c r="G37" s="35" t="s">
        <v>6133</v>
      </c>
      <c r="H37" s="35" t="s">
        <v>6276</v>
      </c>
    </row>
    <row r="38" spans="1:8" ht="30" x14ac:dyDescent="0.2">
      <c r="A38" s="34" t="str">
        <f t="shared" si="0"/>
        <v>2I17</v>
      </c>
      <c r="B38" s="42">
        <v>2</v>
      </c>
      <c r="C38" s="42" t="s">
        <v>6122</v>
      </c>
      <c r="D38" s="226"/>
      <c r="E38" s="225"/>
      <c r="F38" s="35">
        <v>17</v>
      </c>
      <c r="G38" s="35" t="s">
        <v>6140</v>
      </c>
      <c r="H38" s="35" t="s">
        <v>6276</v>
      </c>
    </row>
    <row r="39" spans="1:8" ht="30" x14ac:dyDescent="0.2">
      <c r="A39" s="34" t="str">
        <f t="shared" si="0"/>
        <v>2I18</v>
      </c>
      <c r="B39" s="42">
        <v>2</v>
      </c>
      <c r="C39" s="42" t="s">
        <v>6122</v>
      </c>
      <c r="D39" s="209" t="s">
        <v>6286</v>
      </c>
      <c r="E39" s="221" t="s">
        <v>6287</v>
      </c>
      <c r="F39" s="35">
        <v>18</v>
      </c>
      <c r="G39" s="35" t="s">
        <v>6116</v>
      </c>
      <c r="H39" s="35" t="s">
        <v>6276</v>
      </c>
    </row>
    <row r="40" spans="1:8" ht="30" x14ac:dyDescent="0.2">
      <c r="A40" s="34" t="str">
        <f t="shared" si="0"/>
        <v>2I19</v>
      </c>
      <c r="B40" s="42">
        <v>2</v>
      </c>
      <c r="C40" s="42" t="s">
        <v>6122</v>
      </c>
      <c r="D40" s="226"/>
      <c r="E40" s="225"/>
      <c r="F40" s="35">
        <v>19</v>
      </c>
      <c r="G40" s="35" t="s">
        <v>6133</v>
      </c>
      <c r="H40" s="35" t="s">
        <v>6276</v>
      </c>
    </row>
    <row r="41" spans="1:8" ht="75" x14ac:dyDescent="0.2">
      <c r="A41" s="34" t="str">
        <f t="shared" si="0"/>
        <v>2I20</v>
      </c>
      <c r="B41" s="42">
        <v>2</v>
      </c>
      <c r="C41" s="42" t="s">
        <v>6122</v>
      </c>
      <c r="D41" s="88" t="s">
        <v>6288</v>
      </c>
      <c r="E41" s="89" t="s">
        <v>6289</v>
      </c>
      <c r="F41" s="88">
        <v>20</v>
      </c>
      <c r="G41" s="88" t="s">
        <v>6136</v>
      </c>
      <c r="H41" s="88" t="s">
        <v>6134</v>
      </c>
    </row>
    <row r="42" spans="1:8" ht="60" x14ac:dyDescent="0.2">
      <c r="A42" s="34" t="str">
        <f t="shared" si="0"/>
        <v>3I1</v>
      </c>
      <c r="B42" s="42">
        <v>3</v>
      </c>
      <c r="C42" s="42" t="s">
        <v>6122</v>
      </c>
      <c r="D42" s="88" t="s">
        <v>6334</v>
      </c>
      <c r="E42" s="88" t="s">
        <v>6335</v>
      </c>
      <c r="F42" s="88">
        <v>1</v>
      </c>
      <c r="G42" s="88" t="s">
        <v>6136</v>
      </c>
      <c r="H42" s="88" t="s">
        <v>6380</v>
      </c>
    </row>
    <row r="43" spans="1:8" ht="60" x14ac:dyDescent="0.2">
      <c r="A43" s="34" t="str">
        <f t="shared" si="0"/>
        <v>3I2</v>
      </c>
      <c r="B43" s="42">
        <v>3</v>
      </c>
      <c r="C43" s="42" t="s">
        <v>6122</v>
      </c>
      <c r="D43" s="88" t="s">
        <v>6336</v>
      </c>
      <c r="E43" s="88" t="s">
        <v>6335</v>
      </c>
      <c r="F43" s="88">
        <v>2</v>
      </c>
      <c r="G43" s="88" t="s">
        <v>6140</v>
      </c>
      <c r="H43" s="88" t="s">
        <v>6381</v>
      </c>
    </row>
    <row r="44" spans="1:8" ht="60" x14ac:dyDescent="0.2">
      <c r="A44" s="34" t="str">
        <f t="shared" si="0"/>
        <v>3I3</v>
      </c>
      <c r="B44" s="42">
        <v>3</v>
      </c>
      <c r="C44" s="42" t="s">
        <v>6122</v>
      </c>
      <c r="D44" s="88" t="s">
        <v>6336</v>
      </c>
      <c r="E44" s="88" t="s">
        <v>6335</v>
      </c>
      <c r="F44" s="88">
        <v>3</v>
      </c>
      <c r="G44" s="88" t="s">
        <v>6133</v>
      </c>
      <c r="H44" s="88" t="s">
        <v>6381</v>
      </c>
    </row>
    <row r="45" spans="1:8" ht="15" customHeight="1" x14ac:dyDescent="0.2">
      <c r="A45" s="34" t="str">
        <f t="shared" si="0"/>
        <v>3I4</v>
      </c>
      <c r="B45" s="42">
        <v>3</v>
      </c>
      <c r="C45" s="42" t="s">
        <v>6122</v>
      </c>
      <c r="D45" s="88" t="s">
        <v>6337</v>
      </c>
      <c r="E45" s="88" t="s">
        <v>6338</v>
      </c>
      <c r="F45" s="88">
        <v>4</v>
      </c>
      <c r="G45" s="88" t="s">
        <v>6133</v>
      </c>
      <c r="H45" s="88" t="s">
        <v>6381</v>
      </c>
    </row>
    <row r="46" spans="1:8" ht="15" customHeight="1" x14ac:dyDescent="0.2">
      <c r="A46" s="34" t="str">
        <f t="shared" si="0"/>
        <v>3I5</v>
      </c>
      <c r="B46" s="42">
        <v>3</v>
      </c>
      <c r="C46" s="42" t="s">
        <v>6122</v>
      </c>
      <c r="D46" s="209" t="s">
        <v>6339</v>
      </c>
      <c r="E46" s="209" t="s">
        <v>6338</v>
      </c>
      <c r="F46" s="88">
        <v>5</v>
      </c>
      <c r="G46" s="88" t="s">
        <v>6140</v>
      </c>
      <c r="H46" s="38" t="s">
        <v>6380</v>
      </c>
    </row>
    <row r="47" spans="1:8" x14ac:dyDescent="0.2">
      <c r="A47" s="34" t="str">
        <f t="shared" si="0"/>
        <v>3I6</v>
      </c>
      <c r="B47" s="42">
        <v>3</v>
      </c>
      <c r="C47" s="42" t="s">
        <v>6122</v>
      </c>
      <c r="D47" s="227"/>
      <c r="E47" s="227"/>
      <c r="F47" s="88">
        <v>6</v>
      </c>
      <c r="G47" s="88" t="s">
        <v>6136</v>
      </c>
      <c r="H47" s="88" t="s">
        <v>6380</v>
      </c>
    </row>
    <row r="48" spans="1:8" x14ac:dyDescent="0.2">
      <c r="A48" s="34" t="str">
        <f t="shared" si="0"/>
        <v>3I7</v>
      </c>
      <c r="B48" s="42">
        <v>3</v>
      </c>
      <c r="C48" s="42" t="s">
        <v>6122</v>
      </c>
      <c r="D48" s="227"/>
      <c r="E48" s="227"/>
      <c r="F48" s="88">
        <v>7</v>
      </c>
      <c r="G48" s="88" t="s">
        <v>6133</v>
      </c>
      <c r="H48" s="88" t="s">
        <v>6381</v>
      </c>
    </row>
    <row r="49" spans="1:8" x14ac:dyDescent="0.2">
      <c r="A49" s="34" t="str">
        <f t="shared" si="0"/>
        <v>3I8</v>
      </c>
      <c r="B49" s="42">
        <v>3</v>
      </c>
      <c r="C49" s="42" t="s">
        <v>6122</v>
      </c>
      <c r="D49" s="226"/>
      <c r="E49" s="226"/>
      <c r="F49" s="88">
        <v>8</v>
      </c>
      <c r="G49" s="88" t="s">
        <v>6116</v>
      </c>
      <c r="H49" s="88" t="s">
        <v>6381</v>
      </c>
    </row>
    <row r="50" spans="1:8" ht="60" x14ac:dyDescent="0.2">
      <c r="A50" s="34" t="str">
        <f t="shared" si="0"/>
        <v>3I9</v>
      </c>
      <c r="B50" s="42">
        <v>3</v>
      </c>
      <c r="C50" s="42" t="s">
        <v>6122</v>
      </c>
      <c r="D50" s="88" t="s">
        <v>6340</v>
      </c>
      <c r="E50" s="88" t="s">
        <v>6338</v>
      </c>
      <c r="F50" s="88">
        <v>9</v>
      </c>
      <c r="G50" s="88" t="s">
        <v>6140</v>
      </c>
      <c r="H50" s="88" t="s">
        <v>6380</v>
      </c>
    </row>
    <row r="51" spans="1:8" ht="15" customHeight="1" x14ac:dyDescent="0.2">
      <c r="A51" s="34" t="str">
        <f t="shared" si="0"/>
        <v>3I10</v>
      </c>
      <c r="B51" s="42">
        <v>3</v>
      </c>
      <c r="C51" s="42" t="s">
        <v>6122</v>
      </c>
      <c r="D51" s="88" t="s">
        <v>6341</v>
      </c>
      <c r="E51" s="88" t="s">
        <v>6342</v>
      </c>
      <c r="F51" s="88">
        <v>10</v>
      </c>
      <c r="G51" s="88" t="s">
        <v>6133</v>
      </c>
      <c r="H51" s="88" t="s">
        <v>6381</v>
      </c>
    </row>
    <row r="52" spans="1:8" ht="15" customHeight="1" x14ac:dyDescent="0.2">
      <c r="A52" s="34" t="str">
        <f t="shared" si="0"/>
        <v>3I11</v>
      </c>
      <c r="B52" s="42">
        <v>3</v>
      </c>
      <c r="C52" s="42" t="s">
        <v>6122</v>
      </c>
      <c r="D52" s="88"/>
      <c r="E52" s="88"/>
      <c r="F52" s="88">
        <v>11</v>
      </c>
      <c r="G52" s="88" t="s">
        <v>6116</v>
      </c>
      <c r="H52" s="88" t="s">
        <v>6380</v>
      </c>
    </row>
    <row r="53" spans="1:8" ht="15" customHeight="1" x14ac:dyDescent="0.2">
      <c r="A53" s="34" t="str">
        <f t="shared" si="0"/>
        <v>3I12</v>
      </c>
      <c r="B53" s="42">
        <v>3</v>
      </c>
      <c r="C53" s="42" t="s">
        <v>6122</v>
      </c>
      <c r="D53" s="209" t="s">
        <v>6343</v>
      </c>
      <c r="E53" s="209" t="s">
        <v>6344</v>
      </c>
      <c r="F53" s="88">
        <v>12</v>
      </c>
      <c r="G53" s="88" t="s">
        <v>6136</v>
      </c>
      <c r="H53" s="42" t="s">
        <v>6381</v>
      </c>
    </row>
    <row r="54" spans="1:8" x14ac:dyDescent="0.2">
      <c r="A54" s="34" t="str">
        <f t="shared" si="0"/>
        <v>3I13</v>
      </c>
      <c r="B54" s="42">
        <v>3</v>
      </c>
      <c r="C54" s="42" t="s">
        <v>6122</v>
      </c>
      <c r="D54" s="227"/>
      <c r="E54" s="227"/>
      <c r="F54" s="88">
        <v>13</v>
      </c>
      <c r="G54" s="88" t="s">
        <v>6133</v>
      </c>
      <c r="H54" s="42" t="s">
        <v>6381</v>
      </c>
    </row>
    <row r="55" spans="1:8" x14ac:dyDescent="0.2">
      <c r="A55" s="34" t="str">
        <f t="shared" si="0"/>
        <v>3I14</v>
      </c>
      <c r="B55" s="42">
        <v>3</v>
      </c>
      <c r="C55" s="42" t="s">
        <v>6122</v>
      </c>
      <c r="D55" s="227"/>
      <c r="E55" s="227"/>
      <c r="F55" s="88">
        <v>14</v>
      </c>
      <c r="G55" s="88" t="s">
        <v>6140</v>
      </c>
      <c r="H55" s="42" t="s">
        <v>6381</v>
      </c>
    </row>
    <row r="56" spans="1:8" x14ac:dyDescent="0.2">
      <c r="A56" s="34" t="str">
        <f t="shared" si="0"/>
        <v>3I15</v>
      </c>
      <c r="B56" s="42">
        <v>3</v>
      </c>
      <c r="C56" s="42" t="s">
        <v>6122</v>
      </c>
      <c r="D56" s="227"/>
      <c r="E56" s="227"/>
      <c r="F56" s="88">
        <v>15</v>
      </c>
      <c r="G56" s="88" t="s">
        <v>6133</v>
      </c>
      <c r="H56" s="42" t="s">
        <v>6380</v>
      </c>
    </row>
    <row r="57" spans="1:8" x14ac:dyDescent="0.2">
      <c r="A57" s="34" t="str">
        <f t="shared" si="0"/>
        <v>3I16</v>
      </c>
      <c r="B57" s="42">
        <v>3</v>
      </c>
      <c r="C57" s="42" t="s">
        <v>6122</v>
      </c>
      <c r="D57" s="226"/>
      <c r="E57" s="226"/>
      <c r="F57" s="88">
        <v>16</v>
      </c>
      <c r="G57" s="88" t="s">
        <v>6116</v>
      </c>
      <c r="H57" s="42" t="s">
        <v>6380</v>
      </c>
    </row>
    <row r="58" spans="1:8" ht="15" customHeight="1" x14ac:dyDescent="0.2">
      <c r="A58" s="34" t="str">
        <f t="shared" si="0"/>
        <v>3I17</v>
      </c>
      <c r="B58" s="42">
        <v>3</v>
      </c>
      <c r="C58" s="42" t="s">
        <v>6122</v>
      </c>
      <c r="D58" s="88" t="s">
        <v>6344</v>
      </c>
      <c r="E58" s="88" t="s">
        <v>6345</v>
      </c>
      <c r="F58" s="88">
        <v>17</v>
      </c>
      <c r="G58" s="88" t="s">
        <v>6136</v>
      </c>
      <c r="H58" s="42" t="s">
        <v>6380</v>
      </c>
    </row>
    <row r="59" spans="1:8" ht="15" customHeight="1" x14ac:dyDescent="0.2">
      <c r="A59" s="34" t="str">
        <f t="shared" si="0"/>
        <v>3I18</v>
      </c>
      <c r="B59" s="42">
        <v>3</v>
      </c>
      <c r="C59" s="42" t="s">
        <v>6122</v>
      </c>
      <c r="D59" s="209" t="s">
        <v>6346</v>
      </c>
      <c r="E59" s="209" t="s">
        <v>6347</v>
      </c>
      <c r="F59" s="88">
        <v>18</v>
      </c>
      <c r="G59" s="88" t="s">
        <v>6116</v>
      </c>
      <c r="H59" s="42" t="s">
        <v>6381</v>
      </c>
    </row>
    <row r="60" spans="1:8" ht="60" x14ac:dyDescent="0.2">
      <c r="A60" s="34" t="str">
        <f t="shared" si="0"/>
        <v>3I19</v>
      </c>
      <c r="B60" s="42">
        <v>3</v>
      </c>
      <c r="C60" s="42" t="s">
        <v>6122</v>
      </c>
      <c r="D60" s="226"/>
      <c r="E60" s="226"/>
      <c r="F60" s="88">
        <v>19</v>
      </c>
      <c r="G60" s="88" t="s">
        <v>6136</v>
      </c>
      <c r="H60" s="88" t="s">
        <v>6382</v>
      </c>
    </row>
    <row r="61" spans="1:8" ht="45" x14ac:dyDescent="0.2">
      <c r="A61" s="34" t="str">
        <f t="shared" si="0"/>
        <v>3I20</v>
      </c>
      <c r="B61" s="42">
        <v>3</v>
      </c>
      <c r="C61" s="42" t="s">
        <v>6122</v>
      </c>
      <c r="D61" s="88" t="s">
        <v>6348</v>
      </c>
      <c r="E61" s="88" t="s">
        <v>6349</v>
      </c>
      <c r="F61" s="88">
        <v>20</v>
      </c>
      <c r="G61" s="88" t="s">
        <v>6136</v>
      </c>
      <c r="H61" s="42" t="s">
        <v>6381</v>
      </c>
    </row>
    <row r="62" spans="1:8" x14ac:dyDescent="0.2">
      <c r="A62" s="34" t="str">
        <f t="shared" si="0"/>
        <v>1II1</v>
      </c>
      <c r="B62" s="34">
        <v>1</v>
      </c>
      <c r="C62" s="34" t="s">
        <v>6384</v>
      </c>
      <c r="D62" s="217" t="s">
        <v>6428</v>
      </c>
      <c r="E62" s="217" t="s">
        <v>6429</v>
      </c>
      <c r="F62" s="111">
        <v>1</v>
      </c>
      <c r="G62" s="111" t="s">
        <v>6133</v>
      </c>
      <c r="H62" s="111" t="s">
        <v>6137</v>
      </c>
    </row>
    <row r="63" spans="1:8" x14ac:dyDescent="0.2">
      <c r="A63" s="34" t="str">
        <f t="shared" si="0"/>
        <v>1II2</v>
      </c>
      <c r="B63" s="34">
        <v>1</v>
      </c>
      <c r="C63" s="34" t="s">
        <v>6384</v>
      </c>
      <c r="D63" s="217"/>
      <c r="E63" s="217"/>
      <c r="F63" s="111">
        <v>2</v>
      </c>
      <c r="G63" s="111" t="s">
        <v>6140</v>
      </c>
      <c r="H63" s="111" t="s">
        <v>6137</v>
      </c>
    </row>
    <row r="64" spans="1:8" x14ac:dyDescent="0.2">
      <c r="A64" s="34" t="str">
        <f t="shared" si="0"/>
        <v>1II3</v>
      </c>
      <c r="B64" s="34">
        <v>1</v>
      </c>
      <c r="C64" s="34" t="s">
        <v>6384</v>
      </c>
      <c r="D64" s="217"/>
      <c r="E64" s="217"/>
      <c r="F64" s="111">
        <v>3</v>
      </c>
      <c r="G64" s="111" t="s">
        <v>6116</v>
      </c>
      <c r="H64" s="111" t="s">
        <v>6137</v>
      </c>
    </row>
    <row r="65" spans="1:8" x14ac:dyDescent="0.2">
      <c r="A65" s="34" t="str">
        <f t="shared" si="0"/>
        <v>1II4</v>
      </c>
      <c r="B65" s="34">
        <v>1</v>
      </c>
      <c r="C65" s="34" t="s">
        <v>6384</v>
      </c>
      <c r="D65" s="217"/>
      <c r="E65" s="217"/>
      <c r="F65" s="111">
        <v>4</v>
      </c>
      <c r="G65" s="111" t="s">
        <v>6136</v>
      </c>
      <c r="H65" s="111" t="s">
        <v>6137</v>
      </c>
    </row>
    <row r="66" spans="1:8" x14ac:dyDescent="0.2">
      <c r="A66" s="34" t="str">
        <f t="shared" si="0"/>
        <v>1II5</v>
      </c>
      <c r="B66" s="34">
        <v>1</v>
      </c>
      <c r="C66" s="34" t="s">
        <v>6384</v>
      </c>
      <c r="D66" s="217" t="s">
        <v>6430</v>
      </c>
      <c r="E66" s="217" t="s">
        <v>6431</v>
      </c>
      <c r="F66" s="111">
        <v>5</v>
      </c>
      <c r="G66" s="111" t="s">
        <v>6140</v>
      </c>
      <c r="H66" s="38" t="s">
        <v>6137</v>
      </c>
    </row>
    <row r="67" spans="1:8" x14ac:dyDescent="0.2">
      <c r="A67" s="34" t="str">
        <f t="shared" ref="A67:A130" si="1">CONCATENATE(B67,C67,F67)</f>
        <v>1II6</v>
      </c>
      <c r="B67" s="34">
        <v>1</v>
      </c>
      <c r="C67" s="34" t="s">
        <v>6384</v>
      </c>
      <c r="D67" s="217"/>
      <c r="E67" s="217"/>
      <c r="F67" s="111">
        <v>6</v>
      </c>
      <c r="G67" s="111" t="s">
        <v>6133</v>
      </c>
      <c r="H67" s="111" t="s">
        <v>6137</v>
      </c>
    </row>
    <row r="68" spans="1:8" x14ac:dyDescent="0.2">
      <c r="A68" s="34" t="str">
        <f t="shared" si="1"/>
        <v>1II7</v>
      </c>
      <c r="B68" s="34">
        <v>1</v>
      </c>
      <c r="C68" s="34" t="s">
        <v>6384</v>
      </c>
      <c r="D68" s="217"/>
      <c r="E68" s="217"/>
      <c r="F68" s="111">
        <v>7</v>
      </c>
      <c r="G68" s="111" t="s">
        <v>6116</v>
      </c>
      <c r="H68" s="111" t="s">
        <v>6137</v>
      </c>
    </row>
    <row r="69" spans="1:8" x14ac:dyDescent="0.2">
      <c r="A69" s="34" t="str">
        <f t="shared" si="1"/>
        <v>1II8</v>
      </c>
      <c r="B69" s="34">
        <v>1</v>
      </c>
      <c r="C69" s="34" t="s">
        <v>6384</v>
      </c>
      <c r="D69" s="217"/>
      <c r="E69" s="217"/>
      <c r="F69" s="111">
        <v>8</v>
      </c>
      <c r="G69" s="111" t="s">
        <v>6116</v>
      </c>
      <c r="H69" s="111" t="s">
        <v>6432</v>
      </c>
    </row>
    <row r="70" spans="1:8" x14ac:dyDescent="0.2">
      <c r="A70" s="34" t="str">
        <f t="shared" si="1"/>
        <v>1II9</v>
      </c>
      <c r="B70" s="34">
        <v>1</v>
      </c>
      <c r="C70" s="34" t="s">
        <v>6384</v>
      </c>
      <c r="D70" s="217"/>
      <c r="E70" s="217"/>
      <c r="F70" s="111">
        <v>9</v>
      </c>
      <c r="G70" s="111" t="s">
        <v>6140</v>
      </c>
      <c r="H70" s="111" t="s">
        <v>6432</v>
      </c>
    </row>
    <row r="71" spans="1:8" x14ac:dyDescent="0.2">
      <c r="A71" s="34" t="str">
        <f t="shared" si="1"/>
        <v>1II10</v>
      </c>
      <c r="B71" s="34">
        <v>1</v>
      </c>
      <c r="C71" s="34" t="s">
        <v>6384</v>
      </c>
      <c r="D71" s="217"/>
      <c r="E71" s="217"/>
      <c r="F71" s="111">
        <v>10</v>
      </c>
      <c r="G71" s="111" t="s">
        <v>6133</v>
      </c>
      <c r="H71" s="111" t="s">
        <v>6432</v>
      </c>
    </row>
    <row r="72" spans="1:8" x14ac:dyDescent="0.2">
      <c r="A72" s="34" t="str">
        <f t="shared" si="1"/>
        <v>1II11</v>
      </c>
      <c r="B72" s="34">
        <v>1</v>
      </c>
      <c r="C72" s="34" t="s">
        <v>6384</v>
      </c>
      <c r="D72" s="217" t="s">
        <v>6433</v>
      </c>
      <c r="E72" s="217" t="s">
        <v>6434</v>
      </c>
      <c r="F72" s="111">
        <v>11</v>
      </c>
      <c r="G72" s="111" t="s">
        <v>6136</v>
      </c>
      <c r="H72" s="111" t="s">
        <v>6137</v>
      </c>
    </row>
    <row r="73" spans="1:8" x14ac:dyDescent="0.2">
      <c r="A73" s="34" t="str">
        <f t="shared" si="1"/>
        <v>1II12</v>
      </c>
      <c r="B73" s="34">
        <v>1</v>
      </c>
      <c r="C73" s="34" t="s">
        <v>6384</v>
      </c>
      <c r="D73" s="217"/>
      <c r="E73" s="217"/>
      <c r="F73" s="111">
        <v>12</v>
      </c>
      <c r="G73" s="111" t="s">
        <v>6133</v>
      </c>
      <c r="H73" s="111" t="s">
        <v>6137</v>
      </c>
    </row>
    <row r="74" spans="1:8" x14ac:dyDescent="0.2">
      <c r="A74" s="34" t="str">
        <f t="shared" si="1"/>
        <v>1II13</v>
      </c>
      <c r="B74" s="34">
        <v>1</v>
      </c>
      <c r="C74" s="34" t="s">
        <v>6384</v>
      </c>
      <c r="D74" s="217"/>
      <c r="E74" s="217"/>
      <c r="F74" s="111">
        <v>13</v>
      </c>
      <c r="G74" s="111" t="s">
        <v>6136</v>
      </c>
      <c r="H74" s="111" t="s">
        <v>6137</v>
      </c>
    </row>
    <row r="75" spans="1:8" x14ac:dyDescent="0.2">
      <c r="A75" s="34" t="str">
        <f t="shared" si="1"/>
        <v>1II14</v>
      </c>
      <c r="B75" s="34">
        <v>1</v>
      </c>
      <c r="C75" s="34" t="s">
        <v>6384</v>
      </c>
      <c r="D75" s="217"/>
      <c r="E75" s="217"/>
      <c r="F75" s="111">
        <v>14</v>
      </c>
      <c r="G75" s="111" t="s">
        <v>6116</v>
      </c>
      <c r="H75" s="111" t="s">
        <v>6137</v>
      </c>
    </row>
    <row r="76" spans="1:8" x14ac:dyDescent="0.2">
      <c r="A76" s="34" t="str">
        <f t="shared" si="1"/>
        <v>1II15</v>
      </c>
      <c r="B76" s="34">
        <v>1</v>
      </c>
      <c r="C76" s="34" t="s">
        <v>6384</v>
      </c>
      <c r="D76" s="217" t="s">
        <v>6435</v>
      </c>
      <c r="E76" s="217" t="s">
        <v>6436</v>
      </c>
      <c r="F76" s="111">
        <v>15</v>
      </c>
      <c r="G76" s="111" t="s">
        <v>6136</v>
      </c>
      <c r="H76" s="111" t="s">
        <v>6432</v>
      </c>
    </row>
    <row r="77" spans="1:8" x14ac:dyDescent="0.2">
      <c r="A77" s="34" t="str">
        <f t="shared" si="1"/>
        <v>1II16</v>
      </c>
      <c r="B77" s="34">
        <v>1</v>
      </c>
      <c r="C77" s="34" t="s">
        <v>6384</v>
      </c>
      <c r="D77" s="217"/>
      <c r="E77" s="217"/>
      <c r="F77" s="111">
        <v>16</v>
      </c>
      <c r="G77" s="111" t="s">
        <v>6133</v>
      </c>
      <c r="H77" s="111" t="s">
        <v>6432</v>
      </c>
    </row>
    <row r="78" spans="1:8" x14ac:dyDescent="0.2">
      <c r="A78" s="34" t="str">
        <f t="shared" si="1"/>
        <v>1II17</v>
      </c>
      <c r="B78" s="34">
        <v>1</v>
      </c>
      <c r="C78" s="34" t="s">
        <v>6384</v>
      </c>
      <c r="D78" s="217" t="s">
        <v>6437</v>
      </c>
      <c r="E78" s="217" t="s">
        <v>6438</v>
      </c>
      <c r="F78" s="111">
        <v>17</v>
      </c>
      <c r="G78" s="111" t="s">
        <v>6116</v>
      </c>
      <c r="H78" s="111" t="s">
        <v>6137</v>
      </c>
    </row>
    <row r="79" spans="1:8" x14ac:dyDescent="0.2">
      <c r="A79" s="34" t="str">
        <f t="shared" si="1"/>
        <v>1II18</v>
      </c>
      <c r="B79" s="34">
        <v>1</v>
      </c>
      <c r="C79" s="34" t="s">
        <v>6384</v>
      </c>
      <c r="D79" s="217"/>
      <c r="E79" s="217"/>
      <c r="F79" s="111">
        <v>18</v>
      </c>
      <c r="G79" s="111" t="s">
        <v>6140</v>
      </c>
      <c r="H79" s="111" t="s">
        <v>6137</v>
      </c>
    </row>
    <row r="80" spans="1:8" x14ac:dyDescent="0.2">
      <c r="A80" s="34" t="str">
        <f t="shared" si="1"/>
        <v>1II19</v>
      </c>
      <c r="B80" s="34">
        <v>1</v>
      </c>
      <c r="C80" s="34" t="s">
        <v>6384</v>
      </c>
      <c r="D80" s="217" t="s">
        <v>6439</v>
      </c>
      <c r="E80" s="217" t="s">
        <v>6440</v>
      </c>
      <c r="F80" s="111">
        <v>19</v>
      </c>
      <c r="G80" s="111" t="s">
        <v>6116</v>
      </c>
      <c r="H80" s="111" t="s">
        <v>6432</v>
      </c>
    </row>
    <row r="81" spans="1:8" x14ac:dyDescent="0.2">
      <c r="A81" s="34" t="str">
        <f t="shared" si="1"/>
        <v>1II20</v>
      </c>
      <c r="B81" s="34">
        <v>1</v>
      </c>
      <c r="C81" s="34" t="s">
        <v>6384</v>
      </c>
      <c r="D81" s="217"/>
      <c r="E81" s="217"/>
      <c r="F81" s="111">
        <v>20</v>
      </c>
      <c r="G81" s="111" t="s">
        <v>6136</v>
      </c>
      <c r="H81" s="111" t="s">
        <v>6432</v>
      </c>
    </row>
    <row r="82" spans="1:8" x14ac:dyDescent="0.2">
      <c r="A82" s="34" t="str">
        <f t="shared" si="1"/>
        <v>2II1</v>
      </c>
      <c r="B82" s="34">
        <v>2</v>
      </c>
      <c r="C82" s="34" t="s">
        <v>6384</v>
      </c>
      <c r="D82" s="217" t="s">
        <v>6503</v>
      </c>
      <c r="E82" s="217" t="s">
        <v>6504</v>
      </c>
      <c r="F82" s="111">
        <v>1</v>
      </c>
      <c r="G82" s="111" t="s">
        <v>6136</v>
      </c>
      <c r="H82" s="111" t="s">
        <v>6137</v>
      </c>
    </row>
    <row r="83" spans="1:8" ht="30" x14ac:dyDescent="0.2">
      <c r="A83" s="34" t="str">
        <f t="shared" si="1"/>
        <v>2II2</v>
      </c>
      <c r="B83" s="34">
        <v>2</v>
      </c>
      <c r="C83" s="34" t="s">
        <v>6384</v>
      </c>
      <c r="D83" s="217"/>
      <c r="E83" s="217"/>
      <c r="F83" s="111">
        <v>2</v>
      </c>
      <c r="G83" s="111" t="s">
        <v>6116</v>
      </c>
      <c r="H83" s="111" t="s">
        <v>6134</v>
      </c>
    </row>
    <row r="84" spans="1:8" ht="30" x14ac:dyDescent="0.2">
      <c r="A84" s="34" t="str">
        <f t="shared" si="1"/>
        <v>2II3</v>
      </c>
      <c r="B84" s="34">
        <v>2</v>
      </c>
      <c r="C84" s="34" t="s">
        <v>6384</v>
      </c>
      <c r="D84" s="217"/>
      <c r="E84" s="217"/>
      <c r="F84" s="111">
        <v>3</v>
      </c>
      <c r="G84" s="111" t="s">
        <v>6133</v>
      </c>
      <c r="H84" s="111" t="s">
        <v>6134</v>
      </c>
    </row>
    <row r="85" spans="1:8" x14ac:dyDescent="0.2">
      <c r="A85" s="34" t="str">
        <f t="shared" si="1"/>
        <v>2II4</v>
      </c>
      <c r="B85" s="34">
        <v>2</v>
      </c>
      <c r="C85" s="34" t="s">
        <v>6384</v>
      </c>
      <c r="D85" s="217" t="s">
        <v>6505</v>
      </c>
      <c r="E85" s="217"/>
      <c r="F85" s="111">
        <v>4</v>
      </c>
      <c r="G85" s="111" t="s">
        <v>6133</v>
      </c>
      <c r="H85" s="111" t="s">
        <v>6137</v>
      </c>
    </row>
    <row r="86" spans="1:8" x14ac:dyDescent="0.2">
      <c r="A86" s="34" t="str">
        <f t="shared" si="1"/>
        <v>2II5</v>
      </c>
      <c r="B86" s="34">
        <v>2</v>
      </c>
      <c r="C86" s="34" t="s">
        <v>6384</v>
      </c>
      <c r="D86" s="217"/>
      <c r="E86" s="217"/>
      <c r="F86" s="111">
        <v>5</v>
      </c>
      <c r="G86" s="111" t="s">
        <v>6136</v>
      </c>
      <c r="H86" s="38" t="s">
        <v>6154</v>
      </c>
    </row>
    <row r="87" spans="1:8" ht="30" x14ac:dyDescent="0.2">
      <c r="A87" s="34" t="str">
        <f t="shared" si="1"/>
        <v>2II6</v>
      </c>
      <c r="B87" s="34">
        <v>2</v>
      </c>
      <c r="C87" s="34" t="s">
        <v>6384</v>
      </c>
      <c r="D87" s="217"/>
      <c r="E87" s="217"/>
      <c r="F87" s="111">
        <v>6</v>
      </c>
      <c r="G87" s="111" t="s">
        <v>6116</v>
      </c>
      <c r="H87" s="111" t="s">
        <v>6134</v>
      </c>
    </row>
    <row r="88" spans="1:8" ht="30" x14ac:dyDescent="0.2">
      <c r="A88" s="34" t="str">
        <f t="shared" si="1"/>
        <v>2II7</v>
      </c>
      <c r="B88" s="34">
        <v>2</v>
      </c>
      <c r="C88" s="34" t="s">
        <v>6384</v>
      </c>
      <c r="D88" s="217" t="s">
        <v>6506</v>
      </c>
      <c r="E88" s="217" t="s">
        <v>6507</v>
      </c>
      <c r="F88" s="111">
        <v>7</v>
      </c>
      <c r="G88" s="111" t="s">
        <v>6136</v>
      </c>
      <c r="H88" s="111" t="s">
        <v>6134</v>
      </c>
    </row>
    <row r="89" spans="1:8" ht="30" x14ac:dyDescent="0.2">
      <c r="A89" s="34" t="str">
        <f t="shared" si="1"/>
        <v>2II8</v>
      </c>
      <c r="B89" s="34">
        <v>2</v>
      </c>
      <c r="C89" s="34" t="s">
        <v>6384</v>
      </c>
      <c r="D89" s="217"/>
      <c r="E89" s="217"/>
      <c r="F89" s="111">
        <v>8</v>
      </c>
      <c r="G89" s="111" t="s">
        <v>6133</v>
      </c>
      <c r="H89" s="111" t="s">
        <v>6134</v>
      </c>
    </row>
    <row r="90" spans="1:8" x14ac:dyDescent="0.2">
      <c r="A90" s="34" t="str">
        <f t="shared" si="1"/>
        <v>2II9</v>
      </c>
      <c r="B90" s="34">
        <v>2</v>
      </c>
      <c r="C90" s="34" t="s">
        <v>6384</v>
      </c>
      <c r="D90" s="217"/>
      <c r="E90" s="217"/>
      <c r="F90" s="111">
        <v>9</v>
      </c>
      <c r="G90" s="111" t="s">
        <v>6140</v>
      </c>
      <c r="H90" s="111" t="s">
        <v>6154</v>
      </c>
    </row>
    <row r="91" spans="1:8" x14ac:dyDescent="0.2">
      <c r="A91" s="34" t="str">
        <f t="shared" si="1"/>
        <v>2II10</v>
      </c>
      <c r="B91" s="34">
        <v>2</v>
      </c>
      <c r="C91" s="34" t="s">
        <v>6384</v>
      </c>
      <c r="D91" s="217"/>
      <c r="E91" s="217"/>
      <c r="F91" s="111">
        <v>10</v>
      </c>
      <c r="G91" s="111" t="s">
        <v>6136</v>
      </c>
      <c r="H91" s="111" t="s">
        <v>6154</v>
      </c>
    </row>
    <row r="92" spans="1:8" ht="30" x14ac:dyDescent="0.2">
      <c r="A92" s="34" t="str">
        <f t="shared" si="1"/>
        <v>2II11</v>
      </c>
      <c r="B92" s="34">
        <v>2</v>
      </c>
      <c r="C92" s="34" t="s">
        <v>6384</v>
      </c>
      <c r="D92" s="217"/>
      <c r="E92" s="217"/>
      <c r="F92" s="111">
        <v>11</v>
      </c>
      <c r="G92" s="111" t="s">
        <v>6116</v>
      </c>
      <c r="H92" s="111" t="s">
        <v>6508</v>
      </c>
    </row>
    <row r="93" spans="1:8" ht="30" x14ac:dyDescent="0.2">
      <c r="A93" s="34" t="str">
        <f t="shared" si="1"/>
        <v>2II12</v>
      </c>
      <c r="B93" s="34">
        <v>2</v>
      </c>
      <c r="C93" s="34" t="s">
        <v>6384</v>
      </c>
      <c r="D93" s="217"/>
      <c r="E93" s="217"/>
      <c r="F93" s="111">
        <v>12</v>
      </c>
      <c r="G93" s="111" t="s">
        <v>6133</v>
      </c>
      <c r="H93" s="111" t="s">
        <v>6276</v>
      </c>
    </row>
    <row r="94" spans="1:8" ht="30" x14ac:dyDescent="0.2">
      <c r="A94" s="34" t="str">
        <f t="shared" si="1"/>
        <v>2II13</v>
      </c>
      <c r="B94" s="34">
        <v>2</v>
      </c>
      <c r="C94" s="34" t="s">
        <v>6384</v>
      </c>
      <c r="D94" s="217"/>
      <c r="E94" s="217"/>
      <c r="F94" s="111">
        <v>13</v>
      </c>
      <c r="G94" s="111" t="s">
        <v>6136</v>
      </c>
      <c r="H94" s="111" t="s">
        <v>6276</v>
      </c>
    </row>
    <row r="95" spans="1:8" ht="60" x14ac:dyDescent="0.2">
      <c r="A95" s="34" t="str">
        <f t="shared" si="1"/>
        <v>2II14</v>
      </c>
      <c r="B95" s="34">
        <v>2</v>
      </c>
      <c r="C95" s="34" t="s">
        <v>6384</v>
      </c>
      <c r="D95" s="112" t="s">
        <v>6509</v>
      </c>
      <c r="E95" s="112" t="s">
        <v>6510</v>
      </c>
      <c r="F95" s="111">
        <v>14</v>
      </c>
      <c r="G95" s="111" t="s">
        <v>6133</v>
      </c>
      <c r="H95" s="111" t="s">
        <v>6276</v>
      </c>
    </row>
    <row r="96" spans="1:8" ht="30" x14ac:dyDescent="0.2">
      <c r="A96" s="34" t="str">
        <f t="shared" si="1"/>
        <v>2II15</v>
      </c>
      <c r="B96" s="34">
        <v>2</v>
      </c>
      <c r="C96" s="34" t="s">
        <v>6384</v>
      </c>
      <c r="D96" s="217" t="s">
        <v>6511</v>
      </c>
      <c r="E96" s="217" t="s">
        <v>6512</v>
      </c>
      <c r="F96" s="111">
        <v>15</v>
      </c>
      <c r="G96" s="111" t="s">
        <v>6136</v>
      </c>
      <c r="H96" s="111" t="s">
        <v>6134</v>
      </c>
    </row>
    <row r="97" spans="1:8" ht="30" x14ac:dyDescent="0.2">
      <c r="A97" s="34" t="str">
        <f t="shared" si="1"/>
        <v>2II16</v>
      </c>
      <c r="B97" s="34">
        <v>2</v>
      </c>
      <c r="C97" s="34" t="s">
        <v>6384</v>
      </c>
      <c r="D97" s="217"/>
      <c r="E97" s="217"/>
      <c r="F97" s="111">
        <v>16</v>
      </c>
      <c r="G97" s="111" t="s">
        <v>6133</v>
      </c>
      <c r="H97" s="111" t="s">
        <v>6134</v>
      </c>
    </row>
    <row r="98" spans="1:8" ht="30" x14ac:dyDescent="0.2">
      <c r="A98" s="34" t="str">
        <f t="shared" si="1"/>
        <v>2II17</v>
      </c>
      <c r="B98" s="34">
        <v>2</v>
      </c>
      <c r="C98" s="34" t="s">
        <v>6384</v>
      </c>
      <c r="D98" s="217" t="s">
        <v>6513</v>
      </c>
      <c r="E98" s="217" t="s">
        <v>6514</v>
      </c>
      <c r="F98" s="111">
        <v>17</v>
      </c>
      <c r="G98" s="111" t="s">
        <v>6116</v>
      </c>
      <c r="H98" s="111" t="s">
        <v>6134</v>
      </c>
    </row>
    <row r="99" spans="1:8" ht="30" x14ac:dyDescent="0.2">
      <c r="A99" s="34" t="str">
        <f t="shared" si="1"/>
        <v>2II18</v>
      </c>
      <c r="B99" s="34">
        <v>2</v>
      </c>
      <c r="C99" s="34" t="s">
        <v>6384</v>
      </c>
      <c r="D99" s="217"/>
      <c r="E99" s="217"/>
      <c r="F99" s="111">
        <v>18</v>
      </c>
      <c r="G99" s="111" t="s">
        <v>6140</v>
      </c>
      <c r="H99" s="111" t="s">
        <v>6134</v>
      </c>
    </row>
    <row r="100" spans="1:8" ht="30" x14ac:dyDescent="0.2">
      <c r="A100" s="34" t="str">
        <f t="shared" si="1"/>
        <v>2II19</v>
      </c>
      <c r="B100" s="34">
        <v>2</v>
      </c>
      <c r="C100" s="34" t="s">
        <v>6384</v>
      </c>
      <c r="D100" s="217" t="s">
        <v>6515</v>
      </c>
      <c r="E100" s="217" t="s">
        <v>6516</v>
      </c>
      <c r="F100" s="111">
        <v>19</v>
      </c>
      <c r="G100" s="111" t="s">
        <v>6136</v>
      </c>
      <c r="H100" s="111" t="s">
        <v>6276</v>
      </c>
    </row>
    <row r="101" spans="1:8" ht="30" x14ac:dyDescent="0.2">
      <c r="A101" s="34" t="str">
        <f t="shared" si="1"/>
        <v>2II20</v>
      </c>
      <c r="B101" s="34">
        <v>2</v>
      </c>
      <c r="C101" s="34" t="s">
        <v>6384</v>
      </c>
      <c r="D101" s="217"/>
      <c r="E101" s="217"/>
      <c r="F101" s="111">
        <v>20</v>
      </c>
      <c r="G101" s="111" t="s">
        <v>6140</v>
      </c>
      <c r="H101" s="111" t="s">
        <v>6276</v>
      </c>
    </row>
    <row r="102" spans="1:8" ht="45" x14ac:dyDescent="0.2">
      <c r="A102" s="34" t="str">
        <f t="shared" si="1"/>
        <v>3II1</v>
      </c>
      <c r="B102" s="34">
        <v>3</v>
      </c>
      <c r="C102" s="34" t="s">
        <v>6384</v>
      </c>
      <c r="D102" s="46" t="s">
        <v>6565</v>
      </c>
      <c r="E102" s="237" t="s">
        <v>6566</v>
      </c>
      <c r="F102" s="53">
        <v>1</v>
      </c>
      <c r="G102" s="53" t="s">
        <v>6133</v>
      </c>
      <c r="H102" s="53" t="s">
        <v>6184</v>
      </c>
    </row>
    <row r="103" spans="1:8" ht="30" x14ac:dyDescent="0.2">
      <c r="A103" s="34" t="str">
        <f t="shared" si="1"/>
        <v>3II2</v>
      </c>
      <c r="B103" s="34">
        <v>3</v>
      </c>
      <c r="C103" s="34" t="s">
        <v>6384</v>
      </c>
      <c r="D103" s="46" t="s">
        <v>6567</v>
      </c>
      <c r="E103" s="237"/>
      <c r="F103" s="53">
        <v>2</v>
      </c>
      <c r="G103" s="53" t="s">
        <v>6140</v>
      </c>
      <c r="H103" s="53" t="s">
        <v>6184</v>
      </c>
    </row>
    <row r="104" spans="1:8" x14ac:dyDescent="0.2">
      <c r="A104" s="34" t="str">
        <f t="shared" si="1"/>
        <v>3II3</v>
      </c>
      <c r="B104" s="34">
        <v>3</v>
      </c>
      <c r="C104" s="34" t="s">
        <v>6384</v>
      </c>
      <c r="D104" s="237" t="s">
        <v>6568</v>
      </c>
      <c r="E104" s="237" t="s">
        <v>6569</v>
      </c>
      <c r="F104" s="53">
        <v>3</v>
      </c>
      <c r="G104" s="53" t="s">
        <v>6133</v>
      </c>
      <c r="H104" s="53" t="s">
        <v>6184</v>
      </c>
    </row>
    <row r="105" spans="1:8" ht="30" x14ac:dyDescent="0.2">
      <c r="A105" s="34" t="str">
        <f t="shared" si="1"/>
        <v>3II4</v>
      </c>
      <c r="B105" s="34">
        <v>3</v>
      </c>
      <c r="C105" s="34" t="s">
        <v>6384</v>
      </c>
      <c r="D105" s="218"/>
      <c r="E105" s="237"/>
      <c r="F105" s="53">
        <v>4</v>
      </c>
      <c r="G105" s="53" t="s">
        <v>6116</v>
      </c>
      <c r="H105" s="53" t="s">
        <v>6134</v>
      </c>
    </row>
    <row r="106" spans="1:8" x14ac:dyDescent="0.2">
      <c r="A106" s="34" t="str">
        <f t="shared" si="1"/>
        <v>3II5</v>
      </c>
      <c r="B106" s="34">
        <v>3</v>
      </c>
      <c r="C106" s="34" t="s">
        <v>6384</v>
      </c>
      <c r="D106" s="237" t="s">
        <v>6570</v>
      </c>
      <c r="E106" s="237"/>
      <c r="F106" s="53">
        <v>5</v>
      </c>
      <c r="G106" s="53" t="s">
        <v>6140</v>
      </c>
      <c r="H106" s="53" t="s">
        <v>6571</v>
      </c>
    </row>
    <row r="107" spans="1:8" x14ac:dyDescent="0.2">
      <c r="A107" s="34" t="str">
        <f t="shared" si="1"/>
        <v>3II6</v>
      </c>
      <c r="B107" s="34">
        <v>3</v>
      </c>
      <c r="C107" s="34" t="s">
        <v>6384</v>
      </c>
      <c r="D107" s="218"/>
      <c r="E107" s="237"/>
      <c r="F107" s="53">
        <v>6</v>
      </c>
      <c r="G107" s="53" t="s">
        <v>6133</v>
      </c>
      <c r="H107" s="53" t="s">
        <v>6137</v>
      </c>
    </row>
    <row r="108" spans="1:8" x14ac:dyDescent="0.2">
      <c r="A108" s="34" t="str">
        <f t="shared" si="1"/>
        <v>3II7</v>
      </c>
      <c r="B108" s="34">
        <v>3</v>
      </c>
      <c r="C108" s="34" t="s">
        <v>6384</v>
      </c>
      <c r="D108" s="237" t="s">
        <v>6572</v>
      </c>
      <c r="E108" s="237"/>
      <c r="F108" s="115">
        <v>7</v>
      </c>
      <c r="G108" s="115" t="s">
        <v>6140</v>
      </c>
      <c r="H108" s="116" t="s">
        <v>6137</v>
      </c>
    </row>
    <row r="109" spans="1:8" x14ac:dyDescent="0.2">
      <c r="A109" s="34" t="str">
        <f t="shared" si="1"/>
        <v>3II8</v>
      </c>
      <c r="B109" s="34">
        <v>3</v>
      </c>
      <c r="C109" s="34" t="s">
        <v>6384</v>
      </c>
      <c r="D109" s="237"/>
      <c r="E109" s="237"/>
      <c r="F109" s="53">
        <v>8</v>
      </c>
      <c r="G109" s="53" t="s">
        <v>6136</v>
      </c>
      <c r="H109" s="53" t="s">
        <v>6137</v>
      </c>
    </row>
    <row r="110" spans="1:8" x14ac:dyDescent="0.2">
      <c r="A110" s="34" t="str">
        <f t="shared" si="1"/>
        <v>3II9</v>
      </c>
      <c r="B110" s="34">
        <v>3</v>
      </c>
      <c r="C110" s="34" t="s">
        <v>6384</v>
      </c>
      <c r="D110" s="237" t="s">
        <v>6573</v>
      </c>
      <c r="E110" s="237" t="s">
        <v>6574</v>
      </c>
      <c r="F110" s="53">
        <v>9</v>
      </c>
      <c r="G110" s="53" t="s">
        <v>6140</v>
      </c>
      <c r="H110" s="53" t="s">
        <v>6184</v>
      </c>
    </row>
    <row r="111" spans="1:8" x14ac:dyDescent="0.2">
      <c r="A111" s="34" t="str">
        <f t="shared" si="1"/>
        <v>3II10</v>
      </c>
      <c r="B111" s="34">
        <v>3</v>
      </c>
      <c r="C111" s="34" t="s">
        <v>6384</v>
      </c>
      <c r="D111" s="218"/>
      <c r="E111" s="237"/>
      <c r="F111" s="53">
        <v>10</v>
      </c>
      <c r="G111" s="53" t="s">
        <v>6133</v>
      </c>
      <c r="H111" s="53" t="s">
        <v>6184</v>
      </c>
    </row>
    <row r="112" spans="1:8" x14ac:dyDescent="0.2">
      <c r="A112" s="34" t="str">
        <f t="shared" si="1"/>
        <v>3II11</v>
      </c>
      <c r="B112" s="34">
        <v>3</v>
      </c>
      <c r="C112" s="34" t="s">
        <v>6384</v>
      </c>
      <c r="D112" s="218"/>
      <c r="E112" s="237"/>
      <c r="F112" s="53">
        <v>11</v>
      </c>
      <c r="G112" s="53" t="s">
        <v>6136</v>
      </c>
      <c r="H112" s="53" t="s">
        <v>6184</v>
      </c>
    </row>
    <row r="113" spans="1:8" x14ac:dyDescent="0.2">
      <c r="A113" s="34" t="str">
        <f t="shared" si="1"/>
        <v>3II12</v>
      </c>
      <c r="B113" s="34">
        <v>3</v>
      </c>
      <c r="C113" s="34" t="s">
        <v>6384</v>
      </c>
      <c r="D113" s="218"/>
      <c r="E113" s="237"/>
      <c r="F113" s="53">
        <v>12</v>
      </c>
      <c r="G113" s="53" t="s">
        <v>6133</v>
      </c>
      <c r="H113" s="53" t="s">
        <v>6184</v>
      </c>
    </row>
    <row r="114" spans="1:8" ht="60" x14ac:dyDescent="0.2">
      <c r="A114" s="34" t="str">
        <f t="shared" si="1"/>
        <v>3II13</v>
      </c>
      <c r="B114" s="34">
        <v>3</v>
      </c>
      <c r="C114" s="34" t="s">
        <v>6384</v>
      </c>
      <c r="D114" s="46" t="s">
        <v>6575</v>
      </c>
      <c r="E114" s="237" t="s">
        <v>6576</v>
      </c>
      <c r="F114" s="53">
        <v>13</v>
      </c>
      <c r="G114" s="53" t="s">
        <v>6133</v>
      </c>
      <c r="H114" s="53" t="s">
        <v>6154</v>
      </c>
    </row>
    <row r="115" spans="1:8" ht="60" x14ac:dyDescent="0.2">
      <c r="A115" s="34" t="str">
        <f t="shared" si="1"/>
        <v>3II14</v>
      </c>
      <c r="B115" s="34">
        <v>3</v>
      </c>
      <c r="C115" s="34" t="s">
        <v>6384</v>
      </c>
      <c r="D115" s="46" t="s">
        <v>6577</v>
      </c>
      <c r="E115" s="218"/>
      <c r="F115" s="53">
        <v>14</v>
      </c>
      <c r="G115" s="53" t="s">
        <v>6140</v>
      </c>
      <c r="H115" s="117" t="s">
        <v>6154</v>
      </c>
    </row>
    <row r="116" spans="1:8" ht="30" x14ac:dyDescent="0.2">
      <c r="A116" s="34" t="str">
        <f t="shared" si="1"/>
        <v>3II15</v>
      </c>
      <c r="B116" s="34">
        <v>3</v>
      </c>
      <c r="C116" s="34" t="s">
        <v>6384</v>
      </c>
      <c r="D116" s="237" t="s">
        <v>6578</v>
      </c>
      <c r="E116" s="237" t="s">
        <v>6579</v>
      </c>
      <c r="F116" s="53">
        <v>15</v>
      </c>
      <c r="G116" s="53" t="s">
        <v>6140</v>
      </c>
      <c r="H116" s="118" t="s">
        <v>6134</v>
      </c>
    </row>
    <row r="117" spans="1:8" ht="30" x14ac:dyDescent="0.2">
      <c r="A117" s="34" t="str">
        <f t="shared" si="1"/>
        <v>3II16</v>
      </c>
      <c r="B117" s="34">
        <v>3</v>
      </c>
      <c r="C117" s="34" t="s">
        <v>6384</v>
      </c>
      <c r="D117" s="218"/>
      <c r="E117" s="218"/>
      <c r="F117" s="53">
        <v>16</v>
      </c>
      <c r="G117" s="53" t="s">
        <v>6133</v>
      </c>
      <c r="H117" s="118" t="s">
        <v>6134</v>
      </c>
    </row>
    <row r="118" spans="1:8" ht="30" x14ac:dyDescent="0.2">
      <c r="A118" s="34" t="str">
        <f t="shared" si="1"/>
        <v>3II17</v>
      </c>
      <c r="B118" s="34">
        <v>3</v>
      </c>
      <c r="C118" s="34" t="s">
        <v>6384</v>
      </c>
      <c r="D118" s="218"/>
      <c r="E118" s="218"/>
      <c r="F118" s="53">
        <v>17</v>
      </c>
      <c r="G118" s="53" t="s">
        <v>6133</v>
      </c>
      <c r="H118" s="118" t="s">
        <v>6134</v>
      </c>
    </row>
    <row r="119" spans="1:8" ht="30" x14ac:dyDescent="0.2">
      <c r="A119" s="34" t="str">
        <f t="shared" si="1"/>
        <v>3II18</v>
      </c>
      <c r="B119" s="34">
        <v>3</v>
      </c>
      <c r="C119" s="34" t="s">
        <v>6384</v>
      </c>
      <c r="D119" s="46" t="s">
        <v>6580</v>
      </c>
      <c r="E119" s="218"/>
      <c r="F119" s="53">
        <v>18</v>
      </c>
      <c r="G119" s="53" t="s">
        <v>6581</v>
      </c>
      <c r="H119" s="53" t="s">
        <v>6184</v>
      </c>
    </row>
    <row r="120" spans="1:8" ht="45" x14ac:dyDescent="0.2">
      <c r="A120" s="34" t="str">
        <f t="shared" si="1"/>
        <v>3II19</v>
      </c>
      <c r="B120" s="34">
        <v>3</v>
      </c>
      <c r="C120" s="34" t="s">
        <v>6384</v>
      </c>
      <c r="D120" s="46" t="s">
        <v>6582</v>
      </c>
      <c r="E120" s="237" t="s">
        <v>6583</v>
      </c>
      <c r="F120" s="53">
        <v>19</v>
      </c>
      <c r="G120" s="53" t="s">
        <v>6116</v>
      </c>
      <c r="H120" s="53" t="s">
        <v>6184</v>
      </c>
    </row>
    <row r="121" spans="1:8" ht="30" x14ac:dyDescent="0.2">
      <c r="A121" s="34" t="str">
        <f t="shared" si="1"/>
        <v>3II20</v>
      </c>
      <c r="B121" s="34">
        <v>3</v>
      </c>
      <c r="C121" s="34" t="s">
        <v>6384</v>
      </c>
      <c r="D121" s="46" t="s">
        <v>6584</v>
      </c>
      <c r="E121" s="237"/>
      <c r="F121" s="53">
        <v>20</v>
      </c>
      <c r="G121" s="53" t="s">
        <v>6140</v>
      </c>
      <c r="H121" s="118" t="s">
        <v>6134</v>
      </c>
    </row>
    <row r="122" spans="1:8" x14ac:dyDescent="0.2">
      <c r="A122" s="34" t="str">
        <f t="shared" si="1"/>
        <v/>
      </c>
    </row>
    <row r="123" spans="1:8" x14ac:dyDescent="0.2">
      <c r="A123" s="34" t="str">
        <f t="shared" si="1"/>
        <v/>
      </c>
    </row>
    <row r="124" spans="1:8" x14ac:dyDescent="0.2">
      <c r="A124" s="34" t="str">
        <f t="shared" si="1"/>
        <v/>
      </c>
    </row>
    <row r="125" spans="1:8" x14ac:dyDescent="0.2">
      <c r="A125" s="34" t="str">
        <f t="shared" si="1"/>
        <v/>
      </c>
    </row>
    <row r="126" spans="1:8" x14ac:dyDescent="0.2">
      <c r="A126" s="34" t="str">
        <f t="shared" si="1"/>
        <v/>
      </c>
    </row>
    <row r="127" spans="1:8" x14ac:dyDescent="0.2">
      <c r="A127" s="34" t="str">
        <f t="shared" si="1"/>
        <v/>
      </c>
    </row>
    <row r="128" spans="1:8" x14ac:dyDescent="0.2">
      <c r="A128" s="34" t="str">
        <f t="shared" si="1"/>
        <v/>
      </c>
    </row>
    <row r="129" spans="1:1" x14ac:dyDescent="0.2">
      <c r="A129" s="34" t="str">
        <f t="shared" si="1"/>
        <v/>
      </c>
    </row>
    <row r="130" spans="1:1" x14ac:dyDescent="0.2">
      <c r="A130" s="34" t="str">
        <f t="shared" si="1"/>
        <v/>
      </c>
    </row>
    <row r="131" spans="1:1" x14ac:dyDescent="0.2">
      <c r="A131" s="34" t="str">
        <f t="shared" ref="A131:A194" si="2">CONCATENATE(B131,C131,F131)</f>
        <v/>
      </c>
    </row>
    <row r="132" spans="1:1" x14ac:dyDescent="0.2">
      <c r="A132" s="34" t="str">
        <f t="shared" si="2"/>
        <v/>
      </c>
    </row>
    <row r="133" spans="1:1" x14ac:dyDescent="0.2">
      <c r="A133" s="34" t="str">
        <f t="shared" si="2"/>
        <v/>
      </c>
    </row>
    <row r="134" spans="1:1" x14ac:dyDescent="0.2">
      <c r="A134" s="34" t="str">
        <f t="shared" si="2"/>
        <v/>
      </c>
    </row>
    <row r="135" spans="1:1" x14ac:dyDescent="0.2">
      <c r="A135" s="34" t="str">
        <f t="shared" si="2"/>
        <v/>
      </c>
    </row>
    <row r="136" spans="1:1" x14ac:dyDescent="0.2">
      <c r="A136" s="34" t="str">
        <f t="shared" si="2"/>
        <v/>
      </c>
    </row>
    <row r="137" spans="1:1" x14ac:dyDescent="0.2">
      <c r="A137" s="34" t="str">
        <f t="shared" si="2"/>
        <v/>
      </c>
    </row>
    <row r="138" spans="1:1" x14ac:dyDescent="0.2">
      <c r="A138" s="34" t="str">
        <f t="shared" si="2"/>
        <v/>
      </c>
    </row>
    <row r="139" spans="1:1" x14ac:dyDescent="0.2">
      <c r="A139" s="34" t="str">
        <f t="shared" si="2"/>
        <v/>
      </c>
    </row>
    <row r="140" spans="1:1" x14ac:dyDescent="0.2">
      <c r="A140" s="34" t="str">
        <f t="shared" si="2"/>
        <v/>
      </c>
    </row>
    <row r="141" spans="1:1" x14ac:dyDescent="0.2">
      <c r="A141" s="34" t="str">
        <f t="shared" si="2"/>
        <v/>
      </c>
    </row>
    <row r="142" spans="1:1" x14ac:dyDescent="0.2">
      <c r="A142" s="34" t="str">
        <f t="shared" si="2"/>
        <v/>
      </c>
    </row>
    <row r="143" spans="1:1" x14ac:dyDescent="0.2">
      <c r="A143" s="34" t="str">
        <f t="shared" si="2"/>
        <v/>
      </c>
    </row>
    <row r="144" spans="1:1" x14ac:dyDescent="0.2">
      <c r="A144" s="34" t="str">
        <f t="shared" si="2"/>
        <v/>
      </c>
    </row>
    <row r="145" spans="1:1" x14ac:dyDescent="0.2">
      <c r="A145" s="34" t="str">
        <f t="shared" si="2"/>
        <v/>
      </c>
    </row>
    <row r="146" spans="1:1" x14ac:dyDescent="0.2">
      <c r="A146" s="34" t="str">
        <f t="shared" si="2"/>
        <v/>
      </c>
    </row>
    <row r="147" spans="1:1" x14ac:dyDescent="0.2">
      <c r="A147" s="34" t="str">
        <f t="shared" si="2"/>
        <v/>
      </c>
    </row>
    <row r="148" spans="1:1" x14ac:dyDescent="0.2">
      <c r="A148" s="34" t="str">
        <f t="shared" si="2"/>
        <v/>
      </c>
    </row>
    <row r="149" spans="1:1" x14ac:dyDescent="0.2">
      <c r="A149" s="34" t="str">
        <f t="shared" si="2"/>
        <v/>
      </c>
    </row>
    <row r="150" spans="1:1" x14ac:dyDescent="0.2">
      <c r="A150" s="34" t="str">
        <f t="shared" si="2"/>
        <v/>
      </c>
    </row>
    <row r="151" spans="1:1" x14ac:dyDescent="0.2">
      <c r="A151" s="34" t="str">
        <f t="shared" si="2"/>
        <v/>
      </c>
    </row>
    <row r="152" spans="1:1" x14ac:dyDescent="0.2">
      <c r="A152" s="34" t="str">
        <f t="shared" si="2"/>
        <v/>
      </c>
    </row>
    <row r="153" spans="1:1" x14ac:dyDescent="0.2">
      <c r="A153" s="34" t="str">
        <f t="shared" si="2"/>
        <v/>
      </c>
    </row>
    <row r="154" spans="1:1" x14ac:dyDescent="0.2">
      <c r="A154" s="34" t="str">
        <f t="shared" si="2"/>
        <v/>
      </c>
    </row>
    <row r="155" spans="1:1" x14ac:dyDescent="0.2">
      <c r="A155" s="34" t="str">
        <f t="shared" si="2"/>
        <v/>
      </c>
    </row>
    <row r="156" spans="1:1" x14ac:dyDescent="0.2">
      <c r="A156" s="34" t="str">
        <f t="shared" si="2"/>
        <v/>
      </c>
    </row>
    <row r="157" spans="1:1" x14ac:dyDescent="0.2">
      <c r="A157" s="34" t="str">
        <f t="shared" si="2"/>
        <v/>
      </c>
    </row>
    <row r="158" spans="1:1" x14ac:dyDescent="0.2">
      <c r="A158" s="34" t="str">
        <f t="shared" si="2"/>
        <v/>
      </c>
    </row>
    <row r="159" spans="1:1" x14ac:dyDescent="0.2">
      <c r="A159" s="34" t="str">
        <f t="shared" si="2"/>
        <v/>
      </c>
    </row>
    <row r="160" spans="1:1" x14ac:dyDescent="0.2">
      <c r="A160" s="34" t="str">
        <f t="shared" si="2"/>
        <v/>
      </c>
    </row>
    <row r="161" spans="1:1" x14ac:dyDescent="0.2">
      <c r="A161" s="34" t="str">
        <f t="shared" si="2"/>
        <v/>
      </c>
    </row>
    <row r="162" spans="1:1" x14ac:dyDescent="0.2">
      <c r="A162" s="34" t="str">
        <f t="shared" si="2"/>
        <v/>
      </c>
    </row>
    <row r="163" spans="1:1" x14ac:dyDescent="0.2">
      <c r="A163" s="34" t="str">
        <f t="shared" si="2"/>
        <v/>
      </c>
    </row>
    <row r="164" spans="1:1" x14ac:dyDescent="0.2">
      <c r="A164" s="34" t="str">
        <f t="shared" si="2"/>
        <v/>
      </c>
    </row>
    <row r="165" spans="1:1" x14ac:dyDescent="0.2">
      <c r="A165" s="34" t="str">
        <f t="shared" si="2"/>
        <v/>
      </c>
    </row>
    <row r="166" spans="1:1" x14ac:dyDescent="0.2">
      <c r="A166" s="34" t="str">
        <f t="shared" si="2"/>
        <v/>
      </c>
    </row>
    <row r="167" spans="1:1" x14ac:dyDescent="0.2">
      <c r="A167" s="34" t="str">
        <f t="shared" si="2"/>
        <v/>
      </c>
    </row>
    <row r="168" spans="1:1" x14ac:dyDescent="0.2">
      <c r="A168" s="34" t="str">
        <f t="shared" si="2"/>
        <v/>
      </c>
    </row>
    <row r="169" spans="1:1" x14ac:dyDescent="0.2">
      <c r="A169" s="34" t="str">
        <f t="shared" si="2"/>
        <v/>
      </c>
    </row>
    <row r="170" spans="1:1" x14ac:dyDescent="0.2">
      <c r="A170" s="34" t="str">
        <f t="shared" si="2"/>
        <v/>
      </c>
    </row>
    <row r="171" spans="1:1" x14ac:dyDescent="0.2">
      <c r="A171" s="34" t="str">
        <f t="shared" si="2"/>
        <v/>
      </c>
    </row>
    <row r="172" spans="1:1" x14ac:dyDescent="0.2">
      <c r="A172" s="34" t="str">
        <f t="shared" si="2"/>
        <v/>
      </c>
    </row>
    <row r="173" spans="1:1" x14ac:dyDescent="0.2">
      <c r="A173" s="34" t="str">
        <f t="shared" si="2"/>
        <v/>
      </c>
    </row>
    <row r="174" spans="1:1" x14ac:dyDescent="0.2">
      <c r="A174" s="34" t="str">
        <f t="shared" si="2"/>
        <v/>
      </c>
    </row>
    <row r="175" spans="1:1" x14ac:dyDescent="0.2">
      <c r="A175" s="34" t="str">
        <f t="shared" si="2"/>
        <v/>
      </c>
    </row>
    <row r="176" spans="1:1" x14ac:dyDescent="0.2">
      <c r="A176" s="34" t="str">
        <f t="shared" si="2"/>
        <v/>
      </c>
    </row>
    <row r="177" spans="1:1" x14ac:dyDescent="0.2">
      <c r="A177" s="34" t="str">
        <f t="shared" si="2"/>
        <v/>
      </c>
    </row>
    <row r="178" spans="1:1" x14ac:dyDescent="0.2">
      <c r="A178" s="34" t="str">
        <f t="shared" si="2"/>
        <v/>
      </c>
    </row>
    <row r="179" spans="1:1" x14ac:dyDescent="0.2">
      <c r="A179" s="34" t="str">
        <f t="shared" si="2"/>
        <v/>
      </c>
    </row>
    <row r="180" spans="1:1" x14ac:dyDescent="0.2">
      <c r="A180" s="34" t="str">
        <f t="shared" si="2"/>
        <v/>
      </c>
    </row>
    <row r="181" spans="1:1" x14ac:dyDescent="0.2">
      <c r="A181" s="34" t="str">
        <f t="shared" si="2"/>
        <v/>
      </c>
    </row>
    <row r="182" spans="1:1" x14ac:dyDescent="0.2">
      <c r="A182" s="34" t="str">
        <f t="shared" si="2"/>
        <v/>
      </c>
    </row>
    <row r="183" spans="1:1" x14ac:dyDescent="0.2">
      <c r="A183" s="34" t="str">
        <f t="shared" si="2"/>
        <v/>
      </c>
    </row>
    <row r="184" spans="1:1" x14ac:dyDescent="0.2">
      <c r="A184" s="34" t="str">
        <f t="shared" si="2"/>
        <v/>
      </c>
    </row>
    <row r="185" spans="1:1" x14ac:dyDescent="0.2">
      <c r="A185" s="34" t="str">
        <f t="shared" si="2"/>
        <v/>
      </c>
    </row>
    <row r="186" spans="1:1" x14ac:dyDescent="0.2">
      <c r="A186" s="34" t="str">
        <f t="shared" si="2"/>
        <v/>
      </c>
    </row>
    <row r="187" spans="1:1" x14ac:dyDescent="0.2">
      <c r="A187" s="34" t="str">
        <f t="shared" si="2"/>
        <v/>
      </c>
    </row>
    <row r="188" spans="1:1" x14ac:dyDescent="0.2">
      <c r="A188" s="34" t="str">
        <f t="shared" si="2"/>
        <v/>
      </c>
    </row>
    <row r="189" spans="1:1" x14ac:dyDescent="0.2">
      <c r="A189" s="34" t="str">
        <f t="shared" si="2"/>
        <v/>
      </c>
    </row>
    <row r="190" spans="1:1" x14ac:dyDescent="0.2">
      <c r="A190" s="34" t="str">
        <f t="shared" si="2"/>
        <v/>
      </c>
    </row>
    <row r="191" spans="1:1" x14ac:dyDescent="0.2">
      <c r="A191" s="34" t="str">
        <f t="shared" si="2"/>
        <v/>
      </c>
    </row>
    <row r="192" spans="1:1" x14ac:dyDescent="0.2">
      <c r="A192" s="34" t="str">
        <f t="shared" si="2"/>
        <v/>
      </c>
    </row>
    <row r="193" spans="1:1" x14ac:dyDescent="0.2">
      <c r="A193" s="34" t="str">
        <f t="shared" si="2"/>
        <v/>
      </c>
    </row>
    <row r="194" spans="1:1" x14ac:dyDescent="0.2">
      <c r="A194" s="34" t="str">
        <f t="shared" si="2"/>
        <v/>
      </c>
    </row>
    <row r="195" spans="1:1" x14ac:dyDescent="0.2">
      <c r="A195" s="34" t="str">
        <f t="shared" ref="A195:A258" si="3">CONCATENATE(B195,C195,F195)</f>
        <v/>
      </c>
    </row>
    <row r="196" spans="1:1" x14ac:dyDescent="0.2">
      <c r="A196" s="34" t="str">
        <f t="shared" si="3"/>
        <v/>
      </c>
    </row>
    <row r="197" spans="1:1" x14ac:dyDescent="0.2">
      <c r="A197" s="34" t="str">
        <f t="shared" si="3"/>
        <v/>
      </c>
    </row>
    <row r="198" spans="1:1" x14ac:dyDescent="0.2">
      <c r="A198" s="34" t="str">
        <f t="shared" si="3"/>
        <v/>
      </c>
    </row>
    <row r="199" spans="1:1" x14ac:dyDescent="0.2">
      <c r="A199" s="34" t="str">
        <f t="shared" si="3"/>
        <v/>
      </c>
    </row>
    <row r="200" spans="1:1" x14ac:dyDescent="0.2">
      <c r="A200" s="34" t="str">
        <f t="shared" si="3"/>
        <v/>
      </c>
    </row>
    <row r="201" spans="1:1" x14ac:dyDescent="0.2">
      <c r="A201" s="34" t="str">
        <f t="shared" si="3"/>
        <v/>
      </c>
    </row>
    <row r="202" spans="1:1" x14ac:dyDescent="0.2">
      <c r="A202" s="34" t="str">
        <f t="shared" si="3"/>
        <v/>
      </c>
    </row>
    <row r="203" spans="1:1" x14ac:dyDescent="0.2">
      <c r="A203" s="34" t="str">
        <f t="shared" si="3"/>
        <v/>
      </c>
    </row>
    <row r="204" spans="1:1" x14ac:dyDescent="0.2">
      <c r="A204" s="34" t="str">
        <f t="shared" si="3"/>
        <v/>
      </c>
    </row>
    <row r="205" spans="1:1" x14ac:dyDescent="0.2">
      <c r="A205" s="34" t="str">
        <f t="shared" si="3"/>
        <v/>
      </c>
    </row>
    <row r="206" spans="1:1" x14ac:dyDescent="0.2">
      <c r="A206" s="34" t="str">
        <f t="shared" si="3"/>
        <v/>
      </c>
    </row>
    <row r="207" spans="1:1" x14ac:dyDescent="0.2">
      <c r="A207" s="34" t="str">
        <f t="shared" si="3"/>
        <v/>
      </c>
    </row>
    <row r="208" spans="1:1" x14ac:dyDescent="0.2">
      <c r="A208" s="34" t="str">
        <f t="shared" si="3"/>
        <v/>
      </c>
    </row>
    <row r="209" spans="1:1" x14ac:dyDescent="0.2">
      <c r="A209" s="34" t="str">
        <f t="shared" si="3"/>
        <v/>
      </c>
    </row>
    <row r="210" spans="1:1" x14ac:dyDescent="0.2">
      <c r="A210" s="34" t="str">
        <f t="shared" si="3"/>
        <v/>
      </c>
    </row>
    <row r="211" spans="1:1" x14ac:dyDescent="0.2">
      <c r="A211" s="34" t="str">
        <f t="shared" si="3"/>
        <v/>
      </c>
    </row>
    <row r="212" spans="1:1" x14ac:dyDescent="0.2">
      <c r="A212" s="34" t="str">
        <f t="shared" si="3"/>
        <v/>
      </c>
    </row>
    <row r="213" spans="1:1" x14ac:dyDescent="0.2">
      <c r="A213" s="34" t="str">
        <f t="shared" si="3"/>
        <v/>
      </c>
    </row>
    <row r="214" spans="1:1" x14ac:dyDescent="0.2">
      <c r="A214" s="34" t="str">
        <f t="shared" si="3"/>
        <v/>
      </c>
    </row>
    <row r="215" spans="1:1" x14ac:dyDescent="0.2">
      <c r="A215" s="34" t="str">
        <f t="shared" si="3"/>
        <v/>
      </c>
    </row>
    <row r="216" spans="1:1" x14ac:dyDescent="0.2">
      <c r="A216" s="34" t="str">
        <f t="shared" si="3"/>
        <v/>
      </c>
    </row>
    <row r="217" spans="1:1" x14ac:dyDescent="0.2">
      <c r="A217" s="34" t="str">
        <f t="shared" si="3"/>
        <v/>
      </c>
    </row>
    <row r="218" spans="1:1" x14ac:dyDescent="0.2">
      <c r="A218" s="34" t="str">
        <f t="shared" si="3"/>
        <v/>
      </c>
    </row>
    <row r="219" spans="1:1" x14ac:dyDescent="0.2">
      <c r="A219" s="34" t="str">
        <f t="shared" si="3"/>
        <v/>
      </c>
    </row>
    <row r="220" spans="1:1" x14ac:dyDescent="0.2">
      <c r="A220" s="34" t="str">
        <f t="shared" si="3"/>
        <v/>
      </c>
    </row>
    <row r="221" spans="1:1" x14ac:dyDescent="0.2">
      <c r="A221" s="34" t="str">
        <f t="shared" si="3"/>
        <v/>
      </c>
    </row>
    <row r="222" spans="1:1" x14ac:dyDescent="0.2">
      <c r="A222" s="34" t="str">
        <f t="shared" si="3"/>
        <v/>
      </c>
    </row>
    <row r="223" spans="1:1" x14ac:dyDescent="0.2">
      <c r="A223" s="34" t="str">
        <f t="shared" si="3"/>
        <v/>
      </c>
    </row>
    <row r="224" spans="1:1" x14ac:dyDescent="0.2">
      <c r="A224" s="34" t="str">
        <f t="shared" si="3"/>
        <v/>
      </c>
    </row>
    <row r="225" spans="1:1" x14ac:dyDescent="0.2">
      <c r="A225" s="34" t="str">
        <f t="shared" si="3"/>
        <v/>
      </c>
    </row>
    <row r="226" spans="1:1" x14ac:dyDescent="0.2">
      <c r="A226" s="34" t="str">
        <f t="shared" si="3"/>
        <v/>
      </c>
    </row>
    <row r="227" spans="1:1" x14ac:dyDescent="0.2">
      <c r="A227" s="34" t="str">
        <f t="shared" si="3"/>
        <v/>
      </c>
    </row>
    <row r="228" spans="1:1" x14ac:dyDescent="0.2">
      <c r="A228" s="34" t="str">
        <f t="shared" si="3"/>
        <v/>
      </c>
    </row>
    <row r="229" spans="1:1" x14ac:dyDescent="0.2">
      <c r="A229" s="34" t="str">
        <f t="shared" si="3"/>
        <v/>
      </c>
    </row>
    <row r="230" spans="1:1" x14ac:dyDescent="0.2">
      <c r="A230" s="34" t="str">
        <f t="shared" si="3"/>
        <v/>
      </c>
    </row>
    <row r="231" spans="1:1" x14ac:dyDescent="0.2">
      <c r="A231" s="34" t="str">
        <f t="shared" si="3"/>
        <v/>
      </c>
    </row>
    <row r="232" spans="1:1" x14ac:dyDescent="0.2">
      <c r="A232" s="34" t="str">
        <f t="shared" si="3"/>
        <v/>
      </c>
    </row>
    <row r="233" spans="1:1" x14ac:dyDescent="0.2">
      <c r="A233" s="34" t="str">
        <f t="shared" si="3"/>
        <v/>
      </c>
    </row>
    <row r="234" spans="1:1" x14ac:dyDescent="0.2">
      <c r="A234" s="34" t="str">
        <f t="shared" si="3"/>
        <v/>
      </c>
    </row>
    <row r="235" spans="1:1" x14ac:dyDescent="0.2">
      <c r="A235" s="34" t="str">
        <f t="shared" si="3"/>
        <v/>
      </c>
    </row>
    <row r="236" spans="1:1" x14ac:dyDescent="0.2">
      <c r="A236" s="34" t="str">
        <f t="shared" si="3"/>
        <v/>
      </c>
    </row>
    <row r="237" spans="1:1" x14ac:dyDescent="0.2">
      <c r="A237" s="34" t="str">
        <f t="shared" si="3"/>
        <v/>
      </c>
    </row>
    <row r="238" spans="1:1" x14ac:dyDescent="0.2">
      <c r="A238" s="34" t="str">
        <f t="shared" si="3"/>
        <v/>
      </c>
    </row>
    <row r="239" spans="1:1" x14ac:dyDescent="0.2">
      <c r="A239" s="34" t="str">
        <f t="shared" si="3"/>
        <v/>
      </c>
    </row>
    <row r="240" spans="1:1" x14ac:dyDescent="0.2">
      <c r="A240" s="34" t="str">
        <f t="shared" si="3"/>
        <v/>
      </c>
    </row>
    <row r="241" spans="1:1" x14ac:dyDescent="0.2">
      <c r="A241" s="34" t="str">
        <f t="shared" si="3"/>
        <v/>
      </c>
    </row>
    <row r="242" spans="1:1" x14ac:dyDescent="0.2">
      <c r="A242" s="34" t="str">
        <f t="shared" si="3"/>
        <v/>
      </c>
    </row>
    <row r="243" spans="1:1" x14ac:dyDescent="0.2">
      <c r="A243" s="34" t="str">
        <f t="shared" si="3"/>
        <v/>
      </c>
    </row>
    <row r="244" spans="1:1" x14ac:dyDescent="0.2">
      <c r="A244" s="34" t="str">
        <f t="shared" si="3"/>
        <v/>
      </c>
    </row>
    <row r="245" spans="1:1" x14ac:dyDescent="0.2">
      <c r="A245" s="34" t="str">
        <f t="shared" si="3"/>
        <v/>
      </c>
    </row>
    <row r="246" spans="1:1" x14ac:dyDescent="0.2">
      <c r="A246" s="34" t="str">
        <f t="shared" si="3"/>
        <v/>
      </c>
    </row>
    <row r="247" spans="1:1" x14ac:dyDescent="0.2">
      <c r="A247" s="34" t="str">
        <f t="shared" si="3"/>
        <v/>
      </c>
    </row>
    <row r="248" spans="1:1" x14ac:dyDescent="0.2">
      <c r="A248" s="34" t="str">
        <f t="shared" si="3"/>
        <v/>
      </c>
    </row>
    <row r="249" spans="1:1" x14ac:dyDescent="0.2">
      <c r="A249" s="34" t="str">
        <f t="shared" si="3"/>
        <v/>
      </c>
    </row>
    <row r="250" spans="1:1" x14ac:dyDescent="0.2">
      <c r="A250" s="34" t="str">
        <f t="shared" si="3"/>
        <v/>
      </c>
    </row>
    <row r="251" spans="1:1" x14ac:dyDescent="0.2">
      <c r="A251" s="34" t="str">
        <f t="shared" si="3"/>
        <v/>
      </c>
    </row>
    <row r="252" spans="1:1" x14ac:dyDescent="0.2">
      <c r="A252" s="34" t="str">
        <f t="shared" si="3"/>
        <v/>
      </c>
    </row>
    <row r="253" spans="1:1" x14ac:dyDescent="0.2">
      <c r="A253" s="34" t="str">
        <f t="shared" si="3"/>
        <v/>
      </c>
    </row>
    <row r="254" spans="1:1" x14ac:dyDescent="0.2">
      <c r="A254" s="34" t="str">
        <f t="shared" si="3"/>
        <v/>
      </c>
    </row>
    <row r="255" spans="1:1" x14ac:dyDescent="0.2">
      <c r="A255" s="34" t="str">
        <f t="shared" si="3"/>
        <v/>
      </c>
    </row>
    <row r="256" spans="1:1" x14ac:dyDescent="0.2">
      <c r="A256" s="34" t="str">
        <f t="shared" si="3"/>
        <v/>
      </c>
    </row>
    <row r="257" spans="1:1" x14ac:dyDescent="0.2">
      <c r="A257" s="34" t="str">
        <f t="shared" si="3"/>
        <v/>
      </c>
    </row>
    <row r="258" spans="1:1" x14ac:dyDescent="0.2">
      <c r="A258" s="34" t="str">
        <f t="shared" si="3"/>
        <v/>
      </c>
    </row>
    <row r="259" spans="1:1" x14ac:dyDescent="0.2">
      <c r="A259" s="34" t="str">
        <f t="shared" ref="A259:A322" si="4">CONCATENATE(B259,C259,F259)</f>
        <v/>
      </c>
    </row>
    <row r="260" spans="1:1" x14ac:dyDescent="0.2">
      <c r="A260" s="34" t="str">
        <f t="shared" si="4"/>
        <v/>
      </c>
    </row>
    <row r="261" spans="1:1" x14ac:dyDescent="0.2">
      <c r="A261" s="34" t="str">
        <f t="shared" si="4"/>
        <v/>
      </c>
    </row>
    <row r="262" spans="1:1" x14ac:dyDescent="0.2">
      <c r="A262" s="34" t="str">
        <f t="shared" si="4"/>
        <v/>
      </c>
    </row>
    <row r="263" spans="1:1" x14ac:dyDescent="0.2">
      <c r="A263" s="34" t="str">
        <f t="shared" si="4"/>
        <v/>
      </c>
    </row>
    <row r="264" spans="1:1" x14ac:dyDescent="0.2">
      <c r="A264" s="34" t="str">
        <f t="shared" si="4"/>
        <v/>
      </c>
    </row>
    <row r="265" spans="1:1" x14ac:dyDescent="0.2">
      <c r="A265" s="34" t="str">
        <f t="shared" si="4"/>
        <v/>
      </c>
    </row>
    <row r="266" spans="1:1" x14ac:dyDescent="0.2">
      <c r="A266" s="34" t="str">
        <f t="shared" si="4"/>
        <v/>
      </c>
    </row>
    <row r="267" spans="1:1" x14ac:dyDescent="0.2">
      <c r="A267" s="34" t="str">
        <f t="shared" si="4"/>
        <v/>
      </c>
    </row>
    <row r="268" spans="1:1" x14ac:dyDescent="0.2">
      <c r="A268" s="34" t="str">
        <f t="shared" si="4"/>
        <v/>
      </c>
    </row>
    <row r="269" spans="1:1" x14ac:dyDescent="0.2">
      <c r="A269" s="34" t="str">
        <f t="shared" si="4"/>
        <v/>
      </c>
    </row>
    <row r="270" spans="1:1" x14ac:dyDescent="0.2">
      <c r="A270" s="34" t="str">
        <f t="shared" si="4"/>
        <v/>
      </c>
    </row>
    <row r="271" spans="1:1" x14ac:dyDescent="0.2">
      <c r="A271" s="34" t="str">
        <f t="shared" si="4"/>
        <v/>
      </c>
    </row>
    <row r="272" spans="1:1" x14ac:dyDescent="0.2">
      <c r="A272" s="34" t="str">
        <f t="shared" si="4"/>
        <v/>
      </c>
    </row>
    <row r="273" spans="1:1" x14ac:dyDescent="0.2">
      <c r="A273" s="34" t="str">
        <f t="shared" si="4"/>
        <v/>
      </c>
    </row>
    <row r="274" spans="1:1" x14ac:dyDescent="0.2">
      <c r="A274" s="34" t="str">
        <f t="shared" si="4"/>
        <v/>
      </c>
    </row>
    <row r="275" spans="1:1" x14ac:dyDescent="0.2">
      <c r="A275" s="34" t="str">
        <f t="shared" si="4"/>
        <v/>
      </c>
    </row>
    <row r="276" spans="1:1" x14ac:dyDescent="0.2">
      <c r="A276" s="34" t="str">
        <f t="shared" si="4"/>
        <v/>
      </c>
    </row>
    <row r="277" spans="1:1" x14ac:dyDescent="0.2">
      <c r="A277" s="34" t="str">
        <f t="shared" si="4"/>
        <v/>
      </c>
    </row>
    <row r="278" spans="1:1" x14ac:dyDescent="0.2">
      <c r="A278" s="34" t="str">
        <f t="shared" si="4"/>
        <v/>
      </c>
    </row>
    <row r="279" spans="1:1" x14ac:dyDescent="0.2">
      <c r="A279" s="34" t="str">
        <f t="shared" si="4"/>
        <v/>
      </c>
    </row>
    <row r="280" spans="1:1" x14ac:dyDescent="0.2">
      <c r="A280" s="34" t="str">
        <f t="shared" si="4"/>
        <v/>
      </c>
    </row>
    <row r="281" spans="1:1" x14ac:dyDescent="0.2">
      <c r="A281" s="34" t="str">
        <f t="shared" si="4"/>
        <v/>
      </c>
    </row>
    <row r="282" spans="1:1" x14ac:dyDescent="0.2">
      <c r="A282" s="34" t="str">
        <f t="shared" si="4"/>
        <v/>
      </c>
    </row>
    <row r="283" spans="1:1" x14ac:dyDescent="0.2">
      <c r="A283" s="34" t="str">
        <f t="shared" si="4"/>
        <v/>
      </c>
    </row>
    <row r="284" spans="1:1" x14ac:dyDescent="0.2">
      <c r="A284" s="34" t="str">
        <f t="shared" si="4"/>
        <v/>
      </c>
    </row>
    <row r="285" spans="1:1" x14ac:dyDescent="0.2">
      <c r="A285" s="34" t="str">
        <f t="shared" si="4"/>
        <v/>
      </c>
    </row>
    <row r="286" spans="1:1" x14ac:dyDescent="0.2">
      <c r="A286" s="34" t="str">
        <f t="shared" si="4"/>
        <v/>
      </c>
    </row>
    <row r="287" spans="1:1" x14ac:dyDescent="0.2">
      <c r="A287" s="34" t="str">
        <f t="shared" si="4"/>
        <v/>
      </c>
    </row>
    <row r="288" spans="1:1" x14ac:dyDescent="0.2">
      <c r="A288" s="34" t="str">
        <f t="shared" si="4"/>
        <v/>
      </c>
    </row>
    <row r="289" spans="1:1" x14ac:dyDescent="0.2">
      <c r="A289" s="34" t="str">
        <f t="shared" si="4"/>
        <v/>
      </c>
    </row>
    <row r="290" spans="1:1" x14ac:dyDescent="0.2">
      <c r="A290" s="34" t="str">
        <f t="shared" si="4"/>
        <v/>
      </c>
    </row>
    <row r="291" spans="1:1" x14ac:dyDescent="0.2">
      <c r="A291" s="34" t="str">
        <f t="shared" si="4"/>
        <v/>
      </c>
    </row>
    <row r="292" spans="1:1" x14ac:dyDescent="0.2">
      <c r="A292" s="34" t="str">
        <f t="shared" si="4"/>
        <v/>
      </c>
    </row>
    <row r="293" spans="1:1" x14ac:dyDescent="0.2">
      <c r="A293" s="34" t="str">
        <f t="shared" si="4"/>
        <v/>
      </c>
    </row>
    <row r="294" spans="1:1" x14ac:dyDescent="0.2">
      <c r="A294" s="34" t="str">
        <f t="shared" si="4"/>
        <v/>
      </c>
    </row>
    <row r="295" spans="1:1" x14ac:dyDescent="0.2">
      <c r="A295" s="34" t="str">
        <f t="shared" si="4"/>
        <v/>
      </c>
    </row>
    <row r="296" spans="1:1" x14ac:dyDescent="0.2">
      <c r="A296" s="34" t="str">
        <f t="shared" si="4"/>
        <v/>
      </c>
    </row>
    <row r="297" spans="1:1" x14ac:dyDescent="0.2">
      <c r="A297" s="34" t="str">
        <f t="shared" si="4"/>
        <v/>
      </c>
    </row>
    <row r="298" spans="1:1" x14ac:dyDescent="0.2">
      <c r="A298" s="34" t="str">
        <f t="shared" si="4"/>
        <v/>
      </c>
    </row>
    <row r="299" spans="1:1" x14ac:dyDescent="0.2">
      <c r="A299" s="34" t="str">
        <f t="shared" si="4"/>
        <v/>
      </c>
    </row>
    <row r="300" spans="1:1" x14ac:dyDescent="0.2">
      <c r="A300" s="34" t="str">
        <f t="shared" si="4"/>
        <v/>
      </c>
    </row>
    <row r="301" spans="1:1" x14ac:dyDescent="0.2">
      <c r="A301" s="34" t="str">
        <f t="shared" si="4"/>
        <v/>
      </c>
    </row>
    <row r="302" spans="1:1" x14ac:dyDescent="0.2">
      <c r="A302" s="34" t="str">
        <f t="shared" si="4"/>
        <v/>
      </c>
    </row>
    <row r="303" spans="1:1" x14ac:dyDescent="0.2">
      <c r="A303" s="34" t="str">
        <f t="shared" si="4"/>
        <v/>
      </c>
    </row>
    <row r="304" spans="1:1" x14ac:dyDescent="0.2">
      <c r="A304" s="34" t="str">
        <f t="shared" si="4"/>
        <v/>
      </c>
    </row>
    <row r="305" spans="1:1" x14ac:dyDescent="0.2">
      <c r="A305" s="34" t="str">
        <f t="shared" si="4"/>
        <v/>
      </c>
    </row>
    <row r="306" spans="1:1" x14ac:dyDescent="0.2">
      <c r="A306" s="34" t="str">
        <f t="shared" si="4"/>
        <v/>
      </c>
    </row>
    <row r="307" spans="1:1" x14ac:dyDescent="0.2">
      <c r="A307" s="34" t="str">
        <f t="shared" si="4"/>
        <v/>
      </c>
    </row>
    <row r="308" spans="1:1" x14ac:dyDescent="0.2">
      <c r="A308" s="34" t="str">
        <f t="shared" si="4"/>
        <v/>
      </c>
    </row>
    <row r="309" spans="1:1" x14ac:dyDescent="0.2">
      <c r="A309" s="34" t="str">
        <f t="shared" si="4"/>
        <v/>
      </c>
    </row>
    <row r="310" spans="1:1" x14ac:dyDescent="0.2">
      <c r="A310" s="34" t="str">
        <f t="shared" si="4"/>
        <v/>
      </c>
    </row>
    <row r="311" spans="1:1" x14ac:dyDescent="0.2">
      <c r="A311" s="34" t="str">
        <f t="shared" si="4"/>
        <v/>
      </c>
    </row>
    <row r="312" spans="1:1" x14ac:dyDescent="0.2">
      <c r="A312" s="34" t="str">
        <f t="shared" si="4"/>
        <v/>
      </c>
    </row>
    <row r="313" spans="1:1" x14ac:dyDescent="0.2">
      <c r="A313" s="34" t="str">
        <f t="shared" si="4"/>
        <v/>
      </c>
    </row>
    <row r="314" spans="1:1" x14ac:dyDescent="0.2">
      <c r="A314" s="34" t="str">
        <f t="shared" si="4"/>
        <v/>
      </c>
    </row>
    <row r="315" spans="1:1" x14ac:dyDescent="0.2">
      <c r="A315" s="34" t="str">
        <f t="shared" si="4"/>
        <v/>
      </c>
    </row>
    <row r="316" spans="1:1" x14ac:dyDescent="0.2">
      <c r="A316" s="34" t="str">
        <f t="shared" si="4"/>
        <v/>
      </c>
    </row>
    <row r="317" spans="1:1" x14ac:dyDescent="0.2">
      <c r="A317" s="34" t="str">
        <f t="shared" si="4"/>
        <v/>
      </c>
    </row>
    <row r="318" spans="1:1" x14ac:dyDescent="0.2">
      <c r="A318" s="34" t="str">
        <f t="shared" si="4"/>
        <v/>
      </c>
    </row>
    <row r="319" spans="1:1" x14ac:dyDescent="0.2">
      <c r="A319" s="34" t="str">
        <f t="shared" si="4"/>
        <v/>
      </c>
    </row>
    <row r="320" spans="1:1" x14ac:dyDescent="0.2">
      <c r="A320" s="34" t="str">
        <f t="shared" si="4"/>
        <v/>
      </c>
    </row>
    <row r="321" spans="1:1" x14ac:dyDescent="0.2">
      <c r="A321" s="34" t="str">
        <f t="shared" si="4"/>
        <v/>
      </c>
    </row>
    <row r="322" spans="1:1" x14ac:dyDescent="0.2">
      <c r="A322" s="34" t="str">
        <f t="shared" si="4"/>
        <v/>
      </c>
    </row>
    <row r="323" spans="1:1" x14ac:dyDescent="0.2">
      <c r="A323" s="34" t="str">
        <f t="shared" ref="A323:A386" si="5">CONCATENATE(B323,C323,F323)</f>
        <v/>
      </c>
    </row>
    <row r="324" spans="1:1" x14ac:dyDescent="0.2">
      <c r="A324" s="34" t="str">
        <f t="shared" si="5"/>
        <v/>
      </c>
    </row>
    <row r="325" spans="1:1" x14ac:dyDescent="0.2">
      <c r="A325" s="34" t="str">
        <f t="shared" si="5"/>
        <v/>
      </c>
    </row>
    <row r="326" spans="1:1" x14ac:dyDescent="0.2">
      <c r="A326" s="34" t="str">
        <f t="shared" si="5"/>
        <v/>
      </c>
    </row>
    <row r="327" spans="1:1" x14ac:dyDescent="0.2">
      <c r="A327" s="34" t="str">
        <f t="shared" si="5"/>
        <v/>
      </c>
    </row>
    <row r="328" spans="1:1" x14ac:dyDescent="0.2">
      <c r="A328" s="34" t="str">
        <f t="shared" si="5"/>
        <v/>
      </c>
    </row>
    <row r="329" spans="1:1" x14ac:dyDescent="0.2">
      <c r="A329" s="34" t="str">
        <f t="shared" si="5"/>
        <v/>
      </c>
    </row>
    <row r="330" spans="1:1" x14ac:dyDescent="0.2">
      <c r="A330" s="34" t="str">
        <f t="shared" si="5"/>
        <v/>
      </c>
    </row>
    <row r="331" spans="1:1" x14ac:dyDescent="0.2">
      <c r="A331" s="34" t="str">
        <f t="shared" si="5"/>
        <v/>
      </c>
    </row>
    <row r="332" spans="1:1" x14ac:dyDescent="0.2">
      <c r="A332" s="34" t="str">
        <f t="shared" si="5"/>
        <v/>
      </c>
    </row>
    <row r="333" spans="1:1" x14ac:dyDescent="0.2">
      <c r="A333" s="34" t="str">
        <f t="shared" si="5"/>
        <v/>
      </c>
    </row>
    <row r="334" spans="1:1" x14ac:dyDescent="0.2">
      <c r="A334" s="34" t="str">
        <f t="shared" si="5"/>
        <v/>
      </c>
    </row>
    <row r="335" spans="1:1" x14ac:dyDescent="0.2">
      <c r="A335" s="34" t="str">
        <f t="shared" si="5"/>
        <v/>
      </c>
    </row>
    <row r="336" spans="1:1" x14ac:dyDescent="0.2">
      <c r="A336" s="34" t="str">
        <f t="shared" si="5"/>
        <v/>
      </c>
    </row>
    <row r="337" spans="1:1" x14ac:dyDescent="0.2">
      <c r="A337" s="34" t="str">
        <f t="shared" si="5"/>
        <v/>
      </c>
    </row>
    <row r="338" spans="1:1" x14ac:dyDescent="0.2">
      <c r="A338" s="34" t="str">
        <f t="shared" si="5"/>
        <v/>
      </c>
    </row>
    <row r="339" spans="1:1" x14ac:dyDescent="0.2">
      <c r="A339" s="34" t="str">
        <f t="shared" si="5"/>
        <v/>
      </c>
    </row>
    <row r="340" spans="1:1" x14ac:dyDescent="0.2">
      <c r="A340" s="34" t="str">
        <f t="shared" si="5"/>
        <v/>
      </c>
    </row>
    <row r="341" spans="1:1" x14ac:dyDescent="0.2">
      <c r="A341" s="34" t="str">
        <f t="shared" si="5"/>
        <v/>
      </c>
    </row>
    <row r="342" spans="1:1" x14ac:dyDescent="0.2">
      <c r="A342" s="34" t="str">
        <f t="shared" si="5"/>
        <v/>
      </c>
    </row>
    <row r="343" spans="1:1" x14ac:dyDescent="0.2">
      <c r="A343" s="34" t="str">
        <f t="shared" si="5"/>
        <v/>
      </c>
    </row>
    <row r="344" spans="1:1" x14ac:dyDescent="0.2">
      <c r="A344" s="34" t="str">
        <f t="shared" si="5"/>
        <v/>
      </c>
    </row>
    <row r="345" spans="1:1" x14ac:dyDescent="0.2">
      <c r="A345" s="34" t="str">
        <f t="shared" si="5"/>
        <v/>
      </c>
    </row>
    <row r="346" spans="1:1" x14ac:dyDescent="0.2">
      <c r="A346" s="34" t="str">
        <f t="shared" si="5"/>
        <v/>
      </c>
    </row>
    <row r="347" spans="1:1" x14ac:dyDescent="0.2">
      <c r="A347" s="34" t="str">
        <f t="shared" si="5"/>
        <v/>
      </c>
    </row>
    <row r="348" spans="1:1" x14ac:dyDescent="0.2">
      <c r="A348" s="34" t="str">
        <f t="shared" si="5"/>
        <v/>
      </c>
    </row>
    <row r="349" spans="1:1" x14ac:dyDescent="0.2">
      <c r="A349" s="34" t="str">
        <f t="shared" si="5"/>
        <v/>
      </c>
    </row>
    <row r="350" spans="1:1" x14ac:dyDescent="0.2">
      <c r="A350" s="34" t="str">
        <f t="shared" si="5"/>
        <v/>
      </c>
    </row>
    <row r="351" spans="1:1" x14ac:dyDescent="0.2">
      <c r="A351" s="34" t="str">
        <f t="shared" si="5"/>
        <v/>
      </c>
    </row>
    <row r="352" spans="1:1" x14ac:dyDescent="0.2">
      <c r="A352" s="34" t="str">
        <f t="shared" si="5"/>
        <v/>
      </c>
    </row>
    <row r="353" spans="1:1" x14ac:dyDescent="0.2">
      <c r="A353" s="34" t="str">
        <f t="shared" si="5"/>
        <v/>
      </c>
    </row>
    <row r="354" spans="1:1" x14ac:dyDescent="0.2">
      <c r="A354" s="34" t="str">
        <f t="shared" si="5"/>
        <v/>
      </c>
    </row>
    <row r="355" spans="1:1" x14ac:dyDescent="0.2">
      <c r="A355" s="34" t="str">
        <f t="shared" si="5"/>
        <v/>
      </c>
    </row>
    <row r="356" spans="1:1" x14ac:dyDescent="0.2">
      <c r="A356" s="34" t="str">
        <f t="shared" si="5"/>
        <v/>
      </c>
    </row>
    <row r="357" spans="1:1" x14ac:dyDescent="0.2">
      <c r="A357" s="34" t="str">
        <f t="shared" si="5"/>
        <v/>
      </c>
    </row>
    <row r="358" spans="1:1" x14ac:dyDescent="0.2">
      <c r="A358" s="34" t="str">
        <f t="shared" si="5"/>
        <v/>
      </c>
    </row>
    <row r="359" spans="1:1" x14ac:dyDescent="0.2">
      <c r="A359" s="34" t="str">
        <f t="shared" si="5"/>
        <v/>
      </c>
    </row>
    <row r="360" spans="1:1" x14ac:dyDescent="0.2">
      <c r="A360" s="34" t="str">
        <f t="shared" si="5"/>
        <v/>
      </c>
    </row>
    <row r="361" spans="1:1" x14ac:dyDescent="0.2">
      <c r="A361" s="34" t="str">
        <f t="shared" si="5"/>
        <v/>
      </c>
    </row>
    <row r="362" spans="1:1" x14ac:dyDescent="0.2">
      <c r="A362" s="34" t="str">
        <f t="shared" si="5"/>
        <v/>
      </c>
    </row>
    <row r="363" spans="1:1" x14ac:dyDescent="0.2">
      <c r="A363" s="34" t="str">
        <f t="shared" si="5"/>
        <v/>
      </c>
    </row>
    <row r="364" spans="1:1" x14ac:dyDescent="0.2">
      <c r="A364" s="34" t="str">
        <f t="shared" si="5"/>
        <v/>
      </c>
    </row>
    <row r="365" spans="1:1" x14ac:dyDescent="0.2">
      <c r="A365" s="34" t="str">
        <f t="shared" si="5"/>
        <v/>
      </c>
    </row>
    <row r="366" spans="1:1" x14ac:dyDescent="0.2">
      <c r="A366" s="34" t="str">
        <f t="shared" si="5"/>
        <v/>
      </c>
    </row>
    <row r="367" spans="1:1" x14ac:dyDescent="0.2">
      <c r="A367" s="34" t="str">
        <f t="shared" si="5"/>
        <v/>
      </c>
    </row>
    <row r="368" spans="1:1" x14ac:dyDescent="0.2">
      <c r="A368" s="34" t="str">
        <f t="shared" si="5"/>
        <v/>
      </c>
    </row>
    <row r="369" spans="1:1" x14ac:dyDescent="0.2">
      <c r="A369" s="34" t="str">
        <f t="shared" si="5"/>
        <v/>
      </c>
    </row>
    <row r="370" spans="1:1" x14ac:dyDescent="0.2">
      <c r="A370" s="34" t="str">
        <f t="shared" si="5"/>
        <v/>
      </c>
    </row>
    <row r="371" spans="1:1" x14ac:dyDescent="0.2">
      <c r="A371" s="34" t="str">
        <f t="shared" si="5"/>
        <v/>
      </c>
    </row>
    <row r="372" spans="1:1" x14ac:dyDescent="0.2">
      <c r="A372" s="34" t="str">
        <f t="shared" si="5"/>
        <v/>
      </c>
    </row>
    <row r="373" spans="1:1" x14ac:dyDescent="0.2">
      <c r="A373" s="34" t="str">
        <f t="shared" si="5"/>
        <v/>
      </c>
    </row>
    <row r="374" spans="1:1" x14ac:dyDescent="0.2">
      <c r="A374" s="34" t="str">
        <f t="shared" si="5"/>
        <v/>
      </c>
    </row>
    <row r="375" spans="1:1" x14ac:dyDescent="0.2">
      <c r="A375" s="34" t="str">
        <f t="shared" si="5"/>
        <v/>
      </c>
    </row>
    <row r="376" spans="1:1" x14ac:dyDescent="0.2">
      <c r="A376" s="34" t="str">
        <f t="shared" si="5"/>
        <v/>
      </c>
    </row>
    <row r="377" spans="1:1" x14ac:dyDescent="0.2">
      <c r="A377" s="34" t="str">
        <f t="shared" si="5"/>
        <v/>
      </c>
    </row>
    <row r="378" spans="1:1" x14ac:dyDescent="0.2">
      <c r="A378" s="34" t="str">
        <f t="shared" si="5"/>
        <v/>
      </c>
    </row>
    <row r="379" spans="1:1" x14ac:dyDescent="0.2">
      <c r="A379" s="34" t="str">
        <f t="shared" si="5"/>
        <v/>
      </c>
    </row>
    <row r="380" spans="1:1" x14ac:dyDescent="0.2">
      <c r="A380" s="34" t="str">
        <f t="shared" si="5"/>
        <v/>
      </c>
    </row>
    <row r="381" spans="1:1" x14ac:dyDescent="0.2">
      <c r="A381" s="34" t="str">
        <f t="shared" si="5"/>
        <v/>
      </c>
    </row>
    <row r="382" spans="1:1" x14ac:dyDescent="0.2">
      <c r="A382" s="34" t="str">
        <f t="shared" si="5"/>
        <v/>
      </c>
    </row>
    <row r="383" spans="1:1" x14ac:dyDescent="0.2">
      <c r="A383" s="34" t="str">
        <f t="shared" si="5"/>
        <v/>
      </c>
    </row>
    <row r="384" spans="1:1" x14ac:dyDescent="0.2">
      <c r="A384" s="34" t="str">
        <f t="shared" si="5"/>
        <v/>
      </c>
    </row>
    <row r="385" spans="1:1" x14ac:dyDescent="0.2">
      <c r="A385" s="34" t="str">
        <f t="shared" si="5"/>
        <v/>
      </c>
    </row>
    <row r="386" spans="1:1" x14ac:dyDescent="0.2">
      <c r="A386" s="34" t="str">
        <f t="shared" si="5"/>
        <v/>
      </c>
    </row>
    <row r="387" spans="1:1" x14ac:dyDescent="0.2">
      <c r="A387" s="34" t="str">
        <f t="shared" ref="A387:A450" si="6">CONCATENATE(B387,C387,F387)</f>
        <v/>
      </c>
    </row>
    <row r="388" spans="1:1" x14ac:dyDescent="0.2">
      <c r="A388" s="34" t="str">
        <f t="shared" si="6"/>
        <v/>
      </c>
    </row>
    <row r="389" spans="1:1" x14ac:dyDescent="0.2">
      <c r="A389" s="34" t="str">
        <f t="shared" si="6"/>
        <v/>
      </c>
    </row>
    <row r="390" spans="1:1" x14ac:dyDescent="0.2">
      <c r="A390" s="34" t="str">
        <f t="shared" si="6"/>
        <v/>
      </c>
    </row>
    <row r="391" spans="1:1" x14ac:dyDescent="0.2">
      <c r="A391" s="34" t="str">
        <f t="shared" si="6"/>
        <v/>
      </c>
    </row>
    <row r="392" spans="1:1" x14ac:dyDescent="0.2">
      <c r="A392" s="34" t="str">
        <f t="shared" si="6"/>
        <v/>
      </c>
    </row>
    <row r="393" spans="1:1" x14ac:dyDescent="0.2">
      <c r="A393" s="34" t="str">
        <f t="shared" si="6"/>
        <v/>
      </c>
    </row>
    <row r="394" spans="1:1" x14ac:dyDescent="0.2">
      <c r="A394" s="34" t="str">
        <f t="shared" si="6"/>
        <v/>
      </c>
    </row>
    <row r="395" spans="1:1" x14ac:dyDescent="0.2">
      <c r="A395" s="34" t="str">
        <f t="shared" si="6"/>
        <v/>
      </c>
    </row>
    <row r="396" spans="1:1" x14ac:dyDescent="0.2">
      <c r="A396" s="34" t="str">
        <f t="shared" si="6"/>
        <v/>
      </c>
    </row>
    <row r="397" spans="1:1" x14ac:dyDescent="0.2">
      <c r="A397" s="34" t="str">
        <f t="shared" si="6"/>
        <v/>
      </c>
    </row>
    <row r="398" spans="1:1" x14ac:dyDescent="0.2">
      <c r="A398" s="34" t="str">
        <f t="shared" si="6"/>
        <v/>
      </c>
    </row>
    <row r="399" spans="1:1" x14ac:dyDescent="0.2">
      <c r="A399" s="34" t="str">
        <f t="shared" si="6"/>
        <v/>
      </c>
    </row>
    <row r="400" spans="1:1" x14ac:dyDescent="0.2">
      <c r="A400" s="34" t="str">
        <f t="shared" si="6"/>
        <v/>
      </c>
    </row>
    <row r="401" spans="1:1" x14ac:dyDescent="0.2">
      <c r="A401" s="34" t="str">
        <f t="shared" si="6"/>
        <v/>
      </c>
    </row>
    <row r="402" spans="1:1" x14ac:dyDescent="0.2">
      <c r="A402" s="34" t="str">
        <f t="shared" si="6"/>
        <v/>
      </c>
    </row>
    <row r="403" spans="1:1" x14ac:dyDescent="0.2">
      <c r="A403" s="34" t="str">
        <f t="shared" si="6"/>
        <v/>
      </c>
    </row>
    <row r="404" spans="1:1" x14ac:dyDescent="0.2">
      <c r="A404" s="34" t="str">
        <f t="shared" si="6"/>
        <v/>
      </c>
    </row>
    <row r="405" spans="1:1" x14ac:dyDescent="0.2">
      <c r="A405" s="34" t="str">
        <f t="shared" si="6"/>
        <v/>
      </c>
    </row>
    <row r="406" spans="1:1" x14ac:dyDescent="0.2">
      <c r="A406" s="34" t="str">
        <f t="shared" si="6"/>
        <v/>
      </c>
    </row>
    <row r="407" spans="1:1" x14ac:dyDescent="0.2">
      <c r="A407" s="34" t="str">
        <f t="shared" si="6"/>
        <v/>
      </c>
    </row>
    <row r="408" spans="1:1" x14ac:dyDescent="0.2">
      <c r="A408" s="34" t="str">
        <f t="shared" si="6"/>
        <v/>
      </c>
    </row>
    <row r="409" spans="1:1" x14ac:dyDescent="0.2">
      <c r="A409" s="34" t="str">
        <f t="shared" si="6"/>
        <v/>
      </c>
    </row>
    <row r="410" spans="1:1" x14ac:dyDescent="0.2">
      <c r="A410" s="34" t="str">
        <f t="shared" si="6"/>
        <v/>
      </c>
    </row>
    <row r="411" spans="1:1" x14ac:dyDescent="0.2">
      <c r="A411" s="34" t="str">
        <f t="shared" si="6"/>
        <v/>
      </c>
    </row>
    <row r="412" spans="1:1" x14ac:dyDescent="0.2">
      <c r="A412" s="34" t="str">
        <f t="shared" si="6"/>
        <v/>
      </c>
    </row>
    <row r="413" spans="1:1" x14ac:dyDescent="0.2">
      <c r="A413" s="34" t="str">
        <f t="shared" si="6"/>
        <v/>
      </c>
    </row>
    <row r="414" spans="1:1" x14ac:dyDescent="0.2">
      <c r="A414" s="34" t="str">
        <f t="shared" si="6"/>
        <v/>
      </c>
    </row>
    <row r="415" spans="1:1" x14ac:dyDescent="0.2">
      <c r="A415" s="34" t="str">
        <f t="shared" si="6"/>
        <v/>
      </c>
    </row>
    <row r="416" spans="1:1" x14ac:dyDescent="0.2">
      <c r="A416" s="34" t="str">
        <f t="shared" si="6"/>
        <v/>
      </c>
    </row>
    <row r="417" spans="1:1" x14ac:dyDescent="0.2">
      <c r="A417" s="34" t="str">
        <f t="shared" si="6"/>
        <v/>
      </c>
    </row>
    <row r="418" spans="1:1" x14ac:dyDescent="0.2">
      <c r="A418" s="34" t="str">
        <f t="shared" si="6"/>
        <v/>
      </c>
    </row>
    <row r="419" spans="1:1" x14ac:dyDescent="0.2">
      <c r="A419" s="34" t="str">
        <f t="shared" si="6"/>
        <v/>
      </c>
    </row>
    <row r="420" spans="1:1" x14ac:dyDescent="0.2">
      <c r="A420" s="34" t="str">
        <f t="shared" si="6"/>
        <v/>
      </c>
    </row>
    <row r="421" spans="1:1" x14ac:dyDescent="0.2">
      <c r="A421" s="34" t="str">
        <f t="shared" si="6"/>
        <v/>
      </c>
    </row>
    <row r="422" spans="1:1" x14ac:dyDescent="0.2">
      <c r="A422" s="34" t="str">
        <f t="shared" si="6"/>
        <v/>
      </c>
    </row>
    <row r="423" spans="1:1" x14ac:dyDescent="0.2">
      <c r="A423" s="34" t="str">
        <f t="shared" si="6"/>
        <v/>
      </c>
    </row>
    <row r="424" spans="1:1" x14ac:dyDescent="0.2">
      <c r="A424" s="34" t="str">
        <f t="shared" si="6"/>
        <v/>
      </c>
    </row>
    <row r="425" spans="1:1" x14ac:dyDescent="0.2">
      <c r="A425" s="34" t="str">
        <f t="shared" si="6"/>
        <v/>
      </c>
    </row>
    <row r="426" spans="1:1" x14ac:dyDescent="0.2">
      <c r="A426" s="34" t="str">
        <f t="shared" si="6"/>
        <v/>
      </c>
    </row>
    <row r="427" spans="1:1" x14ac:dyDescent="0.2">
      <c r="A427" s="34" t="str">
        <f t="shared" si="6"/>
        <v/>
      </c>
    </row>
    <row r="428" spans="1:1" x14ac:dyDescent="0.2">
      <c r="A428" s="34" t="str">
        <f t="shared" si="6"/>
        <v/>
      </c>
    </row>
    <row r="429" spans="1:1" x14ac:dyDescent="0.2">
      <c r="A429" s="34" t="str">
        <f t="shared" si="6"/>
        <v/>
      </c>
    </row>
    <row r="430" spans="1:1" x14ac:dyDescent="0.2">
      <c r="A430" s="34" t="str">
        <f t="shared" si="6"/>
        <v/>
      </c>
    </row>
    <row r="431" spans="1:1" x14ac:dyDescent="0.2">
      <c r="A431" s="34" t="str">
        <f t="shared" si="6"/>
        <v/>
      </c>
    </row>
    <row r="432" spans="1:1" x14ac:dyDescent="0.2">
      <c r="A432" s="34" t="str">
        <f t="shared" si="6"/>
        <v/>
      </c>
    </row>
    <row r="433" spans="1:1" x14ac:dyDescent="0.2">
      <c r="A433" s="34" t="str">
        <f t="shared" si="6"/>
        <v/>
      </c>
    </row>
    <row r="434" spans="1:1" x14ac:dyDescent="0.2">
      <c r="A434" s="34" t="str">
        <f t="shared" si="6"/>
        <v/>
      </c>
    </row>
    <row r="435" spans="1:1" x14ac:dyDescent="0.2">
      <c r="A435" s="34" t="str">
        <f t="shared" si="6"/>
        <v/>
      </c>
    </row>
    <row r="436" spans="1:1" x14ac:dyDescent="0.2">
      <c r="A436" s="34" t="str">
        <f t="shared" si="6"/>
        <v/>
      </c>
    </row>
    <row r="437" spans="1:1" x14ac:dyDescent="0.2">
      <c r="A437" s="34" t="str">
        <f t="shared" si="6"/>
        <v/>
      </c>
    </row>
    <row r="438" spans="1:1" x14ac:dyDescent="0.2">
      <c r="A438" s="34" t="str">
        <f t="shared" si="6"/>
        <v/>
      </c>
    </row>
    <row r="439" spans="1:1" x14ac:dyDescent="0.2">
      <c r="A439" s="34" t="str">
        <f t="shared" si="6"/>
        <v/>
      </c>
    </row>
    <row r="440" spans="1:1" x14ac:dyDescent="0.2">
      <c r="A440" s="34" t="str">
        <f t="shared" si="6"/>
        <v/>
      </c>
    </row>
    <row r="441" spans="1:1" x14ac:dyDescent="0.2">
      <c r="A441" s="34" t="str">
        <f t="shared" si="6"/>
        <v/>
      </c>
    </row>
    <row r="442" spans="1:1" x14ac:dyDescent="0.2">
      <c r="A442" s="34" t="str">
        <f t="shared" si="6"/>
        <v/>
      </c>
    </row>
    <row r="443" spans="1:1" x14ac:dyDescent="0.2">
      <c r="A443" s="34" t="str">
        <f t="shared" si="6"/>
        <v/>
      </c>
    </row>
    <row r="444" spans="1:1" x14ac:dyDescent="0.2">
      <c r="A444" s="34" t="str">
        <f t="shared" si="6"/>
        <v/>
      </c>
    </row>
    <row r="445" spans="1:1" x14ac:dyDescent="0.2">
      <c r="A445" s="34" t="str">
        <f t="shared" si="6"/>
        <v/>
      </c>
    </row>
    <row r="446" spans="1:1" x14ac:dyDescent="0.2">
      <c r="A446" s="34" t="str">
        <f t="shared" si="6"/>
        <v/>
      </c>
    </row>
    <row r="447" spans="1:1" x14ac:dyDescent="0.2">
      <c r="A447" s="34" t="str">
        <f t="shared" si="6"/>
        <v/>
      </c>
    </row>
    <row r="448" spans="1:1" x14ac:dyDescent="0.2">
      <c r="A448" s="34" t="str">
        <f t="shared" si="6"/>
        <v/>
      </c>
    </row>
    <row r="449" spans="1:1" x14ac:dyDescent="0.2">
      <c r="A449" s="34" t="str">
        <f t="shared" si="6"/>
        <v/>
      </c>
    </row>
    <row r="450" spans="1:1" x14ac:dyDescent="0.2">
      <c r="A450" s="34" t="str">
        <f t="shared" si="6"/>
        <v/>
      </c>
    </row>
    <row r="451" spans="1:1" x14ac:dyDescent="0.2">
      <c r="A451" s="34" t="str">
        <f t="shared" ref="A451:A514" si="7">CONCATENATE(B451,C451,F451)</f>
        <v/>
      </c>
    </row>
    <row r="452" spans="1:1" x14ac:dyDescent="0.2">
      <c r="A452" s="34" t="str">
        <f t="shared" si="7"/>
        <v/>
      </c>
    </row>
    <row r="453" spans="1:1" x14ac:dyDescent="0.2">
      <c r="A453" s="34" t="str">
        <f t="shared" si="7"/>
        <v/>
      </c>
    </row>
    <row r="454" spans="1:1" x14ac:dyDescent="0.2">
      <c r="A454" s="34" t="str">
        <f t="shared" si="7"/>
        <v/>
      </c>
    </row>
    <row r="455" spans="1:1" x14ac:dyDescent="0.2">
      <c r="A455" s="34" t="str">
        <f t="shared" si="7"/>
        <v/>
      </c>
    </row>
    <row r="456" spans="1:1" x14ac:dyDescent="0.2">
      <c r="A456" s="34" t="str">
        <f t="shared" si="7"/>
        <v/>
      </c>
    </row>
    <row r="457" spans="1:1" x14ac:dyDescent="0.2">
      <c r="A457" s="34" t="str">
        <f t="shared" si="7"/>
        <v/>
      </c>
    </row>
    <row r="458" spans="1:1" x14ac:dyDescent="0.2">
      <c r="A458" s="34" t="str">
        <f t="shared" si="7"/>
        <v/>
      </c>
    </row>
    <row r="459" spans="1:1" x14ac:dyDescent="0.2">
      <c r="A459" s="34" t="str">
        <f t="shared" si="7"/>
        <v/>
      </c>
    </row>
    <row r="460" spans="1:1" x14ac:dyDescent="0.2">
      <c r="A460" s="34" t="str">
        <f t="shared" si="7"/>
        <v/>
      </c>
    </row>
    <row r="461" spans="1:1" x14ac:dyDescent="0.2">
      <c r="A461" s="34" t="str">
        <f t="shared" si="7"/>
        <v/>
      </c>
    </row>
    <row r="462" spans="1:1" x14ac:dyDescent="0.2">
      <c r="A462" s="34" t="str">
        <f t="shared" si="7"/>
        <v/>
      </c>
    </row>
    <row r="463" spans="1:1" x14ac:dyDescent="0.2">
      <c r="A463" s="34" t="str">
        <f t="shared" si="7"/>
        <v/>
      </c>
    </row>
    <row r="464" spans="1:1" x14ac:dyDescent="0.2">
      <c r="A464" s="34" t="str">
        <f t="shared" si="7"/>
        <v/>
      </c>
    </row>
    <row r="465" spans="1:1" x14ac:dyDescent="0.2">
      <c r="A465" s="34" t="str">
        <f t="shared" si="7"/>
        <v/>
      </c>
    </row>
    <row r="466" spans="1:1" x14ac:dyDescent="0.2">
      <c r="A466" s="34" t="str">
        <f t="shared" si="7"/>
        <v/>
      </c>
    </row>
    <row r="467" spans="1:1" x14ac:dyDescent="0.2">
      <c r="A467" s="34" t="str">
        <f t="shared" si="7"/>
        <v/>
      </c>
    </row>
    <row r="468" spans="1:1" x14ac:dyDescent="0.2">
      <c r="A468" s="34" t="str">
        <f t="shared" si="7"/>
        <v/>
      </c>
    </row>
    <row r="469" spans="1:1" x14ac:dyDescent="0.2">
      <c r="A469" s="34" t="str">
        <f t="shared" si="7"/>
        <v/>
      </c>
    </row>
    <row r="470" spans="1:1" x14ac:dyDescent="0.2">
      <c r="A470" s="34" t="str">
        <f t="shared" si="7"/>
        <v/>
      </c>
    </row>
    <row r="471" spans="1:1" x14ac:dyDescent="0.2">
      <c r="A471" s="34" t="str">
        <f t="shared" si="7"/>
        <v/>
      </c>
    </row>
    <row r="472" spans="1:1" x14ac:dyDescent="0.2">
      <c r="A472" s="34" t="str">
        <f t="shared" si="7"/>
        <v/>
      </c>
    </row>
    <row r="473" spans="1:1" x14ac:dyDescent="0.2">
      <c r="A473" s="34" t="str">
        <f t="shared" si="7"/>
        <v/>
      </c>
    </row>
    <row r="474" spans="1:1" x14ac:dyDescent="0.2">
      <c r="A474" s="34" t="str">
        <f t="shared" si="7"/>
        <v/>
      </c>
    </row>
    <row r="475" spans="1:1" x14ac:dyDescent="0.2">
      <c r="A475" s="34" t="str">
        <f t="shared" si="7"/>
        <v/>
      </c>
    </row>
    <row r="476" spans="1:1" x14ac:dyDescent="0.2">
      <c r="A476" s="34" t="str">
        <f t="shared" si="7"/>
        <v/>
      </c>
    </row>
    <row r="477" spans="1:1" x14ac:dyDescent="0.2">
      <c r="A477" s="34" t="str">
        <f t="shared" si="7"/>
        <v/>
      </c>
    </row>
    <row r="478" spans="1:1" x14ac:dyDescent="0.2">
      <c r="A478" s="34" t="str">
        <f t="shared" si="7"/>
        <v/>
      </c>
    </row>
    <row r="479" spans="1:1" x14ac:dyDescent="0.2">
      <c r="A479" s="34" t="str">
        <f t="shared" si="7"/>
        <v/>
      </c>
    </row>
    <row r="480" spans="1:1" x14ac:dyDescent="0.2">
      <c r="A480" s="34" t="str">
        <f t="shared" si="7"/>
        <v/>
      </c>
    </row>
    <row r="481" spans="1:1" x14ac:dyDescent="0.2">
      <c r="A481" s="34" t="str">
        <f t="shared" si="7"/>
        <v/>
      </c>
    </row>
    <row r="482" spans="1:1" x14ac:dyDescent="0.2">
      <c r="A482" s="34" t="str">
        <f t="shared" si="7"/>
        <v/>
      </c>
    </row>
    <row r="483" spans="1:1" x14ac:dyDescent="0.2">
      <c r="A483" s="34" t="str">
        <f t="shared" si="7"/>
        <v/>
      </c>
    </row>
    <row r="484" spans="1:1" x14ac:dyDescent="0.2">
      <c r="A484" s="34" t="str">
        <f t="shared" si="7"/>
        <v/>
      </c>
    </row>
    <row r="485" spans="1:1" x14ac:dyDescent="0.2">
      <c r="A485" s="34" t="str">
        <f t="shared" si="7"/>
        <v/>
      </c>
    </row>
    <row r="486" spans="1:1" x14ac:dyDescent="0.2">
      <c r="A486" s="34" t="str">
        <f t="shared" si="7"/>
        <v/>
      </c>
    </row>
    <row r="487" spans="1:1" x14ac:dyDescent="0.2">
      <c r="A487" s="34" t="str">
        <f t="shared" si="7"/>
        <v/>
      </c>
    </row>
    <row r="488" spans="1:1" x14ac:dyDescent="0.2">
      <c r="A488" s="34" t="str">
        <f t="shared" si="7"/>
        <v/>
      </c>
    </row>
    <row r="489" spans="1:1" x14ac:dyDescent="0.2">
      <c r="A489" s="34" t="str">
        <f t="shared" si="7"/>
        <v/>
      </c>
    </row>
    <row r="490" spans="1:1" x14ac:dyDescent="0.2">
      <c r="A490" s="34" t="str">
        <f t="shared" si="7"/>
        <v/>
      </c>
    </row>
    <row r="491" spans="1:1" x14ac:dyDescent="0.2">
      <c r="A491" s="34" t="str">
        <f t="shared" si="7"/>
        <v/>
      </c>
    </row>
    <row r="492" spans="1:1" x14ac:dyDescent="0.2">
      <c r="A492" s="34" t="str">
        <f t="shared" si="7"/>
        <v/>
      </c>
    </row>
    <row r="493" spans="1:1" x14ac:dyDescent="0.2">
      <c r="A493" s="34" t="str">
        <f t="shared" si="7"/>
        <v/>
      </c>
    </row>
    <row r="494" spans="1:1" x14ac:dyDescent="0.2">
      <c r="A494" s="34" t="str">
        <f t="shared" si="7"/>
        <v/>
      </c>
    </row>
    <row r="495" spans="1:1" x14ac:dyDescent="0.2">
      <c r="A495" s="34" t="str">
        <f t="shared" si="7"/>
        <v/>
      </c>
    </row>
    <row r="496" spans="1:1" x14ac:dyDescent="0.2">
      <c r="A496" s="34" t="str">
        <f t="shared" si="7"/>
        <v/>
      </c>
    </row>
    <row r="497" spans="1:1" x14ac:dyDescent="0.2">
      <c r="A497" s="34" t="str">
        <f t="shared" si="7"/>
        <v/>
      </c>
    </row>
    <row r="498" spans="1:1" x14ac:dyDescent="0.2">
      <c r="A498" s="34" t="str">
        <f t="shared" si="7"/>
        <v/>
      </c>
    </row>
    <row r="499" spans="1:1" x14ac:dyDescent="0.2">
      <c r="A499" s="34" t="str">
        <f t="shared" si="7"/>
        <v/>
      </c>
    </row>
    <row r="500" spans="1:1" x14ac:dyDescent="0.2">
      <c r="A500" s="34" t="str">
        <f t="shared" si="7"/>
        <v/>
      </c>
    </row>
    <row r="501" spans="1:1" x14ac:dyDescent="0.2">
      <c r="A501" s="34" t="str">
        <f t="shared" si="7"/>
        <v/>
      </c>
    </row>
    <row r="502" spans="1:1" x14ac:dyDescent="0.2">
      <c r="A502" s="34" t="str">
        <f t="shared" si="7"/>
        <v/>
      </c>
    </row>
    <row r="503" spans="1:1" x14ac:dyDescent="0.2">
      <c r="A503" s="34" t="str">
        <f t="shared" si="7"/>
        <v/>
      </c>
    </row>
    <row r="504" spans="1:1" x14ac:dyDescent="0.2">
      <c r="A504" s="34" t="str">
        <f t="shared" si="7"/>
        <v/>
      </c>
    </row>
    <row r="505" spans="1:1" x14ac:dyDescent="0.2">
      <c r="A505" s="34" t="str">
        <f t="shared" si="7"/>
        <v/>
      </c>
    </row>
    <row r="506" spans="1:1" x14ac:dyDescent="0.2">
      <c r="A506" s="34" t="str">
        <f t="shared" si="7"/>
        <v/>
      </c>
    </row>
    <row r="507" spans="1:1" x14ac:dyDescent="0.2">
      <c r="A507" s="34" t="str">
        <f t="shared" si="7"/>
        <v/>
      </c>
    </row>
    <row r="508" spans="1:1" x14ac:dyDescent="0.2">
      <c r="A508" s="34" t="str">
        <f t="shared" si="7"/>
        <v/>
      </c>
    </row>
    <row r="509" spans="1:1" x14ac:dyDescent="0.2">
      <c r="A509" s="34" t="str">
        <f t="shared" si="7"/>
        <v/>
      </c>
    </row>
    <row r="510" spans="1:1" x14ac:dyDescent="0.2">
      <c r="A510" s="34" t="str">
        <f t="shared" si="7"/>
        <v/>
      </c>
    </row>
    <row r="511" spans="1:1" x14ac:dyDescent="0.2">
      <c r="A511" s="34" t="str">
        <f t="shared" si="7"/>
        <v/>
      </c>
    </row>
    <row r="512" spans="1:1" x14ac:dyDescent="0.2">
      <c r="A512" s="34" t="str">
        <f t="shared" si="7"/>
        <v/>
      </c>
    </row>
    <row r="513" spans="1:1" x14ac:dyDescent="0.2">
      <c r="A513" s="34" t="str">
        <f t="shared" si="7"/>
        <v/>
      </c>
    </row>
    <row r="514" spans="1:1" x14ac:dyDescent="0.2">
      <c r="A514" s="34" t="str">
        <f t="shared" si="7"/>
        <v/>
      </c>
    </row>
    <row r="515" spans="1:1" x14ac:dyDescent="0.2">
      <c r="A515" s="34" t="str">
        <f t="shared" ref="A515:A578" si="8">CONCATENATE(B515,C515,F515)</f>
        <v/>
      </c>
    </row>
    <row r="516" spans="1:1" x14ac:dyDescent="0.2">
      <c r="A516" s="34" t="str">
        <f t="shared" si="8"/>
        <v/>
      </c>
    </row>
    <row r="517" spans="1:1" x14ac:dyDescent="0.2">
      <c r="A517" s="34" t="str">
        <f t="shared" si="8"/>
        <v/>
      </c>
    </row>
    <row r="518" spans="1:1" x14ac:dyDescent="0.2">
      <c r="A518" s="34" t="str">
        <f t="shared" si="8"/>
        <v/>
      </c>
    </row>
    <row r="519" spans="1:1" x14ac:dyDescent="0.2">
      <c r="A519" s="34" t="str">
        <f t="shared" si="8"/>
        <v/>
      </c>
    </row>
    <row r="520" spans="1:1" x14ac:dyDescent="0.2">
      <c r="A520" s="34" t="str">
        <f t="shared" si="8"/>
        <v/>
      </c>
    </row>
    <row r="521" spans="1:1" x14ac:dyDescent="0.2">
      <c r="A521" s="34" t="str">
        <f t="shared" si="8"/>
        <v/>
      </c>
    </row>
    <row r="522" spans="1:1" x14ac:dyDescent="0.2">
      <c r="A522" s="34" t="str">
        <f t="shared" si="8"/>
        <v/>
      </c>
    </row>
    <row r="523" spans="1:1" x14ac:dyDescent="0.2">
      <c r="A523" s="34" t="str">
        <f t="shared" si="8"/>
        <v/>
      </c>
    </row>
    <row r="524" spans="1:1" x14ac:dyDescent="0.2">
      <c r="A524" s="34" t="str">
        <f t="shared" si="8"/>
        <v/>
      </c>
    </row>
    <row r="525" spans="1:1" x14ac:dyDescent="0.2">
      <c r="A525" s="34" t="str">
        <f t="shared" si="8"/>
        <v/>
      </c>
    </row>
    <row r="526" spans="1:1" x14ac:dyDescent="0.2">
      <c r="A526" s="34" t="str">
        <f t="shared" si="8"/>
        <v/>
      </c>
    </row>
    <row r="527" spans="1:1" x14ac:dyDescent="0.2">
      <c r="A527" s="34" t="str">
        <f t="shared" si="8"/>
        <v/>
      </c>
    </row>
    <row r="528" spans="1:1" x14ac:dyDescent="0.2">
      <c r="A528" s="34" t="str">
        <f t="shared" si="8"/>
        <v/>
      </c>
    </row>
    <row r="529" spans="1:1" x14ac:dyDescent="0.2">
      <c r="A529" s="34" t="str">
        <f t="shared" si="8"/>
        <v/>
      </c>
    </row>
    <row r="530" spans="1:1" x14ac:dyDescent="0.2">
      <c r="A530" s="34" t="str">
        <f t="shared" si="8"/>
        <v/>
      </c>
    </row>
    <row r="531" spans="1:1" x14ac:dyDescent="0.2">
      <c r="A531" s="34" t="str">
        <f t="shared" si="8"/>
        <v/>
      </c>
    </row>
    <row r="532" spans="1:1" x14ac:dyDescent="0.2">
      <c r="A532" s="34" t="str">
        <f t="shared" si="8"/>
        <v/>
      </c>
    </row>
    <row r="533" spans="1:1" x14ac:dyDescent="0.2">
      <c r="A533" s="34" t="str">
        <f t="shared" si="8"/>
        <v/>
      </c>
    </row>
    <row r="534" spans="1:1" x14ac:dyDescent="0.2">
      <c r="A534" s="34" t="str">
        <f t="shared" si="8"/>
        <v/>
      </c>
    </row>
    <row r="535" spans="1:1" x14ac:dyDescent="0.2">
      <c r="A535" s="34" t="str">
        <f t="shared" si="8"/>
        <v/>
      </c>
    </row>
    <row r="536" spans="1:1" x14ac:dyDescent="0.2">
      <c r="A536" s="34" t="str">
        <f t="shared" si="8"/>
        <v/>
      </c>
    </row>
    <row r="537" spans="1:1" x14ac:dyDescent="0.2">
      <c r="A537" s="34" t="str">
        <f t="shared" si="8"/>
        <v/>
      </c>
    </row>
    <row r="538" spans="1:1" x14ac:dyDescent="0.2">
      <c r="A538" s="34" t="str">
        <f t="shared" si="8"/>
        <v/>
      </c>
    </row>
    <row r="539" spans="1:1" x14ac:dyDescent="0.2">
      <c r="A539" s="34" t="str">
        <f t="shared" si="8"/>
        <v/>
      </c>
    </row>
    <row r="540" spans="1:1" x14ac:dyDescent="0.2">
      <c r="A540" s="34" t="str">
        <f t="shared" si="8"/>
        <v/>
      </c>
    </row>
    <row r="541" spans="1:1" x14ac:dyDescent="0.2">
      <c r="A541" s="34" t="str">
        <f t="shared" si="8"/>
        <v/>
      </c>
    </row>
    <row r="542" spans="1:1" x14ac:dyDescent="0.2">
      <c r="A542" s="34" t="str">
        <f t="shared" si="8"/>
        <v/>
      </c>
    </row>
    <row r="543" spans="1:1" x14ac:dyDescent="0.2">
      <c r="A543" s="34" t="str">
        <f t="shared" si="8"/>
        <v/>
      </c>
    </row>
    <row r="544" spans="1:1" x14ac:dyDescent="0.2">
      <c r="A544" s="34" t="str">
        <f t="shared" si="8"/>
        <v/>
      </c>
    </row>
    <row r="545" spans="1:1" x14ac:dyDescent="0.2">
      <c r="A545" s="34" t="str">
        <f t="shared" si="8"/>
        <v/>
      </c>
    </row>
    <row r="546" spans="1:1" x14ac:dyDescent="0.2">
      <c r="A546" s="34" t="str">
        <f t="shared" si="8"/>
        <v/>
      </c>
    </row>
    <row r="547" spans="1:1" x14ac:dyDescent="0.2">
      <c r="A547" s="34" t="str">
        <f t="shared" si="8"/>
        <v/>
      </c>
    </row>
    <row r="548" spans="1:1" x14ac:dyDescent="0.2">
      <c r="A548" s="34" t="str">
        <f t="shared" si="8"/>
        <v/>
      </c>
    </row>
    <row r="549" spans="1:1" x14ac:dyDescent="0.2">
      <c r="A549" s="34" t="str">
        <f t="shared" si="8"/>
        <v/>
      </c>
    </row>
    <row r="550" spans="1:1" x14ac:dyDescent="0.2">
      <c r="A550" s="34" t="str">
        <f t="shared" si="8"/>
        <v/>
      </c>
    </row>
    <row r="551" spans="1:1" x14ac:dyDescent="0.2">
      <c r="A551" s="34" t="str">
        <f t="shared" si="8"/>
        <v/>
      </c>
    </row>
    <row r="552" spans="1:1" x14ac:dyDescent="0.2">
      <c r="A552" s="34" t="str">
        <f t="shared" si="8"/>
        <v/>
      </c>
    </row>
    <row r="553" spans="1:1" x14ac:dyDescent="0.2">
      <c r="A553" s="34" t="str">
        <f t="shared" si="8"/>
        <v/>
      </c>
    </row>
    <row r="554" spans="1:1" x14ac:dyDescent="0.2">
      <c r="A554" s="34" t="str">
        <f t="shared" si="8"/>
        <v/>
      </c>
    </row>
    <row r="555" spans="1:1" x14ac:dyDescent="0.2">
      <c r="A555" s="34" t="str">
        <f t="shared" si="8"/>
        <v/>
      </c>
    </row>
    <row r="556" spans="1:1" x14ac:dyDescent="0.2">
      <c r="A556" s="34" t="str">
        <f t="shared" si="8"/>
        <v/>
      </c>
    </row>
    <row r="557" spans="1:1" x14ac:dyDescent="0.2">
      <c r="A557" s="34" t="str">
        <f t="shared" si="8"/>
        <v/>
      </c>
    </row>
    <row r="558" spans="1:1" x14ac:dyDescent="0.2">
      <c r="A558" s="34" t="str">
        <f t="shared" si="8"/>
        <v/>
      </c>
    </row>
    <row r="559" spans="1:1" x14ac:dyDescent="0.2">
      <c r="A559" s="34" t="str">
        <f t="shared" si="8"/>
        <v/>
      </c>
    </row>
    <row r="560" spans="1:1" x14ac:dyDescent="0.2">
      <c r="A560" s="34" t="str">
        <f t="shared" si="8"/>
        <v/>
      </c>
    </row>
    <row r="561" spans="1:1" x14ac:dyDescent="0.2">
      <c r="A561" s="34" t="str">
        <f t="shared" si="8"/>
        <v/>
      </c>
    </row>
    <row r="562" spans="1:1" x14ac:dyDescent="0.2">
      <c r="A562" s="34" t="str">
        <f t="shared" si="8"/>
        <v/>
      </c>
    </row>
    <row r="563" spans="1:1" x14ac:dyDescent="0.2">
      <c r="A563" s="34" t="str">
        <f t="shared" si="8"/>
        <v/>
      </c>
    </row>
    <row r="564" spans="1:1" x14ac:dyDescent="0.2">
      <c r="A564" s="34" t="str">
        <f t="shared" si="8"/>
        <v/>
      </c>
    </row>
    <row r="565" spans="1:1" x14ac:dyDescent="0.2">
      <c r="A565" s="34" t="str">
        <f t="shared" si="8"/>
        <v/>
      </c>
    </row>
    <row r="566" spans="1:1" x14ac:dyDescent="0.2">
      <c r="A566" s="34" t="str">
        <f t="shared" si="8"/>
        <v/>
      </c>
    </row>
    <row r="567" spans="1:1" x14ac:dyDescent="0.2">
      <c r="A567" s="34" t="str">
        <f t="shared" si="8"/>
        <v/>
      </c>
    </row>
    <row r="568" spans="1:1" x14ac:dyDescent="0.2">
      <c r="A568" s="34" t="str">
        <f t="shared" si="8"/>
        <v/>
      </c>
    </row>
    <row r="569" spans="1:1" x14ac:dyDescent="0.2">
      <c r="A569" s="34" t="str">
        <f t="shared" si="8"/>
        <v/>
      </c>
    </row>
    <row r="570" spans="1:1" x14ac:dyDescent="0.2">
      <c r="A570" s="34" t="str">
        <f t="shared" si="8"/>
        <v/>
      </c>
    </row>
    <row r="571" spans="1:1" x14ac:dyDescent="0.2">
      <c r="A571" s="34" t="str">
        <f t="shared" si="8"/>
        <v/>
      </c>
    </row>
    <row r="572" spans="1:1" x14ac:dyDescent="0.2">
      <c r="A572" s="34" t="str">
        <f t="shared" si="8"/>
        <v/>
      </c>
    </row>
    <row r="573" spans="1:1" x14ac:dyDescent="0.2">
      <c r="A573" s="34" t="str">
        <f t="shared" si="8"/>
        <v/>
      </c>
    </row>
    <row r="574" spans="1:1" x14ac:dyDescent="0.2">
      <c r="A574" s="34" t="str">
        <f t="shared" si="8"/>
        <v/>
      </c>
    </row>
    <row r="575" spans="1:1" x14ac:dyDescent="0.2">
      <c r="A575" s="34" t="str">
        <f t="shared" si="8"/>
        <v/>
      </c>
    </row>
    <row r="576" spans="1:1" x14ac:dyDescent="0.2">
      <c r="A576" s="34" t="str">
        <f t="shared" si="8"/>
        <v/>
      </c>
    </row>
    <row r="577" spans="1:1" x14ac:dyDescent="0.2">
      <c r="A577" s="34" t="str">
        <f t="shared" si="8"/>
        <v/>
      </c>
    </row>
    <row r="578" spans="1:1" x14ac:dyDescent="0.2">
      <c r="A578" s="34" t="str">
        <f t="shared" si="8"/>
        <v/>
      </c>
    </row>
    <row r="579" spans="1:1" x14ac:dyDescent="0.2">
      <c r="A579" s="34" t="str">
        <f t="shared" ref="A579:A642" si="9">CONCATENATE(B579,C579,F579)</f>
        <v/>
      </c>
    </row>
    <row r="580" spans="1:1" x14ac:dyDescent="0.2">
      <c r="A580" s="34" t="str">
        <f t="shared" si="9"/>
        <v/>
      </c>
    </row>
    <row r="581" spans="1:1" x14ac:dyDescent="0.2">
      <c r="A581" s="34" t="str">
        <f t="shared" si="9"/>
        <v/>
      </c>
    </row>
    <row r="582" spans="1:1" x14ac:dyDescent="0.2">
      <c r="A582" s="34" t="str">
        <f t="shared" si="9"/>
        <v/>
      </c>
    </row>
    <row r="583" spans="1:1" x14ac:dyDescent="0.2">
      <c r="A583" s="34" t="str">
        <f t="shared" si="9"/>
        <v/>
      </c>
    </row>
    <row r="584" spans="1:1" x14ac:dyDescent="0.2">
      <c r="A584" s="34" t="str">
        <f t="shared" si="9"/>
        <v/>
      </c>
    </row>
    <row r="585" spans="1:1" x14ac:dyDescent="0.2">
      <c r="A585" s="34" t="str">
        <f t="shared" si="9"/>
        <v/>
      </c>
    </row>
    <row r="586" spans="1:1" x14ac:dyDescent="0.2">
      <c r="A586" s="34" t="str">
        <f t="shared" si="9"/>
        <v/>
      </c>
    </row>
    <row r="587" spans="1:1" x14ac:dyDescent="0.2">
      <c r="A587" s="34" t="str">
        <f t="shared" si="9"/>
        <v/>
      </c>
    </row>
    <row r="588" spans="1:1" x14ac:dyDescent="0.2">
      <c r="A588" s="34" t="str">
        <f t="shared" si="9"/>
        <v/>
      </c>
    </row>
    <row r="589" spans="1:1" x14ac:dyDescent="0.2">
      <c r="A589" s="34" t="str">
        <f t="shared" si="9"/>
        <v/>
      </c>
    </row>
    <row r="590" spans="1:1" x14ac:dyDescent="0.2">
      <c r="A590" s="34" t="str">
        <f t="shared" si="9"/>
        <v/>
      </c>
    </row>
    <row r="591" spans="1:1" x14ac:dyDescent="0.2">
      <c r="A591" s="34" t="str">
        <f t="shared" si="9"/>
        <v/>
      </c>
    </row>
    <row r="592" spans="1:1" x14ac:dyDescent="0.2">
      <c r="A592" s="34" t="str">
        <f t="shared" si="9"/>
        <v/>
      </c>
    </row>
    <row r="593" spans="1:1" x14ac:dyDescent="0.2">
      <c r="A593" s="34" t="str">
        <f t="shared" si="9"/>
        <v/>
      </c>
    </row>
    <row r="594" spans="1:1" x14ac:dyDescent="0.2">
      <c r="A594" s="34" t="str">
        <f t="shared" si="9"/>
        <v/>
      </c>
    </row>
    <row r="595" spans="1:1" x14ac:dyDescent="0.2">
      <c r="A595" s="34" t="str">
        <f t="shared" si="9"/>
        <v/>
      </c>
    </row>
    <row r="596" spans="1:1" x14ac:dyDescent="0.2">
      <c r="A596" s="34" t="str">
        <f t="shared" si="9"/>
        <v/>
      </c>
    </row>
    <row r="597" spans="1:1" x14ac:dyDescent="0.2">
      <c r="A597" s="34" t="str">
        <f t="shared" si="9"/>
        <v/>
      </c>
    </row>
    <row r="598" spans="1:1" x14ac:dyDescent="0.2">
      <c r="A598" s="34" t="str">
        <f t="shared" si="9"/>
        <v/>
      </c>
    </row>
    <row r="599" spans="1:1" x14ac:dyDescent="0.2">
      <c r="A599" s="34" t="str">
        <f t="shared" si="9"/>
        <v/>
      </c>
    </row>
    <row r="600" spans="1:1" x14ac:dyDescent="0.2">
      <c r="A600" s="34" t="str">
        <f t="shared" si="9"/>
        <v/>
      </c>
    </row>
    <row r="601" spans="1:1" x14ac:dyDescent="0.2">
      <c r="A601" s="34" t="str">
        <f t="shared" si="9"/>
        <v/>
      </c>
    </row>
    <row r="602" spans="1:1" x14ac:dyDescent="0.2">
      <c r="A602" s="34" t="str">
        <f t="shared" si="9"/>
        <v/>
      </c>
    </row>
    <row r="603" spans="1:1" x14ac:dyDescent="0.2">
      <c r="A603" s="34" t="str">
        <f t="shared" si="9"/>
        <v/>
      </c>
    </row>
    <row r="604" spans="1:1" x14ac:dyDescent="0.2">
      <c r="A604" s="34" t="str">
        <f t="shared" si="9"/>
        <v/>
      </c>
    </row>
    <row r="605" spans="1:1" x14ac:dyDescent="0.2">
      <c r="A605" s="34" t="str">
        <f t="shared" si="9"/>
        <v/>
      </c>
    </row>
    <row r="606" spans="1:1" x14ac:dyDescent="0.2">
      <c r="A606" s="34" t="str">
        <f t="shared" si="9"/>
        <v/>
      </c>
    </row>
    <row r="607" spans="1:1" x14ac:dyDescent="0.2">
      <c r="A607" s="34" t="str">
        <f t="shared" si="9"/>
        <v/>
      </c>
    </row>
    <row r="608" spans="1:1" x14ac:dyDescent="0.2">
      <c r="A608" s="34" t="str">
        <f t="shared" si="9"/>
        <v/>
      </c>
    </row>
    <row r="609" spans="1:1" x14ac:dyDescent="0.2">
      <c r="A609" s="34" t="str">
        <f t="shared" si="9"/>
        <v/>
      </c>
    </row>
    <row r="610" spans="1:1" x14ac:dyDescent="0.2">
      <c r="A610" s="34" t="str">
        <f t="shared" si="9"/>
        <v/>
      </c>
    </row>
    <row r="611" spans="1:1" x14ac:dyDescent="0.2">
      <c r="A611" s="34" t="str">
        <f t="shared" si="9"/>
        <v/>
      </c>
    </row>
    <row r="612" spans="1:1" x14ac:dyDescent="0.2">
      <c r="A612" s="34" t="str">
        <f t="shared" si="9"/>
        <v/>
      </c>
    </row>
    <row r="613" spans="1:1" x14ac:dyDescent="0.2">
      <c r="A613" s="34" t="str">
        <f t="shared" si="9"/>
        <v/>
      </c>
    </row>
    <row r="614" spans="1:1" x14ac:dyDescent="0.2">
      <c r="A614" s="34" t="str">
        <f t="shared" si="9"/>
        <v/>
      </c>
    </row>
    <row r="615" spans="1:1" x14ac:dyDescent="0.2">
      <c r="A615" s="34" t="str">
        <f t="shared" si="9"/>
        <v/>
      </c>
    </row>
    <row r="616" spans="1:1" x14ac:dyDescent="0.2">
      <c r="A616" s="34" t="str">
        <f t="shared" si="9"/>
        <v/>
      </c>
    </row>
    <row r="617" spans="1:1" x14ac:dyDescent="0.2">
      <c r="A617" s="34" t="str">
        <f t="shared" si="9"/>
        <v/>
      </c>
    </row>
    <row r="618" spans="1:1" x14ac:dyDescent="0.2">
      <c r="A618" s="34" t="str">
        <f t="shared" si="9"/>
        <v/>
      </c>
    </row>
    <row r="619" spans="1:1" x14ac:dyDescent="0.2">
      <c r="A619" s="34" t="str">
        <f t="shared" si="9"/>
        <v/>
      </c>
    </row>
    <row r="620" spans="1:1" x14ac:dyDescent="0.2">
      <c r="A620" s="34" t="str">
        <f t="shared" si="9"/>
        <v/>
      </c>
    </row>
    <row r="621" spans="1:1" x14ac:dyDescent="0.2">
      <c r="A621" s="34" t="str">
        <f t="shared" si="9"/>
        <v/>
      </c>
    </row>
    <row r="622" spans="1:1" x14ac:dyDescent="0.2">
      <c r="A622" s="34" t="str">
        <f t="shared" si="9"/>
        <v/>
      </c>
    </row>
    <row r="623" spans="1:1" x14ac:dyDescent="0.2">
      <c r="A623" s="34" t="str">
        <f t="shared" si="9"/>
        <v/>
      </c>
    </row>
    <row r="624" spans="1:1" x14ac:dyDescent="0.2">
      <c r="A624" s="34" t="str">
        <f t="shared" si="9"/>
        <v/>
      </c>
    </row>
    <row r="625" spans="1:1" x14ac:dyDescent="0.2">
      <c r="A625" s="34" t="str">
        <f t="shared" si="9"/>
        <v/>
      </c>
    </row>
    <row r="626" spans="1:1" x14ac:dyDescent="0.2">
      <c r="A626" s="34" t="str">
        <f t="shared" si="9"/>
        <v/>
      </c>
    </row>
    <row r="627" spans="1:1" x14ac:dyDescent="0.2">
      <c r="A627" s="34" t="str">
        <f t="shared" si="9"/>
        <v/>
      </c>
    </row>
    <row r="628" spans="1:1" x14ac:dyDescent="0.2">
      <c r="A628" s="34" t="str">
        <f t="shared" si="9"/>
        <v/>
      </c>
    </row>
    <row r="629" spans="1:1" x14ac:dyDescent="0.2">
      <c r="A629" s="34" t="str">
        <f t="shared" si="9"/>
        <v/>
      </c>
    </row>
    <row r="630" spans="1:1" x14ac:dyDescent="0.2">
      <c r="A630" s="34" t="str">
        <f t="shared" si="9"/>
        <v/>
      </c>
    </row>
    <row r="631" spans="1:1" x14ac:dyDescent="0.2">
      <c r="A631" s="34" t="str">
        <f t="shared" si="9"/>
        <v/>
      </c>
    </row>
    <row r="632" spans="1:1" x14ac:dyDescent="0.2">
      <c r="A632" s="34" t="str">
        <f t="shared" si="9"/>
        <v/>
      </c>
    </row>
    <row r="633" spans="1:1" x14ac:dyDescent="0.2">
      <c r="A633" s="34" t="str">
        <f t="shared" si="9"/>
        <v/>
      </c>
    </row>
    <row r="634" spans="1:1" x14ac:dyDescent="0.2">
      <c r="A634" s="34" t="str">
        <f t="shared" si="9"/>
        <v/>
      </c>
    </row>
    <row r="635" spans="1:1" x14ac:dyDescent="0.2">
      <c r="A635" s="34" t="str">
        <f t="shared" si="9"/>
        <v/>
      </c>
    </row>
    <row r="636" spans="1:1" x14ac:dyDescent="0.2">
      <c r="A636" s="34" t="str">
        <f t="shared" si="9"/>
        <v/>
      </c>
    </row>
    <row r="637" spans="1:1" x14ac:dyDescent="0.2">
      <c r="A637" s="34" t="str">
        <f t="shared" si="9"/>
        <v/>
      </c>
    </row>
    <row r="638" spans="1:1" x14ac:dyDescent="0.2">
      <c r="A638" s="34" t="str">
        <f t="shared" si="9"/>
        <v/>
      </c>
    </row>
    <row r="639" spans="1:1" x14ac:dyDescent="0.2">
      <c r="A639" s="34" t="str">
        <f t="shared" si="9"/>
        <v/>
      </c>
    </row>
    <row r="640" spans="1:1" x14ac:dyDescent="0.2">
      <c r="A640" s="34" t="str">
        <f t="shared" si="9"/>
        <v/>
      </c>
    </row>
    <row r="641" spans="1:1" x14ac:dyDescent="0.2">
      <c r="A641" s="34" t="str">
        <f t="shared" si="9"/>
        <v/>
      </c>
    </row>
    <row r="642" spans="1:1" x14ac:dyDescent="0.2">
      <c r="A642" s="34" t="str">
        <f t="shared" si="9"/>
        <v/>
      </c>
    </row>
    <row r="643" spans="1:1" x14ac:dyDescent="0.2">
      <c r="A643" s="34" t="str">
        <f t="shared" ref="A643:A706" si="10">CONCATENATE(B643,C643,F643)</f>
        <v/>
      </c>
    </row>
    <row r="644" spans="1:1" x14ac:dyDescent="0.2">
      <c r="A644" s="34" t="str">
        <f t="shared" si="10"/>
        <v/>
      </c>
    </row>
    <row r="645" spans="1:1" x14ac:dyDescent="0.2">
      <c r="A645" s="34" t="str">
        <f t="shared" si="10"/>
        <v/>
      </c>
    </row>
    <row r="646" spans="1:1" x14ac:dyDescent="0.2">
      <c r="A646" s="34" t="str">
        <f t="shared" si="10"/>
        <v/>
      </c>
    </row>
    <row r="647" spans="1:1" x14ac:dyDescent="0.2">
      <c r="A647" s="34" t="str">
        <f t="shared" si="10"/>
        <v/>
      </c>
    </row>
    <row r="648" spans="1:1" x14ac:dyDescent="0.2">
      <c r="A648" s="34" t="str">
        <f t="shared" si="10"/>
        <v/>
      </c>
    </row>
    <row r="649" spans="1:1" x14ac:dyDescent="0.2">
      <c r="A649" s="34" t="str">
        <f t="shared" si="10"/>
        <v/>
      </c>
    </row>
    <row r="650" spans="1:1" x14ac:dyDescent="0.2">
      <c r="A650" s="34" t="str">
        <f t="shared" si="10"/>
        <v/>
      </c>
    </row>
    <row r="651" spans="1:1" x14ac:dyDescent="0.2">
      <c r="A651" s="34" t="str">
        <f t="shared" si="10"/>
        <v/>
      </c>
    </row>
    <row r="652" spans="1:1" x14ac:dyDescent="0.2">
      <c r="A652" s="34" t="str">
        <f t="shared" si="10"/>
        <v/>
      </c>
    </row>
    <row r="653" spans="1:1" x14ac:dyDescent="0.2">
      <c r="A653" s="34" t="str">
        <f t="shared" si="10"/>
        <v/>
      </c>
    </row>
    <row r="654" spans="1:1" x14ac:dyDescent="0.2">
      <c r="A654" s="34" t="str">
        <f t="shared" si="10"/>
        <v/>
      </c>
    </row>
    <row r="655" spans="1:1" x14ac:dyDescent="0.2">
      <c r="A655" s="34" t="str">
        <f t="shared" si="10"/>
        <v/>
      </c>
    </row>
    <row r="656" spans="1:1" x14ac:dyDescent="0.2">
      <c r="A656" s="34" t="str">
        <f t="shared" si="10"/>
        <v/>
      </c>
    </row>
    <row r="657" spans="1:1" x14ac:dyDescent="0.2">
      <c r="A657" s="34" t="str">
        <f t="shared" si="10"/>
        <v/>
      </c>
    </row>
    <row r="658" spans="1:1" x14ac:dyDescent="0.2">
      <c r="A658" s="34" t="str">
        <f t="shared" si="10"/>
        <v/>
      </c>
    </row>
    <row r="659" spans="1:1" x14ac:dyDescent="0.2">
      <c r="A659" s="34" t="str">
        <f t="shared" si="10"/>
        <v/>
      </c>
    </row>
    <row r="660" spans="1:1" x14ac:dyDescent="0.2">
      <c r="A660" s="34" t="str">
        <f t="shared" si="10"/>
        <v/>
      </c>
    </row>
    <row r="661" spans="1:1" x14ac:dyDescent="0.2">
      <c r="A661" s="34" t="str">
        <f t="shared" si="10"/>
        <v/>
      </c>
    </row>
    <row r="662" spans="1:1" x14ac:dyDescent="0.2">
      <c r="A662" s="34" t="str">
        <f t="shared" si="10"/>
        <v/>
      </c>
    </row>
    <row r="663" spans="1:1" x14ac:dyDescent="0.2">
      <c r="A663" s="34" t="str">
        <f t="shared" si="10"/>
        <v/>
      </c>
    </row>
    <row r="664" spans="1:1" x14ac:dyDescent="0.2">
      <c r="A664" s="34" t="str">
        <f t="shared" si="10"/>
        <v/>
      </c>
    </row>
    <row r="665" spans="1:1" x14ac:dyDescent="0.2">
      <c r="A665" s="34" t="str">
        <f t="shared" si="10"/>
        <v/>
      </c>
    </row>
    <row r="666" spans="1:1" x14ac:dyDescent="0.2">
      <c r="A666" s="34" t="str">
        <f t="shared" si="10"/>
        <v/>
      </c>
    </row>
    <row r="667" spans="1:1" x14ac:dyDescent="0.2">
      <c r="A667" s="34" t="str">
        <f t="shared" si="10"/>
        <v/>
      </c>
    </row>
    <row r="668" spans="1:1" x14ac:dyDescent="0.2">
      <c r="A668" s="34" t="str">
        <f t="shared" si="10"/>
        <v/>
      </c>
    </row>
    <row r="669" spans="1:1" x14ac:dyDescent="0.2">
      <c r="A669" s="34" t="str">
        <f t="shared" si="10"/>
        <v/>
      </c>
    </row>
    <row r="670" spans="1:1" x14ac:dyDescent="0.2">
      <c r="A670" s="34" t="str">
        <f t="shared" si="10"/>
        <v/>
      </c>
    </row>
    <row r="671" spans="1:1" x14ac:dyDescent="0.2">
      <c r="A671" s="34" t="str">
        <f t="shared" si="10"/>
        <v/>
      </c>
    </row>
    <row r="672" spans="1:1" x14ac:dyDescent="0.2">
      <c r="A672" s="34" t="str">
        <f t="shared" si="10"/>
        <v/>
      </c>
    </row>
    <row r="673" spans="1:1" x14ac:dyDescent="0.2">
      <c r="A673" s="34" t="str">
        <f t="shared" si="10"/>
        <v/>
      </c>
    </row>
    <row r="674" spans="1:1" x14ac:dyDescent="0.2">
      <c r="A674" s="34" t="str">
        <f t="shared" si="10"/>
        <v/>
      </c>
    </row>
    <row r="675" spans="1:1" x14ac:dyDescent="0.2">
      <c r="A675" s="34" t="str">
        <f t="shared" si="10"/>
        <v/>
      </c>
    </row>
    <row r="676" spans="1:1" x14ac:dyDescent="0.2">
      <c r="A676" s="34" t="str">
        <f t="shared" si="10"/>
        <v/>
      </c>
    </row>
    <row r="677" spans="1:1" x14ac:dyDescent="0.2">
      <c r="A677" s="34" t="str">
        <f t="shared" si="10"/>
        <v/>
      </c>
    </row>
    <row r="678" spans="1:1" x14ac:dyDescent="0.2">
      <c r="A678" s="34" t="str">
        <f t="shared" si="10"/>
        <v/>
      </c>
    </row>
    <row r="679" spans="1:1" x14ac:dyDescent="0.2">
      <c r="A679" s="34" t="str">
        <f t="shared" si="10"/>
        <v/>
      </c>
    </row>
    <row r="680" spans="1:1" x14ac:dyDescent="0.2">
      <c r="A680" s="34" t="str">
        <f t="shared" si="10"/>
        <v/>
      </c>
    </row>
    <row r="681" spans="1:1" x14ac:dyDescent="0.2">
      <c r="A681" s="34" t="str">
        <f t="shared" si="10"/>
        <v/>
      </c>
    </row>
    <row r="682" spans="1:1" x14ac:dyDescent="0.2">
      <c r="A682" s="34" t="str">
        <f t="shared" si="10"/>
        <v/>
      </c>
    </row>
    <row r="683" spans="1:1" x14ac:dyDescent="0.2">
      <c r="A683" s="34" t="str">
        <f t="shared" si="10"/>
        <v/>
      </c>
    </row>
    <row r="684" spans="1:1" x14ac:dyDescent="0.2">
      <c r="A684" s="34" t="str">
        <f t="shared" si="10"/>
        <v/>
      </c>
    </row>
    <row r="685" spans="1:1" x14ac:dyDescent="0.2">
      <c r="A685" s="34" t="str">
        <f t="shared" si="10"/>
        <v/>
      </c>
    </row>
    <row r="686" spans="1:1" x14ac:dyDescent="0.2">
      <c r="A686" s="34" t="str">
        <f t="shared" si="10"/>
        <v/>
      </c>
    </row>
    <row r="687" spans="1:1" x14ac:dyDescent="0.2">
      <c r="A687" s="34" t="str">
        <f t="shared" si="10"/>
        <v/>
      </c>
    </row>
    <row r="688" spans="1:1" x14ac:dyDescent="0.2">
      <c r="A688" s="34" t="str">
        <f t="shared" si="10"/>
        <v/>
      </c>
    </row>
    <row r="689" spans="1:1" x14ac:dyDescent="0.2">
      <c r="A689" s="34" t="str">
        <f t="shared" si="10"/>
        <v/>
      </c>
    </row>
    <row r="690" spans="1:1" x14ac:dyDescent="0.2">
      <c r="A690" s="34" t="str">
        <f t="shared" si="10"/>
        <v/>
      </c>
    </row>
    <row r="691" spans="1:1" x14ac:dyDescent="0.2">
      <c r="A691" s="34" t="str">
        <f t="shared" si="10"/>
        <v/>
      </c>
    </row>
    <row r="692" spans="1:1" x14ac:dyDescent="0.2">
      <c r="A692" s="34" t="str">
        <f t="shared" si="10"/>
        <v/>
      </c>
    </row>
    <row r="693" spans="1:1" x14ac:dyDescent="0.2">
      <c r="A693" s="34" t="str">
        <f t="shared" si="10"/>
        <v/>
      </c>
    </row>
    <row r="694" spans="1:1" x14ac:dyDescent="0.2">
      <c r="A694" s="34" t="str">
        <f t="shared" si="10"/>
        <v/>
      </c>
    </row>
    <row r="695" spans="1:1" x14ac:dyDescent="0.2">
      <c r="A695" s="34" t="str">
        <f t="shared" si="10"/>
        <v/>
      </c>
    </row>
    <row r="696" spans="1:1" x14ac:dyDescent="0.2">
      <c r="A696" s="34" t="str">
        <f t="shared" si="10"/>
        <v/>
      </c>
    </row>
    <row r="697" spans="1:1" x14ac:dyDescent="0.2">
      <c r="A697" s="34" t="str">
        <f t="shared" si="10"/>
        <v/>
      </c>
    </row>
    <row r="698" spans="1:1" x14ac:dyDescent="0.2">
      <c r="A698" s="34" t="str">
        <f t="shared" si="10"/>
        <v/>
      </c>
    </row>
    <row r="699" spans="1:1" x14ac:dyDescent="0.2">
      <c r="A699" s="34" t="str">
        <f t="shared" si="10"/>
        <v/>
      </c>
    </row>
    <row r="700" spans="1:1" x14ac:dyDescent="0.2">
      <c r="A700" s="34" t="str">
        <f t="shared" si="10"/>
        <v/>
      </c>
    </row>
    <row r="701" spans="1:1" x14ac:dyDescent="0.2">
      <c r="A701" s="34" t="str">
        <f t="shared" si="10"/>
        <v/>
      </c>
    </row>
    <row r="702" spans="1:1" x14ac:dyDescent="0.2">
      <c r="A702" s="34" t="str">
        <f t="shared" si="10"/>
        <v/>
      </c>
    </row>
    <row r="703" spans="1:1" x14ac:dyDescent="0.2">
      <c r="A703" s="34" t="str">
        <f t="shared" si="10"/>
        <v/>
      </c>
    </row>
    <row r="704" spans="1:1" x14ac:dyDescent="0.2">
      <c r="A704" s="34" t="str">
        <f t="shared" si="10"/>
        <v/>
      </c>
    </row>
    <row r="705" spans="1:1" x14ac:dyDescent="0.2">
      <c r="A705" s="34" t="str">
        <f t="shared" si="10"/>
        <v/>
      </c>
    </row>
    <row r="706" spans="1:1" x14ac:dyDescent="0.2">
      <c r="A706" s="34" t="str">
        <f t="shared" si="10"/>
        <v/>
      </c>
    </row>
    <row r="707" spans="1:1" x14ac:dyDescent="0.2">
      <c r="A707" s="34" t="str">
        <f t="shared" ref="A707:A770" si="11">CONCATENATE(B707,C707,F707)</f>
        <v/>
      </c>
    </row>
    <row r="708" spans="1:1" x14ac:dyDescent="0.2">
      <c r="A708" s="34" t="str">
        <f t="shared" si="11"/>
        <v/>
      </c>
    </row>
    <row r="709" spans="1:1" x14ac:dyDescent="0.2">
      <c r="A709" s="34" t="str">
        <f t="shared" si="11"/>
        <v/>
      </c>
    </row>
    <row r="710" spans="1:1" x14ac:dyDescent="0.2">
      <c r="A710" s="34" t="str">
        <f t="shared" si="11"/>
        <v/>
      </c>
    </row>
    <row r="711" spans="1:1" x14ac:dyDescent="0.2">
      <c r="A711" s="34" t="str">
        <f t="shared" si="11"/>
        <v/>
      </c>
    </row>
    <row r="712" spans="1:1" x14ac:dyDescent="0.2">
      <c r="A712" s="34" t="str">
        <f t="shared" si="11"/>
        <v/>
      </c>
    </row>
    <row r="713" spans="1:1" x14ac:dyDescent="0.2">
      <c r="A713" s="34" t="str">
        <f t="shared" si="11"/>
        <v/>
      </c>
    </row>
    <row r="714" spans="1:1" x14ac:dyDescent="0.2">
      <c r="A714" s="34" t="str">
        <f t="shared" si="11"/>
        <v/>
      </c>
    </row>
    <row r="715" spans="1:1" x14ac:dyDescent="0.2">
      <c r="A715" s="34" t="str">
        <f t="shared" si="11"/>
        <v/>
      </c>
    </row>
    <row r="716" spans="1:1" x14ac:dyDescent="0.2">
      <c r="A716" s="34" t="str">
        <f t="shared" si="11"/>
        <v/>
      </c>
    </row>
    <row r="717" spans="1:1" x14ac:dyDescent="0.2">
      <c r="A717" s="34" t="str">
        <f t="shared" si="11"/>
        <v/>
      </c>
    </row>
    <row r="718" spans="1:1" x14ac:dyDescent="0.2">
      <c r="A718" s="34" t="str">
        <f t="shared" si="11"/>
        <v/>
      </c>
    </row>
    <row r="719" spans="1:1" x14ac:dyDescent="0.2">
      <c r="A719" s="34" t="str">
        <f t="shared" si="11"/>
        <v/>
      </c>
    </row>
    <row r="720" spans="1:1" x14ac:dyDescent="0.2">
      <c r="A720" s="34" t="str">
        <f t="shared" si="11"/>
        <v/>
      </c>
    </row>
    <row r="721" spans="1:1" x14ac:dyDescent="0.2">
      <c r="A721" s="34" t="str">
        <f t="shared" si="11"/>
        <v/>
      </c>
    </row>
    <row r="722" spans="1:1" x14ac:dyDescent="0.2">
      <c r="A722" s="34" t="str">
        <f t="shared" si="11"/>
        <v/>
      </c>
    </row>
    <row r="723" spans="1:1" x14ac:dyDescent="0.2">
      <c r="A723" s="34" t="str">
        <f t="shared" si="11"/>
        <v/>
      </c>
    </row>
    <row r="724" spans="1:1" x14ac:dyDescent="0.2">
      <c r="A724" s="34" t="str">
        <f t="shared" si="11"/>
        <v/>
      </c>
    </row>
    <row r="725" spans="1:1" x14ac:dyDescent="0.2">
      <c r="A725" s="34" t="str">
        <f t="shared" si="11"/>
        <v/>
      </c>
    </row>
    <row r="726" spans="1:1" x14ac:dyDescent="0.2">
      <c r="A726" s="34" t="str">
        <f t="shared" si="11"/>
        <v/>
      </c>
    </row>
    <row r="727" spans="1:1" x14ac:dyDescent="0.2">
      <c r="A727" s="34" t="str">
        <f t="shared" si="11"/>
        <v/>
      </c>
    </row>
    <row r="728" spans="1:1" x14ac:dyDescent="0.2">
      <c r="A728" s="34" t="str">
        <f t="shared" si="11"/>
        <v/>
      </c>
    </row>
    <row r="729" spans="1:1" x14ac:dyDescent="0.2">
      <c r="A729" s="34" t="str">
        <f t="shared" si="11"/>
        <v/>
      </c>
    </row>
    <row r="730" spans="1:1" x14ac:dyDescent="0.2">
      <c r="A730" s="34" t="str">
        <f t="shared" si="11"/>
        <v/>
      </c>
    </row>
    <row r="731" spans="1:1" x14ac:dyDescent="0.2">
      <c r="A731" s="34" t="str">
        <f t="shared" si="11"/>
        <v/>
      </c>
    </row>
    <row r="732" spans="1:1" x14ac:dyDescent="0.2">
      <c r="A732" s="34" t="str">
        <f t="shared" si="11"/>
        <v/>
      </c>
    </row>
    <row r="733" spans="1:1" x14ac:dyDescent="0.2">
      <c r="A733" s="34" t="str">
        <f t="shared" si="11"/>
        <v/>
      </c>
    </row>
    <row r="734" spans="1:1" x14ac:dyDescent="0.2">
      <c r="A734" s="34" t="str">
        <f t="shared" si="11"/>
        <v/>
      </c>
    </row>
    <row r="735" spans="1:1" x14ac:dyDescent="0.2">
      <c r="A735" s="34" t="str">
        <f t="shared" si="11"/>
        <v/>
      </c>
    </row>
    <row r="736" spans="1:1" x14ac:dyDescent="0.2">
      <c r="A736" s="34" t="str">
        <f t="shared" si="11"/>
        <v/>
      </c>
    </row>
    <row r="737" spans="1:1" x14ac:dyDescent="0.2">
      <c r="A737" s="34" t="str">
        <f t="shared" si="11"/>
        <v/>
      </c>
    </row>
    <row r="738" spans="1:1" x14ac:dyDescent="0.2">
      <c r="A738" s="34" t="str">
        <f t="shared" si="11"/>
        <v/>
      </c>
    </row>
    <row r="739" spans="1:1" x14ac:dyDescent="0.2">
      <c r="A739" s="34" t="str">
        <f t="shared" si="11"/>
        <v/>
      </c>
    </row>
    <row r="740" spans="1:1" x14ac:dyDescent="0.2">
      <c r="A740" s="34" t="str">
        <f t="shared" si="11"/>
        <v/>
      </c>
    </row>
    <row r="741" spans="1:1" x14ac:dyDescent="0.2">
      <c r="A741" s="34" t="str">
        <f t="shared" si="11"/>
        <v/>
      </c>
    </row>
    <row r="742" spans="1:1" x14ac:dyDescent="0.2">
      <c r="A742" s="34" t="str">
        <f t="shared" si="11"/>
        <v/>
      </c>
    </row>
    <row r="743" spans="1:1" x14ac:dyDescent="0.2">
      <c r="A743" s="34" t="str">
        <f t="shared" si="11"/>
        <v/>
      </c>
    </row>
    <row r="744" spans="1:1" x14ac:dyDescent="0.2">
      <c r="A744" s="34" t="str">
        <f t="shared" si="11"/>
        <v/>
      </c>
    </row>
    <row r="745" spans="1:1" x14ac:dyDescent="0.2">
      <c r="A745" s="34" t="str">
        <f t="shared" si="11"/>
        <v/>
      </c>
    </row>
    <row r="746" spans="1:1" x14ac:dyDescent="0.2">
      <c r="A746" s="34" t="str">
        <f t="shared" si="11"/>
        <v/>
      </c>
    </row>
    <row r="747" spans="1:1" x14ac:dyDescent="0.2">
      <c r="A747" s="34" t="str">
        <f t="shared" si="11"/>
        <v/>
      </c>
    </row>
    <row r="748" spans="1:1" x14ac:dyDescent="0.2">
      <c r="A748" s="34" t="str">
        <f t="shared" si="11"/>
        <v/>
      </c>
    </row>
    <row r="749" spans="1:1" x14ac:dyDescent="0.2">
      <c r="A749" s="34" t="str">
        <f t="shared" si="11"/>
        <v/>
      </c>
    </row>
    <row r="750" spans="1:1" x14ac:dyDescent="0.2">
      <c r="A750" s="34" t="str">
        <f t="shared" si="11"/>
        <v/>
      </c>
    </row>
    <row r="751" spans="1:1" x14ac:dyDescent="0.2">
      <c r="A751" s="34" t="str">
        <f t="shared" si="11"/>
        <v/>
      </c>
    </row>
    <row r="752" spans="1:1" x14ac:dyDescent="0.2">
      <c r="A752" s="34" t="str">
        <f t="shared" si="11"/>
        <v/>
      </c>
    </row>
    <row r="753" spans="1:1" x14ac:dyDescent="0.2">
      <c r="A753" s="34" t="str">
        <f t="shared" si="11"/>
        <v/>
      </c>
    </row>
    <row r="754" spans="1:1" x14ac:dyDescent="0.2">
      <c r="A754" s="34" t="str">
        <f t="shared" si="11"/>
        <v/>
      </c>
    </row>
    <row r="755" spans="1:1" x14ac:dyDescent="0.2">
      <c r="A755" s="34" t="str">
        <f t="shared" si="11"/>
        <v/>
      </c>
    </row>
    <row r="756" spans="1:1" x14ac:dyDescent="0.2">
      <c r="A756" s="34" t="str">
        <f t="shared" si="11"/>
        <v/>
      </c>
    </row>
    <row r="757" spans="1:1" x14ac:dyDescent="0.2">
      <c r="A757" s="34" t="str">
        <f t="shared" si="11"/>
        <v/>
      </c>
    </row>
    <row r="758" spans="1:1" x14ac:dyDescent="0.2">
      <c r="A758" s="34" t="str">
        <f t="shared" si="11"/>
        <v/>
      </c>
    </row>
    <row r="759" spans="1:1" x14ac:dyDescent="0.2">
      <c r="A759" s="34" t="str">
        <f t="shared" si="11"/>
        <v/>
      </c>
    </row>
    <row r="760" spans="1:1" x14ac:dyDescent="0.2">
      <c r="A760" s="34" t="str">
        <f t="shared" si="11"/>
        <v/>
      </c>
    </row>
    <row r="761" spans="1:1" x14ac:dyDescent="0.2">
      <c r="A761" s="34" t="str">
        <f t="shared" si="11"/>
        <v/>
      </c>
    </row>
    <row r="762" spans="1:1" x14ac:dyDescent="0.2">
      <c r="A762" s="34" t="str">
        <f t="shared" si="11"/>
        <v/>
      </c>
    </row>
    <row r="763" spans="1:1" x14ac:dyDescent="0.2">
      <c r="A763" s="34" t="str">
        <f t="shared" si="11"/>
        <v/>
      </c>
    </row>
    <row r="764" spans="1:1" x14ac:dyDescent="0.2">
      <c r="A764" s="34" t="str">
        <f t="shared" si="11"/>
        <v/>
      </c>
    </row>
    <row r="765" spans="1:1" x14ac:dyDescent="0.2">
      <c r="A765" s="34" t="str">
        <f t="shared" si="11"/>
        <v/>
      </c>
    </row>
    <row r="766" spans="1:1" x14ac:dyDescent="0.2">
      <c r="A766" s="34" t="str">
        <f t="shared" si="11"/>
        <v/>
      </c>
    </row>
    <row r="767" spans="1:1" x14ac:dyDescent="0.2">
      <c r="A767" s="34" t="str">
        <f t="shared" si="11"/>
        <v/>
      </c>
    </row>
    <row r="768" spans="1:1" x14ac:dyDescent="0.2">
      <c r="A768" s="34" t="str">
        <f t="shared" si="11"/>
        <v/>
      </c>
    </row>
    <row r="769" spans="1:1" x14ac:dyDescent="0.2">
      <c r="A769" s="34" t="str">
        <f t="shared" si="11"/>
        <v/>
      </c>
    </row>
    <row r="770" spans="1:1" x14ac:dyDescent="0.2">
      <c r="A770" s="34" t="str">
        <f t="shared" si="11"/>
        <v/>
      </c>
    </row>
    <row r="771" spans="1:1" x14ac:dyDescent="0.2">
      <c r="A771" s="34" t="str">
        <f t="shared" ref="A771:A834" si="12">CONCATENATE(B771,C771,F771)</f>
        <v/>
      </c>
    </row>
    <row r="772" spans="1:1" x14ac:dyDescent="0.2">
      <c r="A772" s="34" t="str">
        <f t="shared" si="12"/>
        <v/>
      </c>
    </row>
    <row r="773" spans="1:1" x14ac:dyDescent="0.2">
      <c r="A773" s="34" t="str">
        <f t="shared" si="12"/>
        <v/>
      </c>
    </row>
    <row r="774" spans="1:1" x14ac:dyDescent="0.2">
      <c r="A774" s="34" t="str">
        <f t="shared" si="12"/>
        <v/>
      </c>
    </row>
    <row r="775" spans="1:1" x14ac:dyDescent="0.2">
      <c r="A775" s="34" t="str">
        <f t="shared" si="12"/>
        <v/>
      </c>
    </row>
    <row r="776" spans="1:1" x14ac:dyDescent="0.2">
      <c r="A776" s="34" t="str">
        <f t="shared" si="12"/>
        <v/>
      </c>
    </row>
    <row r="777" spans="1:1" x14ac:dyDescent="0.2">
      <c r="A777" s="34" t="str">
        <f t="shared" si="12"/>
        <v/>
      </c>
    </row>
    <row r="778" spans="1:1" x14ac:dyDescent="0.2">
      <c r="A778" s="34" t="str">
        <f t="shared" si="12"/>
        <v/>
      </c>
    </row>
    <row r="779" spans="1:1" x14ac:dyDescent="0.2">
      <c r="A779" s="34" t="str">
        <f t="shared" si="12"/>
        <v/>
      </c>
    </row>
    <row r="780" spans="1:1" x14ac:dyDescent="0.2">
      <c r="A780" s="34" t="str">
        <f t="shared" si="12"/>
        <v/>
      </c>
    </row>
    <row r="781" spans="1:1" x14ac:dyDescent="0.2">
      <c r="A781" s="34" t="str">
        <f t="shared" si="12"/>
        <v/>
      </c>
    </row>
    <row r="782" spans="1:1" x14ac:dyDescent="0.2">
      <c r="A782" s="34" t="str">
        <f t="shared" si="12"/>
        <v/>
      </c>
    </row>
    <row r="783" spans="1:1" x14ac:dyDescent="0.2">
      <c r="A783" s="34" t="str">
        <f t="shared" si="12"/>
        <v/>
      </c>
    </row>
    <row r="784" spans="1:1" x14ac:dyDescent="0.2">
      <c r="A784" s="34" t="str">
        <f t="shared" si="12"/>
        <v/>
      </c>
    </row>
    <row r="785" spans="1:1" x14ac:dyDescent="0.2">
      <c r="A785" s="34" t="str">
        <f t="shared" si="12"/>
        <v/>
      </c>
    </row>
    <row r="786" spans="1:1" x14ac:dyDescent="0.2">
      <c r="A786" s="34" t="str">
        <f t="shared" si="12"/>
        <v/>
      </c>
    </row>
    <row r="787" spans="1:1" x14ac:dyDescent="0.2">
      <c r="A787" s="34" t="str">
        <f t="shared" si="12"/>
        <v/>
      </c>
    </row>
    <row r="788" spans="1:1" x14ac:dyDescent="0.2">
      <c r="A788" s="34" t="str">
        <f t="shared" si="12"/>
        <v/>
      </c>
    </row>
    <row r="789" spans="1:1" x14ac:dyDescent="0.2">
      <c r="A789" s="34" t="str">
        <f t="shared" si="12"/>
        <v/>
      </c>
    </row>
    <row r="790" spans="1:1" x14ac:dyDescent="0.2">
      <c r="A790" s="34" t="str">
        <f t="shared" si="12"/>
        <v/>
      </c>
    </row>
    <row r="791" spans="1:1" x14ac:dyDescent="0.2">
      <c r="A791" s="34" t="str">
        <f t="shared" si="12"/>
        <v/>
      </c>
    </row>
    <row r="792" spans="1:1" x14ac:dyDescent="0.2">
      <c r="A792" s="34" t="str">
        <f t="shared" si="12"/>
        <v/>
      </c>
    </row>
    <row r="793" spans="1:1" x14ac:dyDescent="0.2">
      <c r="A793" s="34" t="str">
        <f t="shared" si="12"/>
        <v/>
      </c>
    </row>
    <row r="794" spans="1:1" x14ac:dyDescent="0.2">
      <c r="A794" s="34" t="str">
        <f t="shared" si="12"/>
        <v/>
      </c>
    </row>
    <row r="795" spans="1:1" x14ac:dyDescent="0.2">
      <c r="A795" s="34" t="str">
        <f t="shared" si="12"/>
        <v/>
      </c>
    </row>
    <row r="796" spans="1:1" x14ac:dyDescent="0.2">
      <c r="A796" s="34" t="str">
        <f t="shared" si="12"/>
        <v/>
      </c>
    </row>
    <row r="797" spans="1:1" x14ac:dyDescent="0.2">
      <c r="A797" s="34" t="str">
        <f t="shared" si="12"/>
        <v/>
      </c>
    </row>
    <row r="798" spans="1:1" x14ac:dyDescent="0.2">
      <c r="A798" s="34" t="str">
        <f t="shared" si="12"/>
        <v/>
      </c>
    </row>
    <row r="799" spans="1:1" x14ac:dyDescent="0.2">
      <c r="A799" s="34" t="str">
        <f t="shared" si="12"/>
        <v/>
      </c>
    </row>
    <row r="800" spans="1:1" x14ac:dyDescent="0.2">
      <c r="A800" s="34" t="str">
        <f t="shared" si="12"/>
        <v/>
      </c>
    </row>
    <row r="801" spans="1:1" x14ac:dyDescent="0.2">
      <c r="A801" s="34" t="str">
        <f t="shared" si="12"/>
        <v/>
      </c>
    </row>
    <row r="802" spans="1:1" x14ac:dyDescent="0.2">
      <c r="A802" s="34" t="str">
        <f t="shared" si="12"/>
        <v/>
      </c>
    </row>
    <row r="803" spans="1:1" x14ac:dyDescent="0.2">
      <c r="A803" s="34" t="str">
        <f t="shared" si="12"/>
        <v/>
      </c>
    </row>
    <row r="804" spans="1:1" x14ac:dyDescent="0.2">
      <c r="A804" s="34" t="str">
        <f t="shared" si="12"/>
        <v/>
      </c>
    </row>
    <row r="805" spans="1:1" x14ac:dyDescent="0.2">
      <c r="A805" s="34" t="str">
        <f t="shared" si="12"/>
        <v/>
      </c>
    </row>
    <row r="806" spans="1:1" x14ac:dyDescent="0.2">
      <c r="A806" s="34" t="str">
        <f t="shared" si="12"/>
        <v/>
      </c>
    </row>
    <row r="807" spans="1:1" x14ac:dyDescent="0.2">
      <c r="A807" s="34" t="str">
        <f t="shared" si="12"/>
        <v/>
      </c>
    </row>
    <row r="808" spans="1:1" x14ac:dyDescent="0.2">
      <c r="A808" s="34" t="str">
        <f t="shared" si="12"/>
        <v/>
      </c>
    </row>
    <row r="809" spans="1:1" x14ac:dyDescent="0.2">
      <c r="A809" s="34" t="str">
        <f t="shared" si="12"/>
        <v/>
      </c>
    </row>
    <row r="810" spans="1:1" x14ac:dyDescent="0.2">
      <c r="A810" s="34" t="str">
        <f t="shared" si="12"/>
        <v/>
      </c>
    </row>
    <row r="811" spans="1:1" x14ac:dyDescent="0.2">
      <c r="A811" s="34" t="str">
        <f t="shared" si="12"/>
        <v/>
      </c>
    </row>
    <row r="812" spans="1:1" x14ac:dyDescent="0.2">
      <c r="A812" s="34" t="str">
        <f t="shared" si="12"/>
        <v/>
      </c>
    </row>
    <row r="813" spans="1:1" x14ac:dyDescent="0.2">
      <c r="A813" s="34" t="str">
        <f t="shared" si="12"/>
        <v/>
      </c>
    </row>
    <row r="814" spans="1:1" x14ac:dyDescent="0.2">
      <c r="A814" s="34" t="str">
        <f t="shared" si="12"/>
        <v/>
      </c>
    </row>
    <row r="815" spans="1:1" x14ac:dyDescent="0.2">
      <c r="A815" s="34" t="str">
        <f t="shared" si="12"/>
        <v/>
      </c>
    </row>
    <row r="816" spans="1:1" x14ac:dyDescent="0.2">
      <c r="A816" s="34" t="str">
        <f t="shared" si="12"/>
        <v/>
      </c>
    </row>
    <row r="817" spans="1:1" x14ac:dyDescent="0.2">
      <c r="A817" s="34" t="str">
        <f t="shared" si="12"/>
        <v/>
      </c>
    </row>
    <row r="818" spans="1:1" x14ac:dyDescent="0.2">
      <c r="A818" s="34" t="str">
        <f t="shared" si="12"/>
        <v/>
      </c>
    </row>
    <row r="819" spans="1:1" x14ac:dyDescent="0.2">
      <c r="A819" s="34" t="str">
        <f t="shared" si="12"/>
        <v/>
      </c>
    </row>
    <row r="820" spans="1:1" x14ac:dyDescent="0.2">
      <c r="A820" s="34" t="str">
        <f t="shared" si="12"/>
        <v/>
      </c>
    </row>
    <row r="821" spans="1:1" x14ac:dyDescent="0.2">
      <c r="A821" s="34" t="str">
        <f t="shared" si="12"/>
        <v/>
      </c>
    </row>
    <row r="822" spans="1:1" x14ac:dyDescent="0.2">
      <c r="A822" s="34" t="str">
        <f t="shared" si="12"/>
        <v/>
      </c>
    </row>
    <row r="823" spans="1:1" x14ac:dyDescent="0.2">
      <c r="A823" s="34" t="str">
        <f t="shared" si="12"/>
        <v/>
      </c>
    </row>
    <row r="824" spans="1:1" x14ac:dyDescent="0.2">
      <c r="A824" s="34" t="str">
        <f t="shared" si="12"/>
        <v/>
      </c>
    </row>
    <row r="825" spans="1:1" x14ac:dyDescent="0.2">
      <c r="A825" s="34" t="str">
        <f t="shared" si="12"/>
        <v/>
      </c>
    </row>
    <row r="826" spans="1:1" x14ac:dyDescent="0.2">
      <c r="A826" s="34" t="str">
        <f t="shared" si="12"/>
        <v/>
      </c>
    </row>
    <row r="827" spans="1:1" x14ac:dyDescent="0.2">
      <c r="A827" s="34" t="str">
        <f t="shared" si="12"/>
        <v/>
      </c>
    </row>
    <row r="828" spans="1:1" x14ac:dyDescent="0.2">
      <c r="A828" s="34" t="str">
        <f t="shared" si="12"/>
        <v/>
      </c>
    </row>
    <row r="829" spans="1:1" x14ac:dyDescent="0.2">
      <c r="A829" s="34" t="str">
        <f t="shared" si="12"/>
        <v/>
      </c>
    </row>
    <row r="830" spans="1:1" x14ac:dyDescent="0.2">
      <c r="A830" s="34" t="str">
        <f t="shared" si="12"/>
        <v/>
      </c>
    </row>
    <row r="831" spans="1:1" x14ac:dyDescent="0.2">
      <c r="A831" s="34" t="str">
        <f t="shared" si="12"/>
        <v/>
      </c>
    </row>
    <row r="832" spans="1:1" x14ac:dyDescent="0.2">
      <c r="A832" s="34" t="str">
        <f t="shared" si="12"/>
        <v/>
      </c>
    </row>
    <row r="833" spans="1:1" x14ac:dyDescent="0.2">
      <c r="A833" s="34" t="str">
        <f t="shared" si="12"/>
        <v/>
      </c>
    </row>
    <row r="834" spans="1:1" x14ac:dyDescent="0.2">
      <c r="A834" s="34" t="str">
        <f t="shared" si="12"/>
        <v/>
      </c>
    </row>
    <row r="835" spans="1:1" x14ac:dyDescent="0.2">
      <c r="A835" s="34" t="str">
        <f t="shared" ref="A835:A898" si="13">CONCATENATE(B835,C835,F835)</f>
        <v/>
      </c>
    </row>
    <row r="836" spans="1:1" x14ac:dyDescent="0.2">
      <c r="A836" s="34" t="str">
        <f t="shared" si="13"/>
        <v/>
      </c>
    </row>
    <row r="837" spans="1:1" x14ac:dyDescent="0.2">
      <c r="A837" s="34" t="str">
        <f t="shared" si="13"/>
        <v/>
      </c>
    </row>
    <row r="838" spans="1:1" x14ac:dyDescent="0.2">
      <c r="A838" s="34" t="str">
        <f t="shared" si="13"/>
        <v/>
      </c>
    </row>
    <row r="839" spans="1:1" x14ac:dyDescent="0.2">
      <c r="A839" s="34" t="str">
        <f t="shared" si="13"/>
        <v/>
      </c>
    </row>
    <row r="840" spans="1:1" x14ac:dyDescent="0.2">
      <c r="A840" s="34" t="str">
        <f t="shared" si="13"/>
        <v/>
      </c>
    </row>
    <row r="841" spans="1:1" x14ac:dyDescent="0.2">
      <c r="A841" s="34" t="str">
        <f t="shared" si="13"/>
        <v/>
      </c>
    </row>
    <row r="842" spans="1:1" x14ac:dyDescent="0.2">
      <c r="A842" s="34" t="str">
        <f t="shared" si="13"/>
        <v/>
      </c>
    </row>
    <row r="843" spans="1:1" x14ac:dyDescent="0.2">
      <c r="A843" s="34" t="str">
        <f t="shared" si="13"/>
        <v/>
      </c>
    </row>
    <row r="844" spans="1:1" x14ac:dyDescent="0.2">
      <c r="A844" s="34" t="str">
        <f t="shared" si="13"/>
        <v/>
      </c>
    </row>
    <row r="845" spans="1:1" x14ac:dyDescent="0.2">
      <c r="A845" s="34" t="str">
        <f t="shared" si="13"/>
        <v/>
      </c>
    </row>
    <row r="846" spans="1:1" x14ac:dyDescent="0.2">
      <c r="A846" s="34" t="str">
        <f t="shared" si="13"/>
        <v/>
      </c>
    </row>
    <row r="847" spans="1:1" x14ac:dyDescent="0.2">
      <c r="A847" s="34" t="str">
        <f t="shared" si="13"/>
        <v/>
      </c>
    </row>
    <row r="848" spans="1:1" x14ac:dyDescent="0.2">
      <c r="A848" s="34" t="str">
        <f t="shared" si="13"/>
        <v/>
      </c>
    </row>
    <row r="849" spans="1:1" x14ac:dyDescent="0.2">
      <c r="A849" s="34" t="str">
        <f t="shared" si="13"/>
        <v/>
      </c>
    </row>
    <row r="850" spans="1:1" x14ac:dyDescent="0.2">
      <c r="A850" s="34" t="str">
        <f t="shared" si="13"/>
        <v/>
      </c>
    </row>
    <row r="851" spans="1:1" x14ac:dyDescent="0.2">
      <c r="A851" s="34" t="str">
        <f t="shared" si="13"/>
        <v/>
      </c>
    </row>
    <row r="852" spans="1:1" x14ac:dyDescent="0.2">
      <c r="A852" s="34" t="str">
        <f t="shared" si="13"/>
        <v/>
      </c>
    </row>
    <row r="853" spans="1:1" x14ac:dyDescent="0.2">
      <c r="A853" s="34" t="str">
        <f t="shared" si="13"/>
        <v/>
      </c>
    </row>
    <row r="854" spans="1:1" x14ac:dyDescent="0.2">
      <c r="A854" s="34" t="str">
        <f t="shared" si="13"/>
        <v/>
      </c>
    </row>
    <row r="855" spans="1:1" x14ac:dyDescent="0.2">
      <c r="A855" s="34" t="str">
        <f t="shared" si="13"/>
        <v/>
      </c>
    </row>
    <row r="856" spans="1:1" x14ac:dyDescent="0.2">
      <c r="A856" s="34" t="str">
        <f t="shared" si="13"/>
        <v/>
      </c>
    </row>
    <row r="857" spans="1:1" x14ac:dyDescent="0.2">
      <c r="A857" s="34" t="str">
        <f t="shared" si="13"/>
        <v/>
      </c>
    </row>
    <row r="858" spans="1:1" x14ac:dyDescent="0.2">
      <c r="A858" s="34" t="str">
        <f t="shared" si="13"/>
        <v/>
      </c>
    </row>
    <row r="859" spans="1:1" x14ac:dyDescent="0.2">
      <c r="A859" s="34" t="str">
        <f t="shared" si="13"/>
        <v/>
      </c>
    </row>
    <row r="860" spans="1:1" x14ac:dyDescent="0.2">
      <c r="A860" s="34" t="str">
        <f t="shared" si="13"/>
        <v/>
      </c>
    </row>
    <row r="861" spans="1:1" x14ac:dyDescent="0.2">
      <c r="A861" s="34" t="str">
        <f t="shared" si="13"/>
        <v/>
      </c>
    </row>
    <row r="862" spans="1:1" x14ac:dyDescent="0.2">
      <c r="A862" s="34" t="str">
        <f t="shared" si="13"/>
        <v/>
      </c>
    </row>
    <row r="863" spans="1:1" x14ac:dyDescent="0.2">
      <c r="A863" s="34" t="str">
        <f t="shared" si="13"/>
        <v/>
      </c>
    </row>
    <row r="864" spans="1:1" x14ac:dyDescent="0.2">
      <c r="A864" s="34" t="str">
        <f t="shared" si="13"/>
        <v/>
      </c>
    </row>
    <row r="865" spans="1:1" x14ac:dyDescent="0.2">
      <c r="A865" s="34" t="str">
        <f t="shared" si="13"/>
        <v/>
      </c>
    </row>
    <row r="866" spans="1:1" x14ac:dyDescent="0.2">
      <c r="A866" s="34" t="str">
        <f t="shared" si="13"/>
        <v/>
      </c>
    </row>
    <row r="867" spans="1:1" x14ac:dyDescent="0.2">
      <c r="A867" s="34" t="str">
        <f t="shared" si="13"/>
        <v/>
      </c>
    </row>
    <row r="868" spans="1:1" x14ac:dyDescent="0.2">
      <c r="A868" s="34" t="str">
        <f t="shared" si="13"/>
        <v/>
      </c>
    </row>
    <row r="869" spans="1:1" x14ac:dyDescent="0.2">
      <c r="A869" s="34" t="str">
        <f t="shared" si="13"/>
        <v/>
      </c>
    </row>
    <row r="870" spans="1:1" x14ac:dyDescent="0.2">
      <c r="A870" s="34" t="str">
        <f t="shared" si="13"/>
        <v/>
      </c>
    </row>
    <row r="871" spans="1:1" x14ac:dyDescent="0.2">
      <c r="A871" s="34" t="str">
        <f t="shared" si="13"/>
        <v/>
      </c>
    </row>
    <row r="872" spans="1:1" x14ac:dyDescent="0.2">
      <c r="A872" s="34" t="str">
        <f t="shared" si="13"/>
        <v/>
      </c>
    </row>
    <row r="873" spans="1:1" x14ac:dyDescent="0.2">
      <c r="A873" s="34" t="str">
        <f t="shared" si="13"/>
        <v/>
      </c>
    </row>
    <row r="874" spans="1:1" x14ac:dyDescent="0.2">
      <c r="A874" s="34" t="str">
        <f t="shared" si="13"/>
        <v/>
      </c>
    </row>
    <row r="875" spans="1:1" x14ac:dyDescent="0.2">
      <c r="A875" s="34" t="str">
        <f t="shared" si="13"/>
        <v/>
      </c>
    </row>
    <row r="876" spans="1:1" x14ac:dyDescent="0.2">
      <c r="A876" s="34" t="str">
        <f t="shared" si="13"/>
        <v/>
      </c>
    </row>
    <row r="877" spans="1:1" x14ac:dyDescent="0.2">
      <c r="A877" s="34" t="str">
        <f t="shared" si="13"/>
        <v/>
      </c>
    </row>
    <row r="878" spans="1:1" x14ac:dyDescent="0.2">
      <c r="A878" s="34" t="str">
        <f t="shared" si="13"/>
        <v/>
      </c>
    </row>
    <row r="879" spans="1:1" x14ac:dyDescent="0.2">
      <c r="A879" s="34" t="str">
        <f t="shared" si="13"/>
        <v/>
      </c>
    </row>
    <row r="880" spans="1:1" x14ac:dyDescent="0.2">
      <c r="A880" s="34" t="str">
        <f t="shared" si="13"/>
        <v/>
      </c>
    </row>
    <row r="881" spans="1:1" x14ac:dyDescent="0.2">
      <c r="A881" s="34" t="str">
        <f t="shared" si="13"/>
        <v/>
      </c>
    </row>
    <row r="882" spans="1:1" x14ac:dyDescent="0.2">
      <c r="A882" s="34" t="str">
        <f t="shared" si="13"/>
        <v/>
      </c>
    </row>
    <row r="883" spans="1:1" x14ac:dyDescent="0.2">
      <c r="A883" s="34" t="str">
        <f t="shared" si="13"/>
        <v/>
      </c>
    </row>
    <row r="884" spans="1:1" x14ac:dyDescent="0.2">
      <c r="A884" s="34" t="str">
        <f t="shared" si="13"/>
        <v/>
      </c>
    </row>
    <row r="885" spans="1:1" x14ac:dyDescent="0.2">
      <c r="A885" s="34" t="str">
        <f t="shared" si="13"/>
        <v/>
      </c>
    </row>
    <row r="886" spans="1:1" x14ac:dyDescent="0.2">
      <c r="A886" s="34" t="str">
        <f t="shared" si="13"/>
        <v/>
      </c>
    </row>
    <row r="887" spans="1:1" x14ac:dyDescent="0.2">
      <c r="A887" s="34" t="str">
        <f t="shared" si="13"/>
        <v/>
      </c>
    </row>
    <row r="888" spans="1:1" x14ac:dyDescent="0.2">
      <c r="A888" s="34" t="str">
        <f t="shared" si="13"/>
        <v/>
      </c>
    </row>
    <row r="889" spans="1:1" x14ac:dyDescent="0.2">
      <c r="A889" s="34" t="str">
        <f t="shared" si="13"/>
        <v/>
      </c>
    </row>
    <row r="890" spans="1:1" x14ac:dyDescent="0.2">
      <c r="A890" s="34" t="str">
        <f t="shared" si="13"/>
        <v/>
      </c>
    </row>
    <row r="891" spans="1:1" x14ac:dyDescent="0.2">
      <c r="A891" s="34" t="str">
        <f t="shared" si="13"/>
        <v/>
      </c>
    </row>
    <row r="892" spans="1:1" x14ac:dyDescent="0.2">
      <c r="A892" s="34" t="str">
        <f t="shared" si="13"/>
        <v/>
      </c>
    </row>
    <row r="893" spans="1:1" x14ac:dyDescent="0.2">
      <c r="A893" s="34" t="str">
        <f t="shared" si="13"/>
        <v/>
      </c>
    </row>
    <row r="894" spans="1:1" x14ac:dyDescent="0.2">
      <c r="A894" s="34" t="str">
        <f t="shared" si="13"/>
        <v/>
      </c>
    </row>
    <row r="895" spans="1:1" x14ac:dyDescent="0.2">
      <c r="A895" s="34" t="str">
        <f t="shared" si="13"/>
        <v/>
      </c>
    </row>
    <row r="896" spans="1:1" x14ac:dyDescent="0.2">
      <c r="A896" s="34" t="str">
        <f t="shared" si="13"/>
        <v/>
      </c>
    </row>
    <row r="897" spans="1:1" x14ac:dyDescent="0.2">
      <c r="A897" s="34" t="str">
        <f t="shared" si="13"/>
        <v/>
      </c>
    </row>
    <row r="898" spans="1:1" x14ac:dyDescent="0.2">
      <c r="A898" s="34" t="str">
        <f t="shared" si="13"/>
        <v/>
      </c>
    </row>
    <row r="899" spans="1:1" x14ac:dyDescent="0.2">
      <c r="A899" s="34" t="str">
        <f t="shared" ref="A899:A962" si="14">CONCATENATE(B899,C899,F899)</f>
        <v/>
      </c>
    </row>
    <row r="900" spans="1:1" x14ac:dyDescent="0.2">
      <c r="A900" s="34" t="str">
        <f t="shared" si="14"/>
        <v/>
      </c>
    </row>
    <row r="901" spans="1:1" x14ac:dyDescent="0.2">
      <c r="A901" s="34" t="str">
        <f t="shared" si="14"/>
        <v/>
      </c>
    </row>
    <row r="902" spans="1:1" x14ac:dyDescent="0.2">
      <c r="A902" s="34" t="str">
        <f t="shared" si="14"/>
        <v/>
      </c>
    </row>
    <row r="903" spans="1:1" x14ac:dyDescent="0.2">
      <c r="A903" s="34" t="str">
        <f t="shared" si="14"/>
        <v/>
      </c>
    </row>
    <row r="904" spans="1:1" x14ac:dyDescent="0.2">
      <c r="A904" s="34" t="str">
        <f t="shared" si="14"/>
        <v/>
      </c>
    </row>
    <row r="905" spans="1:1" x14ac:dyDescent="0.2">
      <c r="A905" s="34" t="str">
        <f t="shared" si="14"/>
        <v/>
      </c>
    </row>
    <row r="906" spans="1:1" x14ac:dyDescent="0.2">
      <c r="A906" s="34" t="str">
        <f t="shared" si="14"/>
        <v/>
      </c>
    </row>
    <row r="907" spans="1:1" x14ac:dyDescent="0.2">
      <c r="A907" s="34" t="str">
        <f t="shared" si="14"/>
        <v/>
      </c>
    </row>
    <row r="908" spans="1:1" x14ac:dyDescent="0.2">
      <c r="A908" s="34" t="str">
        <f t="shared" si="14"/>
        <v/>
      </c>
    </row>
    <row r="909" spans="1:1" x14ac:dyDescent="0.2">
      <c r="A909" s="34" t="str">
        <f t="shared" si="14"/>
        <v/>
      </c>
    </row>
    <row r="910" spans="1:1" x14ac:dyDescent="0.2">
      <c r="A910" s="34" t="str">
        <f t="shared" si="14"/>
        <v/>
      </c>
    </row>
    <row r="911" spans="1:1" x14ac:dyDescent="0.2">
      <c r="A911" s="34" t="str">
        <f t="shared" si="14"/>
        <v/>
      </c>
    </row>
    <row r="912" spans="1:1" x14ac:dyDescent="0.2">
      <c r="A912" s="34" t="str">
        <f t="shared" si="14"/>
        <v/>
      </c>
    </row>
    <row r="913" spans="1:1" x14ac:dyDescent="0.2">
      <c r="A913" s="34" t="str">
        <f t="shared" si="14"/>
        <v/>
      </c>
    </row>
    <row r="914" spans="1:1" x14ac:dyDescent="0.2">
      <c r="A914" s="34" t="str">
        <f t="shared" si="14"/>
        <v/>
      </c>
    </row>
    <row r="915" spans="1:1" x14ac:dyDescent="0.2">
      <c r="A915" s="34" t="str">
        <f t="shared" si="14"/>
        <v/>
      </c>
    </row>
    <row r="916" spans="1:1" x14ac:dyDescent="0.2">
      <c r="A916" s="34" t="str">
        <f t="shared" si="14"/>
        <v/>
      </c>
    </row>
    <row r="917" spans="1:1" x14ac:dyDescent="0.2">
      <c r="A917" s="34" t="str">
        <f t="shared" si="14"/>
        <v/>
      </c>
    </row>
    <row r="918" spans="1:1" x14ac:dyDescent="0.2">
      <c r="A918" s="34" t="str">
        <f t="shared" si="14"/>
        <v/>
      </c>
    </row>
    <row r="919" spans="1:1" x14ac:dyDescent="0.2">
      <c r="A919" s="34" t="str">
        <f t="shared" si="14"/>
        <v/>
      </c>
    </row>
    <row r="920" spans="1:1" x14ac:dyDescent="0.2">
      <c r="A920" s="34" t="str">
        <f t="shared" si="14"/>
        <v/>
      </c>
    </row>
    <row r="921" spans="1:1" x14ac:dyDescent="0.2">
      <c r="A921" s="34" t="str">
        <f t="shared" si="14"/>
        <v/>
      </c>
    </row>
    <row r="922" spans="1:1" x14ac:dyDescent="0.2">
      <c r="A922" s="34" t="str">
        <f t="shared" si="14"/>
        <v/>
      </c>
    </row>
    <row r="923" spans="1:1" x14ac:dyDescent="0.2">
      <c r="A923" s="34" t="str">
        <f t="shared" si="14"/>
        <v/>
      </c>
    </row>
    <row r="924" spans="1:1" x14ac:dyDescent="0.2">
      <c r="A924" s="34" t="str">
        <f t="shared" si="14"/>
        <v/>
      </c>
    </row>
    <row r="925" spans="1:1" x14ac:dyDescent="0.2">
      <c r="A925" s="34" t="str">
        <f t="shared" si="14"/>
        <v/>
      </c>
    </row>
    <row r="926" spans="1:1" x14ac:dyDescent="0.2">
      <c r="A926" s="34" t="str">
        <f t="shared" si="14"/>
        <v/>
      </c>
    </row>
    <row r="927" spans="1:1" x14ac:dyDescent="0.2">
      <c r="A927" s="34" t="str">
        <f t="shared" si="14"/>
        <v/>
      </c>
    </row>
    <row r="928" spans="1:1" x14ac:dyDescent="0.2">
      <c r="A928" s="34" t="str">
        <f t="shared" si="14"/>
        <v/>
      </c>
    </row>
    <row r="929" spans="1:1" x14ac:dyDescent="0.2">
      <c r="A929" s="34" t="str">
        <f t="shared" si="14"/>
        <v/>
      </c>
    </row>
    <row r="930" spans="1:1" x14ac:dyDescent="0.2">
      <c r="A930" s="34" t="str">
        <f t="shared" si="14"/>
        <v/>
      </c>
    </row>
    <row r="931" spans="1:1" x14ac:dyDescent="0.2">
      <c r="A931" s="34" t="str">
        <f t="shared" si="14"/>
        <v/>
      </c>
    </row>
    <row r="932" spans="1:1" x14ac:dyDescent="0.2">
      <c r="A932" s="34" t="str">
        <f t="shared" si="14"/>
        <v/>
      </c>
    </row>
    <row r="933" spans="1:1" x14ac:dyDescent="0.2">
      <c r="A933" s="34" t="str">
        <f t="shared" si="14"/>
        <v/>
      </c>
    </row>
    <row r="934" spans="1:1" x14ac:dyDescent="0.2">
      <c r="A934" s="34" t="str">
        <f t="shared" si="14"/>
        <v/>
      </c>
    </row>
    <row r="935" spans="1:1" x14ac:dyDescent="0.2">
      <c r="A935" s="34" t="str">
        <f t="shared" si="14"/>
        <v/>
      </c>
    </row>
    <row r="936" spans="1:1" x14ac:dyDescent="0.2">
      <c r="A936" s="34" t="str">
        <f t="shared" si="14"/>
        <v/>
      </c>
    </row>
    <row r="937" spans="1:1" x14ac:dyDescent="0.2">
      <c r="A937" s="34" t="str">
        <f t="shared" si="14"/>
        <v/>
      </c>
    </row>
    <row r="938" spans="1:1" x14ac:dyDescent="0.2">
      <c r="A938" s="34" t="str">
        <f t="shared" si="14"/>
        <v/>
      </c>
    </row>
    <row r="939" spans="1:1" x14ac:dyDescent="0.2">
      <c r="A939" s="34" t="str">
        <f t="shared" si="14"/>
        <v/>
      </c>
    </row>
    <row r="940" spans="1:1" x14ac:dyDescent="0.2">
      <c r="A940" s="34" t="str">
        <f t="shared" si="14"/>
        <v/>
      </c>
    </row>
    <row r="941" spans="1:1" x14ac:dyDescent="0.2">
      <c r="A941" s="34" t="str">
        <f t="shared" si="14"/>
        <v/>
      </c>
    </row>
    <row r="942" spans="1:1" x14ac:dyDescent="0.2">
      <c r="A942" s="34" t="str">
        <f t="shared" si="14"/>
        <v/>
      </c>
    </row>
    <row r="943" spans="1:1" x14ac:dyDescent="0.2">
      <c r="A943" s="34" t="str">
        <f t="shared" si="14"/>
        <v/>
      </c>
    </row>
    <row r="944" spans="1:1" x14ac:dyDescent="0.2">
      <c r="A944" s="34" t="str">
        <f t="shared" si="14"/>
        <v/>
      </c>
    </row>
    <row r="945" spans="1:1" x14ac:dyDescent="0.2">
      <c r="A945" s="34" t="str">
        <f t="shared" si="14"/>
        <v/>
      </c>
    </row>
    <row r="946" spans="1:1" x14ac:dyDescent="0.2">
      <c r="A946" s="34" t="str">
        <f t="shared" si="14"/>
        <v/>
      </c>
    </row>
    <row r="947" spans="1:1" x14ac:dyDescent="0.2">
      <c r="A947" s="34" t="str">
        <f t="shared" si="14"/>
        <v/>
      </c>
    </row>
    <row r="948" spans="1:1" x14ac:dyDescent="0.2">
      <c r="A948" s="34" t="str">
        <f t="shared" si="14"/>
        <v/>
      </c>
    </row>
    <row r="949" spans="1:1" x14ac:dyDescent="0.2">
      <c r="A949" s="34" t="str">
        <f t="shared" si="14"/>
        <v/>
      </c>
    </row>
    <row r="950" spans="1:1" x14ac:dyDescent="0.2">
      <c r="A950" s="34" t="str">
        <f t="shared" si="14"/>
        <v/>
      </c>
    </row>
    <row r="951" spans="1:1" x14ac:dyDescent="0.2">
      <c r="A951" s="34" t="str">
        <f t="shared" si="14"/>
        <v/>
      </c>
    </row>
    <row r="952" spans="1:1" x14ac:dyDescent="0.2">
      <c r="A952" s="34" t="str">
        <f t="shared" si="14"/>
        <v/>
      </c>
    </row>
    <row r="953" spans="1:1" x14ac:dyDescent="0.2">
      <c r="A953" s="34" t="str">
        <f t="shared" si="14"/>
        <v/>
      </c>
    </row>
    <row r="954" spans="1:1" x14ac:dyDescent="0.2">
      <c r="A954" s="34" t="str">
        <f t="shared" si="14"/>
        <v/>
      </c>
    </row>
    <row r="955" spans="1:1" x14ac:dyDescent="0.2">
      <c r="A955" s="34" t="str">
        <f t="shared" si="14"/>
        <v/>
      </c>
    </row>
    <row r="956" spans="1:1" x14ac:dyDescent="0.2">
      <c r="A956" s="34" t="str">
        <f t="shared" si="14"/>
        <v/>
      </c>
    </row>
    <row r="957" spans="1:1" x14ac:dyDescent="0.2">
      <c r="A957" s="34" t="str">
        <f t="shared" si="14"/>
        <v/>
      </c>
    </row>
    <row r="958" spans="1:1" x14ac:dyDescent="0.2">
      <c r="A958" s="34" t="str">
        <f t="shared" si="14"/>
        <v/>
      </c>
    </row>
    <row r="959" spans="1:1" x14ac:dyDescent="0.2">
      <c r="A959" s="34" t="str">
        <f t="shared" si="14"/>
        <v/>
      </c>
    </row>
    <row r="960" spans="1:1" x14ac:dyDescent="0.2">
      <c r="A960" s="34" t="str">
        <f t="shared" si="14"/>
        <v/>
      </c>
    </row>
    <row r="961" spans="1:1" x14ac:dyDescent="0.2">
      <c r="A961" s="34" t="str">
        <f t="shared" si="14"/>
        <v/>
      </c>
    </row>
    <row r="962" spans="1:1" x14ac:dyDescent="0.2">
      <c r="A962" s="34" t="str">
        <f t="shared" si="14"/>
        <v/>
      </c>
    </row>
    <row r="963" spans="1:1" x14ac:dyDescent="0.2">
      <c r="A963" s="34" t="str">
        <f t="shared" ref="A963:A974" si="15">CONCATENATE(B963,C963,F963)</f>
        <v/>
      </c>
    </row>
    <row r="964" spans="1:1" x14ac:dyDescent="0.2">
      <c r="A964" s="34" t="str">
        <f t="shared" si="15"/>
        <v/>
      </c>
    </row>
    <row r="965" spans="1:1" x14ac:dyDescent="0.2">
      <c r="A965" s="34" t="str">
        <f t="shared" si="15"/>
        <v/>
      </c>
    </row>
    <row r="966" spans="1:1" x14ac:dyDescent="0.2">
      <c r="A966" s="34" t="str">
        <f t="shared" si="15"/>
        <v/>
      </c>
    </row>
    <row r="967" spans="1:1" x14ac:dyDescent="0.2">
      <c r="A967" s="34" t="str">
        <f t="shared" si="15"/>
        <v/>
      </c>
    </row>
    <row r="968" spans="1:1" x14ac:dyDescent="0.2">
      <c r="A968" s="34" t="str">
        <f t="shared" si="15"/>
        <v/>
      </c>
    </row>
    <row r="969" spans="1:1" x14ac:dyDescent="0.2">
      <c r="A969" s="34" t="str">
        <f t="shared" si="15"/>
        <v/>
      </c>
    </row>
    <row r="970" spans="1:1" x14ac:dyDescent="0.2">
      <c r="A970" s="34" t="str">
        <f t="shared" si="15"/>
        <v/>
      </c>
    </row>
    <row r="971" spans="1:1" x14ac:dyDescent="0.2">
      <c r="A971" s="34" t="str">
        <f t="shared" si="15"/>
        <v/>
      </c>
    </row>
    <row r="972" spans="1:1" x14ac:dyDescent="0.2">
      <c r="A972" s="34" t="str">
        <f t="shared" si="15"/>
        <v/>
      </c>
    </row>
    <row r="973" spans="1:1" x14ac:dyDescent="0.2">
      <c r="A973" s="34" t="str">
        <f t="shared" si="15"/>
        <v/>
      </c>
    </row>
    <row r="974" spans="1:1" x14ac:dyDescent="0.2">
      <c r="A974" s="34" t="str">
        <f t="shared" si="15"/>
        <v/>
      </c>
    </row>
  </sheetData>
  <sheetProtection password="9F17" sheet="1" objects="1" scenarios="1"/>
  <mergeCells count="64">
    <mergeCell ref="E120:E121"/>
    <mergeCell ref="D110:D113"/>
    <mergeCell ref="E110:E113"/>
    <mergeCell ref="E114:E115"/>
    <mergeCell ref="D116:D118"/>
    <mergeCell ref="E116:E119"/>
    <mergeCell ref="E102:E103"/>
    <mergeCell ref="D104:D105"/>
    <mergeCell ref="E104:E109"/>
    <mergeCell ref="D106:D107"/>
    <mergeCell ref="D108:D109"/>
    <mergeCell ref="D96:D97"/>
    <mergeCell ref="E96:E97"/>
    <mergeCell ref="D98:D99"/>
    <mergeCell ref="E98:E99"/>
    <mergeCell ref="D100:D101"/>
    <mergeCell ref="E100:E101"/>
    <mergeCell ref="D82:D84"/>
    <mergeCell ref="E82:E87"/>
    <mergeCell ref="D85:D87"/>
    <mergeCell ref="D88:D94"/>
    <mergeCell ref="E88:E94"/>
    <mergeCell ref="D76:D77"/>
    <mergeCell ref="E76:E77"/>
    <mergeCell ref="D78:D79"/>
    <mergeCell ref="E78:E79"/>
    <mergeCell ref="D80:D81"/>
    <mergeCell ref="E80:E81"/>
    <mergeCell ref="D62:D65"/>
    <mergeCell ref="E62:E65"/>
    <mergeCell ref="D66:D71"/>
    <mergeCell ref="E66:E71"/>
    <mergeCell ref="D72:D75"/>
    <mergeCell ref="E72:E75"/>
    <mergeCell ref="D59:D60"/>
    <mergeCell ref="E59:E60"/>
    <mergeCell ref="D46:D49"/>
    <mergeCell ref="E46:E49"/>
    <mergeCell ref="D53:D57"/>
    <mergeCell ref="E53:E57"/>
    <mergeCell ref="D34:D36"/>
    <mergeCell ref="E34:E36"/>
    <mergeCell ref="D37:D38"/>
    <mergeCell ref="E37:E38"/>
    <mergeCell ref="D39:D40"/>
    <mergeCell ref="E39:E40"/>
    <mergeCell ref="D22:D25"/>
    <mergeCell ref="E22:E25"/>
    <mergeCell ref="D26:D29"/>
    <mergeCell ref="E26:E29"/>
    <mergeCell ref="D30:D32"/>
    <mergeCell ref="E30:E33"/>
    <mergeCell ref="D13:D15"/>
    <mergeCell ref="E13:E15"/>
    <mergeCell ref="D16:D19"/>
    <mergeCell ref="E16:E19"/>
    <mergeCell ref="D20:D21"/>
    <mergeCell ref="E20:E21"/>
    <mergeCell ref="D2:D4"/>
    <mergeCell ref="E2:E4"/>
    <mergeCell ref="D5:D9"/>
    <mergeCell ref="E5:E9"/>
    <mergeCell ref="D10:D12"/>
    <mergeCell ref="E10:E12"/>
  </mergeCells>
  <pageMargins left="0.7" right="0.7" top="0.75" bottom="0.75" header="0.3" footer="0.3"/>
  <pageSetup paperSize="9" orientation="landscape" r:id="rId1"/>
  <headerFooter>
    <oddHeader>&amp;L&amp;G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Hoja1</vt:lpstr>
      <vt:lpstr>Datos Generales</vt:lpstr>
      <vt:lpstr>Captura</vt:lpstr>
      <vt:lpstr>Alumno</vt:lpstr>
      <vt:lpstr>Grupo</vt:lpstr>
      <vt:lpstr>Español</vt:lpstr>
      <vt:lpstr>Inglés</vt:lpstr>
      <vt:lpstr>Matemáticas</vt:lpstr>
      <vt:lpstr>Ciencias</vt:lpstr>
      <vt:lpstr>GeoHis</vt:lpstr>
      <vt:lpstr>teles_fed</vt:lpstr>
      <vt:lpstr>Captura!Área_de_impresión</vt:lpstr>
      <vt:lpstr>Grupo!Área_de_impresión</vt:lpstr>
      <vt:lpstr>Alumno!Títulos_a_imprimir</vt:lpstr>
      <vt:lpstr>Captura!Títulos_a_imprimir</vt:lpstr>
      <vt:lpstr>Ciencias!Títulos_a_imprimir</vt:lpstr>
      <vt:lpstr>Español!Títulos_a_imprimir</vt:lpstr>
      <vt:lpstr>GeoHis!Títulos_a_imprimir</vt:lpstr>
      <vt:lpstr>Grupo!Títulos_a_imprimir</vt:lpstr>
      <vt:lpstr>Inglés!Títulos_a_imprimir</vt:lpstr>
      <vt:lpstr>Matemáticas!Títulos_a_imprimir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pedromar</dc:creator>
  <cp:lastModifiedBy>David de la Cruz López</cp:lastModifiedBy>
  <cp:lastPrinted>2013-11-21T17:36:52Z</cp:lastPrinted>
  <dcterms:created xsi:type="dcterms:W3CDTF">2010-03-19T19:09:40Z</dcterms:created>
  <dcterms:modified xsi:type="dcterms:W3CDTF">2013-12-13T19:55:37Z</dcterms:modified>
</cp:coreProperties>
</file>